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B600E99B-5305-4CC0-A64A-4FA473BBC01B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</calcChain>
</file>

<file path=xl/sharedStrings.xml><?xml version="1.0" encoding="utf-8"?>
<sst xmlns="http://schemas.openxmlformats.org/spreadsheetml/2006/main" count="15578" uniqueCount="78">
  <si>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</si>
  <si>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</si>
  <si>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</si>
  <si>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</si>
  <si>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</si>
  <si>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</si>
  <si>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</si>
  <si>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</si>
  <si>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</si>
  <si>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</si>
  <si>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</si>
  <si>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</si>
  <si>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</si>
  <si>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</si>
  <si>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</si>
  <si>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</si>
  <si>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</si>
  <si>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</si>
  <si>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</si>
  <si>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</si>
  <si>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</si>
  <si>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</si>
  <si>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</si>
  <si>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</si>
  <si>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</si>
  <si>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</si>
  <si>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</si>
  <si>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</si>
  <si>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</si>
  <si>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</si>
  <si>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</si>
  <si>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</si>
  <si>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</si>
  <si>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</si>
  <si>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</si>
  <si>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</si>
  <si>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</si>
  <si>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</si>
  <si>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</si>
  <si>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</si>
  <si>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</si>
  <si>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mcp_road_part_02</t>
  </si>
  <si>
    <t>Kooper</t>
  </si>
  <si>
    <t>Plane_01</t>
  </si>
  <si>
    <t>Plane_01 (1)</t>
  </si>
  <si>
    <t>FAR</t>
  </si>
  <si>
    <t>Building 18 (9)</t>
  </si>
  <si>
    <t>Floor 01</t>
  </si>
  <si>
    <t>Building 07 (16)</t>
  </si>
  <si>
    <t>Box001</t>
  </si>
  <si>
    <t>mcp_roads_turn_01 (1)</t>
  </si>
  <si>
    <t>Building 07 (17)</t>
  </si>
  <si>
    <t>Building 07 (18)</t>
  </si>
  <si>
    <t>Building 24</t>
  </si>
  <si>
    <t>mcp_roads_T_cross_01</t>
  </si>
  <si>
    <t>mcp_road_part_01</t>
  </si>
  <si>
    <t>Building 03</t>
  </si>
  <si>
    <t>mcp_roads_cross_01</t>
  </si>
  <si>
    <t>Building 15 (31)</t>
  </si>
  <si>
    <t>Building 15 (18)</t>
  </si>
  <si>
    <t>mcp_roads_turn_01</t>
  </si>
  <si>
    <t>mcp_roads_cross_02</t>
  </si>
  <si>
    <t>Building 15 (30)</t>
  </si>
  <si>
    <t>Building 15 (32)</t>
  </si>
  <si>
    <t>Building 13 (1)</t>
  </si>
  <si>
    <t>mcp_road_part_02 (1)</t>
  </si>
  <si>
    <t>mcp_road_part_02 (2)</t>
  </si>
  <si>
    <t>mcp_road_part_02 (3)</t>
  </si>
  <si>
    <t>Building 30 (4)</t>
  </si>
  <si>
    <t>Building 01</t>
  </si>
  <si>
    <t>mcp_road_part_02 (6)</t>
  </si>
  <si>
    <t>mcp_road_part_02 (9)</t>
  </si>
  <si>
    <t>Building 15 (35)</t>
  </si>
  <si>
    <t>mcp_road_part_02 (11)</t>
  </si>
  <si>
    <t>mcp_road_part_02 (12)</t>
  </si>
  <si>
    <t>mcp_road_part_02 (10)</t>
  </si>
  <si>
    <t>mcp_road_part_02 (8)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</si>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</sst>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770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"20190303154413897"</f>
        <v>20190303154413897</v>
      </c>
      <c r="B2" t="str">
        <f>"1551599053890405"</f>
        <v>1551599053890405</v>
      </c>
      <c r="C2" t="s">
        <v>40</v>
      </c>
      <c r="D2">
        <v>4.8424569999999996</v>
      </c>
      <c r="E2">
        <v>0.52847549999999999</v>
      </c>
      <c r="F2" t="s">
        <v>41</v>
      </c>
      <c r="G2">
        <v>-459.40910000000002</v>
      </c>
      <c r="H2" s="1">
        <v>-1.256953E-6</v>
      </c>
      <c r="I2">
        <v>365.59570000000002</v>
      </c>
      <c r="J2">
        <v>-475.64830000000001</v>
      </c>
      <c r="K2">
        <v>1.1205849999999999</v>
      </c>
      <c r="L2">
        <v>367.06450000000001</v>
      </c>
      <c r="M2">
        <v>0.99997400000000003</v>
      </c>
      <c r="N2">
        <v>-7.1718959999999997E-3</v>
      </c>
      <c r="O2">
        <v>9.2026409999999999E-4</v>
      </c>
      <c r="P2">
        <v>0.99974870000000005</v>
      </c>
      <c r="Q2">
        <v>-1.8274579999999999E-2</v>
      </c>
      <c r="R2">
        <v>-1.2999439999999999E-2</v>
      </c>
      <c r="S2">
        <v>2.9928279999999998</v>
      </c>
      <c r="T2">
        <v>-0.2061701</v>
      </c>
      <c r="U2">
        <v>-0.270080599999999</v>
      </c>
      <c r="V2">
        <v>1.3921569999999999E-2</v>
      </c>
      <c r="W2">
        <v>-1.1101430000000001E-2</v>
      </c>
      <c r="X2">
        <v>0.99984150000000005</v>
      </c>
      <c r="Y2">
        <v>9.0556890000000001E-2</v>
      </c>
      <c r="Z2">
        <v>-3.4915860000000001E-3</v>
      </c>
      <c r="AA2">
        <v>0.99588520000000003</v>
      </c>
      <c r="AB2">
        <v>1</v>
      </c>
      <c r="AC2">
        <v>16.239199999999901</v>
      </c>
      <c r="AD2">
        <v>-1.1205862569529901</v>
      </c>
      <c r="AE2">
        <v>-1.4687999999999799</v>
      </c>
      <c r="AF2">
        <v>1.4767692523081499</v>
      </c>
      <c r="AG2">
        <v>-1.1205862569529901</v>
      </c>
      <c r="AH2">
        <v>16.161509723938799</v>
      </c>
      <c r="AI2">
        <v>93.949950605367604</v>
      </c>
      <c r="AJ2">
        <v>84.779056656603501</v>
      </c>
      <c r="AK2">
        <v>16.2674815979857</v>
      </c>
      <c r="AL2">
        <v>90.636078126762499</v>
      </c>
      <c r="AM2">
        <v>89.202277896892397</v>
      </c>
      <c r="AN2">
        <v>1.0000000384907699</v>
      </c>
    </row>
    <row r="3" spans="1:40" x14ac:dyDescent="0.25">
      <c r="A3" t="str">
        <f>"20190303154413918"</f>
        <v>20190303154413918</v>
      </c>
      <c r="B3" t="str">
        <f>"1551599053909927"</f>
        <v>1551599053909927</v>
      </c>
      <c r="C3" t="s">
        <v>40</v>
      </c>
      <c r="D3">
        <v>4.8123040000000001</v>
      </c>
      <c r="E3">
        <v>0.52854709999999905</v>
      </c>
      <c r="F3" t="s">
        <v>41</v>
      </c>
      <c r="G3">
        <v>-459.0403</v>
      </c>
      <c r="H3" s="1">
        <v>-1.387044E-6</v>
      </c>
      <c r="I3">
        <v>365.57839999999999</v>
      </c>
      <c r="J3">
        <v>-475.6343</v>
      </c>
      <c r="K3">
        <v>1.1205639999999999</v>
      </c>
      <c r="L3">
        <v>367.06479999999999</v>
      </c>
      <c r="M3">
        <v>0.99997709999999995</v>
      </c>
      <c r="N3">
        <v>-6.7070109999999997E-3</v>
      </c>
      <c r="O3">
        <v>1.0738830000000001E-3</v>
      </c>
      <c r="P3">
        <v>0.99976540000000003</v>
      </c>
      <c r="Q3">
        <v>-1.7826089999999999E-2</v>
      </c>
      <c r="R3">
        <v>-1.2314759999999999E-2</v>
      </c>
      <c r="S3">
        <v>2.9935610000000001</v>
      </c>
      <c r="T3">
        <v>-0.2019832</v>
      </c>
      <c r="U3">
        <v>-0.2678528</v>
      </c>
      <c r="V3">
        <v>1.339009E-2</v>
      </c>
      <c r="W3">
        <v>-1.111826E-2</v>
      </c>
      <c r="X3">
        <v>0.99984850000000003</v>
      </c>
      <c r="Y3">
        <v>8.996461E-2</v>
      </c>
      <c r="Z3">
        <v>-3.3933290000000001E-3</v>
      </c>
      <c r="AA3">
        <v>0.99593920000000002</v>
      </c>
      <c r="AB3">
        <v>1</v>
      </c>
      <c r="AC3">
        <v>16.593999999999902</v>
      </c>
      <c r="AD3">
        <v>-1.120565387044</v>
      </c>
      <c r="AE3">
        <v>-1.4863999999999999</v>
      </c>
      <c r="AF3">
        <v>1.49744544053322</v>
      </c>
      <c r="AG3">
        <v>-1.120565387044</v>
      </c>
      <c r="AH3">
        <v>16.517671852105401</v>
      </c>
      <c r="AI3">
        <v>93.865218980475802</v>
      </c>
      <c r="AJ3">
        <v>84.819886919775499</v>
      </c>
      <c r="AK3">
        <v>16.623221500294399</v>
      </c>
      <c r="AL3">
        <v>90.637042520020103</v>
      </c>
      <c r="AM3">
        <v>89.232733975180494</v>
      </c>
      <c r="AN3">
        <v>0.99999996658394197</v>
      </c>
    </row>
    <row r="4" spans="1:40" x14ac:dyDescent="0.25">
      <c r="A4" t="str">
        <f>"20190303154413941"</f>
        <v>20190303154413941</v>
      </c>
      <c r="B4" t="str">
        <f>"1551599053930422"</f>
        <v>1551599053930422</v>
      </c>
      <c r="C4" t="s">
        <v>40</v>
      </c>
      <c r="D4">
        <v>4.8660300000000003</v>
      </c>
      <c r="E4">
        <v>0.5286691</v>
      </c>
      <c r="F4" t="s">
        <v>41</v>
      </c>
      <c r="G4">
        <v>-458.92219999999998</v>
      </c>
      <c r="H4" s="1">
        <v>-1.4275070000000001E-6</v>
      </c>
      <c r="I4">
        <v>365.57729999999998</v>
      </c>
      <c r="J4">
        <v>-475.6164</v>
      </c>
      <c r="K4">
        <v>1.120363</v>
      </c>
      <c r="L4">
        <v>367.06509999999997</v>
      </c>
      <c r="M4">
        <v>0.99998350000000003</v>
      </c>
      <c r="N4">
        <v>-5.595895E-3</v>
      </c>
      <c r="O4">
        <v>1.317964E-3</v>
      </c>
      <c r="P4">
        <v>0.99979439999999997</v>
      </c>
      <c r="Q4">
        <v>-1.6622970000000001E-2</v>
      </c>
      <c r="R4">
        <v>-1.162176E-2</v>
      </c>
      <c r="S4">
        <v>2.9938349999999998</v>
      </c>
      <c r="T4">
        <v>-0.200739</v>
      </c>
      <c r="U4">
        <v>-0.26644899999999999</v>
      </c>
      <c r="V4">
        <v>1.2941100000000001E-2</v>
      </c>
      <c r="W4">
        <v>-1.1026019999999999E-2</v>
      </c>
      <c r="X4">
        <v>0.99985550000000001</v>
      </c>
      <c r="Y4">
        <v>8.9742310000000006E-2</v>
      </c>
      <c r="Z4">
        <v>-3.3320049999999999E-3</v>
      </c>
      <c r="AA4">
        <v>0.9959595</v>
      </c>
      <c r="AB4">
        <v>1</v>
      </c>
      <c r="AC4">
        <v>16.694199999999999</v>
      </c>
      <c r="AD4">
        <v>-1.1203644275069999</v>
      </c>
      <c r="AE4">
        <v>-1.48779999999999</v>
      </c>
      <c r="AF4">
        <v>1.5030850274985601</v>
      </c>
      <c r="AG4">
        <v>-1.1203644275069999</v>
      </c>
      <c r="AH4">
        <v>16.617968940232998</v>
      </c>
      <c r="AI4">
        <v>93.841345213293494</v>
      </c>
      <c r="AJ4">
        <v>84.831695633916098</v>
      </c>
      <c r="AK4">
        <v>16.7233780304358</v>
      </c>
      <c r="AL4">
        <v>90.631757191180199</v>
      </c>
      <c r="AM4">
        <v>89.258463835432593</v>
      </c>
      <c r="AN4">
        <v>1.0000000330332399</v>
      </c>
    </row>
    <row r="5" spans="1:40" x14ac:dyDescent="0.25">
      <c r="A5" t="str">
        <f>"20190303154413964"</f>
        <v>20190303154413964</v>
      </c>
      <c r="B5" t="str">
        <f>"1551599053959701"</f>
        <v>1551599053959701</v>
      </c>
      <c r="C5" t="s">
        <v>40</v>
      </c>
      <c r="D5">
        <v>4.7897169999999996</v>
      </c>
      <c r="E5">
        <v>0.52886739999999999</v>
      </c>
      <c r="F5" t="s">
        <v>41</v>
      </c>
      <c r="G5">
        <v>-458.57310000000001</v>
      </c>
      <c r="H5" s="1">
        <v>-1.551989E-6</v>
      </c>
      <c r="I5">
        <v>365.55599999999998</v>
      </c>
      <c r="J5">
        <v>-475.59449999999998</v>
      </c>
      <c r="K5">
        <v>1.1202000000000001</v>
      </c>
      <c r="L5">
        <v>367.06540000000001</v>
      </c>
      <c r="M5">
        <v>0.99998860000000001</v>
      </c>
      <c r="N5">
        <v>-4.4957299999999999E-3</v>
      </c>
      <c r="O5">
        <v>1.6414509999999999E-3</v>
      </c>
      <c r="P5">
        <v>0.9998013</v>
      </c>
      <c r="Q5">
        <v>-1.6316499999999901E-2</v>
      </c>
      <c r="R5">
        <v>-1.147691E-2</v>
      </c>
      <c r="S5">
        <v>2.9942630000000001</v>
      </c>
      <c r="T5">
        <v>-0.19683149999999999</v>
      </c>
      <c r="U5">
        <v>-0.26510620000000001</v>
      </c>
      <c r="V5">
        <v>1.312003E-2</v>
      </c>
      <c r="W5">
        <v>-1.1819140000000001E-2</v>
      </c>
      <c r="X5">
        <v>0.99984410000000001</v>
      </c>
      <c r="Y5">
        <v>8.9619799999999999E-2</v>
      </c>
      <c r="Z5">
        <v>-3.2390309999999999E-3</v>
      </c>
      <c r="AA5">
        <v>0.99597080000000004</v>
      </c>
      <c r="AB5">
        <v>2</v>
      </c>
      <c r="AC5">
        <v>17.0213999999999</v>
      </c>
      <c r="AD5">
        <v>-1.1202015519890001</v>
      </c>
      <c r="AE5">
        <v>-1.5094000000000201</v>
      </c>
      <c r="AF5">
        <v>1.53075984089846</v>
      </c>
      <c r="AG5">
        <v>-1.1202015519890001</v>
      </c>
      <c r="AH5">
        <v>16.9460763299302</v>
      </c>
      <c r="AI5">
        <v>93.766679635735102</v>
      </c>
      <c r="AJ5">
        <v>84.838410666174397</v>
      </c>
      <c r="AK5">
        <v>17.051908403091101</v>
      </c>
      <c r="AL5">
        <v>90.6772025892774</v>
      </c>
      <c r="AM5">
        <v>89.248203590471803</v>
      </c>
      <c r="AN5">
        <v>1.0000000257811701</v>
      </c>
    </row>
    <row r="6" spans="1:40" x14ac:dyDescent="0.25">
      <c r="A6" t="str">
        <f>"20190303154413985"</f>
        <v>20190303154413985</v>
      </c>
      <c r="B6" t="str">
        <f>"1551599053980197"</f>
        <v>1551599053980197</v>
      </c>
      <c r="C6" t="s">
        <v>40</v>
      </c>
      <c r="D6">
        <v>4.8217210000000001</v>
      </c>
      <c r="E6">
        <v>0.49775029999999998</v>
      </c>
      <c r="F6" t="s">
        <v>41</v>
      </c>
      <c r="G6">
        <v>-458.11239999999998</v>
      </c>
      <c r="H6" s="1">
        <v>-1.72088E-6</v>
      </c>
      <c r="I6">
        <v>365.5104</v>
      </c>
      <c r="J6">
        <v>-475.57240000000002</v>
      </c>
      <c r="K6">
        <v>1.1201270000000001</v>
      </c>
      <c r="L6">
        <v>367.06580000000002</v>
      </c>
      <c r="M6">
        <v>0.99999130000000003</v>
      </c>
      <c r="N6">
        <v>-3.7059189999999998E-3</v>
      </c>
      <c r="O6">
        <v>1.9774459999999999E-3</v>
      </c>
      <c r="P6">
        <v>0.99980259999999999</v>
      </c>
      <c r="Q6">
        <v>-1.6416110000000001E-2</v>
      </c>
      <c r="R6">
        <v>-1.1201930000000001E-2</v>
      </c>
      <c r="S6">
        <v>2.9944459999999999</v>
      </c>
      <c r="T6">
        <v>-0.19187409999999999</v>
      </c>
      <c r="U6">
        <v>-0.26632689999999998</v>
      </c>
      <c r="V6">
        <v>1.3181760000000001E-2</v>
      </c>
      <c r="W6">
        <v>-1.2707950000000001E-2</v>
      </c>
      <c r="X6">
        <v>0.99983230000000001</v>
      </c>
      <c r="Y6">
        <v>9.0361949999999996E-2</v>
      </c>
      <c r="Z6">
        <v>-3.1733759999999999E-3</v>
      </c>
      <c r="AA6">
        <v>0.99590389999999995</v>
      </c>
      <c r="AB6">
        <v>2</v>
      </c>
      <c r="AC6">
        <v>17.46</v>
      </c>
      <c r="AD6">
        <v>-1.1201287208799999</v>
      </c>
      <c r="AE6">
        <v>-1.5554000000000101</v>
      </c>
      <c r="AF6">
        <v>1.5834576189924801</v>
      </c>
      <c r="AG6">
        <v>-1.1201287208799999</v>
      </c>
      <c r="AH6">
        <v>17.385897764863302</v>
      </c>
      <c r="AI6">
        <v>93.671171966664005</v>
      </c>
      <c r="AJ6">
        <v>84.796022393437894</v>
      </c>
      <c r="AK6">
        <v>17.4937550992565</v>
      </c>
      <c r="AL6">
        <v>90.728131544147203</v>
      </c>
      <c r="AM6">
        <v>89.2446578689935</v>
      </c>
      <c r="AN6">
        <v>0.99999993945659305</v>
      </c>
    </row>
    <row r="7" spans="1:40" x14ac:dyDescent="0.25">
      <c r="A7" t="str">
        <f>"20190303154414008"</f>
        <v>20190303154414008</v>
      </c>
      <c r="B7" t="str">
        <f>"1551599053999717"</f>
        <v>1551599053999717</v>
      </c>
      <c r="C7" t="s">
        <v>40</v>
      </c>
      <c r="D7">
        <v>4.8683909999999999</v>
      </c>
      <c r="E7">
        <v>0.49255729999999998</v>
      </c>
      <c r="F7" t="s">
        <v>41</v>
      </c>
      <c r="G7">
        <v>-451.16730000000001</v>
      </c>
      <c r="H7" s="1">
        <v>-4.2483719999999999E-6</v>
      </c>
      <c r="I7">
        <v>366.92809999999997</v>
      </c>
      <c r="J7">
        <v>-475.5455</v>
      </c>
      <c r="K7">
        <v>1.1200840000000001</v>
      </c>
      <c r="L7">
        <v>367.06619999999998</v>
      </c>
      <c r="M7">
        <v>0.99999280000000002</v>
      </c>
      <c r="N7">
        <v>-2.9694360000000002E-3</v>
      </c>
      <c r="O7">
        <v>2.3904040000000001E-3</v>
      </c>
      <c r="P7">
        <v>0.9998049</v>
      </c>
      <c r="Q7">
        <v>-1.6351629999999999E-2</v>
      </c>
      <c r="R7">
        <v>-1.1100459999999999E-2</v>
      </c>
      <c r="S7">
        <v>2.9981689999999999</v>
      </c>
      <c r="T7">
        <v>-0.13760729999999999</v>
      </c>
      <c r="U7">
        <v>-1.690674E-2</v>
      </c>
      <c r="V7">
        <v>1.34939E-2</v>
      </c>
      <c r="W7">
        <v>-1.3379159999999999E-2</v>
      </c>
      <c r="X7">
        <v>0.99981949999999997</v>
      </c>
      <c r="Y7">
        <v>8.0181019999999992E-3</v>
      </c>
      <c r="Z7">
        <v>-2.9837659999999998E-4</v>
      </c>
      <c r="AA7">
        <v>0.99996779999999996</v>
      </c>
      <c r="AB7">
        <v>2</v>
      </c>
      <c r="AC7">
        <v>24.3782</v>
      </c>
      <c r="AD7">
        <v>-1.1200882483720001</v>
      </c>
      <c r="AE7">
        <v>-0.13810000000000799</v>
      </c>
      <c r="AF7">
        <v>0.195959934809014</v>
      </c>
      <c r="AG7">
        <v>-1.1200882483720001</v>
      </c>
      <c r="AH7">
        <v>24.326447217599199</v>
      </c>
      <c r="AI7">
        <v>92.636182595977999</v>
      </c>
      <c r="AJ7">
        <v>89.538467977962199</v>
      </c>
      <c r="AK7">
        <v>24.3530086890887</v>
      </c>
      <c r="AL7">
        <v>90.766592226901807</v>
      </c>
      <c r="AM7">
        <v>89.226763849551105</v>
      </c>
      <c r="AN7">
        <v>1.0000000599198799</v>
      </c>
    </row>
    <row r="8" spans="1:40" x14ac:dyDescent="0.25">
      <c r="A8" t="str">
        <f>"20190303154414031"</f>
        <v>20190303154414031</v>
      </c>
      <c r="B8" t="str">
        <f>"1551599054020214"</f>
        <v>1551599054020214</v>
      </c>
      <c r="C8" t="s">
        <v>40</v>
      </c>
      <c r="D8">
        <v>4.8649209999999998</v>
      </c>
      <c r="E8">
        <v>0.49073640000000002</v>
      </c>
      <c r="F8" t="s">
        <v>41</v>
      </c>
      <c r="G8">
        <v>-449.0557</v>
      </c>
      <c r="H8" s="1">
        <v>-9.6733989999999993E-7</v>
      </c>
      <c r="I8">
        <v>367.28429999999997</v>
      </c>
      <c r="J8">
        <v>-475.51530000000002</v>
      </c>
      <c r="K8">
        <v>1.1200410000000001</v>
      </c>
      <c r="L8">
        <v>367.0668</v>
      </c>
      <c r="M8">
        <v>0.99999340000000003</v>
      </c>
      <c r="N8">
        <v>-2.2453019999999998E-3</v>
      </c>
      <c r="O8">
        <v>2.8525709999999999E-3</v>
      </c>
      <c r="P8">
        <v>0.99980250000000004</v>
      </c>
      <c r="Q8">
        <v>-1.6698029999999999E-2</v>
      </c>
      <c r="R8">
        <v>-1.0762870000000001E-2</v>
      </c>
      <c r="S8">
        <v>2.9988100000000002</v>
      </c>
      <c r="T8">
        <v>-0.12680069999999999</v>
      </c>
      <c r="U8">
        <v>2.4688720000000001E-2</v>
      </c>
      <c r="V8">
        <v>1.361943E-2</v>
      </c>
      <c r="W8">
        <v>-1.4449E-2</v>
      </c>
      <c r="X8">
        <v>0.99980279999999999</v>
      </c>
      <c r="Y8">
        <v>-5.3772710000000003E-3</v>
      </c>
      <c r="Z8" s="1">
        <v>5.5137350000000002E-6</v>
      </c>
      <c r="AA8">
        <v>0.99998549999999997</v>
      </c>
      <c r="AB8">
        <v>3</v>
      </c>
      <c r="AC8">
        <v>26.459599999999998</v>
      </c>
      <c r="AD8">
        <v>-1.12004196733989</v>
      </c>
      <c r="AE8">
        <v>0.21749999999997199</v>
      </c>
      <c r="AF8">
        <v>-0.14176702806559299</v>
      </c>
      <c r="AG8">
        <v>-1.12004196733989</v>
      </c>
      <c r="AH8">
        <v>26.4127881825275</v>
      </c>
      <c r="AI8">
        <v>92.428154499466899</v>
      </c>
      <c r="AJ8">
        <v>90.307524307042897</v>
      </c>
      <c r="AK8">
        <v>26.436905482183601</v>
      </c>
      <c r="AL8">
        <v>90.827895567844095</v>
      </c>
      <c r="AM8">
        <v>89.219558500096795</v>
      </c>
      <c r="AN8">
        <v>0.99999995068118097</v>
      </c>
    </row>
    <row r="9" spans="1:40" x14ac:dyDescent="0.25">
      <c r="A9" t="str">
        <f>"20190303154414056"</f>
        <v>20190303154414056</v>
      </c>
      <c r="B9" t="str">
        <f>"1551599054050470"</f>
        <v>1551599054050470</v>
      </c>
      <c r="C9" t="s">
        <v>40</v>
      </c>
      <c r="D9">
        <v>4.8940970000000004</v>
      </c>
      <c r="E9">
        <v>0.48996519999999999</v>
      </c>
      <c r="F9" t="s">
        <v>41</v>
      </c>
      <c r="G9">
        <v>-449.22469999999998</v>
      </c>
      <c r="H9" s="1">
        <v>-8.6576859999999995E-7</v>
      </c>
      <c r="I9">
        <v>367.4221</v>
      </c>
      <c r="J9">
        <v>-475.48140000000001</v>
      </c>
      <c r="K9">
        <v>1.119966</v>
      </c>
      <c r="L9">
        <v>367.06740000000002</v>
      </c>
      <c r="M9">
        <v>0.99999320000000003</v>
      </c>
      <c r="N9">
        <v>-1.5038129999999999E-3</v>
      </c>
      <c r="O9">
        <v>3.3732829999999999E-3</v>
      </c>
      <c r="P9">
        <v>0.99980990000000003</v>
      </c>
      <c r="Q9">
        <v>-1.6587020000000001E-2</v>
      </c>
      <c r="R9">
        <v>-1.026474E-2</v>
      </c>
      <c r="S9">
        <v>2.998901</v>
      </c>
      <c r="T9">
        <v>-0.12776029999999999</v>
      </c>
      <c r="U9">
        <v>4.0527340000000002E-2</v>
      </c>
      <c r="V9">
        <v>1.3642329999999999E-2</v>
      </c>
      <c r="W9">
        <v>-1.5078899999999999E-2</v>
      </c>
      <c r="X9">
        <v>0.99979320000000005</v>
      </c>
      <c r="Y9">
        <v>-1.0133110000000001E-2</v>
      </c>
      <c r="Z9" s="1">
        <v>8.4795800000000006E-5</v>
      </c>
      <c r="AA9">
        <v>0.99994870000000002</v>
      </c>
      <c r="AB9">
        <v>3</v>
      </c>
      <c r="AC9">
        <v>26.256699999999999</v>
      </c>
      <c r="AD9">
        <v>-1.1199668657685999</v>
      </c>
      <c r="AE9">
        <v>0.35469999999997898</v>
      </c>
      <c r="AF9">
        <v>-0.265643378352802</v>
      </c>
      <c r="AG9">
        <v>-1.1199668657685999</v>
      </c>
      <c r="AH9">
        <v>26.210069011569999</v>
      </c>
      <c r="AI9">
        <v>92.446657901678805</v>
      </c>
      <c r="AJ9">
        <v>90.5806823061573</v>
      </c>
      <c r="AK9">
        <v>26.2353313258313</v>
      </c>
      <c r="AL9">
        <v>90.863990103782697</v>
      </c>
      <c r="AM9">
        <v>89.218238906382297</v>
      </c>
      <c r="AN9">
        <v>0.99999996457963802</v>
      </c>
    </row>
    <row r="10" spans="1:40" x14ac:dyDescent="0.25">
      <c r="A10" t="str">
        <f>"20190303154414077"</f>
        <v>20190303154414077</v>
      </c>
      <c r="B10" t="str">
        <f>"1551599054069989"</f>
        <v>1551599054069989</v>
      </c>
      <c r="C10" t="s">
        <v>40</v>
      </c>
      <c r="D10">
        <v>4.8992789999999999</v>
      </c>
      <c r="E10">
        <v>0.48968679999999898</v>
      </c>
      <c r="F10" t="s">
        <v>41</v>
      </c>
      <c r="G10">
        <v>-448.90559999999999</v>
      </c>
      <c r="H10" s="1">
        <v>-9.6867710000000008E-7</v>
      </c>
      <c r="I10">
        <v>367.49579999999997</v>
      </c>
      <c r="J10">
        <v>-475.44670000000002</v>
      </c>
      <c r="K10">
        <v>1.1199079999999999</v>
      </c>
      <c r="L10">
        <v>367.06810000000002</v>
      </c>
      <c r="M10">
        <v>0.99999210000000005</v>
      </c>
      <c r="N10">
        <v>-8.5072479999999905E-4</v>
      </c>
      <c r="O10">
        <v>3.9070240000000003E-3</v>
      </c>
      <c r="P10">
        <v>0.9998051</v>
      </c>
      <c r="Q10">
        <v>-1.723446E-2</v>
      </c>
      <c r="R10">
        <v>-9.6411180000000006E-3</v>
      </c>
      <c r="S10">
        <v>2.9989620000000001</v>
      </c>
      <c r="T10">
        <v>-0.12638369999999999</v>
      </c>
      <c r="U10">
        <v>4.8339840000000002E-2</v>
      </c>
      <c r="V10">
        <v>1.355322E-2</v>
      </c>
      <c r="W10">
        <v>-1.6379020000000001E-2</v>
      </c>
      <c r="X10">
        <v>0.99977400000000005</v>
      </c>
      <c r="Y10">
        <v>-1.22024E-2</v>
      </c>
      <c r="Z10">
        <v>1.0093789999999999E-4</v>
      </c>
      <c r="AA10">
        <v>0.99992559999999997</v>
      </c>
      <c r="AB10">
        <v>3</v>
      </c>
      <c r="AC10">
        <v>26.5411</v>
      </c>
      <c r="AD10">
        <v>-1.1199089686771</v>
      </c>
      <c r="AE10">
        <v>0.427699999999958</v>
      </c>
      <c r="AF10">
        <v>-0.32342430474364298</v>
      </c>
      <c r="AG10">
        <v>-1.1199089686771</v>
      </c>
      <c r="AH10">
        <v>26.495407196172199</v>
      </c>
      <c r="AI10">
        <v>92.420159596530198</v>
      </c>
      <c r="AJ10">
        <v>90.699363749935998</v>
      </c>
      <c r="AK10">
        <v>26.5210369682258</v>
      </c>
      <c r="AL10">
        <v>90.938490677423502</v>
      </c>
      <c r="AM10">
        <v>89.223329731587697</v>
      </c>
      <c r="AN10">
        <v>1.0000000065722601</v>
      </c>
    </row>
    <row r="11" spans="1:40" x14ac:dyDescent="0.25">
      <c r="A11" t="str">
        <f>"20190303154414098"</f>
        <v>20190303154414098</v>
      </c>
      <c r="B11" t="str">
        <f>"1551599054090486"</f>
        <v>1551599054090486</v>
      </c>
      <c r="C11" t="s">
        <v>40</v>
      </c>
      <c r="D11">
        <v>4.9090109999999996</v>
      </c>
      <c r="E11">
        <v>0.4896819</v>
      </c>
      <c r="F11" t="s">
        <v>41</v>
      </c>
      <c r="G11">
        <v>-449.30450000000002</v>
      </c>
      <c r="H11" s="1">
        <v>-8.0782919999999901E-7</v>
      </c>
      <c r="I11">
        <v>367.5247</v>
      </c>
      <c r="J11">
        <v>-475.41120000000001</v>
      </c>
      <c r="K11">
        <v>1.1198669999999999</v>
      </c>
      <c r="L11">
        <v>367.06889999999999</v>
      </c>
      <c r="M11">
        <v>0.99999009999999999</v>
      </c>
      <c r="N11">
        <v>-3.0453650000000001E-4</v>
      </c>
      <c r="O11">
        <v>4.447459E-3</v>
      </c>
      <c r="P11">
        <v>0.99980709999999995</v>
      </c>
      <c r="Q11">
        <v>-1.7346049999999998E-2</v>
      </c>
      <c r="R11">
        <v>-9.2453510000000006E-3</v>
      </c>
      <c r="S11">
        <v>2.998901</v>
      </c>
      <c r="T11">
        <v>-0.12847049999999999</v>
      </c>
      <c r="U11">
        <v>5.2368159999999997E-2</v>
      </c>
      <c r="V11">
        <v>1.36981E-2</v>
      </c>
      <c r="W11">
        <v>-1.7036369999999999E-2</v>
      </c>
      <c r="X11">
        <v>0.99976100000000001</v>
      </c>
      <c r="Y11">
        <v>-1.300485E-2</v>
      </c>
      <c r="Z11" s="1">
        <v>9.1323310000000001E-5</v>
      </c>
      <c r="AA11">
        <v>0.99991540000000001</v>
      </c>
      <c r="AB11">
        <v>3</v>
      </c>
      <c r="AC11">
        <v>26.106699999999901</v>
      </c>
      <c r="AD11">
        <v>-1.1198678078291999</v>
      </c>
      <c r="AE11">
        <v>0.45580000000000997</v>
      </c>
      <c r="AF11">
        <v>-0.33906330986493899</v>
      </c>
      <c r="AG11">
        <v>-1.1198678078291999</v>
      </c>
      <c r="AH11">
        <v>26.0605308960467</v>
      </c>
      <c r="AI11">
        <v>92.460380742243203</v>
      </c>
      <c r="AJ11">
        <v>90.745410777066297</v>
      </c>
      <c r="AK11">
        <v>26.086784746666599</v>
      </c>
      <c r="AL11">
        <v>90.976159355566395</v>
      </c>
      <c r="AM11">
        <v>89.2150181787337</v>
      </c>
      <c r="AN11">
        <v>0.99999996648369205</v>
      </c>
    </row>
    <row r="12" spans="1:40" x14ac:dyDescent="0.25">
      <c r="A12" t="str">
        <f>"20190303154414118"</f>
        <v>20190303154414118</v>
      </c>
      <c r="B12" t="str">
        <f>"1551599054110006"</f>
        <v>1551599054110006</v>
      </c>
      <c r="C12" t="s">
        <v>40</v>
      </c>
      <c r="D12">
        <v>4.9310049999999999</v>
      </c>
      <c r="E12">
        <v>0.48974590000000001</v>
      </c>
      <c r="F12" t="s">
        <v>41</v>
      </c>
      <c r="G12">
        <v>-449.79790000000003</v>
      </c>
      <c r="H12" s="1">
        <v>-6.1868650000000005E-7</v>
      </c>
      <c r="I12">
        <v>367.52350000000001</v>
      </c>
      <c r="J12">
        <v>-475.37369999999999</v>
      </c>
      <c r="K12">
        <v>1.119829</v>
      </c>
      <c r="L12">
        <v>367.06959999999998</v>
      </c>
      <c r="M12">
        <v>0.99998750000000003</v>
      </c>
      <c r="N12">
        <v>1.6646989999999999E-4</v>
      </c>
      <c r="O12">
        <v>5.0093339999999998E-3</v>
      </c>
      <c r="P12">
        <v>0.99980869999999999</v>
      </c>
      <c r="Q12">
        <v>-1.7719660000000002E-2</v>
      </c>
      <c r="R12">
        <v>-8.2925189999999999E-3</v>
      </c>
      <c r="S12">
        <v>2.99884</v>
      </c>
      <c r="T12">
        <v>-0.1311157</v>
      </c>
      <c r="U12">
        <v>5.3222659999999998E-2</v>
      </c>
      <c r="V12">
        <v>1.3307660000000001E-2</v>
      </c>
      <c r="W12">
        <v>-1.7880839999999999E-2</v>
      </c>
      <c r="X12">
        <v>0.99975159999999996</v>
      </c>
      <c r="Y12">
        <v>-1.27289E-2</v>
      </c>
      <c r="Z12" s="1">
        <v>5.732513E-5</v>
      </c>
      <c r="AA12">
        <v>0.999919</v>
      </c>
      <c r="AB12">
        <v>4</v>
      </c>
      <c r="AC12">
        <v>25.575799999999902</v>
      </c>
      <c r="AD12">
        <v>-1.1198296186865</v>
      </c>
      <c r="AE12">
        <v>0.453900000000032</v>
      </c>
      <c r="AF12">
        <v>-0.32515343014637099</v>
      </c>
      <c r="AG12">
        <v>-1.1198296186865</v>
      </c>
      <c r="AH12">
        <v>25.5288268618731</v>
      </c>
      <c r="AI12">
        <v>92.511482906871095</v>
      </c>
      <c r="AJ12">
        <v>90.729720642240295</v>
      </c>
      <c r="AK12">
        <v>25.555444509370599</v>
      </c>
      <c r="AL12">
        <v>91.024551225810995</v>
      </c>
      <c r="AM12">
        <v>89.237382840020999</v>
      </c>
      <c r="AN12">
        <v>1.0000000399781599</v>
      </c>
    </row>
    <row r="13" spans="1:40" x14ac:dyDescent="0.25">
      <c r="A13" t="str">
        <f>"20190303154414143"</f>
        <v>20190303154414143</v>
      </c>
      <c r="B13" t="str">
        <f>"1551599054140262"</f>
        <v>1551599054140262</v>
      </c>
      <c r="C13" t="s">
        <v>40</v>
      </c>
      <c r="D13">
        <v>4.9465050000000002</v>
      </c>
      <c r="E13">
        <v>0.48976340000000002</v>
      </c>
      <c r="F13" t="s">
        <v>41</v>
      </c>
      <c r="G13">
        <v>-450.3879</v>
      </c>
      <c r="H13" s="1">
        <v>-4.4749750000000003E-6</v>
      </c>
      <c r="I13">
        <v>367.53539999999998</v>
      </c>
      <c r="J13">
        <v>-475.32850000000002</v>
      </c>
      <c r="K13">
        <v>1.1197919999999999</v>
      </c>
      <c r="L13">
        <v>367.07060000000001</v>
      </c>
      <c r="M13">
        <v>0.99998379999999998</v>
      </c>
      <c r="N13">
        <v>6.4203980000000001E-4</v>
      </c>
      <c r="O13">
        <v>5.6744439999999998E-3</v>
      </c>
      <c r="P13">
        <v>0.99980950000000002</v>
      </c>
      <c r="Q13">
        <v>-1.7907079999999999E-2</v>
      </c>
      <c r="R13">
        <v>-7.7799280000000002E-3</v>
      </c>
      <c r="S13">
        <v>2.9986269999999999</v>
      </c>
      <c r="T13">
        <v>-0.1343944</v>
      </c>
      <c r="U13">
        <v>5.5908199999999998E-2</v>
      </c>
      <c r="V13">
        <v>1.3460690000000001E-2</v>
      </c>
      <c r="W13">
        <v>-1.8543480000000001E-2</v>
      </c>
      <c r="X13">
        <v>0.9997374</v>
      </c>
      <c r="Y13">
        <v>-1.2960640000000001E-2</v>
      </c>
      <c r="Z13" s="1">
        <v>2.829739E-5</v>
      </c>
      <c r="AA13">
        <v>0.99991600000000003</v>
      </c>
      <c r="AB13">
        <v>4</v>
      </c>
      <c r="AC13">
        <v>24.9406</v>
      </c>
      <c r="AD13">
        <v>-1.11979647497499</v>
      </c>
      <c r="AE13">
        <v>0.46479999999996802</v>
      </c>
      <c r="AF13">
        <v>-0.322618330983095</v>
      </c>
      <c r="AG13">
        <v>-1.11979647497499</v>
      </c>
      <c r="AH13">
        <v>24.8926727566406</v>
      </c>
      <c r="AI13">
        <v>92.5754971859714</v>
      </c>
      <c r="AJ13">
        <v>90.742533117251696</v>
      </c>
      <c r="AK13">
        <v>24.919935467453499</v>
      </c>
      <c r="AL13">
        <v>91.062524083407197</v>
      </c>
      <c r="AM13">
        <v>89.228603304713005</v>
      </c>
      <c r="AN13">
        <v>0.99999995989227197</v>
      </c>
    </row>
    <row r="14" spans="1:40" x14ac:dyDescent="0.25">
      <c r="A14" t="str">
        <f>"20190303154414165"</f>
        <v>20190303154414165</v>
      </c>
      <c r="B14" t="str">
        <f>"1551599054159782"</f>
        <v>1551599054159782</v>
      </c>
      <c r="C14" t="s">
        <v>40</v>
      </c>
      <c r="D14">
        <v>4.9541930000000001</v>
      </c>
      <c r="E14">
        <v>0.48977939999999998</v>
      </c>
      <c r="F14" t="s">
        <v>41</v>
      </c>
      <c r="G14">
        <v>-451.11669999999998</v>
      </c>
      <c r="H14" s="1">
        <v>-4.1632710000000003E-6</v>
      </c>
      <c r="I14">
        <v>367.5301</v>
      </c>
      <c r="J14">
        <v>-475.28230000000002</v>
      </c>
      <c r="K14">
        <v>1.1197589999999999</v>
      </c>
      <c r="L14">
        <v>367.07159999999999</v>
      </c>
      <c r="M14">
        <v>0.99997939999999996</v>
      </c>
      <c r="N14">
        <v>1.0535290000000001E-3</v>
      </c>
      <c r="O14">
        <v>6.3353749999999999E-3</v>
      </c>
      <c r="P14">
        <v>0.99981679999999995</v>
      </c>
      <c r="Q14">
        <v>-1.802755E-2</v>
      </c>
      <c r="R14">
        <v>-6.4645600000000003E-3</v>
      </c>
      <c r="S14">
        <v>2.998535</v>
      </c>
      <c r="T14">
        <v>-0.1386819</v>
      </c>
      <c r="U14">
        <v>5.6915279999999999E-2</v>
      </c>
      <c r="V14">
        <v>1.2806359999999999E-2</v>
      </c>
      <c r="W14">
        <v>-1.907551E-2</v>
      </c>
      <c r="X14">
        <v>0.99973599999999996</v>
      </c>
      <c r="Y14">
        <v>-1.263688E-2</v>
      </c>
      <c r="Z14" s="1">
        <v>-1.4107970000000001E-5</v>
      </c>
      <c r="AA14">
        <v>0.99992009999999998</v>
      </c>
      <c r="AB14">
        <v>4</v>
      </c>
      <c r="AC14">
        <v>24.165600000000001</v>
      </c>
      <c r="AD14">
        <v>-1.1197631632709999</v>
      </c>
      <c r="AE14">
        <v>0.45850000000001501</v>
      </c>
      <c r="AF14">
        <v>-0.30473850306595002</v>
      </c>
      <c r="AG14">
        <v>-1.1197631632709999</v>
      </c>
      <c r="AH14">
        <v>24.1162578287427</v>
      </c>
      <c r="AI14">
        <v>92.658229419336905</v>
      </c>
      <c r="AJ14">
        <v>90.723963932446296</v>
      </c>
      <c r="AK14">
        <v>24.144163409807</v>
      </c>
      <c r="AL14">
        <v>91.093012537185899</v>
      </c>
      <c r="AM14">
        <v>89.266096000041699</v>
      </c>
      <c r="AN14">
        <v>0.99999997381710404</v>
      </c>
    </row>
    <row r="15" spans="1:40" x14ac:dyDescent="0.25">
      <c r="A15" t="str">
        <f>"20190303154414187"</f>
        <v>20190303154414187</v>
      </c>
      <c r="B15" t="str">
        <f>"1551599054179763"</f>
        <v>1551599054179763</v>
      </c>
      <c r="C15" t="s">
        <v>40</v>
      </c>
      <c r="D15">
        <v>4.9479360000000003</v>
      </c>
      <c r="E15">
        <v>0.48979990000000001</v>
      </c>
      <c r="F15" t="s">
        <v>41</v>
      </c>
      <c r="G15">
        <v>-451.6259</v>
      </c>
      <c r="H15" s="1">
        <v>-3.9410419999999999E-6</v>
      </c>
      <c r="I15">
        <v>367.5514</v>
      </c>
      <c r="J15">
        <v>-475.23219999999998</v>
      </c>
      <c r="K15">
        <v>1.119718</v>
      </c>
      <c r="L15">
        <v>367.0727</v>
      </c>
      <c r="M15">
        <v>0.99997420000000004</v>
      </c>
      <c r="N15">
        <v>1.4467739999999901E-3</v>
      </c>
      <c r="O15">
        <v>7.0346840000000002E-3</v>
      </c>
      <c r="P15">
        <v>0.99981249999999999</v>
      </c>
      <c r="Q15">
        <v>-1.8717839999999999E-2</v>
      </c>
      <c r="R15">
        <v>-4.9744569999999998E-3</v>
      </c>
      <c r="S15">
        <v>2.9984130000000002</v>
      </c>
      <c r="T15">
        <v>-0.14192769999999999</v>
      </c>
      <c r="U15">
        <v>6.0821529999999999E-2</v>
      </c>
      <c r="V15">
        <v>1.2015980000000001E-2</v>
      </c>
      <c r="W15">
        <v>-2.0159259999999998E-2</v>
      </c>
      <c r="X15">
        <v>0.99972459999999996</v>
      </c>
      <c r="Y15">
        <v>-1.324065E-2</v>
      </c>
      <c r="Z15" s="1">
        <v>-3.9347590000000002E-5</v>
      </c>
      <c r="AA15">
        <v>0.99991229999999998</v>
      </c>
      <c r="AB15">
        <v>5</v>
      </c>
      <c r="AC15">
        <v>23.606299999999901</v>
      </c>
      <c r="AD15">
        <v>-1.1197219410420001</v>
      </c>
      <c r="AE15">
        <v>0.47870000000000301</v>
      </c>
      <c r="AF15">
        <v>-0.311923608268729</v>
      </c>
      <c r="AG15">
        <v>-1.1197219410420001</v>
      </c>
      <c r="AH15">
        <v>23.556106139692101</v>
      </c>
      <c r="AI15">
        <v>92.721225464896193</v>
      </c>
      <c r="AJ15">
        <v>90.758650929590701</v>
      </c>
      <c r="AK15">
        <v>23.5847664823523</v>
      </c>
      <c r="AL15">
        <v>91.155118732354396</v>
      </c>
      <c r="AM15">
        <v>89.3113785627163</v>
      </c>
      <c r="AN15">
        <v>1.0000000276921299</v>
      </c>
    </row>
    <row r="16" spans="1:40" x14ac:dyDescent="0.25">
      <c r="A16" t="str">
        <f>"20190303154414210"</f>
        <v>20190303154414210</v>
      </c>
      <c r="B16" t="str">
        <f>"1551599054200259"</f>
        <v>1551599054200259</v>
      </c>
      <c r="C16" t="s">
        <v>40</v>
      </c>
      <c r="D16">
        <v>4.9389799999999999</v>
      </c>
      <c r="E16">
        <v>0.48988409999999899</v>
      </c>
      <c r="F16" t="s">
        <v>41</v>
      </c>
      <c r="G16">
        <v>-452.1497</v>
      </c>
      <c r="H16" s="1">
        <v>-3.7124560000000001E-6</v>
      </c>
      <c r="I16">
        <v>367.57330000000002</v>
      </c>
      <c r="J16">
        <v>-475.18029999999999</v>
      </c>
      <c r="K16">
        <v>1.1196790000000001</v>
      </c>
      <c r="L16">
        <v>367.07380000000001</v>
      </c>
      <c r="M16">
        <v>0.99996859999999999</v>
      </c>
      <c r="N16">
        <v>1.8035289999999999E-3</v>
      </c>
      <c r="O16">
        <v>7.7381319999999896E-3</v>
      </c>
      <c r="P16">
        <v>0.9998051</v>
      </c>
      <c r="Q16">
        <v>-1.9355669999999998E-2</v>
      </c>
      <c r="R16">
        <v>-3.9516689999999997E-3</v>
      </c>
      <c r="S16">
        <v>2.9981689999999999</v>
      </c>
      <c r="T16">
        <v>-0.1454396</v>
      </c>
      <c r="U16">
        <v>6.5032960000000001E-2</v>
      </c>
      <c r="V16">
        <v>1.169691E-2</v>
      </c>
      <c r="W16">
        <v>-2.115388E-2</v>
      </c>
      <c r="X16">
        <v>0.99970780000000004</v>
      </c>
      <c r="Y16">
        <v>-1.394282E-2</v>
      </c>
      <c r="Z16" s="1">
        <v>-6.3684160000000007E-5</v>
      </c>
      <c r="AA16">
        <v>0.99990279999999998</v>
      </c>
      <c r="AB16">
        <v>5</v>
      </c>
      <c r="AC16">
        <v>23.0306</v>
      </c>
      <c r="AD16">
        <v>-1.119682712456</v>
      </c>
      <c r="AE16">
        <v>0.49950000000001099</v>
      </c>
      <c r="AF16">
        <v>-0.32051374235496199</v>
      </c>
      <c r="AG16">
        <v>-1.119682712456</v>
      </c>
      <c r="AH16">
        <v>22.979486210163</v>
      </c>
      <c r="AI16">
        <v>92.789277839648804</v>
      </c>
      <c r="AJ16">
        <v>90.799099415187399</v>
      </c>
      <c r="AK16">
        <v>23.008980962195601</v>
      </c>
      <c r="AL16">
        <v>91.212118463155406</v>
      </c>
      <c r="AM16">
        <v>89.329651127398904</v>
      </c>
      <c r="AN16">
        <v>0.99999999486172098</v>
      </c>
    </row>
    <row r="17" spans="1:40" x14ac:dyDescent="0.25">
      <c r="A17" t="str">
        <f>"20190303154414232"</f>
        <v>20190303154414232</v>
      </c>
      <c r="B17" t="str">
        <f>"1551599054230515"</f>
        <v>1551599054230515</v>
      </c>
      <c r="C17" t="s">
        <v>40</v>
      </c>
      <c r="D17">
        <v>4.9919200000000004</v>
      </c>
      <c r="E17">
        <v>0.4898055</v>
      </c>
      <c r="F17" t="s">
        <v>41</v>
      </c>
      <c r="G17">
        <v>-452.52539999999999</v>
      </c>
      <c r="H17" s="1">
        <v>-3.5494529999999998E-6</v>
      </c>
      <c r="I17">
        <v>367.58359999999999</v>
      </c>
      <c r="J17">
        <v>-475.12329999999997</v>
      </c>
      <c r="K17">
        <v>1.1196360000000001</v>
      </c>
      <c r="L17">
        <v>367.07510000000002</v>
      </c>
      <c r="M17">
        <v>0.99996169999999995</v>
      </c>
      <c r="N17">
        <v>2.145728E-3</v>
      </c>
      <c r="O17">
        <v>8.4860649999999992E-3</v>
      </c>
      <c r="P17">
        <v>0.99981200000000003</v>
      </c>
      <c r="Q17">
        <v>-1.9244230000000001E-2</v>
      </c>
      <c r="R17">
        <v>-2.4346210000000001E-3</v>
      </c>
      <c r="S17">
        <v>2.9980159999999998</v>
      </c>
      <c r="T17">
        <v>-0.14817179999999999</v>
      </c>
      <c r="U17">
        <v>6.7474370000000006E-2</v>
      </c>
      <c r="V17">
        <v>1.092742E-2</v>
      </c>
      <c r="W17">
        <v>-2.1384960000000001E-2</v>
      </c>
      <c r="X17">
        <v>0.99971160000000003</v>
      </c>
      <c r="Y17">
        <v>-1.401081E-2</v>
      </c>
      <c r="Z17">
        <v>-1.0634919999999999E-4</v>
      </c>
      <c r="AA17">
        <v>0.99990179999999995</v>
      </c>
      <c r="AB17">
        <v>5</v>
      </c>
      <c r="AC17">
        <v>22.5978999999999</v>
      </c>
      <c r="AD17">
        <v>-1.119639549453</v>
      </c>
      <c r="AE17">
        <v>0.50849999999996898</v>
      </c>
      <c r="AF17">
        <v>-0.315938820714318</v>
      </c>
      <c r="AG17">
        <v>-1.119639549453</v>
      </c>
      <c r="AH17">
        <v>22.546082834065899</v>
      </c>
      <c r="AI17">
        <v>92.842697008357504</v>
      </c>
      <c r="AJ17">
        <v>90.802834639658201</v>
      </c>
      <c r="AK17">
        <v>22.576077188468599</v>
      </c>
      <c r="AL17">
        <v>91.225361356468895</v>
      </c>
      <c r="AM17">
        <v>89.3737492752755</v>
      </c>
      <c r="AN17">
        <v>1.0000000040982999</v>
      </c>
    </row>
    <row r="18" spans="1:40" x14ac:dyDescent="0.25">
      <c r="A18" t="str">
        <f>"20190303154414255"</f>
        <v>20190303154414255</v>
      </c>
      <c r="B18" t="str">
        <f>"1551599054250035"</f>
        <v>1551599054250035</v>
      </c>
      <c r="C18" t="s">
        <v>40</v>
      </c>
      <c r="D18">
        <v>4.9951809999999996</v>
      </c>
      <c r="E18">
        <v>0.4897821</v>
      </c>
      <c r="F18" t="s">
        <v>41</v>
      </c>
      <c r="G18">
        <v>-453.02260000000001</v>
      </c>
      <c r="H18" s="1">
        <v>-3.3314130000000001E-6</v>
      </c>
      <c r="I18">
        <v>367.6105</v>
      </c>
      <c r="J18">
        <v>-475.06270000000001</v>
      </c>
      <c r="K18">
        <v>1.119591</v>
      </c>
      <c r="L18">
        <v>367.07650000000001</v>
      </c>
      <c r="M18">
        <v>0.99995420000000002</v>
      </c>
      <c r="N18">
        <v>2.46415E-3</v>
      </c>
      <c r="O18">
        <v>9.2499539999999995E-3</v>
      </c>
      <c r="P18">
        <v>0.99981220000000004</v>
      </c>
      <c r="Q18">
        <v>-1.936419E-2</v>
      </c>
      <c r="R18">
        <v>-8.6040140000000003E-4</v>
      </c>
      <c r="S18">
        <v>2.9978639999999999</v>
      </c>
      <c r="T18">
        <v>-0.1518736</v>
      </c>
      <c r="U18">
        <v>7.2631840000000003E-2</v>
      </c>
      <c r="V18">
        <v>1.011718E-2</v>
      </c>
      <c r="W18">
        <v>-2.182369E-2</v>
      </c>
      <c r="X18">
        <v>0.9997106</v>
      </c>
      <c r="Y18">
        <v>-1.496724E-2</v>
      </c>
      <c r="Z18">
        <v>-1.306252E-4</v>
      </c>
      <c r="AA18">
        <v>0.999888</v>
      </c>
      <c r="AB18">
        <v>5</v>
      </c>
      <c r="AC18">
        <v>22.040099999999899</v>
      </c>
      <c r="AD18">
        <v>-1.1195943314129999</v>
      </c>
      <c r="AE18">
        <v>0.53399999999999104</v>
      </c>
      <c r="AF18">
        <v>-0.329257496227574</v>
      </c>
      <c r="AG18">
        <v>-1.1195943314129999</v>
      </c>
      <c r="AH18">
        <v>21.9873926451932</v>
      </c>
      <c r="AI18">
        <v>92.914647625630806</v>
      </c>
      <c r="AJ18">
        <v>90.857930508870098</v>
      </c>
      <c r="AK18">
        <v>22.018340929771501</v>
      </c>
      <c r="AL18">
        <v>91.250504660939399</v>
      </c>
      <c r="AM18">
        <v>89.420180273716696</v>
      </c>
      <c r="AN18">
        <v>0.99999995726436297</v>
      </c>
    </row>
    <row r="19" spans="1:40" x14ac:dyDescent="0.25">
      <c r="A19" t="str">
        <f>"20190303154414279"</f>
        <v>20190303154414279</v>
      </c>
      <c r="B19" t="str">
        <f>"1551599054269555"</f>
        <v>1551599054269555</v>
      </c>
      <c r="C19" t="s">
        <v>40</v>
      </c>
      <c r="D19">
        <v>4.929157</v>
      </c>
      <c r="E19">
        <v>0.48977769999999998</v>
      </c>
      <c r="F19" t="s">
        <v>41</v>
      </c>
      <c r="G19">
        <v>-453.37329999999997</v>
      </c>
      <c r="H19" s="1">
        <v>-3.1763200000000001E-6</v>
      </c>
      <c r="I19">
        <v>367.63659999999999</v>
      </c>
      <c r="J19">
        <v>-474.9975</v>
      </c>
      <c r="K19">
        <v>1.1195459999999999</v>
      </c>
      <c r="L19">
        <v>367.0779</v>
      </c>
      <c r="M19">
        <v>0.99994590000000005</v>
      </c>
      <c r="N19">
        <v>2.766924E-3</v>
      </c>
      <c r="O19">
        <v>1.003653E-2</v>
      </c>
      <c r="P19">
        <v>0.99981770000000003</v>
      </c>
      <c r="Q19">
        <v>-1.9097320000000001E-2</v>
      </c>
      <c r="R19">
        <v>2.6285430000000002E-4</v>
      </c>
      <c r="S19">
        <v>2.99762</v>
      </c>
      <c r="T19">
        <v>-0.15473439999999999</v>
      </c>
      <c r="U19">
        <v>7.7423099999999995E-2</v>
      </c>
      <c r="V19">
        <v>9.7802879999999998E-3</v>
      </c>
      <c r="W19">
        <v>-2.185979E-2</v>
      </c>
      <c r="X19">
        <v>0.99971319999999997</v>
      </c>
      <c r="Y19">
        <v>-1.5780010000000001E-2</v>
      </c>
      <c r="Z19">
        <v>-1.6028219999999999E-4</v>
      </c>
      <c r="AA19">
        <v>0.99987550000000003</v>
      </c>
      <c r="AB19">
        <v>6</v>
      </c>
      <c r="AC19">
        <v>21.624199999999998</v>
      </c>
      <c r="AD19">
        <v>-1.1195491763199901</v>
      </c>
      <c r="AE19">
        <v>0.55869999999998698</v>
      </c>
      <c r="AF19">
        <v>-0.34072642966525901</v>
      </c>
      <c r="AG19">
        <v>-1.1195491763199901</v>
      </c>
      <c r="AH19">
        <v>21.570937217786</v>
      </c>
      <c r="AI19">
        <v>92.970661855680405</v>
      </c>
      <c r="AJ19">
        <v>90.904947375613702</v>
      </c>
      <c r="AK19">
        <v>21.602657644644999</v>
      </c>
      <c r="AL19">
        <v>91.252573487005606</v>
      </c>
      <c r="AM19">
        <v>89.439487896724998</v>
      </c>
      <c r="AN19">
        <v>0.99999999335322298</v>
      </c>
    </row>
    <row r="20" spans="1:40" x14ac:dyDescent="0.25">
      <c r="A20" t="str">
        <f>"20190303154414298"</f>
        <v>20190303154414298</v>
      </c>
      <c r="B20" t="str">
        <f>"1551599054290052"</f>
        <v>1551599054290052</v>
      </c>
      <c r="C20" t="s">
        <v>40</v>
      </c>
      <c r="D20">
        <v>4.9210479999999999</v>
      </c>
      <c r="E20">
        <v>0.48974980000000001</v>
      </c>
      <c r="F20" t="s">
        <v>41</v>
      </c>
      <c r="G20">
        <v>-453.46469999999999</v>
      </c>
      <c r="H20" s="1">
        <v>-3.1334529999999999E-6</v>
      </c>
      <c r="I20">
        <v>367.65730000000002</v>
      </c>
      <c r="J20">
        <v>-474.9402</v>
      </c>
      <c r="K20">
        <v>1.119513</v>
      </c>
      <c r="L20">
        <v>367.07920000000001</v>
      </c>
      <c r="M20">
        <v>0.99993829999999995</v>
      </c>
      <c r="N20">
        <v>3.0007710000000002E-3</v>
      </c>
      <c r="O20">
        <v>1.06911E-2</v>
      </c>
      <c r="P20">
        <v>0.99981120000000001</v>
      </c>
      <c r="Q20">
        <v>-1.9394020000000001E-2</v>
      </c>
      <c r="R20">
        <v>1.324665E-3</v>
      </c>
      <c r="S20">
        <v>2.9975890000000001</v>
      </c>
      <c r="T20">
        <v>-0.15585199999999999</v>
      </c>
      <c r="U20">
        <v>8.0657960000000001E-2</v>
      </c>
      <c r="V20">
        <v>9.3726409999999993E-3</v>
      </c>
      <c r="W20">
        <v>-2.239054E-2</v>
      </c>
      <c r="X20">
        <v>0.99970539999999997</v>
      </c>
      <c r="Y20">
        <v>-1.6204590000000001E-2</v>
      </c>
      <c r="Z20">
        <v>-1.90843E-4</v>
      </c>
      <c r="AA20">
        <v>0.99986870000000005</v>
      </c>
      <c r="AB20">
        <v>6</v>
      </c>
      <c r="AC20">
        <v>21.4755</v>
      </c>
      <c r="AD20">
        <v>-1.1195161334529999</v>
      </c>
      <c r="AE20">
        <v>0.57810000000000605</v>
      </c>
      <c r="AF20">
        <v>-0.34752547152345398</v>
      </c>
      <c r="AG20">
        <v>-1.1195161334529999</v>
      </c>
      <c r="AH20">
        <v>21.4222796799828</v>
      </c>
      <c r="AI20">
        <v>92.9911305972213</v>
      </c>
      <c r="AJ20">
        <v>90.929406049126399</v>
      </c>
      <c r="AK20">
        <v>21.454327232841099</v>
      </c>
      <c r="AL20">
        <v>91.282990615305906</v>
      </c>
      <c r="AM20">
        <v>89.462844715180694</v>
      </c>
      <c r="AN20">
        <v>1.00000003473498</v>
      </c>
    </row>
    <row r="21" spans="1:40" x14ac:dyDescent="0.25">
      <c r="A21" t="str">
        <f>"20190303154414322"</f>
        <v>20190303154414322</v>
      </c>
      <c r="B21" t="str">
        <f>"1551599054310547"</f>
        <v>1551599054310547</v>
      </c>
      <c r="C21" t="s">
        <v>40</v>
      </c>
      <c r="D21">
        <v>4.9467089999999896</v>
      </c>
      <c r="E21">
        <v>0.48973169999999999</v>
      </c>
      <c r="F21" t="s">
        <v>41</v>
      </c>
      <c r="G21">
        <v>-453.76600000000002</v>
      </c>
      <c r="H21" s="1">
        <v>-3.0012609999999999E-6</v>
      </c>
      <c r="I21">
        <v>367.6737</v>
      </c>
      <c r="J21">
        <v>-474.87090000000001</v>
      </c>
      <c r="K21">
        <v>1.119464</v>
      </c>
      <c r="L21">
        <v>367.08080000000001</v>
      </c>
      <c r="M21">
        <v>0.99992939999999997</v>
      </c>
      <c r="N21">
        <v>3.2463180000000002E-3</v>
      </c>
      <c r="O21">
        <v>1.1435880000000001E-2</v>
      </c>
      <c r="P21">
        <v>0.99980290000000005</v>
      </c>
      <c r="Q21">
        <v>-1.974861E-2</v>
      </c>
      <c r="R21">
        <v>2.0991949999999999E-3</v>
      </c>
      <c r="S21">
        <v>2.9973749999999999</v>
      </c>
      <c r="T21">
        <v>-0.15847549999999999</v>
      </c>
      <c r="U21">
        <v>8.4167480000000003E-2</v>
      </c>
      <c r="V21">
        <v>9.3427300000000005E-3</v>
      </c>
      <c r="W21">
        <v>-2.2990770000000001E-2</v>
      </c>
      <c r="X21">
        <v>0.99969200000000003</v>
      </c>
      <c r="Y21">
        <v>-1.6632259999999999E-2</v>
      </c>
      <c r="Z21">
        <v>-2.2887579999999999E-4</v>
      </c>
      <c r="AA21">
        <v>0.99986169999999996</v>
      </c>
      <c r="AB21">
        <v>6</v>
      </c>
      <c r="AC21">
        <v>21.104900000000001</v>
      </c>
      <c r="AD21">
        <v>-1.119467001261</v>
      </c>
      <c r="AE21">
        <v>0.59289999999998599</v>
      </c>
      <c r="AF21">
        <v>-0.35052143310191902</v>
      </c>
      <c r="AG21">
        <v>-1.119467001261</v>
      </c>
      <c r="AH21">
        <v>21.051118414422898</v>
      </c>
      <c r="AI21">
        <v>93.043615475432901</v>
      </c>
      <c r="AJ21">
        <v>90.9539418565424</v>
      </c>
      <c r="AK21">
        <v>21.083777131719799</v>
      </c>
      <c r="AL21">
        <v>91.317390191183506</v>
      </c>
      <c r="AM21">
        <v>89.464551667375702</v>
      </c>
      <c r="AN21">
        <v>0.999999978486522</v>
      </c>
    </row>
    <row r="22" spans="1:40" x14ac:dyDescent="0.25">
      <c r="A22" t="str">
        <f>"20190303154414344"</f>
        <v>20190303154414344</v>
      </c>
      <c r="B22" t="str">
        <f>"1551599054339827"</f>
        <v>1551599054339827</v>
      </c>
      <c r="C22" t="s">
        <v>40</v>
      </c>
      <c r="D22">
        <v>4.9284160000000004</v>
      </c>
      <c r="E22">
        <v>0.4897514</v>
      </c>
      <c r="F22" t="s">
        <v>41</v>
      </c>
      <c r="G22">
        <v>-454.0052</v>
      </c>
      <c r="H22" s="1">
        <v>-2.896993E-6</v>
      </c>
      <c r="I22">
        <v>367.68310000000002</v>
      </c>
      <c r="J22">
        <v>-474.80009999999999</v>
      </c>
      <c r="K22">
        <v>1.119424</v>
      </c>
      <c r="L22">
        <v>367.08240000000001</v>
      </c>
      <c r="M22">
        <v>0.99992060000000005</v>
      </c>
      <c r="N22">
        <v>3.4355029999999999E-3</v>
      </c>
      <c r="O22">
        <v>1.212455E-2</v>
      </c>
      <c r="P22">
        <v>0.99979220000000002</v>
      </c>
      <c r="Q22">
        <v>-2.0125799999999999E-2</v>
      </c>
      <c r="R22">
        <v>3.295447E-3</v>
      </c>
      <c r="S22">
        <v>2.9971920000000001</v>
      </c>
      <c r="T22">
        <v>-0.1608019</v>
      </c>
      <c r="U22">
        <v>8.6517330000000003E-2</v>
      </c>
      <c r="V22">
        <v>8.8344640000000002E-3</v>
      </c>
      <c r="W22">
        <v>-2.3557499999999999E-2</v>
      </c>
      <c r="X22">
        <v>0.9996834</v>
      </c>
      <c r="Y22">
        <v>-1.6729649999999999E-2</v>
      </c>
      <c r="Z22">
        <v>-2.7186400000000002E-4</v>
      </c>
      <c r="AA22">
        <v>0.99985999999999997</v>
      </c>
      <c r="AB22">
        <v>7</v>
      </c>
      <c r="AC22">
        <v>20.794899999999899</v>
      </c>
      <c r="AD22">
        <v>-1.1194268969929999</v>
      </c>
      <c r="AE22">
        <v>0.600700000000017</v>
      </c>
      <c r="AF22">
        <v>-0.34751933035732602</v>
      </c>
      <c r="AG22">
        <v>-1.1194268969929999</v>
      </c>
      <c r="AH22">
        <v>20.7406014084671</v>
      </c>
      <c r="AI22">
        <v>93.088979394734096</v>
      </c>
      <c r="AJ22">
        <v>90.959930114632201</v>
      </c>
      <c r="AK22">
        <v>20.7736957002742</v>
      </c>
      <c r="AL22">
        <v>91.349870263510795</v>
      </c>
      <c r="AM22">
        <v>89.493675372560006</v>
      </c>
      <c r="AN22">
        <v>0.99999995189798696</v>
      </c>
    </row>
    <row r="23" spans="1:40" x14ac:dyDescent="0.25">
      <c r="A23" t="str">
        <f>"20190303154414368"</f>
        <v>20190303154414368</v>
      </c>
      <c r="B23" t="str">
        <f>"1551599054360324"</f>
        <v>1551599054360324</v>
      </c>
      <c r="C23" t="s">
        <v>40</v>
      </c>
      <c r="D23">
        <v>4.9123950000000001</v>
      </c>
      <c r="E23">
        <v>0.48978630000000001</v>
      </c>
      <c r="F23" t="s">
        <v>41</v>
      </c>
      <c r="G23">
        <v>-454.30489999999998</v>
      </c>
      <c r="H23" s="1">
        <v>-2.7659749999999998E-6</v>
      </c>
      <c r="I23">
        <v>367.69670000000002</v>
      </c>
      <c r="J23">
        <v>-474.72160000000002</v>
      </c>
      <c r="K23">
        <v>1.1194059999999999</v>
      </c>
      <c r="L23">
        <v>367.08429999999998</v>
      </c>
      <c r="M23">
        <v>0.99991200000000002</v>
      </c>
      <c r="N23">
        <v>3.532018E-3</v>
      </c>
      <c r="O23">
        <v>1.2792599999999999E-2</v>
      </c>
      <c r="P23">
        <v>0.9997914</v>
      </c>
      <c r="Q23">
        <v>-2.0026780000000001E-2</v>
      </c>
      <c r="R23">
        <v>4.0602759999999998E-3</v>
      </c>
      <c r="S23">
        <v>2.9970400000000001</v>
      </c>
      <c r="T23">
        <v>-0.1636947</v>
      </c>
      <c r="U23">
        <v>8.984375E-2</v>
      </c>
      <c r="V23">
        <v>8.7367069999999998E-3</v>
      </c>
      <c r="W23">
        <v>-2.3555320000000001E-2</v>
      </c>
      <c r="X23">
        <v>0.99968429999999997</v>
      </c>
      <c r="Y23">
        <v>-1.717233E-2</v>
      </c>
      <c r="Z23">
        <v>-3.0497549999999998E-4</v>
      </c>
      <c r="AA23">
        <v>0.99985250000000003</v>
      </c>
      <c r="AB23">
        <v>7</v>
      </c>
      <c r="AC23">
        <v>20.416699999999999</v>
      </c>
      <c r="AD23">
        <v>-1.1194087659749901</v>
      </c>
      <c r="AE23">
        <v>0.61240000000003603</v>
      </c>
      <c r="AF23">
        <v>-0.35011406056155803</v>
      </c>
      <c r="AG23">
        <v>-1.1194087659749901</v>
      </c>
      <c r="AH23">
        <v>20.361708825922801</v>
      </c>
      <c r="AI23">
        <v>93.146270715107804</v>
      </c>
      <c r="AJ23">
        <v>90.985088312754201</v>
      </c>
      <c r="AK23">
        <v>20.395461312566798</v>
      </c>
      <c r="AL23">
        <v>91.349745338197295</v>
      </c>
      <c r="AM23">
        <v>89.499278227997095</v>
      </c>
      <c r="AN23">
        <v>0.99999994140799597</v>
      </c>
    </row>
    <row r="24" spans="1:40" x14ac:dyDescent="0.25">
      <c r="A24" t="str">
        <f>"20190303154414389"</f>
        <v>20190303154414389</v>
      </c>
      <c r="B24" t="str">
        <f>"1551599054379844"</f>
        <v>1551599054379844</v>
      </c>
      <c r="C24" t="s">
        <v>40</v>
      </c>
      <c r="D24">
        <v>4.9762820000000003</v>
      </c>
      <c r="E24">
        <v>0.48985339999999999</v>
      </c>
      <c r="F24" t="s">
        <v>41</v>
      </c>
      <c r="G24">
        <v>-454.28390000000002</v>
      </c>
      <c r="H24" s="1">
        <v>-2.7720119999999998E-6</v>
      </c>
      <c r="I24">
        <v>367.71350000000001</v>
      </c>
      <c r="J24">
        <v>-474.65050000000002</v>
      </c>
      <c r="K24">
        <v>1.1195660000000001</v>
      </c>
      <c r="L24">
        <v>367.08589999999998</v>
      </c>
      <c r="M24">
        <v>0.99990730000000005</v>
      </c>
      <c r="N24">
        <v>2.8821739999999999E-3</v>
      </c>
      <c r="O24">
        <v>1.3317549999999999E-2</v>
      </c>
      <c r="P24">
        <v>0.99977070000000001</v>
      </c>
      <c r="Q24">
        <v>-2.0896100000000001E-2</v>
      </c>
      <c r="R24">
        <v>4.7284179999999999E-3</v>
      </c>
      <c r="S24">
        <v>2.9970400000000001</v>
      </c>
      <c r="T24">
        <v>-0.164152399999999</v>
      </c>
      <c r="U24">
        <v>9.2285160000000005E-2</v>
      </c>
      <c r="V24">
        <v>8.5915539999999995E-3</v>
      </c>
      <c r="W24">
        <v>-2.3775640000000001E-2</v>
      </c>
      <c r="X24">
        <v>0.99968040000000002</v>
      </c>
      <c r="Y24">
        <v>-1.7460819999999998E-2</v>
      </c>
      <c r="Z24">
        <v>-3.144771E-4</v>
      </c>
      <c r="AA24">
        <v>0.9998475</v>
      </c>
      <c r="AB24">
        <v>7</v>
      </c>
      <c r="AC24">
        <v>20.366599999999998</v>
      </c>
      <c r="AD24">
        <v>-1.119568772012</v>
      </c>
      <c r="AE24">
        <v>0.62760000000002902</v>
      </c>
      <c r="AF24">
        <v>-0.35523760341090599</v>
      </c>
      <c r="AG24">
        <v>-1.119568772012</v>
      </c>
      <c r="AH24">
        <v>20.311832060218499</v>
      </c>
      <c r="AI24">
        <v>93.154414810804894</v>
      </c>
      <c r="AJ24">
        <v>91.001954945281298</v>
      </c>
      <c r="AK24">
        <v>20.345764906551501</v>
      </c>
      <c r="AL24">
        <v>91.362372203013805</v>
      </c>
      <c r="AM24">
        <v>89.5075949629192</v>
      </c>
      <c r="AN24">
        <v>0.99999999900085201</v>
      </c>
    </row>
    <row r="25" spans="1:40" x14ac:dyDescent="0.25">
      <c r="A25" t="str">
        <f>"20190303154414411"</f>
        <v>20190303154414411</v>
      </c>
      <c r="B25" t="str">
        <f>"1551599054400340"</f>
        <v>1551599054400340</v>
      </c>
      <c r="C25" t="s">
        <v>40</v>
      </c>
      <c r="D25">
        <v>4.8999199999999998</v>
      </c>
      <c r="E25">
        <v>0.48991000000000001</v>
      </c>
      <c r="F25" t="s">
        <v>41</v>
      </c>
      <c r="G25">
        <v>-454.6601</v>
      </c>
      <c r="H25" s="1">
        <v>-2.6112589999999998E-6</v>
      </c>
      <c r="I25">
        <v>367.71</v>
      </c>
      <c r="J25">
        <v>-474.57990000000001</v>
      </c>
      <c r="K25">
        <v>1.1200909999999999</v>
      </c>
      <c r="L25">
        <v>367.08760000000001</v>
      </c>
      <c r="M25">
        <v>0.99990480000000004</v>
      </c>
      <c r="N25">
        <v>6.4805799999999997E-4</v>
      </c>
      <c r="O25">
        <v>1.3789529999999999E-2</v>
      </c>
      <c r="P25">
        <v>0.99971449999999995</v>
      </c>
      <c r="Q25">
        <v>-2.3434190000000001E-2</v>
      </c>
      <c r="R25">
        <v>4.6996130000000001E-3</v>
      </c>
      <c r="S25">
        <v>2.9967350000000001</v>
      </c>
      <c r="T25">
        <v>-0.16783290000000001</v>
      </c>
      <c r="U25">
        <v>9.356689E-2</v>
      </c>
      <c r="V25">
        <v>9.0875360000000002E-3</v>
      </c>
      <c r="W25">
        <v>-2.408161E-2</v>
      </c>
      <c r="X25">
        <v>0.99966869999999997</v>
      </c>
      <c r="Y25">
        <v>-1.7417099999999901E-2</v>
      </c>
      <c r="Z25">
        <v>-2.9878720000000002E-4</v>
      </c>
      <c r="AA25">
        <v>0.99984819999999996</v>
      </c>
      <c r="AB25">
        <v>8</v>
      </c>
      <c r="AC25">
        <v>19.919799999999999</v>
      </c>
      <c r="AD25">
        <v>-1.1200936112590001</v>
      </c>
      <c r="AE25">
        <v>0.62239999999996998</v>
      </c>
      <c r="AF25">
        <v>-0.34656140952249698</v>
      </c>
      <c r="AG25">
        <v>-1.1200936112590001</v>
      </c>
      <c r="AH25">
        <v>19.863744075671502</v>
      </c>
      <c r="AI25">
        <v>93.226934992563997</v>
      </c>
      <c r="AJ25">
        <v>90.999534209488004</v>
      </c>
      <c r="AK25">
        <v>19.8983175975339</v>
      </c>
      <c r="AL25">
        <v>91.379908000678</v>
      </c>
      <c r="AM25">
        <v>89.4791643300495</v>
      </c>
      <c r="AN25">
        <v>1.0000000085052101</v>
      </c>
    </row>
    <row r="26" spans="1:40" x14ac:dyDescent="0.25">
      <c r="A26" t="str">
        <f>"20190303154414432"</f>
        <v>20190303154414432</v>
      </c>
      <c r="B26" t="str">
        <f>"1551599054429619"</f>
        <v>1551599054429619</v>
      </c>
      <c r="C26" t="s">
        <v>40</v>
      </c>
      <c r="D26">
        <v>4.9046979999999998</v>
      </c>
      <c r="E26">
        <v>0.51386209999999999</v>
      </c>
      <c r="F26" t="s">
        <v>41</v>
      </c>
      <c r="G26">
        <v>-455.54090000000002</v>
      </c>
      <c r="H26" s="1">
        <v>-2.2392620000000001E-6</v>
      </c>
      <c r="I26">
        <v>367.67700000000002</v>
      </c>
      <c r="J26">
        <v>-474.51530000000002</v>
      </c>
      <c r="K26">
        <v>1.1206020000000001</v>
      </c>
      <c r="L26">
        <v>367.089</v>
      </c>
      <c r="M26">
        <v>0.99989839999999997</v>
      </c>
      <c r="N26">
        <v>-1.8796419999999999E-3</v>
      </c>
      <c r="O26">
        <v>1.41377E-2</v>
      </c>
      <c r="P26">
        <v>0.9996604</v>
      </c>
      <c r="Q26">
        <v>-2.5640530000000002E-2</v>
      </c>
      <c r="R26">
        <v>4.6747830000000001E-3</v>
      </c>
      <c r="S26">
        <v>2.9962460000000002</v>
      </c>
      <c r="T26">
        <v>-0.17627290000000001</v>
      </c>
      <c r="U26">
        <v>9.2773439999999999E-2</v>
      </c>
      <c r="V26">
        <v>9.4560649999999996E-3</v>
      </c>
      <c r="W26">
        <v>-2.3762579999999998E-2</v>
      </c>
      <c r="X26">
        <v>0.99967289999999998</v>
      </c>
      <c r="Y26">
        <v>-1.6807269999999999E-2</v>
      </c>
      <c r="Z26">
        <v>-2.9454280000000002E-4</v>
      </c>
      <c r="AA26">
        <v>0.99985869999999999</v>
      </c>
      <c r="AB26">
        <v>7</v>
      </c>
      <c r="AC26">
        <v>18.974399999999999</v>
      </c>
      <c r="AD26">
        <v>-1.1206042392619999</v>
      </c>
      <c r="AE26">
        <v>0.587999999999965</v>
      </c>
      <c r="AF26">
        <v>-0.31857630674201298</v>
      </c>
      <c r="AG26">
        <v>-1.1206042392619999</v>
      </c>
      <c r="AH26">
        <v>18.914905958160201</v>
      </c>
      <c r="AI26">
        <v>93.390017343224301</v>
      </c>
      <c r="AJ26">
        <v>90.964919000524702</v>
      </c>
      <c r="AK26">
        <v>18.950749645602698</v>
      </c>
      <c r="AL26">
        <v>91.361623717947893</v>
      </c>
      <c r="AM26">
        <v>89.458046269855501</v>
      </c>
      <c r="AN26">
        <v>0.99999999218397495</v>
      </c>
    </row>
    <row r="27" spans="1:40" x14ac:dyDescent="0.25">
      <c r="A27" t="str">
        <f>"20190303154414456"</f>
        <v>20190303154414456</v>
      </c>
      <c r="B27" t="str">
        <f>"1551599054450115"</f>
        <v>1551599054450115</v>
      </c>
      <c r="C27" t="s">
        <v>40</v>
      </c>
      <c r="D27">
        <v>4.9202649999999997</v>
      </c>
      <c r="E27">
        <v>0.51752480000000001</v>
      </c>
      <c r="F27" t="s">
        <v>41</v>
      </c>
      <c r="G27">
        <v>-458.81689999999998</v>
      </c>
      <c r="H27" s="1">
        <v>-1.1986630000000001E-6</v>
      </c>
      <c r="I27">
        <v>366.57209999999998</v>
      </c>
      <c r="J27">
        <v>-474.44040000000001</v>
      </c>
      <c r="K27">
        <v>1.120727</v>
      </c>
      <c r="L27">
        <v>367.09059999999999</v>
      </c>
      <c r="M27">
        <v>0.9998899</v>
      </c>
      <c r="N27">
        <v>-3.239479E-3</v>
      </c>
      <c r="O27">
        <v>1.4487770000000001E-2</v>
      </c>
      <c r="P27">
        <v>0.9996256</v>
      </c>
      <c r="Q27">
        <v>-2.7074290000000001E-2</v>
      </c>
      <c r="R27">
        <v>3.9918009999999997E-3</v>
      </c>
      <c r="S27">
        <v>2.9960330000000002</v>
      </c>
      <c r="T27">
        <v>-0.21386530000000001</v>
      </c>
      <c r="U27">
        <v>-9.8632810000000001E-2</v>
      </c>
      <c r="V27">
        <v>1.048757E-2</v>
      </c>
      <c r="W27">
        <v>-2.3837489999999999E-2</v>
      </c>
      <c r="X27">
        <v>0.99966080000000002</v>
      </c>
      <c r="Y27">
        <v>4.72208E-2</v>
      </c>
      <c r="Z27">
        <v>-2.7451469999999999E-3</v>
      </c>
      <c r="AA27">
        <v>0.99888069999999896</v>
      </c>
      <c r="AB27">
        <v>7</v>
      </c>
      <c r="AC27">
        <v>15.6235</v>
      </c>
      <c r="AD27">
        <v>-1.120728198663</v>
      </c>
      <c r="AE27">
        <v>-0.51850000000001695</v>
      </c>
      <c r="AF27">
        <v>0.74098771961086296</v>
      </c>
      <c r="AG27">
        <v>-1.120728198663</v>
      </c>
      <c r="AH27">
        <v>15.534500460292101</v>
      </c>
      <c r="AI27">
        <v>94.121753920788507</v>
      </c>
      <c r="AJ27">
        <v>87.269090551855399</v>
      </c>
      <c r="AK27">
        <v>15.5924917523374</v>
      </c>
      <c r="AL27">
        <v>91.365916997996393</v>
      </c>
      <c r="AM27">
        <v>89.398924660977599</v>
      </c>
      <c r="AN27">
        <v>0.99999996505532196</v>
      </c>
    </row>
    <row r="28" spans="1:40" x14ac:dyDescent="0.25">
      <c r="A28" t="str">
        <f>"20190303154414481"</f>
        <v>20190303154414481</v>
      </c>
      <c r="B28" t="str">
        <f>"1551599054470611"</f>
        <v>1551599054470611</v>
      </c>
      <c r="C28" t="s">
        <v>40</v>
      </c>
      <c r="D28">
        <v>4.9619859999999996</v>
      </c>
      <c r="E28">
        <v>0.51842299999999997</v>
      </c>
      <c r="F28" t="s">
        <v>41</v>
      </c>
      <c r="G28">
        <v>-459.4796</v>
      </c>
      <c r="H28" s="1">
        <v>-1.007917E-6</v>
      </c>
      <c r="I28">
        <v>366.44139999999999</v>
      </c>
      <c r="J28">
        <v>-474.36059999999998</v>
      </c>
      <c r="K28">
        <v>1.1204000000000001</v>
      </c>
      <c r="L28">
        <v>367.09219999999999</v>
      </c>
      <c r="M28">
        <v>0.99988350000000004</v>
      </c>
      <c r="N28">
        <v>-2.859903E-3</v>
      </c>
      <c r="O28">
        <v>1.499822E-2</v>
      </c>
      <c r="P28">
        <v>0.99964180000000002</v>
      </c>
      <c r="Q28">
        <v>-2.659599E-2</v>
      </c>
      <c r="R28">
        <v>2.9832140000000001E-3</v>
      </c>
      <c r="S28">
        <v>2.9955440000000002</v>
      </c>
      <c r="T28">
        <v>-0.22439780000000001</v>
      </c>
      <c r="U28">
        <v>-0.12997439999999999</v>
      </c>
      <c r="V28">
        <v>1.200819E-2</v>
      </c>
      <c r="W28">
        <v>-2.373807E-2</v>
      </c>
      <c r="X28">
        <v>0.99964609999999998</v>
      </c>
      <c r="Y28">
        <v>5.8120150000000002E-2</v>
      </c>
      <c r="Z28">
        <v>-3.3347839999999999E-3</v>
      </c>
      <c r="AA28">
        <v>0.99830399999999997</v>
      </c>
      <c r="AB28">
        <v>7</v>
      </c>
      <c r="AC28">
        <v>14.880999999999901</v>
      </c>
      <c r="AD28">
        <v>-1.1204010079169999</v>
      </c>
      <c r="AE28">
        <v>-0.65080000000000304</v>
      </c>
      <c r="AF28">
        <v>0.868999521134871</v>
      </c>
      <c r="AG28">
        <v>-1.1204010079169999</v>
      </c>
      <c r="AH28">
        <v>14.785908560887499</v>
      </c>
      <c r="AI28">
        <v>94.325865668289694</v>
      </c>
      <c r="AJ28">
        <v>86.636473460640403</v>
      </c>
      <c r="AK28">
        <v>14.8537386053882</v>
      </c>
      <c r="AL28">
        <v>91.360218979371794</v>
      </c>
      <c r="AM28">
        <v>89.311770919679205</v>
      </c>
      <c r="AN28">
        <v>1.0000000089198</v>
      </c>
    </row>
    <row r="29" spans="1:40" x14ac:dyDescent="0.25">
      <c r="A29" t="str">
        <f>"20190303154414500"</f>
        <v>20190303154414500</v>
      </c>
      <c r="B29" t="str">
        <f>"1551599054490131"</f>
        <v>1551599054490131</v>
      </c>
      <c r="C29" t="s">
        <v>40</v>
      </c>
      <c r="D29">
        <v>4.8599389999999998</v>
      </c>
      <c r="E29">
        <v>0.51950260000000004</v>
      </c>
      <c r="F29" t="s">
        <v>41</v>
      </c>
      <c r="G29">
        <v>-460.20240000000001</v>
      </c>
      <c r="H29" s="1">
        <v>-4.7507829999999996E-6</v>
      </c>
      <c r="I29">
        <v>366.42910000000001</v>
      </c>
      <c r="J29">
        <v>-474.28919999999999</v>
      </c>
      <c r="K29">
        <v>1.1201570000000001</v>
      </c>
      <c r="L29">
        <v>367.09379999999999</v>
      </c>
      <c r="M29">
        <v>0.9998766</v>
      </c>
      <c r="N29">
        <v>-2.3247099999999998E-3</v>
      </c>
      <c r="O29">
        <v>1.5542139999999999E-2</v>
      </c>
      <c r="P29">
        <v>0.99965040000000005</v>
      </c>
      <c r="Q29">
        <v>-2.6336689999999999E-2</v>
      </c>
      <c r="R29">
        <v>2.3476270000000001E-3</v>
      </c>
      <c r="S29">
        <v>2.995117</v>
      </c>
      <c r="T29">
        <v>-0.2370169</v>
      </c>
      <c r="U29">
        <v>-0.14025879999999999</v>
      </c>
      <c r="V29">
        <v>1.319043E-2</v>
      </c>
      <c r="W29">
        <v>-2.401234E-2</v>
      </c>
      <c r="X29">
        <v>0.99962459999999997</v>
      </c>
      <c r="Y29">
        <v>6.2052400000000001E-2</v>
      </c>
      <c r="Z29">
        <v>-3.713704E-3</v>
      </c>
      <c r="AA29">
        <v>0.99806600000000001</v>
      </c>
      <c r="AB29">
        <v>7</v>
      </c>
      <c r="AC29">
        <v>14.086799999999901</v>
      </c>
      <c r="AD29">
        <v>-1.120161750783</v>
      </c>
      <c r="AE29">
        <v>-0.66469999999998197</v>
      </c>
      <c r="AF29">
        <v>0.87801974406037797</v>
      </c>
      <c r="AG29">
        <v>-1.120161750783</v>
      </c>
      <c r="AH29">
        <v>13.9865245216755</v>
      </c>
      <c r="AI29">
        <v>94.570009951381806</v>
      </c>
      <c r="AJ29">
        <v>86.407906934661</v>
      </c>
      <c r="AK29">
        <v>14.05875347299</v>
      </c>
      <c r="AL29">
        <v>91.375938040224497</v>
      </c>
      <c r="AM29">
        <v>89.244004089200004</v>
      </c>
      <c r="AN29">
        <v>0.99999996042050898</v>
      </c>
    </row>
    <row r="30" spans="1:40" x14ac:dyDescent="0.25">
      <c r="A30" t="str">
        <f>"20190303154414524"</f>
        <v>20190303154414524</v>
      </c>
      <c r="B30" t="str">
        <f>"1551599054520387"</f>
        <v>1551599054520387</v>
      </c>
      <c r="C30" t="s">
        <v>40</v>
      </c>
      <c r="D30">
        <v>4.8485889999999996</v>
      </c>
      <c r="E30">
        <v>0.52019269999999995</v>
      </c>
      <c r="F30" t="s">
        <v>41</v>
      </c>
      <c r="G30">
        <v>-459.8972</v>
      </c>
      <c r="H30" s="1">
        <v>-8.8469879999999996E-7</v>
      </c>
      <c r="I30">
        <v>366.37049999999999</v>
      </c>
      <c r="J30">
        <v>-474.20859999999999</v>
      </c>
      <c r="K30">
        <v>1.120023</v>
      </c>
      <c r="L30">
        <v>367.09550000000002</v>
      </c>
      <c r="M30">
        <v>0.9998667</v>
      </c>
      <c r="N30">
        <v>-1.937778E-3</v>
      </c>
      <c r="O30">
        <v>1.6211449999999999E-2</v>
      </c>
      <c r="P30">
        <v>0.99964819999999999</v>
      </c>
      <c r="Q30">
        <v>-2.6476940000000001E-2</v>
      </c>
      <c r="R30">
        <v>1.7688630000000001E-3</v>
      </c>
      <c r="S30">
        <v>2.9952390000000002</v>
      </c>
      <c r="T30">
        <v>-0.23312379999999999</v>
      </c>
      <c r="U30">
        <v>-0.1505127</v>
      </c>
      <c r="V30">
        <v>1.4441819999999999E-2</v>
      </c>
      <c r="W30">
        <v>-2.4537110000000001E-2</v>
      </c>
      <c r="X30">
        <v>0.9995946</v>
      </c>
      <c r="Y30">
        <v>6.6120769999999995E-2</v>
      </c>
      <c r="Z30">
        <v>-3.8596479999999998E-3</v>
      </c>
      <c r="AA30">
        <v>0.99780420000000003</v>
      </c>
      <c r="AB30">
        <v>8</v>
      </c>
      <c r="AC30">
        <v>14.3113999999999</v>
      </c>
      <c r="AD30">
        <v>-1.1200238846988</v>
      </c>
      <c r="AE30">
        <v>-0.72500000000002196</v>
      </c>
      <c r="AF30">
        <v>0.95110332230899497</v>
      </c>
      <c r="AG30">
        <v>-1.1200238846988</v>
      </c>
      <c r="AH30">
        <v>14.2109498387562</v>
      </c>
      <c r="AI30">
        <v>94.496384945907593</v>
      </c>
      <c r="AJ30">
        <v>86.171046993641397</v>
      </c>
      <c r="AK30">
        <v>14.286712230308501</v>
      </c>
      <c r="AL30">
        <v>91.406013954741098</v>
      </c>
      <c r="AM30">
        <v>89.172266668276194</v>
      </c>
      <c r="AN30">
        <v>1.00000000014061</v>
      </c>
    </row>
    <row r="31" spans="1:40" x14ac:dyDescent="0.25">
      <c r="A31" t="str">
        <f>"20190303154414544"</f>
        <v>20190303154414544</v>
      </c>
      <c r="B31" t="str">
        <f>"1551599054539907"</f>
        <v>1551599054539907</v>
      </c>
      <c r="C31" t="s">
        <v>40</v>
      </c>
      <c r="D31">
        <v>4.8192339999999998</v>
      </c>
      <c r="E31">
        <v>0.52078809999999998</v>
      </c>
      <c r="F31" t="s">
        <v>42</v>
      </c>
      <c r="G31">
        <v>-473.40609999999998</v>
      </c>
      <c r="H31">
        <v>1.057898</v>
      </c>
      <c r="I31">
        <v>367.05290000000002</v>
      </c>
      <c r="J31">
        <v>-474.13189999999997</v>
      </c>
      <c r="K31">
        <v>1.1199589999999999</v>
      </c>
      <c r="L31">
        <v>367.09739999999999</v>
      </c>
      <c r="M31">
        <v>0.99985639999999998</v>
      </c>
      <c r="N31">
        <v>-1.635758E-3</v>
      </c>
      <c r="O31">
        <v>1.687454E-2</v>
      </c>
      <c r="P31">
        <v>0.99964989999999998</v>
      </c>
      <c r="Q31">
        <v>-2.643978E-2</v>
      </c>
      <c r="R31">
        <v>1.1391839999999999E-3</v>
      </c>
      <c r="S31">
        <v>2.9951479999999999</v>
      </c>
      <c r="T31">
        <v>-0.2322805</v>
      </c>
      <c r="U31">
        <v>-0.15780640000000001</v>
      </c>
      <c r="V31">
        <v>1.5738129999999999E-2</v>
      </c>
      <c r="W31">
        <v>-2.4799359999999999E-2</v>
      </c>
      <c r="X31">
        <v>0.99956860000000003</v>
      </c>
      <c r="Y31">
        <v>6.9198010000000004E-2</v>
      </c>
      <c r="Z31">
        <v>-4.012435E-3</v>
      </c>
      <c r="AA31">
        <v>0.99759489999999995</v>
      </c>
      <c r="AB31">
        <v>8</v>
      </c>
      <c r="AC31">
        <v>0.72579999999999201</v>
      </c>
      <c r="AD31">
        <v>-6.2060999999999901E-2</v>
      </c>
      <c r="AE31">
        <v>-4.4499999999970799E-2</v>
      </c>
      <c r="AF31">
        <v>5.6330901625301098E-2</v>
      </c>
      <c r="AG31">
        <v>-6.2060999999999901E-2</v>
      </c>
      <c r="AH31">
        <v>0.71970336896754405</v>
      </c>
      <c r="AI31">
        <v>94.913547599672896</v>
      </c>
      <c r="AJ31">
        <v>85.524605782643206</v>
      </c>
      <c r="AK31">
        <v>0.72456723463192296</v>
      </c>
      <c r="AL31">
        <v>91.421044287960697</v>
      </c>
      <c r="AM31">
        <v>89.097956934713196</v>
      </c>
      <c r="AN31">
        <v>1.0000000415491299</v>
      </c>
    </row>
    <row r="32" spans="1:40" x14ac:dyDescent="0.25">
      <c r="A32" t="str">
        <f>"20190303154414568"</f>
        <v>20190303154414568</v>
      </c>
      <c r="B32" t="str">
        <f>"1551599054560404"</f>
        <v>1551599054560404</v>
      </c>
      <c r="C32" t="s">
        <v>40</v>
      </c>
      <c r="D32">
        <v>4.7946759999999999</v>
      </c>
      <c r="E32">
        <v>0.52059109999999997</v>
      </c>
      <c r="F32" t="s">
        <v>42</v>
      </c>
      <c r="G32">
        <v>-473.33</v>
      </c>
      <c r="H32">
        <v>1.058835</v>
      </c>
      <c r="I32">
        <v>367.05329999999998</v>
      </c>
      <c r="J32">
        <v>-474.04320000000001</v>
      </c>
      <c r="K32">
        <v>1.1198840000000001</v>
      </c>
      <c r="L32">
        <v>367.09960000000001</v>
      </c>
      <c r="M32">
        <v>0.9998435</v>
      </c>
      <c r="N32">
        <v>-1.1752679999999999E-3</v>
      </c>
      <c r="O32">
        <v>1.7651320000000002E-2</v>
      </c>
      <c r="P32">
        <v>0.99968109999999999</v>
      </c>
      <c r="Q32">
        <v>-2.5255070000000001E-2</v>
      </c>
      <c r="R32">
        <v>1.4988950000000001E-4</v>
      </c>
      <c r="S32">
        <v>2.9952390000000002</v>
      </c>
      <c r="T32">
        <v>-0.2285266</v>
      </c>
      <c r="U32">
        <v>-0.16394039999999999</v>
      </c>
      <c r="V32">
        <v>1.7507559999999998E-2</v>
      </c>
      <c r="W32">
        <v>-2.4071789999999999E-2</v>
      </c>
      <c r="X32">
        <v>0.99955689999999997</v>
      </c>
      <c r="Y32">
        <v>7.2006769999999998E-2</v>
      </c>
      <c r="Z32">
        <v>-4.1065069999999997E-3</v>
      </c>
      <c r="AA32">
        <v>0.9973957</v>
      </c>
      <c r="AB32">
        <v>8</v>
      </c>
      <c r="AC32">
        <v>0.71320000000002803</v>
      </c>
      <c r="AD32">
        <v>-6.1049000000000103E-2</v>
      </c>
      <c r="AE32">
        <v>-4.6300000000030601E-2</v>
      </c>
      <c r="AF32">
        <v>5.84552049650831E-2</v>
      </c>
      <c r="AG32">
        <v>-6.1049000000000103E-2</v>
      </c>
      <c r="AH32">
        <v>0.70711226281639605</v>
      </c>
      <c r="AI32">
        <v>94.9177403156677</v>
      </c>
      <c r="AJ32">
        <v>85.274246572565801</v>
      </c>
      <c r="AK32">
        <v>0.712145872426313</v>
      </c>
      <c r="AL32">
        <v>91.379345230877206</v>
      </c>
      <c r="AM32">
        <v>88.996548634370299</v>
      </c>
      <c r="AN32">
        <v>0.999999981034283</v>
      </c>
    </row>
    <row r="33" spans="1:40" x14ac:dyDescent="0.25">
      <c r="A33" t="str">
        <f>"20190303154414588"</f>
        <v>20190303154414588</v>
      </c>
      <c r="B33" t="str">
        <f>"1551599054579923"</f>
        <v>1551599054579923</v>
      </c>
      <c r="C33" t="s">
        <v>40</v>
      </c>
      <c r="D33">
        <v>4.8273529999999996</v>
      </c>
      <c r="E33">
        <v>0.52099669999999998</v>
      </c>
      <c r="F33" t="s">
        <v>42</v>
      </c>
      <c r="G33">
        <v>-473.2516</v>
      </c>
      <c r="H33">
        <v>1.0594889999999999</v>
      </c>
      <c r="I33">
        <v>367.05599999999998</v>
      </c>
      <c r="J33">
        <v>-473.959</v>
      </c>
      <c r="K33">
        <v>1.119807</v>
      </c>
      <c r="L33">
        <v>367.10180000000003</v>
      </c>
      <c r="M33">
        <v>0.99983100000000003</v>
      </c>
      <c r="N33">
        <v>-6.4386529999999997E-4</v>
      </c>
      <c r="O33">
        <v>1.8382849999999999E-2</v>
      </c>
      <c r="P33">
        <v>0.99972890000000003</v>
      </c>
      <c r="Q33">
        <v>-2.3291539999999999E-2</v>
      </c>
      <c r="R33">
        <v>-1.4180899999999901E-4</v>
      </c>
      <c r="S33">
        <v>2.995209</v>
      </c>
      <c r="T33">
        <v>-0.22844800000000001</v>
      </c>
      <c r="U33">
        <v>-0.1650085</v>
      </c>
      <c r="V33">
        <v>1.853287E-2</v>
      </c>
      <c r="W33">
        <v>-2.2637009999999999E-2</v>
      </c>
      <c r="X33">
        <v>0.99957200000000002</v>
      </c>
      <c r="Y33">
        <v>7.3087330000000006E-2</v>
      </c>
      <c r="Z33">
        <v>-4.1919690000000003E-3</v>
      </c>
      <c r="AA33">
        <v>0.99731669999999994</v>
      </c>
      <c r="AB33">
        <v>8</v>
      </c>
      <c r="AC33">
        <v>0.70740000000000602</v>
      </c>
      <c r="AD33">
        <v>-6.0318000000000101E-2</v>
      </c>
      <c r="AE33">
        <v>-4.5800000000042397E-2</v>
      </c>
      <c r="AF33">
        <v>5.8373655578124503E-2</v>
      </c>
      <c r="AG33">
        <v>-6.0318000000000101E-2</v>
      </c>
      <c r="AH33">
        <v>0.70136057962134202</v>
      </c>
      <c r="AI33">
        <v>94.898568879002497</v>
      </c>
      <c r="AJ33">
        <v>85.242285590809303</v>
      </c>
      <c r="AK33">
        <v>0.70636563296662302</v>
      </c>
      <c r="AL33">
        <v>91.297115876055898</v>
      </c>
      <c r="AM33">
        <v>88.937811800066697</v>
      </c>
      <c r="AN33">
        <v>1.0000000423380799</v>
      </c>
    </row>
    <row r="34" spans="1:40" x14ac:dyDescent="0.25">
      <c r="A34" t="str">
        <f>"20190303154414612"</f>
        <v>20190303154414612</v>
      </c>
      <c r="B34" t="str">
        <f>"1551599054600419"</f>
        <v>1551599054600419</v>
      </c>
      <c r="C34" t="s">
        <v>40</v>
      </c>
      <c r="D34">
        <v>4.9007120000000004</v>
      </c>
      <c r="E34">
        <v>0.52061309999999905</v>
      </c>
      <c r="F34" t="s">
        <v>41</v>
      </c>
      <c r="G34">
        <v>-458.56099999999998</v>
      </c>
      <c r="H34" s="1">
        <v>-1.376005E-6</v>
      </c>
      <c r="I34">
        <v>366.23289999999997</v>
      </c>
      <c r="J34">
        <v>-473.8664</v>
      </c>
      <c r="K34">
        <v>1.1197410000000001</v>
      </c>
      <c r="L34">
        <v>367.1044</v>
      </c>
      <c r="M34">
        <v>0.9998165</v>
      </c>
      <c r="N34">
        <v>-1.264503E-4</v>
      </c>
      <c r="O34">
        <v>1.915532E-2</v>
      </c>
      <c r="P34">
        <v>0.99977340000000003</v>
      </c>
      <c r="Q34">
        <v>-2.1285829999999999E-2</v>
      </c>
      <c r="R34">
        <v>-3.2167889999999997E-4</v>
      </c>
      <c r="S34">
        <v>2.9956969999999998</v>
      </c>
      <c r="T34">
        <v>-0.217858</v>
      </c>
      <c r="U34">
        <v>-0.16903689999999999</v>
      </c>
      <c r="V34">
        <v>1.948625E-2</v>
      </c>
      <c r="W34">
        <v>-2.1146700000000001E-2</v>
      </c>
      <c r="X34">
        <v>0.99958650000000004</v>
      </c>
      <c r="Y34">
        <v>7.5202870000000005E-2</v>
      </c>
      <c r="Z34">
        <v>-4.1213229999999997E-3</v>
      </c>
      <c r="AA34">
        <v>0.99715969999999998</v>
      </c>
      <c r="AB34">
        <v>9</v>
      </c>
      <c r="AC34">
        <v>15.305400000000001</v>
      </c>
      <c r="AD34">
        <v>-1.11974237600499</v>
      </c>
      <c r="AE34">
        <v>-0.87150000000002503</v>
      </c>
      <c r="AF34">
        <v>1.15834009907824</v>
      </c>
      <c r="AG34">
        <v>-1.11974237600499</v>
      </c>
      <c r="AH34">
        <v>15.204779169259099</v>
      </c>
      <c r="AI34">
        <v>94.199767204742699</v>
      </c>
      <c r="AJ34">
        <v>85.643471828312002</v>
      </c>
      <c r="AK34">
        <v>15.289894844625</v>
      </c>
      <c r="AL34">
        <v>91.211706940076795</v>
      </c>
      <c r="AM34">
        <v>88.883199718571106</v>
      </c>
      <c r="AN34">
        <v>1.0000000339210999</v>
      </c>
    </row>
    <row r="35" spans="1:40" x14ac:dyDescent="0.25">
      <c r="A35" t="str">
        <f>"20190303154414633"</f>
        <v>20190303154414633</v>
      </c>
      <c r="B35" t="str">
        <f>"1551599054630675"</f>
        <v>1551599054630675</v>
      </c>
      <c r="C35" t="s">
        <v>40</v>
      </c>
      <c r="D35">
        <v>4.8790069999999996</v>
      </c>
      <c r="E35">
        <v>0.52008650000000001</v>
      </c>
      <c r="F35" t="s">
        <v>41</v>
      </c>
      <c r="G35">
        <v>-458.43709999999999</v>
      </c>
      <c r="H35" s="1">
        <v>-1.415122E-6</v>
      </c>
      <c r="I35">
        <v>366.24439999999998</v>
      </c>
      <c r="J35">
        <v>-473.77530000000002</v>
      </c>
      <c r="K35">
        <v>1.119718</v>
      </c>
      <c r="L35">
        <v>367.1071</v>
      </c>
      <c r="M35">
        <v>0.99980309999999994</v>
      </c>
      <c r="N35">
        <v>1.615132E-4</v>
      </c>
      <c r="O35">
        <v>1.9848660000000001E-2</v>
      </c>
      <c r="P35">
        <v>0.99980630000000004</v>
      </c>
      <c r="Q35">
        <v>-1.9687820000000002E-2</v>
      </c>
      <c r="R35">
        <v>-1.1876559999999999E-4</v>
      </c>
      <c r="S35">
        <v>2.9960019999999998</v>
      </c>
      <c r="T35">
        <v>-0.21742649999999999</v>
      </c>
      <c r="U35">
        <v>-0.16699220000000001</v>
      </c>
      <c r="V35">
        <v>1.9976600000000001E-2</v>
      </c>
      <c r="W35">
        <v>-1.9836030000000001E-2</v>
      </c>
      <c r="X35">
        <v>0.99960360000000004</v>
      </c>
      <c r="Y35">
        <v>7.5209830000000005E-2</v>
      </c>
      <c r="Z35">
        <v>-4.1580810000000001E-3</v>
      </c>
      <c r="AA35">
        <v>0.99715909999999996</v>
      </c>
      <c r="AB35">
        <v>9</v>
      </c>
      <c r="AC35">
        <v>15.338200000000001</v>
      </c>
      <c r="AD35">
        <v>-1.119719415122</v>
      </c>
      <c r="AE35">
        <v>-0.86270000000001701</v>
      </c>
      <c r="AF35">
        <v>1.1608059630042</v>
      </c>
      <c r="AG35">
        <v>-1.119719415122</v>
      </c>
      <c r="AH35">
        <v>15.237107935585801</v>
      </c>
      <c r="AI35">
        <v>94.190802595275898</v>
      </c>
      <c r="AJ35">
        <v>85.643460711971699</v>
      </c>
      <c r="AK35">
        <v>15.322228959686001</v>
      </c>
      <c r="AL35">
        <v>91.136595407925398</v>
      </c>
      <c r="AM35">
        <v>88.855123639349003</v>
      </c>
      <c r="AN35">
        <v>0.99999994488333899</v>
      </c>
    </row>
    <row r="36" spans="1:40" x14ac:dyDescent="0.25">
      <c r="A36" t="str">
        <f>"20190303154414658"</f>
        <v>20190303154414658</v>
      </c>
      <c r="B36" t="str">
        <f>"1551599054650196"</f>
        <v>1551599054650196</v>
      </c>
      <c r="C36" t="s">
        <v>40</v>
      </c>
      <c r="D36">
        <v>4.8574210000000004</v>
      </c>
      <c r="E36">
        <v>0.51971480000000003</v>
      </c>
      <c r="F36" t="s">
        <v>41</v>
      </c>
      <c r="G36">
        <v>-458.40519999999998</v>
      </c>
      <c r="H36" s="1">
        <v>-1.4177739999999999E-6</v>
      </c>
      <c r="I36">
        <v>366.27530000000002</v>
      </c>
      <c r="J36">
        <v>-473.67630000000003</v>
      </c>
      <c r="K36">
        <v>1.1197520000000001</v>
      </c>
      <c r="L36">
        <v>367.11</v>
      </c>
      <c r="M36">
        <v>0.99978940000000005</v>
      </c>
      <c r="N36">
        <v>2.121336E-4</v>
      </c>
      <c r="O36">
        <v>2.0524509999999999E-2</v>
      </c>
      <c r="P36">
        <v>0.99981319999999996</v>
      </c>
      <c r="Q36">
        <v>-1.9328069999999999E-2</v>
      </c>
      <c r="R36">
        <v>-5.9298900000000004E-4</v>
      </c>
      <c r="S36">
        <v>2.996216</v>
      </c>
      <c r="T36">
        <v>-0.2182733</v>
      </c>
      <c r="U36">
        <v>-0.162139899999999</v>
      </c>
      <c r="V36">
        <v>2.1125459999999999E-2</v>
      </c>
      <c r="W36">
        <v>-1.952719E-2</v>
      </c>
      <c r="X36">
        <v>0.99958610000000003</v>
      </c>
      <c r="Y36">
        <v>7.4268700000000007E-2</v>
      </c>
      <c r="Z36">
        <v>-4.1883950000000001E-3</v>
      </c>
      <c r="AA36">
        <v>0.99722949999999999</v>
      </c>
      <c r="AB36">
        <v>9</v>
      </c>
      <c r="AC36">
        <v>15.271100000000001</v>
      </c>
      <c r="AD36">
        <v>-1.1197534177740001</v>
      </c>
      <c r="AE36">
        <v>-0.834699999999997</v>
      </c>
      <c r="AF36">
        <v>1.14183514580031</v>
      </c>
      <c r="AG36">
        <v>-1.1197534177740001</v>
      </c>
      <c r="AH36">
        <v>15.169434963499601</v>
      </c>
      <c r="AI36">
        <v>94.209846306108403</v>
      </c>
      <c r="AJ36">
        <v>85.695344308196695</v>
      </c>
      <c r="AK36">
        <v>15.2535042638945</v>
      </c>
      <c r="AL36">
        <v>91.118896706569302</v>
      </c>
      <c r="AM36">
        <v>88.789279346417203</v>
      </c>
      <c r="AN36">
        <v>0.99999998376135801</v>
      </c>
    </row>
    <row r="37" spans="1:40" x14ac:dyDescent="0.25">
      <c r="A37" t="str">
        <f>"20190303154414680"</f>
        <v>20190303154414680</v>
      </c>
      <c r="B37" t="str">
        <f>"1551599054670693"</f>
        <v>1551599054670693</v>
      </c>
      <c r="C37" t="s">
        <v>40</v>
      </c>
      <c r="D37">
        <v>4.8799539999999997</v>
      </c>
      <c r="E37">
        <v>0.51939799999999903</v>
      </c>
      <c r="F37" t="s">
        <v>41</v>
      </c>
      <c r="G37">
        <v>-458.44549999999998</v>
      </c>
      <c r="H37" s="1">
        <v>-1.3993150000000001E-6</v>
      </c>
      <c r="I37">
        <v>366.29309999999998</v>
      </c>
      <c r="J37">
        <v>-473.57560000000001</v>
      </c>
      <c r="K37">
        <v>1.1197889999999999</v>
      </c>
      <c r="L37">
        <v>367.113</v>
      </c>
      <c r="M37">
        <v>0.9997762</v>
      </c>
      <c r="N37" s="1">
        <v>9.4601559999999996E-5</v>
      </c>
      <c r="O37">
        <v>2.115765E-2</v>
      </c>
      <c r="P37">
        <v>0.99980100000000005</v>
      </c>
      <c r="Q37">
        <v>-1.9927899999999998E-2</v>
      </c>
      <c r="R37">
        <v>-9.0917030000000005E-4</v>
      </c>
      <c r="S37">
        <v>2.996216</v>
      </c>
      <c r="T37">
        <v>-0.22027769999999999</v>
      </c>
      <c r="U37">
        <v>-0.1607056</v>
      </c>
      <c r="V37">
        <v>2.2072729999999999E-2</v>
      </c>
      <c r="W37">
        <v>-2.00112E-2</v>
      </c>
      <c r="X37">
        <v>0.99955609999999995</v>
      </c>
      <c r="Y37">
        <v>7.4417319999999995E-2</v>
      </c>
      <c r="Z37">
        <v>-4.2807660000000001E-3</v>
      </c>
      <c r="AA37">
        <v>0.99721800000000005</v>
      </c>
      <c r="AB37">
        <v>9</v>
      </c>
      <c r="AC37">
        <v>15.130100000000001</v>
      </c>
      <c r="AD37">
        <v>-1.119790399315</v>
      </c>
      <c r="AE37">
        <v>-0.81990000000007501</v>
      </c>
      <c r="AF37">
        <v>1.13364236012618</v>
      </c>
      <c r="AG37">
        <v>-1.119790399315</v>
      </c>
      <c r="AH37">
        <v>15.0272935880792</v>
      </c>
      <c r="AI37">
        <v>94.249608462296194</v>
      </c>
      <c r="AJ37">
        <v>85.685841558676202</v>
      </c>
      <c r="AK37">
        <v>15.111539568204</v>
      </c>
      <c r="AL37">
        <v>91.146633810568503</v>
      </c>
      <c r="AM37">
        <v>88.734969689433399</v>
      </c>
      <c r="AN37">
        <v>1.0000000252911501</v>
      </c>
    </row>
    <row r="38" spans="1:40" x14ac:dyDescent="0.25">
      <c r="A38" t="str">
        <f>"20190303154414703"</f>
        <v>20190303154414703</v>
      </c>
      <c r="B38" t="str">
        <f>"1551599054699972"</f>
        <v>1551599054699972</v>
      </c>
      <c r="C38" t="s">
        <v>40</v>
      </c>
      <c r="D38">
        <v>4.7968109999999999</v>
      </c>
      <c r="E38">
        <v>0.49892140000000001</v>
      </c>
      <c r="F38" t="s">
        <v>41</v>
      </c>
      <c r="G38">
        <v>-458.65140000000002</v>
      </c>
      <c r="H38" s="1">
        <v>-1.3221589999999999E-6</v>
      </c>
      <c r="I38">
        <v>366.31970000000001</v>
      </c>
      <c r="J38">
        <v>-473.47129999999999</v>
      </c>
      <c r="K38">
        <v>1.1198030000000001</v>
      </c>
      <c r="L38">
        <v>367.11619999999999</v>
      </c>
      <c r="M38">
        <v>0.99976259999999995</v>
      </c>
      <c r="N38" s="1">
        <v>-7.3067890000000005E-5</v>
      </c>
      <c r="O38">
        <v>2.1794299999999999E-2</v>
      </c>
      <c r="P38">
        <v>0.99978270000000002</v>
      </c>
      <c r="Q38">
        <v>-2.085103E-2</v>
      </c>
      <c r="R38">
        <v>-3.1917449999999998E-4</v>
      </c>
      <c r="S38">
        <v>2.9959410000000002</v>
      </c>
      <c r="T38">
        <v>-0.22478880000000001</v>
      </c>
      <c r="U38">
        <v>-0.15924070000000001</v>
      </c>
      <c r="V38">
        <v>2.2116380000000001E-2</v>
      </c>
      <c r="W38">
        <v>-2.0769619999999999E-2</v>
      </c>
      <c r="X38">
        <v>0.99953959999999997</v>
      </c>
      <c r="Y38">
        <v>7.4557970000000001E-2</v>
      </c>
      <c r="Z38">
        <v>-4.4242839999999997E-3</v>
      </c>
      <c r="AA38">
        <v>0.99720690000000001</v>
      </c>
      <c r="AB38">
        <v>10</v>
      </c>
      <c r="AC38">
        <v>14.819899999999899</v>
      </c>
      <c r="AD38">
        <v>-1.1198043221589999</v>
      </c>
      <c r="AE38">
        <v>-0.79649999999998</v>
      </c>
      <c r="AF38">
        <v>1.1129640164636501</v>
      </c>
      <c r="AG38">
        <v>-1.1198043221589999</v>
      </c>
      <c r="AH38">
        <v>14.7152468857433</v>
      </c>
      <c r="AI38">
        <v>94.339374207517494</v>
      </c>
      <c r="AJ38">
        <v>85.674760761483</v>
      </c>
      <c r="AK38">
        <v>14.7997007243473</v>
      </c>
      <c r="AL38">
        <v>91.190097187614498</v>
      </c>
      <c r="AM38">
        <v>88.732447922840095</v>
      </c>
      <c r="AN38">
        <v>0.99999996167370298</v>
      </c>
    </row>
    <row r="39" spans="1:40" x14ac:dyDescent="0.25">
      <c r="A39" t="str">
        <f>"20190303154414723"</f>
        <v>20190303154414723</v>
      </c>
      <c r="B39" t="str">
        <f>"1551599054720467"</f>
        <v>1551599054720467</v>
      </c>
      <c r="C39" t="s">
        <v>40</v>
      </c>
      <c r="D39">
        <v>4.8071219999999997</v>
      </c>
      <c r="E39">
        <v>0.49776290000000001</v>
      </c>
      <c r="F39" t="s">
        <v>41</v>
      </c>
      <c r="G39">
        <v>-448.61739999999998</v>
      </c>
      <c r="H39" s="1">
        <v>-1.1651530000000001E-6</v>
      </c>
      <c r="I39">
        <v>367.17340000000002</v>
      </c>
      <c r="J39">
        <v>-473.38330000000002</v>
      </c>
      <c r="K39">
        <v>1.119801</v>
      </c>
      <c r="L39">
        <v>367.11880000000002</v>
      </c>
      <c r="M39">
        <v>0.9997509</v>
      </c>
      <c r="N39">
        <v>-2.041194E-4</v>
      </c>
      <c r="O39">
        <v>2.2327119999999999E-2</v>
      </c>
      <c r="P39">
        <v>0.99973970000000001</v>
      </c>
      <c r="Q39">
        <v>-2.2805530000000001E-2</v>
      </c>
      <c r="R39">
        <v>7.8274559999999896E-4</v>
      </c>
      <c r="S39">
        <v>2.997833</v>
      </c>
      <c r="T39">
        <v>-0.13506889999999999</v>
      </c>
      <c r="U39">
        <v>6.8969729999999998E-3</v>
      </c>
      <c r="V39">
        <v>2.154505E-2</v>
      </c>
      <c r="W39">
        <v>-2.2595629999999998E-2</v>
      </c>
      <c r="X39">
        <v>0.99951250000000003</v>
      </c>
      <c r="Y39">
        <v>1.9984180000000001E-2</v>
      </c>
      <c r="Z39">
        <v>-1.4528340000000001E-3</v>
      </c>
      <c r="AA39">
        <v>0.99979929999999995</v>
      </c>
      <c r="AB39">
        <v>10</v>
      </c>
      <c r="AC39">
        <v>24.765899999999998</v>
      </c>
      <c r="AD39">
        <v>-1.1198021651529999</v>
      </c>
      <c r="AE39">
        <v>5.4599999999993501E-2</v>
      </c>
      <c r="AF39">
        <v>0.49734793868722998</v>
      </c>
      <c r="AG39">
        <v>-1.1198021651529999</v>
      </c>
      <c r="AH39">
        <v>24.710426649294</v>
      </c>
      <c r="AI39">
        <v>92.594172398775498</v>
      </c>
      <c r="AJ39">
        <v>88.846960787334993</v>
      </c>
      <c r="AK39">
        <v>24.7407861041507</v>
      </c>
      <c r="AL39">
        <v>91.294744431946597</v>
      </c>
      <c r="AM39">
        <v>88.765148713312399</v>
      </c>
      <c r="AN39">
        <v>0.999999994665424</v>
      </c>
    </row>
    <row r="40" spans="1:40" x14ac:dyDescent="0.25">
      <c r="A40" t="str">
        <f>"20190303154414744"</f>
        <v>20190303154414744</v>
      </c>
      <c r="B40" t="str">
        <f>"1551599054739988"</f>
        <v>1551599054739988</v>
      </c>
      <c r="C40" t="s">
        <v>40</v>
      </c>
      <c r="D40">
        <v>4.8093070000000004</v>
      </c>
      <c r="E40">
        <v>0.49747180000000002</v>
      </c>
      <c r="F40" t="s">
        <v>41</v>
      </c>
      <c r="G40">
        <v>-447.6046</v>
      </c>
      <c r="H40" s="1">
        <v>-1.526672E-6</v>
      </c>
      <c r="I40">
        <v>367.28309999999999</v>
      </c>
      <c r="J40">
        <v>-473.28460000000001</v>
      </c>
      <c r="K40">
        <v>1.1197999999999999</v>
      </c>
      <c r="L40">
        <v>367.1216</v>
      </c>
      <c r="M40">
        <v>0.9997374</v>
      </c>
      <c r="N40">
        <v>-3.3423199999999898E-4</v>
      </c>
      <c r="O40">
        <v>2.29175E-2</v>
      </c>
      <c r="P40">
        <v>0.99970619999999999</v>
      </c>
      <c r="Q40">
        <v>-2.4141659999999999E-2</v>
      </c>
      <c r="R40">
        <v>2.2220650000000001E-3</v>
      </c>
      <c r="S40">
        <v>2.997833</v>
      </c>
      <c r="T40">
        <v>-0.13022319999999901</v>
      </c>
      <c r="U40">
        <v>1.9103999999999999E-2</v>
      </c>
      <c r="V40">
        <v>2.0693719999999999E-2</v>
      </c>
      <c r="W40">
        <v>-2.3803669999999999E-2</v>
      </c>
      <c r="X40">
        <v>0.99950249999999996</v>
      </c>
      <c r="Y40">
        <v>1.6509280000000001E-2</v>
      </c>
      <c r="Z40">
        <v>-1.3484580000000001E-3</v>
      </c>
      <c r="AA40">
        <v>0.99986280000000005</v>
      </c>
      <c r="AB40">
        <v>10</v>
      </c>
      <c r="AC40">
        <v>25.68</v>
      </c>
      <c r="AD40">
        <v>-1.1198015266719901</v>
      </c>
      <c r="AE40">
        <v>0.16149999999998901</v>
      </c>
      <c r="AF40">
        <v>0.42625331198321698</v>
      </c>
      <c r="AG40">
        <v>-1.1198015266719901</v>
      </c>
      <c r="AH40">
        <v>25.628226902981499</v>
      </c>
      <c r="AI40">
        <v>92.501548860607599</v>
      </c>
      <c r="AJ40">
        <v>89.0471340740595</v>
      </c>
      <c r="AK40">
        <v>25.6562207180991</v>
      </c>
      <c r="AL40">
        <v>91.363978594069707</v>
      </c>
      <c r="AM40">
        <v>88.813916475468801</v>
      </c>
      <c r="AN40">
        <v>1.0000000461295699</v>
      </c>
    </row>
    <row r="41" spans="1:40" x14ac:dyDescent="0.25">
      <c r="A41" t="str">
        <f>"20190303154414769"</f>
        <v>20190303154414769</v>
      </c>
      <c r="B41" t="str">
        <f>"1551599054760483"</f>
        <v>1551599054760483</v>
      </c>
      <c r="C41" t="s">
        <v>40</v>
      </c>
      <c r="D41">
        <v>4.7817020000000001</v>
      </c>
      <c r="E41">
        <v>0.49741839999999998</v>
      </c>
      <c r="F41" t="s">
        <v>41</v>
      </c>
      <c r="G41">
        <v>-448.6268</v>
      </c>
      <c r="H41" s="1">
        <v>-1.1182769999999999E-6</v>
      </c>
      <c r="I41">
        <v>367.33600000000001</v>
      </c>
      <c r="J41">
        <v>-473.17349999999999</v>
      </c>
      <c r="K41">
        <v>1.119802</v>
      </c>
      <c r="L41">
        <v>367.12490000000003</v>
      </c>
      <c r="M41">
        <v>0.99972240000000001</v>
      </c>
      <c r="N41">
        <v>-4.605864E-4</v>
      </c>
      <c r="O41">
        <v>2.3560919999999999E-2</v>
      </c>
      <c r="P41">
        <v>0.99968570000000001</v>
      </c>
      <c r="Q41">
        <v>-2.4824579999999999E-2</v>
      </c>
      <c r="R41">
        <v>3.5257470000000001E-3</v>
      </c>
      <c r="S41">
        <v>2.997528</v>
      </c>
      <c r="T41">
        <v>-0.13612869999999999</v>
      </c>
      <c r="U41">
        <v>2.606201E-2</v>
      </c>
      <c r="V41">
        <v>2.0032299999999999E-2</v>
      </c>
      <c r="W41">
        <v>-2.436139E-2</v>
      </c>
      <c r="X41">
        <v>0.99950249999999996</v>
      </c>
      <c r="Y41">
        <v>1.482904E-2</v>
      </c>
      <c r="Z41">
        <v>-1.3984240000000001E-3</v>
      </c>
      <c r="AA41">
        <v>0.99988909999999998</v>
      </c>
      <c r="AB41">
        <v>10</v>
      </c>
      <c r="AC41">
        <v>24.546699999999898</v>
      </c>
      <c r="AD41">
        <v>-1.1198031182770001</v>
      </c>
      <c r="AE41">
        <v>0.21109999999998699</v>
      </c>
      <c r="AF41">
        <v>0.36653868286561803</v>
      </c>
      <c r="AG41">
        <v>-1.1198031182770001</v>
      </c>
      <c r="AH41">
        <v>24.4938886688238</v>
      </c>
      <c r="AI41">
        <v>92.617313296790499</v>
      </c>
      <c r="AJ41">
        <v>89.142661566948505</v>
      </c>
      <c r="AK41">
        <v>24.5222122115945</v>
      </c>
      <c r="AL41">
        <v>91.395942917565804</v>
      </c>
      <c r="AM41">
        <v>88.851816180660194</v>
      </c>
      <c r="AN41">
        <v>1.0000000089361301</v>
      </c>
    </row>
    <row r="42" spans="1:40" x14ac:dyDescent="0.25">
      <c r="A42" t="str">
        <f>"20190303154414790"</f>
        <v>20190303154414790</v>
      </c>
      <c r="B42" t="str">
        <f>"1551599054779821"</f>
        <v>1551599054779821</v>
      </c>
      <c r="C42" t="s">
        <v>40</v>
      </c>
      <c r="D42">
        <v>4.7952870000000001</v>
      </c>
      <c r="E42">
        <v>0.49771470000000001</v>
      </c>
      <c r="F42" t="s">
        <v>41</v>
      </c>
      <c r="G42">
        <v>-448.32240000000002</v>
      </c>
      <c r="H42" s="1">
        <v>-1.2240019999999999E-6</v>
      </c>
      <c r="I42">
        <v>367.37790000000001</v>
      </c>
      <c r="J42">
        <v>-473.07119999999998</v>
      </c>
      <c r="K42">
        <v>1.1198079999999999</v>
      </c>
      <c r="L42">
        <v>367.12790000000001</v>
      </c>
      <c r="M42">
        <v>0.99970899999999996</v>
      </c>
      <c r="N42">
        <v>-5.514192E-4</v>
      </c>
      <c r="O42">
        <v>2.412338E-2</v>
      </c>
      <c r="P42">
        <v>0.9996777</v>
      </c>
      <c r="Q42">
        <v>-2.514622E-2</v>
      </c>
      <c r="R42">
        <v>3.5353070000000001E-3</v>
      </c>
      <c r="S42">
        <v>2.9974669999999999</v>
      </c>
      <c r="T42">
        <v>-0.13506770000000001</v>
      </c>
      <c r="U42">
        <v>3.0517579999999999E-2</v>
      </c>
      <c r="V42">
        <v>2.0584689999999999E-2</v>
      </c>
      <c r="W42">
        <v>-2.459238E-2</v>
      </c>
      <c r="X42">
        <v>0.99948559999999997</v>
      </c>
      <c r="Y42">
        <v>1.390635E-2</v>
      </c>
      <c r="Z42">
        <v>-1.3900099999999999E-3</v>
      </c>
      <c r="AA42">
        <v>0.99990230000000002</v>
      </c>
      <c r="AB42">
        <v>10</v>
      </c>
      <c r="AC42">
        <v>24.7487999999999</v>
      </c>
      <c r="AD42">
        <v>-1.1198092240019999</v>
      </c>
      <c r="AE42">
        <v>0.25</v>
      </c>
      <c r="AF42">
        <v>0.34638836732379902</v>
      </c>
      <c r="AG42">
        <v>-1.1198092240019999</v>
      </c>
      <c r="AH42">
        <v>24.6970717117633</v>
      </c>
      <c r="AI42">
        <v>92.595859620809804</v>
      </c>
      <c r="AJ42">
        <v>89.196451687204203</v>
      </c>
      <c r="AK42">
        <v>24.7248722693395</v>
      </c>
      <c r="AL42">
        <v>91.409181663194303</v>
      </c>
      <c r="AM42">
        <v>88.820143935959393</v>
      </c>
      <c r="AN42">
        <v>0.99999998961190995</v>
      </c>
    </row>
    <row r="43" spans="1:40" x14ac:dyDescent="0.25">
      <c r="A43" t="str">
        <f>"20190303154414813"</f>
        <v>20190303154414813</v>
      </c>
      <c r="B43" t="str">
        <f>"1551599054810077"</f>
        <v>1551599054810077</v>
      </c>
      <c r="C43" t="s">
        <v>40</v>
      </c>
      <c r="D43">
        <v>4.7618019999999897</v>
      </c>
      <c r="E43">
        <v>0.49805569999999999</v>
      </c>
      <c r="F43" t="s">
        <v>41</v>
      </c>
      <c r="G43">
        <v>-448.11900000000003</v>
      </c>
      <c r="H43" s="1">
        <v>-1.3059230000000001E-6</v>
      </c>
      <c r="I43">
        <v>367.36360000000002</v>
      </c>
      <c r="J43">
        <v>-472.95830000000001</v>
      </c>
      <c r="K43">
        <v>1.1198159999999999</v>
      </c>
      <c r="L43">
        <v>367.13119999999998</v>
      </c>
      <c r="M43">
        <v>0.99969459999999999</v>
      </c>
      <c r="N43">
        <v>-6.1892130000000003E-4</v>
      </c>
      <c r="O43">
        <v>2.4706189999999999E-2</v>
      </c>
      <c r="P43">
        <v>0.99966630000000001</v>
      </c>
      <c r="Q43">
        <v>-2.556141E-2</v>
      </c>
      <c r="R43">
        <v>3.7607399999999998E-3</v>
      </c>
      <c r="S43">
        <v>2.997528</v>
      </c>
      <c r="T43">
        <v>-0.134524</v>
      </c>
      <c r="U43">
        <v>2.8320310000000001E-2</v>
      </c>
      <c r="V43">
        <v>2.094203E-2</v>
      </c>
      <c r="W43">
        <v>-2.4939780000000002E-2</v>
      </c>
      <c r="X43">
        <v>0.99946959999999996</v>
      </c>
      <c r="Y43">
        <v>1.52208E-2</v>
      </c>
      <c r="Z43">
        <v>-1.4388630000000001E-3</v>
      </c>
      <c r="AA43">
        <v>0.99988310000000002</v>
      </c>
      <c r="AB43">
        <v>11</v>
      </c>
      <c r="AC43">
        <v>24.839299999999898</v>
      </c>
      <c r="AD43">
        <v>-1.1198173059230001</v>
      </c>
      <c r="AE43">
        <v>0.23240000000004099</v>
      </c>
      <c r="AF43">
        <v>0.38058206073238199</v>
      </c>
      <c r="AG43">
        <v>-1.1198173059230001</v>
      </c>
      <c r="AH43">
        <v>24.787086044172799</v>
      </c>
      <c r="AI43">
        <v>92.586413821698798</v>
      </c>
      <c r="AJ43">
        <v>89.120347083259006</v>
      </c>
      <c r="AK43">
        <v>24.815286983325802</v>
      </c>
      <c r="AL43">
        <v>91.429092279155796</v>
      </c>
      <c r="AM43">
        <v>88.799648951708207</v>
      </c>
      <c r="AN43">
        <v>1.00000002128556</v>
      </c>
    </row>
    <row r="44" spans="1:40" x14ac:dyDescent="0.25">
      <c r="A44" t="str">
        <f>"20190303154414834"</f>
        <v>20190303154414834</v>
      </c>
      <c r="B44" t="str">
        <f>"1551599054830573"</f>
        <v>1551599054830573</v>
      </c>
      <c r="C44" t="s">
        <v>40</v>
      </c>
      <c r="D44">
        <v>4.7843689999999999</v>
      </c>
      <c r="E44">
        <v>0.49817860000000003</v>
      </c>
      <c r="F44" t="s">
        <v>41</v>
      </c>
      <c r="G44">
        <v>-447.96890000000002</v>
      </c>
      <c r="H44" s="1">
        <v>-1.3669260000000001E-6</v>
      </c>
      <c r="I44">
        <v>367.351</v>
      </c>
      <c r="J44">
        <v>-472.85500000000002</v>
      </c>
      <c r="K44">
        <v>1.1198170000000001</v>
      </c>
      <c r="L44">
        <v>367.13420000000002</v>
      </c>
      <c r="M44">
        <v>0.99968219999999997</v>
      </c>
      <c r="N44">
        <v>-6.5555289999999998E-4</v>
      </c>
      <c r="O44">
        <v>2.5206619999999999E-2</v>
      </c>
      <c r="P44">
        <v>0.99965190000000004</v>
      </c>
      <c r="Q44">
        <v>-2.6129739999999999E-2</v>
      </c>
      <c r="R44">
        <v>3.7210839999999999E-3</v>
      </c>
      <c r="S44">
        <v>2.997528</v>
      </c>
      <c r="T44">
        <v>-0.13432430000000001</v>
      </c>
      <c r="U44">
        <v>2.6367189999999999E-2</v>
      </c>
      <c r="V44">
        <v>2.1482069999999999E-2</v>
      </c>
      <c r="W44">
        <v>-2.5470949999999999E-2</v>
      </c>
      <c r="X44">
        <v>0.99944469999999996</v>
      </c>
      <c r="Y44">
        <v>1.637125E-2</v>
      </c>
      <c r="Z44">
        <v>-1.484314E-3</v>
      </c>
      <c r="AA44">
        <v>0.99986489999999995</v>
      </c>
      <c r="AB44">
        <v>11</v>
      </c>
      <c r="AC44">
        <v>24.886099999999999</v>
      </c>
      <c r="AD44">
        <v>-1.119818366926</v>
      </c>
      <c r="AE44">
        <v>0.21679999999997701</v>
      </c>
      <c r="AF44">
        <v>0.409733825882858</v>
      </c>
      <c r="AG44">
        <v>-1.119818366926</v>
      </c>
      <c r="AH44">
        <v>24.833378816614001</v>
      </c>
      <c r="AI44">
        <v>92.581554355308</v>
      </c>
      <c r="AJ44">
        <v>89.054744455221396</v>
      </c>
      <c r="AK44">
        <v>24.861990636962901</v>
      </c>
      <c r="AL44">
        <v>91.459535812606603</v>
      </c>
      <c r="AM44">
        <v>88.768673790779104</v>
      </c>
      <c r="AN44">
        <v>0.99999997849173805</v>
      </c>
    </row>
    <row r="45" spans="1:40" x14ac:dyDescent="0.25">
      <c r="A45" t="str">
        <f>"20190303154414859"</f>
        <v>20190303154414859</v>
      </c>
      <c r="B45" t="str">
        <f>"1551599054850093"</f>
        <v>1551599054850093</v>
      </c>
      <c r="C45" t="s">
        <v>40</v>
      </c>
      <c r="D45">
        <v>4.7953250000000001</v>
      </c>
      <c r="E45">
        <v>0.49821500000000002</v>
      </c>
      <c r="F45" t="s">
        <v>41</v>
      </c>
      <c r="G45">
        <v>-448.05200000000002</v>
      </c>
      <c r="H45" s="1">
        <v>-1.3367949999999999E-6</v>
      </c>
      <c r="I45">
        <v>367.34429999999998</v>
      </c>
      <c r="J45">
        <v>-472.7296</v>
      </c>
      <c r="K45">
        <v>1.119821</v>
      </c>
      <c r="L45">
        <v>367.1379</v>
      </c>
      <c r="M45">
        <v>0.99966759999999999</v>
      </c>
      <c r="N45">
        <v>-6.8125839999999896E-4</v>
      </c>
      <c r="O45">
        <v>2.5777640000000001E-2</v>
      </c>
      <c r="P45">
        <v>0.99962899999999999</v>
      </c>
      <c r="Q45">
        <v>-2.698509E-2</v>
      </c>
      <c r="R45">
        <v>3.7564859999999999E-3</v>
      </c>
      <c r="S45">
        <v>2.9974370000000001</v>
      </c>
      <c r="T45">
        <v>-0.13533000000000001</v>
      </c>
      <c r="U45">
        <v>2.5390630000000001E-2</v>
      </c>
      <c r="V45">
        <v>2.2018030000000001E-2</v>
      </c>
      <c r="W45">
        <v>-2.629985E-2</v>
      </c>
      <c r="X45">
        <v>0.99941159999999996</v>
      </c>
      <c r="Y45">
        <v>1.7265740000000002E-2</v>
      </c>
      <c r="Z45">
        <v>-1.540968E-3</v>
      </c>
      <c r="AA45">
        <v>0.99984969999999995</v>
      </c>
      <c r="AB45">
        <v>11</v>
      </c>
      <c r="AC45">
        <v>24.677600000000002</v>
      </c>
      <c r="AD45">
        <v>-1.119822336795</v>
      </c>
      <c r="AE45">
        <v>0.20639999999997299</v>
      </c>
      <c r="AF45">
        <v>0.42891579062961699</v>
      </c>
      <c r="AG45">
        <v>-1.119822336795</v>
      </c>
      <c r="AH45">
        <v>24.624018654425701</v>
      </c>
      <c r="AI45">
        <v>92.603442062233498</v>
      </c>
      <c r="AJ45">
        <v>89.002088978741796</v>
      </c>
      <c r="AK45">
        <v>24.653199904169401</v>
      </c>
      <c r="AL45">
        <v>91.507044156910595</v>
      </c>
      <c r="AM45">
        <v>88.737921243589099</v>
      </c>
      <c r="AN45">
        <v>1.0000000109848299</v>
      </c>
    </row>
    <row r="46" spans="1:40" x14ac:dyDescent="0.25">
      <c r="A46" t="str">
        <f>"20190303154414882"</f>
        <v>20190303154414882</v>
      </c>
      <c r="B46" t="str">
        <f>"1551599054869613"</f>
        <v>1551599054869613</v>
      </c>
      <c r="C46" t="s">
        <v>40</v>
      </c>
      <c r="D46">
        <v>4.8048909999999996</v>
      </c>
      <c r="E46">
        <v>0.49827399999999999</v>
      </c>
      <c r="F46" t="s">
        <v>41</v>
      </c>
      <c r="G46">
        <v>-448.2353</v>
      </c>
      <c r="H46" s="1">
        <v>-1.266511E-6</v>
      </c>
      <c r="I46">
        <v>367.34390000000002</v>
      </c>
      <c r="J46">
        <v>-472.61239999999998</v>
      </c>
      <c r="K46">
        <v>1.1198250000000001</v>
      </c>
      <c r="L46">
        <v>367.14150000000001</v>
      </c>
      <c r="M46">
        <v>0.99965440000000005</v>
      </c>
      <c r="N46">
        <v>-7.0038849999999998E-4</v>
      </c>
      <c r="O46">
        <v>2.6283379999999999E-2</v>
      </c>
      <c r="P46">
        <v>0.99961880000000003</v>
      </c>
      <c r="Q46">
        <v>-2.7286040000000001E-2</v>
      </c>
      <c r="R46">
        <v>4.2341159999999996E-3</v>
      </c>
      <c r="S46">
        <v>2.9973139999999998</v>
      </c>
      <c r="T46">
        <v>-0.13703019999999999</v>
      </c>
      <c r="U46">
        <v>2.5207520000000001E-2</v>
      </c>
      <c r="V46">
        <v>2.204685E-2</v>
      </c>
      <c r="W46">
        <v>-2.6581049999999998E-2</v>
      </c>
      <c r="X46">
        <v>0.9994035</v>
      </c>
      <c r="Y46">
        <v>1.783011E-2</v>
      </c>
      <c r="Z46">
        <v>-1.596032E-3</v>
      </c>
      <c r="AA46">
        <v>0.99983979999999995</v>
      </c>
      <c r="AB46">
        <v>11</v>
      </c>
      <c r="AC46">
        <v>24.377099999999899</v>
      </c>
      <c r="AD46">
        <v>-1.1198262665109999</v>
      </c>
      <c r="AE46">
        <v>0.20240000000001099</v>
      </c>
      <c r="AF46">
        <v>0.43745949770121201</v>
      </c>
      <c r="AG46">
        <v>-1.1198262665109999</v>
      </c>
      <c r="AH46">
        <v>24.3226744765132</v>
      </c>
      <c r="AI46">
        <v>92.635634854751203</v>
      </c>
      <c r="AJ46">
        <v>88.969608345928805</v>
      </c>
      <c r="AK46">
        <v>24.3523689888627</v>
      </c>
      <c r="AL46">
        <v>91.523161403069395</v>
      </c>
      <c r="AM46">
        <v>88.736259570642304</v>
      </c>
      <c r="AN46">
        <v>0.99999998581313698</v>
      </c>
    </row>
    <row r="47" spans="1:40" x14ac:dyDescent="0.25">
      <c r="A47" t="str">
        <f>"20190303154414904"</f>
        <v>20190303154414904</v>
      </c>
      <c r="B47" t="str">
        <f>"1551599054899869"</f>
        <v>1551599054899869</v>
      </c>
      <c r="C47" t="s">
        <v>40</v>
      </c>
      <c r="D47">
        <v>4.8234199999999996</v>
      </c>
      <c r="E47">
        <v>0.49790079999999998</v>
      </c>
      <c r="F47" t="s">
        <v>41</v>
      </c>
      <c r="G47">
        <v>-448.07069999999999</v>
      </c>
      <c r="H47" s="1">
        <v>-1.3269149999999999E-6</v>
      </c>
      <c r="I47">
        <v>367.3544</v>
      </c>
      <c r="J47">
        <v>-472.49549999999999</v>
      </c>
      <c r="K47">
        <v>1.1198349999999999</v>
      </c>
      <c r="L47">
        <v>367.14519999999999</v>
      </c>
      <c r="M47">
        <v>0.99964149999999996</v>
      </c>
      <c r="N47">
        <v>-7.2663699999999905E-4</v>
      </c>
      <c r="O47">
        <v>2.6768449999999999E-2</v>
      </c>
      <c r="P47">
        <v>0.9996254</v>
      </c>
      <c r="Q47">
        <v>-2.6944909999999999E-2</v>
      </c>
      <c r="R47">
        <v>4.8381750000000001E-3</v>
      </c>
      <c r="S47">
        <v>2.9972530000000002</v>
      </c>
      <c r="T47">
        <v>-0.13676350000000001</v>
      </c>
      <c r="U47">
        <v>2.600098E-2</v>
      </c>
      <c r="V47">
        <v>2.192858E-2</v>
      </c>
      <c r="W47">
        <v>-2.6213070000000002E-2</v>
      </c>
      <c r="X47">
        <v>0.99941579999999997</v>
      </c>
      <c r="Y47">
        <v>1.8049900000000001E-2</v>
      </c>
      <c r="Z47">
        <v>-1.619332E-3</v>
      </c>
      <c r="AA47">
        <v>0.99983580000000005</v>
      </c>
      <c r="AB47">
        <v>12</v>
      </c>
      <c r="AC47">
        <v>24.424800000000001</v>
      </c>
      <c r="AD47">
        <v>-1.119836326915</v>
      </c>
      <c r="AE47">
        <v>0.20920000000000899</v>
      </c>
      <c r="AF47">
        <v>0.44375636895493697</v>
      </c>
      <c r="AG47">
        <v>-1.119836326915</v>
      </c>
      <c r="AH47">
        <v>24.370423030374099</v>
      </c>
      <c r="AI47">
        <v>92.630491155214699</v>
      </c>
      <c r="AJ47">
        <v>88.956827397588896</v>
      </c>
      <c r="AK47">
        <v>24.400173601707401</v>
      </c>
      <c r="AL47">
        <v>91.502070384311807</v>
      </c>
      <c r="AM47">
        <v>88.743052171334895</v>
      </c>
      <c r="AN47">
        <v>0.99999996447464001</v>
      </c>
    </row>
    <row r="48" spans="1:40" x14ac:dyDescent="0.25">
      <c r="A48" t="str">
        <f>"20190303154414925"</f>
        <v>20190303154414925</v>
      </c>
      <c r="B48" t="str">
        <f>"1551599054920365"</f>
        <v>1551599054920365</v>
      </c>
      <c r="C48" t="s">
        <v>40</v>
      </c>
      <c r="D48">
        <v>4.743633</v>
      </c>
      <c r="E48">
        <v>0.49760880000000002</v>
      </c>
      <c r="F48" t="s">
        <v>41</v>
      </c>
      <c r="G48">
        <v>-447.65269999999998</v>
      </c>
      <c r="H48" s="1">
        <v>-1.483006E-6</v>
      </c>
      <c r="I48">
        <v>367.40120000000002</v>
      </c>
      <c r="J48">
        <v>-472.3843</v>
      </c>
      <c r="K48">
        <v>1.1198539999999999</v>
      </c>
      <c r="L48">
        <v>367.14870000000002</v>
      </c>
      <c r="M48">
        <v>0.99962910000000005</v>
      </c>
      <c r="N48">
        <v>-7.5962209999999998E-4</v>
      </c>
      <c r="O48">
        <v>2.7222099999999999E-2</v>
      </c>
      <c r="P48">
        <v>0.99963809999999997</v>
      </c>
      <c r="Q48">
        <v>-2.6418830000000001E-2</v>
      </c>
      <c r="R48">
        <v>5.0681009999999898E-3</v>
      </c>
      <c r="S48">
        <v>2.9973450000000001</v>
      </c>
      <c r="T48">
        <v>-0.1351106</v>
      </c>
      <c r="U48">
        <v>3.0883790000000001E-2</v>
      </c>
      <c r="V48">
        <v>2.2153260000000001E-2</v>
      </c>
      <c r="W48">
        <v>-2.5653370000000002E-2</v>
      </c>
      <c r="X48">
        <v>0.99942540000000002</v>
      </c>
      <c r="Y48">
        <v>1.6877179999999999E-2</v>
      </c>
      <c r="Z48">
        <v>-1.5921970000000001E-3</v>
      </c>
      <c r="AA48">
        <v>0.99985630000000003</v>
      </c>
      <c r="AB48">
        <v>12</v>
      </c>
      <c r="AC48">
        <v>24.7316</v>
      </c>
      <c r="AD48">
        <v>-1.1198554830059999</v>
      </c>
      <c r="AE48">
        <v>0.252499999999997</v>
      </c>
      <c r="AF48">
        <v>0.419978873862424</v>
      </c>
      <c r="AG48">
        <v>-1.1198554830059999</v>
      </c>
      <c r="AH48">
        <v>24.6787145502439</v>
      </c>
      <c r="AI48">
        <v>92.597774596931202</v>
      </c>
      <c r="AJ48">
        <v>89.025042638745404</v>
      </c>
      <c r="AK48">
        <v>24.707679178946201</v>
      </c>
      <c r="AL48">
        <v>91.469991099279198</v>
      </c>
      <c r="AM48">
        <v>88.7301898857921</v>
      </c>
      <c r="AN48">
        <v>0.99999999624307201</v>
      </c>
    </row>
    <row r="49" spans="1:40" x14ac:dyDescent="0.25">
      <c r="A49" t="str">
        <f>"20190303154414947"</f>
        <v>20190303154414947</v>
      </c>
      <c r="B49" t="str">
        <f>"1551599054939885"</f>
        <v>1551599054939885</v>
      </c>
      <c r="C49" t="s">
        <v>40</v>
      </c>
      <c r="D49">
        <v>4.8044719999999996</v>
      </c>
      <c r="E49">
        <v>0.4972529</v>
      </c>
      <c r="F49" t="s">
        <v>41</v>
      </c>
      <c r="G49">
        <v>-446.94060000000002</v>
      </c>
      <c r="H49" s="1">
        <v>-1.8133300000000001E-6</v>
      </c>
      <c r="I49">
        <v>367.43650000000002</v>
      </c>
      <c r="J49">
        <v>-472.26319999999998</v>
      </c>
      <c r="K49">
        <v>1.1198760000000001</v>
      </c>
      <c r="L49">
        <v>367.15249999999997</v>
      </c>
      <c r="M49">
        <v>0.9996157</v>
      </c>
      <c r="N49">
        <v>-8.1648289999999998E-4</v>
      </c>
      <c r="O49">
        <v>2.771121E-2</v>
      </c>
      <c r="P49">
        <v>0.99963769999999996</v>
      </c>
      <c r="Q49">
        <v>-2.6379280000000001E-2</v>
      </c>
      <c r="R49">
        <v>5.3434529999999997E-3</v>
      </c>
      <c r="S49">
        <v>2.9974059999999998</v>
      </c>
      <c r="T49">
        <v>-0.1319253</v>
      </c>
      <c r="U49">
        <v>3.3905030000000003E-2</v>
      </c>
      <c r="V49">
        <v>2.2367720000000001E-2</v>
      </c>
      <c r="W49">
        <v>-2.5556289999999999E-2</v>
      </c>
      <c r="X49">
        <v>0.99942310000000001</v>
      </c>
      <c r="Y49">
        <v>1.6361089999999998E-2</v>
      </c>
      <c r="Z49">
        <v>-1.562796E-3</v>
      </c>
      <c r="AA49">
        <v>0.99986489999999995</v>
      </c>
      <c r="AB49">
        <v>12</v>
      </c>
      <c r="AC49">
        <v>25.322599999999898</v>
      </c>
      <c r="AD49">
        <v>-1.11987781332999</v>
      </c>
      <c r="AE49">
        <v>0.28400000000004799</v>
      </c>
      <c r="AF49">
        <v>0.41701364741499902</v>
      </c>
      <c r="AG49">
        <v>-1.11987781332999</v>
      </c>
      <c r="AH49">
        <v>25.2713258881782</v>
      </c>
      <c r="AI49">
        <v>92.537009898252805</v>
      </c>
      <c r="AJ49">
        <v>89.054622073533196</v>
      </c>
      <c r="AK49">
        <v>25.299564005046101</v>
      </c>
      <c r="AL49">
        <v>91.464427015995099</v>
      </c>
      <c r="AM49">
        <v>88.717898315252796</v>
      </c>
      <c r="AN49">
        <v>0.99999998583508598</v>
      </c>
    </row>
    <row r="50" spans="1:40" x14ac:dyDescent="0.25">
      <c r="A50" t="str">
        <f>"20190303154414968"</f>
        <v>20190303154414968</v>
      </c>
      <c r="B50" t="str">
        <f>"1551599054960381"</f>
        <v>1551599054960381</v>
      </c>
      <c r="C50" t="s">
        <v>40</v>
      </c>
      <c r="D50">
        <v>4.7687099999999996</v>
      </c>
      <c r="E50">
        <v>0.49720890000000001</v>
      </c>
      <c r="F50" t="s">
        <v>41</v>
      </c>
      <c r="G50">
        <v>-446.75380000000001</v>
      </c>
      <c r="H50" s="1">
        <v>-1.8954380000000001E-6</v>
      </c>
      <c r="I50">
        <v>367.47149999999999</v>
      </c>
      <c r="J50">
        <v>-472.14929999999998</v>
      </c>
      <c r="K50">
        <v>1.1199059999999901</v>
      </c>
      <c r="L50">
        <v>367.15620000000001</v>
      </c>
      <c r="M50">
        <v>0.99960289999999996</v>
      </c>
      <c r="N50">
        <v>-9.1444490000000002E-4</v>
      </c>
      <c r="O50">
        <v>2.817097E-2</v>
      </c>
      <c r="P50">
        <v>0.99962969999999896</v>
      </c>
      <c r="Q50">
        <v>-2.6674320000000001E-2</v>
      </c>
      <c r="R50">
        <v>5.4262900000000003E-3</v>
      </c>
      <c r="S50">
        <v>2.9973749999999999</v>
      </c>
      <c r="T50">
        <v>-0.13158629999999999</v>
      </c>
      <c r="U50">
        <v>3.7475590000000003E-2</v>
      </c>
      <c r="V50">
        <v>2.274499E-2</v>
      </c>
      <c r="W50">
        <v>-2.5752730000000001E-2</v>
      </c>
      <c r="X50">
        <v>0.99940960000000001</v>
      </c>
      <c r="Y50">
        <v>1.563055E-2</v>
      </c>
      <c r="Z50">
        <v>-1.560215E-3</v>
      </c>
      <c r="AA50">
        <v>0.9998766</v>
      </c>
      <c r="AB50">
        <v>12</v>
      </c>
      <c r="AC50">
        <v>25.395499999999899</v>
      </c>
      <c r="AD50">
        <v>-1.119907895438</v>
      </c>
      <c r="AE50">
        <v>0.31529999999997899</v>
      </c>
      <c r="AF50">
        <v>0.39946444603943898</v>
      </c>
      <c r="AG50">
        <v>-1.119907895438</v>
      </c>
      <c r="AH50">
        <v>25.345022630190499</v>
      </c>
      <c r="AI50">
        <v>92.529740558708696</v>
      </c>
      <c r="AJ50">
        <v>89.097032491933504</v>
      </c>
      <c r="AK50">
        <v>25.372897699371698</v>
      </c>
      <c r="AL50">
        <v>91.475685820194201</v>
      </c>
      <c r="AM50">
        <v>88.696263266210806</v>
      </c>
      <c r="AN50">
        <v>1.0000000431223499</v>
      </c>
    </row>
    <row r="51" spans="1:40" x14ac:dyDescent="0.25">
      <c r="A51" t="str">
        <f>"20190303154414992"</f>
        <v>20190303154414992</v>
      </c>
      <c r="B51" t="str">
        <f>"1551599054980409"</f>
        <v>1551599054980409</v>
      </c>
      <c r="C51" t="s">
        <v>40</v>
      </c>
      <c r="D51">
        <v>4.7418440000000004</v>
      </c>
      <c r="E51">
        <v>0.4970909</v>
      </c>
      <c r="F51" t="s">
        <v>41</v>
      </c>
      <c r="G51">
        <v>-446.62869999999998</v>
      </c>
      <c r="H51" s="1">
        <v>-1.9526530000000001E-6</v>
      </c>
      <c r="I51">
        <v>367.48230000000001</v>
      </c>
      <c r="J51">
        <v>-472.0206</v>
      </c>
      <c r="K51">
        <v>1.11995</v>
      </c>
      <c r="L51">
        <v>367.16039999999998</v>
      </c>
      <c r="M51">
        <v>0.99958769999999997</v>
      </c>
      <c r="N51">
        <v>-1.11677E-3</v>
      </c>
      <c r="O51">
        <v>2.86912E-2</v>
      </c>
      <c r="P51">
        <v>0.99960850000000001</v>
      </c>
      <c r="Q51">
        <v>-2.7216460000000001E-2</v>
      </c>
      <c r="R51">
        <v>6.4878210000000004E-3</v>
      </c>
      <c r="S51">
        <v>2.9973749999999999</v>
      </c>
      <c r="T51">
        <v>-0.13153239999999999</v>
      </c>
      <c r="U51">
        <v>3.8299560000000003E-2</v>
      </c>
      <c r="V51">
        <v>2.2204430000000001E-2</v>
      </c>
      <c r="W51">
        <v>-2.6092299999999999E-2</v>
      </c>
      <c r="X51">
        <v>0.99941290000000005</v>
      </c>
      <c r="Y51">
        <v>1.5875609999999998E-2</v>
      </c>
      <c r="Z51">
        <v>-1.583187E-3</v>
      </c>
      <c r="AA51">
        <v>0.99987269999999995</v>
      </c>
      <c r="AB51">
        <v>12</v>
      </c>
      <c r="AC51">
        <v>25.3919</v>
      </c>
      <c r="AD51">
        <v>-1.119951952653</v>
      </c>
      <c r="AE51">
        <v>0.321900000000027</v>
      </c>
      <c r="AF51">
        <v>0.40596741272623699</v>
      </c>
      <c r="AG51">
        <v>-1.119951952653</v>
      </c>
      <c r="AH51">
        <v>25.341391262273099</v>
      </c>
      <c r="AI51">
        <v>92.530191607012299</v>
      </c>
      <c r="AJ51">
        <v>89.082203908468301</v>
      </c>
      <c r="AK51">
        <v>25.3693754953498</v>
      </c>
      <c r="AL51">
        <v>91.495148359886898</v>
      </c>
      <c r="AM51">
        <v>88.727241905718799</v>
      </c>
      <c r="AN51">
        <v>0.99999999475866197</v>
      </c>
    </row>
    <row r="52" spans="1:40" x14ac:dyDescent="0.25">
      <c r="A52" t="str">
        <f>"20190303154415013"</f>
        <v>20190303154415013</v>
      </c>
      <c r="B52" t="str">
        <f>"1551599055009690"</f>
        <v>1551599055009690</v>
      </c>
      <c r="C52" t="s">
        <v>40</v>
      </c>
      <c r="D52">
        <v>4.745431</v>
      </c>
      <c r="E52">
        <v>0.49693680000000001</v>
      </c>
      <c r="F52" t="s">
        <v>41</v>
      </c>
      <c r="G52">
        <v>-446.5616</v>
      </c>
      <c r="H52" s="1">
        <v>-1.977724E-6</v>
      </c>
      <c r="I52">
        <v>367.5197</v>
      </c>
      <c r="J52">
        <v>-471.89729999999997</v>
      </c>
      <c r="K52">
        <v>1.1200209999999999</v>
      </c>
      <c r="L52">
        <v>367.16449999999998</v>
      </c>
      <c r="M52">
        <v>0.99957280000000004</v>
      </c>
      <c r="N52">
        <v>-1.433024E-3</v>
      </c>
      <c r="O52">
        <v>2.9190730000000002E-2</v>
      </c>
      <c r="P52">
        <v>0.99956679999999998</v>
      </c>
      <c r="Q52">
        <v>-2.8414760000000001E-2</v>
      </c>
      <c r="R52">
        <v>7.6898660000000001E-3</v>
      </c>
      <c r="S52">
        <v>2.9973139999999998</v>
      </c>
      <c r="T52">
        <v>-0.13185350000000001</v>
      </c>
      <c r="U52">
        <v>4.2297359999999999E-2</v>
      </c>
      <c r="V52">
        <v>2.1501849999999999E-2</v>
      </c>
      <c r="W52">
        <v>-2.6974399999999999E-2</v>
      </c>
      <c r="X52">
        <v>0.99940479999999998</v>
      </c>
      <c r="Y52">
        <v>1.5042089999999999E-2</v>
      </c>
      <c r="Z52">
        <v>-1.582874E-3</v>
      </c>
      <c r="AA52">
        <v>0.99988560000000004</v>
      </c>
      <c r="AB52">
        <v>12</v>
      </c>
      <c r="AC52">
        <v>25.3356999999999</v>
      </c>
      <c r="AD52">
        <v>-1.1200229777239901</v>
      </c>
      <c r="AE52">
        <v>0.355200000000024</v>
      </c>
      <c r="AF52">
        <v>0.383769878266631</v>
      </c>
      <c r="AG52">
        <v>-1.1200229777239901</v>
      </c>
      <c r="AH52">
        <v>25.285865881627199</v>
      </c>
      <c r="AI52">
        <v>92.535934309095495</v>
      </c>
      <c r="AJ52">
        <v>89.130474458294401</v>
      </c>
      <c r="AK52">
        <v>25.313568380884899</v>
      </c>
      <c r="AL52">
        <v>91.545706836667904</v>
      </c>
      <c r="AM52">
        <v>88.767491185447099</v>
      </c>
      <c r="AN52">
        <v>0.99999995103591</v>
      </c>
    </row>
    <row r="53" spans="1:40" x14ac:dyDescent="0.25">
      <c r="A53" t="str">
        <f>"20190303154415036"</f>
        <v>20190303154415036</v>
      </c>
      <c r="B53" t="str">
        <f>"1551599055030186"</f>
        <v>1551599055030186</v>
      </c>
      <c r="C53" t="s">
        <v>40</v>
      </c>
      <c r="D53">
        <v>4.7415149999999997</v>
      </c>
      <c r="E53">
        <v>0.49679010000000001</v>
      </c>
      <c r="F53" t="s">
        <v>41</v>
      </c>
      <c r="G53">
        <v>-446.71129999999999</v>
      </c>
      <c r="H53" s="1">
        <v>-1.8998410000000001E-6</v>
      </c>
      <c r="I53">
        <v>367.56</v>
      </c>
      <c r="J53">
        <v>-471.77190000000002</v>
      </c>
      <c r="K53">
        <v>1.1201179999999999</v>
      </c>
      <c r="L53">
        <v>367.16879999999998</v>
      </c>
      <c r="M53">
        <v>0.99955720000000003</v>
      </c>
      <c r="N53">
        <v>-1.883993E-3</v>
      </c>
      <c r="O53">
        <v>2.970066E-2</v>
      </c>
      <c r="P53">
        <v>0.99948999999999999</v>
      </c>
      <c r="Q53">
        <v>-3.0688989999999999E-2</v>
      </c>
      <c r="R53">
        <v>8.8292969999999998E-3</v>
      </c>
      <c r="S53">
        <v>2.997131</v>
      </c>
      <c r="T53">
        <v>-0.1332825</v>
      </c>
      <c r="U53">
        <v>4.705811E-2</v>
      </c>
      <c r="V53">
        <v>2.0871649999999999E-2</v>
      </c>
      <c r="W53">
        <v>-2.8797949999999999E-2</v>
      </c>
      <c r="X53">
        <v>0.99936729999999996</v>
      </c>
      <c r="Y53">
        <v>1.396357E-2</v>
      </c>
      <c r="Z53">
        <v>-1.5873669999999999E-3</v>
      </c>
      <c r="AA53">
        <v>0.99990120000000005</v>
      </c>
      <c r="AB53">
        <v>12</v>
      </c>
      <c r="AC53">
        <v>25.060600000000001</v>
      </c>
      <c r="AD53">
        <v>-1.120119899841</v>
      </c>
      <c r="AE53">
        <v>0.39120000000002603</v>
      </c>
      <c r="AF53">
        <v>0.35258594680611999</v>
      </c>
      <c r="AG53">
        <v>-1.120119899841</v>
      </c>
      <c r="AH53">
        <v>25.011208559286501</v>
      </c>
      <c r="AI53">
        <v>92.564007419517594</v>
      </c>
      <c r="AJ53">
        <v>89.192348160193404</v>
      </c>
      <c r="AK53">
        <v>25.038760732832401</v>
      </c>
      <c r="AL53">
        <v>91.650229185361297</v>
      </c>
      <c r="AM53">
        <v>88.803559378776697</v>
      </c>
      <c r="AN53">
        <v>0.99999997400360696</v>
      </c>
    </row>
    <row r="54" spans="1:40" x14ac:dyDescent="0.25">
      <c r="A54" t="str">
        <f>"20190303154415060"</f>
        <v>20190303154415060</v>
      </c>
      <c r="B54" t="str">
        <f>"1551599055049707"</f>
        <v>1551599055049707</v>
      </c>
      <c r="C54" t="s">
        <v>40</v>
      </c>
      <c r="D54">
        <v>4.7071529999999999</v>
      </c>
      <c r="E54">
        <v>0.49677480000000002</v>
      </c>
      <c r="F54" t="s">
        <v>41</v>
      </c>
      <c r="G54">
        <v>-447.6585</v>
      </c>
      <c r="H54" s="1">
        <v>-1.4471920000000001E-6</v>
      </c>
      <c r="I54">
        <v>367.58749999999998</v>
      </c>
      <c r="J54">
        <v>-471.64150000000001</v>
      </c>
      <c r="K54">
        <v>1.1202299999999901</v>
      </c>
      <c r="L54">
        <v>367.17329999999998</v>
      </c>
      <c r="M54">
        <v>0.99953970000000003</v>
      </c>
      <c r="N54">
        <v>-2.4640780000000002E-3</v>
      </c>
      <c r="O54">
        <v>3.023663E-2</v>
      </c>
      <c r="P54">
        <v>0.99944560000000005</v>
      </c>
      <c r="Q54">
        <v>-3.1797779999999998E-2</v>
      </c>
      <c r="R54">
        <v>9.8726000000000005E-3</v>
      </c>
      <c r="S54">
        <v>2.9967959999999998</v>
      </c>
      <c r="T54">
        <v>-0.13920759999999999</v>
      </c>
      <c r="U54">
        <v>5.2032469999999997E-2</v>
      </c>
      <c r="V54">
        <v>2.0363940000000001E-2</v>
      </c>
      <c r="W54">
        <v>-2.932705E-2</v>
      </c>
      <c r="X54">
        <v>0.99936239999999998</v>
      </c>
      <c r="Y54">
        <v>1.2836230000000001E-2</v>
      </c>
      <c r="Z54">
        <v>-1.642744E-3</v>
      </c>
      <c r="AA54">
        <v>0.99991629999999998</v>
      </c>
      <c r="AB54">
        <v>13</v>
      </c>
      <c r="AC54">
        <v>23.983000000000001</v>
      </c>
      <c r="AD54">
        <v>-1.1202314471920001</v>
      </c>
      <c r="AE54">
        <v>0.41419999999999302</v>
      </c>
      <c r="AF54">
        <v>0.31047951573362897</v>
      </c>
      <c r="AG54">
        <v>-1.1202314471920001</v>
      </c>
      <c r="AH54">
        <v>23.9323589242133</v>
      </c>
      <c r="AI54">
        <v>92.679732934952995</v>
      </c>
      <c r="AJ54">
        <v>89.256731522498995</v>
      </c>
      <c r="AK54">
        <v>23.9605742773904</v>
      </c>
      <c r="AL54">
        <v>91.680557173564594</v>
      </c>
      <c r="AM54">
        <v>88.832649328934295</v>
      </c>
      <c r="AN54">
        <v>0.99999998622389197</v>
      </c>
    </row>
    <row r="55" spans="1:40" x14ac:dyDescent="0.25">
      <c r="A55" t="str">
        <f>"20190303154415082"</f>
        <v>20190303154415082</v>
      </c>
      <c r="B55" t="str">
        <f>"1551599055069732"</f>
        <v>1551599055069732</v>
      </c>
      <c r="C55" t="s">
        <v>40</v>
      </c>
      <c r="D55">
        <v>4.6881399999999998</v>
      </c>
      <c r="E55">
        <v>0.49671389999999999</v>
      </c>
      <c r="F55" t="s">
        <v>41</v>
      </c>
      <c r="G55">
        <v>-447.83339999999998</v>
      </c>
      <c r="H55" s="1">
        <v>-1.3606210000000001E-6</v>
      </c>
      <c r="I55">
        <v>367.60950000000003</v>
      </c>
      <c r="J55">
        <v>-471.5102</v>
      </c>
      <c r="K55">
        <v>1.120352</v>
      </c>
      <c r="L55">
        <v>367.17790000000002</v>
      </c>
      <c r="M55">
        <v>0.99952129999999995</v>
      </c>
      <c r="N55">
        <v>-3.1167009999999999E-3</v>
      </c>
      <c r="O55">
        <v>3.0782469999999999E-2</v>
      </c>
      <c r="P55">
        <v>0.99942279999999994</v>
      </c>
      <c r="Q55">
        <v>-3.236812E-2</v>
      </c>
      <c r="R55">
        <v>1.03062E-2</v>
      </c>
      <c r="S55">
        <v>2.996613</v>
      </c>
      <c r="T55">
        <v>-0.1409984</v>
      </c>
      <c r="U55">
        <v>5.4901119999999998E-2</v>
      </c>
      <c r="V55">
        <v>2.0475799999999999E-2</v>
      </c>
      <c r="W55">
        <v>-2.924498E-2</v>
      </c>
      <c r="X55">
        <v>0.99936250000000004</v>
      </c>
      <c r="Y55">
        <v>1.242383E-2</v>
      </c>
      <c r="Z55">
        <v>-1.662773E-3</v>
      </c>
      <c r="AA55">
        <v>0.99992139999999996</v>
      </c>
      <c r="AB55">
        <v>13</v>
      </c>
      <c r="AC55">
        <v>23.6768</v>
      </c>
      <c r="AD55">
        <v>-1.1203533606209899</v>
      </c>
      <c r="AE55">
        <v>0.43160000000000298</v>
      </c>
      <c r="AF55">
        <v>0.29677415007246699</v>
      </c>
      <c r="AG55">
        <v>-1.1203533606209899</v>
      </c>
      <c r="AH55">
        <v>23.625983197088999</v>
      </c>
      <c r="AI55">
        <v>92.714740604667398</v>
      </c>
      <c r="AJ55">
        <v>89.280325738132305</v>
      </c>
      <c r="AK55">
        <v>23.654393853530401</v>
      </c>
      <c r="AL55">
        <v>91.675852923599805</v>
      </c>
      <c r="AM55">
        <v>88.826238927822402</v>
      </c>
      <c r="AN55">
        <v>0.99999996682354397</v>
      </c>
    </row>
    <row r="56" spans="1:40" x14ac:dyDescent="0.25">
      <c r="A56" t="str">
        <f>"20190303154415105"</f>
        <v>20190303154415105</v>
      </c>
      <c r="B56" t="str">
        <f>"1551599055099988"</f>
        <v>1551599055099988</v>
      </c>
      <c r="C56" t="s">
        <v>40</v>
      </c>
      <c r="D56">
        <v>4.7251839999999996</v>
      </c>
      <c r="E56">
        <v>0.496784</v>
      </c>
      <c r="F56" t="s">
        <v>41</v>
      </c>
      <c r="G56">
        <v>-447.80840000000001</v>
      </c>
      <c r="H56" s="1">
        <v>-1.368879E-6</v>
      </c>
      <c r="I56">
        <v>367.62950000000001</v>
      </c>
      <c r="J56">
        <v>-471.3766</v>
      </c>
      <c r="K56">
        <v>1.1204689999999999</v>
      </c>
      <c r="L56">
        <v>367.18259999999998</v>
      </c>
      <c r="M56">
        <v>0.99950410000000001</v>
      </c>
      <c r="N56">
        <v>-3.7796269999999998E-3</v>
      </c>
      <c r="O56">
        <v>3.1261579999999997E-2</v>
      </c>
      <c r="P56">
        <v>0.99942019999999998</v>
      </c>
      <c r="Q56">
        <v>-3.2423649999999998E-2</v>
      </c>
      <c r="R56">
        <v>1.040435E-2</v>
      </c>
      <c r="S56">
        <v>2.996521</v>
      </c>
      <c r="T56">
        <v>-0.14164160000000001</v>
      </c>
      <c r="U56">
        <v>5.7098389999999999E-2</v>
      </c>
      <c r="V56">
        <v>2.0856889999999999E-2</v>
      </c>
      <c r="W56">
        <v>-2.86375E-2</v>
      </c>
      <c r="X56">
        <v>0.99937220000000004</v>
      </c>
      <c r="Y56">
        <v>1.216981E-2</v>
      </c>
      <c r="Z56">
        <v>-1.6687889999999999E-3</v>
      </c>
      <c r="AA56">
        <v>0.99992449999999999</v>
      </c>
      <c r="AB56">
        <v>13</v>
      </c>
      <c r="AC56">
        <v>23.568199999999901</v>
      </c>
      <c r="AD56">
        <v>-1.1204703688789901</v>
      </c>
      <c r="AE56">
        <v>0.446900000000027</v>
      </c>
      <c r="AF56">
        <v>0.28944887822765097</v>
      </c>
      <c r="AG56">
        <v>-1.1204703688789901</v>
      </c>
      <c r="AH56">
        <v>23.517516166245599</v>
      </c>
      <c r="AI56">
        <v>92.727535602488899</v>
      </c>
      <c r="AJ56">
        <v>89.294850626914197</v>
      </c>
      <c r="AK56">
        <v>23.545972078686098</v>
      </c>
      <c r="AL56">
        <v>91.641032314995499</v>
      </c>
      <c r="AM56">
        <v>88.804411091598496</v>
      </c>
      <c r="AN56">
        <v>0.99999995519978002</v>
      </c>
    </row>
    <row r="57" spans="1:40" x14ac:dyDescent="0.25">
      <c r="A57" t="str">
        <f>"20190303154415123"</f>
        <v>20190303154415123</v>
      </c>
      <c r="B57" t="str">
        <f>"1551599055109749"</f>
        <v>1551599055109749</v>
      </c>
      <c r="C57" t="s">
        <v>40</v>
      </c>
      <c r="D57">
        <v>4.7065380000000001</v>
      </c>
      <c r="E57">
        <v>0.4968226</v>
      </c>
      <c r="F57" t="s">
        <v>41</v>
      </c>
      <c r="G57">
        <v>-447.36900000000003</v>
      </c>
      <c r="H57" s="1">
        <v>-1.5752719999999901E-6</v>
      </c>
      <c r="I57">
        <v>367.63690000000003</v>
      </c>
      <c r="J57">
        <v>-471.27390000000003</v>
      </c>
      <c r="K57">
        <v>1.1205229999999999</v>
      </c>
      <c r="L57">
        <v>367.18650000000002</v>
      </c>
      <c r="M57">
        <v>0.99949940000000004</v>
      </c>
      <c r="N57">
        <v>-4.1852110000000003E-3</v>
      </c>
      <c r="O57">
        <v>3.1359419999999999E-2</v>
      </c>
      <c r="P57">
        <v>0.99941159999999996</v>
      </c>
      <c r="Q57">
        <v>-3.2762390000000002E-2</v>
      </c>
      <c r="R57">
        <v>1.016415E-2</v>
      </c>
      <c r="S57">
        <v>2.996613</v>
      </c>
      <c r="T57">
        <v>-0.13985610000000001</v>
      </c>
      <c r="U57">
        <v>5.6701660000000001E-2</v>
      </c>
      <c r="V57">
        <v>2.1195430000000001E-2</v>
      </c>
      <c r="W57">
        <v>-2.85702E-2</v>
      </c>
      <c r="X57">
        <v>0.99936709999999995</v>
      </c>
      <c r="Y57">
        <v>1.2401880000000001E-2</v>
      </c>
      <c r="Z57">
        <v>-1.646371E-3</v>
      </c>
      <c r="AA57">
        <v>0.99992170000000002</v>
      </c>
      <c r="AB57">
        <v>13</v>
      </c>
      <c r="AC57">
        <v>23.904900000000001</v>
      </c>
      <c r="AD57">
        <v>-1.1205245752719999</v>
      </c>
      <c r="AE57">
        <v>0.45040000000000102</v>
      </c>
      <c r="AF57">
        <v>0.29881557165316902</v>
      </c>
      <c r="AG57">
        <v>-1.1205245752719999</v>
      </c>
      <c r="AH57">
        <v>23.8548718695872</v>
      </c>
      <c r="AI57">
        <v>92.689142415083097</v>
      </c>
      <c r="AJ57">
        <v>89.282327911699895</v>
      </c>
      <c r="AK57">
        <v>23.8830437336633</v>
      </c>
      <c r="AL57">
        <v>91.637174572617496</v>
      </c>
      <c r="AM57">
        <v>88.785004382777302</v>
      </c>
      <c r="AN57">
        <v>1.0000000515716601</v>
      </c>
    </row>
    <row r="58" spans="1:40" x14ac:dyDescent="0.25">
      <c r="A58" t="str">
        <f>"20190303154415147"</f>
        <v>20190303154415147</v>
      </c>
      <c r="B58" t="str">
        <f>"1551599055140004"</f>
        <v>1551599055140004</v>
      </c>
      <c r="C58" t="s">
        <v>40</v>
      </c>
      <c r="D58">
        <v>4.7007139999999996</v>
      </c>
      <c r="E58">
        <v>0.49682969999999999</v>
      </c>
      <c r="F58" t="s">
        <v>41</v>
      </c>
      <c r="G58">
        <v>-447.2758</v>
      </c>
      <c r="H58" s="1">
        <v>-1.6204949999999899E-6</v>
      </c>
      <c r="I58">
        <v>367.63029999999998</v>
      </c>
      <c r="J58">
        <v>-471.13670000000002</v>
      </c>
      <c r="K58">
        <v>1.120471</v>
      </c>
      <c r="L58">
        <v>367.19159999999999</v>
      </c>
      <c r="M58">
        <v>0.99947949999999997</v>
      </c>
      <c r="N58">
        <v>-5.0343489999999996E-3</v>
      </c>
      <c r="O58">
        <v>3.1869849999999998E-2</v>
      </c>
      <c r="P58">
        <v>0.99937350000000003</v>
      </c>
      <c r="Q58">
        <v>-3.4110099999999997E-2</v>
      </c>
      <c r="R58">
        <v>9.4565789999999997E-3</v>
      </c>
      <c r="S58">
        <v>2.996613</v>
      </c>
      <c r="T58">
        <v>-0.13991879999999901</v>
      </c>
      <c r="U58">
        <v>5.5419919999999998E-2</v>
      </c>
      <c r="V58">
        <v>2.2403340000000001E-2</v>
      </c>
      <c r="W58">
        <v>-2.9075699999999999E-2</v>
      </c>
      <c r="X58">
        <v>0.99932609999999999</v>
      </c>
      <c r="Y58">
        <v>1.3339459999999999E-2</v>
      </c>
      <c r="Z58">
        <v>-1.6712859999999999E-3</v>
      </c>
      <c r="AA58">
        <v>0.99990959999999995</v>
      </c>
      <c r="AB58">
        <v>13</v>
      </c>
      <c r="AC58">
        <v>23.860900000000001</v>
      </c>
      <c r="AD58">
        <v>-1.120472620495</v>
      </c>
      <c r="AE58">
        <v>0.43869999999998199</v>
      </c>
      <c r="AF58">
        <v>0.32126749018106399</v>
      </c>
      <c r="AG58">
        <v>-1.120472620495</v>
      </c>
      <c r="AH58">
        <v>23.810274127353701</v>
      </c>
      <c r="AI58">
        <v>92.694013337778003</v>
      </c>
      <c r="AJ58">
        <v>89.226965878054102</v>
      </c>
      <c r="AK58">
        <v>23.838788260170801</v>
      </c>
      <c r="AL58">
        <v>91.666149745356805</v>
      </c>
      <c r="AM58">
        <v>88.715732681392694</v>
      </c>
      <c r="AN58">
        <v>0.99999998005742696</v>
      </c>
    </row>
    <row r="59" spans="1:40" x14ac:dyDescent="0.25">
      <c r="A59" t="str">
        <f>"20190303154415169"</f>
        <v>20190303154415169</v>
      </c>
      <c r="B59" t="str">
        <f>"1551599055160500"</f>
        <v>1551599055160500</v>
      </c>
      <c r="C59" t="s">
        <v>40</v>
      </c>
      <c r="D59">
        <v>4.6867239999999999</v>
      </c>
      <c r="E59">
        <v>0.49676740000000003</v>
      </c>
      <c r="F59" t="s">
        <v>41</v>
      </c>
      <c r="G59">
        <v>-447.5564</v>
      </c>
      <c r="H59" s="1">
        <v>-1.4908439999999999E-6</v>
      </c>
      <c r="I59">
        <v>367.61360000000002</v>
      </c>
      <c r="J59">
        <v>-471.01089999999999</v>
      </c>
      <c r="K59">
        <v>1.120409</v>
      </c>
      <c r="L59">
        <v>367.19630000000001</v>
      </c>
      <c r="M59">
        <v>0.99944580000000005</v>
      </c>
      <c r="N59">
        <v>-6.0032749999999998E-3</v>
      </c>
      <c r="O59">
        <v>3.274403E-2</v>
      </c>
      <c r="P59">
        <v>0.99932580000000004</v>
      </c>
      <c r="Q59">
        <v>-3.5429469999999998E-2</v>
      </c>
      <c r="R59">
        <v>9.6533269999999997E-3</v>
      </c>
      <c r="S59">
        <v>2.9964900000000001</v>
      </c>
      <c r="T59">
        <v>-0.1423854</v>
      </c>
      <c r="U59">
        <v>5.3619380000000001E-2</v>
      </c>
      <c r="V59">
        <v>2.3068519999999999E-2</v>
      </c>
      <c r="W59">
        <v>-2.943552E-2</v>
      </c>
      <c r="X59">
        <v>0.99930050000000004</v>
      </c>
      <c r="Y59">
        <v>1.4810780000000001E-2</v>
      </c>
      <c r="Z59">
        <v>-1.7542320000000001E-3</v>
      </c>
      <c r="AA59">
        <v>0.99988880000000002</v>
      </c>
      <c r="AB59">
        <v>13</v>
      </c>
      <c r="AC59">
        <v>23.454499999999999</v>
      </c>
      <c r="AD59">
        <v>-1.120410490844</v>
      </c>
      <c r="AE59">
        <v>0.417300000000011</v>
      </c>
      <c r="AF59">
        <v>0.35013369522296001</v>
      </c>
      <c r="AG59">
        <v>-1.120410490844</v>
      </c>
      <c r="AH59">
        <v>23.402201637284499</v>
      </c>
      <c r="AI59">
        <v>92.740709855915398</v>
      </c>
      <c r="AJ59">
        <v>89.142829096839506</v>
      </c>
      <c r="AK59">
        <v>23.4316229643754</v>
      </c>
      <c r="AL59">
        <v>91.686774627096497</v>
      </c>
      <c r="AM59">
        <v>88.677580841072498</v>
      </c>
      <c r="AN59">
        <v>1.0000000478764499</v>
      </c>
    </row>
    <row r="60" spans="1:40" x14ac:dyDescent="0.25">
      <c r="A60" t="str">
        <f>"20190303154415192"</f>
        <v>20190303154415192</v>
      </c>
      <c r="B60" t="str">
        <f>"1551599055189781"</f>
        <v>1551599055189781</v>
      </c>
      <c r="C60" t="s">
        <v>40</v>
      </c>
      <c r="D60">
        <v>4.6322700000000001</v>
      </c>
      <c r="E60">
        <v>0.49246299999999998</v>
      </c>
      <c r="F60" t="s">
        <v>41</v>
      </c>
      <c r="G60">
        <v>-447.99630000000002</v>
      </c>
      <c r="H60" s="1">
        <v>-1.2856269999999999E-6</v>
      </c>
      <c r="I60">
        <v>367.61709999999999</v>
      </c>
      <c r="J60">
        <v>-470.87819999999999</v>
      </c>
      <c r="K60">
        <v>1.120439</v>
      </c>
      <c r="L60">
        <v>367.2013</v>
      </c>
      <c r="M60">
        <v>0.99940620000000002</v>
      </c>
      <c r="N60">
        <v>-7.0067580000000001E-3</v>
      </c>
      <c r="O60">
        <v>3.3738610000000002E-2</v>
      </c>
      <c r="P60">
        <v>0.99926890000000002</v>
      </c>
      <c r="Q60">
        <v>-3.7016880000000002E-2</v>
      </c>
      <c r="R60">
        <v>9.5554490000000006E-3</v>
      </c>
      <c r="S60">
        <v>2.9963069999999998</v>
      </c>
      <c r="T60">
        <v>-0.14586769999999999</v>
      </c>
      <c r="U60">
        <v>5.4779050000000003E-2</v>
      </c>
      <c r="V60">
        <v>2.4154760000000001E-2</v>
      </c>
      <c r="W60">
        <v>-3.0024209999999999E-2</v>
      </c>
      <c r="X60">
        <v>0.99925730000000001</v>
      </c>
      <c r="Y60">
        <v>1.541494E-2</v>
      </c>
      <c r="Z60">
        <v>-1.8337080000000001E-3</v>
      </c>
      <c r="AA60">
        <v>0.99987950000000003</v>
      </c>
      <c r="AB60">
        <v>13</v>
      </c>
      <c r="AC60">
        <v>22.881899999999899</v>
      </c>
      <c r="AD60">
        <v>-1.1204402856269999</v>
      </c>
      <c r="AE60">
        <v>0.41579999999999001</v>
      </c>
      <c r="AF60">
        <v>0.35560677347492198</v>
      </c>
      <c r="AG60">
        <v>-1.1204402856269999</v>
      </c>
      <c r="AH60">
        <v>22.828184477716</v>
      </c>
      <c r="AI60">
        <v>92.8095644510624</v>
      </c>
      <c r="AJ60">
        <v>89.107545345862107</v>
      </c>
      <c r="AK60">
        <v>22.858430592663801</v>
      </c>
      <c r="AL60">
        <v>91.720519027595898</v>
      </c>
      <c r="AM60">
        <v>88.615275226952704</v>
      </c>
      <c r="AN60">
        <v>1.0000000286100299</v>
      </c>
    </row>
    <row r="61" spans="1:40" x14ac:dyDescent="0.25">
      <c r="A61" t="str">
        <f>"20190303154415214"</f>
        <v>20190303154415214</v>
      </c>
      <c r="B61" t="str">
        <f>"1551599055210277"</f>
        <v>1551599055210277</v>
      </c>
      <c r="C61" t="s">
        <v>40</v>
      </c>
      <c r="D61">
        <v>4.6012440000000003</v>
      </c>
      <c r="E61">
        <v>0.49208809999999897</v>
      </c>
      <c r="F61" t="s">
        <v>43</v>
      </c>
      <c r="G61">
        <v>-436.48200000000003</v>
      </c>
      <c r="H61">
        <v>-0.05</v>
      </c>
      <c r="I61">
        <v>368.22059999999999</v>
      </c>
      <c r="J61">
        <v>-470.75869999999998</v>
      </c>
      <c r="K61">
        <v>1.1205369999999999</v>
      </c>
      <c r="L61">
        <v>367.20580000000001</v>
      </c>
      <c r="M61">
        <v>0.99937819999999999</v>
      </c>
      <c r="N61">
        <v>-7.7805039999999997E-3</v>
      </c>
      <c r="O61">
        <v>3.439263E-2</v>
      </c>
      <c r="P61">
        <v>0.99922789999999995</v>
      </c>
      <c r="Q61">
        <v>-3.8211549999999997E-2</v>
      </c>
      <c r="R61">
        <v>9.1366099999999999E-3</v>
      </c>
      <c r="S61">
        <v>2.9975589999999999</v>
      </c>
      <c r="T61">
        <v>-0.10200140000000001</v>
      </c>
      <c r="U61">
        <v>8.8836670000000006E-2</v>
      </c>
      <c r="V61">
        <v>2.5229649999999999E-2</v>
      </c>
      <c r="W61">
        <v>-3.0443350000000001E-2</v>
      </c>
      <c r="X61">
        <v>0.99921800000000005</v>
      </c>
      <c r="Y61">
        <v>4.7575580000000003E-3</v>
      </c>
      <c r="Z61">
        <v>-1.001273E-3</v>
      </c>
      <c r="AA61">
        <v>0.99998819999999999</v>
      </c>
      <c r="AB61">
        <v>13</v>
      </c>
      <c r="AC61">
        <v>34.276699999999998</v>
      </c>
      <c r="AD61">
        <v>-1.1705369999999999</v>
      </c>
      <c r="AE61">
        <v>1.0147999999999699</v>
      </c>
      <c r="AF61">
        <v>0.164510150776602</v>
      </c>
      <c r="AG61">
        <v>-1.1705369999999999</v>
      </c>
      <c r="AH61">
        <v>34.251414373689101</v>
      </c>
      <c r="AI61">
        <v>91.957290439837195</v>
      </c>
      <c r="AJ61">
        <v>89.724809470814407</v>
      </c>
      <c r="AK61">
        <v>34.271804840950999</v>
      </c>
      <c r="AL61">
        <v>91.744545061959499</v>
      </c>
      <c r="AM61">
        <v>88.553623547860795</v>
      </c>
      <c r="AN61">
        <v>0.99999997216117198</v>
      </c>
    </row>
    <row r="62" spans="1:40" x14ac:dyDescent="0.25">
      <c r="A62" t="str">
        <f>"20190303154415236"</f>
        <v>20190303154415236</v>
      </c>
      <c r="B62" t="str">
        <f>"1551599055229796"</f>
        <v>1551599055229796</v>
      </c>
      <c r="C62" t="s">
        <v>40</v>
      </c>
      <c r="D62">
        <v>4.6146960000000004</v>
      </c>
      <c r="E62">
        <v>0.49209930000000002</v>
      </c>
      <c r="F62" t="s">
        <v>43</v>
      </c>
      <c r="G62">
        <v>-438.47669999999999</v>
      </c>
      <c r="H62">
        <v>-0.05</v>
      </c>
      <c r="I62">
        <v>368.1823</v>
      </c>
      <c r="J62">
        <v>-470.63060000000002</v>
      </c>
      <c r="K62">
        <v>1.1206689999999999</v>
      </c>
      <c r="L62">
        <v>367.21089999999998</v>
      </c>
      <c r="M62">
        <v>0.99935810000000003</v>
      </c>
      <c r="N62">
        <v>-8.4873659999999997E-3</v>
      </c>
      <c r="O62">
        <v>3.4808360000000003E-2</v>
      </c>
      <c r="P62">
        <v>0.99919659999999999</v>
      </c>
      <c r="Q62">
        <v>-3.9003129999999997E-2</v>
      </c>
      <c r="R62">
        <v>9.2331210000000004E-3</v>
      </c>
      <c r="S62">
        <v>2.9973450000000001</v>
      </c>
      <c r="T62">
        <v>-0.108683</v>
      </c>
      <c r="U62">
        <v>9.0667719999999993E-2</v>
      </c>
      <c r="V62">
        <v>2.555497E-2</v>
      </c>
      <c r="W62">
        <v>-3.0522870000000001E-2</v>
      </c>
      <c r="X62">
        <v>0.99920730000000002</v>
      </c>
      <c r="Y62">
        <v>4.5594099999999999E-3</v>
      </c>
      <c r="Z62">
        <v>-1.067681E-3</v>
      </c>
      <c r="AA62">
        <v>0.99998900000000002</v>
      </c>
      <c r="AB62">
        <v>13</v>
      </c>
      <c r="AC62">
        <v>32.1539</v>
      </c>
      <c r="AD62">
        <v>-1.170669</v>
      </c>
      <c r="AE62">
        <v>0.97140000000001603</v>
      </c>
      <c r="AF62">
        <v>0.14825705021121999</v>
      </c>
      <c r="AG62">
        <v>-1.170669</v>
      </c>
      <c r="AH62">
        <v>32.125681729063203</v>
      </c>
      <c r="AI62">
        <v>92.086928911654098</v>
      </c>
      <c r="AJ62">
        <v>89.735587153323493</v>
      </c>
      <c r="AK62">
        <v>32.1473462764435</v>
      </c>
      <c r="AL62">
        <v>91.749103352917501</v>
      </c>
      <c r="AM62">
        <v>88.534965854889805</v>
      </c>
      <c r="AN62">
        <v>0.99999996522901302</v>
      </c>
    </row>
    <row r="63" spans="1:40" x14ac:dyDescent="0.25">
      <c r="A63" t="str">
        <f>"20190303154415259"</f>
        <v>20190303154415259</v>
      </c>
      <c r="B63" t="str">
        <f>"1551599055250293"</f>
        <v>1551599055250293</v>
      </c>
      <c r="C63" t="s">
        <v>40</v>
      </c>
      <c r="D63">
        <v>4.5758710000000002</v>
      </c>
      <c r="E63">
        <v>0.49238890000000002</v>
      </c>
      <c r="F63" t="s">
        <v>43</v>
      </c>
      <c r="G63">
        <v>-437.68959999999998</v>
      </c>
      <c r="H63">
        <v>-0.05</v>
      </c>
      <c r="I63">
        <v>368.20670000000001</v>
      </c>
      <c r="J63">
        <v>-470.50850000000003</v>
      </c>
      <c r="K63">
        <v>1.120762</v>
      </c>
      <c r="L63">
        <v>367.21589999999998</v>
      </c>
      <c r="M63">
        <v>0.99934219999999896</v>
      </c>
      <c r="N63">
        <v>-9.0968820000000006E-3</v>
      </c>
      <c r="O63">
        <v>3.5106489999999997E-2</v>
      </c>
      <c r="P63">
        <v>0.99914080000000005</v>
      </c>
      <c r="Q63">
        <v>-4.017097E-2</v>
      </c>
      <c r="R63">
        <v>1.0184510000000001E-2</v>
      </c>
      <c r="S63">
        <v>2.9974059999999998</v>
      </c>
      <c r="T63">
        <v>-0.1065229</v>
      </c>
      <c r="U63">
        <v>9.0606690000000004E-2</v>
      </c>
      <c r="V63">
        <v>2.4905139999999999E-2</v>
      </c>
      <c r="W63">
        <v>-3.1078169999999999E-2</v>
      </c>
      <c r="X63">
        <v>0.99920659999999994</v>
      </c>
      <c r="Y63">
        <v>4.8798629999999999E-3</v>
      </c>
      <c r="Z63">
        <v>-1.0361560000000001E-3</v>
      </c>
      <c r="AA63">
        <v>0.99998750000000003</v>
      </c>
      <c r="AB63">
        <v>13</v>
      </c>
      <c r="AC63">
        <v>32.818899999999999</v>
      </c>
      <c r="AD63">
        <v>-1.1707620000000001</v>
      </c>
      <c r="AE63">
        <v>0.99080000000003499</v>
      </c>
      <c r="AF63">
        <v>0.16180910302269699</v>
      </c>
      <c r="AG63">
        <v>-1.1707620000000001</v>
      </c>
      <c r="AH63">
        <v>32.791760423801399</v>
      </c>
      <c r="AI63">
        <v>92.044733938302898</v>
      </c>
      <c r="AJ63">
        <v>89.717279483451307</v>
      </c>
      <c r="AK63">
        <v>32.813052548314602</v>
      </c>
      <c r="AL63">
        <v>91.780934787441097</v>
      </c>
      <c r="AM63">
        <v>88.572203165891693</v>
      </c>
      <c r="AN63">
        <v>0.99999997406626395</v>
      </c>
    </row>
    <row r="64" spans="1:40" x14ac:dyDescent="0.25">
      <c r="A64" t="str">
        <f>"20190303154415284"</f>
        <v>20190303154415284</v>
      </c>
      <c r="B64" t="str">
        <f>"1551599055280550"</f>
        <v>1551599055280550</v>
      </c>
      <c r="C64" t="s">
        <v>40</v>
      </c>
      <c r="D64">
        <v>4.5257040000000002</v>
      </c>
      <c r="E64">
        <v>0.49258180000000001</v>
      </c>
      <c r="F64" t="s">
        <v>43</v>
      </c>
      <c r="G64">
        <v>-438.37599999999998</v>
      </c>
      <c r="H64">
        <v>-0.05</v>
      </c>
      <c r="I64">
        <v>368.19349999999997</v>
      </c>
      <c r="J64">
        <v>-470.3682</v>
      </c>
      <c r="K64">
        <v>1.1208049999999901</v>
      </c>
      <c r="L64">
        <v>367.2217</v>
      </c>
      <c r="M64">
        <v>0.99932019999999999</v>
      </c>
      <c r="N64">
        <v>-9.7438019999999993E-3</v>
      </c>
      <c r="O64">
        <v>3.5560410000000001E-2</v>
      </c>
      <c r="P64">
        <v>0.99910220000000005</v>
      </c>
      <c r="Q64">
        <v>-4.105901E-2</v>
      </c>
      <c r="R64">
        <v>1.045865E-2</v>
      </c>
      <c r="S64">
        <v>2.997223</v>
      </c>
      <c r="T64">
        <v>-0.1092052</v>
      </c>
      <c r="U64">
        <v>9.1186519999999993E-2</v>
      </c>
      <c r="V64">
        <v>2.5083520000000002E-2</v>
      </c>
      <c r="W64">
        <v>-3.1320180000000003E-2</v>
      </c>
      <c r="X64">
        <v>0.99919460000000004</v>
      </c>
      <c r="Y64">
        <v>5.1383260000000004E-3</v>
      </c>
      <c r="Z64">
        <v>-1.066719E-3</v>
      </c>
      <c r="AA64">
        <v>0.99998620000000005</v>
      </c>
      <c r="AB64">
        <v>13</v>
      </c>
      <c r="AC64">
        <v>31.9922</v>
      </c>
      <c r="AD64">
        <v>-1.1708050000000001</v>
      </c>
      <c r="AE64">
        <v>0.97179999999997302</v>
      </c>
      <c r="AF64">
        <v>0.16630173066898599</v>
      </c>
      <c r="AG64">
        <v>-1.1708050000000001</v>
      </c>
      <c r="AH64">
        <v>31.963753283263099</v>
      </c>
      <c r="AI64">
        <v>92.097729284250207</v>
      </c>
      <c r="AJ64">
        <v>89.701902926285698</v>
      </c>
      <c r="AK64">
        <v>31.985621215898899</v>
      </c>
      <c r="AL64">
        <v>91.794807659559197</v>
      </c>
      <c r="AM64">
        <v>88.561963762648404</v>
      </c>
      <c r="AN64">
        <v>0.99999999265999095</v>
      </c>
    </row>
    <row r="65" spans="1:40" x14ac:dyDescent="0.25">
      <c r="A65" t="str">
        <f>"20190303154415326"</f>
        <v>20190303154415326</v>
      </c>
      <c r="B65" t="str">
        <f>"1551599055320565"</f>
        <v>1551599055320565</v>
      </c>
      <c r="C65" t="s">
        <v>40</v>
      </c>
      <c r="D65">
        <v>4.5260350000000003</v>
      </c>
      <c r="E65">
        <v>0.50470209999999904</v>
      </c>
      <c r="F65" t="s">
        <v>43</v>
      </c>
      <c r="G65">
        <v>-437.25099999999998</v>
      </c>
      <c r="H65">
        <v>-0.05</v>
      </c>
      <c r="I65">
        <v>368.22309999999999</v>
      </c>
      <c r="J65">
        <v>-470.13290000000001</v>
      </c>
      <c r="K65">
        <v>1.1208279999999999</v>
      </c>
      <c r="L65">
        <v>367.2312</v>
      </c>
      <c r="M65">
        <v>0.99927279999999996</v>
      </c>
      <c r="N65">
        <v>-1.0641360000000001E-2</v>
      </c>
      <c r="O65">
        <v>3.6619110000000003E-2</v>
      </c>
      <c r="P65">
        <v>0.99901079999999998</v>
      </c>
      <c r="Q65">
        <v>-4.2522299999999999E-2</v>
      </c>
      <c r="R65">
        <v>1.3026009999999999E-2</v>
      </c>
      <c r="S65">
        <v>2.9973749999999999</v>
      </c>
      <c r="T65">
        <v>-0.10596750000000001</v>
      </c>
      <c r="U65">
        <v>9.0637209999999996E-2</v>
      </c>
      <c r="V65">
        <v>2.3569010000000001E-2</v>
      </c>
      <c r="W65">
        <v>-3.1890019999999998E-2</v>
      </c>
      <c r="X65">
        <v>0.99921349999999998</v>
      </c>
      <c r="Y65">
        <v>6.3833419999999898E-3</v>
      </c>
      <c r="Z65">
        <v>-1.0506440000000001E-3</v>
      </c>
      <c r="AA65">
        <v>0.99997910000000001</v>
      </c>
      <c r="AB65">
        <v>13</v>
      </c>
      <c r="AC65">
        <v>32.881900000000002</v>
      </c>
      <c r="AD65">
        <v>-1.170828</v>
      </c>
      <c r="AE65">
        <v>0.99189999999998602</v>
      </c>
      <c r="AF65">
        <v>0.21266985367941499</v>
      </c>
      <c r="AG65">
        <v>-1.170828</v>
      </c>
      <c r="AH65">
        <v>32.8545508099457</v>
      </c>
      <c r="AI65">
        <v>92.040926483123201</v>
      </c>
      <c r="AJ65">
        <v>89.6291255073738</v>
      </c>
      <c r="AK65">
        <v>32.8760942874233</v>
      </c>
      <c r="AL65">
        <v>91.827473310078901</v>
      </c>
      <c r="AM65">
        <v>88.648782826772702</v>
      </c>
      <c r="AN65">
        <v>1.0000000450951101</v>
      </c>
    </row>
    <row r="66" spans="1:40" x14ac:dyDescent="0.25">
      <c r="A66" t="str">
        <f>"20190303154415349"</f>
        <v>20190303154415349</v>
      </c>
      <c r="B66" t="str">
        <f>"1551599055340085"</f>
        <v>1551599055340085</v>
      </c>
      <c r="C66" t="s">
        <v>40</v>
      </c>
      <c r="D66">
        <v>4.5371739999999896</v>
      </c>
      <c r="E66">
        <v>0.51932639999999997</v>
      </c>
      <c r="F66" t="s">
        <v>41</v>
      </c>
      <c r="G66">
        <v>-362.52379999999999</v>
      </c>
      <c r="H66" s="1">
        <v>-3.6002770000000001E-6</v>
      </c>
      <c r="I66">
        <v>367.30110000000002</v>
      </c>
      <c r="J66">
        <v>-470.00299999999999</v>
      </c>
      <c r="K66">
        <v>1.120876</v>
      </c>
      <c r="L66">
        <v>367.23649999999998</v>
      </c>
      <c r="M66">
        <v>0.99924760000000001</v>
      </c>
      <c r="N66">
        <v>-1.1033960000000001E-2</v>
      </c>
      <c r="O66">
        <v>3.7183269999999997E-2</v>
      </c>
      <c r="P66">
        <v>0.99897349999999996</v>
      </c>
      <c r="Q66">
        <v>-4.3176590000000001E-2</v>
      </c>
      <c r="R66">
        <v>1.3714809999999999E-2</v>
      </c>
      <c r="S66">
        <v>3.0016479999999999</v>
      </c>
      <c r="T66">
        <v>-3.1264420000000001E-2</v>
      </c>
      <c r="U66">
        <v>1.953125E-3</v>
      </c>
      <c r="V66">
        <v>2.344448E-2</v>
      </c>
      <c r="W66">
        <v>-3.215146E-2</v>
      </c>
      <c r="X66">
        <v>0.99920799999999999</v>
      </c>
      <c r="Y66">
        <v>3.6531199999999903E-2</v>
      </c>
      <c r="Z66">
        <v>-3.686532E-4</v>
      </c>
      <c r="AA66">
        <v>0.99933240000000001</v>
      </c>
      <c r="AB66">
        <v>13</v>
      </c>
      <c r="AC66">
        <v>107.47920000000001</v>
      </c>
      <c r="AD66">
        <v>-1.1208796002770001</v>
      </c>
      <c r="AE66">
        <v>6.4600000000041194E-2</v>
      </c>
      <c r="AF66">
        <v>3.9316882631497698</v>
      </c>
      <c r="AG66">
        <v>-1.1208796002770001</v>
      </c>
      <c r="AH66">
        <v>107.395586971317</v>
      </c>
      <c r="AI66">
        <v>90.597569713262004</v>
      </c>
      <c r="AJ66">
        <v>87.903372082829307</v>
      </c>
      <c r="AK66">
        <v>107.473376445474</v>
      </c>
      <c r="AL66">
        <v>91.842460498184195</v>
      </c>
      <c r="AM66">
        <v>88.6559121410057</v>
      </c>
      <c r="AN66">
        <v>0.99999999364329994</v>
      </c>
    </row>
    <row r="67" spans="1:40" x14ac:dyDescent="0.25">
      <c r="A67" t="str">
        <f>"20190303154415372"</f>
        <v>20190303154415372</v>
      </c>
      <c r="B67" t="str">
        <f>"1551599055360581"</f>
        <v>1551599055360581</v>
      </c>
      <c r="C67" t="s">
        <v>40</v>
      </c>
      <c r="D67">
        <v>4.5093420000000002</v>
      </c>
      <c r="E67">
        <v>0.52614869999999903</v>
      </c>
      <c r="F67" t="s">
        <v>43</v>
      </c>
      <c r="G67">
        <v>-278.0258</v>
      </c>
      <c r="H67">
        <v>-0.05</v>
      </c>
      <c r="I67">
        <v>360.03379999999999</v>
      </c>
      <c r="J67">
        <v>-469.8725</v>
      </c>
      <c r="K67">
        <v>1.120949</v>
      </c>
      <c r="L67">
        <v>367.24189999999999</v>
      </c>
      <c r="M67">
        <v>0.99922440000000001</v>
      </c>
      <c r="N67">
        <v>-1.137755E-2</v>
      </c>
      <c r="O67">
        <v>3.7699799999999999E-2</v>
      </c>
      <c r="P67">
        <v>0.99892060000000005</v>
      </c>
      <c r="Q67">
        <v>-4.4190979999999998E-2</v>
      </c>
      <c r="R67">
        <v>1.4317430000000001E-2</v>
      </c>
      <c r="S67">
        <v>3.0038450000000001</v>
      </c>
      <c r="T67">
        <v>-1.832056E-2</v>
      </c>
      <c r="U67">
        <v>-0.11270139999999999</v>
      </c>
      <c r="V67">
        <v>2.335984E-2</v>
      </c>
      <c r="W67">
        <v>-3.2820790000000002E-2</v>
      </c>
      <c r="X67">
        <v>0.99918819999999997</v>
      </c>
      <c r="Y67">
        <v>7.5137239999999994E-2</v>
      </c>
      <c r="Z67">
        <v>-4.577149E-4</v>
      </c>
      <c r="AA67">
        <v>0.99717310000000003</v>
      </c>
      <c r="AB67">
        <v>12</v>
      </c>
      <c r="AC67">
        <v>191.8467</v>
      </c>
      <c r="AD67">
        <v>-1.170949</v>
      </c>
      <c r="AE67">
        <v>-7.2081</v>
      </c>
      <c r="AF67">
        <v>14.4354880926739</v>
      </c>
      <c r="AG67">
        <v>-1.170949</v>
      </c>
      <c r="AH67">
        <v>191.43141748396101</v>
      </c>
      <c r="AI67">
        <v>90.349470664298096</v>
      </c>
      <c r="AJ67">
        <v>85.687593197491694</v>
      </c>
      <c r="AK67">
        <v>191.97849368601899</v>
      </c>
      <c r="AL67">
        <v>91.880830574875105</v>
      </c>
      <c r="AM67">
        <v>88.660736310114999</v>
      </c>
      <c r="AN67">
        <v>0.99999997270014396</v>
      </c>
    </row>
    <row r="68" spans="1:40" x14ac:dyDescent="0.25">
      <c r="A68" t="str">
        <f>"20190303154415393"</f>
        <v>20190303154415393</v>
      </c>
      <c r="B68" t="str">
        <f>"1551599055389861"</f>
        <v>1551599055389861</v>
      </c>
      <c r="C68" t="s">
        <v>40</v>
      </c>
      <c r="D68">
        <v>4.4807769999999998</v>
      </c>
      <c r="E68">
        <v>0.53088630000000003</v>
      </c>
      <c r="F68" t="s">
        <v>44</v>
      </c>
      <c r="G68">
        <v>20.110749999999999</v>
      </c>
      <c r="H68">
        <v>-0.1</v>
      </c>
      <c r="I68">
        <v>340.30900000000003</v>
      </c>
      <c r="J68">
        <v>-469.75240000000002</v>
      </c>
      <c r="K68">
        <v>1.1210169999999999</v>
      </c>
      <c r="L68">
        <v>367.24700000000001</v>
      </c>
      <c r="M68">
        <v>0.99920339999999996</v>
      </c>
      <c r="N68">
        <v>-1.1657310000000001E-2</v>
      </c>
      <c r="O68">
        <v>3.8167550000000001E-2</v>
      </c>
      <c r="P68">
        <v>0.99891790000000003</v>
      </c>
      <c r="Q68">
        <v>-4.4370840000000002E-2</v>
      </c>
      <c r="R68">
        <v>1.395563E-2</v>
      </c>
      <c r="S68">
        <v>3.00528</v>
      </c>
      <c r="T68">
        <v>-7.4886079999999999E-3</v>
      </c>
      <c r="U68">
        <v>-0.1651917</v>
      </c>
      <c r="V68">
        <v>2.4191839999999999E-2</v>
      </c>
      <c r="W68">
        <v>-3.2719150000000002E-2</v>
      </c>
      <c r="X68">
        <v>0.9991717</v>
      </c>
      <c r="Y68">
        <v>9.29537E-2</v>
      </c>
      <c r="Z68">
        <v>-3.0841590000000002E-4</v>
      </c>
      <c r="AA68">
        <v>0.99567039999999996</v>
      </c>
      <c r="AB68">
        <v>12</v>
      </c>
      <c r="AC68">
        <v>489.86315000000002</v>
      </c>
      <c r="AD68">
        <v>-1.221017</v>
      </c>
      <c r="AE68">
        <v>-26.937999999999899</v>
      </c>
      <c r="AF68">
        <v>45.6162324532811</v>
      </c>
      <c r="AG68">
        <v>-1.221017</v>
      </c>
      <c r="AH68">
        <v>488.47491150658499</v>
      </c>
      <c r="AI68">
        <v>90.142598745245905</v>
      </c>
      <c r="AJ68">
        <v>84.664906084580593</v>
      </c>
      <c r="AK68">
        <v>490.60174349171598</v>
      </c>
      <c r="AL68">
        <v>91.875003969276605</v>
      </c>
      <c r="AM68">
        <v>88.613031597562397</v>
      </c>
      <c r="AN68">
        <v>0.99999993699009704</v>
      </c>
    </row>
    <row r="69" spans="1:40" x14ac:dyDescent="0.25">
      <c r="A69" t="str">
        <f>"20190303154415415"</f>
        <v>20190303154415415</v>
      </c>
      <c r="B69" t="str">
        <f>"1551599055410357"</f>
        <v>1551599055410357</v>
      </c>
      <c r="C69" t="s">
        <v>40</v>
      </c>
      <c r="D69">
        <v>4.4699460000000002</v>
      </c>
      <c r="E69">
        <v>0.53233629999999998</v>
      </c>
      <c r="F69" t="s">
        <v>45</v>
      </c>
      <c r="G69">
        <v>0</v>
      </c>
      <c r="H69">
        <v>0</v>
      </c>
      <c r="I69">
        <v>0</v>
      </c>
      <c r="J69">
        <v>-469.63679999999999</v>
      </c>
      <c r="K69">
        <v>1.1210819999999999</v>
      </c>
      <c r="L69">
        <v>367.25200000000001</v>
      </c>
      <c r="M69">
        <v>0.99918240000000003</v>
      </c>
      <c r="N69">
        <v>-1.1894979999999999E-2</v>
      </c>
      <c r="O69">
        <v>3.8641460000000002E-2</v>
      </c>
      <c r="P69">
        <v>0.99891010000000002</v>
      </c>
      <c r="Q69">
        <v>-4.4623169999999997E-2</v>
      </c>
      <c r="R69">
        <v>1.369451E-2</v>
      </c>
      <c r="S69">
        <v>3.0063170000000001</v>
      </c>
      <c r="T69">
        <v>3.9741990000000003E-3</v>
      </c>
      <c r="U69">
        <v>-0.20401</v>
      </c>
      <c r="V69">
        <v>2.492834E-2</v>
      </c>
      <c r="W69">
        <v>-3.2732579999999997E-2</v>
      </c>
      <c r="X69">
        <v>0.99915319999999996</v>
      </c>
      <c r="Y69">
        <v>0.1062071</v>
      </c>
      <c r="Z69" s="1">
        <v>-5.2200219999999997E-5</v>
      </c>
      <c r="AA69">
        <v>0.99434409999999895</v>
      </c>
      <c r="AB69">
        <v>12</v>
      </c>
      <c r="AC69">
        <v>3.0063170000000001</v>
      </c>
      <c r="AD69">
        <v>3.9741990000000003E-3</v>
      </c>
      <c r="AE69">
        <v>-0.20401</v>
      </c>
      <c r="AF69">
        <v>0.32003374509549198</v>
      </c>
      <c r="AG69">
        <v>3.9741990000000003E-3</v>
      </c>
      <c r="AH69">
        <v>2.9961823706437101</v>
      </c>
      <c r="AI69">
        <v>89.924431587850194</v>
      </c>
      <c r="AJ69">
        <v>83.903134413069907</v>
      </c>
      <c r="AK69">
        <v>3.01322853272262</v>
      </c>
      <c r="AL69">
        <v>91.875773782383405</v>
      </c>
      <c r="AM69">
        <v>88.570797326704906</v>
      </c>
      <c r="AN69">
        <v>0.99999998049942496</v>
      </c>
    </row>
    <row r="70" spans="1:40" x14ac:dyDescent="0.25">
      <c r="A70" t="str">
        <f>"20190303154415437"</f>
        <v>20190303154415437</v>
      </c>
      <c r="B70" t="str">
        <f>"1551599055429877"</f>
        <v>1551599055429877</v>
      </c>
      <c r="C70" t="s">
        <v>40</v>
      </c>
      <c r="D70">
        <v>4.4712350000000001</v>
      </c>
      <c r="E70">
        <v>0.53346910000000003</v>
      </c>
      <c r="F70" t="s">
        <v>45</v>
      </c>
      <c r="G70">
        <v>0</v>
      </c>
      <c r="H70">
        <v>0</v>
      </c>
      <c r="I70">
        <v>0</v>
      </c>
      <c r="J70">
        <v>-469.512</v>
      </c>
      <c r="K70">
        <v>1.1211279999999999</v>
      </c>
      <c r="L70">
        <v>367.25740000000002</v>
      </c>
      <c r="M70">
        <v>0.99915869999999996</v>
      </c>
      <c r="N70">
        <v>-1.2117660000000001E-2</v>
      </c>
      <c r="O70">
        <v>3.9182710000000003E-2</v>
      </c>
      <c r="P70">
        <v>0.99890489999999998</v>
      </c>
      <c r="Q70">
        <v>-4.484403E-2</v>
      </c>
      <c r="R70">
        <v>1.334931E-2</v>
      </c>
      <c r="S70">
        <v>3.0065</v>
      </c>
      <c r="T70">
        <v>5.7606699999999999E-3</v>
      </c>
      <c r="U70">
        <v>-0.21640010000000001</v>
      </c>
      <c r="V70">
        <v>2.5815379999999999E-2</v>
      </c>
      <c r="W70">
        <v>-3.2730090000000003E-2</v>
      </c>
      <c r="X70">
        <v>0.99913079999999999</v>
      </c>
      <c r="Y70">
        <v>0.11081829999999999</v>
      </c>
      <c r="Z70" s="1">
        <v>-1.7167879999999899E-5</v>
      </c>
      <c r="AA70">
        <v>0.99384070000000002</v>
      </c>
      <c r="AB70">
        <v>12</v>
      </c>
      <c r="AC70">
        <v>3.0065</v>
      </c>
      <c r="AD70">
        <v>5.7606699999999999E-3</v>
      </c>
      <c r="AE70">
        <v>-0.21640010000000001</v>
      </c>
      <c r="AF70">
        <v>0.334044127811155</v>
      </c>
      <c r="AG70">
        <v>5.7606699999999999E-3</v>
      </c>
      <c r="AH70">
        <v>2.9957001524987099</v>
      </c>
      <c r="AI70">
        <v>89.890500181838306</v>
      </c>
      <c r="AJ70">
        <v>83.637354140215095</v>
      </c>
      <c r="AK70">
        <v>3.0142723945132701</v>
      </c>
      <c r="AL70">
        <v>91.875630957650202</v>
      </c>
      <c r="AM70">
        <v>88.519930219821106</v>
      </c>
      <c r="AN70">
        <v>1.0000000240722899</v>
      </c>
    </row>
    <row r="71" spans="1:40" x14ac:dyDescent="0.25">
      <c r="A71" t="str">
        <f>"20190303154415460"</f>
        <v>20190303154415460</v>
      </c>
      <c r="B71" t="str">
        <f>"1551599055450373"</f>
        <v>1551599055450373</v>
      </c>
      <c r="C71" t="s">
        <v>40</v>
      </c>
      <c r="D71">
        <v>4.4632680000000002</v>
      </c>
      <c r="E71">
        <v>0.53462100000000001</v>
      </c>
      <c r="F71" t="s">
        <v>46</v>
      </c>
      <c r="G71">
        <v>-142.6096</v>
      </c>
      <c r="H71">
        <v>2.0514239999999999</v>
      </c>
      <c r="I71">
        <v>342.64400000000001</v>
      </c>
      <c r="J71">
        <v>-469.39060000000001</v>
      </c>
      <c r="K71">
        <v>1.1211709999999999</v>
      </c>
      <c r="L71">
        <v>367.26280000000003</v>
      </c>
      <c r="M71">
        <v>0.99913510000000005</v>
      </c>
      <c r="N71">
        <v>-1.230258E-2</v>
      </c>
      <c r="O71">
        <v>3.9720289999999998E-2</v>
      </c>
      <c r="P71">
        <v>0.99883330000000004</v>
      </c>
      <c r="Q71">
        <v>-4.6431310000000003E-2</v>
      </c>
      <c r="R71">
        <v>1.328206E-2</v>
      </c>
      <c r="S71">
        <v>3.006653</v>
      </c>
      <c r="T71">
        <v>8.5563659999999993E-3</v>
      </c>
      <c r="U71">
        <v>-0.22637940000000001</v>
      </c>
      <c r="V71">
        <v>2.6418090000000002E-2</v>
      </c>
      <c r="W71">
        <v>-3.4132900000000001E-2</v>
      </c>
      <c r="X71">
        <v>0.99906810000000001</v>
      </c>
      <c r="Y71">
        <v>0.1146292</v>
      </c>
      <c r="Z71" s="1">
        <v>5.7534490000000002E-5</v>
      </c>
      <c r="AA71">
        <v>0.99340830000000002</v>
      </c>
      <c r="AB71">
        <v>12</v>
      </c>
      <c r="AC71">
        <v>326.78100000000001</v>
      </c>
      <c r="AD71">
        <v>0.930253</v>
      </c>
      <c r="AE71">
        <v>-24.6188</v>
      </c>
      <c r="AF71">
        <v>37.579884463207698</v>
      </c>
      <c r="AG71">
        <v>0.930253</v>
      </c>
      <c r="AH71">
        <v>325.542514639491</v>
      </c>
      <c r="AI71">
        <v>89.837355168482802</v>
      </c>
      <c r="AJ71">
        <v>83.415052875997404</v>
      </c>
      <c r="AK71">
        <v>327.705724583375</v>
      </c>
      <c r="AL71">
        <v>91.956051017851706</v>
      </c>
      <c r="AM71">
        <v>88.485296028968605</v>
      </c>
      <c r="AN71">
        <v>1.0000000193896299</v>
      </c>
    </row>
    <row r="72" spans="1:40" x14ac:dyDescent="0.25">
      <c r="A72" t="str">
        <f>"20190303154415486"</f>
        <v>20190303154415486</v>
      </c>
      <c r="B72" t="str">
        <f>"1551599055480628"</f>
        <v>1551599055480628</v>
      </c>
      <c r="C72" t="s">
        <v>40</v>
      </c>
      <c r="D72">
        <v>4.4638269999999904</v>
      </c>
      <c r="E72">
        <v>0.53589249999999999</v>
      </c>
      <c r="F72" t="s">
        <v>47</v>
      </c>
      <c r="G72">
        <v>-229.93639999999999</v>
      </c>
      <c r="H72">
        <v>1.713657</v>
      </c>
      <c r="I72">
        <v>348.51170000000002</v>
      </c>
      <c r="J72">
        <v>-469.24900000000002</v>
      </c>
      <c r="K72">
        <v>1.1212059999999999</v>
      </c>
      <c r="L72">
        <v>367.26920000000001</v>
      </c>
      <c r="M72">
        <v>0.9991082</v>
      </c>
      <c r="N72">
        <v>-1.2484800000000001E-2</v>
      </c>
      <c r="O72">
        <v>4.0337749999999999E-2</v>
      </c>
      <c r="P72">
        <v>0.9987954</v>
      </c>
      <c r="Q72">
        <v>-4.7144909999999998E-2</v>
      </c>
      <c r="R72">
        <v>1.36113E-2</v>
      </c>
      <c r="S72">
        <v>3.0070190000000001</v>
      </c>
      <c r="T72">
        <v>7.4412819999999996E-3</v>
      </c>
      <c r="U72">
        <v>-0.23547360000000001</v>
      </c>
      <c r="V72">
        <v>2.670525E-2</v>
      </c>
      <c r="W72">
        <v>-3.4664590000000002E-2</v>
      </c>
      <c r="X72">
        <v>0.99904219999999999</v>
      </c>
      <c r="Y72">
        <v>0.1182202</v>
      </c>
      <c r="Z72" s="1">
        <v>9.3675329999999999E-6</v>
      </c>
      <c r="AA72">
        <v>0.99298739999999996</v>
      </c>
      <c r="AB72">
        <v>12</v>
      </c>
      <c r="AC72">
        <v>239.3126</v>
      </c>
      <c r="AD72">
        <v>0.59245099999999995</v>
      </c>
      <c r="AE72">
        <v>-18.7575</v>
      </c>
      <c r="AF72">
        <v>28.396141243128099</v>
      </c>
      <c r="AG72">
        <v>0.59245099999999995</v>
      </c>
      <c r="AH72">
        <v>238.35964737671</v>
      </c>
      <c r="AI72">
        <v>89.8585896178638</v>
      </c>
      <c r="AJ72">
        <v>83.206286866393597</v>
      </c>
      <c r="AK72">
        <v>240.04585672999301</v>
      </c>
      <c r="AL72">
        <v>91.9865325677698</v>
      </c>
      <c r="AM72">
        <v>88.468799582234894</v>
      </c>
      <c r="AN72">
        <v>1.00000006077913</v>
      </c>
    </row>
    <row r="73" spans="1:40" x14ac:dyDescent="0.25">
      <c r="A73" t="str">
        <f>"20190303154415507"</f>
        <v>20190303154415507</v>
      </c>
      <c r="B73" t="str">
        <f>"1551599055500149"</f>
        <v>1551599055500149</v>
      </c>
      <c r="C73" t="s">
        <v>40</v>
      </c>
      <c r="D73">
        <v>4.476216</v>
      </c>
      <c r="E73">
        <v>0.53653130000000004</v>
      </c>
      <c r="F73" t="s">
        <v>47</v>
      </c>
      <c r="G73">
        <v>-238.6164</v>
      </c>
      <c r="H73">
        <v>1.8494109999999999</v>
      </c>
      <c r="I73">
        <v>348.51170000000002</v>
      </c>
      <c r="J73">
        <v>-469.12990000000002</v>
      </c>
      <c r="K73">
        <v>1.1212249999999999</v>
      </c>
      <c r="L73">
        <v>367.27460000000002</v>
      </c>
      <c r="M73">
        <v>0.99908569999999997</v>
      </c>
      <c r="N73">
        <v>-1.2616560000000001E-2</v>
      </c>
      <c r="O73">
        <v>4.0847109999999999E-2</v>
      </c>
      <c r="P73">
        <v>0.99875320000000001</v>
      </c>
      <c r="Q73">
        <v>-4.7939879999999997E-2</v>
      </c>
      <c r="R73">
        <v>1.3929499999999999E-2</v>
      </c>
      <c r="S73">
        <v>3.0074459999999998</v>
      </c>
      <c r="T73">
        <v>9.4968080000000007E-3</v>
      </c>
      <c r="U73">
        <v>-0.24459839999999999</v>
      </c>
      <c r="V73">
        <v>2.6895059999999998E-2</v>
      </c>
      <c r="W73">
        <v>-3.5328320000000003E-2</v>
      </c>
      <c r="X73">
        <v>0.99901379999999995</v>
      </c>
      <c r="Y73">
        <v>0.12170830000000001</v>
      </c>
      <c r="Z73" s="1">
        <v>6.5993050000000007E-5</v>
      </c>
      <c r="AA73">
        <v>0.9925659</v>
      </c>
      <c r="AB73">
        <v>12</v>
      </c>
      <c r="AC73">
        <v>230.51349999999999</v>
      </c>
      <c r="AD73">
        <v>0.728186</v>
      </c>
      <c r="AE73">
        <v>-18.762899999999998</v>
      </c>
      <c r="AF73">
        <v>28.163519195633398</v>
      </c>
      <c r="AG73">
        <v>0.728186</v>
      </c>
      <c r="AH73">
        <v>229.55233780392101</v>
      </c>
      <c r="AI73">
        <v>89.819599583238698</v>
      </c>
      <c r="AJ73">
        <v>83.005400760931394</v>
      </c>
      <c r="AK73">
        <v>231.27470648468901</v>
      </c>
      <c r="AL73">
        <v>92.0245849192831</v>
      </c>
      <c r="AM73">
        <v>88.457877854937294</v>
      </c>
      <c r="AN73">
        <v>1.00000000351843</v>
      </c>
    </row>
    <row r="74" spans="1:40" x14ac:dyDescent="0.25">
      <c r="A74" t="str">
        <f>"20190303154415528"</f>
        <v>20190303154415528</v>
      </c>
      <c r="B74" t="str">
        <f>"1551599055520646"</f>
        <v>1551599055520646</v>
      </c>
      <c r="C74" t="s">
        <v>40</v>
      </c>
      <c r="D74">
        <v>4.4696449999999999</v>
      </c>
      <c r="E74">
        <v>0.53695539999999997</v>
      </c>
      <c r="F74" t="s">
        <v>47</v>
      </c>
      <c r="G74">
        <v>-242.53729999999999</v>
      </c>
      <c r="H74">
        <v>1.878925</v>
      </c>
      <c r="I74">
        <v>348.51170000000002</v>
      </c>
      <c r="J74">
        <v>-469.01710000000003</v>
      </c>
      <c r="K74">
        <v>1.1212530000000001</v>
      </c>
      <c r="L74">
        <v>367.2799</v>
      </c>
      <c r="M74">
        <v>0.99906470000000003</v>
      </c>
      <c r="N74">
        <v>-1.2725510000000001E-2</v>
      </c>
      <c r="O74">
        <v>4.1325649999999998E-2</v>
      </c>
      <c r="P74">
        <v>0.99872039999999995</v>
      </c>
      <c r="Q74">
        <v>-4.8429430000000002E-2</v>
      </c>
      <c r="R74">
        <v>1.4571270000000001E-2</v>
      </c>
      <c r="S74">
        <v>3.0077210000000001</v>
      </c>
      <c r="T74">
        <v>1.005852E-2</v>
      </c>
      <c r="U74">
        <v>-0.249054</v>
      </c>
      <c r="V74">
        <v>2.6730799999999999E-2</v>
      </c>
      <c r="W74">
        <v>-3.5709390000000001E-2</v>
      </c>
      <c r="X74">
        <v>0.99900469999999997</v>
      </c>
      <c r="Y74">
        <v>0.1236366</v>
      </c>
      <c r="Z74" s="1">
        <v>8.1230890000000001E-5</v>
      </c>
      <c r="AA74">
        <v>0.99232759999999998</v>
      </c>
      <c r="AB74">
        <v>12</v>
      </c>
      <c r="AC74">
        <v>226.47980000000001</v>
      </c>
      <c r="AD74">
        <v>0.75767199999999901</v>
      </c>
      <c r="AE74">
        <v>-18.768199999999901</v>
      </c>
      <c r="AF74">
        <v>28.112034578086401</v>
      </c>
      <c r="AG74">
        <v>0.75767199999999901</v>
      </c>
      <c r="AH74">
        <v>225.50811634303599</v>
      </c>
      <c r="AI74">
        <v>89.808974433342499</v>
      </c>
      <c r="AJ74">
        <v>82.894117082507904</v>
      </c>
      <c r="AK74">
        <v>227.25485933542399</v>
      </c>
      <c r="AL74">
        <v>92.046432325988405</v>
      </c>
      <c r="AM74">
        <v>88.467277814123307</v>
      </c>
      <c r="AN74">
        <v>1.0000000434124501</v>
      </c>
    </row>
    <row r="75" spans="1:40" x14ac:dyDescent="0.25">
      <c r="A75" t="str">
        <f>"20190303154415548"</f>
        <v>20190303154415548</v>
      </c>
      <c r="B75" t="str">
        <f>"1551599055540165"</f>
        <v>1551599055540165</v>
      </c>
      <c r="C75" t="s">
        <v>40</v>
      </c>
      <c r="D75">
        <v>4.4771260000000002</v>
      </c>
      <c r="E75">
        <v>0.5373346</v>
      </c>
      <c r="F75" t="s">
        <v>47</v>
      </c>
      <c r="G75">
        <v>-243.33150000000001</v>
      </c>
      <c r="H75">
        <v>2.0045850000000001</v>
      </c>
      <c r="I75">
        <v>348.51170000000002</v>
      </c>
      <c r="J75">
        <v>-468.90559999999999</v>
      </c>
      <c r="K75">
        <v>1.12127</v>
      </c>
      <c r="L75">
        <v>367.2851</v>
      </c>
      <c r="M75">
        <v>0.99904380000000004</v>
      </c>
      <c r="N75">
        <v>-1.2819399999999899E-2</v>
      </c>
      <c r="O75">
        <v>4.1800919999999998E-2</v>
      </c>
      <c r="P75">
        <v>0.99870210000000004</v>
      </c>
      <c r="Q75">
        <v>-4.8481879999999998E-2</v>
      </c>
      <c r="R75">
        <v>1.561221E-2</v>
      </c>
      <c r="S75">
        <v>3.008057</v>
      </c>
      <c r="T75">
        <v>1.177454E-2</v>
      </c>
      <c r="U75">
        <v>-0.2501526</v>
      </c>
      <c r="V75">
        <v>2.6164699999999999E-2</v>
      </c>
      <c r="W75">
        <v>-3.5668289999999998E-2</v>
      </c>
      <c r="X75">
        <v>0.9990211</v>
      </c>
      <c r="Y75">
        <v>0.12445920000000001</v>
      </c>
      <c r="Z75">
        <v>1.4223259999999999E-4</v>
      </c>
      <c r="AA75">
        <v>0.99222469999999996</v>
      </c>
      <c r="AB75">
        <v>12</v>
      </c>
      <c r="AC75">
        <v>225.57409999999999</v>
      </c>
      <c r="AD75">
        <v>0.88331499999999996</v>
      </c>
      <c r="AE75">
        <v>-18.773399999999899</v>
      </c>
      <c r="AF75">
        <v>28.1865383513266</v>
      </c>
      <c r="AG75">
        <v>0.88331499999999996</v>
      </c>
      <c r="AH75">
        <v>224.588676782703</v>
      </c>
      <c r="AI75">
        <v>89.776408880521501</v>
      </c>
      <c r="AJ75">
        <v>82.846612618473102</v>
      </c>
      <c r="AK75">
        <v>226.35223641180499</v>
      </c>
      <c r="AL75">
        <v>92.044076081053205</v>
      </c>
      <c r="AM75">
        <v>88.499747146516796</v>
      </c>
      <c r="AN75">
        <v>0.99999998834141202</v>
      </c>
    </row>
    <row r="76" spans="1:40" x14ac:dyDescent="0.25">
      <c r="A76" t="str">
        <f>"20190303154415573"</f>
        <v>20190303154415573</v>
      </c>
      <c r="B76" t="str">
        <f>"1551599055570420"</f>
        <v>1551599055570420</v>
      </c>
      <c r="C76" t="s">
        <v>40</v>
      </c>
      <c r="D76">
        <v>4.487635</v>
      </c>
      <c r="E76">
        <v>0.53785819999999995</v>
      </c>
      <c r="F76" t="s">
        <v>47</v>
      </c>
      <c r="G76">
        <v>-242.85599999999999</v>
      </c>
      <c r="H76">
        <v>2.1477870000000001</v>
      </c>
      <c r="I76">
        <v>348.51170000000002</v>
      </c>
      <c r="J76">
        <v>-468.77199999999999</v>
      </c>
      <c r="K76">
        <v>1.121291</v>
      </c>
      <c r="L76">
        <v>367.29140000000001</v>
      </c>
      <c r="M76">
        <v>0.99901850000000003</v>
      </c>
      <c r="N76">
        <v>-1.2915879999999999E-2</v>
      </c>
      <c r="O76">
        <v>4.2371649999999997E-2</v>
      </c>
      <c r="P76">
        <v>0.99865289999999995</v>
      </c>
      <c r="Q76">
        <v>-4.9176270000000001E-2</v>
      </c>
      <c r="R76">
        <v>1.6563789999999998E-2</v>
      </c>
      <c r="S76">
        <v>3.0083920000000002</v>
      </c>
      <c r="T76">
        <v>1.366246E-2</v>
      </c>
      <c r="U76">
        <v>-0.2498474</v>
      </c>
      <c r="V76">
        <v>2.5782269999999999E-2</v>
      </c>
      <c r="W76">
        <v>-3.6266890000000003E-2</v>
      </c>
      <c r="X76">
        <v>0.99900949999999999</v>
      </c>
      <c r="Y76">
        <v>0.1249166</v>
      </c>
      <c r="Z76">
        <v>2.1340500000000001E-4</v>
      </c>
      <c r="AA76">
        <v>0.99216720000000003</v>
      </c>
      <c r="AB76">
        <v>12</v>
      </c>
      <c r="AC76">
        <v>225.916</v>
      </c>
      <c r="AD76">
        <v>1.0264959999999901</v>
      </c>
      <c r="AE76">
        <v>-18.779699999999899</v>
      </c>
      <c r="AF76">
        <v>28.335482051789999</v>
      </c>
      <c r="AG76">
        <v>1.0264959999999901</v>
      </c>
      <c r="AH76">
        <v>224.91267043392199</v>
      </c>
      <c r="AI76">
        <v>89.740556081576798</v>
      </c>
      <c r="AJ76">
        <v>82.8194576039579</v>
      </c>
      <c r="AK76">
        <v>226.69288157960199</v>
      </c>
      <c r="AL76">
        <v>92.078395523910302</v>
      </c>
      <c r="AM76">
        <v>88.5216482679064</v>
      </c>
      <c r="AN76">
        <v>0.999999996923437</v>
      </c>
    </row>
    <row r="77" spans="1:40" x14ac:dyDescent="0.25">
      <c r="A77" t="str">
        <f>"20190303154415592"</f>
        <v>20190303154415592</v>
      </c>
      <c r="B77" t="str">
        <f>"1551599055589941"</f>
        <v>1551599055589941</v>
      </c>
      <c r="C77" t="s">
        <v>40</v>
      </c>
      <c r="D77">
        <v>4.4764439999999999</v>
      </c>
      <c r="E77">
        <v>0.53827809999999998</v>
      </c>
      <c r="F77" t="s">
        <v>47</v>
      </c>
      <c r="G77">
        <v>-243.86519999999999</v>
      </c>
      <c r="H77">
        <v>2.308265</v>
      </c>
      <c r="I77">
        <v>348.51170000000002</v>
      </c>
      <c r="J77">
        <v>-468.66579999999999</v>
      </c>
      <c r="K77">
        <v>1.1213</v>
      </c>
      <c r="L77">
        <v>367.29640000000001</v>
      </c>
      <c r="M77">
        <v>0.99899830000000001</v>
      </c>
      <c r="N77">
        <v>-1.298186E-2</v>
      </c>
      <c r="O77">
        <v>4.2824099999999997E-2</v>
      </c>
      <c r="P77">
        <v>0.99859399999999998</v>
      </c>
      <c r="Q77">
        <v>-4.9992630000000003E-2</v>
      </c>
      <c r="R77">
        <v>1.7632450000000001E-2</v>
      </c>
      <c r="S77">
        <v>3.0090029999999999</v>
      </c>
      <c r="T77">
        <v>1.588142E-2</v>
      </c>
      <c r="U77">
        <v>-0.25125120000000001</v>
      </c>
      <c r="V77">
        <v>2.5164539999999999E-2</v>
      </c>
      <c r="W77">
        <v>-3.7017910000000001E-2</v>
      </c>
      <c r="X77">
        <v>0.99899769999999999</v>
      </c>
      <c r="Y77">
        <v>0.12580859999999999</v>
      </c>
      <c r="Z77">
        <v>2.9390770000000001E-4</v>
      </c>
      <c r="AA77">
        <v>0.99205449999999995</v>
      </c>
      <c r="AB77">
        <v>12</v>
      </c>
      <c r="AC77">
        <v>224.8006</v>
      </c>
      <c r="AD77">
        <v>1.186965</v>
      </c>
      <c r="AE77">
        <v>-18.784699999999901</v>
      </c>
      <c r="AF77">
        <v>28.3943729104863</v>
      </c>
      <c r="AG77">
        <v>1.186965</v>
      </c>
      <c r="AH77">
        <v>223.78363802267199</v>
      </c>
      <c r="AI77">
        <v>89.698518877043895</v>
      </c>
      <c r="AJ77">
        <v>82.768771789518993</v>
      </c>
      <c r="AK77">
        <v>225.580952089384</v>
      </c>
      <c r="AL77">
        <v>92.121454728235307</v>
      </c>
      <c r="AM77">
        <v>88.557036623919998</v>
      </c>
      <c r="AN77">
        <v>0.99999999216973401</v>
      </c>
    </row>
    <row r="78" spans="1:40" x14ac:dyDescent="0.25">
      <c r="A78" t="str">
        <f>"20190303154415616"</f>
        <v>20190303154415616</v>
      </c>
      <c r="B78" t="str">
        <f>"1551599055610437"</f>
        <v>1551599055610437</v>
      </c>
      <c r="C78" t="s">
        <v>40</v>
      </c>
      <c r="D78">
        <v>4.4789529999999997</v>
      </c>
      <c r="E78">
        <v>0.53854690000000005</v>
      </c>
      <c r="F78" t="s">
        <v>47</v>
      </c>
      <c r="G78">
        <v>-243.6343</v>
      </c>
      <c r="H78">
        <v>2.3765100000000001</v>
      </c>
      <c r="I78">
        <v>348.51170000000002</v>
      </c>
      <c r="J78">
        <v>-468.53969999999998</v>
      </c>
      <c r="K78">
        <v>1.1213249999999999</v>
      </c>
      <c r="L78">
        <v>367.30250000000001</v>
      </c>
      <c r="M78">
        <v>0.99897460000000005</v>
      </c>
      <c r="N78">
        <v>-1.3049659999999999E-2</v>
      </c>
      <c r="O78">
        <v>4.3356789999999999E-2</v>
      </c>
      <c r="P78">
        <v>0.99854500000000002</v>
      </c>
      <c r="Q78">
        <v>-5.0833950000000003E-2</v>
      </c>
      <c r="R78">
        <v>1.8004940000000001E-2</v>
      </c>
      <c r="S78">
        <v>3.0094910000000001</v>
      </c>
      <c r="T78">
        <v>1.678777E-2</v>
      </c>
      <c r="U78">
        <v>-0.25122070000000002</v>
      </c>
      <c r="V78">
        <v>2.5322839999999999E-2</v>
      </c>
      <c r="W78">
        <v>-3.7791980000000003E-2</v>
      </c>
      <c r="X78">
        <v>0.99896470000000004</v>
      </c>
      <c r="Y78">
        <v>0.12631389999999901</v>
      </c>
      <c r="Z78">
        <v>3.3224049999999998E-4</v>
      </c>
      <c r="AA78">
        <v>0.99199029999999999</v>
      </c>
      <c r="AB78">
        <v>12</v>
      </c>
      <c r="AC78">
        <v>224.90539999999999</v>
      </c>
      <c r="AD78">
        <v>1.25518499999999</v>
      </c>
      <c r="AE78">
        <v>-18.790799999999901</v>
      </c>
      <c r="AF78">
        <v>28.5242496715877</v>
      </c>
      <c r="AG78">
        <v>1.25518499999999</v>
      </c>
      <c r="AH78">
        <v>223.87217214717199</v>
      </c>
      <c r="AI78">
        <v>89.681339010750705</v>
      </c>
      <c r="AJ78">
        <v>82.738890406732594</v>
      </c>
      <c r="AK78">
        <v>225.68552849175799</v>
      </c>
      <c r="AL78">
        <v>92.165836767935204</v>
      </c>
      <c r="AM78">
        <v>88.547915449273901</v>
      </c>
      <c r="AN78">
        <v>0.99999997591203704</v>
      </c>
    </row>
    <row r="79" spans="1:40" x14ac:dyDescent="0.25">
      <c r="A79" t="str">
        <f>"20190303154415638"</f>
        <v>20190303154415638</v>
      </c>
      <c r="B79" t="str">
        <f>"1551599055629957"</f>
        <v>1551599055629957</v>
      </c>
      <c r="C79" t="s">
        <v>40</v>
      </c>
      <c r="D79">
        <v>4.4563280000000001</v>
      </c>
      <c r="E79">
        <v>0.53876969999999902</v>
      </c>
      <c r="F79" t="s">
        <v>47</v>
      </c>
      <c r="G79">
        <v>-243.9564</v>
      </c>
      <c r="H79">
        <v>2.3585850000000002</v>
      </c>
      <c r="I79">
        <v>348.51170000000002</v>
      </c>
      <c r="J79">
        <v>-468.4196</v>
      </c>
      <c r="K79">
        <v>1.1213420000000001</v>
      </c>
      <c r="L79">
        <v>367.30829999999997</v>
      </c>
      <c r="M79">
        <v>0.99895160000000005</v>
      </c>
      <c r="N79">
        <v>-1.310499E-2</v>
      </c>
      <c r="O79">
        <v>4.3861730000000002E-2</v>
      </c>
      <c r="P79">
        <v>0.99854639999999995</v>
      </c>
      <c r="Q79">
        <v>-5.0573069999999998E-2</v>
      </c>
      <c r="R79">
        <v>1.8642829999999999E-2</v>
      </c>
      <c r="S79">
        <v>3.009827</v>
      </c>
      <c r="T79">
        <v>1.6582610000000001E-2</v>
      </c>
      <c r="U79">
        <v>-0.25183109999999997</v>
      </c>
      <c r="V79">
        <v>2.5190190000000001E-2</v>
      </c>
      <c r="W79">
        <v>-3.7475679999999997E-2</v>
      </c>
      <c r="X79">
        <v>0.99897999999999998</v>
      </c>
      <c r="Y79">
        <v>0.1270059</v>
      </c>
      <c r="Z79">
        <v>3.3054690000000001E-4</v>
      </c>
      <c r="AA79">
        <v>0.9919019</v>
      </c>
      <c r="AB79">
        <v>12</v>
      </c>
      <c r="AC79">
        <v>224.4632</v>
      </c>
      <c r="AD79">
        <v>1.2372429999999901</v>
      </c>
      <c r="AE79">
        <v>-18.796599999999899</v>
      </c>
      <c r="AF79">
        <v>28.623833993438801</v>
      </c>
      <c r="AG79">
        <v>1.2372429999999901</v>
      </c>
      <c r="AH79">
        <v>223.41587913884101</v>
      </c>
      <c r="AI79">
        <v>89.685280387506296</v>
      </c>
      <c r="AJ79">
        <v>82.699091724738096</v>
      </c>
      <c r="AK79">
        <v>225.24544322606499</v>
      </c>
      <c r="AL79">
        <v>92.1477011997451</v>
      </c>
      <c r="AM79">
        <v>88.555540864760999</v>
      </c>
      <c r="AN79">
        <v>1.0000000063318399</v>
      </c>
    </row>
    <row r="80" spans="1:40" x14ac:dyDescent="0.25">
      <c r="A80" t="str">
        <f>"20190303154415661"</f>
        <v>20190303154415661</v>
      </c>
      <c r="B80" t="str">
        <f>"1551599055650453"</f>
        <v>1551599055650453</v>
      </c>
      <c r="C80" t="s">
        <v>40</v>
      </c>
      <c r="D80">
        <v>4.4356600000000004</v>
      </c>
      <c r="E80">
        <v>0.53892200000000001</v>
      </c>
      <c r="F80" t="s">
        <v>47</v>
      </c>
      <c r="G80">
        <v>-243.476</v>
      </c>
      <c r="H80">
        <v>2.596349</v>
      </c>
      <c r="I80">
        <v>348.51170000000002</v>
      </c>
      <c r="J80">
        <v>-468.2996</v>
      </c>
      <c r="K80">
        <v>1.121351</v>
      </c>
      <c r="L80">
        <v>367.31420000000003</v>
      </c>
      <c r="M80">
        <v>0.99892879999999995</v>
      </c>
      <c r="N80">
        <v>-1.315238E-2</v>
      </c>
      <c r="O80">
        <v>4.436408E-2</v>
      </c>
      <c r="P80">
        <v>0.99850459999999996</v>
      </c>
      <c r="Q80">
        <v>-5.1105070000000002E-2</v>
      </c>
      <c r="R80">
        <v>1.9413659999999999E-2</v>
      </c>
      <c r="S80">
        <v>3.0100709999999999</v>
      </c>
      <c r="T80">
        <v>1.9738789999999999E-2</v>
      </c>
      <c r="U80">
        <v>-0.25152590000000002</v>
      </c>
      <c r="V80">
        <v>2.4920560000000001E-2</v>
      </c>
      <c r="W80">
        <v>-3.7960720000000003E-2</v>
      </c>
      <c r="X80">
        <v>0.99896839999999998</v>
      </c>
      <c r="Y80">
        <v>0.12739729999999999</v>
      </c>
      <c r="Z80">
        <v>4.5053809999999998E-4</v>
      </c>
      <c r="AA80">
        <v>0.9918517</v>
      </c>
      <c r="AB80">
        <v>12</v>
      </c>
      <c r="AC80">
        <v>224.8236</v>
      </c>
      <c r="AD80">
        <v>1.474998</v>
      </c>
      <c r="AE80">
        <v>-18.802499999999998</v>
      </c>
      <c r="AF80">
        <v>28.757710647376701</v>
      </c>
      <c r="AG80">
        <v>1.474998</v>
      </c>
      <c r="AH80">
        <v>223.758414908351</v>
      </c>
      <c r="AI80">
        <v>89.625397196004698</v>
      </c>
      <c r="AJ80">
        <v>82.676421759833403</v>
      </c>
      <c r="AK80">
        <v>225.603656404492</v>
      </c>
      <c r="AL80">
        <v>92.175511840816</v>
      </c>
      <c r="AM80">
        <v>88.570978990876696</v>
      </c>
      <c r="AN80">
        <v>0.99999995738609504</v>
      </c>
    </row>
    <row r="81" spans="1:40" x14ac:dyDescent="0.25">
      <c r="A81" t="str">
        <f>"20190303154415685"</f>
        <v>20190303154415685</v>
      </c>
      <c r="B81" t="str">
        <f>"1551599055679733"</f>
        <v>1551599055679733</v>
      </c>
      <c r="C81" t="s">
        <v>40</v>
      </c>
      <c r="D81">
        <v>4.5159900000000004</v>
      </c>
      <c r="E81">
        <v>0.53915069999999998</v>
      </c>
      <c r="F81" t="s">
        <v>47</v>
      </c>
      <c r="G81">
        <v>-242.3005</v>
      </c>
      <c r="H81">
        <v>2.6510310000000001</v>
      </c>
      <c r="I81">
        <v>348.51170000000002</v>
      </c>
      <c r="J81">
        <v>-468.17250000000001</v>
      </c>
      <c r="K81">
        <v>1.121372</v>
      </c>
      <c r="L81">
        <v>367.32049999999998</v>
      </c>
      <c r="M81">
        <v>0.99890460000000003</v>
      </c>
      <c r="N81">
        <v>-1.319445E-2</v>
      </c>
      <c r="O81">
        <v>4.489464E-2</v>
      </c>
      <c r="P81">
        <v>0.99846230000000002</v>
      </c>
      <c r="Q81">
        <v>-5.153133E-2</v>
      </c>
      <c r="R81">
        <v>2.0433819999999998E-2</v>
      </c>
      <c r="S81">
        <v>3.0104060000000001</v>
      </c>
      <c r="T81">
        <v>2.0377039999999999E-2</v>
      </c>
      <c r="U81">
        <v>-0.25045780000000001</v>
      </c>
      <c r="V81">
        <v>2.4429719999999999E-2</v>
      </c>
      <c r="W81">
        <v>-3.834535E-2</v>
      </c>
      <c r="X81">
        <v>0.99896589999999996</v>
      </c>
      <c r="Y81">
        <v>0.12756509999999999</v>
      </c>
      <c r="Z81">
        <v>4.8257219999999997E-4</v>
      </c>
      <c r="AA81">
        <v>0.99183010000000005</v>
      </c>
      <c r="AB81">
        <v>12</v>
      </c>
      <c r="AC81">
        <v>225.87200000000001</v>
      </c>
      <c r="AD81">
        <v>1.5296590000000001</v>
      </c>
      <c r="AE81">
        <v>-18.808799999999898</v>
      </c>
      <c r="AF81">
        <v>28.929839441368198</v>
      </c>
      <c r="AG81">
        <v>1.5296590000000001</v>
      </c>
      <c r="AH81">
        <v>224.789493388209</v>
      </c>
      <c r="AI81">
        <v>89.613305942281997</v>
      </c>
      <c r="AJ81">
        <v>82.666489157881898</v>
      </c>
      <c r="AK81">
        <v>226.64860865332301</v>
      </c>
      <c r="AL81">
        <v>92.197565429961799</v>
      </c>
      <c r="AM81">
        <v>88.599110422286898</v>
      </c>
      <c r="AN81">
        <v>1.00000002322435</v>
      </c>
    </row>
    <row r="82" spans="1:40" x14ac:dyDescent="0.25">
      <c r="A82" t="str">
        <f>"20190303154415708"</f>
        <v>20190303154415708</v>
      </c>
      <c r="B82" t="str">
        <f>"1551599055700229"</f>
        <v>1551599055700229</v>
      </c>
      <c r="C82" t="s">
        <v>40</v>
      </c>
      <c r="D82">
        <v>4.5598400000000003</v>
      </c>
      <c r="E82">
        <v>0.53904929999999995</v>
      </c>
      <c r="F82" t="s">
        <v>47</v>
      </c>
      <c r="G82">
        <v>-240.82169999999999</v>
      </c>
      <c r="H82">
        <v>2.6848079999999999</v>
      </c>
      <c r="I82">
        <v>348.51170000000002</v>
      </c>
      <c r="J82">
        <v>-468.0496</v>
      </c>
      <c r="K82">
        <v>1.121386</v>
      </c>
      <c r="L82">
        <v>367.32659999999998</v>
      </c>
      <c r="M82">
        <v>0.99888120000000002</v>
      </c>
      <c r="N82">
        <v>-1.3229019999999999E-2</v>
      </c>
      <c r="O82">
        <v>4.5406340000000003E-2</v>
      </c>
      <c r="P82">
        <v>0.99844980000000005</v>
      </c>
      <c r="Q82">
        <v>-5.1563499999999998E-2</v>
      </c>
      <c r="R82">
        <v>2.097009E-2</v>
      </c>
      <c r="S82">
        <v>3.0108030000000001</v>
      </c>
      <c r="T82">
        <v>2.0705580000000001E-2</v>
      </c>
      <c r="U82">
        <v>-0.24908449999999999</v>
      </c>
      <c r="V82">
        <v>2.4404410000000001E-2</v>
      </c>
      <c r="W82">
        <v>-3.8343170000000003E-2</v>
      </c>
      <c r="X82">
        <v>0.99896660000000004</v>
      </c>
      <c r="Y82">
        <v>0.1276129</v>
      </c>
      <c r="Z82">
        <v>5.0381429999999999E-4</v>
      </c>
      <c r="AA82">
        <v>0.99182389999999998</v>
      </c>
      <c r="AB82">
        <v>12</v>
      </c>
      <c r="AC82">
        <v>227.22790000000001</v>
      </c>
      <c r="AD82">
        <v>1.5634220000000001</v>
      </c>
      <c r="AE82">
        <v>-18.814899999999898</v>
      </c>
      <c r="AF82">
        <v>29.112610310173299</v>
      </c>
      <c r="AG82">
        <v>1.5634220000000001</v>
      </c>
      <c r="AH82">
        <v>226.128473858116</v>
      </c>
      <c r="AI82">
        <v>89.607113510822899</v>
      </c>
      <c r="AJ82">
        <v>82.663885154365303</v>
      </c>
      <c r="AK82">
        <v>228.00016459823601</v>
      </c>
      <c r="AL82">
        <v>92.197440438320001</v>
      </c>
      <c r="AM82">
        <v>88.600562193112793</v>
      </c>
      <c r="AN82">
        <v>1.0000000209143201</v>
      </c>
    </row>
    <row r="83" spans="1:40" x14ac:dyDescent="0.25">
      <c r="A83" t="str">
        <f>"20190303154415730"</f>
        <v>20190303154415730</v>
      </c>
      <c r="B83" t="str">
        <f>"1551599055719749"</f>
        <v>1551599055719749</v>
      </c>
      <c r="C83" t="s">
        <v>40</v>
      </c>
      <c r="D83">
        <v>4.507371</v>
      </c>
      <c r="E83">
        <v>0.51069529999999996</v>
      </c>
      <c r="F83" t="s">
        <v>47</v>
      </c>
      <c r="G83">
        <v>-238.33510000000001</v>
      </c>
      <c r="H83">
        <v>2.7307450000000002</v>
      </c>
      <c r="I83">
        <v>348.51170000000002</v>
      </c>
      <c r="J83">
        <v>-467.9282</v>
      </c>
      <c r="K83">
        <v>1.1214040000000001</v>
      </c>
      <c r="L83">
        <v>367.33280000000002</v>
      </c>
      <c r="M83">
        <v>0.99885769999999996</v>
      </c>
      <c r="N83">
        <v>-1.325818E-2</v>
      </c>
      <c r="O83">
        <v>4.5908890000000001E-2</v>
      </c>
      <c r="P83">
        <v>0.99844679999999997</v>
      </c>
      <c r="Q83">
        <v>-5.1537920000000001E-2</v>
      </c>
      <c r="R83">
        <v>2.117523E-2</v>
      </c>
      <c r="S83">
        <v>3.0109249999999999</v>
      </c>
      <c r="T83">
        <v>2.1095280000000001E-2</v>
      </c>
      <c r="U83">
        <v>-0.24661250000000001</v>
      </c>
      <c r="V83">
        <v>2.4701299999999999E-2</v>
      </c>
      <c r="W83">
        <v>-3.8288660000000002E-2</v>
      </c>
      <c r="X83">
        <v>0.9989614</v>
      </c>
      <c r="Y83">
        <v>0.12729960000000001</v>
      </c>
      <c r="Z83">
        <v>5.2858089999999896E-4</v>
      </c>
      <c r="AA83">
        <v>0.99186410000000003</v>
      </c>
      <c r="AB83">
        <v>12</v>
      </c>
      <c r="AC83">
        <v>229.59309999999999</v>
      </c>
      <c r="AD83">
        <v>1.6093409999999999</v>
      </c>
      <c r="AE83">
        <v>-18.821100000000001</v>
      </c>
      <c r="AF83">
        <v>29.341110419549999</v>
      </c>
      <c r="AG83">
        <v>1.6093409999999999</v>
      </c>
      <c r="AH83">
        <v>228.47569900199599</v>
      </c>
      <c r="AI83">
        <v>89.599712851396205</v>
      </c>
      <c r="AJ83">
        <v>82.682064202363904</v>
      </c>
      <c r="AK83">
        <v>230.35762582028201</v>
      </c>
      <c r="AL83">
        <v>92.194314936526595</v>
      </c>
      <c r="AM83">
        <v>88.583536962482995</v>
      </c>
      <c r="AN83">
        <v>1.00000002719812</v>
      </c>
    </row>
    <row r="84" spans="1:40" x14ac:dyDescent="0.25">
      <c r="A84" t="str">
        <f>"20190303154415750"</f>
        <v>20190303154415750</v>
      </c>
      <c r="B84" t="str">
        <f>"1551599055740245"</f>
        <v>1551599055740245</v>
      </c>
      <c r="C84" t="s">
        <v>40</v>
      </c>
      <c r="D84">
        <v>4.5103960000000001</v>
      </c>
      <c r="E84">
        <v>0.50916669999999997</v>
      </c>
      <c r="F84" t="s">
        <v>48</v>
      </c>
      <c r="G84">
        <v>-158.19499999999999</v>
      </c>
      <c r="H84">
        <v>5.2843019999999896</v>
      </c>
      <c r="I84">
        <v>365.30540000000002</v>
      </c>
      <c r="J84">
        <v>-467.82220000000001</v>
      </c>
      <c r="K84">
        <v>1.1214109999999999</v>
      </c>
      <c r="L84">
        <v>367.33819999999997</v>
      </c>
      <c r="M84">
        <v>0.99883739999999999</v>
      </c>
      <c r="N84">
        <v>-1.3280210000000001E-2</v>
      </c>
      <c r="O84">
        <v>4.6343490000000001E-2</v>
      </c>
      <c r="P84">
        <v>0.99843630000000005</v>
      </c>
      <c r="Q84">
        <v>-5.1770049999999998E-2</v>
      </c>
      <c r="R84">
        <v>2.109598E-2</v>
      </c>
      <c r="S84">
        <v>3.0071720000000002</v>
      </c>
      <c r="T84">
        <v>4.0418030000000001E-2</v>
      </c>
      <c r="U84">
        <v>-1.9683840000000001E-2</v>
      </c>
      <c r="V84">
        <v>2.521439E-2</v>
      </c>
      <c r="W84">
        <v>-3.8499110000000003E-2</v>
      </c>
      <c r="X84">
        <v>0.99894050000000001</v>
      </c>
      <c r="Y84">
        <v>5.2868440000000003E-2</v>
      </c>
      <c r="Z84">
        <v>1.242461E-3</v>
      </c>
      <c r="AA84">
        <v>0.99860070000000001</v>
      </c>
      <c r="AB84">
        <v>12</v>
      </c>
      <c r="AC84">
        <v>309.62720000000002</v>
      </c>
      <c r="AD84">
        <v>4.1628909999999903</v>
      </c>
      <c r="AE84">
        <v>-2.0327999999999502</v>
      </c>
      <c r="AF84">
        <v>16.3781239245228</v>
      </c>
      <c r="AG84">
        <v>4.1628909999999903</v>
      </c>
      <c r="AH84">
        <v>309.14437142620397</v>
      </c>
      <c r="AI84">
        <v>89.229590682169103</v>
      </c>
      <c r="AJ84">
        <v>86.967368690244697</v>
      </c>
      <c r="AK84">
        <v>309.605902704176</v>
      </c>
      <c r="AL84">
        <v>92.206381713429394</v>
      </c>
      <c r="AM84">
        <v>88.554096626752198</v>
      </c>
      <c r="AN84">
        <v>1.0000000347370499</v>
      </c>
    </row>
    <row r="85" spans="1:40" x14ac:dyDescent="0.25">
      <c r="A85" t="str">
        <f>"20190303154415773"</f>
        <v>20190303154415773</v>
      </c>
      <c r="B85" t="str">
        <f>"1551599055770501"</f>
        <v>1551599055770501</v>
      </c>
      <c r="C85" t="s">
        <v>40</v>
      </c>
      <c r="D85">
        <v>4.520143</v>
      </c>
      <c r="E85">
        <v>0.50753000000000004</v>
      </c>
      <c r="F85" t="s">
        <v>48</v>
      </c>
      <c r="G85">
        <v>-158.19499999999999</v>
      </c>
      <c r="H85">
        <v>5.3331949999999999</v>
      </c>
      <c r="I85">
        <v>366.54950000000002</v>
      </c>
      <c r="J85">
        <v>-467.70179999999999</v>
      </c>
      <c r="K85">
        <v>1.1214200000000001</v>
      </c>
      <c r="L85">
        <v>367.34440000000001</v>
      </c>
      <c r="M85">
        <v>0.99881419999999999</v>
      </c>
      <c r="N85">
        <v>-1.330159E-2</v>
      </c>
      <c r="O85">
        <v>4.6831190000000002E-2</v>
      </c>
      <c r="P85">
        <v>0.99843570000000004</v>
      </c>
      <c r="Q85">
        <v>-5.1961750000000001E-2</v>
      </c>
      <c r="R85">
        <v>2.064904E-2</v>
      </c>
      <c r="S85">
        <v>3.0069889999999999</v>
      </c>
      <c r="T85">
        <v>4.0904160000000002E-2</v>
      </c>
      <c r="U85">
        <v>-7.6599119999999996E-3</v>
      </c>
      <c r="V85">
        <v>2.6147690000000001E-2</v>
      </c>
      <c r="W85">
        <v>-3.8669790000000002E-2</v>
      </c>
      <c r="X85">
        <v>0.99890990000000002</v>
      </c>
      <c r="Y85">
        <v>4.9362700000000002E-2</v>
      </c>
      <c r="Z85">
        <v>1.2673199999999999E-3</v>
      </c>
      <c r="AA85">
        <v>0.99878009999999995</v>
      </c>
      <c r="AB85">
        <v>12</v>
      </c>
      <c r="AC85">
        <v>309.5068</v>
      </c>
      <c r="AD85">
        <v>4.2117749999999896</v>
      </c>
      <c r="AE85">
        <v>-0.79489999999998395</v>
      </c>
      <c r="AF85">
        <v>15.287051824895</v>
      </c>
      <c r="AG85">
        <v>4.2117749999999896</v>
      </c>
      <c r="AH85">
        <v>309.07269195710398</v>
      </c>
      <c r="AI85">
        <v>89.220224175777105</v>
      </c>
      <c r="AJ85">
        <v>87.168399640764093</v>
      </c>
      <c r="AK85">
        <v>309.47917848501299</v>
      </c>
      <c r="AL85">
        <v>92.216168274075798</v>
      </c>
      <c r="AM85">
        <v>88.500555208965693</v>
      </c>
      <c r="AN85">
        <v>1.00000002133449</v>
      </c>
    </row>
    <row r="86" spans="1:40" x14ac:dyDescent="0.25">
      <c r="A86" t="str">
        <f>"20190303154415794"</f>
        <v>20190303154415794</v>
      </c>
      <c r="B86" t="str">
        <f>"1551599055790022"</f>
        <v>1551599055790022</v>
      </c>
      <c r="C86" t="s">
        <v>40</v>
      </c>
      <c r="D86">
        <v>4.5466049999999996</v>
      </c>
      <c r="E86">
        <v>0.50684490000000004</v>
      </c>
      <c r="F86" t="s">
        <v>48</v>
      </c>
      <c r="G86">
        <v>-158.78319999999999</v>
      </c>
      <c r="H86">
        <v>4.5157280000000002</v>
      </c>
      <c r="I86">
        <v>367.78660000000002</v>
      </c>
      <c r="J86">
        <v>-467.58870000000002</v>
      </c>
      <c r="K86">
        <v>1.121427</v>
      </c>
      <c r="L86">
        <v>367.3503</v>
      </c>
      <c r="M86">
        <v>0.99879289999999998</v>
      </c>
      <c r="N86">
        <v>-1.3318480000000001E-2</v>
      </c>
      <c r="O86">
        <v>4.7281240000000002E-2</v>
      </c>
      <c r="P86">
        <v>0.99842549999999997</v>
      </c>
      <c r="Q86">
        <v>-5.2197550000000002E-2</v>
      </c>
      <c r="R86">
        <v>2.0550120000000002E-2</v>
      </c>
      <c r="S86">
        <v>3.0063170000000001</v>
      </c>
      <c r="T86">
        <v>3.3033369999999999E-2</v>
      </c>
      <c r="U86">
        <v>4.3029790000000002E-3</v>
      </c>
      <c r="V86">
        <v>2.6695779999999999E-2</v>
      </c>
      <c r="W86">
        <v>-3.8889159999999999E-2</v>
      </c>
      <c r="X86">
        <v>0.99888690000000002</v>
      </c>
      <c r="Y86">
        <v>4.5842290000000001E-2</v>
      </c>
      <c r="Z86">
        <v>1.0958039999999999E-3</v>
      </c>
      <c r="AA86">
        <v>0.99894810000000001</v>
      </c>
      <c r="AB86">
        <v>12</v>
      </c>
      <c r="AC86">
        <v>308.80549999999999</v>
      </c>
      <c r="AD86">
        <v>3.394301</v>
      </c>
      <c r="AE86">
        <v>0.43630000000001701</v>
      </c>
      <c r="AF86">
        <v>14.164477673018601</v>
      </c>
      <c r="AG86">
        <v>3.394301</v>
      </c>
      <c r="AH86">
        <v>308.44344113123299</v>
      </c>
      <c r="AI86">
        <v>89.370171225508201</v>
      </c>
      <c r="AJ86">
        <v>87.370684841678397</v>
      </c>
      <c r="AK86">
        <v>308.78715984299703</v>
      </c>
      <c r="AL86">
        <v>92.228746679620798</v>
      </c>
      <c r="AM86">
        <v>88.469104443006401</v>
      </c>
      <c r="AN86">
        <v>1.0000000352134599</v>
      </c>
    </row>
    <row r="87" spans="1:40" x14ac:dyDescent="0.25">
      <c r="A87" t="str">
        <f>"20190303154415819"</f>
        <v>20190303154415819</v>
      </c>
      <c r="B87" t="str">
        <f>"1551599055810517"</f>
        <v>1551599055810517</v>
      </c>
      <c r="C87" t="s">
        <v>40</v>
      </c>
      <c r="D87">
        <v>4.5205060000000001</v>
      </c>
      <c r="E87">
        <v>0.50624570000000002</v>
      </c>
      <c r="F87" t="s">
        <v>48</v>
      </c>
      <c r="G87">
        <v>-158.78319999999999</v>
      </c>
      <c r="H87">
        <v>3.8435290000000002</v>
      </c>
      <c r="I87">
        <v>368.31900000000002</v>
      </c>
      <c r="J87">
        <v>-467.46069999999997</v>
      </c>
      <c r="K87">
        <v>1.1214230000000001</v>
      </c>
      <c r="L87">
        <v>367.3569</v>
      </c>
      <c r="M87">
        <v>0.99876900000000002</v>
      </c>
      <c r="N87">
        <v>-1.3334520000000001E-2</v>
      </c>
      <c r="O87">
        <v>4.7778349999999997E-2</v>
      </c>
      <c r="P87">
        <v>0.99841780000000002</v>
      </c>
      <c r="Q87">
        <v>-5.2401379999999997E-2</v>
      </c>
      <c r="R87">
        <v>2.040117E-2</v>
      </c>
      <c r="S87">
        <v>3.0059200000000001</v>
      </c>
      <c r="T87">
        <v>2.6497840000000002E-2</v>
      </c>
      <c r="U87">
        <v>9.4299320000000002E-3</v>
      </c>
      <c r="V87">
        <v>2.73405E-2</v>
      </c>
      <c r="W87">
        <v>-3.9077580000000001E-2</v>
      </c>
      <c r="X87">
        <v>0.99886209999999997</v>
      </c>
      <c r="Y87">
        <v>4.4637999999999997E-2</v>
      </c>
      <c r="Z87">
        <v>9.5744839999999999E-4</v>
      </c>
      <c r="AA87">
        <v>0.99900279999999997</v>
      </c>
      <c r="AB87">
        <v>12</v>
      </c>
      <c r="AC87">
        <v>308.67750000000001</v>
      </c>
      <c r="AD87">
        <v>2.7221060000000001</v>
      </c>
      <c r="AE87">
        <v>0.96210000000002005</v>
      </c>
      <c r="AF87">
        <v>13.787339026543</v>
      </c>
      <c r="AG87">
        <v>2.7221060000000001</v>
      </c>
      <c r="AH87">
        <v>308.34690841911703</v>
      </c>
      <c r="AI87">
        <v>89.494707217750403</v>
      </c>
      <c r="AJ87">
        <v>87.439797551917806</v>
      </c>
      <c r="AK87">
        <v>308.66699938628898</v>
      </c>
      <c r="AL87">
        <v>92.239550579766998</v>
      </c>
      <c r="AM87">
        <v>88.432111674078399</v>
      </c>
      <c r="AN87">
        <v>1.0000000275076499</v>
      </c>
    </row>
    <row r="88" spans="1:40" x14ac:dyDescent="0.25">
      <c r="A88" t="str">
        <f>"20190303154415839"</f>
        <v>20190303154415839</v>
      </c>
      <c r="B88" t="str">
        <f>"1551599055830037"</f>
        <v>1551599055830037</v>
      </c>
      <c r="C88" t="s">
        <v>40</v>
      </c>
      <c r="D88">
        <v>4.596876</v>
      </c>
      <c r="E88">
        <v>0.50566610000000001</v>
      </c>
      <c r="F88" t="s">
        <v>48</v>
      </c>
      <c r="G88">
        <v>-158.78319999999999</v>
      </c>
      <c r="H88">
        <v>3.3176000000000001</v>
      </c>
      <c r="I88">
        <v>368.75790000000001</v>
      </c>
      <c r="J88">
        <v>-467.35309999999998</v>
      </c>
      <c r="K88">
        <v>1.1214230000000001</v>
      </c>
      <c r="L88">
        <v>367.36250000000001</v>
      </c>
      <c r="M88">
        <v>0.99874940000000001</v>
      </c>
      <c r="N88">
        <v>-1.3345849999999999E-2</v>
      </c>
      <c r="O88">
        <v>4.8183429999999999E-2</v>
      </c>
      <c r="P88">
        <v>0.99840709999999999</v>
      </c>
      <c r="Q88">
        <v>-5.2606939999999998E-2</v>
      </c>
      <c r="R88">
        <v>2.039067E-2</v>
      </c>
      <c r="S88">
        <v>3.005585</v>
      </c>
      <c r="T88">
        <v>2.138495E-2</v>
      </c>
      <c r="U88">
        <v>1.364136E-2</v>
      </c>
      <c r="V88">
        <v>2.7754689999999999E-2</v>
      </c>
      <c r="W88">
        <v>-3.927253E-2</v>
      </c>
      <c r="X88">
        <v>0.99884300000000004</v>
      </c>
      <c r="Y88">
        <v>4.3644759999999998E-2</v>
      </c>
      <c r="Z88">
        <v>8.4998460000000001E-4</v>
      </c>
      <c r="AA88">
        <v>0.99904669999999896</v>
      </c>
      <c r="AB88">
        <v>12</v>
      </c>
      <c r="AC88">
        <v>308.56990000000002</v>
      </c>
      <c r="AD88">
        <v>2.196177</v>
      </c>
      <c r="AE88">
        <v>1.39539999999999</v>
      </c>
      <c r="AF88">
        <v>13.4748180290653</v>
      </c>
      <c r="AG88">
        <v>2.196177</v>
      </c>
      <c r="AH88">
        <v>308.263059662236</v>
      </c>
      <c r="AI88">
        <v>89.592200549821399</v>
      </c>
      <c r="AJ88">
        <v>87.497075919166605</v>
      </c>
      <c r="AK88">
        <v>308.56524085945802</v>
      </c>
      <c r="AL88">
        <v>92.250729042379504</v>
      </c>
      <c r="AM88">
        <v>88.408340938066701</v>
      </c>
      <c r="AN88">
        <v>0.99999999653929805</v>
      </c>
    </row>
    <row r="89" spans="1:40" x14ac:dyDescent="0.25">
      <c r="A89" t="str">
        <f>"20190303154415864"</f>
        <v>20190303154415864</v>
      </c>
      <c r="B89" t="str">
        <f>"1551599055860293"</f>
        <v>1551599055860293</v>
      </c>
      <c r="C89" t="s">
        <v>40</v>
      </c>
      <c r="D89">
        <v>4.648568</v>
      </c>
      <c r="E89">
        <v>0.50522400000000001</v>
      </c>
      <c r="F89" t="s">
        <v>48</v>
      </c>
      <c r="G89">
        <v>-158.78319999999999</v>
      </c>
      <c r="H89">
        <v>2.8775279999999999</v>
      </c>
      <c r="I89">
        <v>369.26769999999999</v>
      </c>
      <c r="J89">
        <v>-467.22949999999997</v>
      </c>
      <c r="K89">
        <v>1.1214090000000001</v>
      </c>
      <c r="L89">
        <v>367.36900000000003</v>
      </c>
      <c r="M89">
        <v>0.9987279</v>
      </c>
      <c r="N89">
        <v>-1.335648E-2</v>
      </c>
      <c r="O89">
        <v>4.8627499999999997E-2</v>
      </c>
      <c r="P89">
        <v>0.99838000000000005</v>
      </c>
      <c r="Q89">
        <v>-5.2879339999999997E-2</v>
      </c>
      <c r="R89">
        <v>2.1008059999999999E-2</v>
      </c>
      <c r="S89">
        <v>3.0053100000000001</v>
      </c>
      <c r="T89">
        <v>1.7104390000000001E-2</v>
      </c>
      <c r="U89">
        <v>1.8554689999999999E-2</v>
      </c>
      <c r="V89">
        <v>2.7579449999999998E-2</v>
      </c>
      <c r="W89">
        <v>-3.9535279999999999E-2</v>
      </c>
      <c r="X89">
        <v>0.99883750000000004</v>
      </c>
      <c r="Y89">
        <v>4.2456460000000001E-2</v>
      </c>
      <c r="Z89">
        <v>7.6364369999999996E-4</v>
      </c>
      <c r="AA89">
        <v>0.99909800000000004</v>
      </c>
      <c r="AB89">
        <v>12</v>
      </c>
      <c r="AC89">
        <v>308.44629999999898</v>
      </c>
      <c r="AD89">
        <v>1.75611899999999</v>
      </c>
      <c r="AE89">
        <v>1.8986999999999601</v>
      </c>
      <c r="AF89">
        <v>13.103429009485501</v>
      </c>
      <c r="AG89">
        <v>1.75611899999999</v>
      </c>
      <c r="AH89">
        <v>308.16368635120699</v>
      </c>
      <c r="AI89">
        <v>89.673789327663201</v>
      </c>
      <c r="AJ89">
        <v>87.565192690932307</v>
      </c>
      <c r="AK89">
        <v>308.44714521505</v>
      </c>
      <c r="AL89">
        <v>92.265795183669596</v>
      </c>
      <c r="AM89">
        <v>88.418376669686296</v>
      </c>
      <c r="AN89">
        <v>1.00000000791661</v>
      </c>
    </row>
    <row r="90" spans="1:40" x14ac:dyDescent="0.25">
      <c r="A90" t="str">
        <f>"20190303154415885"</f>
        <v>20190303154415885</v>
      </c>
      <c r="B90" t="str">
        <f>"1551599055879816"</f>
        <v>1551599055879816</v>
      </c>
      <c r="C90" t="s">
        <v>40</v>
      </c>
      <c r="D90">
        <v>4.6151960000000001</v>
      </c>
      <c r="E90">
        <v>0.50492919999999997</v>
      </c>
      <c r="F90" t="s">
        <v>48</v>
      </c>
      <c r="G90">
        <v>-158.78319999999999</v>
      </c>
      <c r="H90">
        <v>2.3761519999999998</v>
      </c>
      <c r="I90">
        <v>369.803</v>
      </c>
      <c r="J90">
        <v>-467.1123</v>
      </c>
      <c r="K90">
        <v>1.121408</v>
      </c>
      <c r="L90">
        <v>367.37520000000001</v>
      </c>
      <c r="M90">
        <v>0.9987085</v>
      </c>
      <c r="N90">
        <v>-1.3364579999999999E-2</v>
      </c>
      <c r="O90">
        <v>4.9021639999999998E-2</v>
      </c>
      <c r="P90">
        <v>0.99835039999999997</v>
      </c>
      <c r="Q90">
        <v>-5.3203319999999998E-2</v>
      </c>
      <c r="R90">
        <v>2.1587430000000001E-2</v>
      </c>
      <c r="S90">
        <v>3.0049739999999998</v>
      </c>
      <c r="T90">
        <v>1.222491E-2</v>
      </c>
      <c r="U90">
        <v>2.3712159999999999E-2</v>
      </c>
      <c r="V90">
        <v>2.7391809999999999E-2</v>
      </c>
      <c r="W90">
        <v>-3.9852390000000001E-2</v>
      </c>
      <c r="X90">
        <v>0.99883010000000005</v>
      </c>
      <c r="Y90">
        <v>4.1136569999999997E-2</v>
      </c>
      <c r="Z90">
        <v>6.6352149999999999E-4</v>
      </c>
      <c r="AA90">
        <v>0.99915330000000002</v>
      </c>
      <c r="AB90">
        <v>12</v>
      </c>
      <c r="AC90">
        <v>308.32909999999998</v>
      </c>
      <c r="AD90">
        <v>1.2547440000000001</v>
      </c>
      <c r="AE90">
        <v>2.4278000000000399</v>
      </c>
      <c r="AF90">
        <v>12.6910543953254</v>
      </c>
      <c r="AG90">
        <v>1.2547440000000001</v>
      </c>
      <c r="AH90">
        <v>308.07225868485199</v>
      </c>
      <c r="AI90">
        <v>89.766839715614196</v>
      </c>
      <c r="AJ90">
        <v>87.641030883918503</v>
      </c>
      <c r="AK90">
        <v>308.33610527370399</v>
      </c>
      <c r="AL90">
        <v>92.283978490706801</v>
      </c>
      <c r="AM90">
        <v>88.4291203859175</v>
      </c>
      <c r="AN90">
        <v>1.0000000464548899</v>
      </c>
    </row>
    <row r="91" spans="1:40" x14ac:dyDescent="0.25">
      <c r="A91" t="str">
        <f>"20190303154415909"</f>
        <v>20190303154415909</v>
      </c>
      <c r="B91" t="str">
        <f>"1551599055900312"</f>
        <v>1551599055900312</v>
      </c>
      <c r="C91" t="s">
        <v>40</v>
      </c>
      <c r="D91">
        <v>4.6756909999999996</v>
      </c>
      <c r="E91">
        <v>0.50490259999999998</v>
      </c>
      <c r="F91" t="s">
        <v>48</v>
      </c>
      <c r="G91">
        <v>-158.78319999999999</v>
      </c>
      <c r="H91">
        <v>1.9838340000000001</v>
      </c>
      <c r="I91">
        <v>370.24680000000001</v>
      </c>
      <c r="J91">
        <v>-466.99340000000001</v>
      </c>
      <c r="K91">
        <v>1.1213979999999999</v>
      </c>
      <c r="L91">
        <v>367.38159999999999</v>
      </c>
      <c r="M91">
        <v>0.99868990000000002</v>
      </c>
      <c r="N91">
        <v>-1.3371310000000001E-2</v>
      </c>
      <c r="O91">
        <v>4.9395759999999997E-2</v>
      </c>
      <c r="P91">
        <v>0.99833229999999995</v>
      </c>
      <c r="Q91">
        <v>-5.3415530000000003E-2</v>
      </c>
      <c r="R91">
        <v>2.1901529999999999E-2</v>
      </c>
      <c r="S91">
        <v>3.004791</v>
      </c>
      <c r="T91">
        <v>8.4055659999999997E-3</v>
      </c>
      <c r="U91">
        <v>2.7984620000000002E-2</v>
      </c>
      <c r="V91">
        <v>2.744951E-2</v>
      </c>
      <c r="W91">
        <v>-4.0059070000000002E-2</v>
      </c>
      <c r="X91">
        <v>0.99882020000000005</v>
      </c>
      <c r="Y91">
        <v>4.0090599999999997E-2</v>
      </c>
      <c r="Z91">
        <v>5.8688429999999997E-4</v>
      </c>
      <c r="AA91">
        <v>0.99919590000000003</v>
      </c>
      <c r="AB91">
        <v>12</v>
      </c>
      <c r="AC91">
        <v>308.21019999999999</v>
      </c>
      <c r="AD91">
        <v>0.86243599999999998</v>
      </c>
      <c r="AE91">
        <v>2.86520000000001</v>
      </c>
      <c r="AF91">
        <v>12.3638377606005</v>
      </c>
      <c r="AG91">
        <v>0.86243599999999998</v>
      </c>
      <c r="AH91">
        <v>307.97302592381499</v>
      </c>
      <c r="AI91">
        <v>89.839680627838106</v>
      </c>
      <c r="AJ91">
        <v>87.701046977910806</v>
      </c>
      <c r="AK91">
        <v>308.22231096514702</v>
      </c>
      <c r="AL91">
        <v>92.295829956370497</v>
      </c>
      <c r="AM91">
        <v>88.425797444849806</v>
      </c>
      <c r="AN91">
        <v>0.99999999830827202</v>
      </c>
    </row>
    <row r="92" spans="1:40" x14ac:dyDescent="0.25">
      <c r="A92" t="str">
        <f>"20190303154415929"</f>
        <v>20190303154415929</v>
      </c>
      <c r="B92" t="str">
        <f>"1551599055919833"</f>
        <v>1551599055919833</v>
      </c>
      <c r="C92" t="s">
        <v>40</v>
      </c>
      <c r="D92">
        <v>4.8698759999999996</v>
      </c>
      <c r="E92">
        <v>0.50487959999999998</v>
      </c>
      <c r="F92" t="s">
        <v>48</v>
      </c>
      <c r="G92">
        <v>-158.19499999999999</v>
      </c>
      <c r="H92">
        <v>1.8217140000000001</v>
      </c>
      <c r="I92">
        <v>370.37369999999999</v>
      </c>
      <c r="J92">
        <v>-466.88260000000002</v>
      </c>
      <c r="K92">
        <v>1.1213869999999999</v>
      </c>
      <c r="L92">
        <v>367.38749999999999</v>
      </c>
      <c r="M92">
        <v>0.99867379999999994</v>
      </c>
      <c r="N92">
        <v>-1.337644E-2</v>
      </c>
      <c r="O92">
        <v>4.9718940000000003E-2</v>
      </c>
      <c r="P92">
        <v>0.99832770000000004</v>
      </c>
      <c r="Q92">
        <v>-5.3380909999999997E-2</v>
      </c>
      <c r="R92">
        <v>2.2188869999999999E-2</v>
      </c>
      <c r="S92">
        <v>3.0047299999999999</v>
      </c>
      <c r="T92">
        <v>6.8151949999999996E-3</v>
      </c>
      <c r="U92">
        <v>2.9113770000000001E-2</v>
      </c>
      <c r="V92">
        <v>2.7484040000000001E-2</v>
      </c>
      <c r="W92">
        <v>-4.0020310000000003E-2</v>
      </c>
      <c r="X92">
        <v>0.99882079999999995</v>
      </c>
      <c r="Y92">
        <v>4.0038600000000001E-2</v>
      </c>
      <c r="Z92">
        <v>5.5564449999999995E-4</v>
      </c>
      <c r="AA92">
        <v>0.99919800000000003</v>
      </c>
      <c r="AB92">
        <v>12</v>
      </c>
      <c r="AC92">
        <v>308.68759999999997</v>
      </c>
      <c r="AD92">
        <v>0.70032699999999903</v>
      </c>
      <c r="AE92">
        <v>2.98619999999999</v>
      </c>
      <c r="AF92">
        <v>12.366421714401501</v>
      </c>
      <c r="AG92">
        <v>0.70032699999999903</v>
      </c>
      <c r="AH92">
        <v>308.45265842579499</v>
      </c>
      <c r="AI92">
        <v>89.870017319703095</v>
      </c>
      <c r="AJ92">
        <v>87.704138733176094</v>
      </c>
      <c r="AK92">
        <v>308.70124932346101</v>
      </c>
      <c r="AL92">
        <v>92.293607399334704</v>
      </c>
      <c r="AM92">
        <v>88.423819127763494</v>
      </c>
      <c r="AN92">
        <v>0.99999999408992801</v>
      </c>
    </row>
    <row r="93" spans="1:40" x14ac:dyDescent="0.25">
      <c r="A93" t="str">
        <f>"20190303154415952"</f>
        <v>20190303154415952</v>
      </c>
      <c r="B93" t="str">
        <f>"1551599055940328"</f>
        <v>1551599055940328</v>
      </c>
      <c r="C93" t="s">
        <v>40</v>
      </c>
      <c r="D93">
        <v>4.6756180000000001</v>
      </c>
      <c r="E93">
        <v>0.50485500000000005</v>
      </c>
      <c r="F93" t="s">
        <v>48</v>
      </c>
      <c r="G93">
        <v>-158.19499999999999</v>
      </c>
      <c r="H93">
        <v>1.7058099999999901</v>
      </c>
      <c r="I93">
        <v>370.50709999999998</v>
      </c>
      <c r="J93">
        <v>-466.76769999999999</v>
      </c>
      <c r="K93">
        <v>1.1213770000000001</v>
      </c>
      <c r="L93">
        <v>367.39359999999999</v>
      </c>
      <c r="M93">
        <v>0.99865879999999996</v>
      </c>
      <c r="N93">
        <v>-1.338047E-2</v>
      </c>
      <c r="O93">
        <v>5.0019630000000002E-2</v>
      </c>
      <c r="P93">
        <v>0.9983495</v>
      </c>
      <c r="Q93">
        <v>-5.2997309999999999E-2</v>
      </c>
      <c r="R93">
        <v>2.213735E-2</v>
      </c>
      <c r="S93">
        <v>3.0047000000000001</v>
      </c>
      <c r="T93">
        <v>5.6895019999999999E-3</v>
      </c>
      <c r="U93">
        <v>3.0364990000000001E-2</v>
      </c>
      <c r="V93">
        <v>2.783528E-2</v>
      </c>
      <c r="W93">
        <v>-3.9633649999999999E-2</v>
      </c>
      <c r="X93">
        <v>0.99882649999999995</v>
      </c>
      <c r="Y93">
        <v>3.9923479999999997E-2</v>
      </c>
      <c r="Z93">
        <v>5.34904E-4</v>
      </c>
      <c r="AA93">
        <v>0.99920260000000005</v>
      </c>
      <c r="AB93">
        <v>12</v>
      </c>
      <c r="AC93">
        <v>308.5727</v>
      </c>
      <c r="AD93">
        <v>0.58443299999999898</v>
      </c>
      <c r="AE93">
        <v>3.1134999999999802</v>
      </c>
      <c r="AF93">
        <v>12.3264249313874</v>
      </c>
      <c r="AG93">
        <v>0.58443299999999898</v>
      </c>
      <c r="AH93">
        <v>308.341014456013</v>
      </c>
      <c r="AI93">
        <v>89.891487743557093</v>
      </c>
      <c r="AJ93">
        <v>87.710728624786</v>
      </c>
      <c r="AK93">
        <v>308.58785379415599</v>
      </c>
      <c r="AL93">
        <v>92.271435801436994</v>
      </c>
      <c r="AM93">
        <v>88.403695343624307</v>
      </c>
      <c r="AN93">
        <v>1.00000000306362</v>
      </c>
    </row>
    <row r="94" spans="1:40" x14ac:dyDescent="0.25">
      <c r="A94" t="str">
        <f>"20190303154415973"</f>
        <v>20190303154415973</v>
      </c>
      <c r="B94" t="str">
        <f>"1551599055969608"</f>
        <v>1551599055969608</v>
      </c>
      <c r="C94" t="s">
        <v>40</v>
      </c>
      <c r="D94">
        <v>4.6539089999999996</v>
      </c>
      <c r="E94">
        <v>0.50483319999999998</v>
      </c>
      <c r="F94" t="s">
        <v>48</v>
      </c>
      <c r="G94">
        <v>-158.19499999999999</v>
      </c>
      <c r="H94">
        <v>1.7385280000000001</v>
      </c>
      <c r="I94">
        <v>370.54340000000002</v>
      </c>
      <c r="J94">
        <v>-466.65440000000001</v>
      </c>
      <c r="K94">
        <v>1.121362</v>
      </c>
      <c r="L94">
        <v>367.39960000000002</v>
      </c>
      <c r="M94">
        <v>0.99864580000000003</v>
      </c>
      <c r="N94">
        <v>-1.33834E-2</v>
      </c>
      <c r="O94">
        <v>5.0274819999999998E-2</v>
      </c>
      <c r="P94">
        <v>0.99835580000000002</v>
      </c>
      <c r="Q94">
        <v>-5.2755179999999999E-2</v>
      </c>
      <c r="R94">
        <v>2.242417E-2</v>
      </c>
      <c r="S94">
        <v>3.0046390000000001</v>
      </c>
      <c r="T94">
        <v>6.0101750000000004E-3</v>
      </c>
      <c r="U94">
        <v>3.067017E-2</v>
      </c>
      <c r="V94">
        <v>2.780235E-2</v>
      </c>
      <c r="W94">
        <v>-3.9389760000000003E-2</v>
      </c>
      <c r="X94">
        <v>0.99883710000000003</v>
      </c>
      <c r="Y94">
        <v>4.007703E-2</v>
      </c>
      <c r="Z94">
        <v>5.4551589999999998E-4</v>
      </c>
      <c r="AA94">
        <v>0.99919650000000004</v>
      </c>
      <c r="AB94">
        <v>12</v>
      </c>
      <c r="AC94">
        <v>308.45940000000002</v>
      </c>
      <c r="AD94">
        <v>0.61716599999999899</v>
      </c>
      <c r="AE94">
        <v>3.1437999999999899</v>
      </c>
      <c r="AF94">
        <v>12.3692557903922</v>
      </c>
      <c r="AG94">
        <v>0.61716599999999899</v>
      </c>
      <c r="AH94">
        <v>308.22609340356399</v>
      </c>
      <c r="AI94">
        <v>89.8853681716799</v>
      </c>
      <c r="AJ94">
        <v>87.701926966509802</v>
      </c>
      <c r="AK94">
        <v>308.47480292157098</v>
      </c>
      <c r="AL94">
        <v>92.257450934038005</v>
      </c>
      <c r="AM94">
        <v>88.405599757963699</v>
      </c>
      <c r="AN94">
        <v>1.0000000380973899</v>
      </c>
    </row>
    <row r="95" spans="1:40" x14ac:dyDescent="0.25">
      <c r="A95" t="str">
        <f>"20190303154415996"</f>
        <v>20190303154415996</v>
      </c>
      <c r="B95" t="str">
        <f>"1551599055990348"</f>
        <v>1551599055990348</v>
      </c>
      <c r="C95" t="s">
        <v>40</v>
      </c>
      <c r="D95">
        <v>4.6682509999999997</v>
      </c>
      <c r="E95">
        <v>0.50480420000000004</v>
      </c>
      <c r="F95" t="s">
        <v>48</v>
      </c>
      <c r="G95">
        <v>-158.19499999999999</v>
      </c>
      <c r="H95">
        <v>1.6407609999999999</v>
      </c>
      <c r="I95">
        <v>370.6549</v>
      </c>
      <c r="J95">
        <v>-466.53969999999998</v>
      </c>
      <c r="K95">
        <v>1.121343</v>
      </c>
      <c r="L95">
        <v>367.40559999999999</v>
      </c>
      <c r="M95">
        <v>0.99863500000000005</v>
      </c>
      <c r="N95">
        <v>-1.338578E-2</v>
      </c>
      <c r="O95">
        <v>5.0487320000000002E-2</v>
      </c>
      <c r="P95">
        <v>0.99835430000000003</v>
      </c>
      <c r="Q95">
        <v>-5.2514329999999998E-2</v>
      </c>
      <c r="R95">
        <v>2.3045300000000001E-2</v>
      </c>
      <c r="S95">
        <v>3.004486</v>
      </c>
      <c r="T95">
        <v>5.0599579999999998E-3</v>
      </c>
      <c r="U95">
        <v>3.1707760000000001E-2</v>
      </c>
      <c r="V95">
        <v>2.7392159999999999E-2</v>
      </c>
      <c r="W95">
        <v>-3.9147809999999998E-2</v>
      </c>
      <c r="X95">
        <v>0.99885789999999997</v>
      </c>
      <c r="Y95">
        <v>3.9944260000000002E-2</v>
      </c>
      <c r="Z95">
        <v>5.2734629999999895E-4</v>
      </c>
      <c r="AA95">
        <v>0.99920180000000003</v>
      </c>
      <c r="AB95">
        <v>12</v>
      </c>
      <c r="AC95">
        <v>308.34469999999999</v>
      </c>
      <c r="AD95">
        <v>0.51941800000000005</v>
      </c>
      <c r="AE95">
        <v>3.2492999999999999</v>
      </c>
      <c r="AF95">
        <v>12.323701921809301</v>
      </c>
      <c r="AG95">
        <v>0.51941800000000005</v>
      </c>
      <c r="AH95">
        <v>308.11458704790499</v>
      </c>
      <c r="AI95">
        <v>89.903488325801703</v>
      </c>
      <c r="AJ95">
        <v>87.709553626966894</v>
      </c>
      <c r="AK95">
        <v>308.36138243271898</v>
      </c>
      <c r="AL95">
        <v>92.243577621290598</v>
      </c>
      <c r="AM95">
        <v>88.429144023033302</v>
      </c>
      <c r="AN95">
        <v>0.99999999292483499</v>
      </c>
    </row>
    <row r="96" spans="1:40" x14ac:dyDescent="0.25">
      <c r="A96" t="str">
        <f>"20190303154416018"</f>
        <v>20190303154416018</v>
      </c>
      <c r="B96" t="str">
        <f>"1551599056009867"</f>
        <v>1551599056009867</v>
      </c>
      <c r="C96" t="s">
        <v>40</v>
      </c>
      <c r="D96">
        <v>4.6685840000000001</v>
      </c>
      <c r="E96">
        <v>0.50468150000000001</v>
      </c>
      <c r="F96" t="s">
        <v>48</v>
      </c>
      <c r="G96">
        <v>-158.19499999999999</v>
      </c>
      <c r="H96">
        <v>1.6301479999999999</v>
      </c>
      <c r="I96">
        <v>370.88850000000002</v>
      </c>
      <c r="J96">
        <v>-466.42309999999998</v>
      </c>
      <c r="K96">
        <v>1.1213280000000001</v>
      </c>
      <c r="L96">
        <v>367.4117</v>
      </c>
      <c r="M96">
        <v>0.99862680000000004</v>
      </c>
      <c r="N96">
        <v>-1.338748E-2</v>
      </c>
      <c r="O96">
        <v>5.0651420000000003E-2</v>
      </c>
      <c r="P96">
        <v>0.99836519999999995</v>
      </c>
      <c r="Q96">
        <v>-5.2287800000000002E-2</v>
      </c>
      <c r="R96">
        <v>2.3091919999999998E-2</v>
      </c>
      <c r="S96">
        <v>3.0044249999999999</v>
      </c>
      <c r="T96">
        <v>4.9585100000000002E-3</v>
      </c>
      <c r="U96">
        <v>3.3935550000000002E-2</v>
      </c>
      <c r="V96">
        <v>2.750766E-2</v>
      </c>
      <c r="W96">
        <v>-3.8921289999999997E-2</v>
      </c>
      <c r="X96">
        <v>0.99886359999999996</v>
      </c>
      <c r="Y96">
        <v>3.9367399999999997E-2</v>
      </c>
      <c r="Z96">
        <v>5.3087610000000004E-4</v>
      </c>
      <c r="AA96">
        <v>0.99922469999999997</v>
      </c>
      <c r="AB96">
        <v>12</v>
      </c>
      <c r="AC96">
        <v>308.22809999999998</v>
      </c>
      <c r="AD96">
        <v>0.50881999999999905</v>
      </c>
      <c r="AE96">
        <v>3.4768000000000199</v>
      </c>
      <c r="AF96">
        <v>12.1412185835218</v>
      </c>
      <c r="AG96">
        <v>0.50881999999999905</v>
      </c>
      <c r="AH96">
        <v>308.00766676446301</v>
      </c>
      <c r="AI96">
        <v>89.905422519976298</v>
      </c>
      <c r="AJ96">
        <v>87.742651586968705</v>
      </c>
      <c r="AK96">
        <v>308.24728850741502</v>
      </c>
      <c r="AL96">
        <v>92.230589033334397</v>
      </c>
      <c r="AM96">
        <v>88.422532790868999</v>
      </c>
      <c r="AN96">
        <v>1.0000000147894399</v>
      </c>
    </row>
    <row r="97" spans="1:40" x14ac:dyDescent="0.25">
      <c r="A97" t="str">
        <f>"20190303154416040"</f>
        <v>20190303154416040</v>
      </c>
      <c r="B97" t="str">
        <f>"1551599056030364"</f>
        <v>1551599056030364</v>
      </c>
      <c r="C97" t="s">
        <v>40</v>
      </c>
      <c r="D97">
        <v>4.6625310000000004</v>
      </c>
      <c r="E97">
        <v>0.50457470000000004</v>
      </c>
      <c r="F97" t="s">
        <v>48</v>
      </c>
      <c r="G97">
        <v>-158.19499999999999</v>
      </c>
      <c r="H97">
        <v>1.625664</v>
      </c>
      <c r="I97">
        <v>371.01240000000001</v>
      </c>
      <c r="J97">
        <v>-466.31099999999998</v>
      </c>
      <c r="K97">
        <v>1.121305</v>
      </c>
      <c r="L97">
        <v>367.41759999999999</v>
      </c>
      <c r="M97">
        <v>0.99862130000000005</v>
      </c>
      <c r="N97">
        <v>-1.3388489999999999E-2</v>
      </c>
      <c r="O97">
        <v>5.0756410000000002E-2</v>
      </c>
      <c r="P97">
        <v>0.99839250000000002</v>
      </c>
      <c r="Q97">
        <v>-5.1887450000000002E-2</v>
      </c>
      <c r="R97">
        <v>2.280573E-2</v>
      </c>
      <c r="S97">
        <v>3.0043329999999999</v>
      </c>
      <c r="T97">
        <v>4.9166679999999999E-3</v>
      </c>
      <c r="U97">
        <v>3.5095210000000002E-2</v>
      </c>
      <c r="V97">
        <v>2.789728E-2</v>
      </c>
      <c r="W97">
        <v>-3.8521710000000001E-2</v>
      </c>
      <c r="X97">
        <v>0.99886830000000004</v>
      </c>
      <c r="Y97">
        <v>3.9086469999999998E-2</v>
      </c>
      <c r="Z97">
        <v>5.3316089999999995E-4</v>
      </c>
      <c r="AA97">
        <v>0.99923569999999995</v>
      </c>
      <c r="AB97">
        <v>12</v>
      </c>
      <c r="AC97">
        <v>308.11599999999999</v>
      </c>
      <c r="AD97">
        <v>0.504359</v>
      </c>
      <c r="AE97">
        <v>3.5948000000000202</v>
      </c>
      <c r="AF97">
        <v>12.0500661463404</v>
      </c>
      <c r="AG97">
        <v>0.504359</v>
      </c>
      <c r="AH97">
        <v>307.90043714641098</v>
      </c>
      <c r="AI97">
        <v>89.906218024702</v>
      </c>
      <c r="AJ97">
        <v>87.758802257045801</v>
      </c>
      <c r="AK97">
        <v>308.13655684953</v>
      </c>
      <c r="AL97">
        <v>92.2076775684898</v>
      </c>
      <c r="AM97">
        <v>88.400208512861994</v>
      </c>
      <c r="AN97">
        <v>1.0000000305587999</v>
      </c>
    </row>
    <row r="98" spans="1:40" x14ac:dyDescent="0.25">
      <c r="A98" t="str">
        <f>"20190303154416064"</f>
        <v>20190303154416064</v>
      </c>
      <c r="B98" t="str">
        <f>"1551599056060619"</f>
        <v>1551599056060619</v>
      </c>
      <c r="C98" t="s">
        <v>40</v>
      </c>
      <c r="D98">
        <v>4.6712009999999999</v>
      </c>
      <c r="E98">
        <v>0.5045499</v>
      </c>
      <c r="F98" t="s">
        <v>48</v>
      </c>
      <c r="G98">
        <v>-158.19499999999999</v>
      </c>
      <c r="H98">
        <v>1.638034</v>
      </c>
      <c r="I98">
        <v>370.99189999999999</v>
      </c>
      <c r="J98">
        <v>-466.19209999999998</v>
      </c>
      <c r="K98">
        <v>1.1212799999999901</v>
      </c>
      <c r="L98">
        <v>367.4237</v>
      </c>
      <c r="M98">
        <v>0.99861869999999997</v>
      </c>
      <c r="N98">
        <v>-1.3388999999999899E-2</v>
      </c>
      <c r="O98">
        <v>5.0807390000000001E-2</v>
      </c>
      <c r="P98">
        <v>0.99840629999999997</v>
      </c>
      <c r="Q98">
        <v>-5.1693959999999997E-2</v>
      </c>
      <c r="R98">
        <v>2.264853E-2</v>
      </c>
      <c r="S98">
        <v>3.0042719999999998</v>
      </c>
      <c r="T98">
        <v>5.0392149999999997E-3</v>
      </c>
      <c r="U98">
        <v>3.4851069999999998E-2</v>
      </c>
      <c r="V98">
        <v>2.8103320000000001E-2</v>
      </c>
      <c r="W98">
        <v>-3.8329559999999999E-2</v>
      </c>
      <c r="X98">
        <v>0.99886989999999998</v>
      </c>
      <c r="Y98">
        <v>3.9218410000000002E-2</v>
      </c>
      <c r="Z98">
        <v>5.3604170000000003E-4</v>
      </c>
      <c r="AA98">
        <v>0.99923050000000002</v>
      </c>
      <c r="AB98">
        <v>12</v>
      </c>
      <c r="AC98">
        <v>307.99709999999999</v>
      </c>
      <c r="AD98">
        <v>0.51675400000000005</v>
      </c>
      <c r="AE98">
        <v>3.5681999999999898</v>
      </c>
      <c r="AF98">
        <v>12.0863071110464</v>
      </c>
      <c r="AG98">
        <v>0.51675400000000005</v>
      </c>
      <c r="AH98">
        <v>307.779682196419</v>
      </c>
      <c r="AI98">
        <v>89.903876068725907</v>
      </c>
      <c r="AJ98">
        <v>87.751187633763493</v>
      </c>
      <c r="AK98">
        <v>308.01733494595402</v>
      </c>
      <c r="AL98">
        <v>92.196660083338003</v>
      </c>
      <c r="AM98">
        <v>88.388401775198602</v>
      </c>
      <c r="AN98">
        <v>1.00000001444541</v>
      </c>
    </row>
    <row r="99" spans="1:40" x14ac:dyDescent="0.25">
      <c r="A99" t="str">
        <f>"20190303154416085"</f>
        <v>20190303154416085</v>
      </c>
      <c r="B99" t="str">
        <f>"1551599056080140"</f>
        <v>1551599056080140</v>
      </c>
      <c r="C99" t="s">
        <v>40</v>
      </c>
      <c r="D99">
        <v>4.6448410000000004</v>
      </c>
      <c r="E99">
        <v>0.50458539999999996</v>
      </c>
      <c r="F99" t="s">
        <v>48</v>
      </c>
      <c r="G99">
        <v>-158.19499999999999</v>
      </c>
      <c r="H99">
        <v>1.619089</v>
      </c>
      <c r="I99">
        <v>370.97160000000002</v>
      </c>
      <c r="J99">
        <v>-466.08170000000001</v>
      </c>
      <c r="K99">
        <v>1.121262</v>
      </c>
      <c r="L99">
        <v>367.42939999999999</v>
      </c>
      <c r="M99">
        <v>0.99861869999999997</v>
      </c>
      <c r="N99">
        <v>-1.338903E-2</v>
      </c>
      <c r="O99">
        <v>5.0809710000000001E-2</v>
      </c>
      <c r="P99">
        <v>0.99838329999999997</v>
      </c>
      <c r="Q99">
        <v>-5.2287960000000001E-2</v>
      </c>
      <c r="R99">
        <v>2.2296429999999999E-2</v>
      </c>
      <c r="S99">
        <v>3.0042719999999998</v>
      </c>
      <c r="T99">
        <v>4.8565860000000004E-3</v>
      </c>
      <c r="U99">
        <v>3.4606930000000001E-2</v>
      </c>
      <c r="V99">
        <v>2.845425E-2</v>
      </c>
      <c r="W99">
        <v>-3.8925349999999997E-2</v>
      </c>
      <c r="X99">
        <v>0.99883690000000003</v>
      </c>
      <c r="Y99">
        <v>3.930194E-2</v>
      </c>
      <c r="Z99">
        <v>5.313068E-4</v>
      </c>
      <c r="AA99">
        <v>0.99922719999999998</v>
      </c>
      <c r="AB99">
        <v>11</v>
      </c>
      <c r="AC99">
        <v>307.88670000000002</v>
      </c>
      <c r="AD99">
        <v>0.49782700000000002</v>
      </c>
      <c r="AE99">
        <v>3.54220000000003</v>
      </c>
      <c r="AF99">
        <v>12.1073791887481</v>
      </c>
      <c r="AG99">
        <v>0.49782700000000002</v>
      </c>
      <c r="AH99">
        <v>307.66813765063398</v>
      </c>
      <c r="AI99">
        <v>89.907363493748605</v>
      </c>
      <c r="AJ99">
        <v>87.746455058369094</v>
      </c>
      <c r="AK99">
        <v>307.906673178662</v>
      </c>
      <c r="AL99">
        <v>92.2308218859189</v>
      </c>
      <c r="AM99">
        <v>88.368234459969599</v>
      </c>
      <c r="AN99">
        <v>0.99999999000864703</v>
      </c>
    </row>
    <row r="100" spans="1:40" x14ac:dyDescent="0.25">
      <c r="A100" t="str">
        <f>"20190303154416110"</f>
        <v>20190303154416110</v>
      </c>
      <c r="B100" t="str">
        <f>"1551599056100635"</f>
        <v>1551599056100635</v>
      </c>
      <c r="C100" t="s">
        <v>40</v>
      </c>
      <c r="D100">
        <v>4.6529720000000001</v>
      </c>
      <c r="E100">
        <v>0.50452509999999995</v>
      </c>
      <c r="F100" t="s">
        <v>48</v>
      </c>
      <c r="G100">
        <v>-158.19499999999999</v>
      </c>
      <c r="H100">
        <v>1.43598</v>
      </c>
      <c r="I100">
        <v>370.84460000000001</v>
      </c>
      <c r="J100">
        <v>-465.95580000000001</v>
      </c>
      <c r="K100">
        <v>1.121251</v>
      </c>
      <c r="L100">
        <v>367.4357</v>
      </c>
      <c r="M100">
        <v>0.99862039999999996</v>
      </c>
      <c r="N100">
        <v>-1.338863E-2</v>
      </c>
      <c r="O100">
        <v>5.0775899999999999E-2</v>
      </c>
      <c r="P100">
        <v>0.99837799999999999</v>
      </c>
      <c r="Q100">
        <v>-5.2336399999999998E-2</v>
      </c>
      <c r="R100">
        <v>2.241541E-2</v>
      </c>
      <c r="S100">
        <v>3.0042719999999998</v>
      </c>
      <c r="T100">
        <v>3.0717850000000001E-3</v>
      </c>
      <c r="U100">
        <v>3.3325199999999902E-2</v>
      </c>
      <c r="V100">
        <v>2.8300780000000001E-2</v>
      </c>
      <c r="W100">
        <v>-3.8974719999999997E-2</v>
      </c>
      <c r="X100">
        <v>0.99883929999999999</v>
      </c>
      <c r="Y100">
        <v>3.9694699999999902E-2</v>
      </c>
      <c r="Z100">
        <v>4.8653360000000003E-4</v>
      </c>
      <c r="AA100">
        <v>0.99921170000000004</v>
      </c>
      <c r="AB100">
        <v>11</v>
      </c>
      <c r="AC100">
        <v>307.76080000000002</v>
      </c>
      <c r="AD100">
        <v>0.31472899999999998</v>
      </c>
      <c r="AE100">
        <v>3.4089000000000098</v>
      </c>
      <c r="AF100">
        <v>12.2237164538104</v>
      </c>
      <c r="AG100">
        <v>0.31472899999999998</v>
      </c>
      <c r="AH100">
        <v>307.53652346271099</v>
      </c>
      <c r="AI100">
        <v>89.941410504950298</v>
      </c>
      <c r="AJ100">
        <v>87.723851198921594</v>
      </c>
      <c r="AK100">
        <v>307.77951777500903</v>
      </c>
      <c r="AL100">
        <v>92.233652804783205</v>
      </c>
      <c r="AM100">
        <v>88.377034680023201</v>
      </c>
      <c r="AN100">
        <v>0.99999995508608697</v>
      </c>
    </row>
    <row r="101" spans="1:40" x14ac:dyDescent="0.25">
      <c r="A101" t="str">
        <f>"20190303154416132"</f>
        <v>20190303154416132</v>
      </c>
      <c r="B101" t="str">
        <f>"1551599056129915"</f>
        <v>1551599056129915</v>
      </c>
      <c r="C101" t="s">
        <v>40</v>
      </c>
      <c r="D101">
        <v>4.6323809999999996</v>
      </c>
      <c r="E101">
        <v>0.50443850000000001</v>
      </c>
      <c r="F101" t="s">
        <v>48</v>
      </c>
      <c r="G101">
        <v>-158.19499999999999</v>
      </c>
      <c r="H101">
        <v>1.352179</v>
      </c>
      <c r="I101">
        <v>370.91840000000002</v>
      </c>
      <c r="J101">
        <v>-465.84039999999999</v>
      </c>
      <c r="K101">
        <v>1.1212530000000001</v>
      </c>
      <c r="L101">
        <v>367.44139999999999</v>
      </c>
      <c r="M101">
        <v>0.99862340000000005</v>
      </c>
      <c r="N101">
        <v>-1.3387909999999999E-2</v>
      </c>
      <c r="O101">
        <v>5.0717640000000001E-2</v>
      </c>
      <c r="P101">
        <v>0.99836270000000005</v>
      </c>
      <c r="Q101">
        <v>-5.2701779999999997E-2</v>
      </c>
      <c r="R101">
        <v>2.22411E-2</v>
      </c>
      <c r="S101">
        <v>3.0042420000000001</v>
      </c>
      <c r="T101">
        <v>2.2550819999999998E-3</v>
      </c>
      <c r="U101">
        <v>3.3996579999999998E-2</v>
      </c>
      <c r="V101">
        <v>2.841571E-2</v>
      </c>
      <c r="W101">
        <v>-3.9341040000000001E-2</v>
      </c>
      <c r="X101">
        <v>0.99882170000000003</v>
      </c>
      <c r="Y101">
        <v>3.9413150000000001E-2</v>
      </c>
      <c r="Z101">
        <v>4.6827389999999999E-4</v>
      </c>
      <c r="AA101">
        <v>0.99922290000000002</v>
      </c>
      <c r="AB101">
        <v>11</v>
      </c>
      <c r="AC101">
        <v>307.6454</v>
      </c>
      <c r="AD101">
        <v>0.23092599999999999</v>
      </c>
      <c r="AE101">
        <v>3.4770000000000301</v>
      </c>
      <c r="AF101">
        <v>12.131914261418901</v>
      </c>
      <c r="AG101">
        <v>0.23092599999999999</v>
      </c>
      <c r="AH101">
        <v>307.42558721252902</v>
      </c>
      <c r="AI101">
        <v>89.956995147022795</v>
      </c>
      <c r="AJ101">
        <v>87.740113332456303</v>
      </c>
      <c r="AK101">
        <v>307.66496118900602</v>
      </c>
      <c r="AL101">
        <v>92.254657451254104</v>
      </c>
      <c r="AM101">
        <v>88.370418635314195</v>
      </c>
      <c r="AN101">
        <v>0.99999997919698702</v>
      </c>
    </row>
    <row r="102" spans="1:40" x14ac:dyDescent="0.25">
      <c r="A102" t="str">
        <f>"20190303154416154"</f>
        <v>20190303154416154</v>
      </c>
      <c r="B102" t="str">
        <f>"1551599056150411"</f>
        <v>1551599056150411</v>
      </c>
      <c r="C102" t="s">
        <v>40</v>
      </c>
      <c r="D102">
        <v>4.6820449999999996</v>
      </c>
      <c r="E102">
        <v>0.50440509999999905</v>
      </c>
      <c r="F102" t="s">
        <v>48</v>
      </c>
      <c r="G102">
        <v>-158.19499999999999</v>
      </c>
      <c r="H102">
        <v>1.2395080000000001</v>
      </c>
      <c r="I102">
        <v>370.93849999999998</v>
      </c>
      <c r="J102">
        <v>-465.73289999999997</v>
      </c>
      <c r="K102">
        <v>1.1212569999999999</v>
      </c>
      <c r="L102">
        <v>367.4468</v>
      </c>
      <c r="M102">
        <v>0.9986273</v>
      </c>
      <c r="N102">
        <v>-1.338698E-2</v>
      </c>
      <c r="O102">
        <v>5.0640640000000001E-2</v>
      </c>
      <c r="P102">
        <v>0.99837819999999999</v>
      </c>
      <c r="Q102">
        <v>-5.2518269999999999E-2</v>
      </c>
      <c r="R102">
        <v>2.1976200000000001E-2</v>
      </c>
      <c r="S102">
        <v>3.004181</v>
      </c>
      <c r="T102">
        <v>1.155615E-3</v>
      </c>
      <c r="U102">
        <v>3.414917E-2</v>
      </c>
      <c r="V102">
        <v>2.860445E-2</v>
      </c>
      <c r="W102">
        <v>-3.9158209999999999E-2</v>
      </c>
      <c r="X102">
        <v>0.99882349999999998</v>
      </c>
      <c r="Y102">
        <v>3.9285300000000002E-2</v>
      </c>
      <c r="Z102">
        <v>4.422505E-4</v>
      </c>
      <c r="AA102">
        <v>0.99922789999999995</v>
      </c>
      <c r="AB102">
        <v>11</v>
      </c>
      <c r="AC102">
        <v>307.53789999999998</v>
      </c>
      <c r="AD102">
        <v>0.118251</v>
      </c>
      <c r="AE102">
        <v>3.4916999999999798</v>
      </c>
      <c r="AF102">
        <v>12.0880895319718</v>
      </c>
      <c r="AG102">
        <v>0.118251</v>
      </c>
      <c r="AH102">
        <v>307.32003193767702</v>
      </c>
      <c r="AI102">
        <v>89.977970691604696</v>
      </c>
      <c r="AJ102">
        <v>87.7474958112292</v>
      </c>
      <c r="AK102">
        <v>307.55769852501999</v>
      </c>
      <c r="AL102">
        <v>92.244173979046394</v>
      </c>
      <c r="AM102">
        <v>88.359603641182204</v>
      </c>
      <c r="AN102">
        <v>0.99999998206122798</v>
      </c>
    </row>
    <row r="103" spans="1:40" x14ac:dyDescent="0.25">
      <c r="A103" t="str">
        <f>"20190303154416175"</f>
        <v>20190303154416175</v>
      </c>
      <c r="B103" t="str">
        <f>"1551599056169931"</f>
        <v>1551599056169931</v>
      </c>
      <c r="C103" t="s">
        <v>40</v>
      </c>
      <c r="D103">
        <v>4.6773210000000001</v>
      </c>
      <c r="E103">
        <v>0.5043628</v>
      </c>
      <c r="F103" t="s">
        <v>48</v>
      </c>
      <c r="G103">
        <v>-158.19499999999999</v>
      </c>
      <c r="H103">
        <v>1.2824139999999999</v>
      </c>
      <c r="I103">
        <v>370.90210000000002</v>
      </c>
      <c r="J103">
        <v>-465.62180000000001</v>
      </c>
      <c r="K103">
        <v>1.121259</v>
      </c>
      <c r="L103">
        <v>367.45240000000001</v>
      </c>
      <c r="M103">
        <v>0.99863259999999998</v>
      </c>
      <c r="N103">
        <v>-1.338578E-2</v>
      </c>
      <c r="O103">
        <v>5.0538399999999997E-2</v>
      </c>
      <c r="P103">
        <v>0.99838890000000002</v>
      </c>
      <c r="Q103">
        <v>-5.2407179999999998E-2</v>
      </c>
      <c r="R103">
        <v>2.1760419999999999E-2</v>
      </c>
      <c r="S103">
        <v>3.004181</v>
      </c>
      <c r="T103">
        <v>1.575112E-3</v>
      </c>
      <c r="U103">
        <v>3.3752440000000002E-2</v>
      </c>
      <c r="V103">
        <v>2.8718400000000002E-2</v>
      </c>
      <c r="W103">
        <v>-3.904821E-2</v>
      </c>
      <c r="X103">
        <v>0.9988245</v>
      </c>
      <c r="Y103">
        <v>3.9314880000000003E-2</v>
      </c>
      <c r="Z103">
        <v>4.504105E-4</v>
      </c>
      <c r="AA103">
        <v>0.99922670000000002</v>
      </c>
      <c r="AB103">
        <v>11</v>
      </c>
      <c r="AC103">
        <v>307.42680000000001</v>
      </c>
      <c r="AD103">
        <v>0.16115499999999899</v>
      </c>
      <c r="AE103">
        <v>3.4497</v>
      </c>
      <c r="AF103">
        <v>12.0929535470174</v>
      </c>
      <c r="AG103">
        <v>0.16115499999999899</v>
      </c>
      <c r="AH103">
        <v>307.20814820084598</v>
      </c>
      <c r="AI103">
        <v>89.969967088838501</v>
      </c>
      <c r="AJ103">
        <v>87.745770546469402</v>
      </c>
      <c r="AK103">
        <v>307.446112054482</v>
      </c>
      <c r="AL103">
        <v>92.237866701027102</v>
      </c>
      <c r="AM103">
        <v>88.353074122678507</v>
      </c>
      <c r="AN103">
        <v>0.99999994550150495</v>
      </c>
    </row>
    <row r="104" spans="1:40" x14ac:dyDescent="0.25">
      <c r="A104" t="str">
        <f>"20190303154416197"</f>
        <v>20190303154416197</v>
      </c>
      <c r="B104" t="str">
        <f>"1551599056190427"</f>
        <v>1551599056190427</v>
      </c>
      <c r="C104" t="s">
        <v>40</v>
      </c>
      <c r="D104">
        <v>4.6457439999999997</v>
      </c>
      <c r="E104">
        <v>0.50433530000000004</v>
      </c>
      <c r="F104" t="s">
        <v>48</v>
      </c>
      <c r="G104">
        <v>-158.19499999999999</v>
      </c>
      <c r="H104">
        <v>1.2794859999999999</v>
      </c>
      <c r="I104">
        <v>370.8313</v>
      </c>
      <c r="J104">
        <v>-465.51130000000001</v>
      </c>
      <c r="K104">
        <v>1.1212519999999999</v>
      </c>
      <c r="L104">
        <v>367.45780000000002</v>
      </c>
      <c r="M104">
        <v>0.99863860000000004</v>
      </c>
      <c r="N104">
        <v>-1.338436E-2</v>
      </c>
      <c r="O104">
        <v>5.0417610000000002E-2</v>
      </c>
      <c r="P104">
        <v>0.9983976</v>
      </c>
      <c r="Q104">
        <v>-5.2305240000000003E-2</v>
      </c>
      <c r="R104">
        <v>2.160834E-2</v>
      </c>
      <c r="S104">
        <v>3.0042719999999998</v>
      </c>
      <c r="T104">
        <v>1.54709799999999E-3</v>
      </c>
      <c r="U104">
        <v>3.3020019999999997E-2</v>
      </c>
      <c r="V104">
        <v>2.8749839999999999E-2</v>
      </c>
      <c r="W104">
        <v>-3.8947830000000003E-2</v>
      </c>
      <c r="X104">
        <v>0.99882760000000004</v>
      </c>
      <c r="Y104">
        <v>3.9437960000000001E-2</v>
      </c>
      <c r="Z104">
        <v>4.4723890000000001E-4</v>
      </c>
      <c r="AA104">
        <v>0.9992219</v>
      </c>
      <c r="AB104">
        <v>11</v>
      </c>
      <c r="AC104">
        <v>307.31630000000001</v>
      </c>
      <c r="AD104">
        <v>0.15823400000000001</v>
      </c>
      <c r="AE104">
        <v>3.3734999999999702</v>
      </c>
      <c r="AF104">
        <v>12.1263282516049</v>
      </c>
      <c r="AG104">
        <v>0.15823400000000001</v>
      </c>
      <c r="AH104">
        <v>307.09540998702101</v>
      </c>
      <c r="AI104">
        <v>89.970500764886395</v>
      </c>
      <c r="AJ104">
        <v>87.738726688688999</v>
      </c>
      <c r="AK104">
        <v>307.334774651293</v>
      </c>
      <c r="AL104">
        <v>92.232110781771695</v>
      </c>
      <c r="AM104">
        <v>88.351277228920097</v>
      </c>
      <c r="AN104">
        <v>1.00000003064174</v>
      </c>
    </row>
    <row r="105" spans="1:40" x14ac:dyDescent="0.25">
      <c r="A105" t="str">
        <f>"20190303154416218"</f>
        <v>20190303154416218</v>
      </c>
      <c r="B105" t="str">
        <f>"1551599056209947"</f>
        <v>1551599056209947</v>
      </c>
      <c r="C105" t="s">
        <v>40</v>
      </c>
      <c r="D105">
        <v>4.6362259999999997</v>
      </c>
      <c r="E105">
        <v>0.504297</v>
      </c>
      <c r="F105" t="s">
        <v>48</v>
      </c>
      <c r="G105">
        <v>-158.19499999999999</v>
      </c>
      <c r="H105">
        <v>1.289866</v>
      </c>
      <c r="I105">
        <v>370.86689999999999</v>
      </c>
      <c r="J105">
        <v>-465.40280000000001</v>
      </c>
      <c r="K105">
        <v>1.121246</v>
      </c>
      <c r="L105">
        <v>367.4631</v>
      </c>
      <c r="M105">
        <v>0.99864540000000002</v>
      </c>
      <c r="N105">
        <v>-1.33829E-2</v>
      </c>
      <c r="O105">
        <v>5.0281819999999998E-2</v>
      </c>
      <c r="P105">
        <v>0.9983438</v>
      </c>
      <c r="Q105">
        <v>-5.3425159999999999E-2</v>
      </c>
      <c r="R105">
        <v>2.134498E-2</v>
      </c>
      <c r="S105">
        <v>3.0041500000000001</v>
      </c>
      <c r="T105">
        <v>1.649141E-3</v>
      </c>
      <c r="U105">
        <v>3.3325199999999902E-2</v>
      </c>
      <c r="V105">
        <v>2.8873449999999998E-2</v>
      </c>
      <c r="W105">
        <v>-4.0070370000000001E-2</v>
      </c>
      <c r="X105">
        <v>0.99877959999999999</v>
      </c>
      <c r="Y105">
        <v>3.9200150000000003E-2</v>
      </c>
      <c r="Z105">
        <v>4.4920950000000001E-4</v>
      </c>
      <c r="AA105">
        <v>0.99923130000000004</v>
      </c>
      <c r="AB105">
        <v>11</v>
      </c>
      <c r="AC105">
        <v>307.20780000000002</v>
      </c>
      <c r="AD105">
        <v>0.16861999999999999</v>
      </c>
      <c r="AE105">
        <v>3.40379999999998</v>
      </c>
      <c r="AF105">
        <v>12.0488535055624</v>
      </c>
      <c r="AG105">
        <v>0.16861999999999999</v>
      </c>
      <c r="AH105">
        <v>306.99020586836002</v>
      </c>
      <c r="AI105">
        <v>89.968553456905497</v>
      </c>
      <c r="AJ105">
        <v>87.752389849129301</v>
      </c>
      <c r="AK105">
        <v>307.22660985435698</v>
      </c>
      <c r="AL105">
        <v>92.296477915001304</v>
      </c>
      <c r="AM105">
        <v>88.344112947920607</v>
      </c>
      <c r="AN105">
        <v>1.0000000000214899</v>
      </c>
    </row>
    <row r="106" spans="1:40" x14ac:dyDescent="0.25">
      <c r="A106" t="str">
        <f>"20190303154416242"</f>
        <v>20190303154416242</v>
      </c>
      <c r="B106" t="str">
        <f>"1551599056230447"</f>
        <v>1551599056230447</v>
      </c>
      <c r="C106" t="s">
        <v>40</v>
      </c>
      <c r="D106">
        <v>4.6103630000000004</v>
      </c>
      <c r="E106">
        <v>0.50423459999999998</v>
      </c>
      <c r="F106" t="s">
        <v>48</v>
      </c>
      <c r="G106">
        <v>-158.19499999999999</v>
      </c>
      <c r="H106">
        <v>0.91398290000000004</v>
      </c>
      <c r="I106">
        <v>370.78989999999999</v>
      </c>
      <c r="J106">
        <v>-465.28609999999998</v>
      </c>
      <c r="K106">
        <v>1.1212390000000001</v>
      </c>
      <c r="L106">
        <v>367.46879999999999</v>
      </c>
      <c r="M106">
        <v>0.99865369999999998</v>
      </c>
      <c r="N106">
        <v>-1.338105E-2</v>
      </c>
      <c r="O106">
        <v>5.0118419999999997E-2</v>
      </c>
      <c r="P106">
        <v>0.99830730000000001</v>
      </c>
      <c r="Q106">
        <v>-5.4239879999999997E-2</v>
      </c>
      <c r="R106">
        <v>2.0992210000000001E-2</v>
      </c>
      <c r="S106">
        <v>3.004181</v>
      </c>
      <c r="T106">
        <v>-2.0259620000000001E-3</v>
      </c>
      <c r="U106">
        <v>3.2531740000000003E-2</v>
      </c>
      <c r="V106">
        <v>2.906007E-2</v>
      </c>
      <c r="W106">
        <v>-4.0887989999999999E-2</v>
      </c>
      <c r="X106">
        <v>0.99874099999999999</v>
      </c>
      <c r="Y106">
        <v>3.9301160000000002E-2</v>
      </c>
      <c r="Z106">
        <v>3.6090329999999998E-4</v>
      </c>
      <c r="AA106">
        <v>0.99922730000000004</v>
      </c>
      <c r="AB106">
        <v>11</v>
      </c>
      <c r="AC106">
        <v>307.09109999999998</v>
      </c>
      <c r="AD106">
        <v>-0.207256099999999</v>
      </c>
      <c r="AE106">
        <v>3.3210999999999999</v>
      </c>
      <c r="AF106">
        <v>12.0753668056962</v>
      </c>
      <c r="AG106">
        <v>-0.207256099999999</v>
      </c>
      <c r="AH106">
        <v>306.87142749171699</v>
      </c>
      <c r="AI106">
        <v>90.038666731282902</v>
      </c>
      <c r="AJ106">
        <v>87.746578130770999</v>
      </c>
      <c r="AK106">
        <v>307.108987900692</v>
      </c>
      <c r="AL106">
        <v>92.343362635745905</v>
      </c>
      <c r="AM106">
        <v>88.333351966747003</v>
      </c>
      <c r="AN106">
        <v>0.99999995023782096</v>
      </c>
    </row>
    <row r="107" spans="1:40" x14ac:dyDescent="0.25">
      <c r="A107" t="str">
        <f>"20190303154416264"</f>
        <v>20190303154416264</v>
      </c>
      <c r="B107" t="str">
        <f>"1551599056259723"</f>
        <v>1551599056259723</v>
      </c>
      <c r="C107" t="s">
        <v>40</v>
      </c>
      <c r="D107">
        <v>4.6283909999999997</v>
      </c>
      <c r="E107">
        <v>0.50414320000000001</v>
      </c>
      <c r="F107" t="s">
        <v>48</v>
      </c>
      <c r="G107">
        <v>-158.19499999999999</v>
      </c>
      <c r="H107">
        <v>0.65917309999999996</v>
      </c>
      <c r="I107">
        <v>370.72559999999999</v>
      </c>
      <c r="J107">
        <v>-465.17689999999999</v>
      </c>
      <c r="K107">
        <v>1.121238</v>
      </c>
      <c r="L107">
        <v>367.47399999999999</v>
      </c>
      <c r="M107">
        <v>0.99866220000000006</v>
      </c>
      <c r="N107">
        <v>-1.337903E-2</v>
      </c>
      <c r="O107">
        <v>4.9948350000000002E-2</v>
      </c>
      <c r="P107">
        <v>0.99827520000000003</v>
      </c>
      <c r="Q107">
        <v>-5.4925519999999999E-2</v>
      </c>
      <c r="R107">
        <v>2.0733020000000001E-2</v>
      </c>
      <c r="S107">
        <v>3.0041500000000001</v>
      </c>
      <c r="T107">
        <v>-4.5193430000000003E-3</v>
      </c>
      <c r="U107">
        <v>3.1860350000000003E-2</v>
      </c>
      <c r="V107">
        <v>2.914709E-2</v>
      </c>
      <c r="W107">
        <v>-4.157632E-2</v>
      </c>
      <c r="X107">
        <v>0.99871010000000005</v>
      </c>
      <c r="Y107">
        <v>3.9354449999999999E-2</v>
      </c>
      <c r="Z107">
        <v>3.0053380000000002E-4</v>
      </c>
      <c r="AA107">
        <v>0.99922529999999998</v>
      </c>
      <c r="AB107">
        <v>11</v>
      </c>
      <c r="AC107">
        <v>306.9819</v>
      </c>
      <c r="AD107">
        <v>-0.4620649</v>
      </c>
      <c r="AE107">
        <v>3.2515999999999901</v>
      </c>
      <c r="AF107">
        <v>12.087043669996</v>
      </c>
      <c r="AG107">
        <v>-0.4620649</v>
      </c>
      <c r="AH107">
        <v>306.76038890149499</v>
      </c>
      <c r="AI107">
        <v>90.086236105797894</v>
      </c>
      <c r="AJ107">
        <v>87.743585705133896</v>
      </c>
      <c r="AK107">
        <v>306.99877251814701</v>
      </c>
      <c r="AL107">
        <v>92.382834482560597</v>
      </c>
      <c r="AM107">
        <v>88.328312347489003</v>
      </c>
      <c r="AN107">
        <v>1.0000000035411101</v>
      </c>
    </row>
    <row r="108" spans="1:40" x14ac:dyDescent="0.25">
      <c r="A108" t="str">
        <f>"20190303154416288"</f>
        <v>20190303154416288</v>
      </c>
      <c r="B108" t="str">
        <f>"1551599056280219"</f>
        <v>1551599056280219</v>
      </c>
      <c r="C108" t="s">
        <v>40</v>
      </c>
      <c r="D108">
        <v>4.5377890000000001</v>
      </c>
      <c r="E108">
        <v>0.49844509999999997</v>
      </c>
      <c r="F108" t="s">
        <v>48</v>
      </c>
      <c r="G108">
        <v>-158.19499999999999</v>
      </c>
      <c r="H108">
        <v>0.39766590000000002</v>
      </c>
      <c r="I108">
        <v>370.66419999999999</v>
      </c>
      <c r="J108">
        <v>-465.05840000000001</v>
      </c>
      <c r="K108">
        <v>1.1212409999999999</v>
      </c>
      <c r="L108">
        <v>367.47969999999998</v>
      </c>
      <c r="M108">
        <v>0.99867209999999995</v>
      </c>
      <c r="N108">
        <v>-1.337698E-2</v>
      </c>
      <c r="O108">
        <v>4.975077E-2</v>
      </c>
      <c r="P108">
        <v>0.99827149999999998</v>
      </c>
      <c r="Q108">
        <v>-5.5411410000000001E-2</v>
      </c>
      <c r="R108">
        <v>1.958729E-2</v>
      </c>
      <c r="S108">
        <v>3.0041500000000001</v>
      </c>
      <c r="T108">
        <v>-7.0800780000000001E-3</v>
      </c>
      <c r="U108">
        <v>3.1219480000000001E-2</v>
      </c>
      <c r="V108">
        <v>3.009361E-2</v>
      </c>
      <c r="W108">
        <v>-4.206505E-2</v>
      </c>
      <c r="X108">
        <v>0.99866160000000004</v>
      </c>
      <c r="Y108">
        <v>3.9370099999999998E-2</v>
      </c>
      <c r="Z108">
        <v>2.3883699999999999E-4</v>
      </c>
      <c r="AA108">
        <v>0.99922469999999997</v>
      </c>
      <c r="AB108">
        <v>11</v>
      </c>
      <c r="AC108">
        <v>306.86340000000001</v>
      </c>
      <c r="AD108">
        <v>-0.72357509999999903</v>
      </c>
      <c r="AE108">
        <v>3.1845000000000101</v>
      </c>
      <c r="AF108">
        <v>12.0874331936887</v>
      </c>
      <c r="AG108">
        <v>-0.72357509999999903</v>
      </c>
      <c r="AH108">
        <v>306.64007263480602</v>
      </c>
      <c r="AI108">
        <v>90.135095031971602</v>
      </c>
      <c r="AJ108">
        <v>87.742628602554703</v>
      </c>
      <c r="AK108">
        <v>306.87907023388902</v>
      </c>
      <c r="AL108">
        <v>92.410861074590102</v>
      </c>
      <c r="AM108">
        <v>88.273974660502304</v>
      </c>
      <c r="AN108">
        <v>1.00000004255444</v>
      </c>
    </row>
    <row r="109" spans="1:40" x14ac:dyDescent="0.25">
      <c r="A109" t="str">
        <f>"20190303154416309"</f>
        <v>20190303154416309</v>
      </c>
      <c r="B109" t="str">
        <f>"1551599056299740"</f>
        <v>1551599056299740</v>
      </c>
      <c r="C109" t="s">
        <v>40</v>
      </c>
      <c r="D109">
        <v>4.523536</v>
      </c>
      <c r="E109">
        <v>0.49680099999999999</v>
      </c>
      <c r="F109" t="s">
        <v>48</v>
      </c>
      <c r="G109">
        <v>-158.19499999999999</v>
      </c>
      <c r="H109">
        <v>5.4882879999999998</v>
      </c>
      <c r="I109">
        <v>375.04360000000003</v>
      </c>
      <c r="J109">
        <v>-464.94909999999999</v>
      </c>
      <c r="K109">
        <v>1.121243</v>
      </c>
      <c r="L109">
        <v>367.48489999999998</v>
      </c>
      <c r="M109">
        <v>0.99868170000000001</v>
      </c>
      <c r="N109">
        <v>-1.3374830000000001E-2</v>
      </c>
      <c r="O109">
        <v>4.9560409999999999E-2</v>
      </c>
      <c r="P109">
        <v>0.9982721</v>
      </c>
      <c r="Q109">
        <v>-5.5859720000000002E-2</v>
      </c>
      <c r="R109">
        <v>1.8245810000000001E-2</v>
      </c>
      <c r="S109">
        <v>3.0060730000000002</v>
      </c>
      <c r="T109">
        <v>4.2781E-2</v>
      </c>
      <c r="U109">
        <v>7.4096679999999998E-2</v>
      </c>
      <c r="V109">
        <v>3.124391E-2</v>
      </c>
      <c r="W109">
        <v>-4.2516110000000003E-2</v>
      </c>
      <c r="X109">
        <v>0.99860720000000003</v>
      </c>
      <c r="Y109">
        <v>2.491954E-2</v>
      </c>
      <c r="Z109">
        <v>1.3784890000000001E-3</v>
      </c>
      <c r="AA109">
        <v>0.99968849999999998</v>
      </c>
      <c r="AB109">
        <v>11</v>
      </c>
      <c r="AC109">
        <v>306.75409999999999</v>
      </c>
      <c r="AD109">
        <v>4.3670450000000001</v>
      </c>
      <c r="AE109">
        <v>7.5587000000000399</v>
      </c>
      <c r="AF109">
        <v>7.6532571481208604</v>
      </c>
      <c r="AG109">
        <v>4.3670450000000001</v>
      </c>
      <c r="AH109">
        <v>306.68959696872702</v>
      </c>
      <c r="AI109">
        <v>89.184457227978697</v>
      </c>
      <c r="AJ109">
        <v>88.570514450715393</v>
      </c>
      <c r="AK109">
        <v>306.81615393562299</v>
      </c>
      <c r="AL109">
        <v>92.436727981181306</v>
      </c>
      <c r="AM109">
        <v>88.207943630694203</v>
      </c>
      <c r="AN109">
        <v>1.00000007070672</v>
      </c>
    </row>
    <row r="110" spans="1:40" x14ac:dyDescent="0.25">
      <c r="A110" t="str">
        <f>"20190303154416333"</f>
        <v>20190303154416333</v>
      </c>
      <c r="B110" t="str">
        <f>"1551599056329995"</f>
        <v>1551599056329995</v>
      </c>
      <c r="C110" t="s">
        <v>40</v>
      </c>
      <c r="D110">
        <v>4.5305419999999996</v>
      </c>
      <c r="E110">
        <v>0.49697409999999997</v>
      </c>
      <c r="F110" t="s">
        <v>48</v>
      </c>
      <c r="G110">
        <v>-158.19499999999999</v>
      </c>
      <c r="H110">
        <v>4.4161489999999999</v>
      </c>
      <c r="I110">
        <v>375.97570000000002</v>
      </c>
      <c r="J110">
        <v>-464.8306</v>
      </c>
      <c r="K110">
        <v>1.1212519999999999</v>
      </c>
      <c r="L110">
        <v>367.4905</v>
      </c>
      <c r="M110">
        <v>0.99869209999999997</v>
      </c>
      <c r="N110">
        <v>-1.3372469999999999E-2</v>
      </c>
      <c r="O110">
        <v>4.9351680000000002E-2</v>
      </c>
      <c r="P110">
        <v>0.99826910000000002</v>
      </c>
      <c r="Q110">
        <v>-5.6382620000000001E-2</v>
      </c>
      <c r="R110">
        <v>1.6743770000000002E-2</v>
      </c>
      <c r="S110">
        <v>3.005493</v>
      </c>
      <c r="T110">
        <v>3.2283430000000002E-2</v>
      </c>
      <c r="U110">
        <v>8.3190920000000002E-2</v>
      </c>
      <c r="V110">
        <v>3.2536120000000002E-2</v>
      </c>
      <c r="W110">
        <v>-4.3041830000000003E-2</v>
      </c>
      <c r="X110">
        <v>0.99854330000000002</v>
      </c>
      <c r="Y110">
        <v>2.168786E-2</v>
      </c>
      <c r="Z110">
        <v>1.16128E-3</v>
      </c>
      <c r="AA110">
        <v>0.99976410000000004</v>
      </c>
      <c r="AB110">
        <v>11</v>
      </c>
      <c r="AC110">
        <v>306.63560000000001</v>
      </c>
      <c r="AD110">
        <v>3.2948970000000002</v>
      </c>
      <c r="AE110">
        <v>8.4852000000000096</v>
      </c>
      <c r="AF110">
        <v>6.6587059507928297</v>
      </c>
      <c r="AG110">
        <v>3.2948970000000002</v>
      </c>
      <c r="AH110">
        <v>306.64530406645002</v>
      </c>
      <c r="AI110">
        <v>89.384526887463807</v>
      </c>
      <c r="AJ110">
        <v>88.756035736263101</v>
      </c>
      <c r="AK110">
        <v>306.73528850979199</v>
      </c>
      <c r="AL110">
        <v>92.466877389311804</v>
      </c>
      <c r="AM110">
        <v>88.133758396096496</v>
      </c>
      <c r="AN110">
        <v>0.99999996010464498</v>
      </c>
    </row>
    <row r="111" spans="1:40" x14ac:dyDescent="0.25">
      <c r="A111" t="str">
        <f>"20190303154416354"</f>
        <v>20190303154416354</v>
      </c>
      <c r="B111" t="str">
        <f>"1551599056350491"</f>
        <v>1551599056350491</v>
      </c>
      <c r="C111" t="s">
        <v>40</v>
      </c>
      <c r="D111">
        <v>4.522151</v>
      </c>
      <c r="E111">
        <v>0.49714469999999999</v>
      </c>
      <c r="F111" t="s">
        <v>48</v>
      </c>
      <c r="G111">
        <v>-158.19499999999999</v>
      </c>
      <c r="H111">
        <v>4.2102839999999997</v>
      </c>
      <c r="I111">
        <v>375.3082</v>
      </c>
      <c r="J111">
        <v>-464.72579999999999</v>
      </c>
      <c r="K111">
        <v>1.1212610000000001</v>
      </c>
      <c r="L111">
        <v>367.49549999999999</v>
      </c>
      <c r="M111">
        <v>0.99870099999999995</v>
      </c>
      <c r="N111">
        <v>-1.337027E-2</v>
      </c>
      <c r="O111">
        <v>4.916893E-2</v>
      </c>
      <c r="P111">
        <v>0.99825319999999995</v>
      </c>
      <c r="Q111">
        <v>-5.7008040000000003E-2</v>
      </c>
      <c r="R111">
        <v>1.551285E-2</v>
      </c>
      <c r="S111">
        <v>3.0056759999999998</v>
      </c>
      <c r="T111">
        <v>3.027987E-2</v>
      </c>
      <c r="U111">
        <v>7.6629639999999999E-2</v>
      </c>
      <c r="V111">
        <v>3.3583090000000003E-2</v>
      </c>
      <c r="W111">
        <v>-4.3669850000000003E-2</v>
      </c>
      <c r="X111">
        <v>0.99848139999999996</v>
      </c>
      <c r="Y111">
        <v>2.3688379999999998E-2</v>
      </c>
      <c r="Z111">
        <v>1.113513E-3</v>
      </c>
      <c r="AA111">
        <v>0.99971880000000002</v>
      </c>
      <c r="AB111">
        <v>11</v>
      </c>
      <c r="AC111">
        <v>306.5308</v>
      </c>
      <c r="AD111">
        <v>3.0890230000000001</v>
      </c>
      <c r="AE111">
        <v>7.8127000000000004</v>
      </c>
      <c r="AF111">
        <v>7.2691521170018296</v>
      </c>
      <c r="AG111">
        <v>3.0890230000000001</v>
      </c>
      <c r="AH111">
        <v>306.513046763175</v>
      </c>
      <c r="AI111">
        <v>89.4227578719577</v>
      </c>
      <c r="AJ111">
        <v>88.641448757245897</v>
      </c>
      <c r="AK111">
        <v>306.61479167130699</v>
      </c>
      <c r="AL111">
        <v>92.502894071359606</v>
      </c>
      <c r="AM111">
        <v>88.073630379781804</v>
      </c>
      <c r="AN111">
        <v>0.99999999293946495</v>
      </c>
    </row>
    <row r="112" spans="1:40" x14ac:dyDescent="0.25">
      <c r="A112" t="str">
        <f>"20190303154416376"</f>
        <v>20190303154416376</v>
      </c>
      <c r="B112" t="str">
        <f>"1551599056370012"</f>
        <v>1551599056370012</v>
      </c>
      <c r="C112" t="s">
        <v>40</v>
      </c>
      <c r="D112">
        <v>4.5307620000000002</v>
      </c>
      <c r="E112">
        <v>0.49708409999999897</v>
      </c>
      <c r="F112" t="s">
        <v>48</v>
      </c>
      <c r="G112">
        <v>-158.19499999999999</v>
      </c>
      <c r="H112">
        <v>4.2370580000000002</v>
      </c>
      <c r="I112">
        <v>374.83390000000003</v>
      </c>
      <c r="J112">
        <v>-464.61869999999999</v>
      </c>
      <c r="K112">
        <v>1.121265</v>
      </c>
      <c r="L112">
        <v>367.50049999999999</v>
      </c>
      <c r="M112">
        <v>0.99871019999999999</v>
      </c>
      <c r="N112">
        <v>-1.336789E-2</v>
      </c>
      <c r="O112">
        <v>4.8986290000000002E-2</v>
      </c>
      <c r="P112">
        <v>0.99824669999999904</v>
      </c>
      <c r="Q112">
        <v>-5.7265940000000001E-2</v>
      </c>
      <c r="R112">
        <v>1.4979350000000001E-2</v>
      </c>
      <c r="S112">
        <v>3.0058590000000001</v>
      </c>
      <c r="T112">
        <v>3.055453E-2</v>
      </c>
      <c r="U112">
        <v>7.1960449999999995E-2</v>
      </c>
      <c r="V112">
        <v>3.3933949999999997E-2</v>
      </c>
      <c r="W112">
        <v>-4.3929830000000003E-2</v>
      </c>
      <c r="X112">
        <v>0.99845810000000002</v>
      </c>
      <c r="Y112">
        <v>2.5059020000000001E-2</v>
      </c>
      <c r="Z112">
        <v>1.112488E-3</v>
      </c>
      <c r="AA112">
        <v>0.9996853</v>
      </c>
      <c r="AB112">
        <v>11</v>
      </c>
      <c r="AC112">
        <v>306.4237</v>
      </c>
      <c r="AD112">
        <v>3.115793</v>
      </c>
      <c r="AE112">
        <v>7.3334000000000401</v>
      </c>
      <c r="AF112">
        <v>7.6865098476240998</v>
      </c>
      <c r="AG112">
        <v>3.115793</v>
      </c>
      <c r="AH112">
        <v>306.38336593345701</v>
      </c>
      <c r="AI112">
        <v>89.417528802058001</v>
      </c>
      <c r="AJ112">
        <v>88.562871682539196</v>
      </c>
      <c r="AK112">
        <v>306.49560766897002</v>
      </c>
      <c r="AL112">
        <v>92.517804219566898</v>
      </c>
      <c r="AM112">
        <v>88.053474608487605</v>
      </c>
      <c r="AN112">
        <v>0.999999960191019</v>
      </c>
    </row>
    <row r="113" spans="1:40" x14ac:dyDescent="0.25">
      <c r="A113" t="str">
        <f>"20190303154416400"</f>
        <v>20190303154416400</v>
      </c>
      <c r="B113" t="str">
        <f>"1551599056390508"</f>
        <v>1551599056390508</v>
      </c>
      <c r="C113" t="s">
        <v>40</v>
      </c>
      <c r="D113">
        <v>4.567024</v>
      </c>
      <c r="E113">
        <v>0.49725780000000003</v>
      </c>
      <c r="F113" t="s">
        <v>48</v>
      </c>
      <c r="G113">
        <v>-158.19499999999999</v>
      </c>
      <c r="H113">
        <v>4.2000169999999999</v>
      </c>
      <c r="I113">
        <v>374.76139999999998</v>
      </c>
      <c r="J113">
        <v>-464.50310000000002</v>
      </c>
      <c r="K113">
        <v>1.1212759999999999</v>
      </c>
      <c r="L113">
        <v>367.50599999999997</v>
      </c>
      <c r="M113">
        <v>0.99871940000000003</v>
      </c>
      <c r="N113">
        <v>-1.336524E-2</v>
      </c>
      <c r="O113">
        <v>4.879505E-2</v>
      </c>
      <c r="P113">
        <v>0.99825050000000004</v>
      </c>
      <c r="Q113">
        <v>-5.7121280000000003E-2</v>
      </c>
      <c r="R113">
        <v>1.5265849999999999E-2</v>
      </c>
      <c r="S113">
        <v>3.005951</v>
      </c>
      <c r="T113">
        <v>3.020275E-2</v>
      </c>
      <c r="U113">
        <v>7.1228029999999998E-2</v>
      </c>
      <c r="V113">
        <v>3.3457830000000001E-2</v>
      </c>
      <c r="W113">
        <v>-4.3786789999999999E-2</v>
      </c>
      <c r="X113">
        <v>0.99848049999999999</v>
      </c>
      <c r="Y113">
        <v>2.5111970000000001E-2</v>
      </c>
      <c r="Z113">
        <v>1.1006169999999999E-3</v>
      </c>
      <c r="AA113">
        <v>0.99968400000000002</v>
      </c>
      <c r="AB113">
        <v>11</v>
      </c>
      <c r="AC113">
        <v>306.30810000000002</v>
      </c>
      <c r="AD113">
        <v>3.0787409999999999</v>
      </c>
      <c r="AE113">
        <v>7.2553999999999998</v>
      </c>
      <c r="AF113">
        <v>7.7001205838606497</v>
      </c>
      <c r="AG113">
        <v>3.0787409999999999</v>
      </c>
      <c r="AH113">
        <v>306.26630026207602</v>
      </c>
      <c r="AI113">
        <v>89.424235694045194</v>
      </c>
      <c r="AJ113">
        <v>88.559777924684099</v>
      </c>
      <c r="AK113">
        <v>306.37855208772601</v>
      </c>
      <c r="AL113">
        <v>92.509600614344194</v>
      </c>
      <c r="AM113">
        <v>88.080808344065105</v>
      </c>
      <c r="AN113">
        <v>1.0000000091235299</v>
      </c>
    </row>
    <row r="114" spans="1:40" x14ac:dyDescent="0.25">
      <c r="A114" t="str">
        <f>"20190303154416421"</f>
        <v>20190303154416421</v>
      </c>
      <c r="B114" t="str">
        <f>"1551599056410028"</f>
        <v>1551599056410028</v>
      </c>
      <c r="C114" t="s">
        <v>40</v>
      </c>
      <c r="D114">
        <v>4.507009</v>
      </c>
      <c r="E114">
        <v>0.49713479999999999</v>
      </c>
      <c r="F114" t="s">
        <v>48</v>
      </c>
      <c r="G114">
        <v>-158.19499999999999</v>
      </c>
      <c r="H114">
        <v>4.2364199999999999</v>
      </c>
      <c r="I114">
        <v>374.67720000000003</v>
      </c>
      <c r="J114">
        <v>-464.39670000000001</v>
      </c>
      <c r="K114">
        <v>1.121286</v>
      </c>
      <c r="L114">
        <v>367.51089999999999</v>
      </c>
      <c r="M114">
        <v>0.99872780000000005</v>
      </c>
      <c r="N114">
        <v>-1.3362560000000001E-2</v>
      </c>
      <c r="O114">
        <v>4.8623680000000002E-2</v>
      </c>
      <c r="P114">
        <v>0.99825439999999999</v>
      </c>
      <c r="Q114">
        <v>-5.696205E-2</v>
      </c>
      <c r="R114">
        <v>1.559638E-2</v>
      </c>
      <c r="S114">
        <v>3.0059200000000001</v>
      </c>
      <c r="T114">
        <v>3.0570980000000001E-2</v>
      </c>
      <c r="U114">
        <v>7.0373539999999998E-2</v>
      </c>
      <c r="V114">
        <v>3.2957340000000002E-2</v>
      </c>
      <c r="W114">
        <v>-4.3629420000000002E-2</v>
      </c>
      <c r="X114">
        <v>0.99850399999999995</v>
      </c>
      <c r="Y114">
        <v>2.5224110000000001E-2</v>
      </c>
      <c r="Z114">
        <v>1.103829E-3</v>
      </c>
      <c r="AA114">
        <v>0.99968120000000005</v>
      </c>
      <c r="AB114">
        <v>11</v>
      </c>
      <c r="AC114">
        <v>306.20170000000002</v>
      </c>
      <c r="AD114">
        <v>3.1151339999999998</v>
      </c>
      <c r="AE114">
        <v>7.1663000000000299</v>
      </c>
      <c r="AF114">
        <v>7.7313608897180197</v>
      </c>
      <c r="AG114">
        <v>3.1151339999999998</v>
      </c>
      <c r="AH114">
        <v>306.15626384042503</v>
      </c>
      <c r="AI114">
        <v>89.417222461102398</v>
      </c>
      <c r="AJ114">
        <v>88.553417735894897</v>
      </c>
      <c r="AK114">
        <v>306.26971102244698</v>
      </c>
      <c r="AL114">
        <v>92.500575437226203</v>
      </c>
      <c r="AM114">
        <v>88.109540676980401</v>
      </c>
      <c r="AN114">
        <v>0.99999997528270501</v>
      </c>
    </row>
    <row r="115" spans="1:40" x14ac:dyDescent="0.25">
      <c r="A115" t="str">
        <f>"20190303154416443"</f>
        <v>20190303154416443</v>
      </c>
      <c r="B115" t="str">
        <f>"1551599056440283"</f>
        <v>1551599056440283</v>
      </c>
      <c r="C115" t="s">
        <v>40</v>
      </c>
      <c r="D115">
        <v>4.530303</v>
      </c>
      <c r="E115">
        <v>0.4970174</v>
      </c>
      <c r="F115" t="s">
        <v>48</v>
      </c>
      <c r="G115">
        <v>-158.19499999999999</v>
      </c>
      <c r="H115">
        <v>4.3935779999999998</v>
      </c>
      <c r="I115">
        <v>374.89100000000002</v>
      </c>
      <c r="J115">
        <v>-464.2901</v>
      </c>
      <c r="K115">
        <v>1.121292</v>
      </c>
      <c r="L115">
        <v>367.51589999999999</v>
      </c>
      <c r="M115">
        <v>0.99873610000000002</v>
      </c>
      <c r="N115">
        <v>-1.3359930000000001E-2</v>
      </c>
      <c r="O115">
        <v>4.8455199999999997E-2</v>
      </c>
      <c r="P115">
        <v>0.99829959999999995</v>
      </c>
      <c r="Q115">
        <v>-5.6163850000000001E-2</v>
      </c>
      <c r="R115">
        <v>1.5625940000000001E-2</v>
      </c>
      <c r="S115">
        <v>3.0059200000000001</v>
      </c>
      <c r="T115">
        <v>3.2124279999999998E-2</v>
      </c>
      <c r="U115">
        <v>7.2448730000000003E-2</v>
      </c>
      <c r="V115">
        <v>3.2761940000000003E-2</v>
      </c>
      <c r="W115">
        <v>-4.28329E-2</v>
      </c>
      <c r="X115">
        <v>0.99854489999999996</v>
      </c>
      <c r="Y115">
        <v>2.4365089999999999E-2</v>
      </c>
      <c r="Z115">
        <v>1.132444E-3</v>
      </c>
      <c r="AA115">
        <v>0.99970250000000005</v>
      </c>
      <c r="AB115">
        <v>11</v>
      </c>
      <c r="AC115">
        <v>306.0951</v>
      </c>
      <c r="AD115">
        <v>3.2722859999999998</v>
      </c>
      <c r="AE115">
        <v>7.3750999999999696</v>
      </c>
      <c r="AF115">
        <v>7.4659336075117899</v>
      </c>
      <c r="AG115">
        <v>3.2722859999999998</v>
      </c>
      <c r="AH115">
        <v>306.05791957832702</v>
      </c>
      <c r="AI115">
        <v>89.387614992391804</v>
      </c>
      <c r="AJ115">
        <v>88.602611990078501</v>
      </c>
      <c r="AK115">
        <v>306.16645498308799</v>
      </c>
      <c r="AL115">
        <v>92.454895532576302</v>
      </c>
      <c r="AM115">
        <v>88.120817834686903</v>
      </c>
      <c r="AN115">
        <v>0.99999995967549005</v>
      </c>
    </row>
    <row r="116" spans="1:40" x14ac:dyDescent="0.25">
      <c r="A116" t="str">
        <f>"20190303154416464"</f>
        <v>20190303154416464</v>
      </c>
      <c r="B116" t="str">
        <f>"1551599056459804"</f>
        <v>1551599056459804</v>
      </c>
      <c r="C116" t="s">
        <v>40</v>
      </c>
      <c r="D116">
        <v>4.5215670000000001</v>
      </c>
      <c r="E116">
        <v>0.49702030000000003</v>
      </c>
      <c r="F116" t="s">
        <v>48</v>
      </c>
      <c r="G116">
        <v>-158.19499999999999</v>
      </c>
      <c r="H116">
        <v>4.9316649999999997</v>
      </c>
      <c r="I116">
        <v>375.0018</v>
      </c>
      <c r="J116">
        <v>-464.18430000000001</v>
      </c>
      <c r="K116">
        <v>1.121297</v>
      </c>
      <c r="L116">
        <v>367.52089999999998</v>
      </c>
      <c r="M116">
        <v>0.99874410000000002</v>
      </c>
      <c r="N116">
        <v>-1.3357269999999999E-2</v>
      </c>
      <c r="O116">
        <v>4.8290279999999998E-2</v>
      </c>
      <c r="P116">
        <v>0.99832520000000002</v>
      </c>
      <c r="Q116">
        <v>-5.5832239999999998E-2</v>
      </c>
      <c r="R116">
        <v>1.515672E-2</v>
      </c>
      <c r="S116">
        <v>3.0061040000000001</v>
      </c>
      <c r="T116">
        <v>3.7421820000000001E-2</v>
      </c>
      <c r="U116">
        <v>7.3516849999999995E-2</v>
      </c>
      <c r="V116">
        <v>3.3067390000000002E-2</v>
      </c>
      <c r="W116">
        <v>-4.2503760000000002E-2</v>
      </c>
      <c r="X116">
        <v>0.99854889999999996</v>
      </c>
      <c r="Y116">
        <v>2.3844190000000001E-2</v>
      </c>
      <c r="Z116">
        <v>1.2350690000000001E-3</v>
      </c>
      <c r="AA116">
        <v>0.99971489999999996</v>
      </c>
      <c r="AB116">
        <v>11</v>
      </c>
      <c r="AC116">
        <v>305.98930000000001</v>
      </c>
      <c r="AD116">
        <v>3.810368</v>
      </c>
      <c r="AE116">
        <v>7.4809000000000099</v>
      </c>
      <c r="AF116">
        <v>7.3043234547793396</v>
      </c>
      <c r="AG116">
        <v>3.810368</v>
      </c>
      <c r="AH116">
        <v>305.94612496056698</v>
      </c>
      <c r="AI116">
        <v>89.286656975060595</v>
      </c>
      <c r="AJ116">
        <v>88.632349345962695</v>
      </c>
      <c r="AK116">
        <v>306.057026424512</v>
      </c>
      <c r="AL116">
        <v>92.436019998734096</v>
      </c>
      <c r="AM116">
        <v>88.103317950880495</v>
      </c>
      <c r="AN116">
        <v>0.99999996379337897</v>
      </c>
    </row>
    <row r="117" spans="1:40" x14ac:dyDescent="0.25">
      <c r="A117" t="str">
        <f>"20190303154416488"</f>
        <v>20190303154416488</v>
      </c>
      <c r="B117" t="str">
        <f>"1551599056480303"</f>
        <v>1551599056480303</v>
      </c>
      <c r="C117" t="s">
        <v>40</v>
      </c>
      <c r="D117">
        <v>4.5242380000000004</v>
      </c>
      <c r="E117">
        <v>0.49703809999999898</v>
      </c>
      <c r="F117" t="s">
        <v>48</v>
      </c>
      <c r="G117">
        <v>-158.19499999999999</v>
      </c>
      <c r="H117">
        <v>5.157896</v>
      </c>
      <c r="I117">
        <v>374.88299999999998</v>
      </c>
      <c r="J117">
        <v>-464.07100000000003</v>
      </c>
      <c r="K117">
        <v>1.121302</v>
      </c>
      <c r="L117">
        <v>367.52609999999999</v>
      </c>
      <c r="M117">
        <v>0.99875250000000004</v>
      </c>
      <c r="N117">
        <v>-1.3354400000000001E-2</v>
      </c>
      <c r="O117">
        <v>4.811402E-2</v>
      </c>
      <c r="P117">
        <v>0.9983339</v>
      </c>
      <c r="Q117">
        <v>-5.5767810000000001E-2</v>
      </c>
      <c r="R117">
        <v>1.482207E-2</v>
      </c>
      <c r="S117">
        <v>3.0061040000000001</v>
      </c>
      <c r="T117">
        <v>3.9657240000000003E-2</v>
      </c>
      <c r="U117">
        <v>7.2326660000000001E-2</v>
      </c>
      <c r="V117">
        <v>3.3226099999999897E-2</v>
      </c>
      <c r="W117">
        <v>-4.2442100000000003E-2</v>
      </c>
      <c r="X117">
        <v>0.9985463</v>
      </c>
      <c r="Y117">
        <v>2.406237E-2</v>
      </c>
      <c r="Z117">
        <v>1.2750179999999999E-3</v>
      </c>
      <c r="AA117">
        <v>0.99970970000000003</v>
      </c>
      <c r="AB117">
        <v>11</v>
      </c>
      <c r="AC117">
        <v>305.87599999999998</v>
      </c>
      <c r="AD117">
        <v>4.036594</v>
      </c>
      <c r="AE117">
        <v>7.3569000000000502</v>
      </c>
      <c r="AF117">
        <v>7.3685769050696202</v>
      </c>
      <c r="AG117">
        <v>4.036594</v>
      </c>
      <c r="AH117">
        <v>305.82245789350497</v>
      </c>
      <c r="AI117">
        <v>89.2440081748788</v>
      </c>
      <c r="AJ117">
        <v>88.619765563842407</v>
      </c>
      <c r="AK117">
        <v>305.93784625108299</v>
      </c>
      <c r="AL117">
        <v>92.432483838948599</v>
      </c>
      <c r="AM117">
        <v>88.094216388095901</v>
      </c>
      <c r="AN117">
        <v>1.0000000094086501</v>
      </c>
    </row>
    <row r="118" spans="1:40" x14ac:dyDescent="0.25">
      <c r="A118" t="str">
        <f>"20190303154416511"</f>
        <v>20190303154416511</v>
      </c>
      <c r="B118" t="str">
        <f>"1551599056499823"</f>
        <v>1551599056499823</v>
      </c>
      <c r="C118" t="s">
        <v>40</v>
      </c>
      <c r="D118">
        <v>4.5327469999999996</v>
      </c>
      <c r="E118">
        <v>0.49705859999999902</v>
      </c>
      <c r="F118" t="s">
        <v>48</v>
      </c>
      <c r="G118">
        <v>-158.19499999999999</v>
      </c>
      <c r="H118">
        <v>5.2116980000000002</v>
      </c>
      <c r="I118">
        <v>374.72699999999998</v>
      </c>
      <c r="J118">
        <v>-463.95650000000001</v>
      </c>
      <c r="K118">
        <v>1.121305</v>
      </c>
      <c r="L118">
        <v>367.53140000000002</v>
      </c>
      <c r="M118">
        <v>0.99876109999999896</v>
      </c>
      <c r="N118">
        <v>-1.3351460000000001E-2</v>
      </c>
      <c r="O118">
        <v>4.7936810000000003E-2</v>
      </c>
      <c r="P118">
        <v>0.99835620000000003</v>
      </c>
      <c r="Q118">
        <v>-5.5485960000000001E-2</v>
      </c>
      <c r="R118">
        <v>1.4366399999999901E-2</v>
      </c>
      <c r="S118">
        <v>3.0061339999999999</v>
      </c>
      <c r="T118">
        <v>4.0201069999999998E-2</v>
      </c>
      <c r="U118">
        <v>7.0770260000000001E-2</v>
      </c>
      <c r="V118">
        <v>3.3505479999999997E-2</v>
      </c>
      <c r="W118">
        <v>-4.2163069999999997E-2</v>
      </c>
      <c r="X118">
        <v>0.99854880000000001</v>
      </c>
      <c r="Y118">
        <v>2.4402320000000002E-2</v>
      </c>
      <c r="Z118">
        <v>1.281054E-3</v>
      </c>
      <c r="AA118">
        <v>0.99970139999999996</v>
      </c>
      <c r="AB118">
        <v>11</v>
      </c>
      <c r="AC118">
        <v>305.76150000000001</v>
      </c>
      <c r="AD118">
        <v>4.0903929999999997</v>
      </c>
      <c r="AE118">
        <v>7.19559999999995</v>
      </c>
      <c r="AF118">
        <v>7.4698756549818697</v>
      </c>
      <c r="AG118">
        <v>4.0903929999999997</v>
      </c>
      <c r="AH118">
        <v>305.70021073805498</v>
      </c>
      <c r="AI118">
        <v>89.233633673663107</v>
      </c>
      <c r="AJ118">
        <v>88.600239118057203</v>
      </c>
      <c r="AK118">
        <v>305.81881760690698</v>
      </c>
      <c r="AL118">
        <v>92.416482238959105</v>
      </c>
      <c r="AM118">
        <v>88.0782084760218</v>
      </c>
      <c r="AN118">
        <v>1.00000002382164</v>
      </c>
    </row>
    <row r="119" spans="1:40" x14ac:dyDescent="0.25">
      <c r="A119" t="str">
        <f>"20190303154416554"</f>
        <v>20190303154416554</v>
      </c>
      <c r="B119" t="str">
        <f>"1551599056550575"</f>
        <v>1551599056550575</v>
      </c>
      <c r="C119" t="s">
        <v>40</v>
      </c>
      <c r="D119">
        <v>4.5680680000000002</v>
      </c>
      <c r="E119">
        <v>0.47886810000000002</v>
      </c>
      <c r="F119" t="s">
        <v>48</v>
      </c>
      <c r="G119">
        <v>-158.19499999999999</v>
      </c>
      <c r="H119">
        <v>5.3030010000000001</v>
      </c>
      <c r="I119">
        <v>374.59589999999997</v>
      </c>
      <c r="J119">
        <v>-463.74799999999999</v>
      </c>
      <c r="K119">
        <v>1.1213029999999999</v>
      </c>
      <c r="L119">
        <v>367.541</v>
      </c>
      <c r="M119">
        <v>0.99877649999999996</v>
      </c>
      <c r="N119">
        <v>-1.334606E-2</v>
      </c>
      <c r="O119">
        <v>4.7617069999999997E-2</v>
      </c>
      <c r="P119">
        <v>0.99834940000000005</v>
      </c>
      <c r="Q119">
        <v>-5.5520600000000003E-2</v>
      </c>
      <c r="R119">
        <v>1.4703239999999999E-2</v>
      </c>
      <c r="S119">
        <v>3.006256</v>
      </c>
      <c r="T119">
        <v>4.1115400000000003E-2</v>
      </c>
      <c r="U119">
        <v>6.9458010000000001E-2</v>
      </c>
      <c r="V119">
        <v>3.2849429999999999E-2</v>
      </c>
      <c r="W119">
        <v>-4.220252E-2</v>
      </c>
      <c r="X119">
        <v>0.99856889999999998</v>
      </c>
      <c r="Y119">
        <v>2.4519050000000001E-2</v>
      </c>
      <c r="Z119">
        <v>1.2904940000000001E-3</v>
      </c>
      <c r="AA119">
        <v>0.99969850000000005</v>
      </c>
      <c r="AB119">
        <v>11</v>
      </c>
      <c r="AC119">
        <v>305.553</v>
      </c>
      <c r="AD119">
        <v>4.1816979999999999</v>
      </c>
      <c r="AE119">
        <v>7.0548999999999698</v>
      </c>
      <c r="AF119">
        <v>7.5025341237704604</v>
      </c>
      <c r="AG119">
        <v>4.1816979999999999</v>
      </c>
      <c r="AH119">
        <v>305.48511588343098</v>
      </c>
      <c r="AI119">
        <v>89.215979896452893</v>
      </c>
      <c r="AJ119">
        <v>88.593132287940193</v>
      </c>
      <c r="AK119">
        <v>305.60584196437497</v>
      </c>
      <c r="AL119">
        <v>92.418744645931397</v>
      </c>
      <c r="AM119">
        <v>88.115848387691898</v>
      </c>
      <c r="AN119">
        <v>0.99999999289644204</v>
      </c>
    </row>
    <row r="120" spans="1:40" x14ac:dyDescent="0.25">
      <c r="A120" t="str">
        <f>"20190303154416576"</f>
        <v>20190303154416576</v>
      </c>
      <c r="B120" t="str">
        <f>"1551599056570095"</f>
        <v>1551599056570095</v>
      </c>
      <c r="C120" t="s">
        <v>40</v>
      </c>
      <c r="D120">
        <v>4.570417</v>
      </c>
      <c r="E120">
        <v>0.46477960000000001</v>
      </c>
      <c r="F120" t="s">
        <v>41</v>
      </c>
      <c r="G120">
        <v>-371.84089999999998</v>
      </c>
      <c r="H120" s="1">
        <v>-4.4475509999999997E-6</v>
      </c>
      <c r="I120">
        <v>374.11489999999998</v>
      </c>
      <c r="J120">
        <v>-463.6395</v>
      </c>
      <c r="K120">
        <v>1.1213059999999999</v>
      </c>
      <c r="L120">
        <v>367.54599999999999</v>
      </c>
      <c r="M120">
        <v>0.99878440000000002</v>
      </c>
      <c r="N120">
        <v>-1.334338E-2</v>
      </c>
      <c r="O120">
        <v>4.7452250000000001E-2</v>
      </c>
      <c r="P120">
        <v>0.99833309999999997</v>
      </c>
      <c r="Q120">
        <v>-5.5772839999999997E-2</v>
      </c>
      <c r="R120">
        <v>1.484943E-2</v>
      </c>
      <c r="S120">
        <v>2.9997859999999998</v>
      </c>
      <c r="T120">
        <v>-3.6598680000000001E-2</v>
      </c>
      <c r="U120">
        <v>0.21456910000000001</v>
      </c>
      <c r="V120">
        <v>3.253814E-2</v>
      </c>
      <c r="W120">
        <v>-4.245728E-2</v>
      </c>
      <c r="X120">
        <v>0.99856829999999996</v>
      </c>
      <c r="Y120">
        <v>-2.392623E-2</v>
      </c>
      <c r="Z120">
        <v>3.6068809999999999E-4</v>
      </c>
      <c r="AA120">
        <v>0.99971370000000004</v>
      </c>
      <c r="AB120">
        <v>11</v>
      </c>
      <c r="AC120">
        <v>91.798599999999993</v>
      </c>
      <c r="AD120">
        <v>-1.1213104475509901</v>
      </c>
      <c r="AE120">
        <v>6.5688999999999798</v>
      </c>
      <c r="AF120">
        <v>-2.2047337157880902</v>
      </c>
      <c r="AG120">
        <v>-1.1213104475509901</v>
      </c>
      <c r="AH120">
        <v>91.993252165542202</v>
      </c>
      <c r="AI120">
        <v>90.698146145632904</v>
      </c>
      <c r="AJ120">
        <v>91.372902431079098</v>
      </c>
      <c r="AK120">
        <v>92.026499617612103</v>
      </c>
      <c r="AL120">
        <v>92.433354395326901</v>
      </c>
      <c r="AM120">
        <v>88.133689305502202</v>
      </c>
      <c r="AN120">
        <v>1.00000000047227</v>
      </c>
    </row>
    <row r="121" spans="1:40" x14ac:dyDescent="0.25">
      <c r="A121" t="str">
        <f>"20190303154416600"</f>
        <v>20190303154416600</v>
      </c>
      <c r="B121" t="str">
        <f>"1551599056590591"</f>
        <v>1551599056590591</v>
      </c>
      <c r="C121" t="s">
        <v>40</v>
      </c>
      <c r="D121">
        <v>4.5755819999999998</v>
      </c>
      <c r="E121">
        <v>0.45694000000000001</v>
      </c>
      <c r="F121" t="s">
        <v>43</v>
      </c>
      <c r="G121">
        <v>-405.07119999999998</v>
      </c>
      <c r="H121">
        <v>-0.05</v>
      </c>
      <c r="I121">
        <v>373.9391</v>
      </c>
      <c r="J121">
        <v>-463.5292</v>
      </c>
      <c r="K121">
        <v>1.1213029999999999</v>
      </c>
      <c r="L121">
        <v>367.55099999999999</v>
      </c>
      <c r="M121">
        <v>0.99879249999999997</v>
      </c>
      <c r="N121">
        <v>-1.3340400000000001E-2</v>
      </c>
      <c r="O121">
        <v>4.7285180000000003E-2</v>
      </c>
      <c r="P121">
        <v>0.99833680000000002</v>
      </c>
      <c r="Q121">
        <v>-5.5572839999999998E-2</v>
      </c>
      <c r="R121">
        <v>1.5348779999999999E-2</v>
      </c>
      <c r="S121">
        <v>2.9967649999999999</v>
      </c>
      <c r="T121">
        <v>-5.9932230000000003E-2</v>
      </c>
      <c r="U121">
        <v>0.32711790000000002</v>
      </c>
      <c r="V121">
        <v>3.1872879999999999E-2</v>
      </c>
      <c r="W121">
        <v>-4.2259610000000003E-2</v>
      </c>
      <c r="X121">
        <v>0.99859819999999999</v>
      </c>
      <c r="Y121">
        <v>-6.1361649999999997E-2</v>
      </c>
      <c r="Z121">
        <v>7.0993439999999998E-4</v>
      </c>
      <c r="AA121">
        <v>0.99811539999999999</v>
      </c>
      <c r="AB121">
        <v>11</v>
      </c>
      <c r="AC121">
        <v>58.457999999999998</v>
      </c>
      <c r="AD121">
        <v>-1.171303</v>
      </c>
      <c r="AE121">
        <v>6.3880999999999997</v>
      </c>
      <c r="AF121">
        <v>-3.6150763644202599</v>
      </c>
      <c r="AG121">
        <v>-1.171303</v>
      </c>
      <c r="AH121">
        <v>58.671411599459802</v>
      </c>
      <c r="AI121">
        <v>91.141524000398206</v>
      </c>
      <c r="AJ121">
        <v>93.525858468069202</v>
      </c>
      <c r="AK121">
        <v>58.794347236036501</v>
      </c>
      <c r="AL121">
        <v>92.422018419965895</v>
      </c>
      <c r="AM121">
        <v>88.171875582920705</v>
      </c>
      <c r="AN121">
        <v>1.0000000600800401</v>
      </c>
    </row>
    <row r="122" spans="1:40" x14ac:dyDescent="0.25">
      <c r="A122" t="str">
        <f>"20190303154416622"</f>
        <v>20190303154416622</v>
      </c>
      <c r="B122" t="str">
        <f>"1551599056619871"</f>
        <v>1551599056619871</v>
      </c>
      <c r="C122" t="s">
        <v>40</v>
      </c>
      <c r="D122">
        <v>4.5587589999999896</v>
      </c>
      <c r="E122">
        <v>0.451845</v>
      </c>
      <c r="F122" t="s">
        <v>43</v>
      </c>
      <c r="G122">
        <v>-410.03320000000002</v>
      </c>
      <c r="H122">
        <v>-0.05</v>
      </c>
      <c r="I122">
        <v>374.5335</v>
      </c>
      <c r="J122">
        <v>-463.4196</v>
      </c>
      <c r="K122">
        <v>1.1213029999999999</v>
      </c>
      <c r="L122">
        <v>367.55599999999998</v>
      </c>
      <c r="M122">
        <v>0.99880020000000003</v>
      </c>
      <c r="N122">
        <v>-1.3337659999999999E-2</v>
      </c>
      <c r="O122">
        <v>4.712094E-2</v>
      </c>
      <c r="P122">
        <v>0.99834480000000003</v>
      </c>
      <c r="Q122">
        <v>-5.5408539999999999E-2</v>
      </c>
      <c r="R122">
        <v>1.541462E-2</v>
      </c>
      <c r="S122">
        <v>2.9953310000000002</v>
      </c>
      <c r="T122">
        <v>-6.5583230000000006E-2</v>
      </c>
      <c r="U122">
        <v>0.39096069999999999</v>
      </c>
      <c r="V122">
        <v>3.164343E-2</v>
      </c>
      <c r="W122">
        <v>-4.2097790000000003E-2</v>
      </c>
      <c r="X122">
        <v>0.99861230000000001</v>
      </c>
      <c r="Y122">
        <v>-8.2523260000000001E-2</v>
      </c>
      <c r="Z122">
        <v>1.05261E-3</v>
      </c>
      <c r="AA122">
        <v>0.99658860000000005</v>
      </c>
      <c r="AB122">
        <v>11</v>
      </c>
      <c r="AC122">
        <v>53.386399999999902</v>
      </c>
      <c r="AD122">
        <v>-1.171303</v>
      </c>
      <c r="AE122">
        <v>6.9775000000000196</v>
      </c>
      <c r="AF122">
        <v>-4.4518000010319696</v>
      </c>
      <c r="AG122">
        <v>-1.171303</v>
      </c>
      <c r="AH122">
        <v>53.6305205387863</v>
      </c>
      <c r="AI122">
        <v>91.246867199558693</v>
      </c>
      <c r="AJ122">
        <v>94.745169575532699</v>
      </c>
      <c r="AK122">
        <v>53.827717834106402</v>
      </c>
      <c r="AL122">
        <v>92.412738636252698</v>
      </c>
      <c r="AM122">
        <v>88.1850528618845</v>
      </c>
      <c r="AN122">
        <v>1.00000002814816</v>
      </c>
    </row>
    <row r="123" spans="1:40" x14ac:dyDescent="0.25">
      <c r="A123" t="str">
        <f>"20190303154416646"</f>
        <v>20190303154416646</v>
      </c>
      <c r="B123" t="str">
        <f>"1551599056640367"</f>
        <v>1551599056640367</v>
      </c>
      <c r="C123" t="s">
        <v>40</v>
      </c>
      <c r="D123">
        <v>4.5553839999999903</v>
      </c>
      <c r="E123">
        <v>0.4500613</v>
      </c>
      <c r="F123" t="s">
        <v>43</v>
      </c>
      <c r="G123">
        <v>-413.78769999999997</v>
      </c>
      <c r="H123">
        <v>-0.05</v>
      </c>
      <c r="I123">
        <v>374.71249999999998</v>
      </c>
      <c r="J123">
        <v>-463.30889999999999</v>
      </c>
      <c r="K123">
        <v>1.1213029999999999</v>
      </c>
      <c r="L123">
        <v>367.56099999999998</v>
      </c>
      <c r="M123">
        <v>0.99880800000000003</v>
      </c>
      <c r="N123">
        <v>-1.3334779999999999E-2</v>
      </c>
      <c r="O123">
        <v>4.6955089999999998E-2</v>
      </c>
      <c r="P123">
        <v>0.99835090000000004</v>
      </c>
      <c r="Q123">
        <v>-5.5377740000000002E-2</v>
      </c>
      <c r="R123">
        <v>1.512235E-2</v>
      </c>
      <c r="S123">
        <v>2.994354</v>
      </c>
      <c r="T123">
        <v>-7.0666069999999997E-2</v>
      </c>
      <c r="U123">
        <v>0.4317627</v>
      </c>
      <c r="V123">
        <v>3.1770050000000001E-2</v>
      </c>
      <c r="W123">
        <v>-4.2069919999999997E-2</v>
      </c>
      <c r="X123">
        <v>0.99860939999999998</v>
      </c>
      <c r="Y123">
        <v>-9.6041409999999994E-2</v>
      </c>
      <c r="Z123">
        <v>1.293661E-3</v>
      </c>
      <c r="AA123">
        <v>0.9953765</v>
      </c>
      <c r="AB123">
        <v>11</v>
      </c>
      <c r="AC123">
        <v>49.5212</v>
      </c>
      <c r="AD123">
        <v>-1.171303</v>
      </c>
      <c r="AE123">
        <v>7.1514999999999898</v>
      </c>
      <c r="AF123">
        <v>-4.8154923968475698</v>
      </c>
      <c r="AG123">
        <v>-1.171303</v>
      </c>
      <c r="AH123">
        <v>49.7751201618862</v>
      </c>
      <c r="AI123">
        <v>91.341767329237001</v>
      </c>
      <c r="AJ123">
        <v>95.525881171162794</v>
      </c>
      <c r="AK123">
        <v>50.0212305413623</v>
      </c>
      <c r="AL123">
        <v>92.411140517623906</v>
      </c>
      <c r="AM123">
        <v>88.1777900170827</v>
      </c>
      <c r="AN123">
        <v>0.99999997400708396</v>
      </c>
    </row>
    <row r="124" spans="1:40" x14ac:dyDescent="0.25">
      <c r="A124" t="str">
        <f>"20190303154416666"</f>
        <v>20190303154416666</v>
      </c>
      <c r="B124" t="str">
        <f>"1551599056659888"</f>
        <v>1551599056659888</v>
      </c>
      <c r="C124" t="s">
        <v>40</v>
      </c>
      <c r="D124">
        <v>4.5637869999999996</v>
      </c>
      <c r="E124">
        <v>0.4487312</v>
      </c>
      <c r="F124" t="s">
        <v>43</v>
      </c>
      <c r="G124">
        <v>-413.9348</v>
      </c>
      <c r="H124">
        <v>-0.05</v>
      </c>
      <c r="I124">
        <v>374.89589999999998</v>
      </c>
      <c r="J124">
        <v>-463.2072</v>
      </c>
      <c r="K124">
        <v>1.121308</v>
      </c>
      <c r="L124">
        <v>367.56560000000002</v>
      </c>
      <c r="M124">
        <v>0.99881520000000001</v>
      </c>
      <c r="N124">
        <v>-1.333223E-2</v>
      </c>
      <c r="O124">
        <v>4.6802879999999998E-2</v>
      </c>
      <c r="P124">
        <v>0.99835649999999998</v>
      </c>
      <c r="Q124">
        <v>-5.5481839999999998E-2</v>
      </c>
      <c r="R124">
        <v>1.436404E-2</v>
      </c>
      <c r="S124">
        <v>2.9942929999999999</v>
      </c>
      <c r="T124">
        <v>-7.1033719999999995E-2</v>
      </c>
      <c r="U124">
        <v>0.4448242</v>
      </c>
      <c r="V124">
        <v>3.2375590000000003E-2</v>
      </c>
      <c r="W124">
        <v>-4.2176999999999999E-2</v>
      </c>
      <c r="X124">
        <v>0.99858550000000001</v>
      </c>
      <c r="Y124">
        <v>-0.1004437</v>
      </c>
      <c r="Z124">
        <v>1.376595E-3</v>
      </c>
      <c r="AA124">
        <v>0.99494179999999999</v>
      </c>
      <c r="AB124">
        <v>11</v>
      </c>
      <c r="AC124">
        <v>49.272399999999998</v>
      </c>
      <c r="AD124">
        <v>-1.171308</v>
      </c>
      <c r="AE124">
        <v>7.3302999999999603</v>
      </c>
      <c r="AF124">
        <v>-5.0131988158194503</v>
      </c>
      <c r="AG124">
        <v>-1.171308</v>
      </c>
      <c r="AH124">
        <v>49.534118408617097</v>
      </c>
      <c r="AI124">
        <v>91.347709544735906</v>
      </c>
      <c r="AJ124">
        <v>95.779055407876299</v>
      </c>
      <c r="AK124">
        <v>49.800933839805602</v>
      </c>
      <c r="AL124">
        <v>92.417281041877004</v>
      </c>
      <c r="AM124">
        <v>88.143038207661405</v>
      </c>
      <c r="AN124">
        <v>1.00000003948354</v>
      </c>
    </row>
    <row r="125" spans="1:40" x14ac:dyDescent="0.25">
      <c r="A125" t="str">
        <f>"20190303154416689"</f>
        <v>20190303154416689</v>
      </c>
      <c r="B125" t="str">
        <f>"1551599056680383"</f>
        <v>1551599056680383</v>
      </c>
      <c r="C125" t="s">
        <v>40</v>
      </c>
      <c r="D125">
        <v>4.5704909999999996</v>
      </c>
      <c r="E125">
        <v>0.44772859999999998</v>
      </c>
      <c r="F125" t="s">
        <v>43</v>
      </c>
      <c r="G125">
        <v>-415.02140000000003</v>
      </c>
      <c r="H125">
        <v>-0.05</v>
      </c>
      <c r="I125">
        <v>374.86169999999998</v>
      </c>
      <c r="J125">
        <v>-463.10379999999998</v>
      </c>
      <c r="K125">
        <v>1.1213109999999999</v>
      </c>
      <c r="L125">
        <v>367.57029999999997</v>
      </c>
      <c r="M125">
        <v>0.9988224</v>
      </c>
      <c r="N125">
        <v>-1.3329479999999999E-2</v>
      </c>
      <c r="O125">
        <v>4.6648700000000001E-2</v>
      </c>
      <c r="P125">
        <v>0.99833459999999996</v>
      </c>
      <c r="Q125">
        <v>-5.6046350000000002E-2</v>
      </c>
      <c r="R125">
        <v>1.367058E-2</v>
      </c>
      <c r="S125">
        <v>2.994415</v>
      </c>
      <c r="T125">
        <v>-7.2788599999999995E-2</v>
      </c>
      <c r="U125">
        <v>0.45339970000000002</v>
      </c>
      <c r="V125">
        <v>3.2913060000000001E-2</v>
      </c>
      <c r="W125">
        <v>-4.2744980000000002E-2</v>
      </c>
      <c r="X125">
        <v>0.99854370000000003</v>
      </c>
      <c r="Y125">
        <v>-0.1033748</v>
      </c>
      <c r="Z125">
        <v>1.435106E-3</v>
      </c>
      <c r="AA125">
        <v>0.99464140000000001</v>
      </c>
      <c r="AB125">
        <v>11</v>
      </c>
      <c r="AC125">
        <v>48.0823999999999</v>
      </c>
      <c r="AD125">
        <v>-1.171311</v>
      </c>
      <c r="AE125">
        <v>7.2914000000000003</v>
      </c>
      <c r="AF125">
        <v>-5.0373579330363301</v>
      </c>
      <c r="AG125">
        <v>-1.171311</v>
      </c>
      <c r="AH125">
        <v>48.342167676108303</v>
      </c>
      <c r="AI125">
        <v>91.380510089656994</v>
      </c>
      <c r="AJ125">
        <v>95.948874415881605</v>
      </c>
      <c r="AK125">
        <v>48.618022584523203</v>
      </c>
      <c r="AL125">
        <v>92.449853464320697</v>
      </c>
      <c r="AM125">
        <v>88.112153779289102</v>
      </c>
      <c r="AN125">
        <v>0.99999996182172601</v>
      </c>
    </row>
    <row r="126" spans="1:40" x14ac:dyDescent="0.25">
      <c r="A126" t="str">
        <f>"20190303154416713"</f>
        <v>20190303154416713</v>
      </c>
      <c r="B126" t="str">
        <f>"1551599056710639"</f>
        <v>1551599056710639</v>
      </c>
      <c r="C126" t="s">
        <v>40</v>
      </c>
      <c r="D126">
        <v>4.5644090000000004</v>
      </c>
      <c r="E126">
        <v>0.446739</v>
      </c>
      <c r="F126" t="s">
        <v>43</v>
      </c>
      <c r="G126">
        <v>-416.93180000000001</v>
      </c>
      <c r="H126">
        <v>-0.05</v>
      </c>
      <c r="I126">
        <v>374.65039999999999</v>
      </c>
      <c r="J126">
        <v>-462.98489999999998</v>
      </c>
      <c r="K126">
        <v>1.1213089999999999</v>
      </c>
      <c r="L126">
        <v>367.57560000000001</v>
      </c>
      <c r="M126">
        <v>0.99883089999999997</v>
      </c>
      <c r="N126">
        <v>-1.3326309999999999E-2</v>
      </c>
      <c r="O126">
        <v>4.6470560000000001E-2</v>
      </c>
      <c r="P126">
        <v>0.99833550000000004</v>
      </c>
      <c r="Q126">
        <v>-5.6177619999999998E-2</v>
      </c>
      <c r="R126">
        <v>1.3044760000000001E-2</v>
      </c>
      <c r="S126">
        <v>2.994415</v>
      </c>
      <c r="T126">
        <v>-7.5963619999999996E-2</v>
      </c>
      <c r="U126">
        <v>0.45916750000000001</v>
      </c>
      <c r="V126">
        <v>3.3360439999999998E-2</v>
      </c>
      <c r="W126">
        <v>-4.2879809999999997E-2</v>
      </c>
      <c r="X126">
        <v>0.9985231</v>
      </c>
      <c r="Y126">
        <v>-0.1054206</v>
      </c>
      <c r="Z126">
        <v>1.4817999999999999E-3</v>
      </c>
      <c r="AA126">
        <v>0.99442660000000005</v>
      </c>
      <c r="AB126">
        <v>11</v>
      </c>
      <c r="AC126">
        <v>46.053099999999901</v>
      </c>
      <c r="AD126">
        <v>-1.1713089999999999</v>
      </c>
      <c r="AE126">
        <v>7.0747999999999802</v>
      </c>
      <c r="AF126">
        <v>-4.9237406935529604</v>
      </c>
      <c r="AG126">
        <v>-1.1713089999999999</v>
      </c>
      <c r="AH126">
        <v>46.302875306059398</v>
      </c>
      <c r="AI126">
        <v>91.440963290642998</v>
      </c>
      <c r="AJ126">
        <v>96.069890449724696</v>
      </c>
      <c r="AK126">
        <v>46.578658726924701</v>
      </c>
      <c r="AL126">
        <v>92.457585676877997</v>
      </c>
      <c r="AM126">
        <v>88.086472201683407</v>
      </c>
      <c r="AN126">
        <v>0.99999998914811905</v>
      </c>
    </row>
    <row r="127" spans="1:40" x14ac:dyDescent="0.25">
      <c r="A127" t="str">
        <f>"20190303154416756"</f>
        <v>20190303154416756</v>
      </c>
      <c r="B127" t="str">
        <f>"1551599056749679"</f>
        <v>1551599056749679</v>
      </c>
      <c r="C127" t="s">
        <v>40</v>
      </c>
      <c r="D127">
        <v>4.5566529999999998</v>
      </c>
      <c r="E127">
        <v>0.44577729999999999</v>
      </c>
      <c r="F127" t="s">
        <v>43</v>
      </c>
      <c r="G127">
        <v>-417.6952</v>
      </c>
      <c r="H127">
        <v>-0.05</v>
      </c>
      <c r="I127">
        <v>374.60969999999998</v>
      </c>
      <c r="J127">
        <v>-462.78379999999999</v>
      </c>
      <c r="K127">
        <v>1.1213</v>
      </c>
      <c r="L127">
        <v>367.5847</v>
      </c>
      <c r="M127">
        <v>0.99884490000000004</v>
      </c>
      <c r="N127">
        <v>-1.331772E-2</v>
      </c>
      <c r="O127">
        <v>4.6168910000000001E-2</v>
      </c>
      <c r="P127">
        <v>0.99832279999999995</v>
      </c>
      <c r="Q127">
        <v>-5.6581880000000001E-2</v>
      </c>
      <c r="R127">
        <v>1.2251919999999999E-2</v>
      </c>
      <c r="S127">
        <v>2.9945369999999998</v>
      </c>
      <c r="T127">
        <v>-7.7446580000000001E-2</v>
      </c>
      <c r="U127">
        <v>0.4650879</v>
      </c>
      <c r="V127">
        <v>3.385026E-2</v>
      </c>
      <c r="W127">
        <v>-4.329322E-2</v>
      </c>
      <c r="X127">
        <v>0.99848879999999995</v>
      </c>
      <c r="Y127">
        <v>-0.1076324</v>
      </c>
      <c r="Z127">
        <v>1.5310250000000001E-3</v>
      </c>
      <c r="AA127">
        <v>0.99418960000000001</v>
      </c>
      <c r="AB127">
        <v>11</v>
      </c>
      <c r="AC127">
        <v>45.0885999999999</v>
      </c>
      <c r="AD127">
        <v>-1.1713</v>
      </c>
      <c r="AE127">
        <v>7.0249999999999702</v>
      </c>
      <c r="AF127">
        <v>-4.9323817667991499</v>
      </c>
      <c r="AG127">
        <v>-1.1713</v>
      </c>
      <c r="AH127">
        <v>45.335007521997397</v>
      </c>
      <c r="AI127">
        <v>91.471317170926199</v>
      </c>
      <c r="AJ127">
        <v>96.209272963090598</v>
      </c>
      <c r="AK127">
        <v>45.617576005340403</v>
      </c>
      <c r="AL127">
        <v>92.481294282565898</v>
      </c>
      <c r="AM127">
        <v>88.058331225634007</v>
      </c>
      <c r="AN127">
        <v>1.00000001336273</v>
      </c>
    </row>
    <row r="128" spans="1:40" x14ac:dyDescent="0.25">
      <c r="A128" t="str">
        <f>"20190303154416777"</f>
        <v>20190303154416777</v>
      </c>
      <c r="B128" t="str">
        <f>"1551599056770175"</f>
        <v>1551599056770175</v>
      </c>
      <c r="C128" t="s">
        <v>40</v>
      </c>
      <c r="D128">
        <v>4.5288000000000004</v>
      </c>
      <c r="E128">
        <v>0.44533430000000002</v>
      </c>
      <c r="F128" t="s">
        <v>43</v>
      </c>
      <c r="G128">
        <v>-418.93209999999999</v>
      </c>
      <c r="H128">
        <v>-0.05</v>
      </c>
      <c r="I128">
        <v>374.47500000000002</v>
      </c>
      <c r="J128">
        <v>-462.68180000000001</v>
      </c>
      <c r="K128">
        <v>1.1213010000000001</v>
      </c>
      <c r="L128">
        <v>367.58909999999997</v>
      </c>
      <c r="M128">
        <v>0.99885219999999997</v>
      </c>
      <c r="N128">
        <v>-1.330552E-2</v>
      </c>
      <c r="O128">
        <v>4.6015050000000002E-2</v>
      </c>
      <c r="P128">
        <v>0.99832209999999999</v>
      </c>
      <c r="Q128">
        <v>-5.65149E-2</v>
      </c>
      <c r="R128">
        <v>1.2623870000000001E-2</v>
      </c>
      <c r="S128">
        <v>2.9946899999999999</v>
      </c>
      <c r="T128">
        <v>-7.9989669999999999E-2</v>
      </c>
      <c r="U128">
        <v>0.47055049999999998</v>
      </c>
      <c r="V128">
        <v>3.3324819999999998E-2</v>
      </c>
      <c r="W128">
        <v>-4.3238070000000003E-2</v>
      </c>
      <c r="X128">
        <v>0.99850890000000003</v>
      </c>
      <c r="Y128">
        <v>-0.10954460000000001</v>
      </c>
      <c r="Z128">
        <v>1.576514E-3</v>
      </c>
      <c r="AA128">
        <v>0.99398059999999999</v>
      </c>
      <c r="AB128">
        <v>11</v>
      </c>
      <c r="AC128">
        <v>43.749699999999997</v>
      </c>
      <c r="AD128">
        <v>-1.1713009999999999</v>
      </c>
      <c r="AE128">
        <v>6.8859000000000403</v>
      </c>
      <c r="AF128">
        <v>-4.8618814146209699</v>
      </c>
      <c r="AG128">
        <v>-1.1713009999999999</v>
      </c>
      <c r="AH128">
        <v>43.989464217052301</v>
      </c>
      <c r="AI128">
        <v>91.516018895390403</v>
      </c>
      <c r="AJ128">
        <v>96.306947818010897</v>
      </c>
      <c r="AK128">
        <v>44.272822352158201</v>
      </c>
      <c r="AL128">
        <v>92.478131370707999</v>
      </c>
      <c r="AM128">
        <v>88.088486656056901</v>
      </c>
      <c r="AN128">
        <v>1.00000004885228</v>
      </c>
    </row>
    <row r="129" spans="1:40" x14ac:dyDescent="0.25">
      <c r="A129" t="str">
        <f>"20190303154416799"</f>
        <v>20190303154416799</v>
      </c>
      <c r="B129" t="str">
        <f>"1551599056790672"</f>
        <v>1551599056790672</v>
      </c>
      <c r="C129" t="s">
        <v>40</v>
      </c>
      <c r="D129">
        <v>4.4649010000000002</v>
      </c>
      <c r="E129">
        <v>0.44501370000000001</v>
      </c>
      <c r="F129" t="s">
        <v>43</v>
      </c>
      <c r="G129">
        <v>-419.08550000000002</v>
      </c>
      <c r="H129">
        <v>-0.05</v>
      </c>
      <c r="I129">
        <v>374.50599999999997</v>
      </c>
      <c r="J129">
        <v>-462.57839999999999</v>
      </c>
      <c r="K129">
        <v>1.121297</v>
      </c>
      <c r="L129">
        <v>367.59370000000001</v>
      </c>
      <c r="M129">
        <v>0.99885970000000002</v>
      </c>
      <c r="N129">
        <v>-1.326771E-2</v>
      </c>
      <c r="O129">
        <v>4.5859320000000002E-2</v>
      </c>
      <c r="P129">
        <v>0.9983284</v>
      </c>
      <c r="Q129">
        <v>-5.6197909999999997E-2</v>
      </c>
      <c r="R129">
        <v>1.3497739999999999E-2</v>
      </c>
      <c r="S129">
        <v>2.9944760000000001</v>
      </c>
      <c r="T129">
        <v>-8.0452560000000006E-2</v>
      </c>
      <c r="U129">
        <v>0.47509770000000001</v>
      </c>
      <c r="V129">
        <v>3.229667E-2</v>
      </c>
      <c r="W129">
        <v>-4.2958080000000003E-2</v>
      </c>
      <c r="X129">
        <v>0.99855470000000002</v>
      </c>
      <c r="Y129">
        <v>-0.11118160000000001</v>
      </c>
      <c r="Z129">
        <v>1.6089399999999999E-3</v>
      </c>
      <c r="AA129">
        <v>0.99379879999999998</v>
      </c>
      <c r="AB129">
        <v>11</v>
      </c>
      <c r="AC129">
        <v>43.492899999999899</v>
      </c>
      <c r="AD129">
        <v>-1.171297</v>
      </c>
      <c r="AE129">
        <v>6.9122999999999504</v>
      </c>
      <c r="AF129">
        <v>-4.9068246780283102</v>
      </c>
      <c r="AG129">
        <v>-1.171297</v>
      </c>
      <c r="AH129">
        <v>43.733217909586699</v>
      </c>
      <c r="AI129">
        <v>91.524611487510398</v>
      </c>
      <c r="AJ129">
        <v>96.401757435637606</v>
      </c>
      <c r="AK129">
        <v>44.0232122159493</v>
      </c>
      <c r="AL129">
        <v>92.4620743756645</v>
      </c>
      <c r="AM129">
        <v>88.147504554591606</v>
      </c>
      <c r="AN129">
        <v>0.99999998021123204</v>
      </c>
    </row>
    <row r="130" spans="1:40" x14ac:dyDescent="0.25">
      <c r="A130" t="str">
        <f>"20190303154416824"</f>
        <v>20190303154416824</v>
      </c>
      <c r="B130" t="str">
        <f>"1551599056819951"</f>
        <v>1551599056819951</v>
      </c>
      <c r="C130" t="s">
        <v>40</v>
      </c>
      <c r="D130">
        <v>4.4255100000000001</v>
      </c>
      <c r="E130">
        <v>0.44455699999999998</v>
      </c>
      <c r="F130" t="s">
        <v>43</v>
      </c>
      <c r="G130">
        <v>-417.96190000000001</v>
      </c>
      <c r="H130">
        <v>-0.05</v>
      </c>
      <c r="I130">
        <v>374.74919999999997</v>
      </c>
      <c r="J130">
        <v>-462.46120000000002</v>
      </c>
      <c r="K130">
        <v>1.1212719999999901</v>
      </c>
      <c r="L130">
        <v>367.59890000000001</v>
      </c>
      <c r="M130">
        <v>0.99886940000000002</v>
      </c>
      <c r="N130">
        <v>-1.3172619999999999E-2</v>
      </c>
      <c r="O130">
        <v>4.5679829999999998E-2</v>
      </c>
      <c r="P130">
        <v>0.99834049999999996</v>
      </c>
      <c r="Q130">
        <v>-5.598947E-2</v>
      </c>
      <c r="R130">
        <v>1.3476490000000001E-2</v>
      </c>
      <c r="S130">
        <v>2.9941409999999999</v>
      </c>
      <c r="T130">
        <v>-7.8603980000000004E-2</v>
      </c>
      <c r="U130">
        <v>0.48019410000000001</v>
      </c>
      <c r="V130">
        <v>3.2138819999999999E-2</v>
      </c>
      <c r="W130">
        <v>-4.2844569999999998E-2</v>
      </c>
      <c r="X130">
        <v>0.99856469999999997</v>
      </c>
      <c r="Y130">
        <v>-0.11302810000000001</v>
      </c>
      <c r="Z130">
        <v>1.631939E-3</v>
      </c>
      <c r="AA130">
        <v>0.99359050000000004</v>
      </c>
      <c r="AB130">
        <v>11</v>
      </c>
      <c r="AC130">
        <v>44.499299999999998</v>
      </c>
      <c r="AD130">
        <v>-1.1712720000000001</v>
      </c>
      <c r="AE130">
        <v>7.1502999999999597</v>
      </c>
      <c r="AF130">
        <v>-5.1064894001534702</v>
      </c>
      <c r="AG130">
        <v>-1.1712720000000001</v>
      </c>
      <c r="AH130">
        <v>44.749271250417301</v>
      </c>
      <c r="AI130">
        <v>91.489659964881398</v>
      </c>
      <c r="AJ130">
        <v>96.510053329073003</v>
      </c>
      <c r="AK130">
        <v>45.054915264988402</v>
      </c>
      <c r="AL130">
        <v>92.455564663828895</v>
      </c>
      <c r="AM130">
        <v>88.156570813337893</v>
      </c>
      <c r="AN130">
        <v>1.00000001050778</v>
      </c>
    </row>
    <row r="131" spans="1:40" x14ac:dyDescent="0.25">
      <c r="A131" t="str">
        <f>"20190303154416844"</f>
        <v>20190303154416844</v>
      </c>
      <c r="B131" t="str">
        <f>"1551599056840448"</f>
        <v>1551599056840448</v>
      </c>
      <c r="C131" t="s">
        <v>40</v>
      </c>
      <c r="D131">
        <v>4.376093</v>
      </c>
      <c r="E131">
        <v>0.44432109999999903</v>
      </c>
      <c r="F131" t="s">
        <v>43</v>
      </c>
      <c r="G131">
        <v>-416.78890000000001</v>
      </c>
      <c r="H131">
        <v>-0.05</v>
      </c>
      <c r="I131">
        <v>374.9787</v>
      </c>
      <c r="J131">
        <v>-462.3682</v>
      </c>
      <c r="K131">
        <v>1.1212530000000001</v>
      </c>
      <c r="L131">
        <v>367.60300000000001</v>
      </c>
      <c r="M131">
        <v>0.99887720000000002</v>
      </c>
      <c r="N131">
        <v>-1.306819E-2</v>
      </c>
      <c r="O131">
        <v>4.5537429999999997E-2</v>
      </c>
      <c r="P131">
        <v>0.99832670000000001</v>
      </c>
      <c r="Q131">
        <v>-5.6136800000000001E-2</v>
      </c>
      <c r="R131">
        <v>1.3894180000000001E-2</v>
      </c>
      <c r="S131">
        <v>2.9941409999999999</v>
      </c>
      <c r="T131">
        <v>-7.678509E-2</v>
      </c>
      <c r="U131">
        <v>0.48379519999999998</v>
      </c>
      <c r="V131">
        <v>3.1578210000000002E-2</v>
      </c>
      <c r="W131">
        <v>-4.3096049999999997E-2</v>
      </c>
      <c r="X131">
        <v>0.99857180000000001</v>
      </c>
      <c r="Y131">
        <v>-0.1143359</v>
      </c>
      <c r="Z131">
        <v>1.6417039999999999E-3</v>
      </c>
      <c r="AA131">
        <v>0.99344080000000001</v>
      </c>
      <c r="AB131">
        <v>11</v>
      </c>
      <c r="AC131">
        <v>45.579299999999897</v>
      </c>
      <c r="AD131">
        <v>-1.1712530000000001</v>
      </c>
      <c r="AE131">
        <v>7.3756999999999904</v>
      </c>
      <c r="AF131">
        <v>-5.2889027084182896</v>
      </c>
      <c r="AG131">
        <v>-1.1712530000000001</v>
      </c>
      <c r="AH131">
        <v>45.838412122837298</v>
      </c>
      <c r="AI131">
        <v>91.454048035626798</v>
      </c>
      <c r="AJ131">
        <v>96.581765985642704</v>
      </c>
      <c r="AK131">
        <v>46.157386747867299</v>
      </c>
      <c r="AL131">
        <v>92.469986638796001</v>
      </c>
      <c r="AM131">
        <v>88.188717729646996</v>
      </c>
      <c r="AN131">
        <v>1.0000000463138199</v>
      </c>
    </row>
    <row r="132" spans="1:40" x14ac:dyDescent="0.25">
      <c r="A132" t="str">
        <f>"20190303154416868"</f>
        <v>20190303154416868</v>
      </c>
      <c r="B132" t="str">
        <f>"1551599056859967"</f>
        <v>1551599056859967</v>
      </c>
      <c r="C132" t="s">
        <v>40</v>
      </c>
      <c r="D132">
        <v>4.4009980000000004</v>
      </c>
      <c r="E132">
        <v>0.44423580000000001</v>
      </c>
      <c r="F132" t="s">
        <v>43</v>
      </c>
      <c r="G132">
        <v>-416.84179999999998</v>
      </c>
      <c r="H132">
        <v>-0.05</v>
      </c>
      <c r="I132">
        <v>375.00790000000001</v>
      </c>
      <c r="J132">
        <v>-462.2561</v>
      </c>
      <c r="K132">
        <v>1.1212260000000001</v>
      </c>
      <c r="L132">
        <v>367.6078</v>
      </c>
      <c r="M132">
        <v>0.99888690000000002</v>
      </c>
      <c r="N132">
        <v>-1.2931140000000001E-2</v>
      </c>
      <c r="O132">
        <v>4.5365589999999997E-2</v>
      </c>
      <c r="P132">
        <v>0.99837880000000001</v>
      </c>
      <c r="Q132">
        <v>-5.5359390000000001E-2</v>
      </c>
      <c r="R132">
        <v>1.3247139999999999E-2</v>
      </c>
      <c r="S132">
        <v>2.9939580000000001</v>
      </c>
      <c r="T132">
        <v>-7.7025179999999999E-2</v>
      </c>
      <c r="U132">
        <v>0.48696899999999999</v>
      </c>
      <c r="V132">
        <v>3.2055479999999997E-2</v>
      </c>
      <c r="W132">
        <v>-4.2455260000000002E-2</v>
      </c>
      <c r="X132">
        <v>0.99858400000000003</v>
      </c>
      <c r="Y132">
        <v>-0.1155419</v>
      </c>
      <c r="Z132">
        <v>1.65398E-3</v>
      </c>
      <c r="AA132">
        <v>0.9933012</v>
      </c>
      <c r="AB132">
        <v>11</v>
      </c>
      <c r="AC132">
        <v>45.414299999999997</v>
      </c>
      <c r="AD132">
        <v>-1.1712260000000001</v>
      </c>
      <c r="AE132">
        <v>7.4001000000000001</v>
      </c>
      <c r="AF132">
        <v>-5.3286090137793298</v>
      </c>
      <c r="AG132">
        <v>-1.1712260000000001</v>
      </c>
      <c r="AH132">
        <v>45.673681413327202</v>
      </c>
      <c r="AI132">
        <v>91.459041798127501</v>
      </c>
      <c r="AJ132">
        <v>96.654440947975004</v>
      </c>
      <c r="AK132">
        <v>45.998380604222604</v>
      </c>
      <c r="AL132">
        <v>92.433238544865603</v>
      </c>
      <c r="AM132">
        <v>88.161383283458903</v>
      </c>
      <c r="AN132">
        <v>1.0000000039778401</v>
      </c>
    </row>
    <row r="133" spans="1:40" x14ac:dyDescent="0.25">
      <c r="A133" t="str">
        <f>"20190303154416890"</f>
        <v>20190303154416890</v>
      </c>
      <c r="B133" t="str">
        <f>"1551599056880463"</f>
        <v>1551599056880463</v>
      </c>
      <c r="C133" t="s">
        <v>40</v>
      </c>
      <c r="D133">
        <v>4.3878789999999999</v>
      </c>
      <c r="E133">
        <v>0.46491139999999997</v>
      </c>
      <c r="F133" t="s">
        <v>43</v>
      </c>
      <c r="G133">
        <v>-414.90350000000001</v>
      </c>
      <c r="H133">
        <v>-0.05</v>
      </c>
      <c r="I133">
        <v>375.28609999999998</v>
      </c>
      <c r="J133">
        <v>-462.15660000000003</v>
      </c>
      <c r="K133">
        <v>1.1212089999999999</v>
      </c>
      <c r="L133">
        <v>367.61219999999997</v>
      </c>
      <c r="M133">
        <v>0.99889530000000004</v>
      </c>
      <c r="N133">
        <v>-1.280265E-2</v>
      </c>
      <c r="O133">
        <v>4.5213129999999997E-2</v>
      </c>
      <c r="P133">
        <v>0.99838369999999999</v>
      </c>
      <c r="Q133">
        <v>-5.5510230000000001E-2</v>
      </c>
      <c r="R133">
        <v>1.2208729999999999E-2</v>
      </c>
      <c r="S133">
        <v>2.9943240000000002</v>
      </c>
      <c r="T133">
        <v>-7.406211E-2</v>
      </c>
      <c r="U133">
        <v>0.48553469999999999</v>
      </c>
      <c r="V133">
        <v>3.2940690000000002E-2</v>
      </c>
      <c r="W133">
        <v>-4.2734880000000003E-2</v>
      </c>
      <c r="X133">
        <v>0.99854330000000002</v>
      </c>
      <c r="Y133">
        <v>-0.1152142</v>
      </c>
      <c r="Z133">
        <v>1.6240740000000001E-3</v>
      </c>
      <c r="AA133">
        <v>0.99333939999999998</v>
      </c>
      <c r="AB133">
        <v>11</v>
      </c>
      <c r="AC133">
        <v>47.253100000000003</v>
      </c>
      <c r="AD133">
        <v>-1.1712089999999999</v>
      </c>
      <c r="AE133">
        <v>7.6738999999999997</v>
      </c>
      <c r="AF133">
        <v>-5.5261077200952204</v>
      </c>
      <c r="AG133">
        <v>-1.1712089999999999</v>
      </c>
      <c r="AH133">
        <v>47.523313588582702</v>
      </c>
      <c r="AI133">
        <v>91.4023199183803</v>
      </c>
      <c r="AJ133">
        <v>96.632682370090293</v>
      </c>
      <c r="AK133">
        <v>47.857861752219399</v>
      </c>
      <c r="AL133">
        <v>92.449274054832102</v>
      </c>
      <c r="AM133">
        <v>88.110569353762997</v>
      </c>
      <c r="AN133">
        <v>1.00000004050058</v>
      </c>
    </row>
    <row r="134" spans="1:40" x14ac:dyDescent="0.25">
      <c r="A134" t="str">
        <f>"20190303154416914"</f>
        <v>20190303154416914</v>
      </c>
      <c r="B134" t="str">
        <f>"1551599056910720"</f>
        <v>1551599056910720</v>
      </c>
      <c r="C134" t="s">
        <v>40</v>
      </c>
      <c r="D134">
        <v>4.3664969999999999</v>
      </c>
      <c r="E134">
        <v>0.51479019999999998</v>
      </c>
      <c r="F134" t="s">
        <v>41</v>
      </c>
      <c r="G134">
        <v>-374.87950000000001</v>
      </c>
      <c r="H134" s="1">
        <v>-3.901646E-6</v>
      </c>
      <c r="I134">
        <v>376.86680000000001</v>
      </c>
      <c r="J134">
        <v>-462.03980000000001</v>
      </c>
      <c r="K134">
        <v>1.1211819999999999</v>
      </c>
      <c r="L134">
        <v>367.61720000000003</v>
      </c>
      <c r="M134">
        <v>0.99890559999999995</v>
      </c>
      <c r="N134">
        <v>-1.2635169999999999E-2</v>
      </c>
      <c r="O134">
        <v>4.5034409999999997E-2</v>
      </c>
      <c r="P134">
        <v>0.99842039999999999</v>
      </c>
      <c r="Q134">
        <v>-5.5080299999999999E-2</v>
      </c>
      <c r="R134">
        <v>1.109692E-2</v>
      </c>
      <c r="S134">
        <v>2.9988709999999998</v>
      </c>
      <c r="T134">
        <v>-3.8525219999999999E-2</v>
      </c>
      <c r="U134">
        <v>0.31799319999999998</v>
      </c>
      <c r="V134">
        <v>3.387474E-2</v>
      </c>
      <c r="W134">
        <v>-4.2472330000000003E-2</v>
      </c>
      <c r="X134">
        <v>0.99852320000000006</v>
      </c>
      <c r="Y134">
        <v>-6.054271E-2</v>
      </c>
      <c r="Z134">
        <v>7.6290539999999995E-4</v>
      </c>
      <c r="AA134">
        <v>0.99816530000000003</v>
      </c>
      <c r="AB134">
        <v>11</v>
      </c>
      <c r="AC134">
        <v>87.160300000000007</v>
      </c>
      <c r="AD134">
        <v>-1.121185901646</v>
      </c>
      <c r="AE134">
        <v>9.2495999999999796</v>
      </c>
      <c r="AF134">
        <v>-5.3138189435727403</v>
      </c>
      <c r="AG134">
        <v>-1.121185901646</v>
      </c>
      <c r="AH134">
        <v>87.474126607602997</v>
      </c>
      <c r="AI134">
        <v>90.732988400819906</v>
      </c>
      <c r="AJ134">
        <v>93.476293256835206</v>
      </c>
      <c r="AK134">
        <v>87.642549913578407</v>
      </c>
      <c r="AL134">
        <v>92.434217503568306</v>
      </c>
      <c r="AM134">
        <v>88.056995005129394</v>
      </c>
      <c r="AN134">
        <v>0.99999998888196795</v>
      </c>
    </row>
    <row r="135" spans="1:40" x14ac:dyDescent="0.25">
      <c r="A135" t="str">
        <f>"20190303154416937"</f>
        <v>20190303154416937</v>
      </c>
      <c r="B135" t="str">
        <f>"1551599056930239"</f>
        <v>1551599056930239</v>
      </c>
      <c r="C135" t="s">
        <v>40</v>
      </c>
      <c r="D135">
        <v>4.2471699999999997</v>
      </c>
      <c r="E135">
        <v>0.51609799999999995</v>
      </c>
      <c r="F135" t="s">
        <v>41</v>
      </c>
      <c r="G135">
        <v>-341.88459999999998</v>
      </c>
      <c r="H135" s="1">
        <v>-4.75890999999999E-6</v>
      </c>
      <c r="I135">
        <v>364.30459999999999</v>
      </c>
      <c r="J135">
        <v>-461.93490000000003</v>
      </c>
      <c r="K135">
        <v>1.1211580000000001</v>
      </c>
      <c r="L135">
        <v>367.62180000000001</v>
      </c>
      <c r="M135">
        <v>0.998915</v>
      </c>
      <c r="N135">
        <v>-1.246631E-2</v>
      </c>
      <c r="O135">
        <v>4.4874909999999997E-2</v>
      </c>
      <c r="P135">
        <v>0.99841550000000001</v>
      </c>
      <c r="Q135">
        <v>-5.5411950000000001E-2</v>
      </c>
      <c r="R135">
        <v>9.8155710000000004E-3</v>
      </c>
      <c r="S135">
        <v>3.0041500000000001</v>
      </c>
      <c r="T135">
        <v>-2.803218E-2</v>
      </c>
      <c r="U135">
        <v>-8.2824709999999996E-2</v>
      </c>
      <c r="V135">
        <v>3.4995110000000003E-2</v>
      </c>
      <c r="W135">
        <v>-4.2973409999999997E-2</v>
      </c>
      <c r="X135">
        <v>0.9984632</v>
      </c>
      <c r="Y135">
        <v>7.2385640000000001E-2</v>
      </c>
      <c r="Z135">
        <v>-6.4817279999999998E-4</v>
      </c>
      <c r="AA135">
        <v>0.9973765</v>
      </c>
      <c r="AB135">
        <v>11</v>
      </c>
      <c r="AC135">
        <v>120.05029999999999</v>
      </c>
      <c r="AD135">
        <v>-1.1211627589099999</v>
      </c>
      <c r="AE135">
        <v>-3.3172000000000099</v>
      </c>
      <c r="AF135">
        <v>8.7007636314114496</v>
      </c>
      <c r="AG135">
        <v>-1.1211627589099999</v>
      </c>
      <c r="AH135">
        <v>119.770035379937</v>
      </c>
      <c r="AI135">
        <v>90.534918409383806</v>
      </c>
      <c r="AJ135">
        <v>85.845013781748904</v>
      </c>
      <c r="AK135">
        <v>120.090889199027</v>
      </c>
      <c r="AL135">
        <v>92.462953318637403</v>
      </c>
      <c r="AM135">
        <v>87.992663444563206</v>
      </c>
      <c r="AN135">
        <v>1.0000000667225799</v>
      </c>
    </row>
    <row r="136" spans="1:40" x14ac:dyDescent="0.25">
      <c r="A136" t="str">
        <f>"20190303154416958"</f>
        <v>20190303154416958</v>
      </c>
      <c r="B136" t="str">
        <f>"1551599056950736"</f>
        <v>1551599056950736</v>
      </c>
      <c r="C136" t="s">
        <v>40</v>
      </c>
      <c r="D136">
        <v>4.3400210000000001</v>
      </c>
      <c r="E136">
        <v>0.51586969999999999</v>
      </c>
      <c r="F136" t="s">
        <v>43</v>
      </c>
      <c r="G136">
        <v>-305.71859999999998</v>
      </c>
      <c r="H136">
        <v>-0.05</v>
      </c>
      <c r="I136">
        <v>362.56810000000002</v>
      </c>
      <c r="J136">
        <v>-461.83139999999997</v>
      </c>
      <c r="K136">
        <v>1.121119</v>
      </c>
      <c r="L136">
        <v>367.62630000000001</v>
      </c>
      <c r="M136">
        <v>0.99892409999999998</v>
      </c>
      <c r="N136">
        <v>-1.228835E-2</v>
      </c>
      <c r="O136">
        <v>4.4718420000000002E-2</v>
      </c>
      <c r="P136">
        <v>0.99844029999999995</v>
      </c>
      <c r="Q136">
        <v>-5.5226520000000001E-2</v>
      </c>
      <c r="R136">
        <v>8.1914699999999993E-3</v>
      </c>
      <c r="S136">
        <v>3.004486</v>
      </c>
      <c r="T136">
        <v>-2.252471E-2</v>
      </c>
      <c r="U136">
        <v>-9.7198489999999999E-2</v>
      </c>
      <c r="V136">
        <v>3.6462260000000003E-2</v>
      </c>
      <c r="W136">
        <v>-4.296647E-2</v>
      </c>
      <c r="X136">
        <v>0.99841089999999999</v>
      </c>
      <c r="Y136">
        <v>7.6994060000000003E-2</v>
      </c>
      <c r="Z136">
        <v>-5.4746169999999998E-4</v>
      </c>
      <c r="AA136">
        <v>0.99703140000000001</v>
      </c>
      <c r="AB136">
        <v>11</v>
      </c>
      <c r="AC136">
        <v>156.11279999999999</v>
      </c>
      <c r="AD136">
        <v>-1.171119</v>
      </c>
      <c r="AE136">
        <v>-5.0581999999999896</v>
      </c>
      <c r="AF136">
        <v>12.0341072072875</v>
      </c>
      <c r="AG136">
        <v>-1.171119</v>
      </c>
      <c r="AH136">
        <v>155.72164000764599</v>
      </c>
      <c r="AI136">
        <v>90.429609202150502</v>
      </c>
      <c r="AJ136">
        <v>85.580987669407804</v>
      </c>
      <c r="AK136">
        <v>156.19033396039401</v>
      </c>
      <c r="AL136">
        <v>92.462555557680105</v>
      </c>
      <c r="AM136">
        <v>87.9084707802499</v>
      </c>
      <c r="AN136">
        <v>0.99999996959368798</v>
      </c>
    </row>
    <row r="137" spans="1:40" x14ac:dyDescent="0.25">
      <c r="A137" t="str">
        <f>"20190303154416980"</f>
        <v>20190303154416980</v>
      </c>
      <c r="B137" t="str">
        <f>"1551599056970256"</f>
        <v>1551599056970256</v>
      </c>
      <c r="C137" t="s">
        <v>40</v>
      </c>
      <c r="D137">
        <v>4.3387289999999998</v>
      </c>
      <c r="E137">
        <v>0.51465070000000002</v>
      </c>
      <c r="F137" t="s">
        <v>41</v>
      </c>
      <c r="G137">
        <v>-359.51729999999998</v>
      </c>
      <c r="H137" s="1">
        <v>-1.588971E-6</v>
      </c>
      <c r="I137">
        <v>364.20940000000002</v>
      </c>
      <c r="J137">
        <v>-461.73110000000003</v>
      </c>
      <c r="K137">
        <v>1.121097</v>
      </c>
      <c r="L137">
        <v>367.63060000000002</v>
      </c>
      <c r="M137">
        <v>0.99893299999999996</v>
      </c>
      <c r="N137">
        <v>-1.2114099999999999E-2</v>
      </c>
      <c r="O137">
        <v>4.456678E-2</v>
      </c>
      <c r="P137">
        <v>0.99839279999999997</v>
      </c>
      <c r="Q137">
        <v>-5.6112969999999998E-2</v>
      </c>
      <c r="R137">
        <v>7.9713359999999903E-3</v>
      </c>
      <c r="S137">
        <v>3.0037539999999998</v>
      </c>
      <c r="T137">
        <v>-3.2914039999999999E-2</v>
      </c>
      <c r="U137">
        <v>-0.10031130000000001</v>
      </c>
      <c r="V137">
        <v>3.6528159999999997E-2</v>
      </c>
      <c r="W137">
        <v>-4.4027499999999997E-2</v>
      </c>
      <c r="X137">
        <v>0.99836230000000004</v>
      </c>
      <c r="Y137">
        <v>7.7878900000000001E-2</v>
      </c>
      <c r="Z137">
        <v>-8.4682159999999998E-4</v>
      </c>
      <c r="AA137">
        <v>0.99696249999999997</v>
      </c>
      <c r="AB137">
        <v>11</v>
      </c>
      <c r="AC137">
        <v>102.21380000000001</v>
      </c>
      <c r="AD137">
        <v>-1.1210985889709999</v>
      </c>
      <c r="AE137">
        <v>-3.42119999999999</v>
      </c>
      <c r="AF137">
        <v>7.97251622109395</v>
      </c>
      <c r="AG137">
        <v>-1.1210985889709999</v>
      </c>
      <c r="AH137">
        <v>101.94749253373701</v>
      </c>
      <c r="AI137">
        <v>90.628128578663507</v>
      </c>
      <c r="AJ137">
        <v>85.528445670053301</v>
      </c>
      <c r="AK137">
        <v>102.264896767454</v>
      </c>
      <c r="AL137">
        <v>92.523405605944106</v>
      </c>
      <c r="AM137">
        <v>87.904592117015596</v>
      </c>
      <c r="AN137">
        <v>1.00000000464526</v>
      </c>
    </row>
    <row r="138" spans="1:40" x14ac:dyDescent="0.25">
      <c r="A138" t="str">
        <f>"20190303154417002"</f>
        <v>20190303154417002</v>
      </c>
      <c r="B138" t="str">
        <f>"1551599056990751"</f>
        <v>1551599056990751</v>
      </c>
      <c r="C138" t="s">
        <v>40</v>
      </c>
      <c r="D138">
        <v>4.2997189999999996</v>
      </c>
      <c r="E138">
        <v>0.51368760000000002</v>
      </c>
      <c r="F138" t="s">
        <v>41</v>
      </c>
      <c r="G138">
        <v>-394.13229999999999</v>
      </c>
      <c r="H138" s="1">
        <v>-3.2169920000000001E-6</v>
      </c>
      <c r="I138">
        <v>365.57150000000001</v>
      </c>
      <c r="J138">
        <v>-461.62509999999997</v>
      </c>
      <c r="K138">
        <v>1.121078</v>
      </c>
      <c r="L138">
        <v>367.63510000000002</v>
      </c>
      <c r="M138">
        <v>0.99894229999999995</v>
      </c>
      <c r="N138">
        <v>-1.193349E-2</v>
      </c>
      <c r="O138">
        <v>4.4406929999999997E-2</v>
      </c>
      <c r="P138">
        <v>0.99836119999999995</v>
      </c>
      <c r="Q138">
        <v>-5.6587680000000001E-2</v>
      </c>
      <c r="R138">
        <v>8.5573490000000006E-3</v>
      </c>
      <c r="S138">
        <v>3.0028079999999999</v>
      </c>
      <c r="T138">
        <v>-4.9800400000000002E-2</v>
      </c>
      <c r="U138">
        <v>-9.1461180000000003E-2</v>
      </c>
      <c r="V138">
        <v>3.5781420000000001E-2</v>
      </c>
      <c r="W138">
        <v>-4.468246E-2</v>
      </c>
      <c r="X138">
        <v>0.99836020000000003</v>
      </c>
      <c r="Y138">
        <v>7.4785749999999998E-2</v>
      </c>
      <c r="Z138">
        <v>-1.272696E-3</v>
      </c>
      <c r="AA138">
        <v>0.99719880000000005</v>
      </c>
      <c r="AB138">
        <v>11</v>
      </c>
      <c r="AC138">
        <v>67.492799999999903</v>
      </c>
      <c r="AD138">
        <v>-1.1210812169919999</v>
      </c>
      <c r="AE138">
        <v>-2.0636000000000001</v>
      </c>
      <c r="AF138">
        <v>5.0575312515839297</v>
      </c>
      <c r="AG138">
        <v>-1.1210812169919999</v>
      </c>
      <c r="AH138">
        <v>67.316010481802905</v>
      </c>
      <c r="AI138">
        <v>90.951435024635501</v>
      </c>
      <c r="AJ138">
        <v>85.703372766652905</v>
      </c>
      <c r="AK138">
        <v>67.515040640156997</v>
      </c>
      <c r="AL138">
        <v>92.560969131727703</v>
      </c>
      <c r="AM138">
        <v>87.947386906227095</v>
      </c>
      <c r="AN138">
        <v>0.99999996059645302</v>
      </c>
    </row>
    <row r="139" spans="1:40" x14ac:dyDescent="0.25">
      <c r="A139" t="str">
        <f>"20190303154417023"</f>
        <v>20190303154417023</v>
      </c>
      <c r="B139" t="str">
        <f>"1551599057020031"</f>
        <v>1551599057020031</v>
      </c>
      <c r="C139" t="s">
        <v>40</v>
      </c>
      <c r="D139">
        <v>4.334905</v>
      </c>
      <c r="E139">
        <v>0.51303929999999998</v>
      </c>
      <c r="F139" t="s">
        <v>43</v>
      </c>
      <c r="G139">
        <v>-403.86149999999998</v>
      </c>
      <c r="H139">
        <v>-0.05</v>
      </c>
      <c r="I139">
        <v>366.05619999999999</v>
      </c>
      <c r="J139">
        <v>-461.51940000000002</v>
      </c>
      <c r="K139">
        <v>1.1210500000000001</v>
      </c>
      <c r="L139">
        <v>367.63959999999997</v>
      </c>
      <c r="M139">
        <v>0.99895160000000005</v>
      </c>
      <c r="N139">
        <v>-1.1746670000000001E-2</v>
      </c>
      <c r="O139">
        <v>4.4247219999999997E-2</v>
      </c>
      <c r="P139">
        <v>0.99829159999999995</v>
      </c>
      <c r="Q139">
        <v>-5.772613E-2</v>
      </c>
      <c r="R139">
        <v>9.036288E-3</v>
      </c>
      <c r="S139">
        <v>3.002167</v>
      </c>
      <c r="T139">
        <v>-6.0864809999999998E-2</v>
      </c>
      <c r="U139">
        <v>-8.2061770000000006E-2</v>
      </c>
      <c r="V139">
        <v>3.5140070000000002E-2</v>
      </c>
      <c r="W139">
        <v>-4.6007840000000001E-2</v>
      </c>
      <c r="X139">
        <v>0.99832279999999995</v>
      </c>
      <c r="Y139">
        <v>7.1506159999999999E-2</v>
      </c>
      <c r="Z139">
        <v>-1.521779E-3</v>
      </c>
      <c r="AA139">
        <v>0.99743899999999996</v>
      </c>
      <c r="AB139">
        <v>11</v>
      </c>
      <c r="AC139">
        <v>57.657899999999998</v>
      </c>
      <c r="AD139">
        <v>-1.1710499999999999</v>
      </c>
      <c r="AE139">
        <v>-1.5833999999999799</v>
      </c>
      <c r="AF139">
        <v>4.1315237073841704</v>
      </c>
      <c r="AG139">
        <v>-1.1710499999999999</v>
      </c>
      <c r="AH139">
        <v>57.507652347333703</v>
      </c>
      <c r="AI139">
        <v>91.163576164457794</v>
      </c>
      <c r="AJ139">
        <v>85.890758014985195</v>
      </c>
      <c r="AK139">
        <v>57.667763306278601</v>
      </c>
      <c r="AL139">
        <v>92.636985963391894</v>
      </c>
      <c r="AM139">
        <v>87.984072074898407</v>
      </c>
      <c r="AN139">
        <v>0.99999997943045404</v>
      </c>
    </row>
    <row r="140" spans="1:40" x14ac:dyDescent="0.25">
      <c r="A140" t="str">
        <f>"20190303154417046"</f>
        <v>20190303154417046</v>
      </c>
      <c r="B140" t="str">
        <f>"1551599057040528"</f>
        <v>1551599057040528</v>
      </c>
      <c r="C140" t="s">
        <v>40</v>
      </c>
      <c r="D140">
        <v>4.292624</v>
      </c>
      <c r="E140">
        <v>0.51269379999999998</v>
      </c>
      <c r="F140" t="s">
        <v>43</v>
      </c>
      <c r="G140">
        <v>-413.51990000000001</v>
      </c>
      <c r="H140">
        <v>-0.05</v>
      </c>
      <c r="I140">
        <v>366.4264</v>
      </c>
      <c r="J140">
        <v>-461.41079999999999</v>
      </c>
      <c r="K140">
        <v>1.121019</v>
      </c>
      <c r="L140">
        <v>367.64429999999999</v>
      </c>
      <c r="M140">
        <v>0.99896099999999999</v>
      </c>
      <c r="N140">
        <v>-1.154375E-2</v>
      </c>
      <c r="O140">
        <v>4.4083289999999997E-2</v>
      </c>
      <c r="P140">
        <v>0.99825739999999996</v>
      </c>
      <c r="Q140">
        <v>-5.8173490000000001E-2</v>
      </c>
      <c r="R140">
        <v>9.9071560000000003E-3</v>
      </c>
      <c r="S140">
        <v>3.0015869999999998</v>
      </c>
      <c r="T140">
        <v>-7.3230030000000002E-2</v>
      </c>
      <c r="U140">
        <v>-7.5866699999999995E-2</v>
      </c>
      <c r="V140">
        <v>3.4104429999999998E-2</v>
      </c>
      <c r="W140">
        <v>-4.6657570000000002E-2</v>
      </c>
      <c r="X140">
        <v>0.99832860000000001</v>
      </c>
      <c r="Y140">
        <v>6.9281060000000005E-2</v>
      </c>
      <c r="Z140">
        <v>-1.8111410000000001E-3</v>
      </c>
      <c r="AA140">
        <v>0.99759549999999997</v>
      </c>
      <c r="AB140">
        <v>11</v>
      </c>
      <c r="AC140">
        <v>47.890899999999903</v>
      </c>
      <c r="AD140">
        <v>-1.171019</v>
      </c>
      <c r="AE140">
        <v>-1.21789999999998</v>
      </c>
      <c r="AF140">
        <v>3.3260579949319902</v>
      </c>
      <c r="AG140">
        <v>-1.171019</v>
      </c>
      <c r="AH140">
        <v>47.762106387053201</v>
      </c>
      <c r="AI140">
        <v>91.401089968935295</v>
      </c>
      <c r="AJ140">
        <v>86.016467001611403</v>
      </c>
      <c r="AK140">
        <v>47.892094898972601</v>
      </c>
      <c r="AL140">
        <v>92.674252672533299</v>
      </c>
      <c r="AM140">
        <v>88.043449516032098</v>
      </c>
      <c r="AN140">
        <v>1.00000001728094</v>
      </c>
    </row>
    <row r="141" spans="1:40" x14ac:dyDescent="0.25">
      <c r="A141" t="str">
        <f>"20190303154417068"</f>
        <v>20190303154417068</v>
      </c>
      <c r="B141" t="str">
        <f>"1551599057060047"</f>
        <v>1551599057060047</v>
      </c>
      <c r="C141" t="s">
        <v>40</v>
      </c>
      <c r="D141">
        <v>4.304767</v>
      </c>
      <c r="E141">
        <v>0.51246329999999995</v>
      </c>
      <c r="F141" t="s">
        <v>43</v>
      </c>
      <c r="G141">
        <v>-417.46080000000001</v>
      </c>
      <c r="H141">
        <v>-0.05</v>
      </c>
      <c r="I141">
        <v>366.61059999999998</v>
      </c>
      <c r="J141">
        <v>-461.30110000000002</v>
      </c>
      <c r="K141">
        <v>1.1209789999999999</v>
      </c>
      <c r="L141">
        <v>367.64890000000003</v>
      </c>
      <c r="M141">
        <v>0.99897119999999995</v>
      </c>
      <c r="N141">
        <v>-1.131126E-2</v>
      </c>
      <c r="O141">
        <v>4.3917089999999999E-2</v>
      </c>
      <c r="P141">
        <v>0.9982647</v>
      </c>
      <c r="Q141">
        <v>-5.7903629999999998E-2</v>
      </c>
      <c r="R141">
        <v>1.070929E-2</v>
      </c>
      <c r="S141">
        <v>3.0012509999999999</v>
      </c>
      <c r="T141">
        <v>-7.9966190000000006E-2</v>
      </c>
      <c r="U141">
        <v>-7.0587159999999996E-2</v>
      </c>
      <c r="V141">
        <v>3.3137300000000001E-2</v>
      </c>
      <c r="W141">
        <v>-4.6619199999999902E-2</v>
      </c>
      <c r="X141">
        <v>0.998363</v>
      </c>
      <c r="Y141">
        <v>6.7358609999999999E-2</v>
      </c>
      <c r="Z141">
        <v>-1.9511229999999999E-3</v>
      </c>
      <c r="AA141">
        <v>0.99772689999999997</v>
      </c>
      <c r="AB141">
        <v>11</v>
      </c>
      <c r="AC141">
        <v>43.840299999999999</v>
      </c>
      <c r="AD141">
        <v>-1.170979</v>
      </c>
      <c r="AE141">
        <v>-1.03830000000004</v>
      </c>
      <c r="AF141">
        <v>2.9606485392128099</v>
      </c>
      <c r="AG141">
        <v>-1.170979</v>
      </c>
      <c r="AH141">
        <v>43.721219995397703</v>
      </c>
      <c r="AI141">
        <v>91.530673881914495</v>
      </c>
      <c r="AJ141">
        <v>86.126043784244402</v>
      </c>
      <c r="AK141">
        <v>43.836990196375801</v>
      </c>
      <c r="AL141">
        <v>92.672051737482093</v>
      </c>
      <c r="AM141">
        <v>88.098957327717102</v>
      </c>
      <c r="AN141">
        <v>1.0000000551144601</v>
      </c>
    </row>
    <row r="142" spans="1:40" x14ac:dyDescent="0.25">
      <c r="A142" t="str">
        <f>"20190303154417090"</f>
        <v>20190303154417090</v>
      </c>
      <c r="B142" t="str">
        <f>"1551599057080543"</f>
        <v>1551599057080543</v>
      </c>
      <c r="C142" t="s">
        <v>40</v>
      </c>
      <c r="D142">
        <v>4.3162750000000001</v>
      </c>
      <c r="E142">
        <v>0.51227780000000001</v>
      </c>
      <c r="F142" t="s">
        <v>43</v>
      </c>
      <c r="G142">
        <v>-418.7987</v>
      </c>
      <c r="H142">
        <v>-0.05</v>
      </c>
      <c r="I142">
        <v>366.71010000000001</v>
      </c>
      <c r="J142">
        <v>-461.19810000000001</v>
      </c>
      <c r="K142">
        <v>1.1209290000000001</v>
      </c>
      <c r="L142">
        <v>367.65320000000003</v>
      </c>
      <c r="M142">
        <v>0.99898100000000001</v>
      </c>
      <c r="N142">
        <v>-1.104869E-2</v>
      </c>
      <c r="O142">
        <v>4.3760019999999997E-2</v>
      </c>
      <c r="P142">
        <v>0.99822250000000001</v>
      </c>
      <c r="Q142">
        <v>-5.865327E-2</v>
      </c>
      <c r="R142">
        <v>1.0568019999999999E-2</v>
      </c>
      <c r="S142">
        <v>3.0011290000000002</v>
      </c>
      <c r="T142">
        <v>-8.2683800000000002E-2</v>
      </c>
      <c r="U142">
        <v>-6.6284179999999998E-2</v>
      </c>
      <c r="V142">
        <v>3.3119269999999999E-2</v>
      </c>
      <c r="W142">
        <v>-4.76315E-2</v>
      </c>
      <c r="X142">
        <v>0.99831579999999998</v>
      </c>
      <c r="Y142">
        <v>6.5770990000000001E-2</v>
      </c>
      <c r="Z142">
        <v>-1.9908959999999998E-3</v>
      </c>
      <c r="AA142">
        <v>0.99783279999999996</v>
      </c>
      <c r="AB142">
        <v>11</v>
      </c>
      <c r="AC142">
        <v>42.3994</v>
      </c>
      <c r="AD142">
        <v>-1.1709290000000001</v>
      </c>
      <c r="AE142">
        <v>-0.94310000000001504</v>
      </c>
      <c r="AF142">
        <v>2.7955771964527898</v>
      </c>
      <c r="AG142">
        <v>-1.1709290000000001</v>
      </c>
      <c r="AH142">
        <v>42.285272719901201</v>
      </c>
      <c r="AI142">
        <v>91.582728873436295</v>
      </c>
      <c r="AJ142">
        <v>86.217547896105401</v>
      </c>
      <c r="AK142">
        <v>42.393756799566397</v>
      </c>
      <c r="AL142">
        <v>92.730116803643099</v>
      </c>
      <c r="AM142">
        <v>88.099901160530194</v>
      </c>
      <c r="AN142">
        <v>1.0000000411836101</v>
      </c>
    </row>
    <row r="143" spans="1:40" x14ac:dyDescent="0.25">
      <c r="A143" t="str">
        <f>"20190303154417116"</f>
        <v>20190303154417116</v>
      </c>
      <c r="B143" t="str">
        <f>"1551599057109825"</f>
        <v>1551599057109825</v>
      </c>
      <c r="C143" t="s">
        <v>40</v>
      </c>
      <c r="D143">
        <v>4.3219479999999999</v>
      </c>
      <c r="E143">
        <v>0.51215449999999996</v>
      </c>
      <c r="F143" t="s">
        <v>43</v>
      </c>
      <c r="G143">
        <v>-420.82299999999998</v>
      </c>
      <c r="H143">
        <v>-0.05</v>
      </c>
      <c r="I143">
        <v>366.77370000000002</v>
      </c>
      <c r="J143">
        <v>-461.07279999999997</v>
      </c>
      <c r="K143">
        <v>1.120857</v>
      </c>
      <c r="L143">
        <v>367.6585</v>
      </c>
      <c r="M143">
        <v>0.99899360000000004</v>
      </c>
      <c r="N143">
        <v>-1.0664740000000001E-2</v>
      </c>
      <c r="O143">
        <v>4.3568389999999999E-2</v>
      </c>
      <c r="P143">
        <v>0.99818050000000003</v>
      </c>
      <c r="Q143">
        <v>-5.9395339999999998E-2</v>
      </c>
      <c r="R143">
        <v>1.039235E-2</v>
      </c>
      <c r="S143">
        <v>3.0008539999999999</v>
      </c>
      <c r="T143">
        <v>-8.7028620000000001E-2</v>
      </c>
      <c r="U143">
        <v>-6.536865E-2</v>
      </c>
      <c r="V143">
        <v>3.310097E-2</v>
      </c>
      <c r="W143">
        <v>-4.8757370000000001E-2</v>
      </c>
      <c r="X143">
        <v>0.99826199999999998</v>
      </c>
      <c r="Y143">
        <v>6.527318E-2</v>
      </c>
      <c r="Z143">
        <v>-2.0927799999999998E-3</v>
      </c>
      <c r="AA143">
        <v>0.99786529999999996</v>
      </c>
      <c r="AB143">
        <v>11</v>
      </c>
      <c r="AC143">
        <v>40.249799999999901</v>
      </c>
      <c r="AD143">
        <v>-1.170857</v>
      </c>
      <c r="AE143">
        <v>-0.88479999999998404</v>
      </c>
      <c r="AF143">
        <v>2.63544924532783</v>
      </c>
      <c r="AG143">
        <v>-1.170857</v>
      </c>
      <c r="AH143">
        <v>40.139074986438303</v>
      </c>
      <c r="AI143">
        <v>91.667256509948103</v>
      </c>
      <c r="AJ143">
        <v>86.243468664904398</v>
      </c>
      <c r="AK143">
        <v>40.242537688446902</v>
      </c>
      <c r="AL143">
        <v>92.794699599241298</v>
      </c>
      <c r="AM143">
        <v>88.100848016351094</v>
      </c>
      <c r="AN143">
        <v>0.99999998799412804</v>
      </c>
    </row>
    <row r="144" spans="1:40" x14ac:dyDescent="0.25">
      <c r="A144" t="str">
        <f>"20190303154417137"</f>
        <v>20190303154417137</v>
      </c>
      <c r="B144" t="str">
        <f>"1551599057130319"</f>
        <v>1551599057130319</v>
      </c>
      <c r="C144" t="s">
        <v>40</v>
      </c>
      <c r="D144">
        <v>4.3020050000000003</v>
      </c>
      <c r="E144">
        <v>0.512073</v>
      </c>
      <c r="F144" t="s">
        <v>43</v>
      </c>
      <c r="G144">
        <v>-422.55250000000001</v>
      </c>
      <c r="H144">
        <v>-0.05</v>
      </c>
      <c r="I144">
        <v>366.82839999999999</v>
      </c>
      <c r="J144">
        <v>-460.9744</v>
      </c>
      <c r="K144">
        <v>1.120803</v>
      </c>
      <c r="L144">
        <v>367.66269999999997</v>
      </c>
      <c r="M144">
        <v>0.9990038</v>
      </c>
      <c r="N144">
        <v>-1.032461E-2</v>
      </c>
      <c r="O144">
        <v>4.3417089999999998E-2</v>
      </c>
      <c r="P144">
        <v>0.99815089999999995</v>
      </c>
      <c r="Q144">
        <v>-6.0004090000000003E-2</v>
      </c>
      <c r="R144">
        <v>9.7221449999999997E-3</v>
      </c>
      <c r="S144">
        <v>3.000702</v>
      </c>
      <c r="T144">
        <v>-9.1208819999999996E-2</v>
      </c>
      <c r="U144">
        <v>-6.4666749999999995E-2</v>
      </c>
      <c r="V144">
        <v>3.3617750000000002E-2</v>
      </c>
      <c r="W144">
        <v>-4.970637E-2</v>
      </c>
      <c r="X144">
        <v>0.99819789999999997</v>
      </c>
      <c r="Y144">
        <v>6.4885659999999998E-2</v>
      </c>
      <c r="Z144">
        <v>-2.19177E-3</v>
      </c>
      <c r="AA144">
        <v>0.99789030000000001</v>
      </c>
      <c r="AB144">
        <v>11</v>
      </c>
      <c r="AC144">
        <v>38.421900000000001</v>
      </c>
      <c r="AD144">
        <v>-1.170803</v>
      </c>
      <c r="AE144">
        <v>-0.83429999999998405</v>
      </c>
      <c r="AF144">
        <v>2.49944921827286</v>
      </c>
      <c r="AG144">
        <v>-1.170803</v>
      </c>
      <c r="AH144">
        <v>38.313880805940897</v>
      </c>
      <c r="AI144">
        <v>91.746600565179406</v>
      </c>
      <c r="AJ144">
        <v>86.267534036373902</v>
      </c>
      <c r="AK144">
        <v>38.413168164984498</v>
      </c>
      <c r="AL144">
        <v>92.849139385868796</v>
      </c>
      <c r="AM144">
        <v>88.071096475153198</v>
      </c>
      <c r="AN144">
        <v>0.99999996194902396</v>
      </c>
    </row>
    <row r="145" spans="1:40" x14ac:dyDescent="0.25">
      <c r="A145" t="str">
        <f>"20190303154417158"</f>
        <v>20190303154417158</v>
      </c>
      <c r="B145" t="str">
        <f>"1551599057149840"</f>
        <v>1551599057149840</v>
      </c>
      <c r="C145" t="s">
        <v>40</v>
      </c>
      <c r="D145">
        <v>4.2890930000000003</v>
      </c>
      <c r="E145">
        <v>0.51195979999999996</v>
      </c>
      <c r="F145" t="s">
        <v>43</v>
      </c>
      <c r="G145">
        <v>-423.47579999999999</v>
      </c>
      <c r="H145">
        <v>-0.05</v>
      </c>
      <c r="I145">
        <v>366.8347</v>
      </c>
      <c r="J145">
        <v>-460.8664</v>
      </c>
      <c r="K145">
        <v>1.1207389999999999</v>
      </c>
      <c r="L145">
        <v>367.6671</v>
      </c>
      <c r="M145">
        <v>0.99901490000000004</v>
      </c>
      <c r="N145">
        <v>-9.9371129999999992E-3</v>
      </c>
      <c r="O145">
        <v>4.3250959999999998E-2</v>
      </c>
      <c r="P145">
        <v>0.99815540000000003</v>
      </c>
      <c r="Q145">
        <v>-5.9979980000000002E-2</v>
      </c>
      <c r="R145">
        <v>9.402489E-3</v>
      </c>
      <c r="S145">
        <v>3.0005799999999998</v>
      </c>
      <c r="T145">
        <v>-9.3685870000000004E-2</v>
      </c>
      <c r="U145">
        <v>-6.6253660000000006E-2</v>
      </c>
      <c r="V145">
        <v>3.3771059999999999E-2</v>
      </c>
      <c r="W145">
        <v>-5.0069219999999998E-2</v>
      </c>
      <c r="X145">
        <v>0.99817460000000002</v>
      </c>
      <c r="Y145">
        <v>6.5245109999999995E-2</v>
      </c>
      <c r="Z145">
        <v>-2.2625459999999998E-3</v>
      </c>
      <c r="AA145">
        <v>0.9978667</v>
      </c>
      <c r="AB145">
        <v>11</v>
      </c>
      <c r="AC145">
        <v>37.390599999999999</v>
      </c>
      <c r="AD145">
        <v>-1.170739</v>
      </c>
      <c r="AE145">
        <v>-0.83240000000000602</v>
      </c>
      <c r="AF145">
        <v>2.4464827615543001</v>
      </c>
      <c r="AG145">
        <v>-1.170739</v>
      </c>
      <c r="AH145">
        <v>37.283070482090501</v>
      </c>
      <c r="AI145">
        <v>91.794716987572897</v>
      </c>
      <c r="AJ145">
        <v>86.245682983418405</v>
      </c>
      <c r="AK145">
        <v>37.381589750587601</v>
      </c>
      <c r="AL145">
        <v>92.869955051511695</v>
      </c>
      <c r="AM145">
        <v>88.062261419926102</v>
      </c>
      <c r="AN145">
        <v>0.99999997168504495</v>
      </c>
    </row>
    <row r="146" spans="1:40" x14ac:dyDescent="0.25">
      <c r="A146" t="str">
        <f>"20190303154417181"</f>
        <v>20190303154417181</v>
      </c>
      <c r="B146" t="str">
        <f>"1551599057170335"</f>
        <v>1551599057170335</v>
      </c>
      <c r="C146" t="s">
        <v>40</v>
      </c>
      <c r="D146">
        <v>4.2833690000000004</v>
      </c>
      <c r="E146">
        <v>0.51193429999999995</v>
      </c>
      <c r="F146" t="s">
        <v>43</v>
      </c>
      <c r="G146">
        <v>-423.29079999999999</v>
      </c>
      <c r="H146">
        <v>-0.05</v>
      </c>
      <c r="I146">
        <v>366.83629999999999</v>
      </c>
      <c r="J146">
        <v>-460.7518</v>
      </c>
      <c r="K146">
        <v>1.1206849999999999</v>
      </c>
      <c r="L146">
        <v>367.67189999999999</v>
      </c>
      <c r="M146">
        <v>0.99902650000000004</v>
      </c>
      <c r="N146">
        <v>-9.5340670000000002E-3</v>
      </c>
      <c r="O146">
        <v>4.3074929999999997E-2</v>
      </c>
      <c r="P146">
        <v>0.99816260000000001</v>
      </c>
      <c r="Q146">
        <v>-5.9900250000000002E-2</v>
      </c>
      <c r="R146">
        <v>9.1544980000000005E-3</v>
      </c>
      <c r="S146">
        <v>3.0005489999999999</v>
      </c>
      <c r="T146">
        <v>-9.3487979999999998E-2</v>
      </c>
      <c r="U146">
        <v>-6.6345210000000002E-2</v>
      </c>
      <c r="V146">
        <v>3.3842829999999997E-2</v>
      </c>
      <c r="W146">
        <v>-5.039188E-2</v>
      </c>
      <c r="X146">
        <v>0.99815600000000004</v>
      </c>
      <c r="Y146">
        <v>6.5100149999999996E-2</v>
      </c>
      <c r="Z146">
        <v>-2.2550959999999998E-3</v>
      </c>
      <c r="AA146">
        <v>0.99787619999999999</v>
      </c>
      <c r="AB146">
        <v>11</v>
      </c>
      <c r="AC146">
        <v>37.460999999999999</v>
      </c>
      <c r="AD146">
        <v>-1.170685</v>
      </c>
      <c r="AE146">
        <v>-0.83559999999999901</v>
      </c>
      <c r="AF146">
        <v>2.4461396826486901</v>
      </c>
      <c r="AG146">
        <v>-1.170685</v>
      </c>
      <c r="AH146">
        <v>37.3537702301183</v>
      </c>
      <c r="AI146">
        <v>91.791255343389295</v>
      </c>
      <c r="AJ146">
        <v>86.253292532140406</v>
      </c>
      <c r="AK146">
        <v>37.4520794231873</v>
      </c>
      <c r="AL146">
        <v>92.888465278866704</v>
      </c>
      <c r="AM146">
        <v>88.058110344543806</v>
      </c>
      <c r="AN146">
        <v>1.0000000395241699</v>
      </c>
    </row>
    <row r="147" spans="1:40" x14ac:dyDescent="0.25">
      <c r="A147" t="str">
        <f>"20190303154417204"</f>
        <v>20190303154417204</v>
      </c>
      <c r="B147" t="str">
        <f>"1551599057200591"</f>
        <v>1551599057200591</v>
      </c>
      <c r="C147" t="s">
        <v>40</v>
      </c>
      <c r="D147">
        <v>4.2502199999999997</v>
      </c>
      <c r="E147">
        <v>0.51193049999999996</v>
      </c>
      <c r="F147" t="s">
        <v>43</v>
      </c>
      <c r="G147">
        <v>-422.58249999999998</v>
      </c>
      <c r="H147">
        <v>-0.05</v>
      </c>
      <c r="I147">
        <v>366.8245</v>
      </c>
      <c r="J147">
        <v>-460.637</v>
      </c>
      <c r="K147">
        <v>1.120644</v>
      </c>
      <c r="L147">
        <v>367.67669999999998</v>
      </c>
      <c r="M147">
        <v>0.99903739999999996</v>
      </c>
      <c r="N147">
        <v>-9.1590339999999999E-3</v>
      </c>
      <c r="O147">
        <v>4.289917E-2</v>
      </c>
      <c r="P147">
        <v>0.99821349999999998</v>
      </c>
      <c r="Q147">
        <v>-5.9009819999999998E-2</v>
      </c>
      <c r="R147">
        <v>9.3730150000000002E-3</v>
      </c>
      <c r="S147">
        <v>3.0006409999999999</v>
      </c>
      <c r="T147">
        <v>-9.2032069999999994E-2</v>
      </c>
      <c r="U147">
        <v>-6.6619869999999998E-2</v>
      </c>
      <c r="V147">
        <v>3.3451290000000002E-2</v>
      </c>
      <c r="W147">
        <v>-4.9875240000000001E-2</v>
      </c>
      <c r="X147">
        <v>0.9981951</v>
      </c>
      <c r="Y147">
        <v>6.5016770000000002E-2</v>
      </c>
      <c r="Z147">
        <v>-2.2168610000000001E-3</v>
      </c>
      <c r="AA147">
        <v>0.99788169999999998</v>
      </c>
      <c r="AB147">
        <v>11</v>
      </c>
      <c r="AC147">
        <v>38.054499999999898</v>
      </c>
      <c r="AD147">
        <v>-1.170644</v>
      </c>
      <c r="AE147">
        <v>-0.85219999999998197</v>
      </c>
      <c r="AF147">
        <v>2.48164313624443</v>
      </c>
      <c r="AG147">
        <v>-1.170644</v>
      </c>
      <c r="AH147">
        <v>37.947012153329297</v>
      </c>
      <c r="AI147">
        <v>91.763218106376499</v>
      </c>
      <c r="AJ147">
        <v>86.258322233794303</v>
      </c>
      <c r="AK147">
        <v>38.046086413655303</v>
      </c>
      <c r="AL147">
        <v>92.858826851424794</v>
      </c>
      <c r="AM147">
        <v>88.080634997652297</v>
      </c>
      <c r="AN147">
        <v>0.99999999301586495</v>
      </c>
    </row>
    <row r="148" spans="1:40" x14ac:dyDescent="0.25">
      <c r="A148" t="str">
        <f>"20190303154417224"</f>
        <v>20190303154417224</v>
      </c>
      <c r="B148" t="str">
        <f>"1551599057220111"</f>
        <v>1551599057220111</v>
      </c>
      <c r="C148" t="s">
        <v>40</v>
      </c>
      <c r="D148">
        <v>4.2679600000000004</v>
      </c>
      <c r="E148">
        <v>0.51190800000000003</v>
      </c>
      <c r="F148" t="s">
        <v>43</v>
      </c>
      <c r="G148">
        <v>-420.93509999999998</v>
      </c>
      <c r="H148">
        <v>-0.05</v>
      </c>
      <c r="I148">
        <v>366.8057</v>
      </c>
      <c r="J148">
        <v>-460.53210000000001</v>
      </c>
      <c r="K148">
        <v>1.120614</v>
      </c>
      <c r="L148">
        <v>367.68099999999998</v>
      </c>
      <c r="M148">
        <v>0.99904720000000002</v>
      </c>
      <c r="N148">
        <v>-8.84073199999999E-3</v>
      </c>
      <c r="O148">
        <v>4.2738850000000002E-2</v>
      </c>
      <c r="P148">
        <v>0.9982335</v>
      </c>
      <c r="Q148">
        <v>-5.8623870000000002E-2</v>
      </c>
      <c r="R148">
        <v>9.6645140000000008E-3</v>
      </c>
      <c r="S148">
        <v>3.0007630000000001</v>
      </c>
      <c r="T148">
        <v>-8.8479999999999906E-2</v>
      </c>
      <c r="U148">
        <v>-6.5826419999999997E-2</v>
      </c>
      <c r="V148">
        <v>3.3000399999999999E-2</v>
      </c>
      <c r="W148">
        <v>-4.9806679999999999E-2</v>
      </c>
      <c r="X148">
        <v>0.99821349999999998</v>
      </c>
      <c r="Y148">
        <v>6.4595899999999998E-2</v>
      </c>
      <c r="Z148">
        <v>-2.1195039999999999E-3</v>
      </c>
      <c r="AA148">
        <v>0.99790919999999905</v>
      </c>
      <c r="AB148">
        <v>11</v>
      </c>
      <c r="AC148">
        <v>39.597000000000001</v>
      </c>
      <c r="AD148">
        <v>-1.170614</v>
      </c>
      <c r="AE148">
        <v>-0.87529999999998098</v>
      </c>
      <c r="AF148">
        <v>2.5646561044351599</v>
      </c>
      <c r="AG148">
        <v>-1.170614</v>
      </c>
      <c r="AH148">
        <v>39.488909973586097</v>
      </c>
      <c r="AI148">
        <v>91.694418027200996</v>
      </c>
      <c r="AJ148">
        <v>86.284073472886803</v>
      </c>
      <c r="AK148">
        <v>39.5894153653852</v>
      </c>
      <c r="AL148">
        <v>92.854893854124896</v>
      </c>
      <c r="AM148">
        <v>88.106522038117504</v>
      </c>
      <c r="AN148">
        <v>0.99999996167751504</v>
      </c>
    </row>
    <row r="149" spans="1:40" x14ac:dyDescent="0.25">
      <c r="A149" t="str">
        <f>"20190303154417247"</f>
        <v>20190303154417247</v>
      </c>
      <c r="B149" t="str">
        <f>"1551599057240607"</f>
        <v>1551599057240607</v>
      </c>
      <c r="C149" t="s">
        <v>40</v>
      </c>
      <c r="D149">
        <v>4.2615489999999996</v>
      </c>
      <c r="E149">
        <v>0.51188459999999902</v>
      </c>
      <c r="F149" t="s">
        <v>43</v>
      </c>
      <c r="G149">
        <v>-420.13479999999998</v>
      </c>
      <c r="H149">
        <v>-0.05</v>
      </c>
      <c r="I149">
        <v>366.80709999999999</v>
      </c>
      <c r="J149">
        <v>-460.41180000000003</v>
      </c>
      <c r="K149">
        <v>1.1205849999999999</v>
      </c>
      <c r="L149">
        <v>367.6859</v>
      </c>
      <c r="M149">
        <v>0.99905809999999995</v>
      </c>
      <c r="N149">
        <v>-8.5026029999999992E-3</v>
      </c>
      <c r="O149">
        <v>4.255569E-2</v>
      </c>
      <c r="P149">
        <v>0.99825149999999996</v>
      </c>
      <c r="Q149">
        <v>-5.8283729999999999E-2</v>
      </c>
      <c r="R149">
        <v>9.8616150000000007E-3</v>
      </c>
      <c r="S149">
        <v>3.0008240000000002</v>
      </c>
      <c r="T149">
        <v>-8.695638E-2</v>
      </c>
      <c r="U149">
        <v>-6.4910889999999999E-2</v>
      </c>
      <c r="V149">
        <v>3.2621270000000001E-2</v>
      </c>
      <c r="W149">
        <v>-4.9803819999999999E-2</v>
      </c>
      <c r="X149">
        <v>0.99822619999999895</v>
      </c>
      <c r="Y149">
        <v>6.4109949999999999E-2</v>
      </c>
      <c r="Z149">
        <v>-2.0720629999999999E-3</v>
      </c>
      <c r="AA149">
        <v>0.99794070000000001</v>
      </c>
      <c r="AB149">
        <v>11</v>
      </c>
      <c r="AC149">
        <v>40.277000000000001</v>
      </c>
      <c r="AD149">
        <v>-1.170585</v>
      </c>
      <c r="AE149">
        <v>-0.87880000000001202</v>
      </c>
      <c r="AF149">
        <v>2.5898944168103499</v>
      </c>
      <c r="AG149">
        <v>-1.170585</v>
      </c>
      <c r="AH149">
        <v>40.169197074662499</v>
      </c>
      <c r="AI149">
        <v>91.665747796822998</v>
      </c>
      <c r="AJ149">
        <v>86.310981460100606</v>
      </c>
      <c r="AK149">
        <v>40.269619019249703</v>
      </c>
      <c r="AL149">
        <v>92.854729512068701</v>
      </c>
      <c r="AM149">
        <v>88.128283774092793</v>
      </c>
      <c r="AN149">
        <v>1.0000000570547201</v>
      </c>
    </row>
    <row r="150" spans="1:40" x14ac:dyDescent="0.25">
      <c r="A150" t="str">
        <f>"20190303154417268"</f>
        <v>20190303154417268</v>
      </c>
      <c r="B150" t="str">
        <f>"1551599057260128"</f>
        <v>1551599057260128</v>
      </c>
      <c r="C150" t="s">
        <v>40</v>
      </c>
      <c r="D150">
        <v>4.2461449999999896</v>
      </c>
      <c r="E150">
        <v>0.50079390000000001</v>
      </c>
      <c r="F150" t="s">
        <v>43</v>
      </c>
      <c r="G150">
        <v>-419.31729999999999</v>
      </c>
      <c r="H150">
        <v>-0.05</v>
      </c>
      <c r="I150">
        <v>366.80790000000002</v>
      </c>
      <c r="J150">
        <v>-460.30090000000001</v>
      </c>
      <c r="K150">
        <v>1.1205579999999999</v>
      </c>
      <c r="L150">
        <v>367.69040000000001</v>
      </c>
      <c r="M150">
        <v>0.99906759999999994</v>
      </c>
      <c r="N150">
        <v>-8.2097590000000005E-3</v>
      </c>
      <c r="O150">
        <v>4.2387059999999997E-2</v>
      </c>
      <c r="P150">
        <v>0.99828510000000004</v>
      </c>
      <c r="Q150">
        <v>-5.7686130000000002E-2</v>
      </c>
      <c r="R150">
        <v>9.9753600000000008E-3</v>
      </c>
      <c r="S150">
        <v>3.0008849999999998</v>
      </c>
      <c r="T150">
        <v>-8.5480810000000004E-2</v>
      </c>
      <c r="U150">
        <v>-6.4117430000000003E-2</v>
      </c>
      <c r="V150">
        <v>3.2340380000000002E-2</v>
      </c>
      <c r="W150">
        <v>-4.9498229999999997E-2</v>
      </c>
      <c r="X150">
        <v>0.99825050000000004</v>
      </c>
      <c r="Y150">
        <v>6.3678960000000007E-2</v>
      </c>
      <c r="Z150">
        <v>-2.0271080000000001E-3</v>
      </c>
      <c r="AA150">
        <v>0.99796839999999998</v>
      </c>
      <c r="AB150">
        <v>12</v>
      </c>
      <c r="AC150">
        <v>40.983600000000003</v>
      </c>
      <c r="AD150">
        <v>-1.170558</v>
      </c>
      <c r="AE150">
        <v>-0.88249999999999296</v>
      </c>
      <c r="AF150">
        <v>2.6168058435943702</v>
      </c>
      <c r="AG150">
        <v>-1.170558</v>
      </c>
      <c r="AH150">
        <v>40.876026451122002</v>
      </c>
      <c r="AI150">
        <v>91.636969502064105</v>
      </c>
      <c r="AJ150">
        <v>86.337031191190903</v>
      </c>
      <c r="AK150">
        <v>40.976425140405503</v>
      </c>
      <c r="AL150">
        <v>92.837198985248506</v>
      </c>
      <c r="AM150">
        <v>88.144434270560495</v>
      </c>
      <c r="AN150">
        <v>1.00000001785096</v>
      </c>
    </row>
    <row r="151" spans="1:40" x14ac:dyDescent="0.25">
      <c r="A151" t="str">
        <f>"20190303154417291"</f>
        <v>20190303154417291</v>
      </c>
      <c r="B151" t="str">
        <f>"1551599057280627"</f>
        <v>1551599057280627</v>
      </c>
      <c r="C151" t="s">
        <v>40</v>
      </c>
      <c r="D151">
        <v>4.2645359999999997</v>
      </c>
      <c r="E151">
        <v>0.4956371</v>
      </c>
      <c r="F151" t="s">
        <v>48</v>
      </c>
      <c r="G151">
        <v>-158.78319999999999</v>
      </c>
      <c r="H151">
        <v>5.8981700000000004</v>
      </c>
      <c r="I151">
        <v>370.30619999999999</v>
      </c>
      <c r="J151">
        <v>-460.1825</v>
      </c>
      <c r="K151">
        <v>1.1205240000000001</v>
      </c>
      <c r="L151">
        <v>367.69529999999997</v>
      </c>
      <c r="M151">
        <v>0.99907780000000002</v>
      </c>
      <c r="N151">
        <v>-7.9065279999999995E-3</v>
      </c>
      <c r="O151">
        <v>4.220608E-2</v>
      </c>
      <c r="P151">
        <v>0.99829409999999996</v>
      </c>
      <c r="Q151">
        <v>-5.7560449999999999E-2</v>
      </c>
      <c r="R151">
        <v>9.8106070000000007E-3</v>
      </c>
      <c r="S151">
        <v>3.00766</v>
      </c>
      <c r="T151">
        <v>4.7657850000000002E-2</v>
      </c>
      <c r="U151">
        <v>2.6092529999999999E-2</v>
      </c>
      <c r="V151">
        <v>3.2324360000000003E-2</v>
      </c>
      <c r="W151">
        <v>-4.9675280000000002E-2</v>
      </c>
      <c r="X151">
        <v>0.99824219999999997</v>
      </c>
      <c r="Y151">
        <v>3.3524489999999997E-2</v>
      </c>
      <c r="Z151">
        <v>1.1353470000000001E-3</v>
      </c>
      <c r="AA151">
        <v>0.99943729999999997</v>
      </c>
      <c r="AB151">
        <v>12</v>
      </c>
      <c r="AC151">
        <v>301.39929999999998</v>
      </c>
      <c r="AD151">
        <v>4.7776459999999901</v>
      </c>
      <c r="AE151">
        <v>2.6109000000000102</v>
      </c>
      <c r="AF151">
        <v>10.1101650243096</v>
      </c>
      <c r="AG151">
        <v>4.7776459999999901</v>
      </c>
      <c r="AH151">
        <v>301.16524500567698</v>
      </c>
      <c r="AI151">
        <v>89.091655097204395</v>
      </c>
      <c r="AJ151">
        <v>88.077293648818895</v>
      </c>
      <c r="AK151">
        <v>301.37276940269402</v>
      </c>
      <c r="AL151">
        <v>92.847355766030006</v>
      </c>
      <c r="AM151">
        <v>88.145337384105602</v>
      </c>
      <c r="AN151">
        <v>0.99999999377666404</v>
      </c>
    </row>
    <row r="152" spans="1:40" x14ac:dyDescent="0.25">
      <c r="A152" t="str">
        <f>"20190303154417316"</f>
        <v>20190303154417316</v>
      </c>
      <c r="B152" t="str">
        <f>"1551599057309904"</f>
        <v>1551599057309904</v>
      </c>
      <c r="C152" t="s">
        <v>40</v>
      </c>
      <c r="D152">
        <v>4.2981030000000002</v>
      </c>
      <c r="E152">
        <v>0.4922359</v>
      </c>
      <c r="F152" t="s">
        <v>48</v>
      </c>
      <c r="G152">
        <v>-170.08879999999999</v>
      </c>
      <c r="H152">
        <v>7.0839109999999996</v>
      </c>
      <c r="I152">
        <v>374.17020000000002</v>
      </c>
      <c r="J152">
        <v>-460.0487</v>
      </c>
      <c r="K152">
        <v>1.120485</v>
      </c>
      <c r="L152">
        <v>367.70069999999998</v>
      </c>
      <c r="M152">
        <v>0.99908909999999995</v>
      </c>
      <c r="N152">
        <v>-7.5685300000000004E-3</v>
      </c>
      <c r="O152">
        <v>4.2001530000000002E-2</v>
      </c>
      <c r="P152">
        <v>0.99830090000000005</v>
      </c>
      <c r="Q152">
        <v>-5.7526699999999903E-2</v>
      </c>
      <c r="R152">
        <v>9.3010699999999998E-3</v>
      </c>
      <c r="S152">
        <v>3.0079959999999999</v>
      </c>
      <c r="T152">
        <v>6.183553E-2</v>
      </c>
      <c r="U152">
        <v>6.7138669999999998E-2</v>
      </c>
      <c r="V152">
        <v>3.2629150000000003E-2</v>
      </c>
      <c r="W152">
        <v>-4.9979179999999998E-2</v>
      </c>
      <c r="X152">
        <v>0.99821709999999997</v>
      </c>
      <c r="Y152">
        <v>1.9678230000000001E-2</v>
      </c>
      <c r="Z152">
        <v>1.3085869999999999E-3</v>
      </c>
      <c r="AA152">
        <v>0.99980550000000001</v>
      </c>
      <c r="AB152">
        <v>12</v>
      </c>
      <c r="AC152">
        <v>289.9599</v>
      </c>
      <c r="AD152">
        <v>5.9634260000000001</v>
      </c>
      <c r="AE152">
        <v>6.4695000000000302</v>
      </c>
      <c r="AF152">
        <v>5.7128997252390299</v>
      </c>
      <c r="AG152">
        <v>5.9634260000000001</v>
      </c>
      <c r="AH152">
        <v>289.85320594053201</v>
      </c>
      <c r="AI152">
        <v>88.821594454024904</v>
      </c>
      <c r="AJ152">
        <v>88.870867525576998</v>
      </c>
      <c r="AK152">
        <v>289.97082726876602</v>
      </c>
      <c r="AL152">
        <v>92.864789650525097</v>
      </c>
      <c r="AM152">
        <v>88.127814908680094</v>
      </c>
      <c r="AN152">
        <v>0.99999997929780204</v>
      </c>
    </row>
    <row r="153" spans="1:40" x14ac:dyDescent="0.25">
      <c r="A153" t="str">
        <f>"20190303154417339"</f>
        <v>20190303154417339</v>
      </c>
      <c r="B153" t="str">
        <f>"1551599057330399"</f>
        <v>1551599057330399</v>
      </c>
      <c r="C153" t="s">
        <v>40</v>
      </c>
      <c r="D153">
        <v>4.2451860000000003</v>
      </c>
      <c r="E153">
        <v>0.49075370000000001</v>
      </c>
      <c r="F153" t="s">
        <v>48</v>
      </c>
      <c r="G153">
        <v>-166.1388</v>
      </c>
      <c r="H153">
        <v>6.6740899999999996</v>
      </c>
      <c r="I153">
        <v>376.77910000000003</v>
      </c>
      <c r="J153">
        <v>-459.93049999999999</v>
      </c>
      <c r="K153">
        <v>1.120447</v>
      </c>
      <c r="L153">
        <v>367.7054</v>
      </c>
      <c r="M153">
        <v>0.99909870000000001</v>
      </c>
      <c r="N153">
        <v>-7.2766009999999997E-3</v>
      </c>
      <c r="O153">
        <v>4.182052E-2</v>
      </c>
      <c r="P153">
        <v>0.99831239999999999</v>
      </c>
      <c r="Q153">
        <v>-5.7378659999999998E-2</v>
      </c>
      <c r="R153">
        <v>8.9517420000000004E-3</v>
      </c>
      <c r="S153">
        <v>3.0074770000000002</v>
      </c>
      <c r="T153">
        <v>5.6828980000000001E-2</v>
      </c>
      <c r="U153">
        <v>9.2895510000000001E-2</v>
      </c>
      <c r="V153">
        <v>3.2797739999999999E-2</v>
      </c>
      <c r="W153">
        <v>-5.0122710000000001E-2</v>
      </c>
      <c r="X153">
        <v>0.99820439999999999</v>
      </c>
      <c r="Y153">
        <v>1.093974E-2</v>
      </c>
      <c r="Z153">
        <v>1.157508E-3</v>
      </c>
      <c r="AA153">
        <v>0.99993949999999998</v>
      </c>
      <c r="AB153">
        <v>12</v>
      </c>
      <c r="AC153">
        <v>293.79169999999999</v>
      </c>
      <c r="AD153">
        <v>5.5536429999999903</v>
      </c>
      <c r="AE153">
        <v>9.0737000000000201</v>
      </c>
      <c r="AF153">
        <v>3.2199353777977402</v>
      </c>
      <c r="AG153">
        <v>5.5536429999999903</v>
      </c>
      <c r="AH153">
        <v>293.80924790120599</v>
      </c>
      <c r="AI153">
        <v>88.917177325149396</v>
      </c>
      <c r="AJ153">
        <v>89.372105121747595</v>
      </c>
      <c r="AK153">
        <v>293.879371658987</v>
      </c>
      <c r="AL153">
        <v>92.873023571483998</v>
      </c>
      <c r="AM153">
        <v>88.118124616907593</v>
      </c>
      <c r="AN153">
        <v>1.0000000009931</v>
      </c>
    </row>
    <row r="154" spans="1:40" x14ac:dyDescent="0.25">
      <c r="A154" t="str">
        <f>"20190303154417361"</f>
        <v>20190303154417361</v>
      </c>
      <c r="B154" t="str">
        <f>"1551599057349919"</f>
        <v>1551599057349919</v>
      </c>
      <c r="C154" t="s">
        <v>40</v>
      </c>
      <c r="D154">
        <v>4.2419379999999904</v>
      </c>
      <c r="E154">
        <v>0.48986619999999997</v>
      </c>
      <c r="F154" t="s">
        <v>48</v>
      </c>
      <c r="G154">
        <v>-170.08879999999999</v>
      </c>
      <c r="H154">
        <v>7.6676500000000001</v>
      </c>
      <c r="I154">
        <v>377.70319999999998</v>
      </c>
      <c r="J154">
        <v>-459.80950000000001</v>
      </c>
      <c r="K154">
        <v>1.1204069999999999</v>
      </c>
      <c r="L154">
        <v>367.71030000000002</v>
      </c>
      <c r="M154">
        <v>0.99910860000000001</v>
      </c>
      <c r="N154">
        <v>-6.9910500000000004E-3</v>
      </c>
      <c r="O154">
        <v>4.1634249999999998E-2</v>
      </c>
      <c r="P154">
        <v>0.99829769999999896</v>
      </c>
      <c r="Q154">
        <v>-5.7707550000000003E-2</v>
      </c>
      <c r="R154">
        <v>8.4884829999999998E-3</v>
      </c>
      <c r="S154">
        <v>3.008057</v>
      </c>
      <c r="T154">
        <v>6.7949529999999994E-2</v>
      </c>
      <c r="U154">
        <v>0.1037598</v>
      </c>
      <c r="V154">
        <v>3.30733E-2</v>
      </c>
      <c r="W154">
        <v>-5.0737009999999999E-2</v>
      </c>
      <c r="X154">
        <v>0.9981643</v>
      </c>
      <c r="Y154">
        <v>7.1475239999999997E-3</v>
      </c>
      <c r="Z154">
        <v>1.2864619999999999E-3</v>
      </c>
      <c r="AA154">
        <v>0.99997369999999997</v>
      </c>
      <c r="AB154">
        <v>12</v>
      </c>
      <c r="AC154">
        <v>289.72070000000002</v>
      </c>
      <c r="AD154">
        <v>6.5472429999999999</v>
      </c>
      <c r="AE154">
        <v>9.9928999999999597</v>
      </c>
      <c r="AF154">
        <v>2.0773026259037799</v>
      </c>
      <c r="AG154">
        <v>6.5472429999999999</v>
      </c>
      <c r="AH154">
        <v>289.73774286872799</v>
      </c>
      <c r="AI154">
        <v>88.705533078872506</v>
      </c>
      <c r="AJ154">
        <v>89.589219434182198</v>
      </c>
      <c r="AK154">
        <v>289.81915261032299</v>
      </c>
      <c r="AL154">
        <v>92.908265130358302</v>
      </c>
      <c r="AM154">
        <v>88.102248810675505</v>
      </c>
      <c r="AN154">
        <v>1.0000000285755499</v>
      </c>
    </row>
    <row r="155" spans="1:40" x14ac:dyDescent="0.25">
      <c r="A155" t="str">
        <f>"20190303154417384"</f>
        <v>20190303154417384</v>
      </c>
      <c r="B155" t="str">
        <f>"1551599057380176"</f>
        <v>1551599057380176</v>
      </c>
      <c r="C155" t="s">
        <v>40</v>
      </c>
      <c r="D155">
        <v>4.2787949999999997</v>
      </c>
      <c r="E155">
        <v>0.48922710000000003</v>
      </c>
      <c r="F155" t="s">
        <v>48</v>
      </c>
      <c r="G155">
        <v>-170.08879999999999</v>
      </c>
      <c r="H155">
        <v>7.9998339999999999</v>
      </c>
      <c r="I155">
        <v>378.27910000000003</v>
      </c>
      <c r="J155">
        <v>-459.6859</v>
      </c>
      <c r="K155">
        <v>1.120374</v>
      </c>
      <c r="L155">
        <v>367.71530000000001</v>
      </c>
      <c r="M155">
        <v>0.99911839999999996</v>
      </c>
      <c r="N155">
        <v>-6.7207079999999997E-3</v>
      </c>
      <c r="O155">
        <v>4.1442109999999997E-2</v>
      </c>
      <c r="P155">
        <v>0.99825819999999998</v>
      </c>
      <c r="Q155">
        <v>-5.839374E-2</v>
      </c>
      <c r="R155">
        <v>8.4118270000000002E-3</v>
      </c>
      <c r="S155">
        <v>3.0083310000000001</v>
      </c>
      <c r="T155">
        <v>7.1433780000000002E-2</v>
      </c>
      <c r="U155">
        <v>0.1097412</v>
      </c>
      <c r="V155">
        <v>3.2955909999999998E-2</v>
      </c>
      <c r="W155">
        <v>-5.1693469999999998E-2</v>
      </c>
      <c r="X155">
        <v>0.99811910000000004</v>
      </c>
      <c r="Y155">
        <v>4.9717659999999999E-3</v>
      </c>
      <c r="Z155">
        <v>1.303972E-3</v>
      </c>
      <c r="AA155">
        <v>0.99998679999999995</v>
      </c>
      <c r="AB155">
        <v>12</v>
      </c>
      <c r="AC155">
        <v>289.59710000000001</v>
      </c>
      <c r="AD155">
        <v>6.8794599999999999</v>
      </c>
      <c r="AE155">
        <v>10.563800000000001</v>
      </c>
      <c r="AF155">
        <v>1.44624540959737</v>
      </c>
      <c r="AG155">
        <v>6.8794599999999999</v>
      </c>
      <c r="AH155">
        <v>289.62287304086499</v>
      </c>
      <c r="AI155">
        <v>88.639316701769303</v>
      </c>
      <c r="AJ155">
        <v>89.713893213956695</v>
      </c>
      <c r="AK155">
        <v>289.70817590140803</v>
      </c>
      <c r="AL155">
        <v>92.963138284133294</v>
      </c>
      <c r="AM155">
        <v>88.108894195242002</v>
      </c>
      <c r="AN155">
        <v>1.0000000223146801</v>
      </c>
    </row>
    <row r="156" spans="1:40" x14ac:dyDescent="0.25">
      <c r="A156" t="str">
        <f>"20190303154417405"</f>
        <v>20190303154417405</v>
      </c>
      <c r="B156" t="str">
        <f>"1551599057400675"</f>
        <v>1551599057400675</v>
      </c>
      <c r="C156" t="s">
        <v>40</v>
      </c>
      <c r="D156">
        <v>4.2552209999999997</v>
      </c>
      <c r="E156">
        <v>0.48902099999999998</v>
      </c>
      <c r="F156" t="s">
        <v>48</v>
      </c>
      <c r="G156">
        <v>-170.08879999999999</v>
      </c>
      <c r="H156">
        <v>8.1660409999999999</v>
      </c>
      <c r="I156">
        <v>378.7869</v>
      </c>
      <c r="J156">
        <v>-459.5684</v>
      </c>
      <c r="K156">
        <v>1.1203459999999901</v>
      </c>
      <c r="L156">
        <v>367.7199</v>
      </c>
      <c r="M156">
        <v>0.9991276</v>
      </c>
      <c r="N156">
        <v>-6.4861650000000003E-3</v>
      </c>
      <c r="O156">
        <v>4.1257250000000002E-2</v>
      </c>
      <c r="P156">
        <v>0.9982221</v>
      </c>
      <c r="Q156">
        <v>-5.889929E-2</v>
      </c>
      <c r="R156">
        <v>9.1723459999999996E-3</v>
      </c>
      <c r="S156">
        <v>3.008575</v>
      </c>
      <c r="T156">
        <v>7.3197129999999999E-2</v>
      </c>
      <c r="U156">
        <v>0.11502080000000001</v>
      </c>
      <c r="V156">
        <v>3.200919E-2</v>
      </c>
      <c r="W156">
        <v>-5.2433130000000001E-2</v>
      </c>
      <c r="X156">
        <v>0.99811130000000003</v>
      </c>
      <c r="Y156">
        <v>3.0372620000000002E-3</v>
      </c>
      <c r="Z156">
        <v>1.297482E-3</v>
      </c>
      <c r="AA156">
        <v>0.99999450000000001</v>
      </c>
      <c r="AB156">
        <v>12</v>
      </c>
      <c r="AC156">
        <v>289.4796</v>
      </c>
      <c r="AD156">
        <v>7.0456949999999896</v>
      </c>
      <c r="AE156">
        <v>11.067</v>
      </c>
      <c r="AF156">
        <v>0.88528195442936797</v>
      </c>
      <c r="AG156">
        <v>7.0456949999999896</v>
      </c>
      <c r="AH156">
        <v>289.51845877169501</v>
      </c>
      <c r="AI156">
        <v>88.605936774781497</v>
      </c>
      <c r="AJ156">
        <v>89.824803013259</v>
      </c>
      <c r="AK156">
        <v>289.60553087209797</v>
      </c>
      <c r="AL156">
        <v>93.005575318337605</v>
      </c>
      <c r="AM156">
        <v>88.163167629154003</v>
      </c>
      <c r="AN156">
        <v>0.99999999427687103</v>
      </c>
    </row>
    <row r="157" spans="1:40" x14ac:dyDescent="0.25">
      <c r="A157" t="str">
        <f>"20190303154417427"</f>
        <v>20190303154417427</v>
      </c>
      <c r="B157" t="str">
        <f>"1551599057420192"</f>
        <v>1551599057420192</v>
      </c>
      <c r="C157" t="s">
        <v>40</v>
      </c>
      <c r="D157">
        <v>4.2705789999999997</v>
      </c>
      <c r="E157">
        <v>0.48885450000000003</v>
      </c>
      <c r="F157" t="s">
        <v>48</v>
      </c>
      <c r="G157">
        <v>-170.08879999999999</v>
      </c>
      <c r="H157">
        <v>8.2467059999999996</v>
      </c>
      <c r="I157">
        <v>379.15089999999998</v>
      </c>
      <c r="J157">
        <v>-459.4409</v>
      </c>
      <c r="K157">
        <v>1.1203179999999999</v>
      </c>
      <c r="L157">
        <v>367.72489999999999</v>
      </c>
      <c r="M157">
        <v>0.99913750000000001</v>
      </c>
      <c r="N157">
        <v>-6.2578640000000001E-3</v>
      </c>
      <c r="O157">
        <v>4.1054279999999999E-2</v>
      </c>
      <c r="P157">
        <v>0.9982394</v>
      </c>
      <c r="Q157">
        <v>-5.8550749999999999E-2</v>
      </c>
      <c r="R157">
        <v>9.4946140000000002E-3</v>
      </c>
      <c r="S157">
        <v>3.0086360000000001</v>
      </c>
      <c r="T157">
        <v>7.4066999999999994E-2</v>
      </c>
      <c r="U157">
        <v>0.1188049</v>
      </c>
      <c r="V157">
        <v>3.1484810000000002E-2</v>
      </c>
      <c r="W157">
        <v>-5.231239E-2</v>
      </c>
      <c r="X157">
        <v>0.99813430000000003</v>
      </c>
      <c r="Y157">
        <v>1.5792779999999999E-3</v>
      </c>
      <c r="Z157">
        <v>1.2810720000000001E-3</v>
      </c>
      <c r="AA157">
        <v>0.9999979</v>
      </c>
      <c r="AB157">
        <v>12</v>
      </c>
      <c r="AC157">
        <v>289.35210000000001</v>
      </c>
      <c r="AD157">
        <v>7.1263880000000004</v>
      </c>
      <c r="AE157">
        <v>11.425999999999901</v>
      </c>
      <c r="AF157">
        <v>0.46272579824467402</v>
      </c>
      <c r="AG157">
        <v>7.1263880000000004</v>
      </c>
      <c r="AH157">
        <v>289.40196702989601</v>
      </c>
      <c r="AI157">
        <v>88.589405113152793</v>
      </c>
      <c r="AJ157">
        <v>89.908389659577594</v>
      </c>
      <c r="AK157">
        <v>289.49006553224598</v>
      </c>
      <c r="AL157">
        <v>92.998647961231697</v>
      </c>
      <c r="AM157">
        <v>88.193280425111794</v>
      </c>
      <c r="AN157">
        <v>0.99999998012236901</v>
      </c>
    </row>
    <row r="158" spans="1:40" x14ac:dyDescent="0.25">
      <c r="A158" t="str">
        <f>"20190303154417448"</f>
        <v>20190303154417448</v>
      </c>
      <c r="B158" t="str">
        <f>"1551599057440688"</f>
        <v>1551599057440688</v>
      </c>
      <c r="C158" t="s">
        <v>40</v>
      </c>
      <c r="D158">
        <v>4.288659</v>
      </c>
      <c r="E158">
        <v>0.4886566</v>
      </c>
      <c r="F158" t="s">
        <v>48</v>
      </c>
      <c r="G158">
        <v>-170.08879999999999</v>
      </c>
      <c r="H158">
        <v>8.4727449999999997</v>
      </c>
      <c r="I158">
        <v>379.37689999999998</v>
      </c>
      <c r="J158">
        <v>-459.32159999999999</v>
      </c>
      <c r="K158">
        <v>1.120301</v>
      </c>
      <c r="L158">
        <v>367.72969999999998</v>
      </c>
      <c r="M158">
        <v>0.99914650000000005</v>
      </c>
      <c r="N158">
        <v>-6.067533E-3</v>
      </c>
      <c r="O158">
        <v>4.0860750000000001E-2</v>
      </c>
      <c r="P158">
        <v>0.99826749999999997</v>
      </c>
      <c r="Q158">
        <v>-5.7990970000000003E-2</v>
      </c>
      <c r="R158">
        <v>9.9781360000000003E-3</v>
      </c>
      <c r="S158">
        <v>3.0086360000000001</v>
      </c>
      <c r="T158">
        <v>7.6450229999999994E-2</v>
      </c>
      <c r="U158">
        <v>0.12115480000000001</v>
      </c>
      <c r="V158">
        <v>3.0808990000000001E-2</v>
      </c>
      <c r="W158">
        <v>-5.1942389999999998E-2</v>
      </c>
      <c r="X158">
        <v>0.99817469999999997</v>
      </c>
      <c r="Y158">
        <v>6.0527689999999995E-4</v>
      </c>
      <c r="Z158">
        <v>1.2909919999999999E-3</v>
      </c>
      <c r="AA158">
        <v>0.99999899999999997</v>
      </c>
      <c r="AB158">
        <v>13</v>
      </c>
      <c r="AC158">
        <v>289.2328</v>
      </c>
      <c r="AD158">
        <v>7.3524440000000002</v>
      </c>
      <c r="AE158">
        <v>11.6471999999999</v>
      </c>
      <c r="AF158">
        <v>0.18089663023883901</v>
      </c>
      <c r="AG158">
        <v>7.3524440000000002</v>
      </c>
      <c r="AH158">
        <v>289.28052961263199</v>
      </c>
      <c r="AI158">
        <v>88.544066366726994</v>
      </c>
      <c r="AJ158">
        <v>89.964171069156606</v>
      </c>
      <c r="AK158">
        <v>289.37400707273099</v>
      </c>
      <c r="AL158">
        <v>92.977419695136604</v>
      </c>
      <c r="AM158">
        <v>88.232108206968505</v>
      </c>
      <c r="AN158">
        <v>0.99999996873190999</v>
      </c>
    </row>
    <row r="159" spans="1:40" x14ac:dyDescent="0.25">
      <c r="A159" t="str">
        <f>"20190303154417469"</f>
        <v>20190303154417469</v>
      </c>
      <c r="B159" t="str">
        <f>"1551599057460208"</f>
        <v>1551599057460208</v>
      </c>
      <c r="C159" t="s">
        <v>40</v>
      </c>
      <c r="D159">
        <v>4.2881650000000002</v>
      </c>
      <c r="E159">
        <v>0.48847620000000003</v>
      </c>
      <c r="F159" t="s">
        <v>48</v>
      </c>
      <c r="G159">
        <v>-168.84350000000001</v>
      </c>
      <c r="H159">
        <v>8.7473880000000008</v>
      </c>
      <c r="I159">
        <v>379.74270000000001</v>
      </c>
      <c r="J159">
        <v>-459.19729999999998</v>
      </c>
      <c r="K159">
        <v>1.1202840000000001</v>
      </c>
      <c r="L159">
        <v>367.73450000000003</v>
      </c>
      <c r="M159">
        <v>0.99915589999999999</v>
      </c>
      <c r="N159">
        <v>-5.8922310000000004E-3</v>
      </c>
      <c r="O159">
        <v>4.065386E-2</v>
      </c>
      <c r="P159">
        <v>0.99831899999999996</v>
      </c>
      <c r="Q159">
        <v>-5.7071320000000002E-2</v>
      </c>
      <c r="R159">
        <v>1.009383E-2</v>
      </c>
      <c r="S159">
        <v>3.0085139999999999</v>
      </c>
      <c r="T159">
        <v>7.8995469999999998E-2</v>
      </c>
      <c r="U159">
        <v>0.12442019999999999</v>
      </c>
      <c r="V159">
        <v>3.0488640000000001E-2</v>
      </c>
      <c r="W159">
        <v>-5.1197659999999999E-2</v>
      </c>
      <c r="X159">
        <v>0.99822310000000003</v>
      </c>
      <c r="Y159">
        <v>-6.8746750000000004E-4</v>
      </c>
      <c r="Z159">
        <v>1.298874E-3</v>
      </c>
      <c r="AA159">
        <v>0.99999890000000002</v>
      </c>
      <c r="AB159">
        <v>13</v>
      </c>
      <c r="AC159">
        <v>290.35379999999998</v>
      </c>
      <c r="AD159">
        <v>7.6271040000000001</v>
      </c>
      <c r="AE159">
        <v>12.008199999999899</v>
      </c>
      <c r="AF159">
        <v>-0.19393092618862701</v>
      </c>
      <c r="AG159">
        <v>7.6271040000000001</v>
      </c>
      <c r="AH159">
        <v>290.40189928343199</v>
      </c>
      <c r="AI159">
        <v>88.495532109300697</v>
      </c>
      <c r="AJ159">
        <v>90.038262221987296</v>
      </c>
      <c r="AK159">
        <v>290.50210572740298</v>
      </c>
      <c r="AL159">
        <v>92.934692693275807</v>
      </c>
      <c r="AM159">
        <v>88.250563928790399</v>
      </c>
      <c r="AN159">
        <v>1.0000000574660599</v>
      </c>
    </row>
    <row r="160" spans="1:40" x14ac:dyDescent="0.25">
      <c r="A160" t="str">
        <f>"20190303154417493"</f>
        <v>20190303154417493</v>
      </c>
      <c r="B160" t="str">
        <f>"1551599057490464"</f>
        <v>1551599057490464</v>
      </c>
      <c r="C160" t="s">
        <v>40</v>
      </c>
      <c r="D160">
        <v>4.3324870000000004</v>
      </c>
      <c r="E160">
        <v>0.48836580000000002</v>
      </c>
      <c r="F160" t="s">
        <v>48</v>
      </c>
      <c r="G160">
        <v>-168.84350000000001</v>
      </c>
      <c r="H160">
        <v>9.0803279999999997</v>
      </c>
      <c r="I160">
        <v>379.93979999999999</v>
      </c>
      <c r="J160">
        <v>-459.06700000000001</v>
      </c>
      <c r="K160">
        <v>1.120263</v>
      </c>
      <c r="L160">
        <v>367.7396</v>
      </c>
      <c r="M160">
        <v>0.999166</v>
      </c>
      <c r="N160">
        <v>-5.7305100000000003E-3</v>
      </c>
      <c r="O160">
        <v>4.0429260000000002E-2</v>
      </c>
      <c r="P160">
        <v>0.99834900000000004</v>
      </c>
      <c r="Q160">
        <v>-5.6539649999999997E-2</v>
      </c>
      <c r="R160">
        <v>1.0134560000000001E-2</v>
      </c>
      <c r="S160">
        <v>3.0084840000000002</v>
      </c>
      <c r="T160">
        <v>8.2478399999999993E-2</v>
      </c>
      <c r="U160">
        <v>0.12646479999999999</v>
      </c>
      <c r="V160">
        <v>3.022416E-2</v>
      </c>
      <c r="W160">
        <v>-5.0827560000000001E-2</v>
      </c>
      <c r="X160">
        <v>0.99824999999999997</v>
      </c>
      <c r="Y160">
        <v>-1.592074E-3</v>
      </c>
      <c r="Z160">
        <v>1.3215989999999999E-3</v>
      </c>
      <c r="AA160">
        <v>0.9999979</v>
      </c>
      <c r="AB160">
        <v>13</v>
      </c>
      <c r="AC160">
        <v>290.22349999999898</v>
      </c>
      <c r="AD160">
        <v>7.9600649999999904</v>
      </c>
      <c r="AE160">
        <v>12.200199999999899</v>
      </c>
      <c r="AF160">
        <v>-0.45616862356834098</v>
      </c>
      <c r="AG160">
        <v>7.9600649999999904</v>
      </c>
      <c r="AH160">
        <v>290.261492577637</v>
      </c>
      <c r="AI160">
        <v>88.429129263198803</v>
      </c>
      <c r="AJ160">
        <v>90.090044721836307</v>
      </c>
      <c r="AK160">
        <v>290.37097788521299</v>
      </c>
      <c r="AL160">
        <v>92.913460044351396</v>
      </c>
      <c r="AM160">
        <v>88.265777169973205</v>
      </c>
      <c r="AN160">
        <v>1.0000000016016199</v>
      </c>
    </row>
    <row r="161" spans="1:40" x14ac:dyDescent="0.25">
      <c r="A161" t="str">
        <f>"20190303154417516"</f>
        <v>20190303154417516</v>
      </c>
      <c r="B161" t="str">
        <f>"1551599057509984"</f>
        <v>1551599057509984</v>
      </c>
      <c r="C161" t="s">
        <v>40</v>
      </c>
      <c r="D161">
        <v>4.3200629999999904</v>
      </c>
      <c r="E161">
        <v>0.4882783</v>
      </c>
      <c r="F161" t="s">
        <v>48</v>
      </c>
      <c r="G161">
        <v>-168.84350000000001</v>
      </c>
      <c r="H161">
        <v>9.1376749999999998</v>
      </c>
      <c r="I161">
        <v>380.06950000000001</v>
      </c>
      <c r="J161">
        <v>-458.92910000000001</v>
      </c>
      <c r="K161">
        <v>1.1202430000000001</v>
      </c>
      <c r="L161">
        <v>367.74489999999997</v>
      </c>
      <c r="M161">
        <v>0.99917690000000003</v>
      </c>
      <c r="N161">
        <v>-5.5804130000000002E-3</v>
      </c>
      <c r="O161">
        <v>4.0181960000000003E-2</v>
      </c>
      <c r="P161">
        <v>0.99836780000000003</v>
      </c>
      <c r="Q161">
        <v>-5.6125759999999997E-2</v>
      </c>
      <c r="R161">
        <v>1.0584390000000001E-2</v>
      </c>
      <c r="S161">
        <v>3.008362</v>
      </c>
      <c r="T161">
        <v>8.3106760000000002E-2</v>
      </c>
      <c r="U161">
        <v>0.12780759999999999</v>
      </c>
      <c r="V161">
        <v>2.9527540000000001E-2</v>
      </c>
      <c r="W161">
        <v>-5.0563589999999999E-2</v>
      </c>
      <c r="X161">
        <v>0.99828430000000001</v>
      </c>
      <c r="Y161">
        <v>-2.2865910000000001E-3</v>
      </c>
      <c r="Z161">
        <v>1.307859E-3</v>
      </c>
      <c r="AA161">
        <v>0.99999649999999995</v>
      </c>
      <c r="AB161">
        <v>13</v>
      </c>
      <c r="AC161">
        <v>290.0856</v>
      </c>
      <c r="AD161">
        <v>8.0174319999999994</v>
      </c>
      <c r="AE161">
        <v>12.3246</v>
      </c>
      <c r="AF161">
        <v>-0.65775629327420204</v>
      </c>
      <c r="AG161">
        <v>8.0174319999999994</v>
      </c>
      <c r="AH161">
        <v>290.12532965108699</v>
      </c>
      <c r="AI161">
        <v>88.417073897360694</v>
      </c>
      <c r="AJ161">
        <v>90.129897637786897</v>
      </c>
      <c r="AK161">
        <v>290.23683219806497</v>
      </c>
      <c r="AL161">
        <v>92.898316070331106</v>
      </c>
      <c r="AM161">
        <v>88.305782923760106</v>
      </c>
      <c r="AN161">
        <v>1.0000000479393101</v>
      </c>
    </row>
    <row r="162" spans="1:40" x14ac:dyDescent="0.25">
      <c r="A162" t="str">
        <f>"20190303154417541"</f>
        <v>20190303154417541</v>
      </c>
      <c r="B162" t="str">
        <f>"1551599057530479"</f>
        <v>1551599057530479</v>
      </c>
      <c r="C162" t="s">
        <v>40</v>
      </c>
      <c r="D162">
        <v>4.3412540000000002</v>
      </c>
      <c r="E162">
        <v>0.48819950000000001</v>
      </c>
      <c r="F162" t="s">
        <v>48</v>
      </c>
      <c r="G162">
        <v>-168.84350000000001</v>
      </c>
      <c r="H162">
        <v>9.2099250000000001</v>
      </c>
      <c r="I162">
        <v>380.28710000000001</v>
      </c>
      <c r="J162">
        <v>-458.78859999999997</v>
      </c>
      <c r="K162">
        <v>1.1202240000000001</v>
      </c>
      <c r="L162">
        <v>367.75020000000001</v>
      </c>
      <c r="M162">
        <v>0.99918810000000002</v>
      </c>
      <c r="N162">
        <v>-5.4463269999999999E-3</v>
      </c>
      <c r="O162">
        <v>3.9920169999999998E-2</v>
      </c>
      <c r="P162">
        <v>0.99840329999999999</v>
      </c>
      <c r="Q162">
        <v>-5.5488599999999999E-2</v>
      </c>
      <c r="R162">
        <v>1.057406E-2</v>
      </c>
      <c r="S162">
        <v>3.00827</v>
      </c>
      <c r="T162">
        <v>8.3893179999999998E-2</v>
      </c>
      <c r="U162">
        <v>0.13006589999999901</v>
      </c>
      <c r="V162">
        <v>2.9277049999999999E-2</v>
      </c>
      <c r="W162">
        <v>-5.0060540000000001E-2</v>
      </c>
      <c r="X162">
        <v>0.99831700000000001</v>
      </c>
      <c r="Y162">
        <v>-3.298919E-3</v>
      </c>
      <c r="Z162">
        <v>1.2924550000000001E-3</v>
      </c>
      <c r="AA162">
        <v>0.99999369999999999</v>
      </c>
      <c r="AB162">
        <v>13</v>
      </c>
      <c r="AC162">
        <v>289.94510000000002</v>
      </c>
      <c r="AD162">
        <v>8.0897009999999998</v>
      </c>
      <c r="AE162">
        <v>12.536899999999999</v>
      </c>
      <c r="AF162">
        <v>-0.95133846940475297</v>
      </c>
      <c r="AG162">
        <v>8.0897009999999998</v>
      </c>
      <c r="AH162">
        <v>289.98913030830499</v>
      </c>
      <c r="AI162">
        <v>88.402067512089005</v>
      </c>
      <c r="AJ162">
        <v>90.187963885354094</v>
      </c>
      <c r="AK162">
        <v>290.10350567361297</v>
      </c>
      <c r="AL162">
        <v>92.869456966945293</v>
      </c>
      <c r="AM162">
        <v>88.320202141322497</v>
      </c>
      <c r="AN162">
        <v>1.0000000179053901</v>
      </c>
    </row>
    <row r="163" spans="1:40" x14ac:dyDescent="0.25">
      <c r="A163" t="str">
        <f>"20190303154417558"</f>
        <v>20190303154417558</v>
      </c>
      <c r="B163" t="str">
        <f>"1551599057550000"</f>
        <v>1551599057550000</v>
      </c>
      <c r="C163" t="s">
        <v>40</v>
      </c>
      <c r="D163">
        <v>4.450183</v>
      </c>
      <c r="E163">
        <v>0.4879057</v>
      </c>
      <c r="F163" t="s">
        <v>49</v>
      </c>
      <c r="G163">
        <v>-180.59469999999999</v>
      </c>
      <c r="H163">
        <v>8.9925730000000001</v>
      </c>
      <c r="I163">
        <v>379.84070000000003</v>
      </c>
      <c r="J163">
        <v>-458.67680000000001</v>
      </c>
      <c r="K163">
        <v>1.1201989999999999</v>
      </c>
      <c r="L163">
        <v>367.75439999999998</v>
      </c>
      <c r="M163">
        <v>0.99919729999999995</v>
      </c>
      <c r="N163">
        <v>-5.3529669999999897E-3</v>
      </c>
      <c r="O163">
        <v>3.9704339999999998E-2</v>
      </c>
      <c r="P163">
        <v>0.99840499999999999</v>
      </c>
      <c r="Q163">
        <v>-5.541277E-2</v>
      </c>
      <c r="R163">
        <v>1.081443E-2</v>
      </c>
      <c r="S163">
        <v>3.0081790000000002</v>
      </c>
      <c r="T163">
        <v>8.5126999999999994E-2</v>
      </c>
      <c r="U163">
        <v>0.1307373</v>
      </c>
      <c r="V163">
        <v>2.8820800000000001E-2</v>
      </c>
      <c r="W163">
        <v>-5.00781E-2</v>
      </c>
      <c r="X163">
        <v>0.99832940000000003</v>
      </c>
      <c r="Y163">
        <v>-3.739151E-3</v>
      </c>
      <c r="Z163">
        <v>1.291974E-3</v>
      </c>
      <c r="AA163">
        <v>0.9999922</v>
      </c>
      <c r="AB163">
        <v>13</v>
      </c>
      <c r="AC163">
        <v>278.08210000000003</v>
      </c>
      <c r="AD163">
        <v>7.8723739999999998</v>
      </c>
      <c r="AE163">
        <v>12.0863</v>
      </c>
      <c r="AF163">
        <v>-1.03471905375241</v>
      </c>
      <c r="AG163">
        <v>7.8723739999999998</v>
      </c>
      <c r="AH163">
        <v>278.12023005244703</v>
      </c>
      <c r="AI163">
        <v>88.378649835184007</v>
      </c>
      <c r="AJ163">
        <v>90.213162347894496</v>
      </c>
      <c r="AK163">
        <v>278.233548085672</v>
      </c>
      <c r="AL163">
        <v>92.870464330381907</v>
      </c>
      <c r="AM163">
        <v>88.346385786073199</v>
      </c>
      <c r="AN163">
        <v>1.0000000227582999</v>
      </c>
    </row>
    <row r="164" spans="1:40" x14ac:dyDescent="0.25">
      <c r="A164" t="str">
        <f>"20190303154417583"</f>
        <v>20190303154417583</v>
      </c>
      <c r="B164" t="str">
        <f>"1551599057580256"</f>
        <v>1551599057580256</v>
      </c>
      <c r="C164" t="s">
        <v>40</v>
      </c>
      <c r="D164">
        <v>4.5402110000000002</v>
      </c>
      <c r="E164">
        <v>0.50976409999999905</v>
      </c>
      <c r="F164" t="s">
        <v>48</v>
      </c>
      <c r="G164">
        <v>-170.08879999999999</v>
      </c>
      <c r="H164">
        <v>8.4703490000000006</v>
      </c>
      <c r="I164">
        <v>380.55090000000001</v>
      </c>
      <c r="J164">
        <v>-458.5367</v>
      </c>
      <c r="K164">
        <v>1.12018</v>
      </c>
      <c r="L164">
        <v>367.75970000000001</v>
      </c>
      <c r="M164">
        <v>0.99920869999999995</v>
      </c>
      <c r="N164">
        <v>-5.2482589999999999E-3</v>
      </c>
      <c r="O164">
        <v>3.9427030000000002E-2</v>
      </c>
      <c r="P164">
        <v>0.99843729999999997</v>
      </c>
      <c r="Q164">
        <v>-5.4869759999999997E-2</v>
      </c>
      <c r="R164">
        <v>1.0614989999999999E-2</v>
      </c>
      <c r="S164">
        <v>3.0075989999999999</v>
      </c>
      <c r="T164">
        <v>7.6602459999999997E-2</v>
      </c>
      <c r="U164">
        <v>0.1333618</v>
      </c>
      <c r="V164">
        <v>2.8743459999999998E-2</v>
      </c>
      <c r="W164">
        <v>-4.9639809999999999E-2</v>
      </c>
      <c r="X164">
        <v>0.9983535</v>
      </c>
      <c r="Y164">
        <v>-4.8920830000000002E-3</v>
      </c>
      <c r="Z164">
        <v>1.1605770000000001E-3</v>
      </c>
      <c r="AA164">
        <v>0.99998739999999997</v>
      </c>
      <c r="AB164">
        <v>13</v>
      </c>
      <c r="AC164">
        <v>288.4479</v>
      </c>
      <c r="AD164">
        <v>7.3501690000000002</v>
      </c>
      <c r="AE164">
        <v>12.7912</v>
      </c>
      <c r="AF164">
        <v>-1.40754151774487</v>
      </c>
      <c r="AG164">
        <v>7.3501690000000002</v>
      </c>
      <c r="AH164">
        <v>288.54094962694802</v>
      </c>
      <c r="AI164">
        <v>88.540804695388005</v>
      </c>
      <c r="AJ164">
        <v>90.279494293197502</v>
      </c>
      <c r="AK164">
        <v>288.63798393328898</v>
      </c>
      <c r="AL164">
        <v>92.845320945015999</v>
      </c>
      <c r="AM164">
        <v>88.350860559389304</v>
      </c>
      <c r="AN164">
        <v>1.00000000409592</v>
      </c>
    </row>
    <row r="165" spans="1:40" x14ac:dyDescent="0.25">
      <c r="A165" t="str">
        <f>"20190303154417603"</f>
        <v>20190303154417603</v>
      </c>
      <c r="B165" t="str">
        <f>"1551599057600753"</f>
        <v>1551599057600753</v>
      </c>
      <c r="C165" t="s">
        <v>40</v>
      </c>
      <c r="D165">
        <v>4.4510399999999999</v>
      </c>
      <c r="E165">
        <v>0.51849400000000001</v>
      </c>
      <c r="F165" t="s">
        <v>48</v>
      </c>
      <c r="G165">
        <v>-158.19499999999999</v>
      </c>
      <c r="H165">
        <v>2.9369230000000002</v>
      </c>
      <c r="I165">
        <v>363.53379999999999</v>
      </c>
      <c r="J165">
        <v>-458.4074</v>
      </c>
      <c r="K165">
        <v>1.120177</v>
      </c>
      <c r="L165">
        <v>367.7645</v>
      </c>
      <c r="M165">
        <v>0.99921939999999998</v>
      </c>
      <c r="N165">
        <v>-5.1639490000000001E-3</v>
      </c>
      <c r="O165">
        <v>3.9166359999999997E-2</v>
      </c>
      <c r="P165">
        <v>0.99846199999999996</v>
      </c>
      <c r="Q165">
        <v>-5.4484810000000002E-2</v>
      </c>
      <c r="R165">
        <v>1.024947E-2</v>
      </c>
      <c r="S165">
        <v>3.0061040000000001</v>
      </c>
      <c r="T165">
        <v>1.8184539999999999E-2</v>
      </c>
      <c r="U165">
        <v>-4.2297359999999999E-2</v>
      </c>
      <c r="V165">
        <v>2.884927E-2</v>
      </c>
      <c r="W165">
        <v>-4.9339210000000001E-2</v>
      </c>
      <c r="X165">
        <v>0.99836530000000001</v>
      </c>
      <c r="Y165">
        <v>5.3218719999999997E-2</v>
      </c>
      <c r="Z165">
        <v>4.626872E-4</v>
      </c>
      <c r="AA165">
        <v>0.99858279999999999</v>
      </c>
      <c r="AB165">
        <v>13</v>
      </c>
      <c r="AC165">
        <v>300.2124</v>
      </c>
      <c r="AD165">
        <v>1.816746</v>
      </c>
      <c r="AE165">
        <v>-4.2307000000000103</v>
      </c>
      <c r="AF165">
        <v>15.985251677864699</v>
      </c>
      <c r="AG165">
        <v>1.816746</v>
      </c>
      <c r="AH165">
        <v>299.80536168572598</v>
      </c>
      <c r="AI165">
        <v>89.653298517363595</v>
      </c>
      <c r="AJ165">
        <v>86.947949812345598</v>
      </c>
      <c r="AK165">
        <v>300.23671283296198</v>
      </c>
      <c r="AL165">
        <v>92.828076841937104</v>
      </c>
      <c r="AM165">
        <v>88.344812695087001</v>
      </c>
      <c r="AN165">
        <v>0.99999995513352202</v>
      </c>
    </row>
    <row r="166" spans="1:40" x14ac:dyDescent="0.25">
      <c r="A166" t="str">
        <f>"20190303154417627"</f>
        <v>20190303154417627</v>
      </c>
      <c r="B166" t="str">
        <f>"1551599057620272"</f>
        <v>1551599057620272</v>
      </c>
      <c r="C166" t="s">
        <v>40</v>
      </c>
      <c r="D166">
        <v>4.4551119999999997</v>
      </c>
      <c r="E166">
        <v>0.52148059999999996</v>
      </c>
      <c r="F166" t="s">
        <v>48</v>
      </c>
      <c r="G166">
        <v>-158.19499999999999</v>
      </c>
      <c r="H166">
        <v>2.9090699999999998</v>
      </c>
      <c r="I166">
        <v>356.47219999999999</v>
      </c>
      <c r="J166">
        <v>-458.26569999999998</v>
      </c>
      <c r="K166">
        <v>1.120169</v>
      </c>
      <c r="L166">
        <v>367.7697</v>
      </c>
      <c r="M166">
        <v>0.99923110000000004</v>
      </c>
      <c r="N166">
        <v>-5.0827509999999999E-3</v>
      </c>
      <c r="O166">
        <v>3.8878040000000003E-2</v>
      </c>
      <c r="P166">
        <v>0.99849560000000004</v>
      </c>
      <c r="Q166">
        <v>-5.3983700000000003E-2</v>
      </c>
      <c r="R166">
        <v>9.6159780000000007E-3</v>
      </c>
      <c r="S166">
        <v>3.0067750000000002</v>
      </c>
      <c r="T166">
        <v>1.7917510000000001E-2</v>
      </c>
      <c r="U166">
        <v>-0.11309809999999999</v>
      </c>
      <c r="V166">
        <v>2.9195499999999999E-2</v>
      </c>
      <c r="W166">
        <v>-4.8919280000000002E-2</v>
      </c>
      <c r="X166">
        <v>0.99837600000000004</v>
      </c>
      <c r="Y166">
        <v>7.6407939999999994E-2</v>
      </c>
      <c r="Z166">
        <v>4.6245290000000001E-4</v>
      </c>
      <c r="AA166">
        <v>0.99707650000000003</v>
      </c>
      <c r="AB166">
        <v>14</v>
      </c>
      <c r="AC166">
        <v>300.07069999999999</v>
      </c>
      <c r="AD166">
        <v>1.7889010000000001</v>
      </c>
      <c r="AE166">
        <v>-11.297499999999999</v>
      </c>
      <c r="AF166">
        <v>22.9544544232294</v>
      </c>
      <c r="AG166">
        <v>1.7889010000000001</v>
      </c>
      <c r="AH166">
        <v>299.39397377703699</v>
      </c>
      <c r="AI166">
        <v>89.658659328537695</v>
      </c>
      <c r="AJ166">
        <v>85.615725382248797</v>
      </c>
      <c r="AK166">
        <v>300.27796901980798</v>
      </c>
      <c r="AL166">
        <v>92.803987253426598</v>
      </c>
      <c r="AM166">
        <v>88.324977415069597</v>
      </c>
      <c r="AN166">
        <v>1.00000005527598</v>
      </c>
    </row>
    <row r="167" spans="1:40" x14ac:dyDescent="0.25">
      <c r="A167" t="str">
        <f>"20190303154417648"</f>
        <v>20190303154417648</v>
      </c>
      <c r="B167" t="str">
        <f>"1551599057639792"</f>
        <v>1551599057639792</v>
      </c>
      <c r="C167" t="s">
        <v>40</v>
      </c>
      <c r="D167">
        <v>4.4631919999999896</v>
      </c>
      <c r="E167">
        <v>0.52288939999999995</v>
      </c>
      <c r="F167" t="s">
        <v>49</v>
      </c>
      <c r="G167">
        <v>-249.6103</v>
      </c>
      <c r="H167">
        <v>2.394377</v>
      </c>
      <c r="I167">
        <v>358.1234</v>
      </c>
      <c r="J167">
        <v>-458.13220000000001</v>
      </c>
      <c r="K167">
        <v>1.1201589999999999</v>
      </c>
      <c r="L167">
        <v>367.77460000000002</v>
      </c>
      <c r="M167">
        <v>0.99924199999999996</v>
      </c>
      <c r="N167">
        <v>-5.0153389999999997E-3</v>
      </c>
      <c r="O167">
        <v>3.8605300000000002E-2</v>
      </c>
      <c r="P167">
        <v>0.99854540000000003</v>
      </c>
      <c r="Q167">
        <v>-5.3266059999999997E-2</v>
      </c>
      <c r="R167">
        <v>8.3634869999999993E-3</v>
      </c>
      <c r="S167">
        <v>3.0068359999999998</v>
      </c>
      <c r="T167">
        <v>1.8363239999999999E-2</v>
      </c>
      <c r="U167">
        <v>-0.13900760000000001</v>
      </c>
      <c r="V167">
        <v>3.0176809999999998E-2</v>
      </c>
      <c r="W167">
        <v>-4.8269220000000002E-2</v>
      </c>
      <c r="X167">
        <v>0.9983784</v>
      </c>
      <c r="Y167">
        <v>8.4708699999999998E-2</v>
      </c>
      <c r="Z167">
        <v>4.7514360000000002E-4</v>
      </c>
      <c r="AA167">
        <v>0.99640569999999895</v>
      </c>
      <c r="AB167">
        <v>14</v>
      </c>
      <c r="AC167">
        <v>208.52189999999999</v>
      </c>
      <c r="AD167">
        <v>1.2742180000000001</v>
      </c>
      <c r="AE167">
        <v>-9.65120000000001</v>
      </c>
      <c r="AF167">
        <v>17.693497294633701</v>
      </c>
      <c r="AG167">
        <v>1.2742180000000001</v>
      </c>
      <c r="AH167">
        <v>207.986108942393</v>
      </c>
      <c r="AI167">
        <v>89.650247515865402</v>
      </c>
      <c r="AJ167">
        <v>85.137522621072193</v>
      </c>
      <c r="AK167">
        <v>208.74123931562701</v>
      </c>
      <c r="AL167">
        <v>92.766697677332104</v>
      </c>
      <c r="AM167">
        <v>88.268714947115001</v>
      </c>
      <c r="AN167">
        <v>0.99999999352387203</v>
      </c>
    </row>
    <row r="168" spans="1:40" x14ac:dyDescent="0.25">
      <c r="A168" t="str">
        <f>"20190303154417671"</f>
        <v>20190303154417671</v>
      </c>
      <c r="B168" t="str">
        <f>"1551599057660287"</f>
        <v>1551599057660287</v>
      </c>
      <c r="C168" t="s">
        <v>40</v>
      </c>
      <c r="D168">
        <v>4.4661220000000004</v>
      </c>
      <c r="E168">
        <v>0.52314189999999905</v>
      </c>
      <c r="F168" t="s">
        <v>48</v>
      </c>
      <c r="G168">
        <v>-158.78319999999999</v>
      </c>
      <c r="H168">
        <v>2.9493960000000001</v>
      </c>
      <c r="I168">
        <v>352.40929999999997</v>
      </c>
      <c r="J168">
        <v>-457.98630000000003</v>
      </c>
      <c r="K168">
        <v>1.1201509999999999</v>
      </c>
      <c r="L168">
        <v>367.77980000000002</v>
      </c>
      <c r="M168">
        <v>0.99925390000000003</v>
      </c>
      <c r="N168">
        <v>-4.9506439999999997E-3</v>
      </c>
      <c r="O168">
        <v>3.8307929999999997E-2</v>
      </c>
      <c r="P168">
        <v>0.99854189999999998</v>
      </c>
      <c r="Q168">
        <v>-5.3455120000000002E-2</v>
      </c>
      <c r="R168">
        <v>7.5482300000000004E-3</v>
      </c>
      <c r="S168">
        <v>3.0066220000000001</v>
      </c>
      <c r="T168">
        <v>1.8373489999999999E-2</v>
      </c>
      <c r="U168">
        <v>-0.154327399999999</v>
      </c>
      <c r="V168">
        <v>3.0694240000000001E-2</v>
      </c>
      <c r="W168">
        <v>-4.8523120000000003E-2</v>
      </c>
      <c r="X168">
        <v>0.99835030000000002</v>
      </c>
      <c r="Y168">
        <v>8.9479420000000004E-2</v>
      </c>
      <c r="Z168">
        <v>4.7505319999999998E-4</v>
      </c>
      <c r="AA168">
        <v>0.99598850000000005</v>
      </c>
      <c r="AB168">
        <v>14</v>
      </c>
      <c r="AC168">
        <v>299.20310000000001</v>
      </c>
      <c r="AD168">
        <v>1.829245</v>
      </c>
      <c r="AE168">
        <v>-15.3705</v>
      </c>
      <c r="AF168">
        <v>26.8202074559286</v>
      </c>
      <c r="AG168">
        <v>1.829245</v>
      </c>
      <c r="AH168">
        <v>298.38353153541601</v>
      </c>
      <c r="AI168">
        <v>89.650162057280596</v>
      </c>
      <c r="AJ168">
        <v>84.863770872321595</v>
      </c>
      <c r="AK168">
        <v>299.59205856763901</v>
      </c>
      <c r="AL168">
        <v>92.781262192343803</v>
      </c>
      <c r="AM168">
        <v>88.238998276971202</v>
      </c>
      <c r="AN168">
        <v>0.99999997552690001</v>
      </c>
    </row>
    <row r="169" spans="1:40" x14ac:dyDescent="0.25">
      <c r="A169" t="str">
        <f>"20190303154417693"</f>
        <v>20190303154417693</v>
      </c>
      <c r="B169" t="str">
        <f>"1551599057690544"</f>
        <v>1551599057690544</v>
      </c>
      <c r="C169" t="s">
        <v>40</v>
      </c>
      <c r="D169">
        <v>4.4966489999999997</v>
      </c>
      <c r="E169">
        <v>0.52379830000000005</v>
      </c>
      <c r="F169" t="s">
        <v>48</v>
      </c>
      <c r="G169">
        <v>-158.78319999999999</v>
      </c>
      <c r="H169">
        <v>2.2026629999999998</v>
      </c>
      <c r="I169">
        <v>352.01870000000002</v>
      </c>
      <c r="J169">
        <v>-457.84949999999998</v>
      </c>
      <c r="K169">
        <v>1.1201430000000001</v>
      </c>
      <c r="L169">
        <v>367.78480000000002</v>
      </c>
      <c r="M169">
        <v>0.99926470000000001</v>
      </c>
      <c r="N169">
        <v>-4.897406E-3</v>
      </c>
      <c r="O169">
        <v>3.8030330000000001E-2</v>
      </c>
      <c r="P169">
        <v>0.99852419999999997</v>
      </c>
      <c r="Q169">
        <v>-5.3892170000000003E-2</v>
      </c>
      <c r="R169">
        <v>6.7314380000000002E-3</v>
      </c>
      <c r="S169">
        <v>3.0061650000000002</v>
      </c>
      <c r="T169">
        <v>1.087713E-2</v>
      </c>
      <c r="U169">
        <v>-0.15835569999999999</v>
      </c>
      <c r="V169">
        <v>3.12324E-2</v>
      </c>
      <c r="W169">
        <v>-4.9013630000000002E-2</v>
      </c>
      <c r="X169">
        <v>0.99830969999999997</v>
      </c>
      <c r="Y169">
        <v>9.0542960000000006E-2</v>
      </c>
      <c r="Z169">
        <v>2.654488E-4</v>
      </c>
      <c r="AA169">
        <v>0.99589249999999996</v>
      </c>
      <c r="AB169">
        <v>14</v>
      </c>
      <c r="AC169">
        <v>299.06630000000001</v>
      </c>
      <c r="AD169">
        <v>1.0825199999999999</v>
      </c>
      <c r="AE169">
        <v>-15.7660999999999</v>
      </c>
      <c r="AF169">
        <v>27.1280650183887</v>
      </c>
      <c r="AG169">
        <v>1.0825199999999999</v>
      </c>
      <c r="AH169">
        <v>298.24645201592801</v>
      </c>
      <c r="AI169">
        <v>89.792894221490599</v>
      </c>
      <c r="AJ169">
        <v>84.802760497300895</v>
      </c>
      <c r="AK169">
        <v>299.47963186380701</v>
      </c>
      <c r="AL169">
        <v>92.809399679354101</v>
      </c>
      <c r="AM169">
        <v>88.208069884461906</v>
      </c>
      <c r="AN169">
        <v>1.00000002792481</v>
      </c>
    </row>
    <row r="170" spans="1:40" x14ac:dyDescent="0.25">
      <c r="A170" t="str">
        <f>"20190303154417716"</f>
        <v>20190303154417716</v>
      </c>
      <c r="B170" t="str">
        <f>"1551599057710064"</f>
        <v>1551599057710064</v>
      </c>
      <c r="C170" t="s">
        <v>40</v>
      </c>
      <c r="D170">
        <v>4.5788379999999904</v>
      </c>
      <c r="E170">
        <v>0.52355959999999901</v>
      </c>
      <c r="F170" t="s">
        <v>48</v>
      </c>
      <c r="G170">
        <v>-158.78319999999999</v>
      </c>
      <c r="H170">
        <v>1.8905449999999999</v>
      </c>
      <c r="I170">
        <v>351.24619999999999</v>
      </c>
      <c r="J170">
        <v>-457.69529999999997</v>
      </c>
      <c r="K170">
        <v>1.1201319999999999</v>
      </c>
      <c r="L170">
        <v>367.7903</v>
      </c>
      <c r="M170">
        <v>0.99927679999999997</v>
      </c>
      <c r="N170">
        <v>-4.8447350000000002E-3</v>
      </c>
      <c r="O170">
        <v>3.7719570000000001E-2</v>
      </c>
      <c r="P170">
        <v>0.99852090000000004</v>
      </c>
      <c r="Q170">
        <v>-5.4026329999999997E-2</v>
      </c>
      <c r="R170">
        <v>6.1274679999999996E-3</v>
      </c>
      <c r="S170">
        <v>3.0059200000000001</v>
      </c>
      <c r="T170">
        <v>7.7441929999999999E-3</v>
      </c>
      <c r="U170">
        <v>-0.16622919999999999</v>
      </c>
      <c r="V170">
        <v>3.1525360000000002E-2</v>
      </c>
      <c r="W170">
        <v>-4.9200519999999998E-2</v>
      </c>
      <c r="X170">
        <v>0.99829129999999999</v>
      </c>
      <c r="Y170">
        <v>9.2838649999999995E-2</v>
      </c>
      <c r="Z170">
        <v>1.741352E-4</v>
      </c>
      <c r="AA170">
        <v>0.99568120000000004</v>
      </c>
      <c r="AB170">
        <v>14</v>
      </c>
      <c r="AC170">
        <v>298.91210000000001</v>
      </c>
      <c r="AD170">
        <v>0.77041300000000001</v>
      </c>
      <c r="AE170">
        <v>-16.5441</v>
      </c>
      <c r="AF170">
        <v>27.807108359228199</v>
      </c>
      <c r="AG170">
        <v>0.77041300000000001</v>
      </c>
      <c r="AH170">
        <v>298.07336082805</v>
      </c>
      <c r="AI170">
        <v>89.852551461795997</v>
      </c>
      <c r="AJ170">
        <v>84.670332131128205</v>
      </c>
      <c r="AK170">
        <v>299.36859762978099</v>
      </c>
      <c r="AL170">
        <v>92.820120617254901</v>
      </c>
      <c r="AM170">
        <v>88.191239372408404</v>
      </c>
      <c r="AN170">
        <v>1.0000000295735401</v>
      </c>
    </row>
    <row r="171" spans="1:40" x14ac:dyDescent="0.25">
      <c r="A171" t="str">
        <f>"20190303154417740"</f>
        <v>20190303154417740</v>
      </c>
      <c r="B171" t="str">
        <f>"1551599057730561"</f>
        <v>1551599057730561</v>
      </c>
      <c r="C171" t="s">
        <v>40</v>
      </c>
      <c r="D171">
        <v>4.6089890000000002</v>
      </c>
      <c r="E171">
        <v>0.52352959999999904</v>
      </c>
      <c r="F171" t="s">
        <v>48</v>
      </c>
      <c r="G171">
        <v>-158.78319999999999</v>
      </c>
      <c r="H171">
        <v>1.33029</v>
      </c>
      <c r="I171">
        <v>351.21609999999998</v>
      </c>
      <c r="J171">
        <v>-457.54849999999999</v>
      </c>
      <c r="K171">
        <v>1.1201239999999999</v>
      </c>
      <c r="L171">
        <v>367.7955</v>
      </c>
      <c r="M171">
        <v>0.99928799999999995</v>
      </c>
      <c r="N171">
        <v>-4.8009669999999997E-3</v>
      </c>
      <c r="O171">
        <v>3.7425479999999997E-2</v>
      </c>
      <c r="P171">
        <v>0.99848879999999995</v>
      </c>
      <c r="Q171">
        <v>-5.4637520000000002E-2</v>
      </c>
      <c r="R171">
        <v>5.9241160000000001E-3</v>
      </c>
      <c r="S171">
        <v>3.0056150000000001</v>
      </c>
      <c r="T171">
        <v>2.1140579999999998E-3</v>
      </c>
      <c r="U171">
        <v>-0.16665650000000001</v>
      </c>
      <c r="V171">
        <v>3.1433269999999999E-2</v>
      </c>
      <c r="W171">
        <v>-4.9855570000000002E-2</v>
      </c>
      <c r="X171">
        <v>0.99826170000000003</v>
      </c>
      <c r="Y171">
        <v>9.2692620000000003E-2</v>
      </c>
      <c r="Z171" s="1">
        <v>1.5726810000000001E-5</v>
      </c>
      <c r="AA171">
        <v>0.99569479999999999</v>
      </c>
      <c r="AB171">
        <v>14</v>
      </c>
      <c r="AC171">
        <v>298.76530000000002</v>
      </c>
      <c r="AD171">
        <v>0.21016599999999999</v>
      </c>
      <c r="AE171">
        <v>-16.5794</v>
      </c>
      <c r="AF171">
        <v>27.749333249805701</v>
      </c>
      <c r="AG171">
        <v>0.21016599999999999</v>
      </c>
      <c r="AH171">
        <v>297.93534055766401</v>
      </c>
      <c r="AI171">
        <v>89.959757272694901</v>
      </c>
      <c r="AJ171">
        <v>84.678892306528098</v>
      </c>
      <c r="AK171">
        <v>299.22489338082698</v>
      </c>
      <c r="AL171">
        <v>92.857698348138697</v>
      </c>
      <c r="AM171">
        <v>88.196466080962907</v>
      </c>
      <c r="AN171">
        <v>1.0000000250048999</v>
      </c>
    </row>
    <row r="172" spans="1:40" x14ac:dyDescent="0.25">
      <c r="A172" t="str">
        <f>"20190303154417762"</f>
        <v>20190303154417762</v>
      </c>
      <c r="B172" t="str">
        <f>"1551599057759840"</f>
        <v>1551599057759840</v>
      </c>
      <c r="C172" t="s">
        <v>40</v>
      </c>
      <c r="D172">
        <v>4.6680029999999997</v>
      </c>
      <c r="E172">
        <v>0.52343200000000001</v>
      </c>
      <c r="F172" t="s">
        <v>48</v>
      </c>
      <c r="G172">
        <v>-158.78319999999999</v>
      </c>
      <c r="H172">
        <v>0.82017709999999999</v>
      </c>
      <c r="I172">
        <v>351.20670000000001</v>
      </c>
      <c r="J172">
        <v>-457.40300000000002</v>
      </c>
      <c r="K172">
        <v>1.1201080000000001</v>
      </c>
      <c r="L172">
        <v>367.80059999999997</v>
      </c>
      <c r="M172">
        <v>0.99929900000000005</v>
      </c>
      <c r="N172">
        <v>-4.7631820000000004E-3</v>
      </c>
      <c r="O172">
        <v>3.7136250000000003E-2</v>
      </c>
      <c r="P172">
        <v>0.99848429999999999</v>
      </c>
      <c r="Q172">
        <v>-5.4711549999999998E-2</v>
      </c>
      <c r="R172">
        <v>6.0380909999999998E-3</v>
      </c>
      <c r="S172">
        <v>3.005341</v>
      </c>
      <c r="T172">
        <v>-3.0163529999999998E-3</v>
      </c>
      <c r="U172">
        <v>-0.16687009999999999</v>
      </c>
      <c r="V172">
        <v>3.1030060000000002E-2</v>
      </c>
      <c r="W172">
        <v>-4.9967270000000001E-2</v>
      </c>
      <c r="X172">
        <v>0.99826870000000001</v>
      </c>
      <c r="Y172">
        <v>9.2479930000000002E-2</v>
      </c>
      <c r="Z172">
        <v>-1.273042E-4</v>
      </c>
      <c r="AA172">
        <v>0.99571449999999995</v>
      </c>
      <c r="AB172">
        <v>14</v>
      </c>
      <c r="AC172">
        <v>298.6198</v>
      </c>
      <c r="AD172">
        <v>-0.2999309</v>
      </c>
      <c r="AE172">
        <v>-16.593899999999898</v>
      </c>
      <c r="AF172">
        <v>27.672169428690999</v>
      </c>
      <c r="AG172">
        <v>-0.2999309</v>
      </c>
      <c r="AH172">
        <v>297.797269281539</v>
      </c>
      <c r="AI172">
        <v>90.057458732770996</v>
      </c>
      <c r="AJ172">
        <v>84.691158154847201</v>
      </c>
      <c r="AK172">
        <v>299.08034457479198</v>
      </c>
      <c r="AL172">
        <v>92.864106358954203</v>
      </c>
      <c r="AM172">
        <v>88.219598386843501</v>
      </c>
      <c r="AN172">
        <v>0.99999999504727299</v>
      </c>
    </row>
    <row r="173" spans="1:40" x14ac:dyDescent="0.25">
      <c r="A173" t="str">
        <f>"20190303154417784"</f>
        <v>20190303154417784</v>
      </c>
      <c r="B173" t="str">
        <f>"1551599057780336"</f>
        <v>1551599057780336</v>
      </c>
      <c r="C173" t="s">
        <v>40</v>
      </c>
      <c r="D173">
        <v>4.6304990000000004</v>
      </c>
      <c r="E173">
        <v>0.52344159999999995</v>
      </c>
      <c r="F173" t="s">
        <v>48</v>
      </c>
      <c r="G173">
        <v>-158.78319999999999</v>
      </c>
      <c r="H173">
        <v>0.30411719999999998</v>
      </c>
      <c r="I173">
        <v>351.32170000000002</v>
      </c>
      <c r="J173">
        <v>-457.26420000000002</v>
      </c>
      <c r="K173">
        <v>1.120098</v>
      </c>
      <c r="L173">
        <v>367.80540000000002</v>
      </c>
      <c r="M173">
        <v>0.99930929999999996</v>
      </c>
      <c r="N173">
        <v>-4.7317729999999999E-3</v>
      </c>
      <c r="O173">
        <v>3.686101E-2</v>
      </c>
      <c r="P173">
        <v>0.99848199999999998</v>
      </c>
      <c r="Q173">
        <v>-5.4791739999999999E-2</v>
      </c>
      <c r="R173">
        <v>5.6510609999999998E-3</v>
      </c>
      <c r="S173">
        <v>3.005096</v>
      </c>
      <c r="T173">
        <v>-8.2106590000000004E-3</v>
      </c>
      <c r="U173">
        <v>-0.16583249999999999</v>
      </c>
      <c r="V173">
        <v>3.1141720000000001E-2</v>
      </c>
      <c r="W173">
        <v>-5.007901E-2</v>
      </c>
      <c r="X173">
        <v>0.99825960000000002</v>
      </c>
      <c r="Y173">
        <v>9.1866879999999998E-2</v>
      </c>
      <c r="Z173">
        <v>-2.692932E-4</v>
      </c>
      <c r="AA173">
        <v>0.99577130000000003</v>
      </c>
      <c r="AB173">
        <v>15</v>
      </c>
      <c r="AC173">
        <v>298.48099999999999</v>
      </c>
      <c r="AD173">
        <v>-0.81598079999999995</v>
      </c>
      <c r="AE173">
        <v>-16.483699999999999</v>
      </c>
      <c r="AF173">
        <v>27.474725945617699</v>
      </c>
      <c r="AG173">
        <v>-0.81598079999999995</v>
      </c>
      <c r="AH173">
        <v>297.66831797565197</v>
      </c>
      <c r="AI173">
        <v>90.156396411353995</v>
      </c>
      <c r="AJ173">
        <v>84.726552469922893</v>
      </c>
      <c r="AK173">
        <v>298.934698415735</v>
      </c>
      <c r="AL173">
        <v>92.870516682361696</v>
      </c>
      <c r="AM173">
        <v>88.213179575402904</v>
      </c>
      <c r="AN173">
        <v>0.99999997147964803</v>
      </c>
    </row>
    <row r="174" spans="1:40" x14ac:dyDescent="0.25">
      <c r="A174" t="str">
        <f>"20190303154417804"</f>
        <v>20190303154417804</v>
      </c>
      <c r="B174" t="str">
        <f>"1551599057799856"</f>
        <v>1551599057799856</v>
      </c>
      <c r="C174" t="s">
        <v>40</v>
      </c>
      <c r="D174">
        <v>4.6663199999999998</v>
      </c>
      <c r="E174">
        <v>0.52337319999999998</v>
      </c>
      <c r="F174" t="s">
        <v>43</v>
      </c>
      <c r="G174">
        <v>-132.41810000000001</v>
      </c>
      <c r="H174">
        <v>-0.05</v>
      </c>
      <c r="I174">
        <v>349.6832</v>
      </c>
      <c r="J174">
        <v>-457.12380000000002</v>
      </c>
      <c r="K174">
        <v>1.120085</v>
      </c>
      <c r="L174">
        <v>367.81029999999998</v>
      </c>
      <c r="M174">
        <v>0.99931959999999997</v>
      </c>
      <c r="N174">
        <v>-4.7039220000000001E-3</v>
      </c>
      <c r="O174">
        <v>3.6582419999999997E-2</v>
      </c>
      <c r="P174">
        <v>0.99847419999999998</v>
      </c>
      <c r="Q174">
        <v>-5.5000229999999997E-2</v>
      </c>
      <c r="R174">
        <v>4.9232959999999997E-3</v>
      </c>
      <c r="S174">
        <v>3.004883</v>
      </c>
      <c r="T174">
        <v>-1.0823609999999999E-2</v>
      </c>
      <c r="U174">
        <v>-0.16763310000000001</v>
      </c>
      <c r="V174">
        <v>3.1590210000000001E-2</v>
      </c>
      <c r="W174">
        <v>-5.0315720000000001E-2</v>
      </c>
      <c r="X174">
        <v>0.99823360000000005</v>
      </c>
      <c r="Y174">
        <v>9.2187619999999998E-2</v>
      </c>
      <c r="Z174">
        <v>-3.4263929999999999E-4</v>
      </c>
      <c r="AA174">
        <v>0.9957416</v>
      </c>
      <c r="AB174">
        <v>15</v>
      </c>
      <c r="AC174">
        <v>324.70569999999998</v>
      </c>
      <c r="AD174">
        <v>-1.170085</v>
      </c>
      <c r="AE174">
        <v>-18.127099999999899</v>
      </c>
      <c r="AF174">
        <v>29.993229236681199</v>
      </c>
      <c r="AG174">
        <v>-1.170085</v>
      </c>
      <c r="AH174">
        <v>323.82101757330298</v>
      </c>
      <c r="AI174">
        <v>90.206147549972997</v>
      </c>
      <c r="AJ174">
        <v>84.7081992653833</v>
      </c>
      <c r="AK174">
        <v>325.20918548091601</v>
      </c>
      <c r="AL174">
        <v>92.884096300379795</v>
      </c>
      <c r="AM174">
        <v>88.187416401830802</v>
      </c>
      <c r="AN174">
        <v>0.99999996660795998</v>
      </c>
    </row>
    <row r="175" spans="1:40" x14ac:dyDescent="0.25">
      <c r="A175" t="str">
        <f>"20190303154417830"</f>
        <v>20190303154417830</v>
      </c>
      <c r="B175" t="str">
        <f>"1551599057820352"</f>
        <v>1551599057820352</v>
      </c>
      <c r="C175" t="s">
        <v>40</v>
      </c>
      <c r="D175">
        <v>4.7184109999999997</v>
      </c>
      <c r="E175">
        <v>0.52334619999999998</v>
      </c>
      <c r="F175" t="s">
        <v>50</v>
      </c>
      <c r="G175">
        <v>-180</v>
      </c>
      <c r="H175">
        <v>1.9715179999999999E-2</v>
      </c>
      <c r="I175">
        <v>352.22590000000002</v>
      </c>
      <c r="J175">
        <v>-456.95870000000002</v>
      </c>
      <c r="K175">
        <v>1.120074</v>
      </c>
      <c r="L175">
        <v>367.8159</v>
      </c>
      <c r="M175">
        <v>0.99933170000000004</v>
      </c>
      <c r="N175">
        <v>-4.6757309999999998E-3</v>
      </c>
      <c r="O175">
        <v>3.6255669999999997E-2</v>
      </c>
      <c r="P175">
        <v>0.99845680000000003</v>
      </c>
      <c r="Q175">
        <v>-5.5364599999999903E-2</v>
      </c>
      <c r="R175">
        <v>4.374111E-3</v>
      </c>
      <c r="S175">
        <v>3.0047609999999998</v>
      </c>
      <c r="T175">
        <v>-1.1930939999999999E-2</v>
      </c>
      <c r="U175">
        <v>-0.16897579999999901</v>
      </c>
      <c r="V175">
        <v>3.181163E-2</v>
      </c>
      <c r="W175">
        <v>-5.0708570000000001E-2</v>
      </c>
      <c r="X175">
        <v>0.9982067</v>
      </c>
      <c r="Y175">
        <v>9.2307710000000001E-2</v>
      </c>
      <c r="Z175">
        <v>-3.7357790000000003E-4</v>
      </c>
      <c r="AA175">
        <v>0.99573049999999996</v>
      </c>
      <c r="AB175">
        <v>15</v>
      </c>
      <c r="AC175">
        <v>276.95870000000002</v>
      </c>
      <c r="AD175">
        <v>-1.1003588200000001</v>
      </c>
      <c r="AE175">
        <v>-15.5899999999999</v>
      </c>
      <c r="AF175">
        <v>25.6207790248999</v>
      </c>
      <c r="AG175">
        <v>-1.1003588200000001</v>
      </c>
      <c r="AH175">
        <v>276.207030623653</v>
      </c>
      <c r="AI175">
        <v>90.227279124714002</v>
      </c>
      <c r="AJ175">
        <v>84.700446814165105</v>
      </c>
      <c r="AK175">
        <v>277.39495105951499</v>
      </c>
      <c r="AL175">
        <v>92.906633687079406</v>
      </c>
      <c r="AM175">
        <v>88.174671170553495</v>
      </c>
      <c r="AN175">
        <v>0.99999997739979496</v>
      </c>
    </row>
    <row r="176" spans="1:40" x14ac:dyDescent="0.25">
      <c r="A176" t="str">
        <f>"20190303154417850"</f>
        <v>20190303154417850</v>
      </c>
      <c r="B176" t="str">
        <f>"1551599057839872"</f>
        <v>1551599057839872</v>
      </c>
      <c r="C176" t="s">
        <v>40</v>
      </c>
      <c r="D176">
        <v>4.6808870000000002</v>
      </c>
      <c r="E176">
        <v>0.52317190000000002</v>
      </c>
      <c r="F176" t="s">
        <v>41</v>
      </c>
      <c r="G176">
        <v>-248.1514</v>
      </c>
      <c r="H176">
        <v>7.9985970000000003E-2</v>
      </c>
      <c r="I176">
        <v>355.98759999999999</v>
      </c>
      <c r="J176">
        <v>-456.81470000000002</v>
      </c>
      <c r="K176">
        <v>1.120063</v>
      </c>
      <c r="L176">
        <v>367.82080000000002</v>
      </c>
      <c r="M176">
        <v>0.99934199999999995</v>
      </c>
      <c r="N176">
        <v>-4.6545570000000001E-3</v>
      </c>
      <c r="O176">
        <v>3.5971049999999997E-2</v>
      </c>
      <c r="P176">
        <v>0.99846380000000001</v>
      </c>
      <c r="Q176">
        <v>-5.5275539999999998E-2</v>
      </c>
      <c r="R176">
        <v>3.87287E-3</v>
      </c>
      <c r="S176">
        <v>3.0045169999999999</v>
      </c>
      <c r="T176">
        <v>-1.496577E-2</v>
      </c>
      <c r="U176">
        <v>-0.1701965</v>
      </c>
      <c r="V176">
        <v>3.2028239999999999E-2</v>
      </c>
      <c r="W176">
        <v>-5.0640869999999998E-2</v>
      </c>
      <c r="X176">
        <v>0.99820319999999996</v>
      </c>
      <c r="Y176">
        <v>9.2431280000000005E-2</v>
      </c>
      <c r="Z176">
        <v>-4.5707449999999998E-4</v>
      </c>
      <c r="AA176">
        <v>0.99571900000000002</v>
      </c>
      <c r="AB176">
        <v>15</v>
      </c>
      <c r="AC176">
        <v>208.66329999999999</v>
      </c>
      <c r="AD176">
        <v>-1.04007703</v>
      </c>
      <c r="AE176">
        <v>-11.8332</v>
      </c>
      <c r="AF176">
        <v>19.330982283345001</v>
      </c>
      <c r="AG176">
        <v>-1.04007703</v>
      </c>
      <c r="AH176">
        <v>208.09744609918201</v>
      </c>
      <c r="AI176">
        <v>90.285135976578403</v>
      </c>
      <c r="AJ176">
        <v>84.692802666272698</v>
      </c>
      <c r="AK176">
        <v>208.99597055749501</v>
      </c>
      <c r="AL176">
        <v>92.902749802395306</v>
      </c>
      <c r="AM176">
        <v>88.162244296649703</v>
      </c>
      <c r="AN176">
        <v>0.999999967181046</v>
      </c>
    </row>
    <row r="177" spans="1:40" x14ac:dyDescent="0.25">
      <c r="A177" t="str">
        <f>"20190303154417873"</f>
        <v>20190303154417873</v>
      </c>
      <c r="B177" t="str">
        <f>"1551599057870128"</f>
        <v>1551599057870128</v>
      </c>
      <c r="C177" t="s">
        <v>40</v>
      </c>
      <c r="D177">
        <v>4.7093389999999999</v>
      </c>
      <c r="E177">
        <v>0.52294209999999997</v>
      </c>
      <c r="F177" t="s">
        <v>41</v>
      </c>
      <c r="G177">
        <v>-270.16559999999998</v>
      </c>
      <c r="H177">
        <v>7.9986890000000005E-2</v>
      </c>
      <c r="I177">
        <v>357.22250000000003</v>
      </c>
      <c r="J177">
        <v>-456.66640000000001</v>
      </c>
      <c r="K177">
        <v>1.120058</v>
      </c>
      <c r="L177">
        <v>367.82580000000002</v>
      </c>
      <c r="M177">
        <v>0.99935260000000004</v>
      </c>
      <c r="N177">
        <v>-4.6358119999999996E-3</v>
      </c>
      <c r="O177">
        <v>3.5677590000000002E-2</v>
      </c>
      <c r="P177">
        <v>0.99846520000000005</v>
      </c>
      <c r="Q177">
        <v>-5.5279759999999997E-2</v>
      </c>
      <c r="R177">
        <v>3.4192300000000001E-3</v>
      </c>
      <c r="S177">
        <v>3.0043639999999998</v>
      </c>
      <c r="T177">
        <v>-1.6741389999999998E-2</v>
      </c>
      <c r="U177">
        <v>-0.1705933</v>
      </c>
      <c r="V177">
        <v>3.2188469999999997E-2</v>
      </c>
      <c r="W177">
        <v>-5.0664010000000002E-2</v>
      </c>
      <c r="X177">
        <v>0.99819690000000005</v>
      </c>
      <c r="Y177">
        <v>9.2272400000000004E-2</v>
      </c>
      <c r="Z177">
        <v>-5.0435239999999896E-4</v>
      </c>
      <c r="AA177">
        <v>0.99573370000000005</v>
      </c>
      <c r="AB177">
        <v>15</v>
      </c>
      <c r="AC177">
        <v>186.5008</v>
      </c>
      <c r="AD177">
        <v>-1.04007111</v>
      </c>
      <c r="AE177">
        <v>-10.6032999999999</v>
      </c>
      <c r="AF177">
        <v>17.249985111011899</v>
      </c>
      <c r="AG177">
        <v>-1.04007111</v>
      </c>
      <c r="AH177">
        <v>185.99799189768299</v>
      </c>
      <c r="AI177">
        <v>90.319016520477206</v>
      </c>
      <c r="AJ177">
        <v>84.701382597818693</v>
      </c>
      <c r="AK177">
        <v>186.79908116533801</v>
      </c>
      <c r="AL177">
        <v>92.904077249024795</v>
      </c>
      <c r="AM177">
        <v>88.153045125984207</v>
      </c>
      <c r="AN177">
        <v>0.99999999533991502</v>
      </c>
    </row>
    <row r="178" spans="1:40" x14ac:dyDescent="0.25">
      <c r="A178" t="str">
        <f>"20190303154417894"</f>
        <v>20190303154417894</v>
      </c>
      <c r="B178" t="str">
        <f>"1551599057890623"</f>
        <v>1551599057890623</v>
      </c>
      <c r="C178" t="s">
        <v>40</v>
      </c>
      <c r="D178">
        <v>4.7148159999999999</v>
      </c>
      <c r="E178">
        <v>0.52284620000000004</v>
      </c>
      <c r="F178" t="s">
        <v>43</v>
      </c>
      <c r="G178">
        <v>-274.82979999999998</v>
      </c>
      <c r="H178">
        <v>-0.05</v>
      </c>
      <c r="I178">
        <v>357.5258</v>
      </c>
      <c r="J178">
        <v>-456.51679999999999</v>
      </c>
      <c r="K178">
        <v>1.120053</v>
      </c>
      <c r="L178">
        <v>367.83080000000001</v>
      </c>
      <c r="M178">
        <v>0.99936329999999995</v>
      </c>
      <c r="N178">
        <v>-4.6233639999999996E-3</v>
      </c>
      <c r="O178">
        <v>3.5381199999999897E-2</v>
      </c>
      <c r="P178">
        <v>0.99846179999999995</v>
      </c>
      <c r="Q178">
        <v>-5.5334960000000002E-2</v>
      </c>
      <c r="R178">
        <v>3.5101490000000002E-3</v>
      </c>
      <c r="S178">
        <v>3.0041199999999999</v>
      </c>
      <c r="T178">
        <v>-1.93305E-2</v>
      </c>
      <c r="U178">
        <v>-0.17016600000000001</v>
      </c>
      <c r="V178">
        <v>3.1801459999999997E-2</v>
      </c>
      <c r="W178">
        <v>-5.0731610000000003E-2</v>
      </c>
      <c r="X178">
        <v>0.99820589999999998</v>
      </c>
      <c r="Y178">
        <v>9.1839779999999996E-2</v>
      </c>
      <c r="Z178">
        <v>-5.7178730000000003E-4</v>
      </c>
      <c r="AA178">
        <v>0.99577360000000004</v>
      </c>
      <c r="AB178">
        <v>15</v>
      </c>
      <c r="AC178">
        <v>181.68700000000001</v>
      </c>
      <c r="AD178">
        <v>-1.170053</v>
      </c>
      <c r="AE178">
        <v>-10.305</v>
      </c>
      <c r="AF178">
        <v>16.7262284478495</v>
      </c>
      <c r="AG178">
        <v>-1.170053</v>
      </c>
      <c r="AH178">
        <v>181.201143477741</v>
      </c>
      <c r="AI178">
        <v>90.368399340692704</v>
      </c>
      <c r="AJ178">
        <v>84.726113746382197</v>
      </c>
      <c r="AK178">
        <v>181.97524595326999</v>
      </c>
      <c r="AL178">
        <v>92.907955347651395</v>
      </c>
      <c r="AM178">
        <v>88.175252861957503</v>
      </c>
      <c r="AN178">
        <v>1.00000002395306</v>
      </c>
    </row>
    <row r="179" spans="1:40" x14ac:dyDescent="0.25">
      <c r="A179" t="str">
        <f>"20190303154417916"</f>
        <v>20190303154417916</v>
      </c>
      <c r="B179" t="str">
        <f>"1551599057910144"</f>
        <v>1551599057910144</v>
      </c>
      <c r="C179" t="s">
        <v>40</v>
      </c>
      <c r="D179">
        <v>4.6702009999999996</v>
      </c>
      <c r="E179">
        <v>0.52271869999999998</v>
      </c>
      <c r="F179" t="s">
        <v>43</v>
      </c>
      <c r="G179">
        <v>-286.29590000000002</v>
      </c>
      <c r="H179">
        <v>-0.05</v>
      </c>
      <c r="I179">
        <v>358.2509</v>
      </c>
      <c r="J179">
        <v>-456.35860000000002</v>
      </c>
      <c r="K179">
        <v>1.1200479999999999</v>
      </c>
      <c r="L179">
        <v>367.83600000000001</v>
      </c>
      <c r="M179">
        <v>0.99937430000000005</v>
      </c>
      <c r="N179">
        <v>-4.624202E-3</v>
      </c>
      <c r="O179">
        <v>3.5068269999999999E-2</v>
      </c>
      <c r="P179">
        <v>0.99848150000000002</v>
      </c>
      <c r="Q179">
        <v>-5.4959389999999997E-2</v>
      </c>
      <c r="R179">
        <v>3.8321649999999998E-3</v>
      </c>
      <c r="S179">
        <v>3.004089</v>
      </c>
      <c r="T179">
        <v>-2.0649310000000001E-2</v>
      </c>
      <c r="U179">
        <v>-0.16906740000000001</v>
      </c>
      <c r="V179">
        <v>3.1167569999999999E-2</v>
      </c>
      <c r="W179">
        <v>-5.0354919999999997E-2</v>
      </c>
      <c r="X179">
        <v>0.99824489999999999</v>
      </c>
      <c r="Y179">
        <v>9.1165170000000004E-2</v>
      </c>
      <c r="Z179">
        <v>-6.0288539999999997E-4</v>
      </c>
      <c r="AA179">
        <v>0.99583560000000004</v>
      </c>
      <c r="AB179">
        <v>15</v>
      </c>
      <c r="AC179">
        <v>170.06270000000001</v>
      </c>
      <c r="AD179">
        <v>-1.170048</v>
      </c>
      <c r="AE179">
        <v>-9.5851000000000095</v>
      </c>
      <c r="AF179">
        <v>15.5423388562398</v>
      </c>
      <c r="AG179">
        <v>-1.170048</v>
      </c>
      <c r="AH179">
        <v>169.61395563253299</v>
      </c>
      <c r="AI179">
        <v>90.393588304810606</v>
      </c>
      <c r="AJ179">
        <v>84.764402232595302</v>
      </c>
      <c r="AK179">
        <v>170.32858613503299</v>
      </c>
      <c r="AL179">
        <v>92.8863451709137</v>
      </c>
      <c r="AM179">
        <v>88.211671023835805</v>
      </c>
      <c r="AN179">
        <v>0.99999995788195895</v>
      </c>
    </row>
    <row r="180" spans="1:40" x14ac:dyDescent="0.25">
      <c r="A180" t="str">
        <f>"20190303154417940"</f>
        <v>20190303154417940</v>
      </c>
      <c r="B180" t="str">
        <f>"1551599057930640"</f>
        <v>1551599057930640</v>
      </c>
      <c r="C180" t="s">
        <v>40</v>
      </c>
      <c r="D180">
        <v>4.7066650000000001</v>
      </c>
      <c r="E180">
        <v>0.5225938</v>
      </c>
      <c r="F180" t="s">
        <v>43</v>
      </c>
      <c r="G180">
        <v>-284.4862</v>
      </c>
      <c r="H180">
        <v>-0.05</v>
      </c>
      <c r="I180">
        <v>358.2679</v>
      </c>
      <c r="J180">
        <v>-456.19869999999997</v>
      </c>
      <c r="K180">
        <v>1.1200509999999999</v>
      </c>
      <c r="L180">
        <v>367.84129999999999</v>
      </c>
      <c r="M180">
        <v>0.99938519999999997</v>
      </c>
      <c r="N180">
        <v>-4.6435840000000001E-3</v>
      </c>
      <c r="O180">
        <v>3.4752360000000003E-2</v>
      </c>
      <c r="P180">
        <v>0.99848250000000005</v>
      </c>
      <c r="Q180">
        <v>-5.4932349999999998E-2</v>
      </c>
      <c r="R180">
        <v>3.8924129999999999E-3</v>
      </c>
      <c r="S180">
        <v>3.0040589999999998</v>
      </c>
      <c r="T180">
        <v>-2.0450590000000001E-2</v>
      </c>
      <c r="U180">
        <v>-0.16723629999999901</v>
      </c>
      <c r="V180">
        <v>3.0791869999999999E-2</v>
      </c>
      <c r="W180">
        <v>-5.0308480000000003E-2</v>
      </c>
      <c r="X180">
        <v>0.99825889999999995</v>
      </c>
      <c r="Y180">
        <v>9.0245900000000004E-2</v>
      </c>
      <c r="Z180">
        <v>-5.9182120000000004E-4</v>
      </c>
      <c r="AA180">
        <v>0.99591929999999995</v>
      </c>
      <c r="AB180">
        <v>15</v>
      </c>
      <c r="AC180">
        <v>171.71249999999901</v>
      </c>
      <c r="AD180">
        <v>-1.170051</v>
      </c>
      <c r="AE180">
        <v>-9.5733999999999906</v>
      </c>
      <c r="AF180">
        <v>15.5343768205115</v>
      </c>
      <c r="AG180">
        <v>-1.170051</v>
      </c>
      <c r="AH180">
        <v>171.26814628533299</v>
      </c>
      <c r="AI180">
        <v>90.389820786183506</v>
      </c>
      <c r="AJ180">
        <v>84.817335037650906</v>
      </c>
      <c r="AK180">
        <v>171.97518371718201</v>
      </c>
      <c r="AL180">
        <v>92.883680980853299</v>
      </c>
      <c r="AM180">
        <v>88.2332389085052</v>
      </c>
      <c r="AN180">
        <v>0.99999995692360699</v>
      </c>
    </row>
    <row r="181" spans="1:40" x14ac:dyDescent="0.25">
      <c r="A181" t="str">
        <f>"20190303154417965"</f>
        <v>20190303154417965</v>
      </c>
      <c r="B181" t="str">
        <f>"1551599057959920"</f>
        <v>1551599057959920</v>
      </c>
      <c r="C181" t="s">
        <v>40</v>
      </c>
      <c r="D181">
        <v>4.7036629999999997</v>
      </c>
      <c r="E181">
        <v>0.52247779999999999</v>
      </c>
      <c r="F181" t="s">
        <v>43</v>
      </c>
      <c r="G181">
        <v>-296.46719999999999</v>
      </c>
      <c r="H181">
        <v>-0.05</v>
      </c>
      <c r="I181">
        <v>359.02190000000002</v>
      </c>
      <c r="J181">
        <v>-456.02350000000001</v>
      </c>
      <c r="K181">
        <v>1.1200589999999999</v>
      </c>
      <c r="L181">
        <v>367.84699999999998</v>
      </c>
      <c r="M181">
        <v>0.99939699999999998</v>
      </c>
      <c r="N181">
        <v>-4.6825900000000004E-3</v>
      </c>
      <c r="O181">
        <v>3.4405529999999997E-2</v>
      </c>
      <c r="P181">
        <v>0.99850079999999997</v>
      </c>
      <c r="Q181">
        <v>-5.459145E-2</v>
      </c>
      <c r="R181">
        <v>3.992448E-3</v>
      </c>
      <c r="S181">
        <v>3.0039980000000002</v>
      </c>
      <c r="T181">
        <v>-2.2004599999999999E-2</v>
      </c>
      <c r="U181">
        <v>-0.16586300000000001</v>
      </c>
      <c r="V181">
        <v>3.0346020000000001E-2</v>
      </c>
      <c r="W181">
        <v>-4.9928479999999997E-2</v>
      </c>
      <c r="X181">
        <v>0.9982917</v>
      </c>
      <c r="Y181">
        <v>8.9447009999999993E-2</v>
      </c>
      <c r="Z181">
        <v>-6.2781920000000001E-4</v>
      </c>
      <c r="AA181">
        <v>0.99599139999999997</v>
      </c>
      <c r="AB181">
        <v>16</v>
      </c>
      <c r="AC181">
        <v>159.55629999999999</v>
      </c>
      <c r="AD181">
        <v>-1.170059</v>
      </c>
      <c r="AE181">
        <v>-8.82509999999996</v>
      </c>
      <c r="AF181">
        <v>14.3087870711856</v>
      </c>
      <c r="AG181">
        <v>-1.170059</v>
      </c>
      <c r="AH181">
        <v>159.149665460845</v>
      </c>
      <c r="AI181">
        <v>90.419535455957799</v>
      </c>
      <c r="AJ181">
        <v>84.862479003382902</v>
      </c>
      <c r="AK181">
        <v>159.79588994029501</v>
      </c>
      <c r="AL181">
        <v>92.861880988983003</v>
      </c>
      <c r="AM181">
        <v>88.258861985898605</v>
      </c>
      <c r="AN181">
        <v>1.00000002616692</v>
      </c>
    </row>
    <row r="182" spans="1:40" x14ac:dyDescent="0.25">
      <c r="A182" t="str">
        <f>"20190303154417984"</f>
        <v>20190303154417984</v>
      </c>
      <c r="B182" t="str">
        <f>"1551599057980416"</f>
        <v>1551599057980416</v>
      </c>
      <c r="C182" t="s">
        <v>40</v>
      </c>
      <c r="D182">
        <v>4.7500099999999996</v>
      </c>
      <c r="E182">
        <v>0.52239609999999903</v>
      </c>
      <c r="F182" t="s">
        <v>43</v>
      </c>
      <c r="G182">
        <v>-302.04809999999998</v>
      </c>
      <c r="H182">
        <v>-0.05</v>
      </c>
      <c r="I182">
        <v>359.38580000000002</v>
      </c>
      <c r="J182">
        <v>-455.88929999999999</v>
      </c>
      <c r="K182">
        <v>1.120063</v>
      </c>
      <c r="L182">
        <v>367.85129999999998</v>
      </c>
      <c r="M182">
        <v>0.99940600000000002</v>
      </c>
      <c r="N182">
        <v>-4.7203130000000003E-3</v>
      </c>
      <c r="O182">
        <v>3.4140719999999999E-2</v>
      </c>
      <c r="P182">
        <v>0.99852249999999998</v>
      </c>
      <c r="Q182">
        <v>-5.4225629999999997E-2</v>
      </c>
      <c r="R182">
        <v>3.5717850000000001E-3</v>
      </c>
      <c r="S182">
        <v>3.0039370000000001</v>
      </c>
      <c r="T182">
        <v>-2.2826909999999999E-2</v>
      </c>
      <c r="U182">
        <v>-0.16506960000000001</v>
      </c>
      <c r="V182">
        <v>3.050251E-2</v>
      </c>
      <c r="W182">
        <v>-4.9525119999999999E-2</v>
      </c>
      <c r="X182">
        <v>0.99830700000000006</v>
      </c>
      <c r="Y182">
        <v>8.8921669999999994E-2</v>
      </c>
      <c r="Z182">
        <v>-6.4587140000000004E-4</v>
      </c>
      <c r="AA182">
        <v>0.99603839999999999</v>
      </c>
      <c r="AB182">
        <v>16</v>
      </c>
      <c r="AC182">
        <v>153.84119999999999</v>
      </c>
      <c r="AD182">
        <v>-1.1700629999999901</v>
      </c>
      <c r="AE182">
        <v>-8.4654999999999596</v>
      </c>
      <c r="AF182">
        <v>13.712081275302699</v>
      </c>
      <c r="AG182">
        <v>-1.1700629999999901</v>
      </c>
      <c r="AH182">
        <v>153.45364276154399</v>
      </c>
      <c r="AI182">
        <v>90.435130355354801</v>
      </c>
      <c r="AJ182">
        <v>84.893810813132504</v>
      </c>
      <c r="AK182">
        <v>154.069499567929</v>
      </c>
      <c r="AL182">
        <v>92.838741601579301</v>
      </c>
      <c r="AM182">
        <v>88.249915566004702</v>
      </c>
      <c r="AN182">
        <v>1.00000000343815</v>
      </c>
    </row>
    <row r="183" spans="1:40" x14ac:dyDescent="0.25">
      <c r="A183" t="str">
        <f>"20190303154418006"</f>
        <v>20190303154418006</v>
      </c>
      <c r="B183" t="str">
        <f>"1551599057999936"</f>
        <v>1551599057999936</v>
      </c>
      <c r="C183" t="s">
        <v>40</v>
      </c>
      <c r="D183">
        <v>4.7130000000000001</v>
      </c>
      <c r="E183">
        <v>0.52227460000000003</v>
      </c>
      <c r="F183" t="s">
        <v>43</v>
      </c>
      <c r="G183">
        <v>-306.23910000000001</v>
      </c>
      <c r="H183">
        <v>-0.05</v>
      </c>
      <c r="I183">
        <v>359.6182</v>
      </c>
      <c r="J183">
        <v>-455.72620000000001</v>
      </c>
      <c r="K183">
        <v>1.12007099999999</v>
      </c>
      <c r="L183">
        <v>367.85649999999998</v>
      </c>
      <c r="M183">
        <v>0.99941670000000005</v>
      </c>
      <c r="N183">
        <v>-4.7717940000000002E-3</v>
      </c>
      <c r="O183">
        <v>3.3818109999999998E-2</v>
      </c>
      <c r="P183">
        <v>0.99855530000000003</v>
      </c>
      <c r="Q183">
        <v>-5.3670759999999998E-2</v>
      </c>
      <c r="R183">
        <v>2.6570919999999998E-3</v>
      </c>
      <c r="S183">
        <v>3.0037229999999999</v>
      </c>
      <c r="T183">
        <v>-2.3485059999999999E-2</v>
      </c>
      <c r="U183">
        <v>-0.1652527</v>
      </c>
      <c r="V183">
        <v>3.1095649999999999E-2</v>
      </c>
      <c r="W183">
        <v>-4.8919190000000001E-2</v>
      </c>
      <c r="X183">
        <v>0.99831859999999994</v>
      </c>
      <c r="Y183">
        <v>8.8664380000000001E-2</v>
      </c>
      <c r="Z183">
        <v>-6.6105630000000003E-4</v>
      </c>
      <c r="AA183">
        <v>0.99606130000000004</v>
      </c>
      <c r="AB183">
        <v>16</v>
      </c>
      <c r="AC183">
        <v>149.4871</v>
      </c>
      <c r="AD183">
        <v>-1.1700710000000001</v>
      </c>
      <c r="AE183">
        <v>-8.2382999999999793</v>
      </c>
      <c r="AF183">
        <v>13.288204280520899</v>
      </c>
      <c r="AG183">
        <v>-1.1700710000000001</v>
      </c>
      <c r="AH183">
        <v>149.11387728463299</v>
      </c>
      <c r="AI183">
        <v>90.447806406476801</v>
      </c>
      <c r="AJ183">
        <v>84.907568819282503</v>
      </c>
      <c r="AK183">
        <v>149.70936456348599</v>
      </c>
      <c r="AL183">
        <v>92.803982170387997</v>
      </c>
      <c r="AM183">
        <v>88.215926602627306</v>
      </c>
      <c r="AN183">
        <v>1.00000002685256</v>
      </c>
    </row>
    <row r="184" spans="1:40" x14ac:dyDescent="0.25">
      <c r="A184" t="str">
        <f>"20190303154418028"</f>
        <v>20190303154418028</v>
      </c>
      <c r="B184" t="str">
        <f>"1551599058020432"</f>
        <v>1551599058020432</v>
      </c>
      <c r="C184" t="s">
        <v>40</v>
      </c>
      <c r="D184">
        <v>4.7079810000000002</v>
      </c>
      <c r="E184">
        <v>0.52212380000000003</v>
      </c>
      <c r="F184" t="s">
        <v>43</v>
      </c>
      <c r="G184">
        <v>-306.85700000000003</v>
      </c>
      <c r="H184">
        <v>-0.05</v>
      </c>
      <c r="I184">
        <v>359.55520000000001</v>
      </c>
      <c r="J184">
        <v>-455.5736</v>
      </c>
      <c r="K184">
        <v>1.1200680000000001</v>
      </c>
      <c r="L184">
        <v>367.86130000000003</v>
      </c>
      <c r="M184">
        <v>0.9994267</v>
      </c>
      <c r="N184">
        <v>-4.8209719999999998E-3</v>
      </c>
      <c r="O184">
        <v>3.3516369999999997E-2</v>
      </c>
      <c r="P184">
        <v>0.99855780000000005</v>
      </c>
      <c r="Q184">
        <v>-5.3664290000000003E-2</v>
      </c>
      <c r="R184">
        <v>1.7031049999999999E-3</v>
      </c>
      <c r="S184">
        <v>3.003479</v>
      </c>
      <c r="T184">
        <v>-2.3606539999999999E-2</v>
      </c>
      <c r="U184">
        <v>-0.1674805</v>
      </c>
      <c r="V184">
        <v>3.1747600000000001E-2</v>
      </c>
      <c r="W184">
        <v>-4.8864100000000001E-2</v>
      </c>
      <c r="X184">
        <v>0.99830070000000004</v>
      </c>
      <c r="Y184">
        <v>8.9104559999999999E-2</v>
      </c>
      <c r="Z184">
        <v>-6.6665500000000005E-4</v>
      </c>
      <c r="AA184">
        <v>0.99602199999999996</v>
      </c>
      <c r="AB184">
        <v>16</v>
      </c>
      <c r="AC184">
        <v>148.716599999999</v>
      </c>
      <c r="AD184">
        <v>-1.1700680000000001</v>
      </c>
      <c r="AE184">
        <v>-8.3061000000000096</v>
      </c>
      <c r="AF184">
        <v>13.2851111746174</v>
      </c>
      <c r="AG184">
        <v>-1.1700680000000001</v>
      </c>
      <c r="AH184">
        <v>148.34549662537401</v>
      </c>
      <c r="AI184">
        <v>90.450107065186401</v>
      </c>
      <c r="AJ184">
        <v>84.882516623221406</v>
      </c>
      <c r="AK184">
        <v>148.943780021441</v>
      </c>
      <c r="AL184">
        <v>92.800822184886897</v>
      </c>
      <c r="AM184">
        <v>88.178514100469698</v>
      </c>
      <c r="AN184">
        <v>0.99999994899752798</v>
      </c>
    </row>
    <row r="185" spans="1:40" x14ac:dyDescent="0.25">
      <c r="A185" t="str">
        <f>"20190303154418051"</f>
        <v>20190303154418051</v>
      </c>
      <c r="B185" t="str">
        <f>"1551599058039955"</f>
        <v>1551599058039955</v>
      </c>
      <c r="C185" t="s">
        <v>40</v>
      </c>
      <c r="D185">
        <v>4.7000590000000004</v>
      </c>
      <c r="E185">
        <v>0.51104799999999995</v>
      </c>
      <c r="F185" t="s">
        <v>43</v>
      </c>
      <c r="G185">
        <v>-311.25209999999998</v>
      </c>
      <c r="H185">
        <v>-0.05</v>
      </c>
      <c r="I185">
        <v>359.73700000000002</v>
      </c>
      <c r="J185">
        <v>-455.40429999999998</v>
      </c>
      <c r="K185">
        <v>1.12007099999999</v>
      </c>
      <c r="L185">
        <v>367.86660000000001</v>
      </c>
      <c r="M185">
        <v>0.99943749999999998</v>
      </c>
      <c r="N185">
        <v>-4.8751530000000001E-3</v>
      </c>
      <c r="O185">
        <v>3.3181170000000003E-2</v>
      </c>
      <c r="P185">
        <v>0.99853820000000004</v>
      </c>
      <c r="Q185">
        <v>-5.4049800000000002E-2</v>
      </c>
      <c r="R185">
        <v>4.7308609999999998E-4</v>
      </c>
      <c r="S185">
        <v>3.0033259999999999</v>
      </c>
      <c r="T185">
        <v>-2.434909E-2</v>
      </c>
      <c r="U185">
        <v>-0.16906740000000001</v>
      </c>
      <c r="V185">
        <v>3.264127E-2</v>
      </c>
      <c r="W185">
        <v>-4.9196289999999997E-2</v>
      </c>
      <c r="X185">
        <v>0.99825560000000002</v>
      </c>
      <c r="Y185">
        <v>8.9297699999999994E-2</v>
      </c>
      <c r="Z185">
        <v>-6.8674280000000001E-4</v>
      </c>
      <c r="AA185">
        <v>0.99600480000000002</v>
      </c>
      <c r="AB185">
        <v>16</v>
      </c>
      <c r="AC185">
        <v>144.15219999999999</v>
      </c>
      <c r="AD185">
        <v>-1.1700710000000001</v>
      </c>
      <c r="AE185">
        <v>-8.1296000000000301</v>
      </c>
      <c r="AF185">
        <v>12.907470973474799</v>
      </c>
      <c r="AG185">
        <v>-1.1700710000000001</v>
      </c>
      <c r="AH185">
        <v>143.79362465525699</v>
      </c>
      <c r="AI185">
        <v>90.4643474284116</v>
      </c>
      <c r="AJ185">
        <v>84.870656767610498</v>
      </c>
      <c r="AK185">
        <v>144.376515973247</v>
      </c>
      <c r="AL185">
        <v>92.819878087511199</v>
      </c>
      <c r="AM185">
        <v>88.127192166751698</v>
      </c>
      <c r="AN185">
        <v>0.999999985194168</v>
      </c>
    </row>
    <row r="186" spans="1:40" x14ac:dyDescent="0.25">
      <c r="A186" t="str">
        <f>"20190303154418074"</f>
        <v>20190303154418074</v>
      </c>
      <c r="B186" t="str">
        <f>"1551599058070207"</f>
        <v>1551599058070207</v>
      </c>
      <c r="C186" t="s">
        <v>40</v>
      </c>
      <c r="D186">
        <v>4.6699400000000004</v>
      </c>
      <c r="E186">
        <v>0.51110540000000004</v>
      </c>
      <c r="F186" t="s">
        <v>41</v>
      </c>
      <c r="G186">
        <v>-374.66370000000001</v>
      </c>
      <c r="H186" s="1">
        <v>-2.985385E-6</v>
      </c>
      <c r="I186">
        <v>365.59230000000002</v>
      </c>
      <c r="J186">
        <v>-455.24180000000001</v>
      </c>
      <c r="K186">
        <v>1.1200680000000001</v>
      </c>
      <c r="L186">
        <v>367.8716</v>
      </c>
      <c r="M186">
        <v>0.9994478</v>
      </c>
      <c r="N186">
        <v>-4.9280039999999997E-3</v>
      </c>
      <c r="O186">
        <v>3.2859569999999998E-2</v>
      </c>
      <c r="P186">
        <v>0.99854449999999995</v>
      </c>
      <c r="Q186">
        <v>-5.3933929999999998E-2</v>
      </c>
      <c r="R186">
        <v>4.1387230000000002E-4</v>
      </c>
      <c r="S186">
        <v>3.0021969999999998</v>
      </c>
      <c r="T186">
        <v>-4.1647910000000003E-2</v>
      </c>
      <c r="U186">
        <v>-8.4564210000000001E-2</v>
      </c>
      <c r="V186">
        <v>3.237934E-2</v>
      </c>
      <c r="W186">
        <v>-4.9027639999999997E-2</v>
      </c>
      <c r="X186">
        <v>0.99827239999999995</v>
      </c>
      <c r="Y186">
        <v>6.097876E-2</v>
      </c>
      <c r="Z186">
        <v>-8.6697469999999998E-4</v>
      </c>
      <c r="AA186">
        <v>0.99813870000000005</v>
      </c>
      <c r="AB186">
        <v>16</v>
      </c>
      <c r="AC186">
        <v>80.578100000000006</v>
      </c>
      <c r="AD186">
        <v>-1.1200709853849999</v>
      </c>
      <c r="AE186">
        <v>-2.2792999999999699</v>
      </c>
      <c r="AF186">
        <v>4.9249122036555901</v>
      </c>
      <c r="AG186">
        <v>-1.1200709853849999</v>
      </c>
      <c r="AH186">
        <v>80.444156135292005</v>
      </c>
      <c r="AI186">
        <v>90.796220508068402</v>
      </c>
      <c r="AJ186">
        <v>86.496638806177899</v>
      </c>
      <c r="AK186">
        <v>80.602553157733496</v>
      </c>
      <c r="AL186">
        <v>92.810203556434004</v>
      </c>
      <c r="AM186">
        <v>88.142241189859604</v>
      </c>
      <c r="AN186">
        <v>0.99999995787228102</v>
      </c>
    </row>
    <row r="187" spans="1:40" x14ac:dyDescent="0.25">
      <c r="A187" t="str">
        <f>"20190303154418096"</f>
        <v>20190303154418096</v>
      </c>
      <c r="B187" t="str">
        <f>"1551599058090492"</f>
        <v>1551599058090492</v>
      </c>
      <c r="C187" t="s">
        <v>40</v>
      </c>
      <c r="D187">
        <v>4.6787570000000001</v>
      </c>
      <c r="E187">
        <v>0.51106200000000002</v>
      </c>
      <c r="F187" t="s">
        <v>41</v>
      </c>
      <c r="G187">
        <v>-371.39850000000001</v>
      </c>
      <c r="H187" s="1">
        <v>-4.4042220000000003E-6</v>
      </c>
      <c r="I187">
        <v>365.49029999999999</v>
      </c>
      <c r="J187">
        <v>-455.07639999999998</v>
      </c>
      <c r="K187">
        <v>1.1200680000000001</v>
      </c>
      <c r="L187">
        <v>367.8766</v>
      </c>
      <c r="M187">
        <v>0.99945830000000002</v>
      </c>
      <c r="N187">
        <v>-4.9821170000000003E-3</v>
      </c>
      <c r="O187">
        <v>3.2532770000000003E-2</v>
      </c>
      <c r="P187">
        <v>0.99855240000000001</v>
      </c>
      <c r="Q187">
        <v>-5.3787880000000003E-2</v>
      </c>
      <c r="R187" s="1">
        <v>3.4905269999999997E-5</v>
      </c>
      <c r="S187">
        <v>3.0022579999999999</v>
      </c>
      <c r="T187">
        <v>-4.0107490000000003E-2</v>
      </c>
      <c r="U187">
        <v>-8.5266110000000006E-2</v>
      </c>
      <c r="V187">
        <v>3.2431880000000003E-2</v>
      </c>
      <c r="W187">
        <v>-4.8827750000000003E-2</v>
      </c>
      <c r="X187">
        <v>0.99828050000000002</v>
      </c>
      <c r="Y187">
        <v>6.0885660000000001E-2</v>
      </c>
      <c r="Z187">
        <v>-8.3074519999999999E-4</v>
      </c>
      <c r="AA187">
        <v>0.99814440000000004</v>
      </c>
      <c r="AB187">
        <v>16</v>
      </c>
      <c r="AC187">
        <v>83.677899999999894</v>
      </c>
      <c r="AD187">
        <v>-1.1200724042220001</v>
      </c>
      <c r="AE187">
        <v>-2.3862999999999999</v>
      </c>
      <c r="AF187">
        <v>5.1064301702172203</v>
      </c>
      <c r="AG187">
        <v>-1.1200724042220001</v>
      </c>
      <c r="AH187">
        <v>83.541015652639402</v>
      </c>
      <c r="AI187">
        <v>90.766713749581498</v>
      </c>
      <c r="AJ187">
        <v>86.502157294701604</v>
      </c>
      <c r="AK187">
        <v>83.704429318576402</v>
      </c>
      <c r="AL187">
        <v>92.798736945565196</v>
      </c>
      <c r="AM187">
        <v>88.139243921873003</v>
      </c>
      <c r="AN187">
        <v>0.99999996634532196</v>
      </c>
    </row>
    <row r="188" spans="1:40" x14ac:dyDescent="0.25">
      <c r="A188" t="str">
        <f>"20190303154418117"</f>
        <v>20190303154418117</v>
      </c>
      <c r="B188" t="str">
        <f>"1551599058110013"</f>
        <v>1551599058110013</v>
      </c>
      <c r="C188" t="s">
        <v>40</v>
      </c>
      <c r="D188">
        <v>4.7139220000000002</v>
      </c>
      <c r="E188">
        <v>0.51124899999999995</v>
      </c>
      <c r="F188" t="s">
        <v>41</v>
      </c>
      <c r="G188">
        <v>-364.85660000000001</v>
      </c>
      <c r="H188" s="1">
        <v>-2.9558070000000001E-6</v>
      </c>
      <c r="I188">
        <v>365.29230000000001</v>
      </c>
      <c r="J188">
        <v>-454.91379999999998</v>
      </c>
      <c r="K188">
        <v>1.1200650000000001</v>
      </c>
      <c r="L188">
        <v>367.88159999999999</v>
      </c>
      <c r="M188">
        <v>0.99946840000000003</v>
      </c>
      <c r="N188">
        <v>-5.0333000000000001E-3</v>
      </c>
      <c r="O188">
        <v>3.2210929999999999E-2</v>
      </c>
      <c r="P188">
        <v>0.99858119999999995</v>
      </c>
      <c r="Q188">
        <v>-5.3249100000000001E-2</v>
      </c>
      <c r="R188">
        <v>-1.7644189999999901E-4</v>
      </c>
      <c r="S188">
        <v>3.002319</v>
      </c>
      <c r="T188">
        <v>-3.7273529999999999E-2</v>
      </c>
      <c r="U188">
        <v>-8.5998539999999998E-2</v>
      </c>
      <c r="V188">
        <v>3.2322730000000001E-2</v>
      </c>
      <c r="W188">
        <v>-4.8237820000000001E-2</v>
      </c>
      <c r="X188">
        <v>0.9983128</v>
      </c>
      <c r="Y188">
        <v>6.0808109999999999E-2</v>
      </c>
      <c r="Z188">
        <v>-7.6814399999999903E-4</v>
      </c>
      <c r="AA188">
        <v>0.99814919999999996</v>
      </c>
      <c r="AB188">
        <v>16</v>
      </c>
      <c r="AC188">
        <v>90.057199999999895</v>
      </c>
      <c r="AD188">
        <v>-1.1200679558069999</v>
      </c>
      <c r="AE188">
        <v>-2.5892999999999802</v>
      </c>
      <c r="AF188">
        <v>5.4879711159463902</v>
      </c>
      <c r="AG188">
        <v>-1.1200679558069999</v>
      </c>
      <c r="AH188">
        <v>89.913165868490495</v>
      </c>
      <c r="AI188">
        <v>90.712383530469594</v>
      </c>
      <c r="AJ188">
        <v>86.507208058187302</v>
      </c>
      <c r="AK188">
        <v>90.087456261622705</v>
      </c>
      <c r="AL188">
        <v>92.764896345373103</v>
      </c>
      <c r="AM188">
        <v>88.145561904976006</v>
      </c>
      <c r="AN188">
        <v>1.00000004639842</v>
      </c>
    </row>
    <row r="189" spans="1:40" x14ac:dyDescent="0.25">
      <c r="A189" t="str">
        <f>"20190303154418143"</f>
        <v>20190303154418143</v>
      </c>
      <c r="B189" t="str">
        <f>"1551599058140268"</f>
        <v>1551599058140268</v>
      </c>
      <c r="C189" t="s">
        <v>40</v>
      </c>
      <c r="D189">
        <v>4.7437189999999996</v>
      </c>
      <c r="E189">
        <v>0.51116289999999998</v>
      </c>
      <c r="F189" t="s">
        <v>41</v>
      </c>
      <c r="G189">
        <v>-356.49990000000003</v>
      </c>
      <c r="H189" s="1">
        <v>-2.4079420000000002E-6</v>
      </c>
      <c r="I189">
        <v>364.99059999999997</v>
      </c>
      <c r="J189">
        <v>-454.7296</v>
      </c>
      <c r="K189">
        <v>1.1200669999999999</v>
      </c>
      <c r="L189">
        <v>367.88709999999998</v>
      </c>
      <c r="M189">
        <v>0.99947980000000003</v>
      </c>
      <c r="N189">
        <v>-5.0872529999999999E-3</v>
      </c>
      <c r="O189">
        <v>3.184671E-2</v>
      </c>
      <c r="P189">
        <v>0.99857799999999997</v>
      </c>
      <c r="Q189">
        <v>-5.330791E-2</v>
      </c>
      <c r="R189">
        <v>-4.626125E-4</v>
      </c>
      <c r="S189">
        <v>3.0024109999999999</v>
      </c>
      <c r="T189">
        <v>-3.4170989999999998E-2</v>
      </c>
      <c r="U189">
        <v>-8.8195800000000005E-2</v>
      </c>
      <c r="V189">
        <v>3.2244719999999998E-2</v>
      </c>
      <c r="W189">
        <v>-4.824291E-2</v>
      </c>
      <c r="X189">
        <v>0.99831499999999995</v>
      </c>
      <c r="Y189">
        <v>6.117446E-2</v>
      </c>
      <c r="Z189">
        <v>-7.0406189999999995E-4</v>
      </c>
      <c r="AA189">
        <v>0.99812690000000004</v>
      </c>
      <c r="AB189">
        <v>16</v>
      </c>
      <c r="AC189">
        <v>98.229699999999895</v>
      </c>
      <c r="AD189">
        <v>-1.1200694079419999</v>
      </c>
      <c r="AE189">
        <v>-2.8965000000000001</v>
      </c>
      <c r="AF189">
        <v>6.02258169747771</v>
      </c>
      <c r="AG189">
        <v>-1.1200694079419999</v>
      </c>
      <c r="AH189">
        <v>98.074887519259605</v>
      </c>
      <c r="AI189">
        <v>90.653090896878496</v>
      </c>
      <c r="AJ189">
        <v>86.485993956913603</v>
      </c>
      <c r="AK189">
        <v>98.266014510087999</v>
      </c>
      <c r="AL189">
        <v>92.765188532839502</v>
      </c>
      <c r="AM189">
        <v>88.150038499418002</v>
      </c>
      <c r="AN189">
        <v>0.99999996977907202</v>
      </c>
    </row>
    <row r="190" spans="1:40" x14ac:dyDescent="0.25">
      <c r="A190" t="str">
        <f>"20190303154418166"</f>
        <v>20190303154418166</v>
      </c>
      <c r="B190" t="str">
        <f>"1551599058159788"</f>
        <v>1551599058159788</v>
      </c>
      <c r="C190" t="s">
        <v>40</v>
      </c>
      <c r="D190">
        <v>4.7325929999999996</v>
      </c>
      <c r="E190">
        <v>0.51104839999999996</v>
      </c>
      <c r="F190" t="s">
        <v>41</v>
      </c>
      <c r="G190">
        <v>-357.54149999999998</v>
      </c>
      <c r="H190" s="1">
        <v>-2.0448220000000001E-6</v>
      </c>
      <c r="I190">
        <v>365.02319999999997</v>
      </c>
      <c r="J190">
        <v>-454.55829999999997</v>
      </c>
      <c r="K190">
        <v>1.1200730000000001</v>
      </c>
      <c r="L190">
        <v>367.8922</v>
      </c>
      <c r="M190">
        <v>0.99949030000000005</v>
      </c>
      <c r="N190">
        <v>-5.1326380000000001E-3</v>
      </c>
      <c r="O190">
        <v>3.1508130000000002E-2</v>
      </c>
      <c r="P190">
        <v>0.99860669999999996</v>
      </c>
      <c r="Q190">
        <v>-5.2758579999999999E-2</v>
      </c>
      <c r="R190">
        <v>-1.115193E-3</v>
      </c>
      <c r="S190">
        <v>3.00238</v>
      </c>
      <c r="T190">
        <v>-3.4601689999999997E-2</v>
      </c>
      <c r="U190">
        <v>-8.8470460000000001E-2</v>
      </c>
      <c r="V190">
        <v>3.255955E-2</v>
      </c>
      <c r="W190">
        <v>-4.764848E-2</v>
      </c>
      <c r="X190">
        <v>0.99833329999999998</v>
      </c>
      <c r="Y190">
        <v>6.0927750000000003E-2</v>
      </c>
      <c r="Z190">
        <v>-7.0874879999999999E-4</v>
      </c>
      <c r="AA190">
        <v>0.99814190000000003</v>
      </c>
      <c r="AB190">
        <v>17</v>
      </c>
      <c r="AC190">
        <v>97.016800000000003</v>
      </c>
      <c r="AD190">
        <v>-1.1200750448219901</v>
      </c>
      <c r="AE190">
        <v>-2.8690000000000202</v>
      </c>
      <c r="AF190">
        <v>5.9236448772073498</v>
      </c>
      <c r="AG190">
        <v>-1.1200750448219901</v>
      </c>
      <c r="AH190">
        <v>96.865331463515403</v>
      </c>
      <c r="AI190">
        <v>90.6612589185209</v>
      </c>
      <c r="AJ190">
        <v>86.500526003033897</v>
      </c>
      <c r="AK190">
        <v>97.052751513153893</v>
      </c>
      <c r="AL190">
        <v>92.731091068615001</v>
      </c>
      <c r="AM190">
        <v>88.132022855210806</v>
      </c>
      <c r="AN190">
        <v>0.99999993991569902</v>
      </c>
    </row>
    <row r="191" spans="1:40" x14ac:dyDescent="0.25">
      <c r="A191" t="str">
        <f>"20190303154418207"</f>
        <v>20190303154418207</v>
      </c>
      <c r="B191" t="str">
        <f>"1551599058199808"</f>
        <v>1551599058199808</v>
      </c>
      <c r="C191" t="s">
        <v>40</v>
      </c>
      <c r="D191">
        <v>4.7148789999999998</v>
      </c>
      <c r="E191">
        <v>0.51098679999999996</v>
      </c>
      <c r="F191" t="s">
        <v>41</v>
      </c>
      <c r="G191">
        <v>-351.68189999999998</v>
      </c>
      <c r="H191" s="1">
        <v>-4.399914E-6</v>
      </c>
      <c r="I191">
        <v>364.82929999999999</v>
      </c>
      <c r="J191">
        <v>-454.24099999999999</v>
      </c>
      <c r="K191">
        <v>1.1200859999999999</v>
      </c>
      <c r="L191">
        <v>367.90140000000002</v>
      </c>
      <c r="M191">
        <v>0.9995096</v>
      </c>
      <c r="N191">
        <v>-5.2072480000000003E-3</v>
      </c>
      <c r="O191">
        <v>3.088115E-2</v>
      </c>
      <c r="P191">
        <v>0.99863199999999996</v>
      </c>
      <c r="Q191">
        <v>-5.2223409999999998E-2</v>
      </c>
      <c r="R191">
        <v>-2.7288070000000002E-3</v>
      </c>
      <c r="S191">
        <v>3.0023499999999999</v>
      </c>
      <c r="T191">
        <v>-3.2688380000000003E-2</v>
      </c>
      <c r="U191">
        <v>-8.9385989999999999E-2</v>
      </c>
      <c r="V191">
        <v>3.3546909999999999E-2</v>
      </c>
      <c r="W191">
        <v>-4.7039570000000003E-2</v>
      </c>
      <c r="X191">
        <v>0.99832949999999998</v>
      </c>
      <c r="Y191">
        <v>6.0606710000000001E-2</v>
      </c>
      <c r="Z191">
        <v>-6.6305409999999998E-4</v>
      </c>
      <c r="AA191">
        <v>0.99816150000000003</v>
      </c>
      <c r="AB191">
        <v>17</v>
      </c>
      <c r="AC191">
        <v>102.5591</v>
      </c>
      <c r="AD191">
        <v>-1.1200903999139999</v>
      </c>
      <c r="AE191">
        <v>-3.07210000000003</v>
      </c>
      <c r="AF191">
        <v>6.2370770615893401</v>
      </c>
      <c r="AG191">
        <v>-1.1200903999139999</v>
      </c>
      <c r="AH191">
        <v>102.403109837557</v>
      </c>
      <c r="AI191">
        <v>90.625520073876899</v>
      </c>
      <c r="AJ191">
        <v>86.514585549712805</v>
      </c>
      <c r="AK191">
        <v>102.59898945496001</v>
      </c>
      <c r="AL191">
        <v>92.696163890570205</v>
      </c>
      <c r="AM191">
        <v>88.075411580958303</v>
      </c>
      <c r="AN191">
        <v>0.99999995344328996</v>
      </c>
    </row>
    <row r="192" spans="1:40" x14ac:dyDescent="0.25">
      <c r="A192" t="str">
        <f>"20190303154418229"</f>
        <v>20190303154418229</v>
      </c>
      <c r="B192" t="str">
        <f>"1551599058220304"</f>
        <v>1551599058220304</v>
      </c>
      <c r="C192" t="s">
        <v>40</v>
      </c>
      <c r="D192">
        <v>4.7484570000000001</v>
      </c>
      <c r="E192">
        <v>0.51090869999999999</v>
      </c>
      <c r="F192" t="s">
        <v>41</v>
      </c>
      <c r="G192">
        <v>-348.84269999999998</v>
      </c>
      <c r="H192" s="1">
        <v>-1.7618039999999999E-6</v>
      </c>
      <c r="I192">
        <v>364.60579999999999</v>
      </c>
      <c r="J192">
        <v>-454.07530000000003</v>
      </c>
      <c r="K192">
        <v>1.1200840000000001</v>
      </c>
      <c r="L192">
        <v>367.90620000000001</v>
      </c>
      <c r="M192">
        <v>0.99951939999999995</v>
      </c>
      <c r="N192">
        <v>-5.2415930000000001E-3</v>
      </c>
      <c r="O192">
        <v>3.0554230000000002E-2</v>
      </c>
      <c r="P192">
        <v>0.99862960000000001</v>
      </c>
      <c r="Q192">
        <v>-5.2233790000000002E-2</v>
      </c>
      <c r="R192">
        <v>-3.2493539999999999E-3</v>
      </c>
      <c r="S192">
        <v>3.0021969999999998</v>
      </c>
      <c r="T192">
        <v>-3.190494E-2</v>
      </c>
      <c r="U192">
        <v>-9.3872070000000002E-2</v>
      </c>
      <c r="V192">
        <v>3.3740689999999997E-2</v>
      </c>
      <c r="W192">
        <v>-4.7015979999999999E-2</v>
      </c>
      <c r="X192">
        <v>0.99832419999999999</v>
      </c>
      <c r="Y192">
        <v>6.1772000000000001E-2</v>
      </c>
      <c r="Z192">
        <v>-6.5458729999999998E-4</v>
      </c>
      <c r="AA192">
        <v>0.99809009999999998</v>
      </c>
      <c r="AB192">
        <v>17</v>
      </c>
      <c r="AC192">
        <v>105.23260000000001</v>
      </c>
      <c r="AD192">
        <v>-1.1200857618039901</v>
      </c>
      <c r="AE192">
        <v>-3.3004000000000202</v>
      </c>
      <c r="AF192">
        <v>6.5134669599314599</v>
      </c>
      <c r="AG192">
        <v>-1.1200857618039901</v>
      </c>
      <c r="AH192">
        <v>105.070732046461</v>
      </c>
      <c r="AI192">
        <v>90.609597088449405</v>
      </c>
      <c r="AJ192">
        <v>86.452701837220005</v>
      </c>
      <c r="AK192">
        <v>105.278386085327</v>
      </c>
      <c r="AL192">
        <v>92.694810465109299</v>
      </c>
      <c r="AM192">
        <v>88.064292574172896</v>
      </c>
      <c r="AN192">
        <v>1.00000007242133</v>
      </c>
    </row>
    <row r="193" spans="1:40" x14ac:dyDescent="0.25">
      <c r="A193" t="str">
        <f>"20190303154418252"</f>
        <v>20190303154418252</v>
      </c>
      <c r="B193" t="str">
        <f>"1551599058250560"</f>
        <v>1551599058250560</v>
      </c>
      <c r="C193" t="s">
        <v>40</v>
      </c>
      <c r="D193">
        <v>4.7342459999999997</v>
      </c>
      <c r="E193">
        <v>0.5107815</v>
      </c>
      <c r="F193" t="s">
        <v>41</v>
      </c>
      <c r="G193">
        <v>-354.28179999999998</v>
      </c>
      <c r="H193" s="1">
        <v>-3.2966069999999999E-6</v>
      </c>
      <c r="I193">
        <v>364.76130000000001</v>
      </c>
      <c r="J193">
        <v>-453.88979999999998</v>
      </c>
      <c r="K193">
        <v>1.120082</v>
      </c>
      <c r="L193">
        <v>367.91140000000001</v>
      </c>
      <c r="M193">
        <v>0.99953040000000004</v>
      </c>
      <c r="N193">
        <v>-5.276719E-3</v>
      </c>
      <c r="O193">
        <v>3.0188199999999998E-2</v>
      </c>
      <c r="P193">
        <v>0.99863170000000001</v>
      </c>
      <c r="Q193">
        <v>-5.2187600000000001E-2</v>
      </c>
      <c r="R193">
        <v>-3.4365189999999999E-3</v>
      </c>
      <c r="S193">
        <v>3.0020449999999999</v>
      </c>
      <c r="T193">
        <v>-3.3695099999999999E-2</v>
      </c>
      <c r="U193">
        <v>-9.4604489999999999E-2</v>
      </c>
      <c r="V193">
        <v>3.3561859999999999E-2</v>
      </c>
      <c r="W193">
        <v>-4.6934730000000001E-2</v>
      </c>
      <c r="X193">
        <v>0.99833400000000005</v>
      </c>
      <c r="Y193">
        <v>6.1650759999999999E-2</v>
      </c>
      <c r="Z193">
        <v>-6.8808289999999902E-4</v>
      </c>
      <c r="AA193">
        <v>0.99809749999999997</v>
      </c>
      <c r="AB193">
        <v>17</v>
      </c>
      <c r="AC193">
        <v>99.607999999999905</v>
      </c>
      <c r="AD193">
        <v>-1.1200852966069901</v>
      </c>
      <c r="AE193">
        <v>-3.1501000000000001</v>
      </c>
      <c r="AF193">
        <v>6.1549145457727397</v>
      </c>
      <c r="AG193">
        <v>-1.1200852966069901</v>
      </c>
      <c r="AH193">
        <v>99.454940119477499</v>
      </c>
      <c r="AI193">
        <v>90.644019484115105</v>
      </c>
      <c r="AJ193">
        <v>86.458683214054105</v>
      </c>
      <c r="AK193">
        <v>99.65150615172</v>
      </c>
      <c r="AL193">
        <v>92.690150175720703</v>
      </c>
      <c r="AM193">
        <v>88.074563216355102</v>
      </c>
      <c r="AN193">
        <v>1.00000002144141</v>
      </c>
    </row>
    <row r="194" spans="1:40" x14ac:dyDescent="0.25">
      <c r="A194" t="str">
        <f>"20190303154418273"</f>
        <v>20190303154418273</v>
      </c>
      <c r="B194" t="str">
        <f>"1551599058260320"</f>
        <v>1551599058260320</v>
      </c>
      <c r="C194" t="s">
        <v>40</v>
      </c>
      <c r="D194">
        <v>4.6752949999999904</v>
      </c>
      <c r="E194">
        <v>0.51087740000000004</v>
      </c>
      <c r="F194" t="s">
        <v>41</v>
      </c>
      <c r="G194">
        <v>-359.40989999999999</v>
      </c>
      <c r="H194" s="1">
        <v>-1.4310200000000001E-6</v>
      </c>
      <c r="I194">
        <v>364.94049999999999</v>
      </c>
      <c r="J194">
        <v>-453.72890000000001</v>
      </c>
      <c r="K194">
        <v>1.1200810000000001</v>
      </c>
      <c r="L194">
        <v>367.91590000000002</v>
      </c>
      <c r="M194">
        <v>0.99953970000000003</v>
      </c>
      <c r="N194">
        <v>-5.3048009999999996E-3</v>
      </c>
      <c r="O194">
        <v>2.9870830000000001E-2</v>
      </c>
      <c r="P194">
        <v>0.99864660000000005</v>
      </c>
      <c r="Q194">
        <v>-5.189005E-2</v>
      </c>
      <c r="R194">
        <v>-3.5550629999999998E-3</v>
      </c>
      <c r="S194">
        <v>3.0018919999999998</v>
      </c>
      <c r="T194">
        <v>-3.5588149999999999E-2</v>
      </c>
      <c r="U194">
        <v>-9.4390870000000002E-2</v>
      </c>
      <c r="V194">
        <v>3.3364020000000001E-2</v>
      </c>
      <c r="W194">
        <v>-4.6609079999999997E-2</v>
      </c>
      <c r="X194">
        <v>0.99835589999999996</v>
      </c>
      <c r="Y194">
        <v>6.1263860000000003E-2</v>
      </c>
      <c r="Z194">
        <v>-7.2120339999999896E-4</v>
      </c>
      <c r="AA194">
        <v>0.99812129999999999</v>
      </c>
      <c r="AB194">
        <v>17</v>
      </c>
      <c r="AC194">
        <v>94.319000000000003</v>
      </c>
      <c r="AD194">
        <v>-1.1200824310199999</v>
      </c>
      <c r="AE194">
        <v>-2.9754000000000298</v>
      </c>
      <c r="AF194">
        <v>5.7906828424547596</v>
      </c>
      <c r="AG194">
        <v>-1.1200824310199999</v>
      </c>
      <c r="AH194">
        <v>94.174763706825203</v>
      </c>
      <c r="AI194">
        <v>90.680139853508706</v>
      </c>
      <c r="AJ194">
        <v>86.481387577663497</v>
      </c>
      <c r="AK194">
        <v>94.359274645741806</v>
      </c>
      <c r="AL194">
        <v>92.671471330715306</v>
      </c>
      <c r="AM194">
        <v>88.085946743753595</v>
      </c>
      <c r="AN194">
        <v>1.0000000336168999</v>
      </c>
    </row>
    <row r="195" spans="1:40" x14ac:dyDescent="0.25">
      <c r="A195" t="str">
        <f>"20190303154418297"</f>
        <v>20190303154418297</v>
      </c>
      <c r="B195" t="str">
        <f>"1551599058290107"</f>
        <v>1551599058290107</v>
      </c>
      <c r="C195" t="s">
        <v>40</v>
      </c>
      <c r="D195">
        <v>4.6442170000000003</v>
      </c>
      <c r="E195">
        <v>0.50172749999999999</v>
      </c>
      <c r="F195" t="s">
        <v>41</v>
      </c>
      <c r="G195">
        <v>-353.37220000000002</v>
      </c>
      <c r="H195" s="1">
        <v>-3.694035E-6</v>
      </c>
      <c r="I195">
        <v>364.72059999999999</v>
      </c>
      <c r="J195">
        <v>-453.53899999999999</v>
      </c>
      <c r="K195">
        <v>1.12008</v>
      </c>
      <c r="L195">
        <v>367.92110000000002</v>
      </c>
      <c r="M195">
        <v>0.99955070000000001</v>
      </c>
      <c r="N195">
        <v>-5.3353169999999896E-3</v>
      </c>
      <c r="O195">
        <v>2.9495939999999998E-2</v>
      </c>
      <c r="P195">
        <v>0.9986332</v>
      </c>
      <c r="Q195">
        <v>-5.2158589999999998E-2</v>
      </c>
      <c r="R195">
        <v>-3.3970329999999998E-3</v>
      </c>
      <c r="S195">
        <v>3.002014</v>
      </c>
      <c r="T195">
        <v>-3.3505559999999997E-2</v>
      </c>
      <c r="U195">
        <v>-9.5581050000000001E-2</v>
      </c>
      <c r="V195">
        <v>3.2831010000000001E-2</v>
      </c>
      <c r="W195">
        <v>-4.6847050000000001E-2</v>
      </c>
      <c r="X195">
        <v>0.99836239999999998</v>
      </c>
      <c r="Y195">
        <v>6.1284289999999998E-2</v>
      </c>
      <c r="Z195">
        <v>-6.7722270000000002E-4</v>
      </c>
      <c r="AA195">
        <v>0.99812009999999995</v>
      </c>
      <c r="AB195">
        <v>17</v>
      </c>
      <c r="AC195">
        <v>100.166799999999</v>
      </c>
      <c r="AD195">
        <v>-1.1200836940350001</v>
      </c>
      <c r="AE195">
        <v>-3.2005000000000301</v>
      </c>
      <c r="AF195">
        <v>6.1528947017218902</v>
      </c>
      <c r="AG195">
        <v>-1.1200836940350001</v>
      </c>
      <c r="AH195">
        <v>100.016319690256</v>
      </c>
      <c r="AI195">
        <v>90.640418533676296</v>
      </c>
      <c r="AJ195">
        <v>86.479662771655299</v>
      </c>
      <c r="AK195">
        <v>100.21166052449</v>
      </c>
      <c r="AL195">
        <v>92.685121003341294</v>
      </c>
      <c r="AM195">
        <v>88.116514929979303</v>
      </c>
      <c r="AN195">
        <v>1.0000000015225401</v>
      </c>
    </row>
    <row r="196" spans="1:40" x14ac:dyDescent="0.25">
      <c r="A196" t="str">
        <f>"20190303154418319"</f>
        <v>20190303154418319</v>
      </c>
      <c r="B196" t="str">
        <f>"1551599058310605"</f>
        <v>1551599058310605</v>
      </c>
      <c r="C196" t="s">
        <v>40</v>
      </c>
      <c r="D196">
        <v>4.6457249999999997</v>
      </c>
      <c r="E196">
        <v>0.50107170000000001</v>
      </c>
      <c r="F196" t="s">
        <v>43</v>
      </c>
      <c r="G196">
        <v>-438.10939999999999</v>
      </c>
      <c r="H196">
        <v>-0.05</v>
      </c>
      <c r="I196">
        <v>367.79070000000002</v>
      </c>
      <c r="J196">
        <v>-453.37209999999999</v>
      </c>
      <c r="K196">
        <v>1.1200730000000001</v>
      </c>
      <c r="L196">
        <v>367.92570000000001</v>
      </c>
      <c r="M196">
        <v>0.99956029999999996</v>
      </c>
      <c r="N196">
        <v>-5.3604539999999997E-3</v>
      </c>
      <c r="O196">
        <v>2.9166660000000001E-2</v>
      </c>
      <c r="P196">
        <v>0.99865700000000002</v>
      </c>
      <c r="Q196">
        <v>-5.1709629999999999E-2</v>
      </c>
      <c r="R196">
        <v>-3.2408749999999998E-3</v>
      </c>
      <c r="S196">
        <v>2.9921570000000002</v>
      </c>
      <c r="T196">
        <v>-0.22690550000000001</v>
      </c>
      <c r="U196">
        <v>-2.529907E-2</v>
      </c>
      <c r="V196">
        <v>3.2346930000000003E-2</v>
      </c>
      <c r="W196">
        <v>-4.6372719999999999E-2</v>
      </c>
      <c r="X196">
        <v>0.99840030000000002</v>
      </c>
      <c r="Y196">
        <v>3.7429869999999997E-2</v>
      </c>
      <c r="Z196">
        <v>-3.5699149999999999E-3</v>
      </c>
      <c r="AA196">
        <v>0.99929290000000004</v>
      </c>
      <c r="AB196">
        <v>17</v>
      </c>
      <c r="AC196">
        <v>15.262699999999899</v>
      </c>
      <c r="AD196">
        <v>-1.1700729999999999</v>
      </c>
      <c r="AE196">
        <v>-0.13499999999998999</v>
      </c>
      <c r="AF196">
        <v>0.57672170562015301</v>
      </c>
      <c r="AG196">
        <v>-1.1700729999999999</v>
      </c>
      <c r="AH196">
        <v>15.163160474841201</v>
      </c>
      <c r="AI196">
        <v>94.409338170865794</v>
      </c>
      <c r="AJ196">
        <v>87.821839338622695</v>
      </c>
      <c r="AK196">
        <v>15.219169305085201</v>
      </c>
      <c r="AL196">
        <v>92.657914447936705</v>
      </c>
      <c r="AM196">
        <v>88.144336990496399</v>
      </c>
      <c r="AN196">
        <v>0.99999995604035496</v>
      </c>
    </row>
    <row r="197" spans="1:40" x14ac:dyDescent="0.25">
      <c r="A197" t="str">
        <f>"20190303154418344"</f>
        <v>20190303154418344</v>
      </c>
      <c r="B197" t="str">
        <f>"1551599058339884"</f>
        <v>1551599058339884</v>
      </c>
      <c r="C197" t="s">
        <v>40</v>
      </c>
      <c r="D197">
        <v>4.6428409999999998</v>
      </c>
      <c r="E197">
        <v>0.50078480000000003</v>
      </c>
      <c r="F197" t="s">
        <v>43</v>
      </c>
      <c r="G197">
        <v>-438.5872</v>
      </c>
      <c r="H197">
        <v>-0.05</v>
      </c>
      <c r="I197">
        <v>367.82929999999999</v>
      </c>
      <c r="J197">
        <v>-453.17500000000001</v>
      </c>
      <c r="K197">
        <v>1.120072</v>
      </c>
      <c r="L197">
        <v>367.93090000000001</v>
      </c>
      <c r="M197">
        <v>0.9995714</v>
      </c>
      <c r="N197">
        <v>-5.3921689999999996E-3</v>
      </c>
      <c r="O197">
        <v>2.877799E-2</v>
      </c>
      <c r="P197">
        <v>0.99865060000000005</v>
      </c>
      <c r="Q197">
        <v>-5.180303E-2</v>
      </c>
      <c r="R197">
        <v>-3.6518570000000001E-3</v>
      </c>
      <c r="S197">
        <v>2.9916990000000001</v>
      </c>
      <c r="T197">
        <v>-0.2367629</v>
      </c>
      <c r="U197">
        <v>-1.9500730000000001E-2</v>
      </c>
      <c r="V197">
        <v>3.2369290000000002E-2</v>
      </c>
      <c r="W197">
        <v>-4.6434660000000003E-2</v>
      </c>
      <c r="X197">
        <v>0.99839679999999997</v>
      </c>
      <c r="Y197">
        <v>3.5097870000000003E-2</v>
      </c>
      <c r="Z197">
        <v>-3.6001890000000002E-3</v>
      </c>
      <c r="AA197">
        <v>0.99937739999999997</v>
      </c>
      <c r="AB197">
        <v>18</v>
      </c>
      <c r="AC197">
        <v>14.5878</v>
      </c>
      <c r="AD197">
        <v>-1.170072</v>
      </c>
      <c r="AE197">
        <v>-0.10160000000001899</v>
      </c>
      <c r="AF197">
        <v>0.51803890757302096</v>
      </c>
      <c r="AG197">
        <v>-1.170072</v>
      </c>
      <c r="AH197">
        <v>14.4856455710076</v>
      </c>
      <c r="AI197">
        <v>94.615079224126802</v>
      </c>
      <c r="AJ197">
        <v>87.9518483300686</v>
      </c>
      <c r="AK197">
        <v>14.5420548893131</v>
      </c>
      <c r="AL197">
        <v>92.6614669004543</v>
      </c>
      <c r="AM197">
        <v>88.143048645418901</v>
      </c>
      <c r="AN197">
        <v>1.00000005941732</v>
      </c>
    </row>
    <row r="198" spans="1:40" x14ac:dyDescent="0.25">
      <c r="A198" t="str">
        <f>"20190303154418367"</f>
        <v>20190303154418367</v>
      </c>
      <c r="B198" t="str">
        <f>"1551599058360380"</f>
        <v>1551599058360380</v>
      </c>
      <c r="C198" t="s">
        <v>40</v>
      </c>
      <c r="D198">
        <v>4.6783849999999996</v>
      </c>
      <c r="E198">
        <v>0.50076999999999905</v>
      </c>
      <c r="F198" t="s">
        <v>42</v>
      </c>
      <c r="G198">
        <v>-452.30340000000001</v>
      </c>
      <c r="H198">
        <v>1.048797</v>
      </c>
      <c r="I198">
        <v>367.92529999999999</v>
      </c>
      <c r="J198">
        <v>-452.99180000000001</v>
      </c>
      <c r="K198">
        <v>1.1200680000000001</v>
      </c>
      <c r="L198">
        <v>367.93579999999997</v>
      </c>
      <c r="M198">
        <v>0.99958150000000001</v>
      </c>
      <c r="N198">
        <v>-5.4295039999999999E-3</v>
      </c>
      <c r="O198">
        <v>2.8416420000000001E-2</v>
      </c>
      <c r="P198">
        <v>0.99861290000000003</v>
      </c>
      <c r="Q198">
        <v>-5.2510149999999998E-2</v>
      </c>
      <c r="R198">
        <v>-3.8923970000000001E-3</v>
      </c>
      <c r="S198">
        <v>2.9913020000000001</v>
      </c>
      <c r="T198">
        <v>-0.2447735</v>
      </c>
      <c r="U198">
        <v>-1.8798829999999999E-2</v>
      </c>
      <c r="V198">
        <v>3.2246950000000003E-2</v>
      </c>
      <c r="W198">
        <v>-4.7104750000000001E-2</v>
      </c>
      <c r="X198">
        <v>0.99836930000000002</v>
      </c>
      <c r="Y198">
        <v>3.4492380000000003E-2</v>
      </c>
      <c r="Z198">
        <v>-3.6697930000000002E-3</v>
      </c>
      <c r="AA198">
        <v>0.99939820000000001</v>
      </c>
      <c r="AB198">
        <v>18</v>
      </c>
      <c r="AC198">
        <v>0.68840000000000101</v>
      </c>
      <c r="AD198">
        <v>-7.1271000000000001E-2</v>
      </c>
      <c r="AE198">
        <v>-1.0499999999979E-2</v>
      </c>
      <c r="AF198">
        <v>2.9739217136289402E-2</v>
      </c>
      <c r="AG198">
        <v>-7.1271000000000001E-2</v>
      </c>
      <c r="AH198">
        <v>0.680530878827597</v>
      </c>
      <c r="AI198">
        <v>95.973048813429102</v>
      </c>
      <c r="AJ198">
        <v>87.497764965044396</v>
      </c>
      <c r="AK198">
        <v>0.68489871770557498</v>
      </c>
      <c r="AL198">
        <v>92.699902471948107</v>
      </c>
      <c r="AM198">
        <v>88.150011201578906</v>
      </c>
      <c r="AN198">
        <v>0.99999999121967698</v>
      </c>
    </row>
    <row r="199" spans="1:40" x14ac:dyDescent="0.25">
      <c r="A199" t="str">
        <f>"20190303154418389"</f>
        <v>20190303154418389</v>
      </c>
      <c r="B199" t="str">
        <f>"1551599058379900"</f>
        <v>1551599058379900</v>
      </c>
      <c r="C199" t="s">
        <v>40</v>
      </c>
      <c r="D199">
        <v>4.6121429999999997</v>
      </c>
      <c r="E199">
        <v>0.500753</v>
      </c>
      <c r="F199" t="s">
        <v>42</v>
      </c>
      <c r="G199">
        <v>-452.14260000000002</v>
      </c>
      <c r="H199">
        <v>1.0490250000000001</v>
      </c>
      <c r="I199">
        <v>367.93020000000001</v>
      </c>
      <c r="J199">
        <v>-452.8125</v>
      </c>
      <c r="K199">
        <v>1.120074</v>
      </c>
      <c r="L199">
        <v>367.94049999999999</v>
      </c>
      <c r="M199">
        <v>0.99959109999999995</v>
      </c>
      <c r="N199">
        <v>-5.4747149999999998E-3</v>
      </c>
      <c r="O199">
        <v>2.8063299999999999E-2</v>
      </c>
      <c r="P199">
        <v>0.99860260000000001</v>
      </c>
      <c r="Q199">
        <v>-5.2706059999999999E-2</v>
      </c>
      <c r="R199">
        <v>-3.8902450000000001E-3</v>
      </c>
      <c r="S199">
        <v>2.990936</v>
      </c>
      <c r="T199">
        <v>-0.2502587</v>
      </c>
      <c r="U199">
        <v>-1.9470210000000002E-2</v>
      </c>
      <c r="V199">
        <v>3.1891500000000003E-2</v>
      </c>
      <c r="W199">
        <v>-4.7255510000000001E-2</v>
      </c>
      <c r="X199">
        <v>0.99837359999999997</v>
      </c>
      <c r="Y199">
        <v>3.4356589999999999E-2</v>
      </c>
      <c r="Z199">
        <v>-3.719473E-3</v>
      </c>
      <c r="AA199">
        <v>0.99940269999999998</v>
      </c>
      <c r="AB199">
        <v>18</v>
      </c>
      <c r="AC199">
        <v>0.66989999999998395</v>
      </c>
      <c r="AD199">
        <v>-7.1048999999999904E-2</v>
      </c>
      <c r="AE199">
        <v>-1.0299999999972401E-2</v>
      </c>
      <c r="AF199">
        <v>2.8772261352042399E-2</v>
      </c>
      <c r="AG199">
        <v>-7.1048999999999904E-2</v>
      </c>
      <c r="AH199">
        <v>0.66190340999386799</v>
      </c>
      <c r="AI199">
        <v>96.120958970188497</v>
      </c>
      <c r="AJ199">
        <v>87.510978238996998</v>
      </c>
      <c r="AK199">
        <v>0.66632719259071205</v>
      </c>
      <c r="AL199">
        <v>92.708549995059698</v>
      </c>
      <c r="AM199">
        <v>88.170397099714805</v>
      </c>
      <c r="AN199">
        <v>0.99999999808728401</v>
      </c>
    </row>
    <row r="200" spans="1:40" x14ac:dyDescent="0.25">
      <c r="A200" t="str">
        <f>"20190303154418409"</f>
        <v>20190303154418409</v>
      </c>
      <c r="B200" t="str">
        <f>"1551599058399945"</f>
        <v>1551599058399945</v>
      </c>
      <c r="C200" t="s">
        <v>40</v>
      </c>
      <c r="D200">
        <v>4.608403</v>
      </c>
      <c r="E200">
        <v>0.50074479999999999</v>
      </c>
      <c r="F200" t="s">
        <v>42</v>
      </c>
      <c r="G200">
        <v>-451.98039999999997</v>
      </c>
      <c r="H200">
        <v>1.049936</v>
      </c>
      <c r="I200">
        <v>367.93459999999999</v>
      </c>
      <c r="J200">
        <v>-452.64690000000002</v>
      </c>
      <c r="K200">
        <v>1.12008</v>
      </c>
      <c r="L200">
        <v>367.94479999999999</v>
      </c>
      <c r="M200">
        <v>0.99960009999999999</v>
      </c>
      <c r="N200">
        <v>-5.5313360000000004E-3</v>
      </c>
      <c r="O200">
        <v>2.7737850000000001E-2</v>
      </c>
      <c r="P200">
        <v>0.99855479999999996</v>
      </c>
      <c r="Q200">
        <v>-5.357344E-2</v>
      </c>
      <c r="R200">
        <v>-4.3119739999999997E-3</v>
      </c>
      <c r="S200">
        <v>2.9908450000000002</v>
      </c>
      <c r="T200">
        <v>-0.25241590000000003</v>
      </c>
      <c r="U200">
        <v>-1.9409180000000002E-2</v>
      </c>
      <c r="V200">
        <v>3.1986239999999999E-2</v>
      </c>
      <c r="W200">
        <v>-4.8066780000000003E-2</v>
      </c>
      <c r="X200">
        <v>0.99833179999999999</v>
      </c>
      <c r="Y200">
        <v>3.4009640000000001E-2</v>
      </c>
      <c r="Z200">
        <v>-3.7102530000000002E-3</v>
      </c>
      <c r="AA200">
        <v>0.99941460000000004</v>
      </c>
      <c r="AB200">
        <v>18</v>
      </c>
      <c r="AC200">
        <v>0.66650000000004095</v>
      </c>
      <c r="AD200">
        <v>-7.0143999999999901E-2</v>
      </c>
      <c r="AE200">
        <v>-1.0199999999997499E-2</v>
      </c>
      <c r="AF200">
        <v>2.8369486644901298E-2</v>
      </c>
      <c r="AG200">
        <v>-7.0143999999999901E-2</v>
      </c>
      <c r="AH200">
        <v>0.658666963757359</v>
      </c>
      <c r="AI200">
        <v>96.073150896219005</v>
      </c>
      <c r="AJ200">
        <v>87.533734156709102</v>
      </c>
      <c r="AK200">
        <v>0.66299862568019896</v>
      </c>
      <c r="AL200">
        <v>92.755085335968104</v>
      </c>
      <c r="AM200">
        <v>88.164888833360806</v>
      </c>
      <c r="AN200">
        <v>0.99999995889007198</v>
      </c>
    </row>
    <row r="201" spans="1:40" x14ac:dyDescent="0.25">
      <c r="A201" t="str">
        <f>"20190303154418434"</f>
        <v>20190303154418434</v>
      </c>
      <c r="B201" t="str">
        <f>"1551599058430200"</f>
        <v>1551599058430200</v>
      </c>
      <c r="C201" t="s">
        <v>40</v>
      </c>
      <c r="D201">
        <v>4.6137290000000002</v>
      </c>
      <c r="E201">
        <v>0.50075170000000002</v>
      </c>
      <c r="F201" t="s">
        <v>42</v>
      </c>
      <c r="G201">
        <v>-451.81900000000002</v>
      </c>
      <c r="H201">
        <v>1.049029</v>
      </c>
      <c r="I201">
        <v>367.93920000000003</v>
      </c>
      <c r="J201">
        <v>-452.452</v>
      </c>
      <c r="K201">
        <v>1.1200939999999999</v>
      </c>
      <c r="L201">
        <v>367.94979999999998</v>
      </c>
      <c r="M201">
        <v>0.99960979999999999</v>
      </c>
      <c r="N201">
        <v>-5.6361730000000004E-3</v>
      </c>
      <c r="O201">
        <v>2.7356100000000001E-2</v>
      </c>
      <c r="P201">
        <v>0.99852850000000004</v>
      </c>
      <c r="Q201">
        <v>-5.399056E-2</v>
      </c>
      <c r="R201">
        <v>-5.1199740000000002E-3</v>
      </c>
      <c r="S201">
        <v>2.9904790000000001</v>
      </c>
      <c r="T201">
        <v>-0.2567121</v>
      </c>
      <c r="U201">
        <v>-2.029419E-2</v>
      </c>
      <c r="V201">
        <v>3.2411559999999999E-2</v>
      </c>
      <c r="W201">
        <v>-4.8379819999999997E-2</v>
      </c>
      <c r="X201">
        <v>0.99830300000000005</v>
      </c>
      <c r="Y201">
        <v>3.3918700000000003E-2</v>
      </c>
      <c r="Z201">
        <v>-3.7388310000000002E-3</v>
      </c>
      <c r="AA201">
        <v>0.99941760000000002</v>
      </c>
      <c r="AB201">
        <v>18</v>
      </c>
      <c r="AC201">
        <v>0.63299999999998102</v>
      </c>
      <c r="AD201">
        <v>-7.10650000000001E-2</v>
      </c>
      <c r="AE201">
        <v>-1.05999999999539E-2</v>
      </c>
      <c r="AF201">
        <v>2.7565386969074498E-2</v>
      </c>
      <c r="AG201">
        <v>-7.10650000000001E-2</v>
      </c>
      <c r="AH201">
        <v>0.62460290386401796</v>
      </c>
      <c r="AI201">
        <v>96.484730237028202</v>
      </c>
      <c r="AJ201">
        <v>87.473024638711905</v>
      </c>
      <c r="AK201">
        <v>0.62923673788099699</v>
      </c>
      <c r="AL201">
        <v>92.773041990301394</v>
      </c>
      <c r="AM201">
        <v>88.140450831125307</v>
      </c>
      <c r="AN201">
        <v>0.99999999800693296</v>
      </c>
    </row>
    <row r="202" spans="1:40" x14ac:dyDescent="0.25">
      <c r="A202" t="str">
        <f>"20190303154418453"</f>
        <v>20190303154418453</v>
      </c>
      <c r="B202" t="str">
        <f>"1551599058450696"</f>
        <v>1551599058450696</v>
      </c>
      <c r="C202" t="s">
        <v>40</v>
      </c>
      <c r="D202">
        <v>4.6476490000000004</v>
      </c>
      <c r="E202">
        <v>0.50078579999999995</v>
      </c>
      <c r="F202" t="s">
        <v>42</v>
      </c>
      <c r="G202">
        <v>-451.65440000000001</v>
      </c>
      <c r="H202">
        <v>1.0509440000000001</v>
      </c>
      <c r="I202">
        <v>367.94319999999999</v>
      </c>
      <c r="J202">
        <v>-452.2912</v>
      </c>
      <c r="K202">
        <v>1.1201209999999999</v>
      </c>
      <c r="L202">
        <v>367.9538</v>
      </c>
      <c r="M202">
        <v>0.99961770000000005</v>
      </c>
      <c r="N202">
        <v>-5.7786640000000002E-3</v>
      </c>
      <c r="O202">
        <v>2.704171E-2</v>
      </c>
      <c r="P202">
        <v>0.99848000000000003</v>
      </c>
      <c r="Q202">
        <v>-5.4814179999999997E-2</v>
      </c>
      <c r="R202">
        <v>-5.7740639999999998E-3</v>
      </c>
      <c r="S202">
        <v>2.9902950000000001</v>
      </c>
      <c r="T202">
        <v>-0.25942599999999999</v>
      </c>
      <c r="U202">
        <v>-2.3223879999999999E-2</v>
      </c>
      <c r="V202">
        <v>3.2750019999999998E-2</v>
      </c>
      <c r="W202">
        <v>-4.9061769999999998E-2</v>
      </c>
      <c r="X202">
        <v>0.99825870000000005</v>
      </c>
      <c r="Y202">
        <v>3.457764E-2</v>
      </c>
      <c r="Z202">
        <v>-3.782625E-3</v>
      </c>
      <c r="AA202">
        <v>0.99939480000000003</v>
      </c>
      <c r="AB202">
        <v>18</v>
      </c>
      <c r="AC202">
        <v>0.63679999999999304</v>
      </c>
      <c r="AD202">
        <v>-6.9176999999999794E-2</v>
      </c>
      <c r="AE202">
        <v>-1.06000000000108E-2</v>
      </c>
      <c r="AF202">
        <v>2.7492225519323499E-2</v>
      </c>
      <c r="AG202">
        <v>-6.9176999999999794E-2</v>
      </c>
      <c r="AH202">
        <v>0.628861359439564</v>
      </c>
      <c r="AI202">
        <v>96.271558586104504</v>
      </c>
      <c r="AJ202">
        <v>87.496767597048205</v>
      </c>
      <c r="AK202">
        <v>0.63325183709893895</v>
      </c>
      <c r="AL202">
        <v>92.812161224147602</v>
      </c>
      <c r="AM202">
        <v>88.120962882229506</v>
      </c>
      <c r="AN202">
        <v>1.0000000266056099</v>
      </c>
    </row>
    <row r="203" spans="1:40" x14ac:dyDescent="0.25">
      <c r="A203" t="str">
        <f>"20190303154418476"</f>
        <v>20190303154418476</v>
      </c>
      <c r="B203" t="str">
        <f>"1551599058470216"</f>
        <v>1551599058470216</v>
      </c>
      <c r="C203" t="s">
        <v>40</v>
      </c>
      <c r="D203">
        <v>4.6627669999999997</v>
      </c>
      <c r="E203">
        <v>0.50078370000000005</v>
      </c>
      <c r="F203" t="s">
        <v>42</v>
      </c>
      <c r="G203">
        <v>-451.49189999999999</v>
      </c>
      <c r="H203">
        <v>1.0499400000000001</v>
      </c>
      <c r="I203">
        <v>367.94670000000002</v>
      </c>
      <c r="J203">
        <v>-452.1062</v>
      </c>
      <c r="K203">
        <v>1.1201730000000001</v>
      </c>
      <c r="L203">
        <v>367.95839999999998</v>
      </c>
      <c r="M203">
        <v>0.99962589999999996</v>
      </c>
      <c r="N203">
        <v>-6.0390660000000001E-3</v>
      </c>
      <c r="O203">
        <v>2.6680659999999998E-2</v>
      </c>
      <c r="P203">
        <v>0.99840879999999999</v>
      </c>
      <c r="Q203">
        <v>-5.5997610000000003E-2</v>
      </c>
      <c r="R203">
        <v>-6.6530290000000004E-3</v>
      </c>
      <c r="S203">
        <v>2.990021</v>
      </c>
      <c r="T203">
        <v>-0.2627295</v>
      </c>
      <c r="U203">
        <v>-2.5360110000000002E-2</v>
      </c>
      <c r="V203">
        <v>3.326581E-2</v>
      </c>
      <c r="W203">
        <v>-4.9986040000000002E-2</v>
      </c>
      <c r="X203">
        <v>0.99819579999999997</v>
      </c>
      <c r="Y203">
        <v>3.4925449999999997E-2</v>
      </c>
      <c r="Z203">
        <v>-3.8159880000000002E-3</v>
      </c>
      <c r="AA203">
        <v>0.99938260000000001</v>
      </c>
      <c r="AB203">
        <v>18</v>
      </c>
      <c r="AC203">
        <v>0.61430000000001395</v>
      </c>
      <c r="AD203">
        <v>-7.0232999999999907E-2</v>
      </c>
      <c r="AE203">
        <v>-1.1699999999961999E-2</v>
      </c>
      <c r="AF203">
        <v>2.77238039242843E-2</v>
      </c>
      <c r="AG203">
        <v>-7.0232999999999907E-2</v>
      </c>
      <c r="AH203">
        <v>0.60585267842444201</v>
      </c>
      <c r="AI203">
        <v>96.605602527226196</v>
      </c>
      <c r="AJ203">
        <v>87.3799742504645</v>
      </c>
      <c r="AK203">
        <v>0.61053972151458102</v>
      </c>
      <c r="AL203">
        <v>92.865183026799102</v>
      </c>
      <c r="AM203">
        <v>88.091270895199202</v>
      </c>
      <c r="AN203">
        <v>1.0000000367237301</v>
      </c>
    </row>
    <row r="204" spans="1:40" x14ac:dyDescent="0.25">
      <c r="A204" t="str">
        <f>"20190303154418498"</f>
        <v>20190303154418498</v>
      </c>
      <c r="B204" t="str">
        <f>"1551599058490711"</f>
        <v>1551599058490711</v>
      </c>
      <c r="C204" t="s">
        <v>40</v>
      </c>
      <c r="D204">
        <v>4.6805580000000004</v>
      </c>
      <c r="E204">
        <v>0.50081009999999904</v>
      </c>
      <c r="F204" t="s">
        <v>42</v>
      </c>
      <c r="G204">
        <v>-451.32749999999999</v>
      </c>
      <c r="H204">
        <v>1.0507280000000001</v>
      </c>
      <c r="I204">
        <v>367.95069999999998</v>
      </c>
      <c r="J204">
        <v>-451.92649999999998</v>
      </c>
      <c r="K204">
        <v>1.12025</v>
      </c>
      <c r="L204">
        <v>367.96280000000002</v>
      </c>
      <c r="M204">
        <v>0.99963279999999999</v>
      </c>
      <c r="N204">
        <v>-6.4209549999999999E-3</v>
      </c>
      <c r="O204">
        <v>2.632868E-2</v>
      </c>
      <c r="P204">
        <v>0.99838780000000005</v>
      </c>
      <c r="Q204">
        <v>-5.6363789999999997E-2</v>
      </c>
      <c r="R204">
        <v>-6.7060990000000001E-3</v>
      </c>
      <c r="S204">
        <v>2.9896240000000001</v>
      </c>
      <c r="T204">
        <v>-0.26686779999999999</v>
      </c>
      <c r="U204">
        <v>-2.792358E-2</v>
      </c>
      <c r="V204">
        <v>3.29669E-2</v>
      </c>
      <c r="W204">
        <v>-4.9971050000000003E-2</v>
      </c>
      <c r="X204">
        <v>0.99820640000000005</v>
      </c>
      <c r="Y204">
        <v>3.542344E-2</v>
      </c>
      <c r="Z204">
        <v>-3.8684539999999999E-3</v>
      </c>
      <c r="AA204">
        <v>0.9993649</v>
      </c>
      <c r="AB204">
        <v>18</v>
      </c>
      <c r="AC204">
        <v>0.59899999999998899</v>
      </c>
      <c r="AD204">
        <v>-6.9521999999999806E-2</v>
      </c>
      <c r="AE204">
        <v>-1.2100000000032101E-2</v>
      </c>
      <c r="AF204">
        <v>2.7496758294090599E-2</v>
      </c>
      <c r="AG204">
        <v>-6.9521999999999806E-2</v>
      </c>
      <c r="AH204">
        <v>0.59052224243968698</v>
      </c>
      <c r="AI204">
        <v>96.707305510201493</v>
      </c>
      <c r="AJ204">
        <v>87.334035942025295</v>
      </c>
      <c r="AK204">
        <v>0.59523600278938105</v>
      </c>
      <c r="AL204">
        <v>92.864323280655</v>
      </c>
      <c r="AM204">
        <v>88.108429340370407</v>
      </c>
      <c r="AN204">
        <v>0.99999996966733495</v>
      </c>
    </row>
    <row r="205" spans="1:40" x14ac:dyDescent="0.25">
      <c r="A205" t="str">
        <f>"20190303154418520"</f>
        <v>20190303154418520</v>
      </c>
      <c r="B205" t="str">
        <f>"1551599058510232"</f>
        <v>1551599058510232</v>
      </c>
      <c r="C205" t="s">
        <v>40</v>
      </c>
      <c r="D205">
        <v>4.8557569999999997</v>
      </c>
      <c r="E205">
        <v>0.50085729999999995</v>
      </c>
      <c r="F205" t="s">
        <v>42</v>
      </c>
      <c r="G205">
        <v>-451.1628</v>
      </c>
      <c r="H205">
        <v>1.051614</v>
      </c>
      <c r="I205">
        <v>367.95549999999997</v>
      </c>
      <c r="J205">
        <v>-451.73649999999998</v>
      </c>
      <c r="K205">
        <v>1.1203540000000001</v>
      </c>
      <c r="L205">
        <v>367.96730000000002</v>
      </c>
      <c r="M205">
        <v>0.99963860000000004</v>
      </c>
      <c r="N205">
        <v>-6.9740269999999998E-3</v>
      </c>
      <c r="O205">
        <v>2.596946E-2</v>
      </c>
      <c r="P205">
        <v>0.99829979999999996</v>
      </c>
      <c r="Q205">
        <v>-5.7978990000000001E-2</v>
      </c>
      <c r="R205">
        <v>-6.0287500000000003E-3</v>
      </c>
      <c r="S205">
        <v>2.9894409999999998</v>
      </c>
      <c r="T205">
        <v>-0.26882699999999998</v>
      </c>
      <c r="U205">
        <v>-2.8289789999999999E-2</v>
      </c>
      <c r="V205">
        <v>3.1927619999999997E-2</v>
      </c>
      <c r="W205">
        <v>-5.1034450000000002E-2</v>
      </c>
      <c r="X205">
        <v>0.99818640000000003</v>
      </c>
      <c r="Y205">
        <v>3.5186370000000002E-2</v>
      </c>
      <c r="Z205">
        <v>-3.851475E-3</v>
      </c>
      <c r="AA205">
        <v>0.99937330000000002</v>
      </c>
      <c r="AB205">
        <v>18</v>
      </c>
      <c r="AC205">
        <v>0.57369999999997301</v>
      </c>
      <c r="AD205">
        <v>-6.8739999999999996E-2</v>
      </c>
      <c r="AE205">
        <v>-1.18000000000506E-2</v>
      </c>
      <c r="AF205">
        <v>2.63173922473064E-2</v>
      </c>
      <c r="AG205">
        <v>-6.8739999999999996E-2</v>
      </c>
      <c r="AH205">
        <v>0.565090746465156</v>
      </c>
      <c r="AI205">
        <v>96.928186241558507</v>
      </c>
      <c r="AJ205">
        <v>87.333549060552599</v>
      </c>
      <c r="AK205">
        <v>0.56986432111095198</v>
      </c>
      <c r="AL205">
        <v>92.925329410637104</v>
      </c>
      <c r="AM205">
        <v>88.167983041944794</v>
      </c>
      <c r="AN205">
        <v>0.99999998857531303</v>
      </c>
    </row>
    <row r="206" spans="1:40" x14ac:dyDescent="0.25">
      <c r="A206" t="str">
        <f>"20190303154418544"</f>
        <v>20190303154418544</v>
      </c>
      <c r="B206" t="str">
        <f>"1551599058540487"</f>
        <v>1551599058540487</v>
      </c>
      <c r="C206" t="s">
        <v>40</v>
      </c>
      <c r="D206">
        <v>4.647996</v>
      </c>
      <c r="E206">
        <v>0.50086980000000003</v>
      </c>
      <c r="F206" t="s">
        <v>42</v>
      </c>
      <c r="G206">
        <v>-450.99810000000002</v>
      </c>
      <c r="H206">
        <v>1.052589</v>
      </c>
      <c r="I206">
        <v>367.9606</v>
      </c>
      <c r="J206">
        <v>-451.5514</v>
      </c>
      <c r="K206">
        <v>1.1204889999999901</v>
      </c>
      <c r="L206">
        <v>367.9717</v>
      </c>
      <c r="M206">
        <v>0.9996427</v>
      </c>
      <c r="N206">
        <v>-7.6508710000000001E-3</v>
      </c>
      <c r="O206">
        <v>2.5616300000000002E-2</v>
      </c>
      <c r="P206">
        <v>0.99827600000000005</v>
      </c>
      <c r="Q206">
        <v>-5.8437820000000001E-2</v>
      </c>
      <c r="R206">
        <v>-5.5037799999999998E-3</v>
      </c>
      <c r="S206">
        <v>2.9890439999999998</v>
      </c>
      <c r="T206">
        <v>-0.27440730000000002</v>
      </c>
      <c r="U206">
        <v>-2.6672359999999999E-2</v>
      </c>
      <c r="V206">
        <v>3.1050399999999999E-2</v>
      </c>
      <c r="W206">
        <v>-5.0817010000000003E-2</v>
      </c>
      <c r="X206">
        <v>0.99822520000000003</v>
      </c>
      <c r="Y206">
        <v>3.428937E-2</v>
      </c>
      <c r="Z206">
        <v>-3.8530600000000002E-3</v>
      </c>
      <c r="AA206">
        <v>0.99940450000000003</v>
      </c>
      <c r="AB206">
        <v>18</v>
      </c>
      <c r="AC206">
        <v>0.55329999999997803</v>
      </c>
      <c r="AD206">
        <v>-6.7899999999999794E-2</v>
      </c>
      <c r="AE206">
        <v>-1.1099999999999E-2</v>
      </c>
      <c r="AF206">
        <v>2.4895499561024902E-2</v>
      </c>
      <c r="AG206">
        <v>-6.7899999999999794E-2</v>
      </c>
      <c r="AH206">
        <v>0.54463529401984001</v>
      </c>
      <c r="AI206">
        <v>97.0990948533032</v>
      </c>
      <c r="AJ206">
        <v>87.382808553746202</v>
      </c>
      <c r="AK206">
        <v>0.54941587107624701</v>
      </c>
      <c r="AL206">
        <v>92.912854729683204</v>
      </c>
      <c r="AM206">
        <v>88.2183545111981</v>
      </c>
      <c r="AN206">
        <v>1.0000000228802699</v>
      </c>
    </row>
    <row r="207" spans="1:40" x14ac:dyDescent="0.25">
      <c r="A207" t="str">
        <f>"20190303154418569"</f>
        <v>20190303154418569</v>
      </c>
      <c r="B207" t="str">
        <f>"1551599058560008"</f>
        <v>1551599058560008</v>
      </c>
      <c r="C207" t="s">
        <v>40</v>
      </c>
      <c r="D207">
        <v>4.6548639999999999</v>
      </c>
      <c r="E207">
        <v>0.50093759999999998</v>
      </c>
      <c r="F207" t="s">
        <v>42</v>
      </c>
      <c r="G207">
        <v>-450.68200000000002</v>
      </c>
      <c r="H207">
        <v>1.039911</v>
      </c>
      <c r="I207">
        <v>367.96409999999997</v>
      </c>
      <c r="J207">
        <v>-451.3501</v>
      </c>
      <c r="K207">
        <v>1.1206370000000001</v>
      </c>
      <c r="L207">
        <v>367.97640000000001</v>
      </c>
      <c r="M207">
        <v>0.99964640000000005</v>
      </c>
      <c r="N207">
        <v>-8.4330900000000007E-3</v>
      </c>
      <c r="O207">
        <v>2.5222729999999999E-2</v>
      </c>
      <c r="P207">
        <v>0.99823320000000004</v>
      </c>
      <c r="Q207">
        <v>-5.9224029999999997E-2</v>
      </c>
      <c r="R207">
        <v>-4.8191379999999997E-3</v>
      </c>
      <c r="S207">
        <v>2.988861</v>
      </c>
      <c r="T207">
        <v>-0.27719379999999999</v>
      </c>
      <c r="U207">
        <v>-2.523804E-2</v>
      </c>
      <c r="V207">
        <v>2.9972749999999999E-2</v>
      </c>
      <c r="W207">
        <v>-5.0821459999999999E-2</v>
      </c>
      <c r="X207">
        <v>0.99825790000000003</v>
      </c>
      <c r="Y207">
        <v>3.3417839999999997E-2</v>
      </c>
      <c r="Z207">
        <v>-3.8092569999999999E-3</v>
      </c>
      <c r="AA207">
        <v>0.99943419999999905</v>
      </c>
      <c r="AB207">
        <v>18</v>
      </c>
      <c r="AC207">
        <v>0.668100000000038</v>
      </c>
      <c r="AD207">
        <v>-8.0726000000000006E-2</v>
      </c>
      <c r="AE207">
        <v>-1.2300000000038801E-2</v>
      </c>
      <c r="AF207">
        <v>2.8728701485070701E-2</v>
      </c>
      <c r="AG207">
        <v>-8.0726000000000006E-2</v>
      </c>
      <c r="AH207">
        <v>0.65797421152190305</v>
      </c>
      <c r="AI207">
        <v>96.9879971607795</v>
      </c>
      <c r="AJ207">
        <v>87.499919431250504</v>
      </c>
      <c r="AK207">
        <v>0.66353002071714096</v>
      </c>
      <c r="AL207">
        <v>92.913110061210503</v>
      </c>
      <c r="AM207">
        <v>88.2802076499745</v>
      </c>
      <c r="AN207">
        <v>1.0000000107257501</v>
      </c>
    </row>
    <row r="208" spans="1:40" x14ac:dyDescent="0.25">
      <c r="A208" t="str">
        <f>"20190303154418590"</f>
        <v>20190303154418590</v>
      </c>
      <c r="B208" t="str">
        <f>"1551599058580503"</f>
        <v>1551599058580503</v>
      </c>
      <c r="C208" t="s">
        <v>40</v>
      </c>
      <c r="D208">
        <v>4.6348880000000001</v>
      </c>
      <c r="E208">
        <v>0.50097460000000005</v>
      </c>
      <c r="F208" t="s">
        <v>42</v>
      </c>
      <c r="G208">
        <v>-450.51819999999998</v>
      </c>
      <c r="H208">
        <v>1.042692</v>
      </c>
      <c r="I208">
        <v>367.96980000000002</v>
      </c>
      <c r="J208">
        <v>-451.17720000000003</v>
      </c>
      <c r="K208">
        <v>1.120735</v>
      </c>
      <c r="L208">
        <v>367.9803</v>
      </c>
      <c r="M208">
        <v>0.99964920000000002</v>
      </c>
      <c r="N208">
        <v>-9.074492E-3</v>
      </c>
      <c r="O208">
        <v>2.487984E-2</v>
      </c>
      <c r="P208">
        <v>0.99822</v>
      </c>
      <c r="Q208">
        <v>-5.9509949999999999E-2</v>
      </c>
      <c r="R208">
        <v>-3.9253020000000003E-3</v>
      </c>
      <c r="S208">
        <v>2.9886469999999998</v>
      </c>
      <c r="T208">
        <v>-0.27998299999999998</v>
      </c>
      <c r="U208">
        <v>-2.368164E-2</v>
      </c>
      <c r="V208">
        <v>2.8737660000000002E-2</v>
      </c>
      <c r="W208">
        <v>-5.0465990000000002E-2</v>
      </c>
      <c r="X208">
        <v>0.99831219999999998</v>
      </c>
      <c r="Y208">
        <v>3.255599E-2</v>
      </c>
      <c r="Z208">
        <v>-3.7698839999999998E-3</v>
      </c>
      <c r="AA208">
        <v>0.99946279999999998</v>
      </c>
      <c r="AB208">
        <v>18</v>
      </c>
      <c r="AC208">
        <v>0.65900000000004799</v>
      </c>
      <c r="AD208">
        <v>-7.8043000000000001E-2</v>
      </c>
      <c r="AE208">
        <v>-1.0499999999979E-2</v>
      </c>
      <c r="AF208">
        <v>2.65213771788546E-2</v>
      </c>
      <c r="AG208">
        <v>-7.8043000000000001E-2</v>
      </c>
      <c r="AH208">
        <v>0.64942893217484499</v>
      </c>
      <c r="AI208">
        <v>96.8468203486497</v>
      </c>
      <c r="AJ208">
        <v>87.661454545820604</v>
      </c>
      <c r="AK208">
        <v>0.65463885558544599</v>
      </c>
      <c r="AL208">
        <v>92.892717111684803</v>
      </c>
      <c r="AM208">
        <v>88.3511249741439</v>
      </c>
      <c r="AN208">
        <v>0.99999995895889704</v>
      </c>
    </row>
    <row r="209" spans="1:40" x14ac:dyDescent="0.25">
      <c r="A209" t="str">
        <f>"20190303154418610"</f>
        <v>20190303154418610</v>
      </c>
      <c r="B209" t="str">
        <f>"1551599058600024"</f>
        <v>1551599058600024</v>
      </c>
      <c r="C209" t="s">
        <v>40</v>
      </c>
      <c r="D209">
        <v>4.579504</v>
      </c>
      <c r="E209">
        <v>0.50107029999999997</v>
      </c>
      <c r="F209" t="s">
        <v>42</v>
      </c>
      <c r="G209">
        <v>-450.35539999999997</v>
      </c>
      <c r="H209">
        <v>1.0433969999999999</v>
      </c>
      <c r="I209">
        <v>367.97410000000002</v>
      </c>
      <c r="J209">
        <v>-451.01139999999998</v>
      </c>
      <c r="K209">
        <v>1.120803</v>
      </c>
      <c r="L209">
        <v>367.98410000000001</v>
      </c>
      <c r="M209">
        <v>0.99965219999999999</v>
      </c>
      <c r="N209">
        <v>-9.6358680000000006E-3</v>
      </c>
      <c r="O209">
        <v>2.4551900000000002E-2</v>
      </c>
      <c r="P209">
        <v>0.99823289999999998</v>
      </c>
      <c r="Q209">
        <v>-5.9306440000000002E-2</v>
      </c>
      <c r="R209">
        <v>-3.7281229999999999E-3</v>
      </c>
      <c r="S209">
        <v>2.9884339999999998</v>
      </c>
      <c r="T209">
        <v>-0.28136899999999998</v>
      </c>
      <c r="U209">
        <v>-2.157593E-2</v>
      </c>
      <c r="V209">
        <v>2.8214179999999998E-2</v>
      </c>
      <c r="W209">
        <v>-4.9701410000000001E-2</v>
      </c>
      <c r="X209">
        <v>0.99836550000000002</v>
      </c>
      <c r="Y209">
        <v>3.1528599999999997E-2</v>
      </c>
      <c r="Z209">
        <v>-3.7034820000000001E-3</v>
      </c>
      <c r="AA209">
        <v>0.99949600000000005</v>
      </c>
      <c r="AB209">
        <v>18</v>
      </c>
      <c r="AC209">
        <v>0.65600000000000502</v>
      </c>
      <c r="AD209">
        <v>-7.7406000000000003E-2</v>
      </c>
      <c r="AE209">
        <v>-9.9999999999908998E-3</v>
      </c>
      <c r="AF209">
        <v>2.5745400958800901E-2</v>
      </c>
      <c r="AG209">
        <v>-7.7406000000000003E-2</v>
      </c>
      <c r="AH209">
        <v>0.64655660688102501</v>
      </c>
      <c r="AI209">
        <v>96.821624093024397</v>
      </c>
      <c r="AJ209">
        <v>87.719729542167798</v>
      </c>
      <c r="AK209">
        <v>0.65168240762509</v>
      </c>
      <c r="AL209">
        <v>92.848854821723506</v>
      </c>
      <c r="AM209">
        <v>88.381230831983501</v>
      </c>
      <c r="AN209">
        <v>0.99999997084965397</v>
      </c>
    </row>
    <row r="210" spans="1:40" x14ac:dyDescent="0.25">
      <c r="A210" t="str">
        <f>"20190303154418633"</f>
        <v>20190303154418633</v>
      </c>
      <c r="B210" t="str">
        <f>"1551599058630280"</f>
        <v>1551599058630280</v>
      </c>
      <c r="C210" t="s">
        <v>40</v>
      </c>
      <c r="D210">
        <v>4.5540960000000004</v>
      </c>
      <c r="E210">
        <v>0.50116280000000002</v>
      </c>
      <c r="F210" t="s">
        <v>42</v>
      </c>
      <c r="G210">
        <v>-450.19310000000002</v>
      </c>
      <c r="H210">
        <v>1.0439130000000001</v>
      </c>
      <c r="I210">
        <v>367.97820000000002</v>
      </c>
      <c r="J210">
        <v>-450.83170000000001</v>
      </c>
      <c r="K210">
        <v>1.1208480000000001</v>
      </c>
      <c r="L210">
        <v>367.98809999999997</v>
      </c>
      <c r="M210">
        <v>0.99965519999999997</v>
      </c>
      <c r="N210">
        <v>-1.0183650000000001E-2</v>
      </c>
      <c r="O210">
        <v>2.4202439999999999E-2</v>
      </c>
      <c r="P210">
        <v>0.99819119999999995</v>
      </c>
      <c r="Q210">
        <v>-5.9974029999999998E-2</v>
      </c>
      <c r="R210">
        <v>-4.1843660000000001E-3</v>
      </c>
      <c r="S210">
        <v>2.9884949999999999</v>
      </c>
      <c r="T210">
        <v>-0.28077020000000003</v>
      </c>
      <c r="U210">
        <v>-2.1606449999999999E-2</v>
      </c>
      <c r="V210">
        <v>2.8320209999999998E-2</v>
      </c>
      <c r="W210">
        <v>-4.9822669999999999E-2</v>
      </c>
      <c r="X210">
        <v>0.99835649999999998</v>
      </c>
      <c r="Y210">
        <v>3.119361E-2</v>
      </c>
      <c r="Z210">
        <v>-3.6439969999999999E-3</v>
      </c>
      <c r="AA210">
        <v>0.99950669999999997</v>
      </c>
      <c r="AB210">
        <v>18</v>
      </c>
      <c r="AC210">
        <v>0.63859999999999595</v>
      </c>
      <c r="AD210">
        <v>-7.6935000000000198E-2</v>
      </c>
      <c r="AE210">
        <v>-9.8999999999591602E-3</v>
      </c>
      <c r="AF210">
        <v>2.4990945660508201E-2</v>
      </c>
      <c r="AG210">
        <v>-7.6935000000000198E-2</v>
      </c>
      <c r="AH210">
        <v>0.62904546940525197</v>
      </c>
      <c r="AI210">
        <v>96.967451002435794</v>
      </c>
      <c r="AJ210">
        <v>87.724929016405895</v>
      </c>
      <c r="AK210">
        <v>0.63422531025596995</v>
      </c>
      <c r="AL210">
        <v>92.855810994637906</v>
      </c>
      <c r="AM210">
        <v>88.375136048825098</v>
      </c>
      <c r="AN210">
        <v>1.0000000169163099</v>
      </c>
    </row>
    <row r="211" spans="1:40" x14ac:dyDescent="0.25">
      <c r="A211" t="str">
        <f>"20190303154418654"</f>
        <v>20190303154418654</v>
      </c>
      <c r="B211" t="str">
        <f>"1551599058650776"</f>
        <v>1551599058650776</v>
      </c>
      <c r="C211" t="s">
        <v>40</v>
      </c>
      <c r="D211">
        <v>4.5291589999999999</v>
      </c>
      <c r="E211">
        <v>0.50089159999999999</v>
      </c>
      <c r="F211" t="s">
        <v>42</v>
      </c>
      <c r="G211">
        <v>-450.02980000000002</v>
      </c>
      <c r="H211">
        <v>1.046035</v>
      </c>
      <c r="I211">
        <v>367.98169999999999</v>
      </c>
      <c r="J211">
        <v>-450.65499999999997</v>
      </c>
      <c r="K211">
        <v>1.120876</v>
      </c>
      <c r="L211">
        <v>367.99189999999999</v>
      </c>
      <c r="M211">
        <v>0.9996583</v>
      </c>
      <c r="N211">
        <v>-1.0668769999999999E-2</v>
      </c>
      <c r="O211">
        <v>2.386425E-2</v>
      </c>
      <c r="P211">
        <v>0.99814939999999996</v>
      </c>
      <c r="Q211">
        <v>-6.0618539999999999E-2</v>
      </c>
      <c r="R211">
        <v>-4.7917919999999996E-3</v>
      </c>
      <c r="S211">
        <v>2.9885860000000002</v>
      </c>
      <c r="T211">
        <v>-0.27879229999999999</v>
      </c>
      <c r="U211">
        <v>-2.3498539999999998E-2</v>
      </c>
      <c r="V211">
        <v>2.8588659999999998E-2</v>
      </c>
      <c r="W211">
        <v>-4.9983630000000001E-2</v>
      </c>
      <c r="X211">
        <v>0.99834080000000003</v>
      </c>
      <c r="Y211">
        <v>3.1491470000000001E-2</v>
      </c>
      <c r="Z211">
        <v>-3.6011480000000002E-3</v>
      </c>
      <c r="AA211">
        <v>0.99949750000000004</v>
      </c>
      <c r="AB211">
        <v>18</v>
      </c>
      <c r="AC211">
        <v>0.62519999999994902</v>
      </c>
      <c r="AD211">
        <v>-7.4840999999999894E-2</v>
      </c>
      <c r="AE211">
        <v>-1.0199999999997499E-2</v>
      </c>
      <c r="AF211">
        <v>2.4763115800858399E-2</v>
      </c>
      <c r="AG211">
        <v>-7.4840999999999894E-2</v>
      </c>
      <c r="AH211">
        <v>0.61595432294465702</v>
      </c>
      <c r="AI211">
        <v>96.922178223344901</v>
      </c>
      <c r="AJ211">
        <v>87.697786489384598</v>
      </c>
      <c r="AK211">
        <v>0.62097835319709604</v>
      </c>
      <c r="AL211">
        <v>92.865044836751395</v>
      </c>
      <c r="AM211">
        <v>88.359716400568502</v>
      </c>
      <c r="AN211">
        <v>1.0000000138466001</v>
      </c>
    </row>
    <row r="212" spans="1:40" x14ac:dyDescent="0.25">
      <c r="A212" t="str">
        <f>"20190303154418678"</f>
        <v>20190303154418678</v>
      </c>
      <c r="B212" t="str">
        <f>"1551599058670295"</f>
        <v>1551599058670295</v>
      </c>
      <c r="C212" t="s">
        <v>40</v>
      </c>
      <c r="D212">
        <v>4.5138579999999999</v>
      </c>
      <c r="E212">
        <v>0.50067589999999995</v>
      </c>
      <c r="F212" t="s">
        <v>42</v>
      </c>
      <c r="G212">
        <v>-449.86610000000002</v>
      </c>
      <c r="H212">
        <v>1.0488710000000001</v>
      </c>
      <c r="I212">
        <v>367.98579999999998</v>
      </c>
      <c r="J212">
        <v>-450.47089999999997</v>
      </c>
      <c r="K212">
        <v>1.1209009999999999</v>
      </c>
      <c r="L212">
        <v>367.99590000000001</v>
      </c>
      <c r="M212">
        <v>0.99966169999999999</v>
      </c>
      <c r="N212">
        <v>-1.112231E-2</v>
      </c>
      <c r="O212">
        <v>2.3511489999999999E-2</v>
      </c>
      <c r="P212">
        <v>0.99810169999999998</v>
      </c>
      <c r="Q212">
        <v>-6.1357299999999997E-2</v>
      </c>
      <c r="R212">
        <v>-5.3497960000000004E-3</v>
      </c>
      <c r="S212">
        <v>2.988861</v>
      </c>
      <c r="T212">
        <v>-0.27275090000000002</v>
      </c>
      <c r="U212">
        <v>-2.310181E-2</v>
      </c>
      <c r="V212">
        <v>2.8792970000000001E-2</v>
      </c>
      <c r="W212">
        <v>-5.0270280000000001E-2</v>
      </c>
      <c r="X212">
        <v>0.99832050000000006</v>
      </c>
      <c r="Y212">
        <v>3.10192E-2</v>
      </c>
      <c r="Z212">
        <v>-3.4652340000000002E-3</v>
      </c>
      <c r="AA212">
        <v>0.99951279999999998</v>
      </c>
      <c r="AB212">
        <v>18</v>
      </c>
      <c r="AC212">
        <v>0.60479999999995404</v>
      </c>
      <c r="AD212">
        <v>-7.2029999999999997E-2</v>
      </c>
      <c r="AE212">
        <v>-1.01000000000226E-2</v>
      </c>
      <c r="AF212">
        <v>2.3977826150111101E-2</v>
      </c>
      <c r="AG212">
        <v>-7.2029999999999997E-2</v>
      </c>
      <c r="AH212">
        <v>0.59594470040688796</v>
      </c>
      <c r="AI212">
        <v>96.886216018179994</v>
      </c>
      <c r="AJ212">
        <v>87.695947935863799</v>
      </c>
      <c r="AK212">
        <v>0.60076063701772298</v>
      </c>
      <c r="AL212">
        <v>92.881489447016804</v>
      </c>
      <c r="AM212">
        <v>88.347966947622197</v>
      </c>
      <c r="AN212">
        <v>0.99999997844647404</v>
      </c>
    </row>
    <row r="213" spans="1:40" x14ac:dyDescent="0.25">
      <c r="A213" t="str">
        <f>"20190303154418698"</f>
        <v>20190303154418698</v>
      </c>
      <c r="B213" t="str">
        <f>"1551599058689816"</f>
        <v>1551599058689816</v>
      </c>
      <c r="C213" t="s">
        <v>40</v>
      </c>
      <c r="D213">
        <v>4.4806309999999998</v>
      </c>
      <c r="E213">
        <v>0.50053300000000001</v>
      </c>
      <c r="F213" t="s">
        <v>43</v>
      </c>
      <c r="G213">
        <v>-437.3691</v>
      </c>
      <c r="H213">
        <v>-0.05</v>
      </c>
      <c r="I213">
        <v>367.89530000000002</v>
      </c>
      <c r="J213">
        <v>-450.30239999999998</v>
      </c>
      <c r="K213">
        <v>1.120924</v>
      </c>
      <c r="L213">
        <v>367.99939999999998</v>
      </c>
      <c r="M213">
        <v>0.99966520000000003</v>
      </c>
      <c r="N213">
        <v>-1.148879E-2</v>
      </c>
      <c r="O213">
        <v>2.3183760000000001E-2</v>
      </c>
      <c r="P213">
        <v>0.99805049999999995</v>
      </c>
      <c r="Q213">
        <v>-6.2133830000000001E-2</v>
      </c>
      <c r="R213">
        <v>-5.9043289999999998E-3</v>
      </c>
      <c r="S213">
        <v>2.989166</v>
      </c>
      <c r="T213">
        <v>-0.26714179999999998</v>
      </c>
      <c r="U213">
        <v>-2.2949219999999999E-2</v>
      </c>
      <c r="V213">
        <v>2.9019199999999998E-2</v>
      </c>
      <c r="W213">
        <v>-5.0681469999999999E-2</v>
      </c>
      <c r="X213">
        <v>0.99829319999999999</v>
      </c>
      <c r="Y213">
        <v>3.0651689999999999E-2</v>
      </c>
      <c r="Z213">
        <v>-3.345186E-3</v>
      </c>
      <c r="AA213">
        <v>0.99952450000000004</v>
      </c>
      <c r="AB213">
        <v>18</v>
      </c>
      <c r="AC213">
        <v>12.9332999999999</v>
      </c>
      <c r="AD213">
        <v>-1.1709240000000001</v>
      </c>
      <c r="AE213">
        <v>-0.104099999999959</v>
      </c>
      <c r="AF213">
        <v>0.40065053430235398</v>
      </c>
      <c r="AG213">
        <v>-1.1709240000000001</v>
      </c>
      <c r="AH213">
        <v>12.8223159573662</v>
      </c>
      <c r="AI213">
        <v>95.215203353853198</v>
      </c>
      <c r="AJ213">
        <v>88.210298486586794</v>
      </c>
      <c r="AK213">
        <v>12.8819008836018</v>
      </c>
      <c r="AL213">
        <v>92.905078850602195</v>
      </c>
      <c r="AM213">
        <v>88.334948486593802</v>
      </c>
      <c r="AN213">
        <v>1.00000001926812</v>
      </c>
    </row>
    <row r="214" spans="1:40" x14ac:dyDescent="0.25">
      <c r="A214" t="str">
        <f>"20190303154418722"</f>
        <v>20190303154418722</v>
      </c>
      <c r="B214" t="str">
        <f>"1551599058710312"</f>
        <v>1551599058710312</v>
      </c>
      <c r="C214" t="s">
        <v>40</v>
      </c>
      <c r="D214">
        <v>4.4626580000000002</v>
      </c>
      <c r="E214">
        <v>0.50043870000000001</v>
      </c>
      <c r="F214" t="s">
        <v>43</v>
      </c>
      <c r="G214">
        <v>-436.95229999999998</v>
      </c>
      <c r="H214">
        <v>-0.05</v>
      </c>
      <c r="I214">
        <v>367.8947</v>
      </c>
      <c r="J214">
        <v>-450.11869999999999</v>
      </c>
      <c r="K214">
        <v>1.1209420000000001</v>
      </c>
      <c r="L214">
        <v>368.00330000000002</v>
      </c>
      <c r="M214">
        <v>0.99966960000000005</v>
      </c>
      <c r="N214">
        <v>-1.18399E-2</v>
      </c>
      <c r="O214">
        <v>2.2821040000000001E-2</v>
      </c>
      <c r="P214">
        <v>0.99800409999999995</v>
      </c>
      <c r="Q214">
        <v>-6.2826190000000004E-2</v>
      </c>
      <c r="R214">
        <v>-6.3927599999999999E-3</v>
      </c>
      <c r="S214">
        <v>2.9894409999999998</v>
      </c>
      <c r="T214">
        <v>-0.26220100000000002</v>
      </c>
      <c r="U214">
        <v>-2.34375E-2</v>
      </c>
      <c r="V214">
        <v>2.9144940000000001E-2</v>
      </c>
      <c r="W214">
        <v>-5.1023600000000002E-2</v>
      </c>
      <c r="X214">
        <v>0.9982721</v>
      </c>
      <c r="Y214">
        <v>3.0461419999999999E-2</v>
      </c>
      <c r="Z214">
        <v>-3.2419150000000002E-3</v>
      </c>
      <c r="AA214">
        <v>0.99953069999999999</v>
      </c>
      <c r="AB214">
        <v>18</v>
      </c>
      <c r="AC214">
        <v>13.166399999999999</v>
      </c>
      <c r="AD214">
        <v>-1.1709419999999999</v>
      </c>
      <c r="AE214">
        <v>-0.108600000000024</v>
      </c>
      <c r="AF214">
        <v>0.405853881179572</v>
      </c>
      <c r="AG214">
        <v>-1.1709419999999999</v>
      </c>
      <c r="AH214">
        <v>13.057225840964501</v>
      </c>
      <c r="AI214">
        <v>95.121985558466903</v>
      </c>
      <c r="AJ214">
        <v>88.219665465430893</v>
      </c>
      <c r="AK214">
        <v>13.1159051994967</v>
      </c>
      <c r="AL214">
        <v>92.924706876383496</v>
      </c>
      <c r="AM214">
        <v>88.327702591440399</v>
      </c>
      <c r="AN214">
        <v>1.0000000104614799</v>
      </c>
    </row>
    <row r="215" spans="1:40" x14ac:dyDescent="0.25">
      <c r="A215" t="str">
        <f>"20190303154418742"</f>
        <v>20190303154418742</v>
      </c>
      <c r="B215" t="str">
        <f>"1551599058729831"</f>
        <v>1551599058729831</v>
      </c>
      <c r="C215" t="s">
        <v>40</v>
      </c>
      <c r="D215">
        <v>4.4597290000000003</v>
      </c>
      <c r="E215">
        <v>0.500363</v>
      </c>
      <c r="F215" t="s">
        <v>42</v>
      </c>
      <c r="G215">
        <v>-449.22980000000001</v>
      </c>
      <c r="H215">
        <v>1.044351</v>
      </c>
      <c r="I215">
        <v>367.99599999999998</v>
      </c>
      <c r="J215">
        <v>-449.95319999999998</v>
      </c>
      <c r="K215">
        <v>1.1209549999999999</v>
      </c>
      <c r="L215">
        <v>368.00670000000002</v>
      </c>
      <c r="M215">
        <v>0.99967349999999999</v>
      </c>
      <c r="N215">
        <v>-1.211452E-2</v>
      </c>
      <c r="O215">
        <v>2.249373E-2</v>
      </c>
      <c r="P215">
        <v>0.99799380000000004</v>
      </c>
      <c r="Q215">
        <v>-6.2893660000000004E-2</v>
      </c>
      <c r="R215">
        <v>-7.2697469999999896E-3</v>
      </c>
      <c r="S215">
        <v>2.9896240000000001</v>
      </c>
      <c r="T215">
        <v>-0.25766220000000001</v>
      </c>
      <c r="U215">
        <v>-2.4078370000000002E-2</v>
      </c>
      <c r="V215">
        <v>2.9695329999999999E-2</v>
      </c>
      <c r="W215">
        <v>-5.081716E-2</v>
      </c>
      <c r="X215">
        <v>0.9982664</v>
      </c>
      <c r="Y215">
        <v>3.0356350000000001E-2</v>
      </c>
      <c r="Z215">
        <v>-3.1528239999999998E-3</v>
      </c>
      <c r="AA215">
        <v>0.99953420000000004</v>
      </c>
      <c r="AB215">
        <v>18</v>
      </c>
      <c r="AC215">
        <v>0.72339999999996896</v>
      </c>
      <c r="AD215">
        <v>-7.6603999999999894E-2</v>
      </c>
      <c r="AE215">
        <v>-1.07000000000425E-2</v>
      </c>
      <c r="AF215">
        <v>2.6671434184878599E-2</v>
      </c>
      <c r="AG215">
        <v>-7.6603999999999894E-2</v>
      </c>
      <c r="AH215">
        <v>0.714960695910142</v>
      </c>
      <c r="AI215">
        <v>96.111369459050294</v>
      </c>
      <c r="AJ215">
        <v>87.863585611319493</v>
      </c>
      <c r="AK215">
        <v>0.71954731249153603</v>
      </c>
      <c r="AL215">
        <v>92.912863399331897</v>
      </c>
      <c r="AM215">
        <v>88.296130674467605</v>
      </c>
      <c r="AN215">
        <v>1.0000000008716099</v>
      </c>
    </row>
    <row r="216" spans="1:40" x14ac:dyDescent="0.25">
      <c r="A216" t="str">
        <f>"20190303154418767"</f>
        <v>20190303154418767</v>
      </c>
      <c r="B216" t="str">
        <f>"1551599058760087"</f>
        <v>1551599058760087</v>
      </c>
      <c r="C216" t="s">
        <v>40</v>
      </c>
      <c r="D216">
        <v>4.4269420000000004</v>
      </c>
      <c r="E216">
        <v>0.50021280000000001</v>
      </c>
      <c r="F216" t="s">
        <v>42</v>
      </c>
      <c r="G216">
        <v>-449.0686</v>
      </c>
      <c r="H216">
        <v>1.046524</v>
      </c>
      <c r="I216">
        <v>367.99860000000001</v>
      </c>
      <c r="J216">
        <v>-449.75560000000002</v>
      </c>
      <c r="K216">
        <v>1.12097</v>
      </c>
      <c r="L216">
        <v>368.01060000000001</v>
      </c>
      <c r="M216">
        <v>0.99967890000000004</v>
      </c>
      <c r="N216">
        <v>-1.239994E-2</v>
      </c>
      <c r="O216">
        <v>2.2105690000000001E-2</v>
      </c>
      <c r="P216">
        <v>0.99799059999999995</v>
      </c>
      <c r="Q216">
        <v>-6.287363E-2</v>
      </c>
      <c r="R216">
        <v>-7.8766359999999994E-3</v>
      </c>
      <c r="S216">
        <v>2.990021</v>
      </c>
      <c r="T216">
        <v>-0.25170890000000001</v>
      </c>
      <c r="U216">
        <v>-2.5878910000000001E-2</v>
      </c>
      <c r="V216">
        <v>2.9915270000000001E-2</v>
      </c>
      <c r="W216">
        <v>-5.0512229999999998E-2</v>
      </c>
      <c r="X216">
        <v>0.99827529999999998</v>
      </c>
      <c r="Y216">
        <v>3.057822E-2</v>
      </c>
      <c r="Z216">
        <v>-3.0585870000000002E-3</v>
      </c>
      <c r="AA216">
        <v>0.99952770000000002</v>
      </c>
      <c r="AB216">
        <v>18</v>
      </c>
      <c r="AC216">
        <v>0.68700000000001105</v>
      </c>
      <c r="AD216">
        <v>-7.4445999999999998E-2</v>
      </c>
      <c r="AE216">
        <v>-1.2000000000000399E-2</v>
      </c>
      <c r="AF216">
        <v>2.68694172578243E-2</v>
      </c>
      <c r="AG216">
        <v>-7.4445999999999998E-2</v>
      </c>
      <c r="AH216">
        <v>0.67860061317837195</v>
      </c>
      <c r="AI216">
        <v>96.255744742852698</v>
      </c>
      <c r="AJ216">
        <v>87.732539003116997</v>
      </c>
      <c r="AK216">
        <v>0.68320053037584705</v>
      </c>
      <c r="AL216">
        <v>92.895369757108696</v>
      </c>
      <c r="AM216">
        <v>88.283533693703802</v>
      </c>
      <c r="AN216">
        <v>0.999999991674417</v>
      </c>
    </row>
    <row r="217" spans="1:40" x14ac:dyDescent="0.25">
      <c r="A217" t="str">
        <f>"20190303154418790"</f>
        <v>20190303154418790</v>
      </c>
      <c r="B217" t="str">
        <f>"1551599058780583"</f>
        <v>1551599058780583</v>
      </c>
      <c r="C217" t="s">
        <v>40</v>
      </c>
      <c r="D217">
        <v>4.4043000000000001</v>
      </c>
      <c r="E217">
        <v>0.50012900000000005</v>
      </c>
      <c r="F217" t="s">
        <v>43</v>
      </c>
      <c r="G217">
        <v>-435.32209999999998</v>
      </c>
      <c r="H217">
        <v>-0.05</v>
      </c>
      <c r="I217">
        <v>367.88279999999997</v>
      </c>
      <c r="J217">
        <v>-449.57569999999998</v>
      </c>
      <c r="K217">
        <v>1.1209800000000001</v>
      </c>
      <c r="L217">
        <v>368.01420000000002</v>
      </c>
      <c r="M217">
        <v>0.99968369999999995</v>
      </c>
      <c r="N217">
        <v>-1.262638E-2</v>
      </c>
      <c r="O217">
        <v>2.1755219999999999E-2</v>
      </c>
      <c r="P217">
        <v>0.99801030000000002</v>
      </c>
      <c r="Q217">
        <v>-6.2551979999999993E-2</v>
      </c>
      <c r="R217">
        <v>-7.9512179999999995E-3</v>
      </c>
      <c r="S217">
        <v>2.9905089999999999</v>
      </c>
      <c r="T217">
        <v>-0.2426159</v>
      </c>
      <c r="U217">
        <v>-2.6489260000000001E-2</v>
      </c>
      <c r="V217">
        <v>2.9640909999999999E-2</v>
      </c>
      <c r="W217">
        <v>-4.9964010000000003E-2</v>
      </c>
      <c r="X217">
        <v>0.99831110000000001</v>
      </c>
      <c r="Y217">
        <v>3.0444840000000001E-2</v>
      </c>
      <c r="Z217">
        <v>-2.913161E-3</v>
      </c>
      <c r="AA217">
        <v>0.99953219999999998</v>
      </c>
      <c r="AB217">
        <v>18</v>
      </c>
      <c r="AC217">
        <v>14.2536</v>
      </c>
      <c r="AD217">
        <v>-1.1709799999999999</v>
      </c>
      <c r="AE217">
        <v>-0.13140000000004101</v>
      </c>
      <c r="AF217">
        <v>0.43852436749076101</v>
      </c>
      <c r="AG217">
        <v>-1.1709799999999999</v>
      </c>
      <c r="AH217">
        <v>14.151862073462</v>
      </c>
      <c r="AI217">
        <v>94.727840890282394</v>
      </c>
      <c r="AJ217">
        <v>88.225141106452597</v>
      </c>
      <c r="AK217">
        <v>14.2069946831684</v>
      </c>
      <c r="AL217">
        <v>92.863919272138006</v>
      </c>
      <c r="AM217">
        <v>88.299327476582206</v>
      </c>
      <c r="AN217">
        <v>1.0000000191120499</v>
      </c>
    </row>
    <row r="218" spans="1:40" x14ac:dyDescent="0.25">
      <c r="A218" t="str">
        <f>"20190303154418810"</f>
        <v>20190303154418810</v>
      </c>
      <c r="B218" t="str">
        <f>"1551599058800104"</f>
        <v>1551599058800104</v>
      </c>
      <c r="C218" t="s">
        <v>40</v>
      </c>
      <c r="D218">
        <v>4.4063670000000004</v>
      </c>
      <c r="E218">
        <v>0.50004119999999996</v>
      </c>
      <c r="F218" t="s">
        <v>43</v>
      </c>
      <c r="G218">
        <v>-434.75479999999999</v>
      </c>
      <c r="H218">
        <v>-0.05</v>
      </c>
      <c r="I218">
        <v>367.88679999999999</v>
      </c>
      <c r="J218">
        <v>-449.41340000000002</v>
      </c>
      <c r="K218">
        <v>1.1209899999999999</v>
      </c>
      <c r="L218">
        <v>368.01729999999998</v>
      </c>
      <c r="M218">
        <v>0.99968809999999997</v>
      </c>
      <c r="N218">
        <v>-1.2804960000000001E-2</v>
      </c>
      <c r="O218">
        <v>2.144004E-2</v>
      </c>
      <c r="P218">
        <v>0.99802740000000001</v>
      </c>
      <c r="Q218">
        <v>-6.2257989999999999E-2</v>
      </c>
      <c r="R218">
        <v>-8.0918650000000002E-3</v>
      </c>
      <c r="S218">
        <v>2.9909669999999999</v>
      </c>
      <c r="T218">
        <v>-0.2363112</v>
      </c>
      <c r="U218">
        <v>-2.5695800000000001E-2</v>
      </c>
      <c r="V218">
        <v>2.946739E-2</v>
      </c>
      <c r="W218">
        <v>-4.949141E-2</v>
      </c>
      <c r="X218">
        <v>0.9983398</v>
      </c>
      <c r="Y218">
        <v>2.987472E-2</v>
      </c>
      <c r="Z218">
        <v>-2.786967E-3</v>
      </c>
      <c r="AA218">
        <v>0.99954969999999999</v>
      </c>
      <c r="AB218">
        <v>18</v>
      </c>
      <c r="AC218">
        <v>14.6586</v>
      </c>
      <c r="AD218">
        <v>-1.17099</v>
      </c>
      <c r="AE218">
        <v>-0.13049999999998299</v>
      </c>
      <c r="AF218">
        <v>0.44195663295820398</v>
      </c>
      <c r="AG218">
        <v>-1.17099</v>
      </c>
      <c r="AH218">
        <v>14.559527840428199</v>
      </c>
      <c r="AI218">
        <v>94.596164620057294</v>
      </c>
      <c r="AJ218">
        <v>88.261311989784403</v>
      </c>
      <c r="AK218">
        <v>14.613226686181299</v>
      </c>
      <c r="AL218">
        <v>92.836807681387398</v>
      </c>
      <c r="AM218">
        <v>88.309326115534802</v>
      </c>
      <c r="AN218">
        <v>1.0000000415006101</v>
      </c>
    </row>
    <row r="219" spans="1:40" x14ac:dyDescent="0.25">
      <c r="A219" t="str">
        <f>"20190303154418835"</f>
        <v>20190303154418835</v>
      </c>
      <c r="B219" t="str">
        <f>"1551599058830359"</f>
        <v>1551599058830359</v>
      </c>
      <c r="C219" t="s">
        <v>40</v>
      </c>
      <c r="D219">
        <v>4.4002179999999997</v>
      </c>
      <c r="E219">
        <v>0.499969</v>
      </c>
      <c r="F219" t="s">
        <v>43</v>
      </c>
      <c r="G219">
        <v>-434.22669999999999</v>
      </c>
      <c r="H219">
        <v>-0.05</v>
      </c>
      <c r="I219">
        <v>367.88749999999999</v>
      </c>
      <c r="J219">
        <v>-449.21609999999998</v>
      </c>
      <c r="K219">
        <v>1.1210039999999999</v>
      </c>
      <c r="L219">
        <v>368.02109999999999</v>
      </c>
      <c r="M219">
        <v>0.99969390000000002</v>
      </c>
      <c r="N219">
        <v>-1.299203E-2</v>
      </c>
      <c r="O219">
        <v>2.105636E-2</v>
      </c>
      <c r="P219">
        <v>0.9980175</v>
      </c>
      <c r="Q219">
        <v>-6.2411429999999997E-2</v>
      </c>
      <c r="R219">
        <v>-8.1234740000000003E-3</v>
      </c>
      <c r="S219">
        <v>2.991333</v>
      </c>
      <c r="T219">
        <v>-0.2306501</v>
      </c>
      <c r="U219">
        <v>-2.5573729999999999E-2</v>
      </c>
      <c r="V219">
        <v>2.9116260000000001E-2</v>
      </c>
      <c r="W219">
        <v>-4.9457859999999999E-2</v>
      </c>
      <c r="X219">
        <v>0.99835180000000001</v>
      </c>
      <c r="Y219">
        <v>2.9459019999999999E-2</v>
      </c>
      <c r="Z219">
        <v>-2.6735830000000002E-3</v>
      </c>
      <c r="AA219">
        <v>0.99956239999999996</v>
      </c>
      <c r="AB219">
        <v>18</v>
      </c>
      <c r="AC219">
        <v>14.9893999999999</v>
      </c>
      <c r="AD219">
        <v>-1.1710039999999999</v>
      </c>
      <c r="AE219">
        <v>-0.133600000000001</v>
      </c>
      <c r="AF219">
        <v>0.44649443917117099</v>
      </c>
      <c r="AG219">
        <v>-1.1710039999999999</v>
      </c>
      <c r="AH219">
        <v>14.892380773002101</v>
      </c>
      <c r="AI219">
        <v>94.493967282864801</v>
      </c>
      <c r="AJ219">
        <v>88.282706687341104</v>
      </c>
      <c r="AK219">
        <v>14.945019663429999</v>
      </c>
      <c r="AL219">
        <v>92.834882951717503</v>
      </c>
      <c r="AM219">
        <v>88.329480573437493</v>
      </c>
      <c r="AN219">
        <v>1.0000000765377</v>
      </c>
    </row>
    <row r="220" spans="1:40" x14ac:dyDescent="0.25">
      <c r="A220" t="str">
        <f>"20190303154418854"</f>
        <v>20190303154418854</v>
      </c>
      <c r="B220" t="str">
        <f>"1551599058849880"</f>
        <v>1551599058849880</v>
      </c>
      <c r="C220" t="s">
        <v>40</v>
      </c>
      <c r="D220">
        <v>4.3867440000000002</v>
      </c>
      <c r="E220">
        <v>0.49991409999999997</v>
      </c>
      <c r="F220" t="s">
        <v>43</v>
      </c>
      <c r="G220">
        <v>-433.57339999999999</v>
      </c>
      <c r="H220">
        <v>-0.05</v>
      </c>
      <c r="I220">
        <v>367.89069999999998</v>
      </c>
      <c r="J220">
        <v>-449.0625</v>
      </c>
      <c r="K220">
        <v>1.1210119999999999</v>
      </c>
      <c r="L220">
        <v>368.024</v>
      </c>
      <c r="M220">
        <v>0.99969859999999999</v>
      </c>
      <c r="N220">
        <v>-1.3116879999999999E-2</v>
      </c>
      <c r="O220">
        <v>2.0756610000000002E-2</v>
      </c>
      <c r="P220">
        <v>0.99807020000000002</v>
      </c>
      <c r="Q220">
        <v>-6.1561530000000003E-2</v>
      </c>
      <c r="R220">
        <v>-8.1506819999999994E-3</v>
      </c>
      <c r="S220">
        <v>2.9917600000000002</v>
      </c>
      <c r="T220">
        <v>-0.22396150000000001</v>
      </c>
      <c r="U220">
        <v>-2.4932860000000001E-2</v>
      </c>
      <c r="V220">
        <v>2.8845909999999999E-2</v>
      </c>
      <c r="W220">
        <v>-4.848243E-2</v>
      </c>
      <c r="X220">
        <v>0.99840739999999994</v>
      </c>
      <c r="Y220">
        <v>2.895468E-2</v>
      </c>
      <c r="Z220">
        <v>-2.5520690000000001E-3</v>
      </c>
      <c r="AA220">
        <v>0.99957750000000001</v>
      </c>
      <c r="AB220">
        <v>18</v>
      </c>
      <c r="AC220">
        <v>15.489100000000001</v>
      </c>
      <c r="AD220">
        <v>-1.1710119999999999</v>
      </c>
      <c r="AE220">
        <v>-0.13330000000001899</v>
      </c>
      <c r="AF220">
        <v>0.452215574301361</v>
      </c>
      <c r="AG220">
        <v>-1.1710119999999999</v>
      </c>
      <c r="AH220">
        <v>15.3950084204472</v>
      </c>
      <c r="AI220">
        <v>94.347924519376903</v>
      </c>
      <c r="AJ220">
        <v>88.317467915817602</v>
      </c>
      <c r="AK220">
        <v>15.446101524184799</v>
      </c>
      <c r="AL220">
        <v>92.778928055039202</v>
      </c>
      <c r="AM220">
        <v>88.345075110870596</v>
      </c>
      <c r="AN220">
        <v>0.99999998445859595</v>
      </c>
    </row>
    <row r="221" spans="1:40" x14ac:dyDescent="0.25">
      <c r="A221" t="str">
        <f>"20190303154418878"</f>
        <v>20190303154418878</v>
      </c>
      <c r="B221" t="str">
        <f>"1551599058870376"</f>
        <v>1551599058870376</v>
      </c>
      <c r="C221" t="s">
        <v>40</v>
      </c>
      <c r="D221">
        <v>4.4032439999999999</v>
      </c>
      <c r="E221">
        <v>0.49986730000000001</v>
      </c>
      <c r="F221" t="s">
        <v>43</v>
      </c>
      <c r="G221">
        <v>-432.923</v>
      </c>
      <c r="H221">
        <v>-0.05</v>
      </c>
      <c r="I221">
        <v>367.89049999999997</v>
      </c>
      <c r="J221">
        <v>-448.88260000000002</v>
      </c>
      <c r="K221">
        <v>1.1210230000000001</v>
      </c>
      <c r="L221">
        <v>368.02730000000003</v>
      </c>
      <c r="M221">
        <v>0.99970409999999998</v>
      </c>
      <c r="N221">
        <v>-1.3244550000000001E-2</v>
      </c>
      <c r="O221">
        <v>2.0404740000000001E-2</v>
      </c>
      <c r="P221">
        <v>0.99805529999999998</v>
      </c>
      <c r="Q221">
        <v>-6.1773939999999999E-2</v>
      </c>
      <c r="R221">
        <v>-8.37819699999999E-3</v>
      </c>
      <c r="S221">
        <v>2.9922179999999998</v>
      </c>
      <c r="T221">
        <v>-0.2171023</v>
      </c>
      <c r="U221">
        <v>-2.4749759999999999E-2</v>
      </c>
      <c r="V221">
        <v>2.8721770000000001E-2</v>
      </c>
      <c r="W221">
        <v>-4.8567340000000001E-2</v>
      </c>
      <c r="X221">
        <v>0.99840689999999999</v>
      </c>
      <c r="Y221">
        <v>2.8550579999999999E-2</v>
      </c>
      <c r="Z221">
        <v>-2.4322380000000002E-3</v>
      </c>
      <c r="AA221">
        <v>0.99958939999999996</v>
      </c>
      <c r="AB221">
        <v>18</v>
      </c>
      <c r="AC221">
        <v>15.9596</v>
      </c>
      <c r="AD221">
        <v>-1.1710229999999999</v>
      </c>
      <c r="AE221">
        <v>-0.13680000000004999</v>
      </c>
      <c r="AF221">
        <v>0.45997533722275802</v>
      </c>
      <c r="AG221">
        <v>-1.1710229999999999</v>
      </c>
      <c r="AH221">
        <v>15.8680612569165</v>
      </c>
      <c r="AI221">
        <v>94.218867796619193</v>
      </c>
      <c r="AJ221">
        <v>88.339603869644705</v>
      </c>
      <c r="AK221">
        <v>15.917859159781401</v>
      </c>
      <c r="AL221">
        <v>92.783798644371302</v>
      </c>
      <c r="AM221">
        <v>88.352192413653896</v>
      </c>
      <c r="AN221">
        <v>1.0000000322771001</v>
      </c>
    </row>
    <row r="222" spans="1:40" x14ac:dyDescent="0.25">
      <c r="A222" t="str">
        <f>"20190303154418899"</f>
        <v>20190303154418899</v>
      </c>
      <c r="B222" t="str">
        <f>"1551599058889896"</f>
        <v>1551599058889896</v>
      </c>
      <c r="C222" t="s">
        <v>40</v>
      </c>
      <c r="D222">
        <v>4.4059189999999999</v>
      </c>
      <c r="E222">
        <v>0.49984450000000002</v>
      </c>
      <c r="F222" t="s">
        <v>43</v>
      </c>
      <c r="G222">
        <v>-432.48630000000003</v>
      </c>
      <c r="H222">
        <v>-0.05</v>
      </c>
      <c r="I222">
        <v>367.89330000000001</v>
      </c>
      <c r="J222">
        <v>-448.70769999999999</v>
      </c>
      <c r="K222">
        <v>1.121022</v>
      </c>
      <c r="L222">
        <v>368.03039999999999</v>
      </c>
      <c r="M222">
        <v>0.99970959999999998</v>
      </c>
      <c r="N222">
        <v>-1.3351460000000001E-2</v>
      </c>
      <c r="O222">
        <v>2.0062429999999999E-2</v>
      </c>
      <c r="P222">
        <v>0.99803629999999999</v>
      </c>
      <c r="Q222">
        <v>-6.2014199999999901E-2</v>
      </c>
      <c r="R222">
        <v>-8.8063869999999902E-3</v>
      </c>
      <c r="S222">
        <v>2.9924010000000001</v>
      </c>
      <c r="T222">
        <v>-0.21371770000000001</v>
      </c>
      <c r="U222">
        <v>-2.444458E-2</v>
      </c>
      <c r="V222">
        <v>2.8808250000000001E-2</v>
      </c>
      <c r="W222">
        <v>-4.8701040000000001E-2</v>
      </c>
      <c r="X222">
        <v>0.99839789999999995</v>
      </c>
      <c r="Y222">
        <v>2.8111710000000002E-2</v>
      </c>
      <c r="Z222">
        <v>-2.3539099999999999E-3</v>
      </c>
      <c r="AA222">
        <v>0.99960199999999999</v>
      </c>
      <c r="AB222">
        <v>18</v>
      </c>
      <c r="AC222">
        <v>16.2213999999999</v>
      </c>
      <c r="AD222">
        <v>-1.171022</v>
      </c>
      <c r="AE222">
        <v>-0.13709999999997499</v>
      </c>
      <c r="AF222">
        <v>0.46014428655929301</v>
      </c>
      <c r="AG222">
        <v>-1.171022</v>
      </c>
      <c r="AH222">
        <v>16.1313231340507</v>
      </c>
      <c r="AI222">
        <v>94.150310229290795</v>
      </c>
      <c r="AJ222">
        <v>88.366087007239699</v>
      </c>
      <c r="AK222">
        <v>16.180315551437701</v>
      </c>
      <c r="AL222">
        <v>92.791468153317595</v>
      </c>
      <c r="AM222">
        <v>88.347218793918003</v>
      </c>
      <c r="AN222">
        <v>1.0000000366447701</v>
      </c>
    </row>
    <row r="223" spans="1:40" x14ac:dyDescent="0.25">
      <c r="A223" t="str">
        <f>"20190303154418924"</f>
        <v>20190303154418924</v>
      </c>
      <c r="B223" t="str">
        <f>"1551599058920152"</f>
        <v>1551599058920152</v>
      </c>
      <c r="C223" t="s">
        <v>40</v>
      </c>
      <c r="D223">
        <v>4.4396309999999897</v>
      </c>
      <c r="E223">
        <v>0.49980069999999999</v>
      </c>
      <c r="F223" t="s">
        <v>43</v>
      </c>
      <c r="G223">
        <v>-432.09339999999997</v>
      </c>
      <c r="H223">
        <v>-0.05</v>
      </c>
      <c r="I223">
        <v>367.88740000000001</v>
      </c>
      <c r="J223">
        <v>-448.52620000000002</v>
      </c>
      <c r="K223">
        <v>1.1210340000000001</v>
      </c>
      <c r="L223">
        <v>368.03359999999998</v>
      </c>
      <c r="M223">
        <v>0.99971549999999998</v>
      </c>
      <c r="N223">
        <v>-1.344617E-2</v>
      </c>
      <c r="O223">
        <v>1.9706789999999998E-2</v>
      </c>
      <c r="P223">
        <v>0.99798909999999996</v>
      </c>
      <c r="Q223">
        <v>-6.276458E-2</v>
      </c>
      <c r="R223">
        <v>-8.8511249999999996E-3</v>
      </c>
      <c r="S223">
        <v>2.9925229999999998</v>
      </c>
      <c r="T223">
        <v>-0.2109222</v>
      </c>
      <c r="U223">
        <v>-2.575684E-2</v>
      </c>
      <c r="V223">
        <v>2.8496879999999999E-2</v>
      </c>
      <c r="W223">
        <v>-4.9357079999999998E-2</v>
      </c>
      <c r="X223">
        <v>0.9983746</v>
      </c>
      <c r="Y223">
        <v>2.819758E-2</v>
      </c>
      <c r="Z223">
        <v>-2.304824E-3</v>
      </c>
      <c r="AA223">
        <v>0.99959969999999998</v>
      </c>
      <c r="AB223">
        <v>18</v>
      </c>
      <c r="AC223">
        <v>16.4328</v>
      </c>
      <c r="AD223">
        <v>-1.1710339999999999</v>
      </c>
      <c r="AE223">
        <v>-0.146199999999964</v>
      </c>
      <c r="AF223">
        <v>0.46766384639731801</v>
      </c>
      <c r="AG223">
        <v>-1.1710339999999999</v>
      </c>
      <c r="AH223">
        <v>16.343735471543098</v>
      </c>
      <c r="AI223">
        <v>94.0965867371971</v>
      </c>
      <c r="AJ223">
        <v>88.3609710772634</v>
      </c>
      <c r="AK223">
        <v>16.392306709739199</v>
      </c>
      <c r="AL223">
        <v>92.829101789326799</v>
      </c>
      <c r="AM223">
        <v>88.365034768399596</v>
      </c>
      <c r="AN223">
        <v>1.0000000177205099</v>
      </c>
    </row>
    <row r="224" spans="1:40" x14ac:dyDescent="0.25">
      <c r="A224" t="str">
        <f>"20190303154418947"</f>
        <v>20190303154418947</v>
      </c>
      <c r="B224" t="str">
        <f>"1551599058940649"</f>
        <v>1551599058940649</v>
      </c>
      <c r="C224" t="s">
        <v>40</v>
      </c>
      <c r="D224">
        <v>4.4432419999999997</v>
      </c>
      <c r="E224">
        <v>0.49977460000000001</v>
      </c>
      <c r="F224" t="s">
        <v>43</v>
      </c>
      <c r="G224">
        <v>-431.68880000000001</v>
      </c>
      <c r="H224">
        <v>-0.05</v>
      </c>
      <c r="I224">
        <v>367.892</v>
      </c>
      <c r="J224">
        <v>-448.3399</v>
      </c>
      <c r="K224">
        <v>1.121043</v>
      </c>
      <c r="L224">
        <v>368.03680000000003</v>
      </c>
      <c r="M224">
        <v>0.99972150000000004</v>
      </c>
      <c r="N224">
        <v>-1.352856E-2</v>
      </c>
      <c r="O224">
        <v>1.934253E-2</v>
      </c>
      <c r="P224">
        <v>0.99796490000000004</v>
      </c>
      <c r="Q224">
        <v>-6.3008889999999998E-2</v>
      </c>
      <c r="R224">
        <v>-9.7891039999999999E-3</v>
      </c>
      <c r="S224">
        <v>2.9927980000000001</v>
      </c>
      <c r="T224">
        <v>-0.20814740000000001</v>
      </c>
      <c r="U224">
        <v>-2.5177000000000001E-2</v>
      </c>
      <c r="V224">
        <v>2.90709E-2</v>
      </c>
      <c r="W224">
        <v>-4.9519720000000003E-2</v>
      </c>
      <c r="X224">
        <v>0.99834999999999996</v>
      </c>
      <c r="Y224">
        <v>2.7644169999999999E-2</v>
      </c>
      <c r="Z224">
        <v>-2.2295589999999999E-3</v>
      </c>
      <c r="AA224">
        <v>0.99961529999999998</v>
      </c>
      <c r="AB224">
        <v>17</v>
      </c>
      <c r="AC224">
        <v>16.6510999999999</v>
      </c>
      <c r="AD224">
        <v>-1.1710430000000001</v>
      </c>
      <c r="AE224">
        <v>-0.14480000000003199</v>
      </c>
      <c r="AF224">
        <v>0.46457908177366197</v>
      </c>
      <c r="AG224">
        <v>-1.1710430000000001</v>
      </c>
      <c r="AH224">
        <v>16.5632664188464</v>
      </c>
      <c r="AI224">
        <v>94.042566905375907</v>
      </c>
      <c r="AJ224">
        <v>88.393345688787804</v>
      </c>
      <c r="AK224">
        <v>16.6111098332639</v>
      </c>
      <c r="AL224">
        <v>92.838431773826997</v>
      </c>
      <c r="AM224">
        <v>88.332078586246496</v>
      </c>
      <c r="AN224">
        <v>1.0000000211978399</v>
      </c>
    </row>
    <row r="225" spans="1:40" x14ac:dyDescent="0.25">
      <c r="A225" t="str">
        <f>"20190303154418968"</f>
        <v>20190303154418968</v>
      </c>
      <c r="B225" t="str">
        <f>"1551599058960167"</f>
        <v>1551599058960167</v>
      </c>
      <c r="C225" t="s">
        <v>40</v>
      </c>
      <c r="D225">
        <v>4.4752460000000003</v>
      </c>
      <c r="E225">
        <v>0.49974590000000002</v>
      </c>
      <c r="F225" t="s">
        <v>43</v>
      </c>
      <c r="G225">
        <v>-431.32229999999998</v>
      </c>
      <c r="H225">
        <v>-0.05</v>
      </c>
      <c r="I225">
        <v>367.8775</v>
      </c>
      <c r="J225">
        <v>-448.17110000000002</v>
      </c>
      <c r="K225">
        <v>1.1210530000000001</v>
      </c>
      <c r="L225">
        <v>368.03969999999998</v>
      </c>
      <c r="M225">
        <v>0.99972700000000003</v>
      </c>
      <c r="N225">
        <v>-1.359261E-2</v>
      </c>
      <c r="O225">
        <v>1.9012190000000002E-2</v>
      </c>
      <c r="P225">
        <v>0.99791960000000002</v>
      </c>
      <c r="Q225">
        <v>-6.363866E-2</v>
      </c>
      <c r="R225">
        <v>-1.033591E-2</v>
      </c>
      <c r="S225">
        <v>2.9928590000000002</v>
      </c>
      <c r="T225">
        <v>-0.20594879999999999</v>
      </c>
      <c r="U225">
        <v>-2.8015140000000001E-2</v>
      </c>
      <c r="V225">
        <v>2.9286960000000001E-2</v>
      </c>
      <c r="W225">
        <v>-5.0086150000000003E-2</v>
      </c>
      <c r="X225">
        <v>0.99831539999999996</v>
      </c>
      <c r="Y225">
        <v>2.8262659999999998E-2</v>
      </c>
      <c r="Z225">
        <v>-2.2121189999999998E-3</v>
      </c>
      <c r="AA225">
        <v>0.99959810000000004</v>
      </c>
      <c r="AB225">
        <v>17</v>
      </c>
      <c r="AC225">
        <v>16.848800000000001</v>
      </c>
      <c r="AD225">
        <v>-1.1710529999999999</v>
      </c>
      <c r="AE225">
        <v>-0.162199999999984</v>
      </c>
      <c r="AF225">
        <v>0.48021323457045201</v>
      </c>
      <c r="AG225">
        <v>-1.1710529999999999</v>
      </c>
      <c r="AH225">
        <v>16.7617057725484</v>
      </c>
      <c r="AI225">
        <v>93.994829686941401</v>
      </c>
      <c r="AJ225">
        <v>88.358957739835105</v>
      </c>
      <c r="AK225">
        <v>16.8094244483548</v>
      </c>
      <c r="AL225">
        <v>92.870926225959593</v>
      </c>
      <c r="AM225">
        <v>88.319631180247399</v>
      </c>
      <c r="AN225">
        <v>0.99999999316251198</v>
      </c>
    </row>
    <row r="226" spans="1:40" x14ac:dyDescent="0.25">
      <c r="A226" t="str">
        <f>"20190303154419011"</f>
        <v>20190303154419011</v>
      </c>
      <c r="B226" t="str">
        <f>"1551599059000184"</f>
        <v>1551599059000184</v>
      </c>
      <c r="C226" t="s">
        <v>40</v>
      </c>
      <c r="D226">
        <v>4.4708209999999999</v>
      </c>
      <c r="E226">
        <v>0.49964710000000001</v>
      </c>
      <c r="F226" t="s">
        <v>43</v>
      </c>
      <c r="G226">
        <v>-431.0829</v>
      </c>
      <c r="H226">
        <v>-0.05</v>
      </c>
      <c r="I226">
        <v>367.87369999999999</v>
      </c>
      <c r="J226">
        <v>-447.84050000000002</v>
      </c>
      <c r="K226">
        <v>1.121068</v>
      </c>
      <c r="L226">
        <v>368.04520000000002</v>
      </c>
      <c r="M226">
        <v>0.9997376</v>
      </c>
      <c r="N226">
        <v>-1.369297E-2</v>
      </c>
      <c r="O226">
        <v>1.836571E-2</v>
      </c>
      <c r="P226">
        <v>0.9978979</v>
      </c>
      <c r="Q226">
        <v>-6.3698550000000007E-2</v>
      </c>
      <c r="R226">
        <v>-1.1941780000000001E-2</v>
      </c>
      <c r="S226">
        <v>2.9928889999999999</v>
      </c>
      <c r="T226">
        <v>-0.20510300000000001</v>
      </c>
      <c r="U226">
        <v>-2.9083250000000001E-2</v>
      </c>
      <c r="V226">
        <v>3.024721E-2</v>
      </c>
      <c r="W226">
        <v>-5.004658E-2</v>
      </c>
      <c r="X226">
        <v>0.99828879999999998</v>
      </c>
      <c r="Y226">
        <v>2.797558E-2</v>
      </c>
      <c r="Z226">
        <v>-2.1550760000000001E-3</v>
      </c>
      <c r="AA226">
        <v>0.99960629999999995</v>
      </c>
      <c r="AB226">
        <v>17</v>
      </c>
      <c r="AC226">
        <v>16.7576</v>
      </c>
      <c r="AD226">
        <v>-1.171068</v>
      </c>
      <c r="AE226">
        <v>-0.17150000000003701</v>
      </c>
      <c r="AF226">
        <v>0.47693621271463499</v>
      </c>
      <c r="AG226">
        <v>-1.171068</v>
      </c>
      <c r="AH226">
        <v>16.6702207951639</v>
      </c>
      <c r="AI226">
        <v>94.016737249846997</v>
      </c>
      <c r="AJ226">
        <v>88.3612106768432</v>
      </c>
      <c r="AK226">
        <v>16.718107840636002</v>
      </c>
      <c r="AL226">
        <v>92.868656047604503</v>
      </c>
      <c r="AM226">
        <v>88.264522812940797</v>
      </c>
      <c r="AN226">
        <v>1.00000004104395</v>
      </c>
    </row>
    <row r="227" spans="1:40" x14ac:dyDescent="0.25">
      <c r="A227" t="str">
        <f>"20190303154419033"</f>
        <v>20190303154419033</v>
      </c>
      <c r="B227" t="str">
        <f>"1551599059020683"</f>
        <v>1551599059020683</v>
      </c>
      <c r="C227" t="s">
        <v>40</v>
      </c>
      <c r="D227">
        <v>4.4974790000000002</v>
      </c>
      <c r="E227">
        <v>0.49956869999999998</v>
      </c>
      <c r="F227" t="s">
        <v>43</v>
      </c>
      <c r="G227">
        <v>-430.30889999999999</v>
      </c>
      <c r="H227">
        <v>-0.05</v>
      </c>
      <c r="I227">
        <v>367.85169999999999</v>
      </c>
      <c r="J227">
        <v>-447.67399999999998</v>
      </c>
      <c r="K227">
        <v>1.121075</v>
      </c>
      <c r="L227">
        <v>368.0478</v>
      </c>
      <c r="M227">
        <v>0.99974300000000005</v>
      </c>
      <c r="N227">
        <v>-1.3733209999999999E-2</v>
      </c>
      <c r="O227">
        <v>1.8040239999999999E-2</v>
      </c>
      <c r="P227">
        <v>0.99790540000000005</v>
      </c>
      <c r="Q227">
        <v>-6.341608E-2</v>
      </c>
      <c r="R227">
        <v>-1.279042E-2</v>
      </c>
      <c r="S227">
        <v>2.9931950000000001</v>
      </c>
      <c r="T227">
        <v>-0.19993849999999999</v>
      </c>
      <c r="U227">
        <v>-3.3020019999999997E-2</v>
      </c>
      <c r="V227">
        <v>3.077125E-2</v>
      </c>
      <c r="W227">
        <v>-4.97241E-2</v>
      </c>
      <c r="X227">
        <v>0.99828890000000003</v>
      </c>
      <c r="Y227">
        <v>2.8966860000000001E-2</v>
      </c>
      <c r="Z227">
        <v>-2.121651E-3</v>
      </c>
      <c r="AA227">
        <v>0.99957810000000002</v>
      </c>
      <c r="AB227">
        <v>17</v>
      </c>
      <c r="AC227">
        <v>17.365100000000002</v>
      </c>
      <c r="AD227">
        <v>-1.1710750000000001</v>
      </c>
      <c r="AE227">
        <v>-0.196100000000001</v>
      </c>
      <c r="AF227">
        <v>0.50706238411943005</v>
      </c>
      <c r="AG227">
        <v>-1.1710750000000001</v>
      </c>
      <c r="AH227">
        <v>17.280156360242099</v>
      </c>
      <c r="AI227">
        <v>93.875339894166899</v>
      </c>
      <c r="AJ227">
        <v>88.319216579081001</v>
      </c>
      <c r="AK227">
        <v>17.327213646499199</v>
      </c>
      <c r="AL227">
        <v>92.850156269729197</v>
      </c>
      <c r="AM227">
        <v>88.234474308421397</v>
      </c>
      <c r="AN227">
        <v>1.0000000419052899</v>
      </c>
    </row>
    <row r="228" spans="1:40" x14ac:dyDescent="0.25">
      <c r="A228" t="str">
        <f>"20190303154419056"</f>
        <v>20190303154419056</v>
      </c>
      <c r="B228" t="str">
        <f>"1551599059049960"</f>
        <v>1551599059049960</v>
      </c>
      <c r="C228" t="s">
        <v>40</v>
      </c>
      <c r="D228">
        <v>4.5400029999999996</v>
      </c>
      <c r="E228">
        <v>0.49946849999999998</v>
      </c>
      <c r="F228" t="s">
        <v>43</v>
      </c>
      <c r="G228">
        <v>-429.84010000000001</v>
      </c>
      <c r="H228">
        <v>-0.05</v>
      </c>
      <c r="I228">
        <v>367.83839999999998</v>
      </c>
      <c r="J228">
        <v>-447.49419999999998</v>
      </c>
      <c r="K228">
        <v>1.1210880000000001</v>
      </c>
      <c r="L228">
        <v>368.05059999999997</v>
      </c>
      <c r="M228">
        <v>0.99974890000000005</v>
      </c>
      <c r="N228">
        <v>-1.377013E-2</v>
      </c>
      <c r="O228">
        <v>1.7688639999999999E-2</v>
      </c>
      <c r="P228">
        <v>0.99790500000000004</v>
      </c>
      <c r="Q228">
        <v>-6.3390870000000002E-2</v>
      </c>
      <c r="R228">
        <v>-1.2956840000000001E-2</v>
      </c>
      <c r="S228">
        <v>2.993347</v>
      </c>
      <c r="T228">
        <v>-0.19656090000000001</v>
      </c>
      <c r="U228">
        <v>-3.515625E-2</v>
      </c>
      <c r="V228">
        <v>3.0586970000000002E-2</v>
      </c>
      <c r="W228">
        <v>-4.9661789999999997E-2</v>
      </c>
      <c r="X228">
        <v>0.99829760000000001</v>
      </c>
      <c r="Y228">
        <v>2.9331019999999999E-2</v>
      </c>
      <c r="Z228">
        <v>-2.081042E-3</v>
      </c>
      <c r="AA228">
        <v>0.9995676</v>
      </c>
      <c r="AB228">
        <v>17</v>
      </c>
      <c r="AC228">
        <v>17.6540999999999</v>
      </c>
      <c r="AD228">
        <v>-1.1710879999999999</v>
      </c>
      <c r="AE228">
        <v>-0.212199999999995</v>
      </c>
      <c r="AF228">
        <v>0.52217593783520899</v>
      </c>
      <c r="AG228">
        <v>-1.1710879999999999</v>
      </c>
      <c r="AH228">
        <v>17.570279169001299</v>
      </c>
      <c r="AI228">
        <v>93.811540024199601</v>
      </c>
      <c r="AJ228">
        <v>88.297712095103194</v>
      </c>
      <c r="AK228">
        <v>17.6170038567981</v>
      </c>
      <c r="AL228">
        <v>92.8465819381979</v>
      </c>
      <c r="AM228">
        <v>88.245056177341596</v>
      </c>
      <c r="AN228">
        <v>0.999999977142772</v>
      </c>
    </row>
    <row r="229" spans="1:40" x14ac:dyDescent="0.25">
      <c r="A229" t="str">
        <f>"20190303154419078"</f>
        <v>20190303154419078</v>
      </c>
      <c r="B229" t="str">
        <f>"1551599059070456"</f>
        <v>1551599059070456</v>
      </c>
      <c r="C229" t="s">
        <v>40</v>
      </c>
      <c r="D229">
        <v>4.5372529999999998</v>
      </c>
      <c r="E229">
        <v>0.49938539999999998</v>
      </c>
      <c r="F229" t="s">
        <v>43</v>
      </c>
      <c r="G229">
        <v>-429.36250000000001</v>
      </c>
      <c r="H229">
        <v>-0.05</v>
      </c>
      <c r="I229">
        <v>367.8408</v>
      </c>
      <c r="J229">
        <v>-447.32729999999998</v>
      </c>
      <c r="K229">
        <v>1.121095</v>
      </c>
      <c r="L229">
        <v>368.0532</v>
      </c>
      <c r="M229">
        <v>0.99975409999999998</v>
      </c>
      <c r="N229">
        <v>-1.3798980000000001E-2</v>
      </c>
      <c r="O229">
        <v>1.7362300000000001E-2</v>
      </c>
      <c r="P229">
        <v>0.99791099999999999</v>
      </c>
      <c r="Q229">
        <v>-6.3281539999999997E-2</v>
      </c>
      <c r="R229">
        <v>-1.301836E-2</v>
      </c>
      <c r="S229">
        <v>2.9935610000000001</v>
      </c>
      <c r="T229">
        <v>-0.19334699999999999</v>
      </c>
      <c r="U229">
        <v>-3.463745E-2</v>
      </c>
      <c r="V229">
        <v>3.0323050000000001E-2</v>
      </c>
      <c r="W229">
        <v>-4.9523320000000003E-2</v>
      </c>
      <c r="X229">
        <v>0.99831250000000005</v>
      </c>
      <c r="Y229">
        <v>2.8835619999999999E-2</v>
      </c>
      <c r="Z229">
        <v>-2.0102090000000002E-3</v>
      </c>
      <c r="AA229">
        <v>0.99958219999999998</v>
      </c>
      <c r="AB229">
        <v>17</v>
      </c>
      <c r="AC229">
        <v>17.964799999999901</v>
      </c>
      <c r="AD229">
        <v>-1.171095</v>
      </c>
      <c r="AE229">
        <v>-0.212400000000002</v>
      </c>
      <c r="AF229">
        <v>0.52208958752366397</v>
      </c>
      <c r="AG229">
        <v>-1.171095</v>
      </c>
      <c r="AH229">
        <v>17.8824224162977</v>
      </c>
      <c r="AI229">
        <v>93.745279306965102</v>
      </c>
      <c r="AJ229">
        <v>88.327685465157103</v>
      </c>
      <c r="AK229">
        <v>17.928331559610701</v>
      </c>
      <c r="AL229">
        <v>92.8386385024655</v>
      </c>
      <c r="AM229">
        <v>88.260215333090699</v>
      </c>
      <c r="AN229">
        <v>0.99999994712068596</v>
      </c>
    </row>
    <row r="230" spans="1:40" x14ac:dyDescent="0.25">
      <c r="A230" t="str">
        <f>"20190303154419100"</f>
        <v>20190303154419100</v>
      </c>
      <c r="B230" t="str">
        <f>"1551599059089979"</f>
        <v>1551599059089979</v>
      </c>
      <c r="C230" t="s">
        <v>40</v>
      </c>
      <c r="D230">
        <v>4.5458220000000003</v>
      </c>
      <c r="E230">
        <v>0.49928899999999998</v>
      </c>
      <c r="F230" t="s">
        <v>43</v>
      </c>
      <c r="G230">
        <v>-428.99299999999999</v>
      </c>
      <c r="H230">
        <v>-0.05</v>
      </c>
      <c r="I230">
        <v>367.84309999999999</v>
      </c>
      <c r="J230">
        <v>-447.15219999999999</v>
      </c>
      <c r="K230">
        <v>1.121105</v>
      </c>
      <c r="L230">
        <v>368.05579999999998</v>
      </c>
      <c r="M230">
        <v>0.99975970000000003</v>
      </c>
      <c r="N230">
        <v>-1.382471E-2</v>
      </c>
      <c r="O230">
        <v>1.7019659999999999E-2</v>
      </c>
      <c r="P230">
        <v>0.99791739999999995</v>
      </c>
      <c r="Q230">
        <v>-6.3162860000000001E-2</v>
      </c>
      <c r="R230">
        <v>-1.310013E-2</v>
      </c>
      <c r="S230">
        <v>2.9937130000000001</v>
      </c>
      <c r="T230">
        <v>-0.1912218</v>
      </c>
      <c r="U230">
        <v>-3.4301760000000001E-2</v>
      </c>
      <c r="V230">
        <v>3.0063309999999999E-2</v>
      </c>
      <c r="W230">
        <v>-4.9378579999999998E-2</v>
      </c>
      <c r="X230">
        <v>0.99832759999999998</v>
      </c>
      <c r="Y230">
        <v>2.8384010000000001E-2</v>
      </c>
      <c r="Z230">
        <v>-1.9528690000000001E-3</v>
      </c>
      <c r="AA230">
        <v>0.99959520000000002</v>
      </c>
      <c r="AB230">
        <v>17</v>
      </c>
      <c r="AC230">
        <v>18.159199999999899</v>
      </c>
      <c r="AD230">
        <v>-1.1711049999999901</v>
      </c>
      <c r="AE230">
        <v>-0.21269999999998301</v>
      </c>
      <c r="AF230">
        <v>0.519601323834467</v>
      </c>
      <c r="AG230">
        <v>-1.1711049999999901</v>
      </c>
      <c r="AH230">
        <v>18.077772048437101</v>
      </c>
      <c r="AI230">
        <v>93.705000906604397</v>
      </c>
      <c r="AJ230">
        <v>88.353626287857495</v>
      </c>
      <c r="AK230">
        <v>18.123115479740498</v>
      </c>
      <c r="AL230">
        <v>92.8303351407599</v>
      </c>
      <c r="AM230">
        <v>88.275134945032605</v>
      </c>
      <c r="AN230">
        <v>1.0000000218463601</v>
      </c>
    </row>
    <row r="231" spans="1:40" x14ac:dyDescent="0.25">
      <c r="A231" t="str">
        <f>"20190303154419124"</f>
        <v>20190303154419124</v>
      </c>
      <c r="B231" t="str">
        <f>"1551599059120232"</f>
        <v>1551599059120232</v>
      </c>
      <c r="C231" t="s">
        <v>40</v>
      </c>
      <c r="D231">
        <v>4.604304</v>
      </c>
      <c r="E231">
        <v>0.49912250000000002</v>
      </c>
      <c r="F231" t="s">
        <v>43</v>
      </c>
      <c r="G231">
        <v>-428.6</v>
      </c>
      <c r="H231">
        <v>-0.05</v>
      </c>
      <c r="I231">
        <v>367.84699999999998</v>
      </c>
      <c r="J231">
        <v>-446.97930000000002</v>
      </c>
      <c r="K231">
        <v>1.121119</v>
      </c>
      <c r="L231">
        <v>368.05829999999997</v>
      </c>
      <c r="M231">
        <v>0.99976500000000001</v>
      </c>
      <c r="N231">
        <v>-1.384584E-2</v>
      </c>
      <c r="O231">
        <v>1.6681390000000001E-2</v>
      </c>
      <c r="P231">
        <v>0.99792349999999996</v>
      </c>
      <c r="Q231">
        <v>-6.3116859999999997E-2</v>
      </c>
      <c r="R231">
        <v>-1.2851929999999999E-2</v>
      </c>
      <c r="S231">
        <v>2.9938660000000001</v>
      </c>
      <c r="T231">
        <v>-0.18898670000000001</v>
      </c>
      <c r="U231">
        <v>-3.3691409999999998E-2</v>
      </c>
      <c r="V231">
        <v>2.9477989999999999E-2</v>
      </c>
      <c r="W231">
        <v>-4.9310899999999998E-2</v>
      </c>
      <c r="X231">
        <v>0.99834840000000002</v>
      </c>
      <c r="Y231">
        <v>2.78453E-2</v>
      </c>
      <c r="Z231">
        <v>-1.8921000000000001E-3</v>
      </c>
      <c r="AA231">
        <v>0.99961040000000001</v>
      </c>
      <c r="AB231">
        <v>17</v>
      </c>
      <c r="AC231">
        <v>18.379300000000001</v>
      </c>
      <c r="AD231">
        <v>-1.171119</v>
      </c>
      <c r="AE231">
        <v>-0.21129999999999399</v>
      </c>
      <c r="AF231">
        <v>0.51579830031156604</v>
      </c>
      <c r="AG231">
        <v>-1.171119</v>
      </c>
      <c r="AH231">
        <v>18.2989300919415</v>
      </c>
      <c r="AI231">
        <v>93.660446598558707</v>
      </c>
      <c r="AJ231">
        <v>88.385411476516893</v>
      </c>
      <c r="AK231">
        <v>18.343620419876999</v>
      </c>
      <c r="AL231">
        <v>92.826452631647598</v>
      </c>
      <c r="AM231">
        <v>88.308732860650693</v>
      </c>
      <c r="AN231">
        <v>1.0000000222679</v>
      </c>
    </row>
    <row r="232" spans="1:40" x14ac:dyDescent="0.25">
      <c r="A232" t="str">
        <f>"20190303154419146"</f>
        <v>20190303154419146</v>
      </c>
      <c r="B232" t="str">
        <f>"1551599059140729"</f>
        <v>1551599059140729</v>
      </c>
      <c r="C232" t="s">
        <v>40</v>
      </c>
      <c r="D232">
        <v>4.5983900000000002</v>
      </c>
      <c r="E232">
        <v>0.49916090000000002</v>
      </c>
      <c r="F232" t="s">
        <v>43</v>
      </c>
      <c r="G232">
        <v>-428.19470000000001</v>
      </c>
      <c r="H232">
        <v>-0.05</v>
      </c>
      <c r="I232">
        <v>367.85899999999998</v>
      </c>
      <c r="J232">
        <v>-446.80619999999999</v>
      </c>
      <c r="K232">
        <v>1.1211310000000001</v>
      </c>
      <c r="L232">
        <v>368.06079999999997</v>
      </c>
      <c r="M232">
        <v>0.9997703</v>
      </c>
      <c r="N232">
        <v>-1.386364E-2</v>
      </c>
      <c r="O232">
        <v>1.634292E-2</v>
      </c>
      <c r="P232">
        <v>0.99789709999999998</v>
      </c>
      <c r="Q232">
        <v>-6.3539410000000004E-2</v>
      </c>
      <c r="R232">
        <v>-1.2817230000000001E-2</v>
      </c>
      <c r="S232">
        <v>2.994049</v>
      </c>
      <c r="T232">
        <v>-0.1866633</v>
      </c>
      <c r="U232">
        <v>-3.17688E-2</v>
      </c>
      <c r="V232">
        <v>2.910486E-2</v>
      </c>
      <c r="W232">
        <v>-4.971565E-2</v>
      </c>
      <c r="X232">
        <v>0.99833919999999998</v>
      </c>
      <c r="Y232">
        <v>2.6869239999999999E-2</v>
      </c>
      <c r="Z232">
        <v>-1.8146880000000001E-3</v>
      </c>
      <c r="AA232">
        <v>0.99963729999999995</v>
      </c>
      <c r="AB232">
        <v>17</v>
      </c>
      <c r="AC232">
        <v>18.6114999999999</v>
      </c>
      <c r="AD232">
        <v>-1.1711309999999999</v>
      </c>
      <c r="AE232">
        <v>-0.201799999999934</v>
      </c>
      <c r="AF232">
        <v>0.50397325862773201</v>
      </c>
      <c r="AG232">
        <v>-1.1711309999999999</v>
      </c>
      <c r="AH232">
        <v>18.5323440381027</v>
      </c>
      <c r="AI232">
        <v>93.614602448324703</v>
      </c>
      <c r="AJ232">
        <v>88.442267976486804</v>
      </c>
      <c r="AK232">
        <v>18.5761490199442</v>
      </c>
      <c r="AL232">
        <v>92.849671787288699</v>
      </c>
      <c r="AM232">
        <v>88.330113204494197</v>
      </c>
      <c r="AN232">
        <v>0.99999994849358897</v>
      </c>
    </row>
    <row r="233" spans="1:40" x14ac:dyDescent="0.25">
      <c r="A233" t="str">
        <f>"20190303154419170"</f>
        <v>20190303154419170</v>
      </c>
      <c r="B233" t="str">
        <f>"1551599059160249"</f>
        <v>1551599059160249</v>
      </c>
      <c r="C233" t="s">
        <v>40</v>
      </c>
      <c r="D233">
        <v>4.5933140000000003</v>
      </c>
      <c r="E233">
        <v>0.51778109999999999</v>
      </c>
      <c r="F233" t="s">
        <v>43</v>
      </c>
      <c r="G233">
        <v>-428.0274</v>
      </c>
      <c r="H233">
        <v>-0.05</v>
      </c>
      <c r="I233">
        <v>367.86329999999998</v>
      </c>
      <c r="J233">
        <v>-446.62110000000001</v>
      </c>
      <c r="K233">
        <v>1.1211340000000001</v>
      </c>
      <c r="L233">
        <v>368.0634</v>
      </c>
      <c r="M233">
        <v>0.99977609999999995</v>
      </c>
      <c r="N233">
        <v>-1.3879239999999999E-2</v>
      </c>
      <c r="O233">
        <v>1.59808E-2</v>
      </c>
      <c r="P233">
        <v>0.99790199999999996</v>
      </c>
      <c r="Q233">
        <v>-6.3232999999999998E-2</v>
      </c>
      <c r="R233">
        <v>-1.390134E-2</v>
      </c>
      <c r="S233">
        <v>2.994049</v>
      </c>
      <c r="T233">
        <v>-0.18672230000000001</v>
      </c>
      <c r="U233">
        <v>-3.1494139999999997E-2</v>
      </c>
      <c r="V233">
        <v>2.9827989999999999E-2</v>
      </c>
      <c r="W233">
        <v>-4.9393970000000002E-2</v>
      </c>
      <c r="X233">
        <v>0.9983339</v>
      </c>
      <c r="Y233">
        <v>2.641692E-2</v>
      </c>
      <c r="Z233">
        <v>-1.7804590000000001E-3</v>
      </c>
      <c r="AA233">
        <v>0.99964940000000002</v>
      </c>
      <c r="AB233">
        <v>17</v>
      </c>
      <c r="AC233">
        <v>18.593699999999998</v>
      </c>
      <c r="AD233">
        <v>-1.1711339999999999</v>
      </c>
      <c r="AE233">
        <v>-0.20010000000002001</v>
      </c>
      <c r="AF233">
        <v>0.495280588828865</v>
      </c>
      <c r="AG233">
        <v>-1.1711339999999999</v>
      </c>
      <c r="AH233">
        <v>18.514684522249301</v>
      </c>
      <c r="AI233">
        <v>93.618093327397901</v>
      </c>
      <c r="AJ233">
        <v>88.467663798743999</v>
      </c>
      <c r="AK233">
        <v>18.558297353638</v>
      </c>
      <c r="AL233">
        <v>92.831217992363193</v>
      </c>
      <c r="AM233">
        <v>88.288639026926703</v>
      </c>
      <c r="AN233">
        <v>1.0000000245745</v>
      </c>
    </row>
    <row r="234" spans="1:40" x14ac:dyDescent="0.25">
      <c r="A234" t="str">
        <f>"20190303154419212"</f>
        <v>20190303154419212</v>
      </c>
      <c r="B234" t="str">
        <f>"1551599059210024"</f>
        <v>1551599059210024</v>
      </c>
      <c r="C234" t="s">
        <v>40</v>
      </c>
      <c r="D234">
        <v>4.5893439999999996</v>
      </c>
      <c r="E234">
        <v>0.5188102</v>
      </c>
      <c r="F234" t="s">
        <v>43</v>
      </c>
      <c r="G234">
        <v>-417.92540000000002</v>
      </c>
      <c r="H234">
        <v>-0.05</v>
      </c>
      <c r="I234">
        <v>366.3143</v>
      </c>
      <c r="J234">
        <v>-446.2971</v>
      </c>
      <c r="K234">
        <v>1.121149</v>
      </c>
      <c r="L234">
        <v>368.0677</v>
      </c>
      <c r="M234">
        <v>0.99978560000000005</v>
      </c>
      <c r="N234">
        <v>-1.3899689999999999E-2</v>
      </c>
      <c r="O234">
        <v>1.534699E-2</v>
      </c>
      <c r="P234">
        <v>0.99784689999999998</v>
      </c>
      <c r="Q234">
        <v>-6.3533149999999997E-2</v>
      </c>
      <c r="R234">
        <v>-1.628831E-2</v>
      </c>
      <c r="S234">
        <v>2.9960019999999998</v>
      </c>
      <c r="T234">
        <v>-0.1222736</v>
      </c>
      <c r="U234">
        <v>-0.18261720000000001</v>
      </c>
      <c r="V234">
        <v>3.1581329999999998E-2</v>
      </c>
      <c r="W234">
        <v>-4.9675299999999999E-2</v>
      </c>
      <c r="X234">
        <v>0.99826599999999999</v>
      </c>
      <c r="Y234">
        <v>7.6063359999999997E-2</v>
      </c>
      <c r="Z234">
        <v>-2.4920189999999998E-3</v>
      </c>
      <c r="AA234">
        <v>0.99709990000000004</v>
      </c>
      <c r="AB234">
        <v>17</v>
      </c>
      <c r="AC234">
        <v>28.371699999999901</v>
      </c>
      <c r="AD234">
        <v>-1.171149</v>
      </c>
      <c r="AE234">
        <v>-1.7533999999999901</v>
      </c>
      <c r="AF234">
        <v>2.1849468809311401</v>
      </c>
      <c r="AG234">
        <v>-1.171149</v>
      </c>
      <c r="AH234">
        <v>28.293419172577501</v>
      </c>
      <c r="AI234">
        <v>92.363261747848398</v>
      </c>
      <c r="AJ234">
        <v>85.584122874233302</v>
      </c>
      <c r="AK234">
        <v>28.401815986444799</v>
      </c>
      <c r="AL234">
        <v>92.847356863439003</v>
      </c>
      <c r="AM234">
        <v>88.187984352862898</v>
      </c>
      <c r="AN234">
        <v>1.00000001129532</v>
      </c>
    </row>
    <row r="235" spans="1:40" x14ac:dyDescent="0.25">
      <c r="A235" t="str">
        <f>"20190303154419234"</f>
        <v>20190303154419234</v>
      </c>
      <c r="B235" t="str">
        <f>"1551599059230520"</f>
        <v>1551599059230520</v>
      </c>
      <c r="C235" t="s">
        <v>40</v>
      </c>
      <c r="D235">
        <v>4.5731320000000002</v>
      </c>
      <c r="E235">
        <v>0.51836130000000002</v>
      </c>
      <c r="F235" t="s">
        <v>43</v>
      </c>
      <c r="G235">
        <v>-418.76209999999998</v>
      </c>
      <c r="H235">
        <v>-0.05</v>
      </c>
      <c r="I235">
        <v>366.24860000000001</v>
      </c>
      <c r="J235">
        <v>-446.13479999999998</v>
      </c>
      <c r="K235">
        <v>1.1211530000000001</v>
      </c>
      <c r="L235">
        <v>368.06990000000002</v>
      </c>
      <c r="M235">
        <v>0.99979030000000002</v>
      </c>
      <c r="N235">
        <v>-1.39072E-2</v>
      </c>
      <c r="O235">
        <v>1.502992E-2</v>
      </c>
      <c r="P235">
        <v>0.99778480000000003</v>
      </c>
      <c r="Q235">
        <v>-6.4282350000000002E-2</v>
      </c>
      <c r="R235">
        <v>-1.713342E-2</v>
      </c>
      <c r="S235">
        <v>2.9951479999999999</v>
      </c>
      <c r="T235">
        <v>-0.127392899999999</v>
      </c>
      <c r="U235">
        <v>-0.197876</v>
      </c>
      <c r="V235">
        <v>3.2108770000000002E-2</v>
      </c>
      <c r="W235">
        <v>-5.0418020000000001E-2</v>
      </c>
      <c r="X235">
        <v>0.99821190000000004</v>
      </c>
      <c r="Y235">
        <v>8.081025E-2</v>
      </c>
      <c r="Z235">
        <v>-2.70843E-3</v>
      </c>
      <c r="AA235">
        <v>0.9967258</v>
      </c>
      <c r="AB235">
        <v>17</v>
      </c>
      <c r="AC235">
        <v>27.372699999999998</v>
      </c>
      <c r="AD235">
        <v>-1.1711530000000001</v>
      </c>
      <c r="AE235">
        <v>-1.8212999999999999</v>
      </c>
      <c r="AF235">
        <v>2.22848206153426</v>
      </c>
      <c r="AG235">
        <v>-1.1711530000000001</v>
      </c>
      <c r="AH235">
        <v>27.292489610210701</v>
      </c>
      <c r="AI235">
        <v>92.448982052890798</v>
      </c>
      <c r="AJ235">
        <v>85.332049437914506</v>
      </c>
      <c r="AK235">
        <v>27.408351296118699</v>
      </c>
      <c r="AL235">
        <v>92.889965087451998</v>
      </c>
      <c r="AM235">
        <v>88.157642774178598</v>
      </c>
      <c r="AN235">
        <v>0.99999997357662096</v>
      </c>
    </row>
    <row r="236" spans="1:40" x14ac:dyDescent="0.25">
      <c r="A236" t="str">
        <f>"20190303154419257"</f>
        <v>20190303154419257</v>
      </c>
      <c r="B236" t="str">
        <f>"1551599059250040"</f>
        <v>1551599059250040</v>
      </c>
      <c r="C236" t="s">
        <v>40</v>
      </c>
      <c r="D236">
        <v>4.5310579999999998</v>
      </c>
      <c r="E236">
        <v>0.51850470000000004</v>
      </c>
      <c r="F236" t="s">
        <v>43</v>
      </c>
      <c r="G236">
        <v>-420.08530000000002</v>
      </c>
      <c r="H236">
        <v>-0.05</v>
      </c>
      <c r="I236">
        <v>366.35730000000001</v>
      </c>
      <c r="J236">
        <v>-445.95870000000002</v>
      </c>
      <c r="K236">
        <v>1.121156</v>
      </c>
      <c r="L236">
        <v>368.07209999999998</v>
      </c>
      <c r="M236">
        <v>0.9997954</v>
      </c>
      <c r="N236">
        <v>-1.391364E-2</v>
      </c>
      <c r="O236">
        <v>1.4685210000000001E-2</v>
      </c>
      <c r="P236">
        <v>0.99774790000000002</v>
      </c>
      <c r="Q236">
        <v>-6.4753260000000007E-2</v>
      </c>
      <c r="R236">
        <v>-1.7496000000000001E-2</v>
      </c>
      <c r="S236">
        <v>2.9945979999999999</v>
      </c>
      <c r="T236">
        <v>-0.13463349999999999</v>
      </c>
      <c r="U236">
        <v>-0.19686890000000001</v>
      </c>
      <c r="V236">
        <v>3.2127080000000002E-2</v>
      </c>
      <c r="W236">
        <v>-5.0882829999999997E-2</v>
      </c>
      <c r="X236">
        <v>0.99818779999999996</v>
      </c>
      <c r="Y236">
        <v>8.0134919999999998E-2</v>
      </c>
      <c r="Z236">
        <v>-2.8122400000000001E-3</v>
      </c>
      <c r="AA236">
        <v>0.99678</v>
      </c>
      <c r="AB236">
        <v>17</v>
      </c>
      <c r="AC236">
        <v>25.8734</v>
      </c>
      <c r="AD236">
        <v>-1.1711559999999901</v>
      </c>
      <c r="AE236">
        <v>-1.7147999999999599</v>
      </c>
      <c r="AF236">
        <v>2.0903439384347</v>
      </c>
      <c r="AG236">
        <v>-1.1711559999999901</v>
      </c>
      <c r="AH236">
        <v>25.792808829368699</v>
      </c>
      <c r="AI236">
        <v>92.591319174712893</v>
      </c>
      <c r="AJ236">
        <v>85.366665963747906</v>
      </c>
      <c r="AK236">
        <v>25.903863253685699</v>
      </c>
      <c r="AL236">
        <v>92.916630749984293</v>
      </c>
      <c r="AM236">
        <v>88.156548420064297</v>
      </c>
      <c r="AN236">
        <v>1.0000000478634801</v>
      </c>
    </row>
    <row r="237" spans="1:40" x14ac:dyDescent="0.25">
      <c r="A237" t="str">
        <f>"20190303154419279"</f>
        <v>20190303154419279</v>
      </c>
      <c r="B237" t="str">
        <f>"1551599059270536"</f>
        <v>1551599059270536</v>
      </c>
      <c r="C237" t="s">
        <v>40</v>
      </c>
      <c r="D237">
        <v>4.5273440000000003</v>
      </c>
      <c r="E237">
        <v>0.51858609999999905</v>
      </c>
      <c r="F237" t="s">
        <v>43</v>
      </c>
      <c r="G237">
        <v>-420.01150000000001</v>
      </c>
      <c r="H237">
        <v>-0.05</v>
      </c>
      <c r="I237">
        <v>366.34530000000001</v>
      </c>
      <c r="J237">
        <v>-445.80059999999997</v>
      </c>
      <c r="K237">
        <v>1.121159</v>
      </c>
      <c r="L237">
        <v>368.07400000000001</v>
      </c>
      <c r="M237">
        <v>0.99980000000000002</v>
      </c>
      <c r="N237">
        <v>-1.3918079999999999E-2</v>
      </c>
      <c r="O237">
        <v>1.437562E-2</v>
      </c>
      <c r="P237">
        <v>0.99773250000000002</v>
      </c>
      <c r="Q237">
        <v>-6.5096959999999995E-2</v>
      </c>
      <c r="R237">
        <v>-1.7102200000000001E-2</v>
      </c>
      <c r="S237">
        <v>2.9944760000000001</v>
      </c>
      <c r="T237">
        <v>-0.1351591</v>
      </c>
      <c r="U237">
        <v>-0.19927980000000001</v>
      </c>
      <c r="V237">
        <v>3.1424189999999998E-2</v>
      </c>
      <c r="W237">
        <v>-5.1221719999999998E-2</v>
      </c>
      <c r="X237">
        <v>0.99819279999999999</v>
      </c>
      <c r="Y237">
        <v>8.0626619999999996E-2</v>
      </c>
      <c r="Z237">
        <v>-2.8268529999999998E-3</v>
      </c>
      <c r="AA237">
        <v>0.99674030000000002</v>
      </c>
      <c r="AB237">
        <v>17</v>
      </c>
      <c r="AC237">
        <v>25.789099999999902</v>
      </c>
      <c r="AD237">
        <v>-1.1711590000000001</v>
      </c>
      <c r="AE237">
        <v>-1.7286999999999999</v>
      </c>
      <c r="AF237">
        <v>2.0949902235376201</v>
      </c>
      <c r="AG237">
        <v>-1.1711590000000001</v>
      </c>
      <c r="AH237">
        <v>25.7087980428918</v>
      </c>
      <c r="AI237">
        <v>92.599688707829202</v>
      </c>
      <c r="AJ237">
        <v>85.341304713403801</v>
      </c>
      <c r="AK237">
        <v>25.820590509324099</v>
      </c>
      <c r="AL237">
        <v>92.936073194528504</v>
      </c>
      <c r="AM237">
        <v>88.196862346127801</v>
      </c>
      <c r="AN237">
        <v>1.00000000514437</v>
      </c>
    </row>
    <row r="238" spans="1:40" x14ac:dyDescent="0.25">
      <c r="A238" t="str">
        <f>"20190303154419301"</f>
        <v>20190303154419301</v>
      </c>
      <c r="B238" t="str">
        <f>"1551599059290056"</f>
        <v>1551599059290056</v>
      </c>
      <c r="C238" t="s">
        <v>40</v>
      </c>
      <c r="D238">
        <v>4.5417500000000004</v>
      </c>
      <c r="E238">
        <v>0.51868809999999999</v>
      </c>
      <c r="F238" t="s">
        <v>43</v>
      </c>
      <c r="G238">
        <v>-419.93340000000001</v>
      </c>
      <c r="H238">
        <v>-0.05</v>
      </c>
      <c r="I238">
        <v>366.35739999999998</v>
      </c>
      <c r="J238">
        <v>-445.62529999999998</v>
      </c>
      <c r="K238">
        <v>1.1211660000000001</v>
      </c>
      <c r="L238">
        <v>368.0761</v>
      </c>
      <c r="M238">
        <v>0.99980469999999999</v>
      </c>
      <c r="N238">
        <v>-1.3921899999999999E-2</v>
      </c>
      <c r="O238">
        <v>1.4032650000000001E-2</v>
      </c>
      <c r="P238">
        <v>0.9977549</v>
      </c>
      <c r="Q238">
        <v>-6.4963939999999998E-2</v>
      </c>
      <c r="R238">
        <v>-1.6284860000000002E-2</v>
      </c>
      <c r="S238">
        <v>2.9945680000000001</v>
      </c>
      <c r="T238">
        <v>-0.1355816</v>
      </c>
      <c r="U238">
        <v>-0.1987305</v>
      </c>
      <c r="V238">
        <v>3.026508E-2</v>
      </c>
      <c r="W238">
        <v>-5.1083749999999997E-2</v>
      </c>
      <c r="X238">
        <v>0.99823569999999995</v>
      </c>
      <c r="Y238">
        <v>8.0100870000000005E-2</v>
      </c>
      <c r="Z238">
        <v>-2.8082990000000002E-3</v>
      </c>
      <c r="AA238">
        <v>0.99678279999999997</v>
      </c>
      <c r="AB238">
        <v>17</v>
      </c>
      <c r="AC238">
        <v>25.691899999999901</v>
      </c>
      <c r="AD238">
        <v>-1.1711659999999999</v>
      </c>
      <c r="AE238">
        <v>-1.7187000000000101</v>
      </c>
      <c r="AF238">
        <v>2.0747988795484198</v>
      </c>
      <c r="AG238">
        <v>-1.1711659999999999</v>
      </c>
      <c r="AH238">
        <v>25.612264533110999</v>
      </c>
      <c r="AI238">
        <v>92.609590299032902</v>
      </c>
      <c r="AJ238">
        <v>85.368695255582793</v>
      </c>
      <c r="AK238">
        <v>25.722840331195702</v>
      </c>
      <c r="AL238">
        <v>92.928157693639605</v>
      </c>
      <c r="AM238">
        <v>88.263405808895499</v>
      </c>
      <c r="AN238">
        <v>1.0000000186679701</v>
      </c>
    </row>
    <row r="239" spans="1:40" x14ac:dyDescent="0.25">
      <c r="A239" t="str">
        <f>"20190303154419324"</f>
        <v>20190303154419324</v>
      </c>
      <c r="B239" t="str">
        <f>"1551599059320312"</f>
        <v>1551599059320312</v>
      </c>
      <c r="C239" t="s">
        <v>40</v>
      </c>
      <c r="D239">
        <v>4.527495</v>
      </c>
      <c r="E239">
        <v>0.5187252</v>
      </c>
      <c r="F239" t="s">
        <v>43</v>
      </c>
      <c r="G239">
        <v>-419.4171</v>
      </c>
      <c r="H239">
        <v>-0.05</v>
      </c>
      <c r="I239">
        <v>366.35140000000001</v>
      </c>
      <c r="J239">
        <v>-445.45819999999998</v>
      </c>
      <c r="K239">
        <v>1.12117</v>
      </c>
      <c r="L239">
        <v>368.07810000000001</v>
      </c>
      <c r="M239">
        <v>0.99980910000000001</v>
      </c>
      <c r="N239">
        <v>-1.3924280000000001E-2</v>
      </c>
      <c r="O239">
        <v>1.370537E-2</v>
      </c>
      <c r="P239">
        <v>0.99774189999999996</v>
      </c>
      <c r="Q239">
        <v>-6.5133990000000003E-2</v>
      </c>
      <c r="R239">
        <v>-1.6396839999999999E-2</v>
      </c>
      <c r="S239">
        <v>2.994812</v>
      </c>
      <c r="T239">
        <v>-0.1338289</v>
      </c>
      <c r="U239">
        <v>-0.19708249999999999</v>
      </c>
      <c r="V239">
        <v>3.005035E-2</v>
      </c>
      <c r="W239">
        <v>-5.1251350000000001E-2</v>
      </c>
      <c r="X239">
        <v>0.99823360000000005</v>
      </c>
      <c r="Y239">
        <v>7.9227049999999993E-2</v>
      </c>
      <c r="Z239">
        <v>-2.7409679999999999E-3</v>
      </c>
      <c r="AA239">
        <v>0.99685279999999998</v>
      </c>
      <c r="AB239">
        <v>17</v>
      </c>
      <c r="AC239">
        <v>26.041099999999901</v>
      </c>
      <c r="AD239">
        <v>-1.17117</v>
      </c>
      <c r="AE239">
        <v>-1.7266999999999899</v>
      </c>
      <c r="AF239">
        <v>2.0792880468524202</v>
      </c>
      <c r="AG239">
        <v>-1.17117</v>
      </c>
      <c r="AH239">
        <v>25.962702659790299</v>
      </c>
      <c r="AI239">
        <v>92.574612592913496</v>
      </c>
      <c r="AJ239">
        <v>85.421097061661001</v>
      </c>
      <c r="AK239">
        <v>26.072150033155399</v>
      </c>
      <c r="AL239">
        <v>92.937773050800303</v>
      </c>
      <c r="AM239">
        <v>88.275715812423201</v>
      </c>
      <c r="AN239">
        <v>1.0000000222904499</v>
      </c>
    </row>
    <row r="240" spans="1:40" x14ac:dyDescent="0.25">
      <c r="A240" t="str">
        <f>"20190303154419349"</f>
        <v>20190303154419349</v>
      </c>
      <c r="B240" t="str">
        <f>"1551599059340808"</f>
        <v>1551599059340808</v>
      </c>
      <c r="C240" t="s">
        <v>40</v>
      </c>
      <c r="D240">
        <v>4.5009560000000004</v>
      </c>
      <c r="E240">
        <v>0.51868130000000001</v>
      </c>
      <c r="F240" t="s">
        <v>43</v>
      </c>
      <c r="G240">
        <v>-419.27019999999999</v>
      </c>
      <c r="H240">
        <v>-0.05</v>
      </c>
      <c r="I240">
        <v>366.34879999999998</v>
      </c>
      <c r="J240">
        <v>-445.27080000000001</v>
      </c>
      <c r="K240">
        <v>1.121176</v>
      </c>
      <c r="L240">
        <v>368.08019999999999</v>
      </c>
      <c r="M240">
        <v>0.99981410000000004</v>
      </c>
      <c r="N240">
        <v>-1.392587E-2</v>
      </c>
      <c r="O240">
        <v>1.33387E-2</v>
      </c>
      <c r="P240">
        <v>0.99768970000000001</v>
      </c>
      <c r="Q240">
        <v>-6.5910469999999999E-2</v>
      </c>
      <c r="R240">
        <v>-1.646421E-2</v>
      </c>
      <c r="S240">
        <v>2.994812</v>
      </c>
      <c r="T240">
        <v>-0.13393289999999999</v>
      </c>
      <c r="U240">
        <v>-0.19775390000000001</v>
      </c>
      <c r="V240">
        <v>2.9751079999999999E-2</v>
      </c>
      <c r="W240">
        <v>-5.2026599999999999E-2</v>
      </c>
      <c r="X240">
        <v>0.99820240000000005</v>
      </c>
      <c r="Y240">
        <v>7.9084189999999999E-2</v>
      </c>
      <c r="Z240">
        <v>-2.7273839999999998E-3</v>
      </c>
      <c r="AA240">
        <v>0.99686419999999998</v>
      </c>
      <c r="AB240">
        <v>17</v>
      </c>
      <c r="AC240">
        <v>26.000599999999999</v>
      </c>
      <c r="AD240">
        <v>-1.171176</v>
      </c>
      <c r="AE240">
        <v>-1.7314000000000001</v>
      </c>
      <c r="AF240">
        <v>2.0739044272717999</v>
      </c>
      <c r="AG240">
        <v>-1.171176</v>
      </c>
      <c r="AH240">
        <v>25.922824889985499</v>
      </c>
      <c r="AI240">
        <v>92.578598340793206</v>
      </c>
      <c r="AJ240">
        <v>85.425906479713305</v>
      </c>
      <c r="AK240">
        <v>26.032010738190898</v>
      </c>
      <c r="AL240">
        <v>92.982251123722406</v>
      </c>
      <c r="AM240">
        <v>88.292824337614405</v>
      </c>
      <c r="AN240">
        <v>0.999999962617242</v>
      </c>
    </row>
    <row r="241" spans="1:40" x14ac:dyDescent="0.25">
      <c r="A241" t="str">
        <f>"20190303154419372"</f>
        <v>20190303154419372</v>
      </c>
      <c r="B241" t="str">
        <f>"1551599059360328"</f>
        <v>1551599059360328</v>
      </c>
      <c r="C241" t="s">
        <v>40</v>
      </c>
      <c r="D241">
        <v>4.5751330000000001</v>
      </c>
      <c r="E241">
        <v>0.51860609999999996</v>
      </c>
      <c r="F241" t="s">
        <v>43</v>
      </c>
      <c r="G241">
        <v>-419.43209999999999</v>
      </c>
      <c r="H241">
        <v>-0.05</v>
      </c>
      <c r="I241">
        <v>366.37419999999997</v>
      </c>
      <c r="J241">
        <v>-445.1028</v>
      </c>
      <c r="K241">
        <v>1.1211739999999999</v>
      </c>
      <c r="L241">
        <v>368.08210000000003</v>
      </c>
      <c r="M241">
        <v>0.9998184</v>
      </c>
      <c r="N241">
        <v>-1.3926529999999999E-2</v>
      </c>
      <c r="O241">
        <v>1.3010290000000001E-2</v>
      </c>
      <c r="P241">
        <v>0.99767450000000002</v>
      </c>
      <c r="Q241">
        <v>-6.5848799999999999E-2</v>
      </c>
      <c r="R241">
        <v>-1.7599050000000001E-2</v>
      </c>
      <c r="S241">
        <v>2.994659</v>
      </c>
      <c r="T241">
        <v>-0.1357372</v>
      </c>
      <c r="U241">
        <v>-0.19772339999999999</v>
      </c>
      <c r="V241">
        <v>3.0558020000000002E-2</v>
      </c>
      <c r="W241">
        <v>-5.1964870000000003E-2</v>
      </c>
      <c r="X241">
        <v>0.99818130000000005</v>
      </c>
      <c r="Y241">
        <v>7.8747849999999994E-2</v>
      </c>
      <c r="Z241">
        <v>-2.7390560000000001E-3</v>
      </c>
      <c r="AA241">
        <v>0.99689079999999997</v>
      </c>
      <c r="AB241">
        <v>17</v>
      </c>
      <c r="AC241">
        <v>25.6707</v>
      </c>
      <c r="AD241">
        <v>-1.1711739999999999</v>
      </c>
      <c r="AE241">
        <v>-1.7079000000000499</v>
      </c>
      <c r="AF241">
        <v>2.03754867566871</v>
      </c>
      <c r="AG241">
        <v>-1.1711739999999999</v>
      </c>
      <c r="AH241">
        <v>25.5932679244724</v>
      </c>
      <c r="AI241">
        <v>92.611832789674807</v>
      </c>
      <c r="AJ241">
        <v>85.448130036546701</v>
      </c>
      <c r="AK241">
        <v>25.700945823020302</v>
      </c>
      <c r="AL241">
        <v>92.978709281379906</v>
      </c>
      <c r="AM241">
        <v>88.246512011010495</v>
      </c>
      <c r="AN241">
        <v>1.0000000239850599</v>
      </c>
    </row>
    <row r="242" spans="1:40" x14ac:dyDescent="0.25">
      <c r="A242" t="str">
        <f>"20190303154419395"</f>
        <v>20190303154419395</v>
      </c>
      <c r="B242" t="str">
        <f>"1551599059390585"</f>
        <v>1551599059390585</v>
      </c>
      <c r="C242" t="s">
        <v>40</v>
      </c>
      <c r="D242">
        <v>4.5607150000000001</v>
      </c>
      <c r="E242">
        <v>0.48627949999999998</v>
      </c>
      <c r="F242" t="s">
        <v>43</v>
      </c>
      <c r="G242">
        <v>-419.14299999999997</v>
      </c>
      <c r="H242">
        <v>-0.05</v>
      </c>
      <c r="I242">
        <v>366.34530000000001</v>
      </c>
      <c r="J242">
        <v>-444.92950000000002</v>
      </c>
      <c r="K242">
        <v>1.1211679999999999</v>
      </c>
      <c r="L242">
        <v>368.08390000000003</v>
      </c>
      <c r="M242">
        <v>0.99982269999999895</v>
      </c>
      <c r="N242">
        <v>-1.392652E-2</v>
      </c>
      <c r="O242">
        <v>1.2671109999999999E-2</v>
      </c>
      <c r="P242">
        <v>0.99768979999999996</v>
      </c>
      <c r="Q242">
        <v>-6.5321030000000002E-2</v>
      </c>
      <c r="R242">
        <v>-1.865783E-2</v>
      </c>
      <c r="S242">
        <v>2.9945369999999998</v>
      </c>
      <c r="T242">
        <v>-0.135098</v>
      </c>
      <c r="U242">
        <v>-0.2003479</v>
      </c>
      <c r="V242">
        <v>3.127887E-2</v>
      </c>
      <c r="W242">
        <v>-5.143723E-2</v>
      </c>
      <c r="X242">
        <v>0.99818629999999997</v>
      </c>
      <c r="Y242">
        <v>7.928259E-2</v>
      </c>
      <c r="Z242">
        <v>-2.7331590000000002E-3</v>
      </c>
      <c r="AA242">
        <v>0.99684850000000003</v>
      </c>
      <c r="AB242">
        <v>17</v>
      </c>
      <c r="AC242">
        <v>25.786499999999901</v>
      </c>
      <c r="AD242">
        <v>-1.171168</v>
      </c>
      <c r="AE242">
        <v>-1.7386000000000099</v>
      </c>
      <c r="AF242">
        <v>2.0610035089693102</v>
      </c>
      <c r="AG242">
        <v>-1.171168</v>
      </c>
      <c r="AH242">
        <v>25.70960393403</v>
      </c>
      <c r="AI242">
        <v>92.599903412712095</v>
      </c>
      <c r="AJ242">
        <v>85.416700437073402</v>
      </c>
      <c r="AK242">
        <v>25.818658067236999</v>
      </c>
      <c r="AL242">
        <v>92.948437254164503</v>
      </c>
      <c r="AM242">
        <v>88.205183742981404</v>
      </c>
      <c r="AN242">
        <v>1.0000000229231101</v>
      </c>
    </row>
    <row r="243" spans="1:40" x14ac:dyDescent="0.25">
      <c r="A243" t="str">
        <f>"20190303154419417"</f>
        <v>20190303154419417</v>
      </c>
      <c r="B243" t="str">
        <f>"1551599059410105"</f>
        <v>1551599059410105</v>
      </c>
      <c r="C243" t="s">
        <v>40</v>
      </c>
      <c r="D243">
        <v>4.5616300000000001</v>
      </c>
      <c r="E243">
        <v>0.48343629999999999</v>
      </c>
      <c r="F243" t="s">
        <v>43</v>
      </c>
      <c r="G243">
        <v>-425.58969999999999</v>
      </c>
      <c r="H243">
        <v>-0.05</v>
      </c>
      <c r="I243">
        <v>368.43119999999999</v>
      </c>
      <c r="J243">
        <v>-444.76420000000002</v>
      </c>
      <c r="K243">
        <v>1.1211690000000001</v>
      </c>
      <c r="L243">
        <v>368.0856</v>
      </c>
      <c r="M243">
        <v>0.99982700000000002</v>
      </c>
      <c r="N243">
        <v>-1.392583E-2</v>
      </c>
      <c r="O243">
        <v>1.2347840000000001E-2</v>
      </c>
      <c r="P243">
        <v>0.99766529999999998</v>
      </c>
      <c r="Q243">
        <v>-6.5415490000000007E-2</v>
      </c>
      <c r="R243">
        <v>-1.9623410000000001E-2</v>
      </c>
      <c r="S243">
        <v>2.9960629999999999</v>
      </c>
      <c r="T243">
        <v>-0.18143339999999999</v>
      </c>
      <c r="U243">
        <v>5.3802490000000001E-2</v>
      </c>
      <c r="V243">
        <v>3.1921680000000001E-2</v>
      </c>
      <c r="W243">
        <v>-5.1532969999999997E-2</v>
      </c>
      <c r="X243">
        <v>0.99816099999999996</v>
      </c>
      <c r="Y243">
        <v>-5.6071899999999997E-3</v>
      </c>
      <c r="Z243">
        <v>-3.6643659999999997E-4</v>
      </c>
      <c r="AA243">
        <v>0.99998419999999999</v>
      </c>
      <c r="AB243">
        <v>17</v>
      </c>
      <c r="AC243">
        <v>19.174499999999998</v>
      </c>
      <c r="AD243">
        <v>-1.1711689999999999</v>
      </c>
      <c r="AE243">
        <v>0.34559999999999003</v>
      </c>
      <c r="AF243">
        <v>-0.108382865521816</v>
      </c>
      <c r="AG243">
        <v>-1.1711689999999999</v>
      </c>
      <c r="AH243">
        <v>19.106049819066701</v>
      </c>
      <c r="AI243">
        <v>93.507690420842096</v>
      </c>
      <c r="AJ243">
        <v>90.3250182123315</v>
      </c>
      <c r="AK243">
        <v>19.142218350044001</v>
      </c>
      <c r="AL243">
        <v>92.953930071109397</v>
      </c>
      <c r="AM243">
        <v>88.168277070284503</v>
      </c>
      <c r="AN243">
        <v>1.0000000112860199</v>
      </c>
    </row>
    <row r="244" spans="1:40" x14ac:dyDescent="0.25">
      <c r="A244" t="str">
        <f>"20190303154419437"</f>
        <v>20190303154419437</v>
      </c>
      <c r="B244" t="str">
        <f>"1551599059430600"</f>
        <v>1551599059430600</v>
      </c>
      <c r="C244" t="s">
        <v>40</v>
      </c>
      <c r="D244">
        <v>4.5450599999999897</v>
      </c>
      <c r="E244">
        <v>0.48191250000000002</v>
      </c>
      <c r="F244" t="s">
        <v>43</v>
      </c>
      <c r="G244">
        <v>-425.53719999999998</v>
      </c>
      <c r="H244">
        <v>-0.05</v>
      </c>
      <c r="I244">
        <v>368.5564</v>
      </c>
      <c r="J244">
        <v>-444.61410000000001</v>
      </c>
      <c r="K244">
        <v>1.121173</v>
      </c>
      <c r="L244">
        <v>368.0872</v>
      </c>
      <c r="M244">
        <v>0.99983040000000001</v>
      </c>
      <c r="N244">
        <v>-1.3924870000000001E-2</v>
      </c>
      <c r="O244">
        <v>1.205414E-2</v>
      </c>
      <c r="P244">
        <v>0.99761840000000002</v>
      </c>
      <c r="Q244">
        <v>-6.6008629999999999E-2</v>
      </c>
      <c r="R244">
        <v>-2.0007870000000001E-2</v>
      </c>
      <c r="S244">
        <v>2.9964599999999999</v>
      </c>
      <c r="T244">
        <v>-0.18252299999999999</v>
      </c>
      <c r="U244">
        <v>7.3364260000000001E-2</v>
      </c>
      <c r="V244">
        <v>3.201234E-2</v>
      </c>
      <c r="W244">
        <v>-5.2127590000000001E-2</v>
      </c>
      <c r="X244">
        <v>0.99812719999999999</v>
      </c>
      <c r="Y244">
        <v>-1.240787E-2</v>
      </c>
      <c r="Z244">
        <v>-1.0170040000000001E-4</v>
      </c>
      <c r="AA244">
        <v>0.99992300000000001</v>
      </c>
      <c r="AB244">
        <v>17</v>
      </c>
      <c r="AC244">
        <v>19.076899999999998</v>
      </c>
      <c r="AD244">
        <v>-1.171173</v>
      </c>
      <c r="AE244">
        <v>0.46920000000000001</v>
      </c>
      <c r="AF244">
        <v>-0.238290412653966</v>
      </c>
      <c r="AG244">
        <v>-1.171173</v>
      </c>
      <c r="AH244">
        <v>19.009566273263001</v>
      </c>
      <c r="AI244">
        <v>93.525241338678001</v>
      </c>
      <c r="AJ244">
        <v>90.718181556505598</v>
      </c>
      <c r="AK244">
        <v>19.0471005251264</v>
      </c>
      <c r="AL244">
        <v>92.988045200724997</v>
      </c>
      <c r="AM244">
        <v>88.163016234987396</v>
      </c>
      <c r="AN244">
        <v>0.99999999146566099</v>
      </c>
    </row>
    <row r="245" spans="1:40" x14ac:dyDescent="0.25">
      <c r="A245" t="str">
        <f>"20190303154419457"</f>
        <v>20190303154419457</v>
      </c>
      <c r="B245" t="str">
        <f>"1551599059450121"</f>
        <v>1551599059450121</v>
      </c>
      <c r="C245" t="s">
        <v>40</v>
      </c>
      <c r="D245">
        <v>4.5595919999999897</v>
      </c>
      <c r="E245">
        <v>0.48114309999999899</v>
      </c>
      <c r="F245" t="s">
        <v>43</v>
      </c>
      <c r="G245">
        <v>-425.5804</v>
      </c>
      <c r="H245">
        <v>-0.05</v>
      </c>
      <c r="I245">
        <v>368.62290000000002</v>
      </c>
      <c r="J245">
        <v>-444.46190000000001</v>
      </c>
      <c r="K245">
        <v>1.121175</v>
      </c>
      <c r="L245">
        <v>368.08870000000002</v>
      </c>
      <c r="M245">
        <v>0.99983390000000005</v>
      </c>
      <c r="N245">
        <v>-1.392358E-2</v>
      </c>
      <c r="O245">
        <v>1.1756559999999999E-2</v>
      </c>
      <c r="P245">
        <v>0.99758349999999996</v>
      </c>
      <c r="Q245">
        <v>-6.6598909999999997E-2</v>
      </c>
      <c r="R245">
        <v>-1.9799190000000001E-2</v>
      </c>
      <c r="S245">
        <v>2.996613</v>
      </c>
      <c r="T245">
        <v>-0.18438599999999999</v>
      </c>
      <c r="U245">
        <v>8.4350590000000003E-2</v>
      </c>
      <c r="V245">
        <v>3.1506260000000001E-2</v>
      </c>
      <c r="W245">
        <v>-5.2719200000000001E-2</v>
      </c>
      <c r="X245">
        <v>0.99811229999999995</v>
      </c>
      <c r="Y245">
        <v>-1.6357880000000002E-2</v>
      </c>
      <c r="Z245" s="1">
        <v>5.7756349999999998E-5</v>
      </c>
      <c r="AA245">
        <v>0.99986620000000004</v>
      </c>
      <c r="AB245">
        <v>17</v>
      </c>
      <c r="AC245">
        <v>18.881499999999999</v>
      </c>
      <c r="AD245">
        <v>-1.1711750000000001</v>
      </c>
      <c r="AE245">
        <v>0.53419999999999801</v>
      </c>
      <c r="AF245">
        <v>-0.31096459854767999</v>
      </c>
      <c r="AG245">
        <v>-1.1711750000000001</v>
      </c>
      <c r="AH245">
        <v>18.814147596247398</v>
      </c>
      <c r="AI245">
        <v>93.561563496069496</v>
      </c>
      <c r="AJ245">
        <v>90.946911722820204</v>
      </c>
      <c r="AK245">
        <v>18.853129703992298</v>
      </c>
      <c r="AL245">
        <v>93.021988421455802</v>
      </c>
      <c r="AM245">
        <v>88.192010534504902</v>
      </c>
      <c r="AN245">
        <v>1.0000000609395501</v>
      </c>
    </row>
    <row r="246" spans="1:40" x14ac:dyDescent="0.25">
      <c r="A246" t="str">
        <f>"20190303154419481"</f>
        <v>20190303154419481</v>
      </c>
      <c r="B246" t="str">
        <f>"1551599059470617"</f>
        <v>1551599059470617</v>
      </c>
      <c r="C246" t="s">
        <v>40</v>
      </c>
      <c r="D246">
        <v>4.5467490000000002</v>
      </c>
      <c r="E246">
        <v>0.4804872</v>
      </c>
      <c r="F246" t="s">
        <v>43</v>
      </c>
      <c r="G246">
        <v>-425.62529999999998</v>
      </c>
      <c r="H246">
        <v>-0.05</v>
      </c>
      <c r="I246">
        <v>368.66149999999999</v>
      </c>
      <c r="J246">
        <v>-444.29070000000002</v>
      </c>
      <c r="K246">
        <v>1.121176</v>
      </c>
      <c r="L246">
        <v>368.09030000000001</v>
      </c>
      <c r="M246">
        <v>0.999838</v>
      </c>
      <c r="N246">
        <v>-1.392179E-2</v>
      </c>
      <c r="O246">
        <v>1.1420919999999999E-2</v>
      </c>
      <c r="P246">
        <v>0.99754379999999998</v>
      </c>
      <c r="Q246">
        <v>-6.7256529999999995E-2</v>
      </c>
      <c r="R246">
        <v>-1.957834E-2</v>
      </c>
      <c r="S246">
        <v>2.9966430000000002</v>
      </c>
      <c r="T246">
        <v>-0.18631729999999999</v>
      </c>
      <c r="U246">
        <v>9.1125490000000003E-2</v>
      </c>
      <c r="V246">
        <v>3.095005E-2</v>
      </c>
      <c r="W246">
        <v>-5.3378620000000002E-2</v>
      </c>
      <c r="X246">
        <v>0.99809460000000005</v>
      </c>
      <c r="Y246">
        <v>-1.8944929999999999E-2</v>
      </c>
      <c r="Z246">
        <v>1.6996869999999999E-4</v>
      </c>
      <c r="AA246">
        <v>0.9998205</v>
      </c>
      <c r="AB246">
        <v>17</v>
      </c>
      <c r="AC246">
        <v>18.665400000000002</v>
      </c>
      <c r="AD246">
        <v>-1.171176</v>
      </c>
      <c r="AE246">
        <v>0.57119999999997595</v>
      </c>
      <c r="AF246">
        <v>-0.356563575513616</v>
      </c>
      <c r="AG246">
        <v>-1.171176</v>
      </c>
      <c r="AH246">
        <v>18.597555852867401</v>
      </c>
      <c r="AI246">
        <v>93.602767218334705</v>
      </c>
      <c r="AJ246">
        <v>91.098374726748503</v>
      </c>
      <c r="AK246">
        <v>18.637807663641201</v>
      </c>
      <c r="AL246">
        <v>93.059823844415703</v>
      </c>
      <c r="AM246">
        <v>88.223876590282103</v>
      </c>
      <c r="AN246">
        <v>1.0000000066086301</v>
      </c>
    </row>
    <row r="247" spans="1:40" x14ac:dyDescent="0.25">
      <c r="A247" t="str">
        <f>"20190303154419503"</f>
        <v>20190303154419503</v>
      </c>
      <c r="B247" t="str">
        <f>"1551599059500874"</f>
        <v>1551599059500874</v>
      </c>
      <c r="C247" t="s">
        <v>40</v>
      </c>
      <c r="D247">
        <v>4.5306089999999903</v>
      </c>
      <c r="E247">
        <v>0.4798674</v>
      </c>
      <c r="F247" t="s">
        <v>43</v>
      </c>
      <c r="G247">
        <v>-425.74110000000002</v>
      </c>
      <c r="H247">
        <v>-0.05</v>
      </c>
      <c r="I247">
        <v>368.69159999999999</v>
      </c>
      <c r="J247">
        <v>-444.12950000000001</v>
      </c>
      <c r="K247">
        <v>1.1211660000000001</v>
      </c>
      <c r="L247">
        <v>368.0917</v>
      </c>
      <c r="M247">
        <v>0.99984150000000005</v>
      </c>
      <c r="N247">
        <v>-1.391951E-2</v>
      </c>
      <c r="O247">
        <v>1.1105469999999999E-2</v>
      </c>
      <c r="P247">
        <v>0.99755700000000003</v>
      </c>
      <c r="Q247">
        <v>-6.7085770000000003E-2</v>
      </c>
      <c r="R247">
        <v>-1.9483230000000001E-2</v>
      </c>
      <c r="S247">
        <v>2.996521</v>
      </c>
      <c r="T247">
        <v>-0.1891931</v>
      </c>
      <c r="U247">
        <v>9.713745E-2</v>
      </c>
      <c r="V247">
        <v>3.0540520000000002E-2</v>
      </c>
      <c r="W247">
        <v>-5.3209640000000002E-2</v>
      </c>
      <c r="X247">
        <v>0.99811629999999996</v>
      </c>
      <c r="Y247">
        <v>-2.1258800000000001E-2</v>
      </c>
      <c r="Z247">
        <v>2.7264299999999998E-4</v>
      </c>
      <c r="AA247">
        <v>0.99977400000000005</v>
      </c>
      <c r="AB247">
        <v>17</v>
      </c>
      <c r="AC247">
        <v>18.388399999999901</v>
      </c>
      <c r="AD247">
        <v>-1.1711659999999999</v>
      </c>
      <c r="AE247">
        <v>0.599899999999991</v>
      </c>
      <c r="AF247">
        <v>-0.394034705492881</v>
      </c>
      <c r="AG247">
        <v>-1.1711659999999999</v>
      </c>
      <c r="AH247">
        <v>18.319694216743599</v>
      </c>
      <c r="AI247">
        <v>93.657060140044294</v>
      </c>
      <c r="AJ247">
        <v>91.232173680941102</v>
      </c>
      <c r="AK247">
        <v>18.3613204684107</v>
      </c>
      <c r="AL247">
        <v>93.050128035111697</v>
      </c>
      <c r="AM247">
        <v>88.247401518748404</v>
      </c>
      <c r="AN247">
        <v>1.00000006873824</v>
      </c>
    </row>
    <row r="248" spans="1:40" x14ac:dyDescent="0.25">
      <c r="A248" t="str">
        <f>"20190303154419525"</f>
        <v>20190303154419525</v>
      </c>
      <c r="B248" t="str">
        <f>"1551599059520392"</f>
        <v>1551599059520392</v>
      </c>
      <c r="C248" t="s">
        <v>40</v>
      </c>
      <c r="D248">
        <v>4.5307029999999999</v>
      </c>
      <c r="E248">
        <v>0.47963850000000002</v>
      </c>
      <c r="F248" t="s">
        <v>43</v>
      </c>
      <c r="G248">
        <v>-425.4538</v>
      </c>
      <c r="H248">
        <v>-0.05</v>
      </c>
      <c r="I248">
        <v>368.72890000000001</v>
      </c>
      <c r="J248">
        <v>-443.96420000000001</v>
      </c>
      <c r="K248">
        <v>1.1211709999999999</v>
      </c>
      <c r="L248">
        <v>368.09320000000002</v>
      </c>
      <c r="M248">
        <v>0.99984519999999999</v>
      </c>
      <c r="N248">
        <v>-1.391016E-2</v>
      </c>
      <c r="O248">
        <v>1.0781489999999999E-2</v>
      </c>
      <c r="P248">
        <v>0.99755139999999998</v>
      </c>
      <c r="Q248">
        <v>-6.7292009999999999E-2</v>
      </c>
      <c r="R248">
        <v>-1.905886E-2</v>
      </c>
      <c r="S248">
        <v>2.9967039999999998</v>
      </c>
      <c r="T248">
        <v>-0.18792490000000001</v>
      </c>
      <c r="U248">
        <v>0.1022339</v>
      </c>
      <c r="V248">
        <v>2.9792860000000001E-2</v>
      </c>
      <c r="W248">
        <v>-5.3424729999999997E-2</v>
      </c>
      <c r="X248">
        <v>0.99812730000000005</v>
      </c>
      <c r="Y248">
        <v>-2.3274349999999999E-2</v>
      </c>
      <c r="Z248">
        <v>3.655876E-4</v>
      </c>
      <c r="AA248">
        <v>0.99972899999999998</v>
      </c>
      <c r="AB248">
        <v>16</v>
      </c>
      <c r="AC248">
        <v>18.510400000000001</v>
      </c>
      <c r="AD248">
        <v>-1.171171</v>
      </c>
      <c r="AE248">
        <v>0.63569999999998505</v>
      </c>
      <c r="AF248">
        <v>-0.43433735957599001</v>
      </c>
      <c r="AG248">
        <v>-1.171171</v>
      </c>
      <c r="AH248">
        <v>18.442436306741101</v>
      </c>
      <c r="AI248">
        <v>93.632635137109702</v>
      </c>
      <c r="AJ248">
        <v>91.349122088185794</v>
      </c>
      <c r="AK248">
        <v>18.484689539761401</v>
      </c>
      <c r="AL248">
        <v>93.062469665718695</v>
      </c>
      <c r="AM248">
        <v>88.290299787090504</v>
      </c>
      <c r="AN248">
        <v>0.99999996164392002</v>
      </c>
    </row>
    <row r="249" spans="1:40" x14ac:dyDescent="0.25">
      <c r="A249" t="str">
        <f>"20190303154419546"</f>
        <v>20190303154419546</v>
      </c>
      <c r="B249" t="str">
        <f>"1551599059540888"</f>
        <v>1551599059540888</v>
      </c>
      <c r="C249" t="s">
        <v>40</v>
      </c>
      <c r="D249">
        <v>4.536683</v>
      </c>
      <c r="E249">
        <v>0.47945100000000002</v>
      </c>
      <c r="F249" t="s">
        <v>43</v>
      </c>
      <c r="G249">
        <v>-425.37509999999997</v>
      </c>
      <c r="H249">
        <v>-0.05</v>
      </c>
      <c r="I249">
        <v>368.74669999999998</v>
      </c>
      <c r="J249">
        <v>-443.8066</v>
      </c>
      <c r="K249">
        <v>1.1211679999999999</v>
      </c>
      <c r="L249">
        <v>368.09449999999998</v>
      </c>
      <c r="M249">
        <v>0.99984879999999998</v>
      </c>
      <c r="N249">
        <v>-1.3891789999999999E-2</v>
      </c>
      <c r="O249">
        <v>1.0472230000000001E-2</v>
      </c>
      <c r="P249">
        <v>0.99761560000000005</v>
      </c>
      <c r="Q249">
        <v>-6.6487859999999996E-2</v>
      </c>
      <c r="R249">
        <v>-1.8510479999999999E-2</v>
      </c>
      <c r="S249">
        <v>2.9966430000000002</v>
      </c>
      <c r="T249">
        <v>-0.18879760000000001</v>
      </c>
      <c r="U249">
        <v>0.1053467</v>
      </c>
      <c r="V249">
        <v>2.89371E-2</v>
      </c>
      <c r="W249">
        <v>-5.2637549999999998E-2</v>
      </c>
      <c r="X249">
        <v>0.99819429999999998</v>
      </c>
      <c r="Y249">
        <v>-2.461756E-2</v>
      </c>
      <c r="Z249">
        <v>4.3219280000000003E-4</v>
      </c>
      <c r="AA249">
        <v>0.9996969</v>
      </c>
      <c r="AB249">
        <v>16</v>
      </c>
      <c r="AC249">
        <v>18.4315</v>
      </c>
      <c r="AD249">
        <v>-1.171168</v>
      </c>
      <c r="AE249">
        <v>0.65219999999999301</v>
      </c>
      <c r="AF249">
        <v>-0.45728273200571501</v>
      </c>
      <c r="AG249">
        <v>-1.171168</v>
      </c>
      <c r="AH249">
        <v>18.363270002201599</v>
      </c>
      <c r="AI249">
        <v>93.648125329129797</v>
      </c>
      <c r="AJ249">
        <v>91.426486507296403</v>
      </c>
      <c r="AK249">
        <v>18.406260542407001</v>
      </c>
      <c r="AL249">
        <v>93.017304009572101</v>
      </c>
      <c r="AM249">
        <v>88.3394921326109</v>
      </c>
      <c r="AN249">
        <v>0.99999996398945001</v>
      </c>
    </row>
    <row r="250" spans="1:40" x14ac:dyDescent="0.25">
      <c r="A250" t="str">
        <f>"20190303154419571"</f>
        <v>20190303154419571</v>
      </c>
      <c r="B250" t="str">
        <f>"1551599059560409"</f>
        <v>1551599059560409</v>
      </c>
      <c r="C250" t="s">
        <v>40</v>
      </c>
      <c r="D250">
        <v>4.5843740000000004</v>
      </c>
      <c r="E250">
        <v>0.47907830000000001</v>
      </c>
      <c r="F250" t="s">
        <v>43</v>
      </c>
      <c r="G250">
        <v>-424.91230000000002</v>
      </c>
      <c r="H250">
        <v>-0.05</v>
      </c>
      <c r="I250">
        <v>368.77969999999999</v>
      </c>
      <c r="J250">
        <v>-443.63119999999998</v>
      </c>
      <c r="K250">
        <v>1.121167</v>
      </c>
      <c r="L250">
        <v>368.096</v>
      </c>
      <c r="M250">
        <v>0.99985299999999999</v>
      </c>
      <c r="N250">
        <v>-1.3847389999999999E-2</v>
      </c>
      <c r="O250">
        <v>1.012625E-2</v>
      </c>
      <c r="P250">
        <v>0.99760289999999996</v>
      </c>
      <c r="Q250">
        <v>-6.6810880000000003E-2</v>
      </c>
      <c r="R250">
        <v>-1.8030150000000002E-2</v>
      </c>
      <c r="S250">
        <v>2.996826</v>
      </c>
      <c r="T250">
        <v>-0.1857587</v>
      </c>
      <c r="U250">
        <v>0.10867309999999999</v>
      </c>
      <c r="V250">
        <v>2.8111299999999999E-2</v>
      </c>
      <c r="W250">
        <v>-5.3004549999999998E-2</v>
      </c>
      <c r="X250">
        <v>0.99819849999999999</v>
      </c>
      <c r="Y250">
        <v>-2.6067030000000001E-2</v>
      </c>
      <c r="Z250">
        <v>5.0085859999999996E-4</v>
      </c>
      <c r="AA250">
        <v>0.99966010000000005</v>
      </c>
      <c r="AB250">
        <v>16</v>
      </c>
      <c r="AC250">
        <v>18.718899999999898</v>
      </c>
      <c r="AD250">
        <v>-1.1711670000000001</v>
      </c>
      <c r="AE250">
        <v>0.68369999999998698</v>
      </c>
      <c r="AF250">
        <v>-0.49217049355440601</v>
      </c>
      <c r="AG250">
        <v>-1.1711670000000001</v>
      </c>
      <c r="AH250">
        <v>18.651948147835501</v>
      </c>
      <c r="AI250">
        <v>93.591672484759698</v>
      </c>
      <c r="AJ250">
        <v>91.511517710692601</v>
      </c>
      <c r="AK250">
        <v>18.695160701265898</v>
      </c>
      <c r="AL250">
        <v>93.038360888835399</v>
      </c>
      <c r="AM250">
        <v>88.386860684981997</v>
      </c>
      <c r="AN250">
        <v>0.99999998645532095</v>
      </c>
    </row>
    <row r="251" spans="1:40" x14ac:dyDescent="0.25">
      <c r="A251" t="str">
        <f>"20190303154419594"</f>
        <v>20190303154419594</v>
      </c>
      <c r="B251" t="str">
        <f>"1551599059589688"</f>
        <v>1551599059589688</v>
      </c>
      <c r="C251" t="s">
        <v>40</v>
      </c>
      <c r="D251">
        <v>4.5288890000000004</v>
      </c>
      <c r="E251">
        <v>0.47879709999999998</v>
      </c>
      <c r="F251" t="s">
        <v>43</v>
      </c>
      <c r="G251">
        <v>-424.9606</v>
      </c>
      <c r="H251">
        <v>-0.05</v>
      </c>
      <c r="I251">
        <v>368.79930000000002</v>
      </c>
      <c r="J251">
        <v>-443.46129999999999</v>
      </c>
      <c r="K251">
        <v>1.12114</v>
      </c>
      <c r="L251">
        <v>368.09730000000002</v>
      </c>
      <c r="M251">
        <v>0.99985749999999995</v>
      </c>
      <c r="N251">
        <v>-1.3754219999999999E-2</v>
      </c>
      <c r="O251">
        <v>9.7863510000000004E-3</v>
      </c>
      <c r="P251">
        <v>0.99759109999999995</v>
      </c>
      <c r="Q251">
        <v>-6.6976899999999895E-2</v>
      </c>
      <c r="R251">
        <v>-1.8058930000000001E-2</v>
      </c>
      <c r="S251">
        <v>2.9967350000000001</v>
      </c>
      <c r="T251">
        <v>-0.1879786</v>
      </c>
      <c r="U251">
        <v>0.1128845</v>
      </c>
      <c r="V251">
        <v>2.7800430000000001E-2</v>
      </c>
      <c r="W251">
        <v>-5.3263730000000002E-2</v>
      </c>
      <c r="X251">
        <v>0.99819340000000001</v>
      </c>
      <c r="Y251">
        <v>-2.7805469999999999E-2</v>
      </c>
      <c r="Z251">
        <v>5.8389650000000004E-4</v>
      </c>
      <c r="AA251">
        <v>0.99961319999999998</v>
      </c>
      <c r="AB251">
        <v>16</v>
      </c>
      <c r="AC251">
        <v>18.500699999999899</v>
      </c>
      <c r="AD251">
        <v>-1.1711400000000001</v>
      </c>
      <c r="AE251">
        <v>0.70199999999999796</v>
      </c>
      <c r="AF251">
        <v>-0.51881887851155795</v>
      </c>
      <c r="AG251">
        <v>-1.1711400000000001</v>
      </c>
      <c r="AH251">
        <v>18.432926273752599</v>
      </c>
      <c r="AI251">
        <v>93.633978107952302</v>
      </c>
      <c r="AJ251">
        <v>91.612239181703004</v>
      </c>
      <c r="AK251">
        <v>18.477378410962402</v>
      </c>
      <c r="AL251">
        <v>93.053231847092306</v>
      </c>
      <c r="AM251">
        <v>88.404682237827004</v>
      </c>
      <c r="AN251">
        <v>0.99999997632262805</v>
      </c>
    </row>
    <row r="252" spans="1:40" x14ac:dyDescent="0.25">
      <c r="A252" t="str">
        <f>"20190303154419617"</f>
        <v>20190303154419617</v>
      </c>
      <c r="B252" t="str">
        <f>"1551599059610457"</f>
        <v>1551599059610457</v>
      </c>
      <c r="C252" t="s">
        <v>40</v>
      </c>
      <c r="D252">
        <v>4.5482930000000001</v>
      </c>
      <c r="E252">
        <v>0.47867490000000001</v>
      </c>
      <c r="F252" t="s">
        <v>43</v>
      </c>
      <c r="G252">
        <v>-424.84039999999999</v>
      </c>
      <c r="H252">
        <v>-0.05</v>
      </c>
      <c r="I252">
        <v>368.81470000000002</v>
      </c>
      <c r="J252">
        <v>-443.29570000000001</v>
      </c>
      <c r="K252">
        <v>1.121097</v>
      </c>
      <c r="L252">
        <v>368.0985</v>
      </c>
      <c r="M252">
        <v>0.99986299999999995</v>
      </c>
      <c r="N252">
        <v>-1.359573E-2</v>
      </c>
      <c r="O252">
        <v>9.4518220000000003E-3</v>
      </c>
      <c r="P252">
        <v>0.99758159999999896</v>
      </c>
      <c r="Q252">
        <v>-6.717708E-2</v>
      </c>
      <c r="R252">
        <v>-1.7852159999999999E-2</v>
      </c>
      <c r="S252">
        <v>2.9967039999999998</v>
      </c>
      <c r="T252">
        <v>-0.18847449999999999</v>
      </c>
      <c r="U252">
        <v>0.115448</v>
      </c>
      <c r="V252">
        <v>2.7258790000000001E-2</v>
      </c>
      <c r="W252">
        <v>-5.362223E-2</v>
      </c>
      <c r="X252">
        <v>0.9981892</v>
      </c>
      <c r="Y252">
        <v>-2.899088E-2</v>
      </c>
      <c r="Z252">
        <v>6.4258169999999995E-4</v>
      </c>
      <c r="AA252">
        <v>0.99957949999999995</v>
      </c>
      <c r="AB252">
        <v>16</v>
      </c>
      <c r="AC252">
        <v>18.455300000000001</v>
      </c>
      <c r="AD252">
        <v>-1.1710969999999901</v>
      </c>
      <c r="AE252">
        <v>0.71620000000001405</v>
      </c>
      <c r="AF252">
        <v>-0.53954638902850105</v>
      </c>
      <c r="AG252">
        <v>-1.1710969999999901</v>
      </c>
      <c r="AH252">
        <v>18.387317584715301</v>
      </c>
      <c r="AI252">
        <v>93.642709435234593</v>
      </c>
      <c r="AJ252">
        <v>91.680770606128803</v>
      </c>
      <c r="AK252">
        <v>18.432472065637398</v>
      </c>
      <c r="AL252">
        <v>93.073801609501004</v>
      </c>
      <c r="AM252">
        <v>88.435741881753501</v>
      </c>
      <c r="AN252">
        <v>1.0000000320895299</v>
      </c>
    </row>
    <row r="253" spans="1:40" x14ac:dyDescent="0.25">
      <c r="A253" t="str">
        <f>"20190303154419637"</f>
        <v>20190303154419637</v>
      </c>
      <c r="B253" t="str">
        <f>"1551599059629977"</f>
        <v>1551599059629977</v>
      </c>
      <c r="C253" t="s">
        <v>40</v>
      </c>
      <c r="D253">
        <v>4.5451819999999996</v>
      </c>
      <c r="E253">
        <v>0.47853669999999998</v>
      </c>
      <c r="F253" t="s">
        <v>43</v>
      </c>
      <c r="G253">
        <v>-424.755</v>
      </c>
      <c r="H253">
        <v>-0.05</v>
      </c>
      <c r="I253">
        <v>368.8202</v>
      </c>
      <c r="J253">
        <v>-443.14620000000002</v>
      </c>
      <c r="K253">
        <v>1.1210549999999999</v>
      </c>
      <c r="L253">
        <v>368.09949999999998</v>
      </c>
      <c r="M253">
        <v>0.99986850000000005</v>
      </c>
      <c r="N253">
        <v>-1.3396669999999999E-2</v>
      </c>
      <c r="O253">
        <v>9.1451510000000007E-3</v>
      </c>
      <c r="P253">
        <v>0.99761449999999996</v>
      </c>
      <c r="Q253">
        <v>-6.6746639999999996E-2</v>
      </c>
      <c r="R253">
        <v>-1.7620589999999998E-2</v>
      </c>
      <c r="S253">
        <v>2.996613</v>
      </c>
      <c r="T253">
        <v>-0.1892778</v>
      </c>
      <c r="U253">
        <v>0.1166382</v>
      </c>
      <c r="V253">
        <v>2.6721430000000001E-2</v>
      </c>
      <c r="W253">
        <v>-5.3389939999999997E-2</v>
      </c>
      <c r="X253">
        <v>0.9982162</v>
      </c>
      <c r="Y253">
        <v>-2.969285E-2</v>
      </c>
      <c r="Z253">
        <v>6.8125339999999996E-4</v>
      </c>
      <c r="AA253">
        <v>0.99955890000000003</v>
      </c>
      <c r="AB253">
        <v>16</v>
      </c>
      <c r="AC253">
        <v>18.391200000000001</v>
      </c>
      <c r="AD253">
        <v>-1.171055</v>
      </c>
      <c r="AE253">
        <v>0.72070000000002199</v>
      </c>
      <c r="AF253">
        <v>-0.55023697055153598</v>
      </c>
      <c r="AG253">
        <v>-1.171055</v>
      </c>
      <c r="AH253">
        <v>18.322846697657798</v>
      </c>
      <c r="AI253">
        <v>93.655287009105706</v>
      </c>
      <c r="AJ253">
        <v>91.7200812145756</v>
      </c>
      <c r="AK253">
        <v>18.3684741239618</v>
      </c>
      <c r="AL253">
        <v>93.060473222127598</v>
      </c>
      <c r="AM253">
        <v>88.466605116782901</v>
      </c>
      <c r="AN253">
        <v>1.0000000512284399</v>
      </c>
    </row>
    <row r="254" spans="1:40" x14ac:dyDescent="0.25">
      <c r="A254" t="str">
        <f>"20190303154419659"</f>
        <v>20190303154419659</v>
      </c>
      <c r="B254" t="str">
        <f>"1551599059650474"</f>
        <v>1551599059650474</v>
      </c>
      <c r="C254" t="s">
        <v>40</v>
      </c>
      <c r="D254">
        <v>4.5361039999999999</v>
      </c>
      <c r="E254">
        <v>0.47836200000000001</v>
      </c>
      <c r="F254" t="s">
        <v>43</v>
      </c>
      <c r="G254">
        <v>-424.45179999999999</v>
      </c>
      <c r="H254">
        <v>-0.05</v>
      </c>
      <c r="I254">
        <v>368.839</v>
      </c>
      <c r="J254">
        <v>-442.98790000000002</v>
      </c>
      <c r="K254">
        <v>1.121008</v>
      </c>
      <c r="L254">
        <v>368.10059999999999</v>
      </c>
      <c r="M254">
        <v>0.99987479999999995</v>
      </c>
      <c r="N254">
        <v>-1.314953E-2</v>
      </c>
      <c r="O254">
        <v>8.8113500000000008E-3</v>
      </c>
      <c r="P254">
        <v>0.99766140000000003</v>
      </c>
      <c r="Q254">
        <v>-6.6062579999999996E-2</v>
      </c>
      <c r="R254">
        <v>-1.7536179999999998E-2</v>
      </c>
      <c r="S254">
        <v>2.9967039999999998</v>
      </c>
      <c r="T254">
        <v>-0.1877201</v>
      </c>
      <c r="U254">
        <v>0.11853030000000001</v>
      </c>
      <c r="V254">
        <v>2.6304609999999999E-2</v>
      </c>
      <c r="W254">
        <v>-5.2951770000000002E-2</v>
      </c>
      <c r="X254">
        <v>0.99825050000000004</v>
      </c>
      <c r="Y254">
        <v>-3.0654020000000001E-2</v>
      </c>
      <c r="Z254">
        <v>7.252367E-4</v>
      </c>
      <c r="AA254">
        <v>0.99952980000000002</v>
      </c>
      <c r="AB254">
        <v>16</v>
      </c>
      <c r="AC254">
        <v>18.536100000000001</v>
      </c>
      <c r="AD254">
        <v>-1.171008</v>
      </c>
      <c r="AE254">
        <v>0.73840000000001205</v>
      </c>
      <c r="AF254">
        <v>-0.572746938192772</v>
      </c>
      <c r="AG254">
        <v>-1.171008</v>
      </c>
      <c r="AH254">
        <v>18.4682967463879</v>
      </c>
      <c r="AI254">
        <v>93.626322839318902</v>
      </c>
      <c r="AJ254">
        <v>91.776312581153604</v>
      </c>
      <c r="AK254">
        <v>18.514245420862199</v>
      </c>
      <c r="AL254">
        <v>93.035332701061407</v>
      </c>
      <c r="AM254">
        <v>88.490564796392107</v>
      </c>
      <c r="AN254">
        <v>0.99999994160181505</v>
      </c>
    </row>
    <row r="255" spans="1:40" x14ac:dyDescent="0.25">
      <c r="A255" t="str">
        <f>"20190303154419682"</f>
        <v>20190303154419682</v>
      </c>
      <c r="B255" t="str">
        <f>"1551599059669993"</f>
        <v>1551599059669993</v>
      </c>
      <c r="C255" t="s">
        <v>40</v>
      </c>
      <c r="D255">
        <v>4.5155349999999999</v>
      </c>
      <c r="E255">
        <v>0.47823510000000002</v>
      </c>
      <c r="F255" t="s">
        <v>43</v>
      </c>
      <c r="G255">
        <v>-424.02870000000001</v>
      </c>
      <c r="H255">
        <v>-0.05</v>
      </c>
      <c r="I255">
        <v>368.86169999999998</v>
      </c>
      <c r="J255">
        <v>-442.81580000000002</v>
      </c>
      <c r="K255">
        <v>1.120959</v>
      </c>
      <c r="L255">
        <v>368.10169999999999</v>
      </c>
      <c r="M255">
        <v>0.99988169999999998</v>
      </c>
      <c r="N255">
        <v>-1.2865059999999999E-2</v>
      </c>
      <c r="O255">
        <v>8.4395069999999902E-3</v>
      </c>
      <c r="P255">
        <v>0.99771549999999998</v>
      </c>
      <c r="Q255">
        <v>-6.5249909999999994E-2</v>
      </c>
      <c r="R255">
        <v>-1.7499339999999999E-2</v>
      </c>
      <c r="S255">
        <v>2.996918</v>
      </c>
      <c r="T255">
        <v>-0.18510389999999999</v>
      </c>
      <c r="U255">
        <v>0.1203003</v>
      </c>
      <c r="V255">
        <v>2.58975E-2</v>
      </c>
      <c r="W255">
        <v>-5.2422179999999999E-2</v>
      </c>
      <c r="X255">
        <v>0.99828919999999999</v>
      </c>
      <c r="Y255">
        <v>-3.1611550000000002E-2</v>
      </c>
      <c r="Z255">
        <v>7.6651249999999996E-4</v>
      </c>
      <c r="AA255">
        <v>0.9994999</v>
      </c>
      <c r="AB255">
        <v>16</v>
      </c>
      <c r="AC255">
        <v>18.787099999999999</v>
      </c>
      <c r="AD255">
        <v>-1.1709590000000001</v>
      </c>
      <c r="AE255">
        <v>0.75999999999999002</v>
      </c>
      <c r="AF255">
        <v>-0.59908246892043104</v>
      </c>
      <c r="AG255">
        <v>-1.1709590000000001</v>
      </c>
      <c r="AH255">
        <v>18.720240600305701</v>
      </c>
      <c r="AI255">
        <v>93.577385640839694</v>
      </c>
      <c r="AJ255">
        <v>91.832945814387401</v>
      </c>
      <c r="AK255">
        <v>18.766391579565401</v>
      </c>
      <c r="AL255">
        <v>93.004946909510494</v>
      </c>
      <c r="AM255">
        <v>88.513972981115799</v>
      </c>
      <c r="AN255">
        <v>1.0000000461494201</v>
      </c>
    </row>
    <row r="256" spans="1:40" x14ac:dyDescent="0.25">
      <c r="A256" t="str">
        <f>"20190303154419704"</f>
        <v>20190303154419704</v>
      </c>
      <c r="B256" t="str">
        <f>"1551599059700248"</f>
        <v>1551599059700248</v>
      </c>
      <c r="C256" t="s">
        <v>40</v>
      </c>
      <c r="D256">
        <v>4.490551</v>
      </c>
      <c r="E256">
        <v>0.4780605</v>
      </c>
      <c r="F256" t="s">
        <v>43</v>
      </c>
      <c r="G256">
        <v>-423.53460000000001</v>
      </c>
      <c r="H256">
        <v>-0.05</v>
      </c>
      <c r="I256">
        <v>368.88099999999997</v>
      </c>
      <c r="J256">
        <v>-442.65629999999999</v>
      </c>
      <c r="K256">
        <v>1.1209180000000001</v>
      </c>
      <c r="L256">
        <v>368.1026</v>
      </c>
      <c r="M256">
        <v>0.99988790000000005</v>
      </c>
      <c r="N256">
        <v>-1.260767E-2</v>
      </c>
      <c r="O256">
        <v>8.0889429999999995E-3</v>
      </c>
      <c r="P256">
        <v>0.99772870000000002</v>
      </c>
      <c r="Q256">
        <v>-6.4960409999999996E-2</v>
      </c>
      <c r="R256">
        <v>-1.7822950000000001E-2</v>
      </c>
      <c r="S256">
        <v>2.9971009999999998</v>
      </c>
      <c r="T256">
        <v>-0.18201609999999999</v>
      </c>
      <c r="U256">
        <v>0.12115480000000001</v>
      </c>
      <c r="V256">
        <v>2.587122E-2</v>
      </c>
      <c r="W256">
        <v>-5.238951E-2</v>
      </c>
      <c r="X256">
        <v>0.99829159999999995</v>
      </c>
      <c r="Y256">
        <v>-3.2244380000000003E-2</v>
      </c>
      <c r="Z256">
        <v>7.9269750000000004E-4</v>
      </c>
      <c r="AA256">
        <v>0.99947969999999997</v>
      </c>
      <c r="AB256">
        <v>16</v>
      </c>
      <c r="AC256">
        <v>19.121699999999901</v>
      </c>
      <c r="AD256">
        <v>-1.1709179999999999</v>
      </c>
      <c r="AE256">
        <v>0.778399999999976</v>
      </c>
      <c r="AF256">
        <v>-0.621361824889197</v>
      </c>
      <c r="AG256">
        <v>-1.1709179999999999</v>
      </c>
      <c r="AH256">
        <v>19.056034482102199</v>
      </c>
      <c r="AI256">
        <v>93.514315320840495</v>
      </c>
      <c r="AJ256">
        <v>91.867586920497203</v>
      </c>
      <c r="AK256">
        <v>19.102083385411699</v>
      </c>
      <c r="AL256">
        <v>93.003072470079005</v>
      </c>
      <c r="AM256">
        <v>88.515483848615901</v>
      </c>
      <c r="AN256">
        <v>1.0000000497064401</v>
      </c>
    </row>
    <row r="257" spans="1:40" x14ac:dyDescent="0.25">
      <c r="A257" t="str">
        <f>"20190303154419726"</f>
        <v>20190303154419726</v>
      </c>
      <c r="B257" t="str">
        <f>"1551599059720747"</f>
        <v>1551599059720747</v>
      </c>
      <c r="C257" t="s">
        <v>40</v>
      </c>
      <c r="D257">
        <v>4.480664</v>
      </c>
      <c r="E257">
        <v>0.47798420000000003</v>
      </c>
      <c r="F257" t="s">
        <v>43</v>
      </c>
      <c r="G257">
        <v>-423.19869999999997</v>
      </c>
      <c r="H257">
        <v>-0.05</v>
      </c>
      <c r="I257">
        <v>368.89359999999999</v>
      </c>
      <c r="J257">
        <v>-442.48480000000001</v>
      </c>
      <c r="K257">
        <v>1.1208880000000001</v>
      </c>
      <c r="L257">
        <v>368.1035</v>
      </c>
      <c r="M257">
        <v>0.99989399999999995</v>
      </c>
      <c r="N257">
        <v>-1.235027E-2</v>
      </c>
      <c r="O257">
        <v>7.7111469999999998E-3</v>
      </c>
      <c r="P257">
        <v>0.99767640000000002</v>
      </c>
      <c r="Q257">
        <v>-6.5448019999999996E-2</v>
      </c>
      <c r="R257">
        <v>-1.8934699999999999E-2</v>
      </c>
      <c r="S257">
        <v>2.9972840000000001</v>
      </c>
      <c r="T257">
        <v>-0.18037010000000001</v>
      </c>
      <c r="U257">
        <v>0.1218567</v>
      </c>
      <c r="V257">
        <v>2.6604699999999998E-2</v>
      </c>
      <c r="W257">
        <v>-5.3135170000000002E-2</v>
      </c>
      <c r="X257">
        <v>0.99823280000000003</v>
      </c>
      <c r="Y257">
        <v>-3.2852819999999998E-2</v>
      </c>
      <c r="Z257">
        <v>8.2211549999999995E-4</v>
      </c>
      <c r="AA257">
        <v>0.99945989999999996</v>
      </c>
      <c r="AB257">
        <v>16</v>
      </c>
      <c r="AC257">
        <v>19.286100000000001</v>
      </c>
      <c r="AD257">
        <v>-1.1708879999999999</v>
      </c>
      <c r="AE257">
        <v>0.79009999999999503</v>
      </c>
      <c r="AF257">
        <v>-0.63899589084081199</v>
      </c>
      <c r="AG257">
        <v>-1.1708879999999999</v>
      </c>
      <c r="AH257">
        <v>19.220892241346</v>
      </c>
      <c r="AI257">
        <v>93.484085630347593</v>
      </c>
      <c r="AJ257">
        <v>91.904088952806603</v>
      </c>
      <c r="AK257">
        <v>19.267122073898001</v>
      </c>
      <c r="AL257">
        <v>93.045855567569504</v>
      </c>
      <c r="AM257">
        <v>88.473325803947603</v>
      </c>
      <c r="AN257">
        <v>0.99999993967442702</v>
      </c>
    </row>
    <row r="258" spans="1:40" x14ac:dyDescent="0.25">
      <c r="A258" t="str">
        <f>"20190303154419748"</f>
        <v>20190303154419748</v>
      </c>
      <c r="B258" t="str">
        <f>"1551599059740265"</f>
        <v>1551599059740265</v>
      </c>
      <c r="C258" t="s">
        <v>40</v>
      </c>
      <c r="D258">
        <v>4.4711540000000003</v>
      </c>
      <c r="E258">
        <v>0.47790559999999999</v>
      </c>
      <c r="F258" t="s">
        <v>43</v>
      </c>
      <c r="G258">
        <v>-423.07850000000002</v>
      </c>
      <c r="H258">
        <v>-0.05</v>
      </c>
      <c r="I258">
        <v>368.87290000000002</v>
      </c>
      <c r="J258">
        <v>-442.33</v>
      </c>
      <c r="K258">
        <v>1.1208640000000001</v>
      </c>
      <c r="L258">
        <v>368.10430000000002</v>
      </c>
      <c r="M258">
        <v>0.99989930000000005</v>
      </c>
      <c r="N258">
        <v>-1.213825E-2</v>
      </c>
      <c r="O258">
        <v>7.3709959999999899E-3</v>
      </c>
      <c r="P258">
        <v>0.99763239999999997</v>
      </c>
      <c r="Q258">
        <v>-6.5752660000000004E-2</v>
      </c>
      <c r="R258">
        <v>-2.015745E-2</v>
      </c>
      <c r="S258">
        <v>2.9974059999999998</v>
      </c>
      <c r="T258">
        <v>-0.18084990000000001</v>
      </c>
      <c r="U258">
        <v>0.11883539999999999</v>
      </c>
      <c r="V258">
        <v>2.7487230000000001E-2</v>
      </c>
      <c r="W258">
        <v>-5.3652529999999997E-2</v>
      </c>
      <c r="X258">
        <v>0.99818130000000005</v>
      </c>
      <c r="Y258">
        <v>-3.2186449999999998E-2</v>
      </c>
      <c r="Z258">
        <v>8.1061380000000001E-4</v>
      </c>
      <c r="AA258">
        <v>0.99948159999999997</v>
      </c>
      <c r="AB258">
        <v>16</v>
      </c>
      <c r="AC258">
        <v>19.251499999999901</v>
      </c>
      <c r="AD258">
        <v>-1.1708639999999999</v>
      </c>
      <c r="AE258">
        <v>0.76859999999999196</v>
      </c>
      <c r="AF258">
        <v>-0.62436012268869001</v>
      </c>
      <c r="AG258">
        <v>-1.1708639999999999</v>
      </c>
      <c r="AH258">
        <v>19.1857875022752</v>
      </c>
      <c r="AI258">
        <v>93.490453753570094</v>
      </c>
      <c r="AJ258">
        <v>91.863909915706898</v>
      </c>
      <c r="AK258">
        <v>19.2316195405316</v>
      </c>
      <c r="AL258">
        <v>93.075540196923001</v>
      </c>
      <c r="AM258">
        <v>88.422626865616607</v>
      </c>
      <c r="AN258">
        <v>1.0000000247290799</v>
      </c>
    </row>
    <row r="259" spans="1:40" x14ac:dyDescent="0.25">
      <c r="A259" t="str">
        <f>"20190303154419770"</f>
        <v>20190303154419770</v>
      </c>
      <c r="B259" t="str">
        <f>"1551599059760761"</f>
        <v>1551599059760761</v>
      </c>
      <c r="C259" t="s">
        <v>40</v>
      </c>
      <c r="D259">
        <v>4.4576399999999996</v>
      </c>
      <c r="E259">
        <v>0.47795310000000002</v>
      </c>
      <c r="F259" t="s">
        <v>43</v>
      </c>
      <c r="G259">
        <v>-423.00630000000001</v>
      </c>
      <c r="H259">
        <v>-0.05</v>
      </c>
      <c r="I259">
        <v>368.8503</v>
      </c>
      <c r="J259">
        <v>-442.15989999999999</v>
      </c>
      <c r="K259">
        <v>1.1208469999999999</v>
      </c>
      <c r="L259">
        <v>368.10520000000002</v>
      </c>
      <c r="M259">
        <v>0.99990449999999997</v>
      </c>
      <c r="N259">
        <v>-1.1928009999999999E-2</v>
      </c>
      <c r="O259">
        <v>6.9973860000000004E-3</v>
      </c>
      <c r="P259">
        <v>0.9976429</v>
      </c>
      <c r="Q259">
        <v>-6.5263730000000006E-2</v>
      </c>
      <c r="R259">
        <v>-2.1204979999999998E-2</v>
      </c>
      <c r="S259">
        <v>2.9974669999999999</v>
      </c>
      <c r="T259">
        <v>-0.18162310000000001</v>
      </c>
      <c r="U259">
        <v>0.115722699999999</v>
      </c>
      <c r="V259">
        <v>2.8162030000000001E-2</v>
      </c>
      <c r="W259">
        <v>-5.3373799999999999E-2</v>
      </c>
      <c r="X259">
        <v>0.99817739999999999</v>
      </c>
      <c r="Y259">
        <v>-3.1523599999999999E-2</v>
      </c>
      <c r="Z259">
        <v>8.0205659999999998E-4</v>
      </c>
      <c r="AA259">
        <v>0.99950269999999997</v>
      </c>
      <c r="AB259">
        <v>17</v>
      </c>
      <c r="AC259">
        <v>19.153599999999901</v>
      </c>
      <c r="AD259">
        <v>-1.170847</v>
      </c>
      <c r="AE259">
        <v>0.745099999999979</v>
      </c>
      <c r="AF259">
        <v>-0.60877567121890397</v>
      </c>
      <c r="AG259">
        <v>-1.170847</v>
      </c>
      <c r="AH259">
        <v>19.087128193654198</v>
      </c>
      <c r="AI259">
        <v>93.508472790672698</v>
      </c>
      <c r="AJ259">
        <v>91.826804745871002</v>
      </c>
      <c r="AK259">
        <v>19.132693307432302</v>
      </c>
      <c r="AL259">
        <v>93.059547328748593</v>
      </c>
      <c r="AM259">
        <v>88.383916993323496</v>
      </c>
      <c r="AN259">
        <v>0.99999999216545998</v>
      </c>
    </row>
    <row r="260" spans="1:40" x14ac:dyDescent="0.25">
      <c r="A260" t="str">
        <f>"20190303154419795"</f>
        <v>20190303154419795</v>
      </c>
      <c r="B260" t="str">
        <f>"1551599059790040"</f>
        <v>1551599059790040</v>
      </c>
      <c r="C260" t="s">
        <v>40</v>
      </c>
      <c r="D260">
        <v>4.4022670000000002</v>
      </c>
      <c r="E260">
        <v>0.50515120000000002</v>
      </c>
      <c r="F260" t="s">
        <v>43</v>
      </c>
      <c r="G260">
        <v>-422.65469999999999</v>
      </c>
      <c r="H260">
        <v>-0.05</v>
      </c>
      <c r="I260">
        <v>368.83530000000002</v>
      </c>
      <c r="J260">
        <v>-441.98070000000001</v>
      </c>
      <c r="K260">
        <v>1.120835</v>
      </c>
      <c r="L260">
        <v>368.10590000000002</v>
      </c>
      <c r="M260">
        <v>0.99990939999999995</v>
      </c>
      <c r="N260">
        <v>-1.1727029999999999E-2</v>
      </c>
      <c r="O260">
        <v>6.6036300000000001E-3</v>
      </c>
      <c r="P260">
        <v>0.99765800000000004</v>
      </c>
      <c r="Q260">
        <v>-6.4636449999999998E-2</v>
      </c>
      <c r="R260">
        <v>-2.2375309999999999E-2</v>
      </c>
      <c r="S260">
        <v>2.9977109999999998</v>
      </c>
      <c r="T260">
        <v>-0.17994499999999999</v>
      </c>
      <c r="U260">
        <v>0.1122131</v>
      </c>
      <c r="V260">
        <v>2.8939719999999999E-2</v>
      </c>
      <c r="W260">
        <v>-5.2947370000000001E-2</v>
      </c>
      <c r="X260">
        <v>0.99817789999999995</v>
      </c>
      <c r="Y260">
        <v>-3.0748040000000001E-2</v>
      </c>
      <c r="Z260">
        <v>7.8373959999999997E-4</v>
      </c>
      <c r="AA260">
        <v>0.9995269</v>
      </c>
      <c r="AB260">
        <v>17</v>
      </c>
      <c r="AC260">
        <v>19.326000000000001</v>
      </c>
      <c r="AD260">
        <v>-1.1708350000000001</v>
      </c>
      <c r="AE260">
        <v>0.72939999999999805</v>
      </c>
      <c r="AF260">
        <v>-0.59955610977731</v>
      </c>
      <c r="AG260">
        <v>-1.1708350000000001</v>
      </c>
      <c r="AH260">
        <v>19.259805902174101</v>
      </c>
      <c r="AI260">
        <v>93.477142333210793</v>
      </c>
      <c r="AJ260">
        <v>91.783036899059496</v>
      </c>
      <c r="AK260">
        <v>19.304674188274099</v>
      </c>
      <c r="AL260">
        <v>93.035079989936605</v>
      </c>
      <c r="AM260">
        <v>88.339314603174003</v>
      </c>
      <c r="AN260">
        <v>1.000000025716</v>
      </c>
    </row>
    <row r="261" spans="1:40" x14ac:dyDescent="0.25">
      <c r="A261" t="str">
        <f>"20190303154419818"</f>
        <v>20190303154419818</v>
      </c>
      <c r="B261" t="str">
        <f>"1551599059810537"</f>
        <v>1551599059810537</v>
      </c>
      <c r="C261" t="s">
        <v>40</v>
      </c>
      <c r="D261">
        <v>4.3819179999999998</v>
      </c>
      <c r="E261">
        <v>0.50693500000000002</v>
      </c>
      <c r="F261" t="s">
        <v>43</v>
      </c>
      <c r="G261">
        <v>-415.02460000000002</v>
      </c>
      <c r="H261">
        <v>-0.05</v>
      </c>
      <c r="I261">
        <v>367.14170000000001</v>
      </c>
      <c r="J261">
        <v>-441.81200000000001</v>
      </c>
      <c r="K261">
        <v>1.1208229999999999</v>
      </c>
      <c r="L261">
        <v>368.10660000000001</v>
      </c>
      <c r="M261">
        <v>0.99991379999999996</v>
      </c>
      <c r="N261">
        <v>-1.1555920000000001E-2</v>
      </c>
      <c r="O261">
        <v>6.2315080000000002E-3</v>
      </c>
      <c r="P261">
        <v>0.99769160000000001</v>
      </c>
      <c r="Q261">
        <v>-6.3963880000000001E-2</v>
      </c>
      <c r="R261">
        <v>-2.2806770000000001E-2</v>
      </c>
      <c r="S261">
        <v>2.9962770000000001</v>
      </c>
      <c r="T261">
        <v>-0.1301426</v>
      </c>
      <c r="U261">
        <v>-0.1071777</v>
      </c>
      <c r="V261">
        <v>2.9000370000000001E-2</v>
      </c>
      <c r="W261">
        <v>-5.2445169999999999E-2</v>
      </c>
      <c r="X261">
        <v>0.99820260000000005</v>
      </c>
      <c r="Y261">
        <v>4.1921529999999999E-2</v>
      </c>
      <c r="Z261">
        <v>-1.3506499999999999E-3</v>
      </c>
      <c r="AA261">
        <v>0.99912000000000001</v>
      </c>
      <c r="AB261">
        <v>17</v>
      </c>
      <c r="AC261">
        <v>26.787399999999899</v>
      </c>
      <c r="AD261">
        <v>-1.1708229999999999</v>
      </c>
      <c r="AE261">
        <v>-0.96489999999999998</v>
      </c>
      <c r="AF261">
        <v>1.1296630117536901</v>
      </c>
      <c r="AG261">
        <v>-1.1708229999999999</v>
      </c>
      <c r="AH261">
        <v>26.729868416995998</v>
      </c>
      <c r="AI261">
        <v>92.5058353634806</v>
      </c>
      <c r="AJ261">
        <v>87.5799944780928</v>
      </c>
      <c r="AK261">
        <v>26.779335888094199</v>
      </c>
      <c r="AL261">
        <v>93.006266171041403</v>
      </c>
      <c r="AM261">
        <v>88.335877356481703</v>
      </c>
      <c r="AN261">
        <v>0.999999973981612</v>
      </c>
    </row>
    <row r="262" spans="1:40" x14ac:dyDescent="0.25">
      <c r="A262" t="str">
        <f>"20190303154419839"</f>
        <v>20190303154419839</v>
      </c>
      <c r="B262" t="str">
        <f>"1551599059830057"</f>
        <v>1551599059830057</v>
      </c>
      <c r="C262" t="s">
        <v>40</v>
      </c>
      <c r="D262">
        <v>4.3855019999999998</v>
      </c>
      <c r="E262">
        <v>0.50804799999999894</v>
      </c>
      <c r="F262" t="s">
        <v>43</v>
      </c>
      <c r="G262">
        <v>-414.86649999999997</v>
      </c>
      <c r="H262">
        <v>-0.05</v>
      </c>
      <c r="I262">
        <v>366.99990000000003</v>
      </c>
      <c r="J262">
        <v>-441.65300000000002</v>
      </c>
      <c r="K262">
        <v>1.120817</v>
      </c>
      <c r="L262">
        <v>368.10719999999998</v>
      </c>
      <c r="M262">
        <v>0.99991779999999997</v>
      </c>
      <c r="N262">
        <v>-1.1411900000000001E-2</v>
      </c>
      <c r="O262">
        <v>5.8804349999999998E-3</v>
      </c>
      <c r="P262">
        <v>0.99770199999999998</v>
      </c>
      <c r="Q262">
        <v>-6.3733059999999994E-2</v>
      </c>
      <c r="R262">
        <v>-2.3009709999999999E-2</v>
      </c>
      <c r="S262">
        <v>2.995819</v>
      </c>
      <c r="T262">
        <v>-0.13017280000000001</v>
      </c>
      <c r="U262">
        <v>-0.1230469</v>
      </c>
      <c r="V262">
        <v>2.8853239999999999E-2</v>
      </c>
      <c r="W262">
        <v>-5.235774E-2</v>
      </c>
      <c r="X262">
        <v>0.99821150000000003</v>
      </c>
      <c r="Y262">
        <v>4.6854659999999999E-2</v>
      </c>
      <c r="Z262">
        <v>-1.472912E-3</v>
      </c>
      <c r="AA262">
        <v>0.99890069999999997</v>
      </c>
      <c r="AB262">
        <v>17</v>
      </c>
      <c r="AC262">
        <v>26.7865</v>
      </c>
      <c r="AD262">
        <v>-1.170817</v>
      </c>
      <c r="AE262">
        <v>-1.10729999999995</v>
      </c>
      <c r="AF262">
        <v>1.26239965445782</v>
      </c>
      <c r="AG262">
        <v>-1.170817</v>
      </c>
      <c r="AH262">
        <v>26.7285473090236</v>
      </c>
      <c r="AI262">
        <v>92.505391030199704</v>
      </c>
      <c r="AJ262">
        <v>87.295907601781195</v>
      </c>
      <c r="AK262">
        <v>26.783944940687501</v>
      </c>
      <c r="AL262">
        <v>93.001249769129402</v>
      </c>
      <c r="AM262">
        <v>88.344330131471494</v>
      </c>
      <c r="AN262">
        <v>1.00000002056432</v>
      </c>
    </row>
    <row r="263" spans="1:40" x14ac:dyDescent="0.25">
      <c r="A263" t="str">
        <f>"20190303154419861"</f>
        <v>20190303154419861</v>
      </c>
      <c r="B263" t="str">
        <f>"1551599059850553"</f>
        <v>1551599059850553</v>
      </c>
      <c r="C263" t="s">
        <v>40</v>
      </c>
      <c r="D263">
        <v>4.3745339999999997</v>
      </c>
      <c r="E263">
        <v>0.50886290000000001</v>
      </c>
      <c r="F263" t="s">
        <v>43</v>
      </c>
      <c r="G263">
        <v>-414.62549999999999</v>
      </c>
      <c r="H263">
        <v>-0.05</v>
      </c>
      <c r="I263">
        <v>366.9128</v>
      </c>
      <c r="J263">
        <v>-441.49009999999998</v>
      </c>
      <c r="K263">
        <v>1.120816</v>
      </c>
      <c r="L263">
        <v>368.10770000000002</v>
      </c>
      <c r="M263">
        <v>0.99992119999999995</v>
      </c>
      <c r="N263">
        <v>-1.1281279999999999E-2</v>
      </c>
      <c r="O263">
        <v>5.5219989999999997E-3</v>
      </c>
      <c r="P263">
        <v>0.9977433</v>
      </c>
      <c r="Q263">
        <v>-6.3353049999999994E-2</v>
      </c>
      <c r="R263">
        <v>-2.2247929999999999E-2</v>
      </c>
      <c r="S263">
        <v>2.9956360000000002</v>
      </c>
      <c r="T263">
        <v>-0.12976960000000001</v>
      </c>
      <c r="U263">
        <v>-0.13238529999999901</v>
      </c>
      <c r="V263">
        <v>2.7734559999999998E-2</v>
      </c>
      <c r="W263">
        <v>-5.2106970000000002E-2</v>
      </c>
      <c r="X263">
        <v>0.99825629999999999</v>
      </c>
      <c r="Y263">
        <v>4.9604519999999999E-2</v>
      </c>
      <c r="Z263">
        <v>-1.530252E-3</v>
      </c>
      <c r="AA263">
        <v>0.99876779999999998</v>
      </c>
      <c r="AB263">
        <v>17</v>
      </c>
      <c r="AC263">
        <v>26.864599999999999</v>
      </c>
      <c r="AD263">
        <v>-1.1708160000000001</v>
      </c>
      <c r="AE263">
        <v>-1.1949000000000101</v>
      </c>
      <c r="AF263">
        <v>1.34069601187473</v>
      </c>
      <c r="AG263">
        <v>-1.1708160000000001</v>
      </c>
      <c r="AH263">
        <v>26.806775435215201</v>
      </c>
      <c r="AI263">
        <v>92.497750114702797</v>
      </c>
      <c r="AJ263">
        <v>87.136833127116702</v>
      </c>
      <c r="AK263">
        <v>26.8658051272648</v>
      </c>
      <c r="AL263">
        <v>92.986862154395894</v>
      </c>
      <c r="AM263">
        <v>88.408560449041602</v>
      </c>
      <c r="AN263">
        <v>0.99999999131533202</v>
      </c>
    </row>
    <row r="264" spans="1:40" x14ac:dyDescent="0.25">
      <c r="A264" t="str">
        <f>"20190303154419883"</f>
        <v>20190303154419883</v>
      </c>
      <c r="B264" t="str">
        <f>"1551599059880809"</f>
        <v>1551599059880809</v>
      </c>
      <c r="C264" t="s">
        <v>40</v>
      </c>
      <c r="D264">
        <v>4.3325649999999998</v>
      </c>
      <c r="E264">
        <v>0.50960729999999999</v>
      </c>
      <c r="F264" t="s">
        <v>43</v>
      </c>
      <c r="G264">
        <v>-413.89</v>
      </c>
      <c r="H264">
        <v>-0.05</v>
      </c>
      <c r="I264">
        <v>366.84980000000002</v>
      </c>
      <c r="J264">
        <v>-441.32810000000001</v>
      </c>
      <c r="K264">
        <v>1.120803</v>
      </c>
      <c r="L264">
        <v>368.10820000000001</v>
      </c>
      <c r="M264">
        <v>0.99992479999999995</v>
      </c>
      <c r="N264">
        <v>-1.11342E-2</v>
      </c>
      <c r="O264">
        <v>5.1662640000000003E-3</v>
      </c>
      <c r="P264">
        <v>0.99774810000000003</v>
      </c>
      <c r="Q264">
        <v>-6.3447260000000005E-2</v>
      </c>
      <c r="R264">
        <v>-2.175624E-2</v>
      </c>
      <c r="S264">
        <v>2.9957280000000002</v>
      </c>
      <c r="T264">
        <v>-0.127081</v>
      </c>
      <c r="U264">
        <v>-0.13653560000000001</v>
      </c>
      <c r="V264">
        <v>2.6887899999999999E-2</v>
      </c>
      <c r="W264">
        <v>-5.2347400000000002E-2</v>
      </c>
      <c r="X264">
        <v>0.99826689999999996</v>
      </c>
      <c r="Y264">
        <v>5.0630219999999997E-2</v>
      </c>
      <c r="Z264">
        <v>-1.516503E-3</v>
      </c>
      <c r="AA264">
        <v>0.9987163</v>
      </c>
      <c r="AB264">
        <v>17</v>
      </c>
      <c r="AC264">
        <v>27.438099999999999</v>
      </c>
      <c r="AD264">
        <v>-1.170803</v>
      </c>
      <c r="AE264">
        <v>-1.25839999999999</v>
      </c>
      <c r="AF264">
        <v>1.39760503884007</v>
      </c>
      <c r="AG264">
        <v>-1.170803</v>
      </c>
      <c r="AH264">
        <v>27.381480911724601</v>
      </c>
      <c r="AI264">
        <v>92.445235826203103</v>
      </c>
      <c r="AJ264">
        <v>87.078045635307802</v>
      </c>
      <c r="AK264">
        <v>27.442113191744902</v>
      </c>
      <c r="AL264">
        <v>93.000656559341195</v>
      </c>
      <c r="AM264">
        <v>88.457135254016606</v>
      </c>
      <c r="AN264">
        <v>1.0000000065443899</v>
      </c>
    </row>
    <row r="265" spans="1:40" x14ac:dyDescent="0.25">
      <c r="A265" t="str">
        <f>"20190303154419905"</f>
        <v>20190303154419905</v>
      </c>
      <c r="B265" t="str">
        <f>"1551599059900329"</f>
        <v>1551599059900329</v>
      </c>
      <c r="C265" t="s">
        <v>40</v>
      </c>
      <c r="D265">
        <v>4.3557360000000003</v>
      </c>
      <c r="E265">
        <v>0.50998770000000004</v>
      </c>
      <c r="F265" t="s">
        <v>43</v>
      </c>
      <c r="G265">
        <v>-413.53390000000002</v>
      </c>
      <c r="H265">
        <v>-0.05</v>
      </c>
      <c r="I265">
        <v>366.79750000000001</v>
      </c>
      <c r="J265">
        <v>-441.16370000000001</v>
      </c>
      <c r="K265">
        <v>1.1206529999999999</v>
      </c>
      <c r="L265">
        <v>368.10860000000002</v>
      </c>
      <c r="M265">
        <v>0.99993290000000001</v>
      </c>
      <c r="N265">
        <v>-1.0553750000000001E-2</v>
      </c>
      <c r="O265">
        <v>4.7932060000000004E-3</v>
      </c>
      <c r="P265">
        <v>0.99775700000000001</v>
      </c>
      <c r="Q265">
        <v>-6.3261440000000002E-2</v>
      </c>
      <c r="R265">
        <v>-2.189489E-2</v>
      </c>
      <c r="S265">
        <v>2.9956360000000002</v>
      </c>
      <c r="T265">
        <v>-0.12618799999999999</v>
      </c>
      <c r="U265">
        <v>-0.1412659</v>
      </c>
      <c r="V265">
        <v>2.6654000000000001E-2</v>
      </c>
      <c r="W265">
        <v>-5.2740860000000001E-2</v>
      </c>
      <c r="X265">
        <v>0.99825249999999999</v>
      </c>
      <c r="Y265">
        <v>5.1832719999999999E-2</v>
      </c>
      <c r="Z265">
        <v>-1.515607E-3</v>
      </c>
      <c r="AA265">
        <v>0.99865459999999995</v>
      </c>
      <c r="AB265">
        <v>17</v>
      </c>
      <c r="AC265">
        <v>27.6297999999999</v>
      </c>
      <c r="AD265">
        <v>-1.1706529999999999</v>
      </c>
      <c r="AE265">
        <v>-1.3111000000000099</v>
      </c>
      <c r="AF265">
        <v>1.44094672078416</v>
      </c>
      <c r="AG265">
        <v>-1.1706529999999999</v>
      </c>
      <c r="AH265">
        <v>27.573809913637199</v>
      </c>
      <c r="AI265">
        <v>92.427738050022896</v>
      </c>
      <c r="AJ265">
        <v>87.008569550146106</v>
      </c>
      <c r="AK265">
        <v>27.636239777725699</v>
      </c>
      <c r="AL265">
        <v>93.023231228464098</v>
      </c>
      <c r="AM265">
        <v>88.470528303269006</v>
      </c>
      <c r="AN265">
        <v>1.00000004389289</v>
      </c>
    </row>
    <row r="266" spans="1:40" x14ac:dyDescent="0.25">
      <c r="A266" t="str">
        <f>"20190303154419928"</f>
        <v>20190303154419928</v>
      </c>
      <c r="B266" t="str">
        <f>"1551599059920825"</f>
        <v>1551599059920825</v>
      </c>
      <c r="C266" t="s">
        <v>40</v>
      </c>
      <c r="D266">
        <v>4.3244809999999996</v>
      </c>
      <c r="E266">
        <v>0.5101637</v>
      </c>
      <c r="F266" t="s">
        <v>43</v>
      </c>
      <c r="G266">
        <v>-413.58370000000002</v>
      </c>
      <c r="H266">
        <v>-0.05</v>
      </c>
      <c r="I266">
        <v>366.77480000000003</v>
      </c>
      <c r="J266">
        <v>-440.9853</v>
      </c>
      <c r="K266">
        <v>1.120363</v>
      </c>
      <c r="L266">
        <v>368.10899999999998</v>
      </c>
      <c r="M266">
        <v>0.99994000000000005</v>
      </c>
      <c r="N266">
        <v>-1.004624E-2</v>
      </c>
      <c r="O266">
        <v>4.3863790000000001E-3</v>
      </c>
      <c r="P266">
        <v>0.9977741</v>
      </c>
      <c r="Q266">
        <v>-6.2890660000000001E-2</v>
      </c>
      <c r="R266">
        <v>-2.217508E-2</v>
      </c>
      <c r="S266">
        <v>2.9955440000000002</v>
      </c>
      <c r="T266">
        <v>-0.12714790000000001</v>
      </c>
      <c r="U266">
        <v>-0.14486689999999999</v>
      </c>
      <c r="V266">
        <v>2.6527990000000001E-2</v>
      </c>
      <c r="W266">
        <v>-5.2876590000000001E-2</v>
      </c>
      <c r="X266">
        <v>0.99824860000000004</v>
      </c>
      <c r="Y266">
        <v>5.2624579999999997E-2</v>
      </c>
      <c r="Z266">
        <v>-1.522306E-3</v>
      </c>
      <c r="AA266">
        <v>0.99861319999999998</v>
      </c>
      <c r="AB266">
        <v>17</v>
      </c>
      <c r="AC266">
        <v>27.401599999999899</v>
      </c>
      <c r="AD266">
        <v>-1.1703629999999901</v>
      </c>
      <c r="AE266">
        <v>-1.3342000000000001</v>
      </c>
      <c r="AF266">
        <v>1.45174490972488</v>
      </c>
      <c r="AG266">
        <v>-1.1703629999999901</v>
      </c>
      <c r="AH266">
        <v>27.345715758769099</v>
      </c>
      <c r="AI266">
        <v>92.447251244716995</v>
      </c>
      <c r="AJ266">
        <v>86.9611018701099</v>
      </c>
      <c r="AK266">
        <v>27.409222593756201</v>
      </c>
      <c r="AL266">
        <v>93.031019081892097</v>
      </c>
      <c r="AM266">
        <v>88.477749710593301</v>
      </c>
      <c r="AN266">
        <v>0.99999996771271304</v>
      </c>
    </row>
    <row r="267" spans="1:40" x14ac:dyDescent="0.25">
      <c r="A267" t="str">
        <f>"20190303154419950"</f>
        <v>20190303154419950</v>
      </c>
      <c r="B267" t="str">
        <f>"1551599059940346"</f>
        <v>1551599059940346</v>
      </c>
      <c r="C267" t="s">
        <v>40</v>
      </c>
      <c r="D267">
        <v>4.3408170000000004</v>
      </c>
      <c r="E267">
        <v>0.51032889999999997</v>
      </c>
      <c r="F267" t="s">
        <v>43</v>
      </c>
      <c r="G267">
        <v>-413.58620000000002</v>
      </c>
      <c r="H267">
        <v>-0.05</v>
      </c>
      <c r="I267">
        <v>366.76319999999998</v>
      </c>
      <c r="J267">
        <v>-440.81790000000001</v>
      </c>
      <c r="K267">
        <v>1.1199840000000001</v>
      </c>
      <c r="L267">
        <v>368.10930000000002</v>
      </c>
      <c r="M267">
        <v>0.99994150000000004</v>
      </c>
      <c r="N267">
        <v>-1.005169E-2</v>
      </c>
      <c r="O267">
        <v>4.0094429999999997E-3</v>
      </c>
      <c r="P267">
        <v>0.99774969999999996</v>
      </c>
      <c r="Q267">
        <v>-6.3066880000000006E-2</v>
      </c>
      <c r="R267">
        <v>-2.2768E-2</v>
      </c>
      <c r="S267">
        <v>2.9953310000000002</v>
      </c>
      <c r="T267">
        <v>-0.12794659999999999</v>
      </c>
      <c r="U267">
        <v>-0.14712520000000001</v>
      </c>
      <c r="V267">
        <v>2.6744170000000001E-2</v>
      </c>
      <c r="W267">
        <v>-5.3047820000000002E-2</v>
      </c>
      <c r="X267">
        <v>0.99823379999999995</v>
      </c>
      <c r="Y267">
        <v>5.3001739999999999E-2</v>
      </c>
      <c r="Z267">
        <v>-1.528317E-3</v>
      </c>
      <c r="AA267">
        <v>0.99859330000000002</v>
      </c>
      <c r="AB267">
        <v>17</v>
      </c>
      <c r="AC267">
        <v>27.231699999999901</v>
      </c>
      <c r="AD267">
        <v>-1.1699839999999999</v>
      </c>
      <c r="AE267">
        <v>-1.3461000000000301</v>
      </c>
      <c r="AF267">
        <v>1.4526037991188001</v>
      </c>
      <c r="AG267">
        <v>-1.1699839999999999</v>
      </c>
      <c r="AH267">
        <v>27.176041480863599</v>
      </c>
      <c r="AI267">
        <v>92.461668092608804</v>
      </c>
      <c r="AJ267">
        <v>86.940358673967793</v>
      </c>
      <c r="AK267">
        <v>27.239973401732399</v>
      </c>
      <c r="AL267">
        <v>93.0408434660023</v>
      </c>
      <c r="AM267">
        <v>88.465327863477896</v>
      </c>
      <c r="AN267">
        <v>1.00000002064909</v>
      </c>
    </row>
    <row r="268" spans="1:40" x14ac:dyDescent="0.25">
      <c r="A268" t="str">
        <f>"20190303154419972"</f>
        <v>20190303154419972</v>
      </c>
      <c r="B268" t="str">
        <f>"1551599059960844"</f>
        <v>1551599059960844</v>
      </c>
      <c r="C268" t="s">
        <v>40</v>
      </c>
      <c r="D268">
        <v>4.2802369999999996</v>
      </c>
      <c r="E268">
        <v>0.51042520000000002</v>
      </c>
      <c r="F268" t="s">
        <v>43</v>
      </c>
      <c r="G268">
        <v>-413.91930000000002</v>
      </c>
      <c r="H268">
        <v>-0.05</v>
      </c>
      <c r="I268">
        <v>366.76229999999998</v>
      </c>
      <c r="J268">
        <v>-440.64440000000002</v>
      </c>
      <c r="K268">
        <v>1.119432</v>
      </c>
      <c r="L268">
        <v>368.1096</v>
      </c>
      <c r="M268">
        <v>0.99993739999999998</v>
      </c>
      <c r="N268">
        <v>-1.0592000000000001E-2</v>
      </c>
      <c r="O268">
        <v>3.6267109999999999E-3</v>
      </c>
      <c r="P268">
        <v>0.99765470000000001</v>
      </c>
      <c r="Q268">
        <v>-6.4206040000000006E-2</v>
      </c>
      <c r="R268">
        <v>-2.3718469999999998E-2</v>
      </c>
      <c r="S268">
        <v>2.9951479999999999</v>
      </c>
      <c r="T268">
        <v>-0.13027730000000001</v>
      </c>
      <c r="U268">
        <v>-0.14999390000000001</v>
      </c>
      <c r="V268">
        <v>2.731161E-2</v>
      </c>
      <c r="W268">
        <v>-5.3649090000000003E-2</v>
      </c>
      <c r="X268">
        <v>0.99818629999999997</v>
      </c>
      <c r="Y268">
        <v>5.3573500000000003E-2</v>
      </c>
      <c r="Z268">
        <v>-1.56712E-3</v>
      </c>
      <c r="AA268">
        <v>0.99856270000000003</v>
      </c>
      <c r="AB268">
        <v>17</v>
      </c>
      <c r="AC268">
        <v>26.725100000000001</v>
      </c>
      <c r="AD268">
        <v>-1.169432</v>
      </c>
      <c r="AE268">
        <v>-1.3473000000000099</v>
      </c>
      <c r="AF268">
        <v>1.4414677345478</v>
      </c>
      <c r="AG268">
        <v>-1.169432</v>
      </c>
      <c r="AH268">
        <v>26.669102562710201</v>
      </c>
      <c r="AI268">
        <v>92.507139159559202</v>
      </c>
      <c r="AJ268">
        <v>86.906167672942104</v>
      </c>
      <c r="AK268">
        <v>26.733619880830201</v>
      </c>
      <c r="AL268">
        <v>93.075342832179402</v>
      </c>
      <c r="AM268">
        <v>88.432707741144796</v>
      </c>
      <c r="AN268">
        <v>1.00000001920315</v>
      </c>
    </row>
    <row r="269" spans="1:40" x14ac:dyDescent="0.25">
      <c r="A269" t="str">
        <f>"20190303154419995"</f>
        <v>20190303154419995</v>
      </c>
      <c r="B269" t="str">
        <f>"1551599059990121"</f>
        <v>1551599059990121</v>
      </c>
      <c r="C269" t="s">
        <v>40</v>
      </c>
      <c r="D269">
        <v>4.2924040000000003</v>
      </c>
      <c r="E269">
        <v>0.51056309999999905</v>
      </c>
      <c r="F269" t="s">
        <v>43</v>
      </c>
      <c r="G269">
        <v>-414.53559999999999</v>
      </c>
      <c r="H269">
        <v>-0.05</v>
      </c>
      <c r="I269">
        <v>366.76990000000001</v>
      </c>
      <c r="J269">
        <v>-440.46559999999999</v>
      </c>
      <c r="K269">
        <v>1.1186179999999999</v>
      </c>
      <c r="L269">
        <v>368.10969999999998</v>
      </c>
      <c r="M269">
        <v>0.99992760000000003</v>
      </c>
      <c r="N269">
        <v>-1.158854E-2</v>
      </c>
      <c r="O269">
        <v>3.2478720000000002E-3</v>
      </c>
      <c r="P269">
        <v>0.99754430000000005</v>
      </c>
      <c r="Q269">
        <v>-6.5607280000000004E-2</v>
      </c>
      <c r="R269">
        <v>-2.4518749999999999E-2</v>
      </c>
      <c r="S269">
        <v>2.9946899999999999</v>
      </c>
      <c r="T269">
        <v>-0.13413420000000001</v>
      </c>
      <c r="U269">
        <v>-0.15365599999999999</v>
      </c>
      <c r="V269">
        <v>2.773231E-2</v>
      </c>
      <c r="W269">
        <v>-5.4057380000000002E-2</v>
      </c>
      <c r="X269">
        <v>0.9981527</v>
      </c>
      <c r="Y269">
        <v>5.4415310000000001E-2</v>
      </c>
      <c r="Z269">
        <v>-1.6406610000000001E-3</v>
      </c>
      <c r="AA269">
        <v>0.99851699999999999</v>
      </c>
      <c r="AB269">
        <v>17</v>
      </c>
      <c r="AC269">
        <v>25.93</v>
      </c>
      <c r="AD269">
        <v>-1.1686179999999999</v>
      </c>
      <c r="AE269">
        <v>-1.3397999999999599</v>
      </c>
      <c r="AF269">
        <v>1.4211370628023601</v>
      </c>
      <c r="AG269">
        <v>-1.1686179999999999</v>
      </c>
      <c r="AH269">
        <v>25.8730994375424</v>
      </c>
      <c r="AI269">
        <v>92.582250764438399</v>
      </c>
      <c r="AJ269">
        <v>86.856062127110704</v>
      </c>
      <c r="AK269">
        <v>25.938438138911799</v>
      </c>
      <c r="AL269">
        <v>93.098770035934606</v>
      </c>
      <c r="AM269">
        <v>88.408524410188093</v>
      </c>
      <c r="AN269">
        <v>1.0000000469338399</v>
      </c>
    </row>
    <row r="270" spans="1:40" x14ac:dyDescent="0.25">
      <c r="A270" t="str">
        <f>"20190303154420019"</f>
        <v>20190303154420019</v>
      </c>
      <c r="B270" t="str">
        <f>"1551599060010617"</f>
        <v>1551599060010617</v>
      </c>
      <c r="C270" t="s">
        <v>40</v>
      </c>
      <c r="D270">
        <v>4.2652599999999996</v>
      </c>
      <c r="E270">
        <v>0.51061350000000005</v>
      </c>
      <c r="F270" t="s">
        <v>43</v>
      </c>
      <c r="G270">
        <v>-415.3175</v>
      </c>
      <c r="H270">
        <v>-0.05</v>
      </c>
      <c r="I270">
        <v>366.7878</v>
      </c>
      <c r="J270">
        <v>-440.29160000000002</v>
      </c>
      <c r="K270">
        <v>1.117597</v>
      </c>
      <c r="L270">
        <v>368.10989999999998</v>
      </c>
      <c r="M270">
        <v>0.99991090000000005</v>
      </c>
      <c r="N270">
        <v>-1.303903E-2</v>
      </c>
      <c r="O270">
        <v>2.9006359999999998E-3</v>
      </c>
      <c r="P270">
        <v>0.99747260000000004</v>
      </c>
      <c r="Q270">
        <v>-6.6453579999999998E-2</v>
      </c>
      <c r="R270">
        <v>-2.5156129999999999E-2</v>
      </c>
      <c r="S270">
        <v>2.994354</v>
      </c>
      <c r="T270">
        <v>-0.1391464</v>
      </c>
      <c r="U270">
        <v>-0.15740970000000001</v>
      </c>
      <c r="V270">
        <v>2.802251E-2</v>
      </c>
      <c r="W270">
        <v>-5.3456990000000003E-2</v>
      </c>
      <c r="X270">
        <v>0.99817690000000003</v>
      </c>
      <c r="Y270">
        <v>5.5315089999999997E-2</v>
      </c>
      <c r="Z270">
        <v>-1.7416440000000001E-3</v>
      </c>
      <c r="AA270">
        <v>0.9984674</v>
      </c>
      <c r="AB270">
        <v>17</v>
      </c>
      <c r="AC270">
        <v>24.9741</v>
      </c>
      <c r="AD270">
        <v>-1.167597</v>
      </c>
      <c r="AE270">
        <v>-1.3220999999999701</v>
      </c>
      <c r="AF270">
        <v>1.39150833137117</v>
      </c>
      <c r="AG270">
        <v>-1.167597</v>
      </c>
      <c r="AH270">
        <v>24.9158513191698</v>
      </c>
      <c r="AI270">
        <v>92.678841511376604</v>
      </c>
      <c r="AJ270">
        <v>86.803447840916107</v>
      </c>
      <c r="AK270">
        <v>24.981978007148701</v>
      </c>
      <c r="AL270">
        <v>93.064320502076797</v>
      </c>
      <c r="AM270">
        <v>88.391918353483803</v>
      </c>
      <c r="AN270">
        <v>1.00000001727008</v>
      </c>
    </row>
    <row r="271" spans="1:40" x14ac:dyDescent="0.25">
      <c r="A271" t="str">
        <f>"20190303154420039"</f>
        <v>20190303154420039</v>
      </c>
      <c r="B271" t="str">
        <f>"1551599060030137"</f>
        <v>1551599060030137</v>
      </c>
      <c r="C271" t="s">
        <v>40</v>
      </c>
      <c r="D271">
        <v>4.3153930000000003</v>
      </c>
      <c r="E271">
        <v>0.51067029999999902</v>
      </c>
      <c r="F271" t="s">
        <v>43</v>
      </c>
      <c r="G271">
        <v>-415.697</v>
      </c>
      <c r="H271">
        <v>-0.05</v>
      </c>
      <c r="I271">
        <v>366.79849999999999</v>
      </c>
      <c r="J271">
        <v>-440.13060000000002</v>
      </c>
      <c r="K271">
        <v>1.1165</v>
      </c>
      <c r="L271">
        <v>368.10989999999998</v>
      </c>
      <c r="M271">
        <v>0.99988630000000001</v>
      </c>
      <c r="N271">
        <v>-1.4861050000000001E-2</v>
      </c>
      <c r="O271">
        <v>2.5842650000000001E-3</v>
      </c>
      <c r="P271">
        <v>0.99733780000000005</v>
      </c>
      <c r="Q271">
        <v>-6.8423780000000003E-2</v>
      </c>
      <c r="R271">
        <v>-2.521456E-2</v>
      </c>
      <c r="S271">
        <v>2.9940799999999999</v>
      </c>
      <c r="T271">
        <v>-0.14213979999999901</v>
      </c>
      <c r="U271">
        <v>-0.15963749999999999</v>
      </c>
      <c r="V271">
        <v>2.7765310000000001E-2</v>
      </c>
      <c r="W271">
        <v>-5.3609650000000002E-2</v>
      </c>
      <c r="X271">
        <v>0.9981759</v>
      </c>
      <c r="Y271">
        <v>5.5739160000000003E-2</v>
      </c>
      <c r="Z271">
        <v>-1.8203480000000001E-3</v>
      </c>
      <c r="AA271">
        <v>0.99844370000000005</v>
      </c>
      <c r="AB271">
        <v>17</v>
      </c>
      <c r="AC271">
        <v>24.433599999999998</v>
      </c>
      <c r="AD271">
        <v>-1.1665000000000001</v>
      </c>
      <c r="AE271">
        <v>-1.3113999999999899</v>
      </c>
      <c r="AF271">
        <v>1.37142861782818</v>
      </c>
      <c r="AG271">
        <v>-1.1665000000000001</v>
      </c>
      <c r="AH271">
        <v>24.3747321532055</v>
      </c>
      <c r="AI271">
        <v>92.735590021784006</v>
      </c>
      <c r="AJ271">
        <v>86.779685135216297</v>
      </c>
      <c r="AK271">
        <v>24.441135535083198</v>
      </c>
      <c r="AL271">
        <v>93.073079836248198</v>
      </c>
      <c r="AM271">
        <v>88.406668627654099</v>
      </c>
      <c r="AN271">
        <v>1.0000000171766601</v>
      </c>
    </row>
    <row r="272" spans="1:40" x14ac:dyDescent="0.25">
      <c r="A272" t="str">
        <f>"20190303154420062"</f>
        <v>20190303154420062</v>
      </c>
      <c r="B272" t="str">
        <f>"1551599060050636"</f>
        <v>1551599060050636</v>
      </c>
      <c r="C272" t="s">
        <v>40</v>
      </c>
      <c r="D272">
        <v>4.2770659999999996</v>
      </c>
      <c r="E272">
        <v>0.51074379999999997</v>
      </c>
      <c r="F272" t="s">
        <v>43</v>
      </c>
      <c r="G272">
        <v>-416.6318</v>
      </c>
      <c r="H272">
        <v>-0.05</v>
      </c>
      <c r="I272">
        <v>366.85419999999999</v>
      </c>
      <c r="J272">
        <v>-439.96559999999999</v>
      </c>
      <c r="K272">
        <v>1.115237</v>
      </c>
      <c r="L272">
        <v>368.11</v>
      </c>
      <c r="M272">
        <v>0.99985250000000003</v>
      </c>
      <c r="N272">
        <v>-1.7032269999999999E-2</v>
      </c>
      <c r="O272">
        <v>2.2499350000000002E-3</v>
      </c>
      <c r="P272">
        <v>0.99715019999999999</v>
      </c>
      <c r="Q272">
        <v>-7.0850689999999994E-2</v>
      </c>
      <c r="R272">
        <v>-2.59174E-2</v>
      </c>
      <c r="S272">
        <v>2.9937740000000002</v>
      </c>
      <c r="T272">
        <v>-0.14861369999999999</v>
      </c>
      <c r="U272">
        <v>-0.15997310000000001</v>
      </c>
      <c r="V272">
        <v>2.8134840000000001E-2</v>
      </c>
      <c r="W272">
        <v>-5.3871460000000003E-2</v>
      </c>
      <c r="X272">
        <v>0.99815140000000002</v>
      </c>
      <c r="Y272">
        <v>5.5513239999999998E-2</v>
      </c>
      <c r="Z272">
        <v>-1.9228170000000001E-3</v>
      </c>
      <c r="AA272">
        <v>0.99845609999999996</v>
      </c>
      <c r="AB272">
        <v>17</v>
      </c>
      <c r="AC272">
        <v>23.3338</v>
      </c>
      <c r="AD272">
        <v>-1.1652370000000001</v>
      </c>
      <c r="AE272">
        <v>-1.25580000000002</v>
      </c>
      <c r="AF272">
        <v>1.30505883959803</v>
      </c>
      <c r="AG272">
        <v>-1.1652370000000001</v>
      </c>
      <c r="AH272">
        <v>23.273044883282399</v>
      </c>
      <c r="AI272">
        <v>92.8618085072833</v>
      </c>
      <c r="AJ272">
        <v>86.790444264830299</v>
      </c>
      <c r="AK272">
        <v>23.338714060124701</v>
      </c>
      <c r="AL272">
        <v>93.088102327916801</v>
      </c>
      <c r="AM272">
        <v>88.385434436891899</v>
      </c>
      <c r="AN272">
        <v>0.99999996037315697</v>
      </c>
    </row>
    <row r="273" spans="1:40" x14ac:dyDescent="0.25">
      <c r="A273" t="str">
        <f>"20190303154420083"</f>
        <v>20190303154420083</v>
      </c>
      <c r="B273" t="str">
        <f>"1551599060080889"</f>
        <v>1551599060080889</v>
      </c>
      <c r="C273" t="s">
        <v>40</v>
      </c>
      <c r="D273">
        <v>4.259315</v>
      </c>
      <c r="E273">
        <v>0.51078919999999906</v>
      </c>
      <c r="F273" t="s">
        <v>43</v>
      </c>
      <c r="G273">
        <v>-417.6635</v>
      </c>
      <c r="H273">
        <v>-0.05</v>
      </c>
      <c r="I273">
        <v>366.89550000000003</v>
      </c>
      <c r="J273">
        <v>-439.80450000000002</v>
      </c>
      <c r="K273">
        <v>1.1138699999999999</v>
      </c>
      <c r="L273">
        <v>368.11</v>
      </c>
      <c r="M273">
        <v>0.99981469999999995</v>
      </c>
      <c r="N273">
        <v>-1.9159320000000001E-2</v>
      </c>
      <c r="O273">
        <v>1.905075E-3</v>
      </c>
      <c r="P273">
        <v>0.99690060000000003</v>
      </c>
      <c r="Q273">
        <v>-7.4264419999999998E-2</v>
      </c>
      <c r="R273">
        <v>-2.5970440000000001E-2</v>
      </c>
      <c r="S273">
        <v>2.9931950000000001</v>
      </c>
      <c r="T273">
        <v>-0.15638829999999901</v>
      </c>
      <c r="U273">
        <v>-0.16299439999999901</v>
      </c>
      <c r="V273">
        <v>2.7843280000000002E-2</v>
      </c>
      <c r="W273">
        <v>-5.5165270000000002E-2</v>
      </c>
      <c r="X273">
        <v>0.998089</v>
      </c>
      <c r="Y273">
        <v>5.617138E-2</v>
      </c>
      <c r="Z273">
        <v>-2.0673229999999998E-3</v>
      </c>
      <c r="AA273">
        <v>0.99841899999999995</v>
      </c>
      <c r="AB273">
        <v>17</v>
      </c>
      <c r="AC273">
        <v>22.140999999999998</v>
      </c>
      <c r="AD273">
        <v>-1.16387</v>
      </c>
      <c r="AE273">
        <v>-1.2144999999999799</v>
      </c>
      <c r="AF273">
        <v>1.25323323863888</v>
      </c>
      <c r="AG273">
        <v>-1.16387</v>
      </c>
      <c r="AH273">
        <v>22.077822930974801</v>
      </c>
      <c r="AI273">
        <v>93.012810104886697</v>
      </c>
      <c r="AJ273">
        <v>86.751128896043497</v>
      </c>
      <c r="AK273">
        <v>22.143971014675898</v>
      </c>
      <c r="AL273">
        <v>93.1623423060189</v>
      </c>
      <c r="AM273">
        <v>88.402057538987904</v>
      </c>
      <c r="AN273">
        <v>1.0000000535881599</v>
      </c>
    </row>
    <row r="274" spans="1:40" x14ac:dyDescent="0.25">
      <c r="A274" t="str">
        <f>"20190303154420106"</f>
        <v>20190303154420106</v>
      </c>
      <c r="B274" t="str">
        <f>"1551599060100413"</f>
        <v>1551599060100413</v>
      </c>
      <c r="C274" t="s">
        <v>40</v>
      </c>
      <c r="D274">
        <v>4.2992670000000004</v>
      </c>
      <c r="E274">
        <v>0.51068599999999997</v>
      </c>
      <c r="F274" t="s">
        <v>43</v>
      </c>
      <c r="G274">
        <v>-419.01080000000002</v>
      </c>
      <c r="H274">
        <v>-0.05</v>
      </c>
      <c r="I274">
        <v>366.9744</v>
      </c>
      <c r="J274">
        <v>-439.63549999999998</v>
      </c>
      <c r="K274">
        <v>1.1123240000000001</v>
      </c>
      <c r="L274">
        <v>368.10980000000001</v>
      </c>
      <c r="M274">
        <v>0.99977539999999998</v>
      </c>
      <c r="N274">
        <v>-2.1144630000000001E-2</v>
      </c>
      <c r="O274">
        <v>1.533955E-3</v>
      </c>
      <c r="P274">
        <v>0.9966699</v>
      </c>
      <c r="Q274">
        <v>-7.7050250000000001E-2</v>
      </c>
      <c r="R274">
        <v>-2.6698050000000001E-2</v>
      </c>
      <c r="S274">
        <v>2.9926149999999998</v>
      </c>
      <c r="T274">
        <v>-0.16750309999999999</v>
      </c>
      <c r="U274">
        <v>-0.1634216</v>
      </c>
      <c r="V274">
        <v>2.819953E-2</v>
      </c>
      <c r="W274">
        <v>-5.597357E-2</v>
      </c>
      <c r="X274">
        <v>0.99803390000000003</v>
      </c>
      <c r="Y274">
        <v>5.5937670000000002E-2</v>
      </c>
      <c r="Z274">
        <v>-2.208954E-3</v>
      </c>
      <c r="AA274">
        <v>0.99843179999999998</v>
      </c>
      <c r="AB274">
        <v>17</v>
      </c>
      <c r="AC274">
        <v>20.624699999999901</v>
      </c>
      <c r="AD274">
        <v>-1.1623239999999999</v>
      </c>
      <c r="AE274">
        <v>-1.1354</v>
      </c>
      <c r="AF274">
        <v>1.1633594409244199</v>
      </c>
      <c r="AG274">
        <v>-1.1623239999999999</v>
      </c>
      <c r="AH274">
        <v>20.557839460890499</v>
      </c>
      <c r="AI274">
        <v>93.230854768476405</v>
      </c>
      <c r="AJ274">
        <v>86.761110506134798</v>
      </c>
      <c r="AK274">
        <v>20.623510020593301</v>
      </c>
      <c r="AL274">
        <v>93.208726455790696</v>
      </c>
      <c r="AM274">
        <v>88.381533642464305</v>
      </c>
      <c r="AN274">
        <v>0.99999995978998701</v>
      </c>
    </row>
    <row r="275" spans="1:40" x14ac:dyDescent="0.25">
      <c r="A275" t="str">
        <f>"20190303154420127"</f>
        <v>20190303154420127</v>
      </c>
      <c r="B275" t="str">
        <f>"1551599060120909"</f>
        <v>1551599060120909</v>
      </c>
      <c r="C275" t="s">
        <v>40</v>
      </c>
      <c r="D275">
        <v>4.2697099999999999</v>
      </c>
      <c r="E275">
        <v>0.51057089999999905</v>
      </c>
      <c r="F275" t="s">
        <v>43</v>
      </c>
      <c r="G275">
        <v>-420.01949999999999</v>
      </c>
      <c r="H275">
        <v>-0.05</v>
      </c>
      <c r="I275">
        <v>367.02730000000003</v>
      </c>
      <c r="J275">
        <v>-439.47</v>
      </c>
      <c r="K275">
        <v>1.110773</v>
      </c>
      <c r="L275">
        <v>368.1096</v>
      </c>
      <c r="M275">
        <v>0.99973900000000004</v>
      </c>
      <c r="N275">
        <v>-2.2816960000000001E-2</v>
      </c>
      <c r="O275">
        <v>1.1753039999999901E-3</v>
      </c>
      <c r="P275">
        <v>0.99652529999999995</v>
      </c>
      <c r="Q275">
        <v>-7.8841510000000004E-2</v>
      </c>
      <c r="R275">
        <v>-2.685831E-2</v>
      </c>
      <c r="S275">
        <v>2.9919129999999998</v>
      </c>
      <c r="T275">
        <v>-0.17728269999999999</v>
      </c>
      <c r="U275">
        <v>-0.1651001</v>
      </c>
      <c r="V275">
        <v>2.8001100000000001E-2</v>
      </c>
      <c r="W275">
        <v>-5.6098410000000001E-2</v>
      </c>
      <c r="X275">
        <v>0.99803249999999999</v>
      </c>
      <c r="Y275">
        <v>5.6135169999999998E-2</v>
      </c>
      <c r="Z275">
        <v>-2.344905E-3</v>
      </c>
      <c r="AA275">
        <v>0.99842039999999999</v>
      </c>
      <c r="AB275">
        <v>17</v>
      </c>
      <c r="AC275">
        <v>19.450500000000002</v>
      </c>
      <c r="AD275">
        <v>-1.1607730000000001</v>
      </c>
      <c r="AE275">
        <v>-1.0822999999999701</v>
      </c>
      <c r="AF275">
        <v>1.1012554389451199</v>
      </c>
      <c r="AG275">
        <v>-1.1607730000000001</v>
      </c>
      <c r="AH275">
        <v>19.380403923540701</v>
      </c>
      <c r="AI275">
        <v>93.422080729058393</v>
      </c>
      <c r="AJ275">
        <v>86.747771132137302</v>
      </c>
      <c r="AK275">
        <v>19.446341911499101</v>
      </c>
      <c r="AL275">
        <v>93.215890445812505</v>
      </c>
      <c r="AM275">
        <v>88.392913964363302</v>
      </c>
      <c r="AN275">
        <v>0.99999998213099395</v>
      </c>
    </row>
    <row r="276" spans="1:40" x14ac:dyDescent="0.25">
      <c r="A276" t="str">
        <f>"20190303154420150"</f>
        <v>20190303154420150</v>
      </c>
      <c r="B276" t="str">
        <f>"1551599060140429"</f>
        <v>1551599060140429</v>
      </c>
      <c r="C276" t="s">
        <v>40</v>
      </c>
      <c r="D276">
        <v>4.3050519999999999</v>
      </c>
      <c r="E276">
        <v>0.51052559999999902</v>
      </c>
      <c r="F276" t="s">
        <v>43</v>
      </c>
      <c r="G276">
        <v>-420.61610000000002</v>
      </c>
      <c r="H276">
        <v>-0.05</v>
      </c>
      <c r="I276">
        <v>367.07310000000001</v>
      </c>
      <c r="J276">
        <v>-439.30549999999999</v>
      </c>
      <c r="K276">
        <v>1.1092850000000001</v>
      </c>
      <c r="L276">
        <v>368.10939999999999</v>
      </c>
      <c r="M276">
        <v>0.9997047</v>
      </c>
      <c r="N276">
        <v>-2.428924E-2</v>
      </c>
      <c r="O276">
        <v>8.2648279999999997E-4</v>
      </c>
      <c r="P276">
        <v>0.99640530000000005</v>
      </c>
      <c r="Q276">
        <v>-8.0207180000000003E-2</v>
      </c>
      <c r="R276">
        <v>-2.727129E-2</v>
      </c>
      <c r="S276">
        <v>2.9914550000000002</v>
      </c>
      <c r="T276">
        <v>-0.1841739</v>
      </c>
      <c r="U276">
        <v>-0.1644592</v>
      </c>
      <c r="V276">
        <v>2.8065280000000001E-2</v>
      </c>
      <c r="W276">
        <v>-5.5996999999999998E-2</v>
      </c>
      <c r="X276">
        <v>0.99803640000000005</v>
      </c>
      <c r="Y276">
        <v>5.5571839999999997E-2</v>
      </c>
      <c r="Z276">
        <v>-2.4149269999999999E-3</v>
      </c>
      <c r="AA276">
        <v>0.9984518</v>
      </c>
      <c r="AB276">
        <v>17</v>
      </c>
      <c r="AC276">
        <v>18.6893999999999</v>
      </c>
      <c r="AD276">
        <v>-1.1592849999999999</v>
      </c>
      <c r="AE276">
        <v>-1.03629999999998</v>
      </c>
      <c r="AF276">
        <v>1.04773177624888</v>
      </c>
      <c r="AG276">
        <v>-1.1592849999999999</v>
      </c>
      <c r="AH276">
        <v>18.6171252165528</v>
      </c>
      <c r="AI276">
        <v>93.557582214925105</v>
      </c>
      <c r="AJ276">
        <v>86.778914463740506</v>
      </c>
      <c r="AK276">
        <v>18.682586408605101</v>
      </c>
      <c r="AL276">
        <v>93.210070908201203</v>
      </c>
      <c r="AM276">
        <v>88.389238667664202</v>
      </c>
      <c r="AN276">
        <v>0.99999998983771898</v>
      </c>
    </row>
    <row r="277" spans="1:40" x14ac:dyDescent="0.25">
      <c r="A277" t="str">
        <f>"20190303154420172"</f>
        <v>20190303154420172</v>
      </c>
      <c r="B277" t="str">
        <f>"1551599060170685"</f>
        <v>1551599060170685</v>
      </c>
      <c r="C277" t="s">
        <v>40</v>
      </c>
      <c r="D277">
        <v>4.3553280000000001</v>
      </c>
      <c r="E277">
        <v>0.49719720000000001</v>
      </c>
      <c r="F277" t="s">
        <v>43</v>
      </c>
      <c r="G277">
        <v>-420.88369999999998</v>
      </c>
      <c r="H277">
        <v>-0.05</v>
      </c>
      <c r="I277">
        <v>367.09109999999998</v>
      </c>
      <c r="J277">
        <v>-439.13650000000001</v>
      </c>
      <c r="K277">
        <v>1.1078520000000001</v>
      </c>
      <c r="L277">
        <v>368.10910000000001</v>
      </c>
      <c r="M277">
        <v>0.99967059999999996</v>
      </c>
      <c r="N277">
        <v>-2.5661610000000001E-2</v>
      </c>
      <c r="O277">
        <v>4.6099150000000001E-4</v>
      </c>
      <c r="P277">
        <v>0.99632790000000004</v>
      </c>
      <c r="Q277">
        <v>-8.0944719999999998E-2</v>
      </c>
      <c r="R277">
        <v>-2.7907390000000001E-2</v>
      </c>
      <c r="S277">
        <v>2.9911500000000002</v>
      </c>
      <c r="T277">
        <v>-0.18823400000000001</v>
      </c>
      <c r="U277">
        <v>-0.1653442</v>
      </c>
      <c r="V277">
        <v>2.8338100000000001E-2</v>
      </c>
      <c r="W277">
        <v>-5.536576E-2</v>
      </c>
      <c r="X277">
        <v>0.9980639</v>
      </c>
      <c r="Y277">
        <v>5.5499369999999999E-2</v>
      </c>
      <c r="Z277">
        <v>-2.4741390000000002E-3</v>
      </c>
      <c r="AA277">
        <v>0.9984556</v>
      </c>
      <c r="AB277">
        <v>17</v>
      </c>
      <c r="AC277">
        <v>18.252800000000001</v>
      </c>
      <c r="AD277">
        <v>-1.1578520000000001</v>
      </c>
      <c r="AE277">
        <v>-1.01800000000002</v>
      </c>
      <c r="AF277">
        <v>1.02231610816034</v>
      </c>
      <c r="AG277">
        <v>-1.1578520000000001</v>
      </c>
      <c r="AH277">
        <v>18.179403363111501</v>
      </c>
      <c r="AI277">
        <v>93.638531045473002</v>
      </c>
      <c r="AJ277">
        <v>86.781370123936398</v>
      </c>
      <c r="AK277">
        <v>18.244902250152499</v>
      </c>
      <c r="AL277">
        <v>93.173847346935105</v>
      </c>
      <c r="AM277">
        <v>88.373633763697001</v>
      </c>
      <c r="AN277">
        <v>0.99999998188759798</v>
      </c>
    </row>
    <row r="278" spans="1:40" x14ac:dyDescent="0.25">
      <c r="A278" t="str">
        <f>"20190303154420198"</f>
        <v>20190303154420198</v>
      </c>
      <c r="B278" t="str">
        <f>"1551599060190204"</f>
        <v>1551599060190204</v>
      </c>
      <c r="C278" t="s">
        <v>40</v>
      </c>
      <c r="D278">
        <v>4.3469439999999997</v>
      </c>
      <c r="E278">
        <v>0.49612580000000001</v>
      </c>
      <c r="F278" t="s">
        <v>43</v>
      </c>
      <c r="G278">
        <v>-409.0335</v>
      </c>
      <c r="H278">
        <v>-0.05</v>
      </c>
      <c r="I278">
        <v>367.50490000000002</v>
      </c>
      <c r="J278">
        <v>-438.94850000000002</v>
      </c>
      <c r="K278">
        <v>1.1063940000000001</v>
      </c>
      <c r="L278">
        <v>368.10860000000002</v>
      </c>
      <c r="M278">
        <v>0.99963480000000005</v>
      </c>
      <c r="N278">
        <v>-2.7024940000000001E-2</v>
      </c>
      <c r="O278" s="1">
        <v>4.3176090000000001E-5</v>
      </c>
      <c r="P278">
        <v>0.99615469999999895</v>
      </c>
      <c r="Q278">
        <v>-8.3008589999999993E-2</v>
      </c>
      <c r="R278">
        <v>-2.8031790000000001E-2</v>
      </c>
      <c r="S278">
        <v>2.9999389999999999</v>
      </c>
      <c r="T278">
        <v>-0.11538660000000001</v>
      </c>
      <c r="U278">
        <v>-6.0211180000000003E-2</v>
      </c>
      <c r="V278">
        <v>2.8047099999999998E-2</v>
      </c>
      <c r="W278">
        <v>-5.6071089999999997E-2</v>
      </c>
      <c r="X278">
        <v>0.99803269999999999</v>
      </c>
      <c r="Y278">
        <v>2.0084649999999999E-2</v>
      </c>
      <c r="Z278">
        <v>-6.582103E-4</v>
      </c>
      <c r="AA278">
        <v>0.99979810000000002</v>
      </c>
      <c r="AB278">
        <v>17</v>
      </c>
      <c r="AC278">
        <v>29.914999999999999</v>
      </c>
      <c r="AD278">
        <v>-1.1563939999999999</v>
      </c>
      <c r="AE278">
        <v>-0.60370000000000301</v>
      </c>
      <c r="AF278">
        <v>0.60408976879541998</v>
      </c>
      <c r="AG278">
        <v>-1.1563939999999999</v>
      </c>
      <c r="AH278">
        <v>29.870357219328799</v>
      </c>
      <c r="AI278">
        <v>92.216575420971495</v>
      </c>
      <c r="AJ278">
        <v>88.841424078925996</v>
      </c>
      <c r="AK278">
        <v>29.898836297460001</v>
      </c>
      <c r="AL278">
        <v>93.214322797442605</v>
      </c>
      <c r="AM278">
        <v>88.390275565637694</v>
      </c>
      <c r="AN278">
        <v>0.99999993861074199</v>
      </c>
    </row>
    <row r="279" spans="1:40" x14ac:dyDescent="0.25">
      <c r="A279" t="str">
        <f>"20190303154420220"</f>
        <v>20190303154420220</v>
      </c>
      <c r="B279" t="str">
        <f>"1551599060210701"</f>
        <v>1551599060210701</v>
      </c>
      <c r="C279" t="s">
        <v>40</v>
      </c>
      <c r="D279">
        <v>4.3426080000000002</v>
      </c>
      <c r="E279">
        <v>0.49565209999999998</v>
      </c>
      <c r="F279" t="s">
        <v>43</v>
      </c>
      <c r="G279">
        <v>-405.98820000000001</v>
      </c>
      <c r="H279">
        <v>-0.05</v>
      </c>
      <c r="I279">
        <v>367.53550000000001</v>
      </c>
      <c r="J279">
        <v>-438.79140000000001</v>
      </c>
      <c r="K279">
        <v>1.1052949999999999</v>
      </c>
      <c r="L279">
        <v>368.10820000000001</v>
      </c>
      <c r="M279">
        <v>0.99960769999999999</v>
      </c>
      <c r="N279">
        <v>-2.80088E-2</v>
      </c>
      <c r="O279">
        <v>-3.1068600000000001E-4</v>
      </c>
      <c r="P279">
        <v>0.99596669999999998</v>
      </c>
      <c r="Q279">
        <v>-8.5187899999999997E-2</v>
      </c>
      <c r="R279">
        <v>-2.817569E-2</v>
      </c>
      <c r="S279">
        <v>3.001312</v>
      </c>
      <c r="T279">
        <v>-0.1052992</v>
      </c>
      <c r="U279">
        <v>-5.2185059999999998E-2</v>
      </c>
      <c r="V279">
        <v>2.7839349999999999E-2</v>
      </c>
      <c r="W279">
        <v>-5.7271379999999997E-2</v>
      </c>
      <c r="X279">
        <v>0.99797040000000004</v>
      </c>
      <c r="Y279">
        <v>1.705516E-2</v>
      </c>
      <c r="Z279">
        <v>-5.359211E-4</v>
      </c>
      <c r="AA279">
        <v>0.99985440000000003</v>
      </c>
      <c r="AB279">
        <v>16</v>
      </c>
      <c r="AC279">
        <v>32.803199999999997</v>
      </c>
      <c r="AD279">
        <v>-1.155295</v>
      </c>
      <c r="AE279">
        <v>-0.57269999999999699</v>
      </c>
      <c r="AF279">
        <v>0.56180783750903096</v>
      </c>
      <c r="AG279">
        <v>-1.155295</v>
      </c>
      <c r="AH279">
        <v>32.762750667701901</v>
      </c>
      <c r="AI279">
        <v>92.019256413212602</v>
      </c>
      <c r="AJ279">
        <v>89.0176019151872</v>
      </c>
      <c r="AK279">
        <v>32.787927136330403</v>
      </c>
      <c r="AL279">
        <v>93.283204922668403</v>
      </c>
      <c r="AM279">
        <v>88.402093190945095</v>
      </c>
      <c r="AN279">
        <v>0.99999997982584299</v>
      </c>
    </row>
    <row r="280" spans="1:40" x14ac:dyDescent="0.25">
      <c r="A280" t="str">
        <f>"20190303154420239"</f>
        <v>20190303154420239</v>
      </c>
      <c r="B280" t="str">
        <f>"1551599060230222"</f>
        <v>1551599060230222</v>
      </c>
      <c r="C280" t="s">
        <v>40</v>
      </c>
      <c r="D280">
        <v>4.3015230000000004</v>
      </c>
      <c r="E280">
        <v>0.49553560000000002</v>
      </c>
      <c r="F280" t="s">
        <v>43</v>
      </c>
      <c r="G280">
        <v>-405.72329999999999</v>
      </c>
      <c r="H280">
        <v>-0.05</v>
      </c>
      <c r="I280">
        <v>367.57459999999998</v>
      </c>
      <c r="J280">
        <v>-438.63839999999999</v>
      </c>
      <c r="K280">
        <v>1.1042730000000001</v>
      </c>
      <c r="L280">
        <v>368.10770000000002</v>
      </c>
      <c r="M280">
        <v>0.99959019999999998</v>
      </c>
      <c r="N280">
        <v>-2.8624980000000001E-2</v>
      </c>
      <c r="O280">
        <v>-6.5889500000000005E-4</v>
      </c>
      <c r="P280">
        <v>0.99582990000000005</v>
      </c>
      <c r="Q280">
        <v>-8.7048920000000002E-2</v>
      </c>
      <c r="R280">
        <v>-2.7305059999999999E-2</v>
      </c>
      <c r="S280">
        <v>3.00177</v>
      </c>
      <c r="T280">
        <v>-0.1048722</v>
      </c>
      <c r="U280">
        <v>-4.8431399999999999E-2</v>
      </c>
      <c r="V280">
        <v>2.6622699999999999E-2</v>
      </c>
      <c r="W280">
        <v>-5.851891E-2</v>
      </c>
      <c r="X280">
        <v>0.99793120000000002</v>
      </c>
      <c r="Y280">
        <v>1.545595E-2</v>
      </c>
      <c r="Z280">
        <v>-4.8713789999999999E-4</v>
      </c>
      <c r="AA280">
        <v>0.9998804</v>
      </c>
      <c r="AB280">
        <v>16</v>
      </c>
      <c r="AC280">
        <v>32.915099999999903</v>
      </c>
      <c r="AD280">
        <v>-1.1542729999999899</v>
      </c>
      <c r="AE280">
        <v>-0.53310000000004698</v>
      </c>
      <c r="AF280">
        <v>0.51077542721367397</v>
      </c>
      <c r="AG280">
        <v>-1.1542729999999899</v>
      </c>
      <c r="AH280">
        <v>32.875025869243601</v>
      </c>
      <c r="AI280">
        <v>92.010640053256495</v>
      </c>
      <c r="AJ280">
        <v>89.109873802444696</v>
      </c>
      <c r="AK280">
        <v>32.899248678336299</v>
      </c>
      <c r="AL280">
        <v>93.354803308499299</v>
      </c>
      <c r="AM280">
        <v>88.471831895373001</v>
      </c>
      <c r="AN280">
        <v>0.99999995545815801</v>
      </c>
    </row>
    <row r="281" spans="1:40" x14ac:dyDescent="0.25">
      <c r="A281" t="str">
        <f>"20190303154420264"</f>
        <v>20190303154420264</v>
      </c>
      <c r="B281" t="str">
        <f>"1551599060260477"</f>
        <v>1551599060260477</v>
      </c>
      <c r="C281" t="s">
        <v>40</v>
      </c>
      <c r="D281">
        <v>4.2960399999999996</v>
      </c>
      <c r="E281">
        <v>0.4946564</v>
      </c>
      <c r="F281" t="s">
        <v>43</v>
      </c>
      <c r="G281">
        <v>-406.10039999999998</v>
      </c>
      <c r="H281">
        <v>-0.05</v>
      </c>
      <c r="I281">
        <v>367.61790000000002</v>
      </c>
      <c r="J281">
        <v>-438.46879999999999</v>
      </c>
      <c r="K281">
        <v>1.1031139999999999</v>
      </c>
      <c r="L281">
        <v>368.10719999999998</v>
      </c>
      <c r="M281">
        <v>0.99957960000000001</v>
      </c>
      <c r="N281">
        <v>-2.8974949999999999E-2</v>
      </c>
      <c r="O281">
        <v>-1.0368689999999999E-3</v>
      </c>
      <c r="P281">
        <v>0.99583270000000002</v>
      </c>
      <c r="Q281">
        <v>-8.7667640000000005E-2</v>
      </c>
      <c r="R281">
        <v>-2.5133610000000001E-2</v>
      </c>
      <c r="S281">
        <v>3.002014</v>
      </c>
      <c r="T281">
        <v>-0.1064954</v>
      </c>
      <c r="U281">
        <v>-4.5196529999999999E-2</v>
      </c>
      <c r="V281">
        <v>2.4075369999999999E-2</v>
      </c>
      <c r="W281">
        <v>-5.878626E-2</v>
      </c>
      <c r="X281">
        <v>0.99798019999999998</v>
      </c>
      <c r="Y281">
        <v>1.4000520000000001E-2</v>
      </c>
      <c r="Z281">
        <v>-4.445192E-4</v>
      </c>
      <c r="AA281">
        <v>0.99990190000000001</v>
      </c>
      <c r="AB281">
        <v>16</v>
      </c>
      <c r="AC281">
        <v>32.368400000000001</v>
      </c>
      <c r="AD281">
        <v>-1.153114</v>
      </c>
      <c r="AE281">
        <v>-0.48929999999995699</v>
      </c>
      <c r="AF281">
        <v>0.45514634648623897</v>
      </c>
      <c r="AG281">
        <v>-1.153114</v>
      </c>
      <c r="AH281">
        <v>32.327871626283098</v>
      </c>
      <c r="AI281">
        <v>92.0426345765908</v>
      </c>
      <c r="AJ281">
        <v>89.193382040083904</v>
      </c>
      <c r="AK281">
        <v>32.351632323256197</v>
      </c>
      <c r="AL281">
        <v>93.370147724224694</v>
      </c>
      <c r="AM281">
        <v>88.618059165327097</v>
      </c>
      <c r="AN281">
        <v>0.99999996369873101</v>
      </c>
    </row>
    <row r="282" spans="1:40" x14ac:dyDescent="0.25">
      <c r="A282" t="str">
        <f>"20190303154420284"</f>
        <v>20190303154420284</v>
      </c>
      <c r="B282" t="str">
        <f>"1551599060279997"</f>
        <v>1551599060279997</v>
      </c>
      <c r="C282" t="s">
        <v>40</v>
      </c>
      <c r="D282">
        <v>4.318333</v>
      </c>
      <c r="E282">
        <v>0.49393219999999999</v>
      </c>
      <c r="F282" t="s">
        <v>43</v>
      </c>
      <c r="G282">
        <v>-406.17340000000002</v>
      </c>
      <c r="H282">
        <v>-0.05</v>
      </c>
      <c r="I282">
        <v>367.76609999999999</v>
      </c>
      <c r="J282">
        <v>-438.31009999999998</v>
      </c>
      <c r="K282">
        <v>1.1019490000000001</v>
      </c>
      <c r="L282">
        <v>368.10660000000001</v>
      </c>
      <c r="M282">
        <v>0.99957410000000002</v>
      </c>
      <c r="N282">
        <v>-2.9150800000000001E-2</v>
      </c>
      <c r="O282">
        <v>-1.3755429999999999E-3</v>
      </c>
      <c r="P282">
        <v>0.99605049999999995</v>
      </c>
      <c r="Q282">
        <v>-8.6019349999999994E-2</v>
      </c>
      <c r="R282">
        <v>-2.2003289999999998E-2</v>
      </c>
      <c r="S282">
        <v>3.0023499999999999</v>
      </c>
      <c r="T282">
        <v>-0.1071994</v>
      </c>
      <c r="U282">
        <v>-3.1707760000000001E-2</v>
      </c>
      <c r="V282">
        <v>2.060758E-2</v>
      </c>
      <c r="W282">
        <v>-5.69553E-2</v>
      </c>
      <c r="X282">
        <v>0.99816400000000005</v>
      </c>
      <c r="Y282">
        <v>9.1737390000000002E-3</v>
      </c>
      <c r="Z282">
        <v>-2.8854519999999998E-4</v>
      </c>
      <c r="AA282">
        <v>0.99995789999999996</v>
      </c>
      <c r="AB282">
        <v>17</v>
      </c>
      <c r="AC282">
        <v>32.136699999999898</v>
      </c>
      <c r="AD282">
        <v>-1.1519489999999999</v>
      </c>
      <c r="AE282">
        <v>-0.34050000000002001</v>
      </c>
      <c r="AF282">
        <v>0.29589532311898198</v>
      </c>
      <c r="AG282">
        <v>-1.1519489999999999</v>
      </c>
      <c r="AH282">
        <v>32.095903256503597</v>
      </c>
      <c r="AI282">
        <v>92.055424211471504</v>
      </c>
      <c r="AJ282">
        <v>89.471799476179797</v>
      </c>
      <c r="AK282">
        <v>32.1179318510965</v>
      </c>
      <c r="AL282">
        <v>93.265065279564993</v>
      </c>
      <c r="AM282">
        <v>88.817268858948395</v>
      </c>
      <c r="AN282">
        <v>0.999999974723773</v>
      </c>
    </row>
    <row r="283" spans="1:40" x14ac:dyDescent="0.25">
      <c r="A283" t="str">
        <f>"20190303154420307"</f>
        <v>20190303154420307</v>
      </c>
      <c r="B283" t="str">
        <f>"1551599060300493"</f>
        <v>1551599060300493</v>
      </c>
      <c r="C283" t="s">
        <v>40</v>
      </c>
      <c r="D283">
        <v>4.358816</v>
      </c>
      <c r="E283">
        <v>0.49306240000000001</v>
      </c>
      <c r="F283" t="s">
        <v>43</v>
      </c>
      <c r="G283">
        <v>-404.44920000000002</v>
      </c>
      <c r="H283">
        <v>-0.05</v>
      </c>
      <c r="I283">
        <v>367.9246</v>
      </c>
      <c r="J283">
        <v>-438.14319999999998</v>
      </c>
      <c r="K283">
        <v>1.100589</v>
      </c>
      <c r="L283">
        <v>368.10599999999999</v>
      </c>
      <c r="M283">
        <v>0.99957320000000005</v>
      </c>
      <c r="N283">
        <v>-2.916345E-2</v>
      </c>
      <c r="O283">
        <v>-1.724813E-3</v>
      </c>
      <c r="P283">
        <v>0.99634670000000003</v>
      </c>
      <c r="Q283">
        <v>-8.2975670000000001E-2</v>
      </c>
      <c r="R283">
        <v>-2.021181E-2</v>
      </c>
      <c r="S283">
        <v>3.0026860000000002</v>
      </c>
      <c r="T283">
        <v>-0.10215150000000001</v>
      </c>
      <c r="U283">
        <v>-1.61438E-2</v>
      </c>
      <c r="V283">
        <v>1.8467649999999999E-2</v>
      </c>
      <c r="W283">
        <v>-5.3891029999999999E-2</v>
      </c>
      <c r="X283">
        <v>0.99837600000000004</v>
      </c>
      <c r="Y283">
        <v>3.6469459999999999E-3</v>
      </c>
      <c r="Z283">
        <v>-1.068844E-4</v>
      </c>
      <c r="AA283">
        <v>0.99999329999999997</v>
      </c>
      <c r="AB283">
        <v>17</v>
      </c>
      <c r="AC283">
        <v>33.693999999999903</v>
      </c>
      <c r="AD283">
        <v>-1.1505889999999901</v>
      </c>
      <c r="AE283">
        <v>-0.18139999999999601</v>
      </c>
      <c r="AF283">
        <v>0.123115592074951</v>
      </c>
      <c r="AG283">
        <v>-1.1505889999999901</v>
      </c>
      <c r="AH283">
        <v>33.6550189173905</v>
      </c>
      <c r="AI283">
        <v>91.958037440060295</v>
      </c>
      <c r="AJ283">
        <v>89.7904035540801</v>
      </c>
      <c r="AK283">
        <v>33.674906248211698</v>
      </c>
      <c r="AL283">
        <v>93.089225216161196</v>
      </c>
      <c r="AM283">
        <v>88.940281273026201</v>
      </c>
      <c r="AN283">
        <v>0.99999996729349105</v>
      </c>
    </row>
    <row r="284" spans="1:40" x14ac:dyDescent="0.25">
      <c r="A284" t="str">
        <f>"20190303154420329"</f>
        <v>20190303154420329</v>
      </c>
      <c r="B284" t="str">
        <f>"1551599060320013"</f>
        <v>1551599060320013</v>
      </c>
      <c r="C284" t="s">
        <v>40</v>
      </c>
      <c r="D284">
        <v>4.2983190000000002</v>
      </c>
      <c r="E284">
        <v>0.49244159999999998</v>
      </c>
      <c r="F284" t="s">
        <v>43</v>
      </c>
      <c r="G284">
        <v>-403.08800000000002</v>
      </c>
      <c r="H284">
        <v>-0.05</v>
      </c>
      <c r="I284">
        <v>368.06040000000002</v>
      </c>
      <c r="J284">
        <v>-437.98129999999998</v>
      </c>
      <c r="K284">
        <v>1.0990629999999999</v>
      </c>
      <c r="L284">
        <v>368.1053</v>
      </c>
      <c r="M284">
        <v>0.99958219999999998</v>
      </c>
      <c r="N284">
        <v>-2.883459E-2</v>
      </c>
      <c r="O284">
        <v>-2.0735559999999998E-3</v>
      </c>
      <c r="P284">
        <v>0.99655130000000003</v>
      </c>
      <c r="Q284">
        <v>-8.0648269999999994E-2</v>
      </c>
      <c r="R284">
        <v>-1.9532919999999999E-2</v>
      </c>
      <c r="S284">
        <v>3.0026860000000002</v>
      </c>
      <c r="T284">
        <v>-9.8554489999999995E-2</v>
      </c>
      <c r="U284">
        <v>-3.90625E-3</v>
      </c>
      <c r="V284">
        <v>1.7440130000000002E-2</v>
      </c>
      <c r="W284">
        <v>-5.1887019999999999E-2</v>
      </c>
      <c r="X284">
        <v>0.99850059999999996</v>
      </c>
      <c r="Y284">
        <v>-7.7270339999999896E-4</v>
      </c>
      <c r="Z284" s="1">
        <v>3.2065160000000003E-5</v>
      </c>
      <c r="AA284">
        <v>0.99999970000000005</v>
      </c>
      <c r="AB284">
        <v>16</v>
      </c>
      <c r="AC284">
        <v>34.893299999999897</v>
      </c>
      <c r="AD284">
        <v>-1.1490629999999999</v>
      </c>
      <c r="AE284">
        <v>-4.4899999999984098E-2</v>
      </c>
      <c r="AF284">
        <v>-2.74536226235212E-2</v>
      </c>
      <c r="AG284">
        <v>-1.1490629999999999</v>
      </c>
      <c r="AH284">
        <v>34.855519576119498</v>
      </c>
      <c r="AI284">
        <v>91.888154477649294</v>
      </c>
      <c r="AJ284">
        <v>90.0451284732668</v>
      </c>
      <c r="AK284">
        <v>34.874465507024098</v>
      </c>
      <c r="AL284">
        <v>92.974243045586405</v>
      </c>
      <c r="AM284">
        <v>88.999355385785904</v>
      </c>
      <c r="AN284">
        <v>0.99999993458962599</v>
      </c>
    </row>
    <row r="285" spans="1:40" x14ac:dyDescent="0.25">
      <c r="A285" t="str">
        <f>"20190303154420354"</f>
        <v>20190303154420354</v>
      </c>
      <c r="B285" t="str">
        <f>"1551599060350269"</f>
        <v>1551599060350269</v>
      </c>
      <c r="C285" t="s">
        <v>40</v>
      </c>
      <c r="D285">
        <v>4.2923669999999996</v>
      </c>
      <c r="E285">
        <v>0.48664990000000002</v>
      </c>
      <c r="F285" t="s">
        <v>43</v>
      </c>
      <c r="G285">
        <v>-401.9504</v>
      </c>
      <c r="H285">
        <v>-0.05</v>
      </c>
      <c r="I285">
        <v>368.14409999999998</v>
      </c>
      <c r="J285">
        <v>-437.79899999999998</v>
      </c>
      <c r="K285">
        <v>1.0970599999999999</v>
      </c>
      <c r="L285">
        <v>368.1044</v>
      </c>
      <c r="M285">
        <v>0.99960640000000001</v>
      </c>
      <c r="N285">
        <v>-2.795019E-2</v>
      </c>
      <c r="O285">
        <v>-2.4723089999999998E-3</v>
      </c>
      <c r="P285">
        <v>0.99670919999999996</v>
      </c>
      <c r="Q285">
        <v>-7.843137E-2</v>
      </c>
      <c r="R285">
        <v>-2.0483000000000001E-2</v>
      </c>
      <c r="S285">
        <v>3.0026549999999999</v>
      </c>
      <c r="T285">
        <v>-9.5757839999999997E-2</v>
      </c>
      <c r="U285">
        <v>3.2348630000000001E-3</v>
      </c>
      <c r="V285">
        <v>1.7991839999999999E-2</v>
      </c>
      <c r="W285">
        <v>-5.0550409999999997E-2</v>
      </c>
      <c r="X285">
        <v>0.99855939999999999</v>
      </c>
      <c r="Y285">
        <v>-3.5471999999999999E-3</v>
      </c>
      <c r="Z285">
        <v>1.15865E-4</v>
      </c>
      <c r="AA285">
        <v>0.99999369999999999</v>
      </c>
      <c r="AB285">
        <v>16</v>
      </c>
      <c r="AC285">
        <v>35.848599999999998</v>
      </c>
      <c r="AD285">
        <v>-1.14706</v>
      </c>
      <c r="AE285">
        <v>3.9699999999982E-2</v>
      </c>
      <c r="AF285">
        <v>-0.12823203419997301</v>
      </c>
      <c r="AG285">
        <v>-1.14706</v>
      </c>
      <c r="AH285">
        <v>35.8117270889907</v>
      </c>
      <c r="AI285">
        <v>91.834561458669896</v>
      </c>
      <c r="AJ285">
        <v>90.205159693617603</v>
      </c>
      <c r="AK285">
        <v>35.830322175422097</v>
      </c>
      <c r="AL285">
        <v>92.897560191970101</v>
      </c>
      <c r="AM285">
        <v>88.967767999939795</v>
      </c>
      <c r="AN285">
        <v>0.99999996279305603</v>
      </c>
    </row>
    <row r="286" spans="1:40" x14ac:dyDescent="0.25">
      <c r="A286" t="str">
        <f>"20190303154420375"</f>
        <v>20190303154420375</v>
      </c>
      <c r="B286" t="str">
        <f>"1551599060370765"</f>
        <v>1551599060370765</v>
      </c>
      <c r="C286" t="s">
        <v>40</v>
      </c>
      <c r="D286">
        <v>4.2493069999999999</v>
      </c>
      <c r="E286">
        <v>0.48746450000000002</v>
      </c>
      <c r="F286" t="s">
        <v>43</v>
      </c>
      <c r="G286">
        <v>-412.9633</v>
      </c>
      <c r="H286">
        <v>-0.05</v>
      </c>
      <c r="I286">
        <v>368.48610000000002</v>
      </c>
      <c r="J286">
        <v>-437.64109999999999</v>
      </c>
      <c r="K286">
        <v>1.0951310000000001</v>
      </c>
      <c r="L286">
        <v>368.10359999999997</v>
      </c>
      <c r="M286">
        <v>0.9996353</v>
      </c>
      <c r="N286">
        <v>-2.685908E-2</v>
      </c>
      <c r="O286">
        <v>-2.8135429999999999E-3</v>
      </c>
      <c r="P286">
        <v>0.99673690000000004</v>
      </c>
      <c r="Q286">
        <v>-7.7600520000000006E-2</v>
      </c>
      <c r="R286">
        <v>-2.2223819999999998E-2</v>
      </c>
      <c r="S286">
        <v>2.999908</v>
      </c>
      <c r="T286">
        <v>-0.1385535</v>
      </c>
      <c r="U286">
        <v>4.6112060000000003E-2</v>
      </c>
      <c r="V286">
        <v>1.939165E-2</v>
      </c>
      <c r="W286">
        <v>-5.0809699999999999E-2</v>
      </c>
      <c r="X286">
        <v>0.99852010000000002</v>
      </c>
      <c r="Y286">
        <v>-1.8152370000000001E-2</v>
      </c>
      <c r="Z286">
        <v>7.1729409999999997E-4</v>
      </c>
      <c r="AA286">
        <v>0.99983500000000003</v>
      </c>
      <c r="AB286">
        <v>16</v>
      </c>
      <c r="AC286">
        <v>24.677799999999898</v>
      </c>
      <c r="AD286">
        <v>-1.1451309999999999</v>
      </c>
      <c r="AE286">
        <v>0.38250000000004902</v>
      </c>
      <c r="AF286">
        <v>-0.450984736039516</v>
      </c>
      <c r="AG286">
        <v>-1.1451309999999999</v>
      </c>
      <c r="AH286">
        <v>24.6236172496275</v>
      </c>
      <c r="AI286">
        <v>92.662198480293796</v>
      </c>
      <c r="AJ286">
        <v>91.049262303019603</v>
      </c>
      <c r="AK286">
        <v>24.654355369699999</v>
      </c>
      <c r="AL286">
        <v>92.912435346969801</v>
      </c>
      <c r="AM286">
        <v>88.887433457678398</v>
      </c>
      <c r="AN286">
        <v>1.0000000259039099</v>
      </c>
    </row>
    <row r="287" spans="1:40" x14ac:dyDescent="0.25">
      <c r="A287" t="str">
        <f>"20190303154420398"</f>
        <v>20190303154420398</v>
      </c>
      <c r="B287" t="str">
        <f>"1551599060390285"</f>
        <v>1551599060390285</v>
      </c>
      <c r="C287" t="s">
        <v>40</v>
      </c>
      <c r="D287">
        <v>4.2281649999999997</v>
      </c>
      <c r="E287">
        <v>0.48855599999999999</v>
      </c>
      <c r="F287" t="s">
        <v>43</v>
      </c>
      <c r="G287">
        <v>-411.88459999999998</v>
      </c>
      <c r="H287">
        <v>-0.05</v>
      </c>
      <c r="I287">
        <v>368.39909999999998</v>
      </c>
      <c r="J287">
        <v>-437.48020000000002</v>
      </c>
      <c r="K287">
        <v>1.093045</v>
      </c>
      <c r="L287">
        <v>368.10270000000003</v>
      </c>
      <c r="M287">
        <v>0.99966659999999996</v>
      </c>
      <c r="N287">
        <v>-2.563269E-2</v>
      </c>
      <c r="O287">
        <v>-3.1630019999999998E-3</v>
      </c>
      <c r="P287">
        <v>0.99672479999999997</v>
      </c>
      <c r="Q287">
        <v>-7.6701099999999994E-2</v>
      </c>
      <c r="R287">
        <v>-2.5628629999999999E-2</v>
      </c>
      <c r="S287">
        <v>3.0001829999999998</v>
      </c>
      <c r="T287">
        <v>-0.1333877</v>
      </c>
      <c r="U287">
        <v>3.4423830000000002E-2</v>
      </c>
      <c r="V287">
        <v>2.2447310000000002E-2</v>
      </c>
      <c r="W287">
        <v>-5.1137299999999997E-2</v>
      </c>
      <c r="X287">
        <v>0.99843930000000003</v>
      </c>
      <c r="Y287">
        <v>-1.4613599999999999E-2</v>
      </c>
      <c r="Z287">
        <v>5.7164729999999999E-4</v>
      </c>
      <c r="AA287">
        <v>0.99989309999999998</v>
      </c>
      <c r="AB287">
        <v>17</v>
      </c>
      <c r="AC287">
        <v>25.595600000000001</v>
      </c>
      <c r="AD287">
        <v>-1.1430450000000001</v>
      </c>
      <c r="AE287">
        <v>0.29639999999994798</v>
      </c>
      <c r="AF287">
        <v>-0.37663301756909101</v>
      </c>
      <c r="AG287">
        <v>-1.1430450000000001</v>
      </c>
      <c r="AH287">
        <v>25.5435986391436</v>
      </c>
      <c r="AI287">
        <v>92.561929085338903</v>
      </c>
      <c r="AJ287">
        <v>90.844748580673397</v>
      </c>
      <c r="AK287">
        <v>25.571934532600601</v>
      </c>
      <c r="AL287">
        <v>92.931230039307707</v>
      </c>
      <c r="AM287">
        <v>88.7120704342408</v>
      </c>
      <c r="AN287">
        <v>0.99999997048100697</v>
      </c>
    </row>
    <row r="288" spans="1:40" x14ac:dyDescent="0.25">
      <c r="A288" t="str">
        <f>"20190303154420422"</f>
        <v>20190303154420422</v>
      </c>
      <c r="B288" t="str">
        <f>"1551599060410782"</f>
        <v>1551599060410782</v>
      </c>
      <c r="C288" t="s">
        <v>40</v>
      </c>
      <c r="D288">
        <v>4.2275689999999999</v>
      </c>
      <c r="E288">
        <v>0.4889619</v>
      </c>
      <c r="F288" t="s">
        <v>43</v>
      </c>
      <c r="G288">
        <v>-408.52890000000002</v>
      </c>
      <c r="H288">
        <v>-0.05</v>
      </c>
      <c r="I288">
        <v>368.24959999999999</v>
      </c>
      <c r="J288">
        <v>-437.30290000000002</v>
      </c>
      <c r="K288">
        <v>1.0906929999999999</v>
      </c>
      <c r="L288">
        <v>368.10169999999999</v>
      </c>
      <c r="M288">
        <v>0.99970000000000003</v>
      </c>
      <c r="N288">
        <v>-2.4237720000000001E-2</v>
      </c>
      <c r="O288">
        <v>-3.5789419999999999E-3</v>
      </c>
      <c r="P288">
        <v>0.99672839999999996</v>
      </c>
      <c r="Q288">
        <v>-7.5591060000000002E-2</v>
      </c>
      <c r="R288">
        <v>-2.8618749999999998E-2</v>
      </c>
      <c r="S288">
        <v>3.001099</v>
      </c>
      <c r="T288">
        <v>-0.1184883</v>
      </c>
      <c r="U288">
        <v>1.522827E-2</v>
      </c>
      <c r="V288">
        <v>2.5021479999999999E-2</v>
      </c>
      <c r="W288">
        <v>-5.1422130000000003E-2</v>
      </c>
      <c r="X288">
        <v>0.99836349999999996</v>
      </c>
      <c r="Y288">
        <v>-8.642795E-3</v>
      </c>
      <c r="Z288">
        <v>3.298733E-4</v>
      </c>
      <c r="AA288">
        <v>0.99996260000000003</v>
      </c>
      <c r="AB288">
        <v>17</v>
      </c>
      <c r="AC288">
        <v>28.774000000000001</v>
      </c>
      <c r="AD288">
        <v>-1.140693</v>
      </c>
      <c r="AE288">
        <v>0.14789999999999201</v>
      </c>
      <c r="AF288">
        <v>-0.25051607645226898</v>
      </c>
      <c r="AG288">
        <v>-1.140693</v>
      </c>
      <c r="AH288">
        <v>28.728138693793099</v>
      </c>
      <c r="AI288">
        <v>92.273732369651398</v>
      </c>
      <c r="AJ288">
        <v>90.499619910113907</v>
      </c>
      <c r="AK288">
        <v>28.751867619941098</v>
      </c>
      <c r="AL288">
        <v>92.947571026709696</v>
      </c>
      <c r="AM288">
        <v>88.564325371241594</v>
      </c>
      <c r="AN288">
        <v>0.999999994023688</v>
      </c>
    </row>
    <row r="289" spans="1:40" x14ac:dyDescent="0.25">
      <c r="A289" t="str">
        <f>"20190303154420444"</f>
        <v>20190303154420444</v>
      </c>
      <c r="B289" t="str">
        <f>"1551599060440061"</f>
        <v>1551599060440061</v>
      </c>
      <c r="C289" t="s">
        <v>40</v>
      </c>
      <c r="D289">
        <v>4.1930209999999999</v>
      </c>
      <c r="E289">
        <v>0.48924469999999998</v>
      </c>
      <c r="F289" t="s">
        <v>43</v>
      </c>
      <c r="G289">
        <v>-405.81029999999998</v>
      </c>
      <c r="H289">
        <v>-0.05</v>
      </c>
      <c r="I289">
        <v>368.13339999999999</v>
      </c>
      <c r="J289">
        <v>-437.1361</v>
      </c>
      <c r="K289">
        <v>1.0884849999999999</v>
      </c>
      <c r="L289">
        <v>368.10059999999999</v>
      </c>
      <c r="M289">
        <v>0.99973080000000003</v>
      </c>
      <c r="N289">
        <v>-2.284686E-2</v>
      </c>
      <c r="O289">
        <v>-4.0367529999999997E-3</v>
      </c>
      <c r="P289">
        <v>0.99681249999999999</v>
      </c>
      <c r="Q289">
        <v>-7.3139270000000006E-2</v>
      </c>
      <c r="R289">
        <v>-3.1869750000000002E-2</v>
      </c>
      <c r="S289">
        <v>3.0016479999999999</v>
      </c>
      <c r="T289">
        <v>-0.10872270000000001</v>
      </c>
      <c r="U289">
        <v>3.0212400000000001E-3</v>
      </c>
      <c r="V289">
        <v>2.781382E-2</v>
      </c>
      <c r="W289">
        <v>-5.03604E-2</v>
      </c>
      <c r="X289">
        <v>0.9983438</v>
      </c>
      <c r="Y289">
        <v>-5.0385739999999997E-3</v>
      </c>
      <c r="Z289">
        <v>2.027562E-4</v>
      </c>
      <c r="AA289">
        <v>0.99998730000000002</v>
      </c>
      <c r="AB289">
        <v>17</v>
      </c>
      <c r="AC289">
        <v>31.325800000000001</v>
      </c>
      <c r="AD289">
        <v>-1.138485</v>
      </c>
      <c r="AE289">
        <v>3.2800000000008801E-2</v>
      </c>
      <c r="AF289">
        <v>-0.159077154060731</v>
      </c>
      <c r="AG289">
        <v>-1.138485</v>
      </c>
      <c r="AH289">
        <v>31.284090952533099</v>
      </c>
      <c r="AI289">
        <v>92.0841510161694</v>
      </c>
      <c r="AJ289">
        <v>90.291342043595705</v>
      </c>
      <c r="AK289">
        <v>31.305204046013401</v>
      </c>
      <c r="AL289">
        <v>92.886659253516001</v>
      </c>
      <c r="AM289">
        <v>88.404154579990106</v>
      </c>
      <c r="AN289">
        <v>1.0000000607347901</v>
      </c>
    </row>
    <row r="290" spans="1:40" x14ac:dyDescent="0.25">
      <c r="A290" t="str">
        <f>"20190303154420463"</f>
        <v>20190303154420463</v>
      </c>
      <c r="B290" t="str">
        <f>"1551599060450797"</f>
        <v>1551599060450797</v>
      </c>
      <c r="C290" t="s">
        <v>40</v>
      </c>
      <c r="D290">
        <v>4.2185699999999997</v>
      </c>
      <c r="E290">
        <v>0.48925600000000002</v>
      </c>
      <c r="F290" t="s">
        <v>43</v>
      </c>
      <c r="G290">
        <v>-401.4341</v>
      </c>
      <c r="H290">
        <v>-0.05</v>
      </c>
      <c r="I290">
        <v>367.99239999999998</v>
      </c>
      <c r="J290">
        <v>-436.99040000000002</v>
      </c>
      <c r="K290">
        <v>1.0866020000000001</v>
      </c>
      <c r="L290">
        <v>368.09949999999998</v>
      </c>
      <c r="M290">
        <v>0.99975700000000001</v>
      </c>
      <c r="N290">
        <v>-2.1584030000000001E-2</v>
      </c>
      <c r="O290">
        <v>-4.4766620000000002E-3</v>
      </c>
      <c r="P290">
        <v>0.99698050000000005</v>
      </c>
      <c r="Q290">
        <v>-7.0450960000000007E-2</v>
      </c>
      <c r="R290">
        <v>-3.2656709999999999E-2</v>
      </c>
      <c r="S290">
        <v>3.002319</v>
      </c>
      <c r="T290">
        <v>-9.5739480000000002E-2</v>
      </c>
      <c r="U290">
        <v>-9.0942379999999993E-3</v>
      </c>
      <c r="V290">
        <v>2.8159139999999999E-2</v>
      </c>
      <c r="W290">
        <v>-4.8931820000000001E-2</v>
      </c>
      <c r="X290">
        <v>0.99840510000000005</v>
      </c>
      <c r="Y290">
        <v>-1.447187E-3</v>
      </c>
      <c r="Z290" s="1">
        <v>8.4783950000000003E-5</v>
      </c>
      <c r="AA290">
        <v>0.99999890000000002</v>
      </c>
      <c r="AB290">
        <v>17</v>
      </c>
      <c r="AC290">
        <v>35.5563</v>
      </c>
      <c r="AD290">
        <v>-1.1366019999999999</v>
      </c>
      <c r="AE290">
        <v>-0.107100000000002</v>
      </c>
      <c r="AF290">
        <v>-5.20585081354039E-2</v>
      </c>
      <c r="AG290">
        <v>-1.1366019999999999</v>
      </c>
      <c r="AH290">
        <v>35.520127485933202</v>
      </c>
      <c r="AI290">
        <v>91.832769731859301</v>
      </c>
      <c r="AJ290">
        <v>90.083972971928404</v>
      </c>
      <c r="AK290">
        <v>35.538345921154303</v>
      </c>
      <c r="AL290">
        <v>92.804706753647096</v>
      </c>
      <c r="AM290">
        <v>88.384451085349099</v>
      </c>
      <c r="AN290">
        <v>1.0000000019400299</v>
      </c>
    </row>
    <row r="291" spans="1:40" x14ac:dyDescent="0.25">
      <c r="A291" t="str">
        <f>"20190303154420485"</f>
        <v>20190303154420485</v>
      </c>
      <c r="B291" t="str">
        <f>"1551599060480077"</f>
        <v>1551599060480077</v>
      </c>
      <c r="C291" t="s">
        <v>40</v>
      </c>
      <c r="D291">
        <v>4.1811089999999904</v>
      </c>
      <c r="E291">
        <v>0.48970079999999999</v>
      </c>
      <c r="F291" t="s">
        <v>41</v>
      </c>
      <c r="G291">
        <v>-398.8877</v>
      </c>
      <c r="H291" s="1">
        <v>-8.0744209999999897E-7</v>
      </c>
      <c r="I291">
        <v>367.95190000000002</v>
      </c>
      <c r="J291">
        <v>-436.82749999999999</v>
      </c>
      <c r="K291">
        <v>1.0846039999999999</v>
      </c>
      <c r="L291">
        <v>368.09820000000002</v>
      </c>
      <c r="M291">
        <v>0.9997838</v>
      </c>
      <c r="N291">
        <v>-2.0189530000000001E-2</v>
      </c>
      <c r="O291">
        <v>-5.0136269999999997E-3</v>
      </c>
      <c r="P291">
        <v>0.99710799999999999</v>
      </c>
      <c r="Q291">
        <v>-6.9328520000000005E-2</v>
      </c>
      <c r="R291">
        <v>-3.1139859999999998E-2</v>
      </c>
      <c r="S291">
        <v>3.0026250000000001</v>
      </c>
      <c r="T291">
        <v>-8.5627789999999995E-2</v>
      </c>
      <c r="U291">
        <v>-1.1627200000000001E-2</v>
      </c>
      <c r="V291">
        <v>2.6101139999999998E-2</v>
      </c>
      <c r="W291">
        <v>-4.9200519999999998E-2</v>
      </c>
      <c r="X291">
        <v>0.9984478</v>
      </c>
      <c r="Y291">
        <v>-1.141378E-3</v>
      </c>
      <c r="Z291" s="1">
        <v>6.9517710000000001E-5</v>
      </c>
      <c r="AA291">
        <v>0.99999930000000004</v>
      </c>
      <c r="AB291">
        <v>17</v>
      </c>
      <c r="AC291">
        <v>37.939799999999899</v>
      </c>
      <c r="AD291">
        <v>-1.0846048074421</v>
      </c>
      <c r="AE291">
        <v>-0.14629999999999599</v>
      </c>
      <c r="AF291">
        <v>-4.39206930649911E-2</v>
      </c>
      <c r="AG291">
        <v>-1.0846048074421</v>
      </c>
      <c r="AH291">
        <v>37.909076017360199</v>
      </c>
      <c r="AI291">
        <v>91.638823596943794</v>
      </c>
      <c r="AJ291">
        <v>90.066381708137698</v>
      </c>
      <c r="AK291">
        <v>37.924613921641999</v>
      </c>
      <c r="AL291">
        <v>92.820120743055796</v>
      </c>
      <c r="AM291">
        <v>88.502530992734705</v>
      </c>
      <c r="AN291">
        <v>0.99999998500120402</v>
      </c>
    </row>
    <row r="292" spans="1:40" x14ac:dyDescent="0.25">
      <c r="A292" t="str">
        <f>"20190303154420508"</f>
        <v>20190303154420508</v>
      </c>
      <c r="B292" t="str">
        <f>"1551599060500573"</f>
        <v>1551599060500573</v>
      </c>
      <c r="C292" t="s">
        <v>40</v>
      </c>
      <c r="D292">
        <v>4.1968360000000002</v>
      </c>
      <c r="E292">
        <v>0.49029230000000001</v>
      </c>
      <c r="F292" t="s">
        <v>41</v>
      </c>
      <c r="G292">
        <v>-393.4744</v>
      </c>
      <c r="H292" s="1">
        <v>-3.0766159999999999E-6</v>
      </c>
      <c r="I292">
        <v>367.95400000000001</v>
      </c>
      <c r="J292">
        <v>-436.66030000000001</v>
      </c>
      <c r="K292">
        <v>1.0827230000000001</v>
      </c>
      <c r="L292">
        <v>368.09660000000002</v>
      </c>
      <c r="M292">
        <v>0.99980659999999999</v>
      </c>
      <c r="N292">
        <v>-1.8846620000000001E-2</v>
      </c>
      <c r="O292">
        <v>-5.6174149999999997E-3</v>
      </c>
      <c r="P292">
        <v>0.99717900000000004</v>
      </c>
      <c r="Q292">
        <v>-6.9425840000000003E-2</v>
      </c>
      <c r="R292">
        <v>-2.8533369999999999E-2</v>
      </c>
      <c r="S292">
        <v>3.0031430000000001</v>
      </c>
      <c r="T292">
        <v>-7.5132370000000004E-2</v>
      </c>
      <c r="U292">
        <v>-9.9792479999999996E-3</v>
      </c>
      <c r="V292">
        <v>2.288575E-2</v>
      </c>
      <c r="W292">
        <v>-5.0637580000000001E-2</v>
      </c>
      <c r="X292">
        <v>0.99845490000000003</v>
      </c>
      <c r="Y292">
        <v>-2.2941530000000002E-3</v>
      </c>
      <c r="Z292" s="1">
        <v>8.4957059999999997E-5</v>
      </c>
      <c r="AA292">
        <v>0.99999740000000004</v>
      </c>
      <c r="AB292">
        <v>17</v>
      </c>
      <c r="AC292">
        <v>43.185899999999997</v>
      </c>
      <c r="AD292">
        <v>-1.0827260766159901</v>
      </c>
      <c r="AE292">
        <v>-0.14260000000001499</v>
      </c>
      <c r="AF292">
        <v>-9.9975629123908005E-2</v>
      </c>
      <c r="AG292">
        <v>-1.0827260766159901</v>
      </c>
      <c r="AH292">
        <v>43.158891501775997</v>
      </c>
      <c r="AI292">
        <v>91.437072566135001</v>
      </c>
      <c r="AJ292">
        <v>90.132722856355599</v>
      </c>
      <c r="AK292">
        <v>43.172586285112402</v>
      </c>
      <c r="AL292">
        <v>92.902560802876593</v>
      </c>
      <c r="AM292">
        <v>88.6869438746008</v>
      </c>
      <c r="AN292">
        <v>1.00000005469766</v>
      </c>
    </row>
    <row r="293" spans="1:40" x14ac:dyDescent="0.25">
      <c r="A293" t="str">
        <f>"20190303154420529"</f>
        <v>20190303154420529</v>
      </c>
      <c r="B293" t="str">
        <f>"1551599060521069"</f>
        <v>1551599060521069</v>
      </c>
      <c r="C293" t="s">
        <v>40</v>
      </c>
      <c r="D293">
        <v>4.2249160000000003</v>
      </c>
      <c r="E293">
        <v>0.49133529999999997</v>
      </c>
      <c r="F293" t="s">
        <v>41</v>
      </c>
      <c r="G293">
        <v>-392.18860000000001</v>
      </c>
      <c r="H293" s="1">
        <v>-3.6205919999999999E-6</v>
      </c>
      <c r="I293">
        <v>367.99709999999999</v>
      </c>
      <c r="J293">
        <v>-436.49520000000001</v>
      </c>
      <c r="K293">
        <v>1.0810569999999999</v>
      </c>
      <c r="L293">
        <v>368.09500000000003</v>
      </c>
      <c r="M293">
        <v>0.99982499999999996</v>
      </c>
      <c r="N293">
        <v>-1.7625680000000001E-2</v>
      </c>
      <c r="O293">
        <v>-6.2654140000000004E-3</v>
      </c>
      <c r="P293">
        <v>0.99724380000000001</v>
      </c>
      <c r="Q293">
        <v>-6.9075910000000004E-2</v>
      </c>
      <c r="R293">
        <v>-2.7077819999999999E-2</v>
      </c>
      <c r="S293">
        <v>3.0032040000000002</v>
      </c>
      <c r="T293">
        <v>-7.3117139999999997E-2</v>
      </c>
      <c r="U293">
        <v>-6.7138669999999897E-3</v>
      </c>
      <c r="V293">
        <v>2.07777E-2</v>
      </c>
      <c r="W293">
        <v>-5.1505860000000001E-2</v>
      </c>
      <c r="X293">
        <v>0.99845649999999997</v>
      </c>
      <c r="Y293">
        <v>-4.0286549999999999E-3</v>
      </c>
      <c r="Z293">
        <v>1.2662949999999999E-4</v>
      </c>
      <c r="AA293">
        <v>0.99999190000000004</v>
      </c>
      <c r="AB293">
        <v>17</v>
      </c>
      <c r="AC293">
        <v>44.306600000000003</v>
      </c>
      <c r="AD293">
        <v>-1.0810606205919999</v>
      </c>
      <c r="AE293">
        <v>-9.7900000000038206E-2</v>
      </c>
      <c r="AF293">
        <v>-0.17963730682127901</v>
      </c>
      <c r="AG293">
        <v>-1.0810606205919999</v>
      </c>
      <c r="AH293">
        <v>44.279982157969201</v>
      </c>
      <c r="AI293">
        <v>91.398541652060402</v>
      </c>
      <c r="AJ293">
        <v>90.232439187152593</v>
      </c>
      <c r="AK293">
        <v>44.293541081488101</v>
      </c>
      <c r="AL293">
        <v>92.952374825985999</v>
      </c>
      <c r="AM293">
        <v>88.807857209421101</v>
      </c>
      <c r="AN293">
        <v>0.999999974411939</v>
      </c>
    </row>
    <row r="294" spans="1:40" x14ac:dyDescent="0.25">
      <c r="A294" t="str">
        <f>"20190303154420620"</f>
        <v>20190303154420620</v>
      </c>
      <c r="B294" t="str">
        <f>"1551599060610862"</f>
        <v>1551599060610862</v>
      </c>
      <c r="C294" t="s">
        <v>40</v>
      </c>
      <c r="D294">
        <v>4.3786420000000001</v>
      </c>
      <c r="E294">
        <v>0.49401430000000002</v>
      </c>
      <c r="F294" t="s">
        <v>41</v>
      </c>
      <c r="G294">
        <v>-387.4092</v>
      </c>
      <c r="H294" s="1">
        <v>-1.3956400000000001E-6</v>
      </c>
      <c r="I294">
        <v>367.9144</v>
      </c>
      <c r="J294">
        <v>-435.80439999999999</v>
      </c>
      <c r="K294">
        <v>1.075993</v>
      </c>
      <c r="L294">
        <v>368.0865</v>
      </c>
      <c r="M294">
        <v>0.99986900000000001</v>
      </c>
      <c r="N294">
        <v>-1.3318409999999999E-2</v>
      </c>
      <c r="O294">
        <v>-9.1995559999999994E-3</v>
      </c>
      <c r="P294">
        <v>0.99725719999999995</v>
      </c>
      <c r="Q294">
        <v>-6.7453620000000006E-2</v>
      </c>
      <c r="R294">
        <v>-3.0470319999999999E-2</v>
      </c>
      <c r="S294">
        <v>3.0034179999999999</v>
      </c>
      <c r="T294">
        <v>-6.6146490000000002E-2</v>
      </c>
      <c r="U294">
        <v>-1.1047360000000001E-2</v>
      </c>
      <c r="V294">
        <v>2.124508E-2</v>
      </c>
      <c r="W294">
        <v>-5.4181670000000001E-2</v>
      </c>
      <c r="X294">
        <v>0.99830509999999995</v>
      </c>
      <c r="Y294">
        <v>-5.5197309999999999E-3</v>
      </c>
      <c r="Z294">
        <v>1.77596899999999E-4</v>
      </c>
      <c r="AA294">
        <v>0.99998469999999995</v>
      </c>
      <c r="AB294">
        <v>17</v>
      </c>
      <c r="AC294">
        <v>48.395199999999903</v>
      </c>
      <c r="AD294">
        <v>-1.07599439564</v>
      </c>
      <c r="AE294">
        <v>-0.1721</v>
      </c>
      <c r="AF294">
        <v>-0.27302615856583501</v>
      </c>
      <c r="AG294">
        <v>-1.07599439564</v>
      </c>
      <c r="AH294">
        <v>48.3708243270829</v>
      </c>
      <c r="AI294">
        <v>91.274296878007704</v>
      </c>
      <c r="AJ294">
        <v>90.323399087644802</v>
      </c>
      <c r="AK294">
        <v>48.383560775373098</v>
      </c>
      <c r="AL294">
        <v>93.105901802237099</v>
      </c>
      <c r="AM294">
        <v>88.7808639765653</v>
      </c>
      <c r="AN294">
        <v>1.0000000397371001</v>
      </c>
    </row>
    <row r="295" spans="1:40" x14ac:dyDescent="0.25">
      <c r="A295" t="str">
        <f>"20190303154420645"</f>
        <v>20190303154420645</v>
      </c>
      <c r="B295" t="str">
        <f>"1551599060640141"</f>
        <v>1551599060640141</v>
      </c>
      <c r="C295" t="s">
        <v>40</v>
      </c>
      <c r="D295">
        <v>4.160812</v>
      </c>
      <c r="E295">
        <v>0.49645020000000001</v>
      </c>
      <c r="F295" t="s">
        <v>41</v>
      </c>
      <c r="G295">
        <v>-384.10950000000003</v>
      </c>
      <c r="H295" s="1">
        <v>-2.9100609999999999E-6</v>
      </c>
      <c r="I295">
        <v>367.3571</v>
      </c>
      <c r="J295">
        <v>-435.61500000000001</v>
      </c>
      <c r="K295">
        <v>1.0751010000000001</v>
      </c>
      <c r="L295">
        <v>368.08390000000003</v>
      </c>
      <c r="M295">
        <v>0.99987530000000002</v>
      </c>
      <c r="N295">
        <v>-1.236928E-2</v>
      </c>
      <c r="O295">
        <v>-9.833016E-3</v>
      </c>
      <c r="P295">
        <v>0.99704179999999998</v>
      </c>
      <c r="Q295">
        <v>-6.9807930000000004E-2</v>
      </c>
      <c r="R295">
        <v>-3.2171119999999997E-2</v>
      </c>
      <c r="S295">
        <v>3.0027469999999998</v>
      </c>
      <c r="T295">
        <v>-6.2500120000000006E-2</v>
      </c>
      <c r="U295">
        <v>-4.2358399999999997E-2</v>
      </c>
      <c r="V295">
        <v>2.232543E-2</v>
      </c>
      <c r="W295">
        <v>-5.7481919999999999E-2</v>
      </c>
      <c r="X295">
        <v>0.99809689999999995</v>
      </c>
      <c r="Y295">
        <v>4.2705529999999998E-3</v>
      </c>
      <c r="Z295" s="1">
        <v>1.214905E-5</v>
      </c>
      <c r="AA295">
        <v>0.99999090000000002</v>
      </c>
      <c r="AB295">
        <v>17</v>
      </c>
      <c r="AC295">
        <v>51.505499999999898</v>
      </c>
      <c r="AD295">
        <v>-1.075103910061</v>
      </c>
      <c r="AE295">
        <v>-0.72680000000002498</v>
      </c>
      <c r="AF295">
        <v>0.22017586755495999</v>
      </c>
      <c r="AG295">
        <v>-1.075103910061</v>
      </c>
      <c r="AH295">
        <v>51.487727701808097</v>
      </c>
      <c r="AI295">
        <v>91.196195796415495</v>
      </c>
      <c r="AJ295">
        <v>89.754988778305403</v>
      </c>
      <c r="AK295">
        <v>51.499421644573999</v>
      </c>
      <c r="AL295">
        <v>93.295287785967204</v>
      </c>
      <c r="AM295">
        <v>88.718621761974902</v>
      </c>
      <c r="AN295">
        <v>1.00000000887059</v>
      </c>
    </row>
    <row r="296" spans="1:40" x14ac:dyDescent="0.25">
      <c r="A296" t="str">
        <f>"20190303154420665"</f>
        <v>20190303154420665</v>
      </c>
      <c r="B296" t="str">
        <f>"1551599060660637"</f>
        <v>1551599060660637</v>
      </c>
      <c r="C296" t="s">
        <v>40</v>
      </c>
      <c r="D296">
        <v>4.2578569999999996</v>
      </c>
      <c r="E296">
        <v>0.49839220000000001</v>
      </c>
      <c r="F296" t="s">
        <v>41</v>
      </c>
      <c r="G296">
        <v>-387.74889999999999</v>
      </c>
      <c r="H296" s="1">
        <v>-1.444019E-6</v>
      </c>
      <c r="I296">
        <v>367.01580000000001</v>
      </c>
      <c r="J296">
        <v>-435.45839999999998</v>
      </c>
      <c r="K296">
        <v>1.0744830000000001</v>
      </c>
      <c r="L296">
        <v>368.08190000000002</v>
      </c>
      <c r="M296">
        <v>0.99987950000000003</v>
      </c>
      <c r="N296">
        <v>-1.165689E-2</v>
      </c>
      <c r="O296">
        <v>-1.0248449999999999E-2</v>
      </c>
      <c r="P296">
        <v>0.9967762</v>
      </c>
      <c r="Q296">
        <v>-7.2901779999999999E-2</v>
      </c>
      <c r="R296">
        <v>-3.3509160000000003E-2</v>
      </c>
      <c r="S296">
        <v>3.0020449999999999</v>
      </c>
      <c r="T296">
        <v>-6.7427749999999995E-2</v>
      </c>
      <c r="U296">
        <v>-6.6986080000000003E-2</v>
      </c>
      <c r="V296">
        <v>2.326143E-2</v>
      </c>
      <c r="W296">
        <v>-6.1285399999999997E-2</v>
      </c>
      <c r="X296">
        <v>0.99784919999999999</v>
      </c>
      <c r="Y296">
        <v>1.205615E-2</v>
      </c>
      <c r="Z296" s="1">
        <v>-9.4986329999999998E-5</v>
      </c>
      <c r="AA296">
        <v>0.99992729999999996</v>
      </c>
      <c r="AB296">
        <v>17</v>
      </c>
      <c r="AC296">
        <v>47.709499999999899</v>
      </c>
      <c r="AD296">
        <v>-1.074484444019</v>
      </c>
      <c r="AE296">
        <v>-1.0661</v>
      </c>
      <c r="AF296">
        <v>0.57676993887763695</v>
      </c>
      <c r="AG296">
        <v>-1.074484444019</v>
      </c>
      <c r="AH296">
        <v>47.6937419055403</v>
      </c>
      <c r="AI296">
        <v>91.290494520341298</v>
      </c>
      <c r="AJ296">
        <v>89.307144478445906</v>
      </c>
      <c r="AK296">
        <v>47.709330296443298</v>
      </c>
      <c r="AL296">
        <v>93.513596528191499</v>
      </c>
      <c r="AM296">
        <v>88.664587375588695</v>
      </c>
      <c r="AN296">
        <v>1.00000001015972</v>
      </c>
    </row>
    <row r="297" spans="1:40" x14ac:dyDescent="0.25">
      <c r="A297" t="str">
        <f>"20190303154420686"</f>
        <v>20190303154420686</v>
      </c>
      <c r="B297" t="str">
        <f>"1551599060680157"</f>
        <v>1551599060680157</v>
      </c>
      <c r="C297" t="s">
        <v>40</v>
      </c>
      <c r="D297">
        <v>4.2997290000000001</v>
      </c>
      <c r="E297">
        <v>0.49916139999999998</v>
      </c>
      <c r="F297" t="s">
        <v>41</v>
      </c>
      <c r="G297">
        <v>-390.90010000000001</v>
      </c>
      <c r="H297" s="1">
        <v>-4.3859669999999997E-6</v>
      </c>
      <c r="I297">
        <v>366.79829999999998</v>
      </c>
      <c r="J297">
        <v>-435.28870000000001</v>
      </c>
      <c r="K297">
        <v>1.073923</v>
      </c>
      <c r="L297">
        <v>368.0797</v>
      </c>
      <c r="M297">
        <v>0.99988390000000005</v>
      </c>
      <c r="N297">
        <v>-1.0958549999999999E-2</v>
      </c>
      <c r="O297">
        <v>-1.0591410000000001E-2</v>
      </c>
      <c r="P297">
        <v>0.99664649999999999</v>
      </c>
      <c r="Q297">
        <v>-7.3807510000000007E-2</v>
      </c>
      <c r="R297">
        <v>-3.5336619999999999E-2</v>
      </c>
      <c r="S297">
        <v>3.0014949999999998</v>
      </c>
      <c r="T297">
        <v>-7.2378520000000002E-2</v>
      </c>
      <c r="U297">
        <v>-8.64563E-2</v>
      </c>
      <c r="V297">
        <v>2.476037E-2</v>
      </c>
      <c r="W297">
        <v>-6.2884679999999998E-2</v>
      </c>
      <c r="X297">
        <v>0.99771359999999998</v>
      </c>
      <c r="Y297">
        <v>1.819643E-2</v>
      </c>
      <c r="Z297">
        <v>-1.7980970000000001E-4</v>
      </c>
      <c r="AA297">
        <v>0.99983440000000001</v>
      </c>
      <c r="AB297">
        <v>17</v>
      </c>
      <c r="AC297">
        <v>44.388599999999997</v>
      </c>
      <c r="AD297">
        <v>-1.073927385967</v>
      </c>
      <c r="AE297">
        <v>-1.2814000000000101</v>
      </c>
      <c r="AF297">
        <v>0.81068791062291901</v>
      </c>
      <c r="AG297">
        <v>-1.073927385967</v>
      </c>
      <c r="AH297">
        <v>44.3737305503481</v>
      </c>
      <c r="AI297">
        <v>91.386163305317297</v>
      </c>
      <c r="AJ297">
        <v>88.953348560476996</v>
      </c>
      <c r="AK297">
        <v>44.394126839860903</v>
      </c>
      <c r="AL297">
        <v>93.605405704784104</v>
      </c>
      <c r="AM297">
        <v>88.578376037892795</v>
      </c>
      <c r="AN297">
        <v>0.99999999326309896</v>
      </c>
    </row>
    <row r="298" spans="1:40" x14ac:dyDescent="0.25">
      <c r="A298" t="str">
        <f>"20190303154420710"</f>
        <v>20190303154420710</v>
      </c>
      <c r="B298" t="str">
        <f>"1551599060700653"</f>
        <v>1551599060700653</v>
      </c>
      <c r="C298" t="s">
        <v>40</v>
      </c>
      <c r="D298">
        <v>4.3099350000000003</v>
      </c>
      <c r="E298">
        <v>0.49972119999999998</v>
      </c>
      <c r="F298" t="s">
        <v>41</v>
      </c>
      <c r="G298">
        <v>-392.50830000000002</v>
      </c>
      <c r="H298" s="1">
        <v>-3.7170609999999999E-6</v>
      </c>
      <c r="I298">
        <v>366.68009999999998</v>
      </c>
      <c r="J298">
        <v>-435.10680000000002</v>
      </c>
      <c r="K298">
        <v>1.073404</v>
      </c>
      <c r="L298">
        <v>368.07749999999999</v>
      </c>
      <c r="M298">
        <v>0.99988840000000001</v>
      </c>
      <c r="N298">
        <v>-1.028478E-2</v>
      </c>
      <c r="O298">
        <v>-1.08375E-2</v>
      </c>
      <c r="P298">
        <v>0.99667879999999998</v>
      </c>
      <c r="Q298">
        <v>-7.2966230000000007E-2</v>
      </c>
      <c r="R298">
        <v>-3.6158139999999998E-2</v>
      </c>
      <c r="S298">
        <v>3.0009769999999998</v>
      </c>
      <c r="T298">
        <v>-7.5334070000000003E-2</v>
      </c>
      <c r="U298">
        <v>-9.817505E-2</v>
      </c>
      <c r="V298">
        <v>2.5347919999999999E-2</v>
      </c>
      <c r="W298">
        <v>-6.2710740000000001E-2</v>
      </c>
      <c r="X298">
        <v>0.99770979999999998</v>
      </c>
      <c r="Y298">
        <v>2.1854160000000001E-2</v>
      </c>
      <c r="Z298">
        <v>-2.2613510000000001E-4</v>
      </c>
      <c r="AA298">
        <v>0.99976120000000002</v>
      </c>
      <c r="AB298">
        <v>18</v>
      </c>
      <c r="AC298">
        <v>42.598500000000001</v>
      </c>
      <c r="AD298">
        <v>-1.0734077170609999</v>
      </c>
      <c r="AE298">
        <v>-1.3974</v>
      </c>
      <c r="AF298">
        <v>0.93503920608804902</v>
      </c>
      <c r="AG298">
        <v>-1.0734077170609999</v>
      </c>
      <c r="AH298">
        <v>42.584133348109802</v>
      </c>
      <c r="AI298">
        <v>91.4435869702411</v>
      </c>
      <c r="AJ298">
        <v>88.742132606119895</v>
      </c>
      <c r="AK298">
        <v>42.607920806506897</v>
      </c>
      <c r="AL298">
        <v>93.595419945316706</v>
      </c>
      <c r="AM298">
        <v>88.544650480449107</v>
      </c>
      <c r="AN298">
        <v>0.99999999948785601</v>
      </c>
    </row>
    <row r="299" spans="1:40" x14ac:dyDescent="0.25">
      <c r="A299" t="str">
        <f>"20190303154420731"</f>
        <v>20190303154420731</v>
      </c>
      <c r="B299" t="str">
        <f>"1551599060720173"</f>
        <v>1551599060720173</v>
      </c>
      <c r="C299" t="s">
        <v>40</v>
      </c>
      <c r="D299">
        <v>4.2929089999999999</v>
      </c>
      <c r="E299">
        <v>0.50010559999999904</v>
      </c>
      <c r="F299" t="s">
        <v>41</v>
      </c>
      <c r="G299">
        <v>-391.07080000000002</v>
      </c>
      <c r="H299" s="1">
        <v>-4.3594509999999996E-6</v>
      </c>
      <c r="I299">
        <v>366.5351</v>
      </c>
      <c r="J299">
        <v>-434.93130000000002</v>
      </c>
      <c r="K299">
        <v>1.0729690000000001</v>
      </c>
      <c r="L299">
        <v>368.0754</v>
      </c>
      <c r="M299">
        <v>0.99989300000000003</v>
      </c>
      <c r="N299">
        <v>-9.6949670000000005E-3</v>
      </c>
      <c r="O299">
        <v>-1.096252E-2</v>
      </c>
      <c r="P299">
        <v>0.99667110000000003</v>
      </c>
      <c r="Q299">
        <v>-7.3125679999999998E-2</v>
      </c>
      <c r="R299">
        <v>-3.6046389999999998E-2</v>
      </c>
      <c r="S299">
        <v>3.0008240000000002</v>
      </c>
      <c r="T299">
        <v>-7.3147180000000006E-2</v>
      </c>
      <c r="U299">
        <v>-0.1051025</v>
      </c>
      <c r="V299">
        <v>2.512031E-2</v>
      </c>
      <c r="W299">
        <v>-6.3455289999999998E-2</v>
      </c>
      <c r="X299">
        <v>0.99766849999999996</v>
      </c>
      <c r="Y299">
        <v>2.4035879999999999E-2</v>
      </c>
      <c r="Z299">
        <v>-2.4855629999999998E-4</v>
      </c>
      <c r="AA299">
        <v>0.99971100000000002</v>
      </c>
      <c r="AB299">
        <v>18</v>
      </c>
      <c r="AC299">
        <v>43.860500000000002</v>
      </c>
      <c r="AD299">
        <v>-1.072973359451</v>
      </c>
      <c r="AE299">
        <v>-1.5403</v>
      </c>
      <c r="AF299">
        <v>1.05873044999565</v>
      </c>
      <c r="AG299">
        <v>-1.072973359451</v>
      </c>
      <c r="AH299">
        <v>43.848541518202197</v>
      </c>
      <c r="AI299">
        <v>91.401339139422006</v>
      </c>
      <c r="AJ299">
        <v>88.616852459528005</v>
      </c>
      <c r="AK299">
        <v>43.874443304381003</v>
      </c>
      <c r="AL299">
        <v>93.638164580161003</v>
      </c>
      <c r="AM299">
        <v>88.557653471580906</v>
      </c>
      <c r="AN299">
        <v>1.00000001984786</v>
      </c>
    </row>
    <row r="300" spans="1:40" x14ac:dyDescent="0.25">
      <c r="A300" t="str">
        <f>"20190303154420753"</f>
        <v>20190303154420753</v>
      </c>
      <c r="B300" t="str">
        <f>"1551599060750429"</f>
        <v>1551599060750429</v>
      </c>
      <c r="C300" t="s">
        <v>40</v>
      </c>
      <c r="D300">
        <v>4.3121400000000003</v>
      </c>
      <c r="E300">
        <v>0.50036659999999999</v>
      </c>
      <c r="F300" t="s">
        <v>41</v>
      </c>
      <c r="G300">
        <v>-391.16890000000001</v>
      </c>
      <c r="H300" s="1">
        <v>-4.3221370000000001E-6</v>
      </c>
      <c r="I300">
        <v>366.50830000000002</v>
      </c>
      <c r="J300">
        <v>-434.75639999999999</v>
      </c>
      <c r="K300">
        <v>1.0725709999999999</v>
      </c>
      <c r="L300">
        <v>368.07350000000002</v>
      </c>
      <c r="M300">
        <v>0.9998977</v>
      </c>
      <c r="N300">
        <v>-9.157129E-3</v>
      </c>
      <c r="O300">
        <v>-1.0992979999999999E-2</v>
      </c>
      <c r="P300">
        <v>0.99652750000000001</v>
      </c>
      <c r="Q300">
        <v>-7.5807570000000005E-2</v>
      </c>
      <c r="R300">
        <v>-3.4443769999999999E-2</v>
      </c>
      <c r="S300">
        <v>3.000702</v>
      </c>
      <c r="T300">
        <v>-7.3571559999999994E-2</v>
      </c>
      <c r="U300">
        <v>-0.1074524</v>
      </c>
      <c r="V300">
        <v>2.3495459999999999E-2</v>
      </c>
      <c r="W300">
        <v>-6.6672990000000001E-2</v>
      </c>
      <c r="X300">
        <v>0.9974982</v>
      </c>
      <c r="Y300">
        <v>2.4788660000000001E-2</v>
      </c>
      <c r="Z300">
        <v>-2.4854929999999998E-4</v>
      </c>
      <c r="AA300">
        <v>0.99969269999999999</v>
      </c>
      <c r="AB300">
        <v>18</v>
      </c>
      <c r="AC300">
        <v>43.587499999999899</v>
      </c>
      <c r="AD300">
        <v>-1.072575322137</v>
      </c>
      <c r="AE300">
        <v>-1.5651999999999999</v>
      </c>
      <c r="AF300">
        <v>1.0852725224763899</v>
      </c>
      <c r="AG300">
        <v>-1.072575322137</v>
      </c>
      <c r="AH300">
        <v>43.575720770218197</v>
      </c>
      <c r="AI300">
        <v>91.409560023764101</v>
      </c>
      <c r="AJ300">
        <v>88.573318302738002</v>
      </c>
      <c r="AK300">
        <v>43.6024273970352</v>
      </c>
      <c r="AL300">
        <v>93.822916869554007</v>
      </c>
      <c r="AM300">
        <v>88.650682458480006</v>
      </c>
      <c r="AN300">
        <v>0.99999999161969499</v>
      </c>
    </row>
    <row r="301" spans="1:40" x14ac:dyDescent="0.25">
      <c r="A301" t="str">
        <f>"20190303154420775"</f>
        <v>20190303154420775</v>
      </c>
      <c r="B301" t="str">
        <f>"1551599060769950"</f>
        <v>1551599060769950</v>
      </c>
      <c r="C301" t="s">
        <v>40</v>
      </c>
      <c r="D301">
        <v>4.3237769999999998</v>
      </c>
      <c r="E301">
        <v>0.50039060000000002</v>
      </c>
      <c r="F301" t="s">
        <v>41</v>
      </c>
      <c r="G301">
        <v>-394.86189999999999</v>
      </c>
      <c r="H301" s="1">
        <v>-2.7064980000000002E-6</v>
      </c>
      <c r="I301">
        <v>366.685</v>
      </c>
      <c r="J301">
        <v>-434.57909999999998</v>
      </c>
      <c r="K301">
        <v>1.0722179999999999</v>
      </c>
      <c r="L301">
        <v>368.07150000000001</v>
      </c>
      <c r="M301">
        <v>0.99990250000000003</v>
      </c>
      <c r="N301">
        <v>-8.6568540000000003E-3</v>
      </c>
      <c r="O301">
        <v>-1.0958030000000001E-2</v>
      </c>
      <c r="P301">
        <v>0.9963149</v>
      </c>
      <c r="Q301">
        <v>-7.9563690000000006E-2</v>
      </c>
      <c r="R301">
        <v>-3.2036340000000003E-2</v>
      </c>
      <c r="S301">
        <v>3.000702</v>
      </c>
      <c r="T301">
        <v>-8.0674529999999994E-2</v>
      </c>
      <c r="U301">
        <v>-0.1044312</v>
      </c>
      <c r="V301">
        <v>2.1129709999999999E-2</v>
      </c>
      <c r="W301">
        <v>-7.0929210000000006E-2</v>
      </c>
      <c r="X301">
        <v>0.99725750000000002</v>
      </c>
      <c r="Y301">
        <v>2.381774E-2</v>
      </c>
      <c r="Z301">
        <v>-2.2355030000000001E-4</v>
      </c>
      <c r="AA301">
        <v>0.9997163</v>
      </c>
      <c r="AB301">
        <v>18</v>
      </c>
      <c r="AC301">
        <v>39.717199999999899</v>
      </c>
      <c r="AD301">
        <v>-1.0722207064980001</v>
      </c>
      <c r="AE301">
        <v>-1.3865000000000101</v>
      </c>
      <c r="AF301">
        <v>0.95048629949579599</v>
      </c>
      <c r="AG301">
        <v>-1.0722207064980001</v>
      </c>
      <c r="AH301">
        <v>39.701109903001999</v>
      </c>
      <c r="AI301">
        <v>91.546586623483506</v>
      </c>
      <c r="AJ301">
        <v>88.628540805089401</v>
      </c>
      <c r="AK301">
        <v>39.726958214532502</v>
      </c>
      <c r="AL301">
        <v>94.067359825028007</v>
      </c>
      <c r="AM301">
        <v>88.786209086410693</v>
      </c>
      <c r="AN301">
        <v>0.99999996939107805</v>
      </c>
    </row>
    <row r="302" spans="1:40" x14ac:dyDescent="0.25">
      <c r="A302" t="str">
        <f>"20190303154420797"</f>
        <v>20190303154420797</v>
      </c>
      <c r="B302" t="str">
        <f>"1551599060790445"</f>
        <v>1551599060790445</v>
      </c>
      <c r="C302" t="s">
        <v>40</v>
      </c>
      <c r="D302">
        <v>4.3455459999999997</v>
      </c>
      <c r="E302">
        <v>0.5004229</v>
      </c>
      <c r="F302" t="s">
        <v>41</v>
      </c>
      <c r="G302">
        <v>-399.73360000000002</v>
      </c>
      <c r="H302" s="1">
        <v>-7.8968710000000004E-7</v>
      </c>
      <c r="I302">
        <v>366.9366</v>
      </c>
      <c r="J302">
        <v>-434.40170000000001</v>
      </c>
      <c r="K302">
        <v>1.0719030000000001</v>
      </c>
      <c r="L302">
        <v>368.06959999999998</v>
      </c>
      <c r="M302">
        <v>0.99990730000000005</v>
      </c>
      <c r="N302">
        <v>-8.2009969999999998E-3</v>
      </c>
      <c r="O302">
        <v>-1.0886949999999999E-2</v>
      </c>
      <c r="P302">
        <v>0.996147</v>
      </c>
      <c r="Q302">
        <v>-8.2559450000000006E-2</v>
      </c>
      <c r="R302">
        <v>-2.9585520000000001E-2</v>
      </c>
      <c r="S302">
        <v>3.0005799999999998</v>
      </c>
      <c r="T302">
        <v>-9.2329620000000001E-2</v>
      </c>
      <c r="U302">
        <v>-9.7717289999999998E-2</v>
      </c>
      <c r="V302">
        <v>1.8754030000000001E-2</v>
      </c>
      <c r="W302">
        <v>-7.438119E-2</v>
      </c>
      <c r="X302">
        <v>0.99705350000000004</v>
      </c>
      <c r="Y302">
        <v>2.1655199999999999E-2</v>
      </c>
      <c r="Z302">
        <v>-1.7629470000000001E-4</v>
      </c>
      <c r="AA302">
        <v>0.99976549999999997</v>
      </c>
      <c r="AB302">
        <v>18</v>
      </c>
      <c r="AC302">
        <v>34.668099999999903</v>
      </c>
      <c r="AD302">
        <v>-1.0719037896871</v>
      </c>
      <c r="AE302">
        <v>-1.13299999999998</v>
      </c>
      <c r="AF302">
        <v>0.75476957892642105</v>
      </c>
      <c r="AG302">
        <v>-1.0719037896871</v>
      </c>
      <c r="AH302">
        <v>34.645295518177498</v>
      </c>
      <c r="AI302">
        <v>91.771710176712006</v>
      </c>
      <c r="AJ302">
        <v>88.751972782892906</v>
      </c>
      <c r="AK302">
        <v>34.670090227651102</v>
      </c>
      <c r="AL302">
        <v>94.265667882384705</v>
      </c>
      <c r="AM302">
        <v>88.922424850975304</v>
      </c>
      <c r="AN302">
        <v>0.99999997846465305</v>
      </c>
    </row>
    <row r="303" spans="1:40" x14ac:dyDescent="0.25">
      <c r="A303" t="str">
        <f>"20190303154420828"</f>
        <v>20190303154420828</v>
      </c>
      <c r="B303" t="str">
        <f>"1551599060820701"</f>
        <v>1551599060820701</v>
      </c>
      <c r="C303" t="s">
        <v>40</v>
      </c>
      <c r="D303">
        <v>4.3531009999999997</v>
      </c>
      <c r="E303">
        <v>0.50057410000000002</v>
      </c>
      <c r="F303" t="s">
        <v>43</v>
      </c>
      <c r="G303">
        <v>-401.2199</v>
      </c>
      <c r="H303">
        <v>-0.05</v>
      </c>
      <c r="I303">
        <v>367.06729999999999</v>
      </c>
      <c r="J303">
        <v>-434.15289999999999</v>
      </c>
      <c r="K303">
        <v>1.0715490000000001</v>
      </c>
      <c r="L303">
        <v>368.06700000000001</v>
      </c>
      <c r="M303">
        <v>0.99991289999999999</v>
      </c>
      <c r="N303">
        <v>-7.6383600000000003E-3</v>
      </c>
      <c r="O303">
        <v>-1.0767560000000001E-2</v>
      </c>
      <c r="P303">
        <v>0.99609420000000004</v>
      </c>
      <c r="Q303">
        <v>-8.3951460000000006E-2</v>
      </c>
      <c r="R303">
        <v>-2.7366229999999998E-2</v>
      </c>
      <c r="S303">
        <v>3.0005489999999999</v>
      </c>
      <c r="T303">
        <v>-0.101451</v>
      </c>
      <c r="U303">
        <v>-9.0637209999999996E-2</v>
      </c>
      <c r="V303">
        <v>1.665355E-2</v>
      </c>
      <c r="W303">
        <v>-7.6335420000000001E-2</v>
      </c>
      <c r="X303">
        <v>0.99694309999999997</v>
      </c>
      <c r="Y303">
        <v>1.9418479999999998E-2</v>
      </c>
      <c r="Z303">
        <v>-1.206775E-4</v>
      </c>
      <c r="AA303">
        <v>0.99981140000000002</v>
      </c>
      <c r="AB303">
        <v>18</v>
      </c>
      <c r="AC303">
        <v>32.9329999999999</v>
      </c>
      <c r="AD303">
        <v>-1.1215489999999999</v>
      </c>
      <c r="AE303">
        <v>-0.99969999999996095</v>
      </c>
      <c r="AF303">
        <v>0.64427713099221595</v>
      </c>
      <c r="AG303">
        <v>-1.1215489999999999</v>
      </c>
      <c r="AH303">
        <v>32.903729538197503</v>
      </c>
      <c r="AI303">
        <v>91.951841172140902</v>
      </c>
      <c r="AJ303">
        <v>88.878253488068694</v>
      </c>
      <c r="AK303">
        <v>32.929141845844804</v>
      </c>
      <c r="AL303">
        <v>94.377956269790303</v>
      </c>
      <c r="AM303">
        <v>89.042985110021306</v>
      </c>
      <c r="AN303">
        <v>0.99999999085589397</v>
      </c>
    </row>
    <row r="304" spans="1:40" x14ac:dyDescent="0.25">
      <c r="A304" t="str">
        <f>"20190303154420865"</f>
        <v>20190303154420865</v>
      </c>
      <c r="B304" t="str">
        <f>"1551599060860717"</f>
        <v>1551599060860717</v>
      </c>
      <c r="C304" t="s">
        <v>40</v>
      </c>
      <c r="D304">
        <v>4.3401620000000003</v>
      </c>
      <c r="E304">
        <v>0.50076589999999999</v>
      </c>
      <c r="F304" t="s">
        <v>43</v>
      </c>
      <c r="G304">
        <v>-401.88679999999999</v>
      </c>
      <c r="H304">
        <v>-0.05</v>
      </c>
      <c r="I304">
        <v>367.14879999999999</v>
      </c>
      <c r="J304">
        <v>-433.84649999999999</v>
      </c>
      <c r="K304">
        <v>1.0712159999999999</v>
      </c>
      <c r="L304">
        <v>368.06380000000001</v>
      </c>
      <c r="M304">
        <v>0.99991859999999999</v>
      </c>
      <c r="N304">
        <v>-7.0572469999999896E-3</v>
      </c>
      <c r="O304">
        <v>-1.0631440000000001E-2</v>
      </c>
      <c r="P304">
        <v>0.99618039999999997</v>
      </c>
      <c r="Q304">
        <v>-8.3374260000000006E-2</v>
      </c>
      <c r="R304">
        <v>-2.595488E-2</v>
      </c>
      <c r="S304">
        <v>3.0006710000000001</v>
      </c>
      <c r="T304">
        <v>-0.10430159999999999</v>
      </c>
      <c r="U304">
        <v>-8.5388179999999994E-2</v>
      </c>
      <c r="V304">
        <v>1.5373400000000001E-2</v>
      </c>
      <c r="W304">
        <v>-7.6338100000000006E-2</v>
      </c>
      <c r="X304">
        <v>0.99696340000000006</v>
      </c>
      <c r="Y304">
        <v>1.780698E-2</v>
      </c>
      <c r="Z304" s="1">
        <v>-7.7857500000000005E-5</v>
      </c>
      <c r="AA304">
        <v>0.99984150000000005</v>
      </c>
      <c r="AB304">
        <v>18</v>
      </c>
      <c r="AC304">
        <v>31.959700000000002</v>
      </c>
      <c r="AD304">
        <v>-1.121216</v>
      </c>
      <c r="AE304">
        <v>-0.91500000000002002</v>
      </c>
      <c r="AF304">
        <v>0.57445576010764499</v>
      </c>
      <c r="AG304">
        <v>-1.121216</v>
      </c>
      <c r="AH304">
        <v>31.928357760690801</v>
      </c>
      <c r="AI304">
        <v>92.010882470705596</v>
      </c>
      <c r="AJ304">
        <v>88.9692442073884</v>
      </c>
      <c r="AK304">
        <v>31.9532025630239</v>
      </c>
      <c r="AL304">
        <v>94.378110521517499</v>
      </c>
      <c r="AM304">
        <v>89.1165562034831</v>
      </c>
      <c r="AN304">
        <v>0.99999993393936204</v>
      </c>
    </row>
    <row r="305" spans="1:40" x14ac:dyDescent="0.25">
      <c r="A305" t="str">
        <f>"20190303154420888"</f>
        <v>20190303154420888</v>
      </c>
      <c r="B305" t="str">
        <f>"1551599060880238"</f>
        <v>1551599060880238</v>
      </c>
      <c r="C305" t="s">
        <v>40</v>
      </c>
      <c r="D305">
        <v>4.3947129999999897</v>
      </c>
      <c r="E305">
        <v>0.50090119999999905</v>
      </c>
      <c r="F305" t="s">
        <v>43</v>
      </c>
      <c r="G305">
        <v>-400.75290000000001</v>
      </c>
      <c r="H305">
        <v>-0.05</v>
      </c>
      <c r="I305">
        <v>367.15879999999999</v>
      </c>
      <c r="J305">
        <v>-433.64980000000003</v>
      </c>
      <c r="K305">
        <v>1.0710329999999999</v>
      </c>
      <c r="L305">
        <v>368.06180000000001</v>
      </c>
      <c r="M305">
        <v>0.99992139999999996</v>
      </c>
      <c r="N305">
        <v>-6.7490819999999896E-3</v>
      </c>
      <c r="O305">
        <v>-1.056317E-2</v>
      </c>
      <c r="P305">
        <v>0.99621389999999999</v>
      </c>
      <c r="Q305">
        <v>-8.3015290000000005E-2</v>
      </c>
      <c r="R305">
        <v>-2.5818879999999999E-2</v>
      </c>
      <c r="S305">
        <v>3.0008539999999999</v>
      </c>
      <c r="T305">
        <v>-0.1016695</v>
      </c>
      <c r="U305">
        <v>-8.2061770000000006E-2</v>
      </c>
      <c r="V305">
        <v>1.5302639999999999E-2</v>
      </c>
      <c r="W305">
        <v>-7.6286670000000001E-2</v>
      </c>
      <c r="X305">
        <v>0.99696850000000004</v>
      </c>
      <c r="Y305">
        <v>1.6767270000000001E-2</v>
      </c>
      <c r="Z305" s="1">
        <v>-5.4088619999999902E-5</v>
      </c>
      <c r="AA305">
        <v>0.99985939999999995</v>
      </c>
      <c r="AB305">
        <v>19</v>
      </c>
      <c r="AC305">
        <v>32.896900000000002</v>
      </c>
      <c r="AD305">
        <v>-1.1210329999999999</v>
      </c>
      <c r="AE305">
        <v>-0.90300000000002001</v>
      </c>
      <c r="AF305">
        <v>0.554802364191745</v>
      </c>
      <c r="AG305">
        <v>-1.1210329999999999</v>
      </c>
      <c r="AH305">
        <v>32.866465751729102</v>
      </c>
      <c r="AI305">
        <v>91.953250163612594</v>
      </c>
      <c r="AJ305">
        <v>89.032910463801997</v>
      </c>
      <c r="AK305">
        <v>32.890258309414101</v>
      </c>
      <c r="AL305">
        <v>94.375154855068402</v>
      </c>
      <c r="AM305">
        <v>89.120626336934606</v>
      </c>
      <c r="AN305">
        <v>1.00000000840145</v>
      </c>
    </row>
    <row r="306" spans="1:40" x14ac:dyDescent="0.25">
      <c r="A306" t="str">
        <f>"20190303154420909"</f>
        <v>20190303154420909</v>
      </c>
      <c r="B306" t="str">
        <f>"1551599060900734"</f>
        <v>1551599060900734</v>
      </c>
      <c r="C306" t="s">
        <v>40</v>
      </c>
      <c r="D306">
        <v>4.3933960000000001</v>
      </c>
      <c r="E306">
        <v>0.50107060000000003</v>
      </c>
      <c r="F306" t="s">
        <v>43</v>
      </c>
      <c r="G306">
        <v>-400.17950000000002</v>
      </c>
      <c r="H306">
        <v>-0.05</v>
      </c>
      <c r="I306">
        <v>367.14249999999998</v>
      </c>
      <c r="J306">
        <v>-433.46969999999999</v>
      </c>
      <c r="K306">
        <v>1.0708879999999901</v>
      </c>
      <c r="L306">
        <v>368.05990000000003</v>
      </c>
      <c r="M306">
        <v>0.99992349999999997</v>
      </c>
      <c r="N306">
        <v>-6.5044530000000003E-3</v>
      </c>
      <c r="O306">
        <v>-1.051706E-2</v>
      </c>
      <c r="P306">
        <v>0.99618150000000005</v>
      </c>
      <c r="Q306">
        <v>-8.3468319999999999E-2</v>
      </c>
      <c r="R306">
        <v>-2.5595969999999999E-2</v>
      </c>
      <c r="S306">
        <v>3.0009160000000001</v>
      </c>
      <c r="T306">
        <v>-0.1005108</v>
      </c>
      <c r="U306">
        <v>-8.2427979999999998E-2</v>
      </c>
      <c r="V306">
        <v>1.512405E-2</v>
      </c>
      <c r="W306">
        <v>-7.6984280000000002E-2</v>
      </c>
      <c r="X306">
        <v>0.99691759999999996</v>
      </c>
      <c r="Y306">
        <v>1.6934910000000001E-2</v>
      </c>
      <c r="Z306" s="1">
        <v>-5.4890419999999899E-5</v>
      </c>
      <c r="AA306">
        <v>0.99985659999999998</v>
      </c>
      <c r="AB306">
        <v>19</v>
      </c>
      <c r="AC306">
        <v>33.290199999999899</v>
      </c>
      <c r="AD306">
        <v>-1.1208880000000001</v>
      </c>
      <c r="AE306">
        <v>-0.91740000000004296</v>
      </c>
      <c r="AF306">
        <v>0.56658496902580702</v>
      </c>
      <c r="AG306">
        <v>-1.1208880000000001</v>
      </c>
      <c r="AH306">
        <v>33.260329280039898</v>
      </c>
      <c r="AI306">
        <v>91.929883174643095</v>
      </c>
      <c r="AJ306">
        <v>89.024068955109897</v>
      </c>
      <c r="AK306">
        <v>33.284033893931003</v>
      </c>
      <c r="AL306">
        <v>94.415242854569897</v>
      </c>
      <c r="AM306">
        <v>89.130843147003901</v>
      </c>
      <c r="AN306">
        <v>1.0000000087226399</v>
      </c>
    </row>
    <row r="307" spans="1:40" x14ac:dyDescent="0.25">
      <c r="A307" t="str">
        <f>"20190303154420931"</f>
        <v>20190303154420931</v>
      </c>
      <c r="B307" t="str">
        <f>"1551599060920253"</f>
        <v>1551599060920253</v>
      </c>
      <c r="C307" t="s">
        <v>40</v>
      </c>
      <c r="D307">
        <v>4.3786370000000003</v>
      </c>
      <c r="E307">
        <v>0.50123640000000003</v>
      </c>
      <c r="F307" t="s">
        <v>43</v>
      </c>
      <c r="G307">
        <v>-400.03579999999999</v>
      </c>
      <c r="H307">
        <v>-0.05</v>
      </c>
      <c r="I307">
        <v>367.13040000000001</v>
      </c>
      <c r="J307">
        <v>-433.28179999999998</v>
      </c>
      <c r="K307">
        <v>1.0707580000000001</v>
      </c>
      <c r="L307">
        <v>368.05799999999999</v>
      </c>
      <c r="M307">
        <v>0.99992530000000002</v>
      </c>
      <c r="N307">
        <v>-6.2834930000000002E-3</v>
      </c>
      <c r="O307">
        <v>-1.0488340000000001E-2</v>
      </c>
      <c r="P307">
        <v>0.99615690000000001</v>
      </c>
      <c r="Q307">
        <v>-8.3440039999999993E-2</v>
      </c>
      <c r="R307">
        <v>-2.6635989999999998E-2</v>
      </c>
      <c r="S307">
        <v>3.0009160000000001</v>
      </c>
      <c r="T307">
        <v>-0.1006069</v>
      </c>
      <c r="U307">
        <v>-8.3435060000000005E-2</v>
      </c>
      <c r="V307">
        <v>1.6190389999999999E-2</v>
      </c>
      <c r="W307">
        <v>-7.7176800000000004E-2</v>
      </c>
      <c r="X307">
        <v>0.99688600000000005</v>
      </c>
      <c r="Y307">
        <v>1.72988E-2</v>
      </c>
      <c r="Z307" s="1">
        <v>-5.8652790000000001E-5</v>
      </c>
      <c r="AA307">
        <v>0.99985040000000003</v>
      </c>
      <c r="AB307">
        <v>19</v>
      </c>
      <c r="AC307">
        <v>33.245999999999903</v>
      </c>
      <c r="AD307">
        <v>-1.1207579999999999</v>
      </c>
      <c r="AE307">
        <v>-0.92760000000003995</v>
      </c>
      <c r="AF307">
        <v>0.57819019199378996</v>
      </c>
      <c r="AG307">
        <v>-1.1207579999999999</v>
      </c>
      <c r="AH307">
        <v>33.2161817417009</v>
      </c>
      <c r="AI307">
        <v>91.932209913643206</v>
      </c>
      <c r="AJ307">
        <v>89.002759777934003</v>
      </c>
      <c r="AK307">
        <v>33.240113295390401</v>
      </c>
      <c r="AL307">
        <v>94.426306205320799</v>
      </c>
      <c r="AM307">
        <v>89.069543089561904</v>
      </c>
      <c r="AN307">
        <v>1.00000004209129</v>
      </c>
    </row>
    <row r="308" spans="1:40" x14ac:dyDescent="0.25">
      <c r="A308" t="str">
        <f>"20190303154420954"</f>
        <v>20190303154420954</v>
      </c>
      <c r="B308" t="str">
        <f>"1551599060950509"</f>
        <v>1551599060950509</v>
      </c>
      <c r="C308" t="s">
        <v>40</v>
      </c>
      <c r="D308">
        <v>4.4913429999999996</v>
      </c>
      <c r="E308">
        <v>0.50129760000000001</v>
      </c>
      <c r="F308" t="s">
        <v>43</v>
      </c>
      <c r="G308">
        <v>-399.44110000000001</v>
      </c>
      <c r="H308">
        <v>-0.05</v>
      </c>
      <c r="I308">
        <v>367.06099999999998</v>
      </c>
      <c r="J308">
        <v>-433.09190000000001</v>
      </c>
      <c r="K308">
        <v>1.0706370000000001</v>
      </c>
      <c r="L308">
        <v>368.05599999999998</v>
      </c>
      <c r="M308">
        <v>0.9999266</v>
      </c>
      <c r="N308">
        <v>-6.0917100000000002E-3</v>
      </c>
      <c r="O308">
        <v>-1.047784E-2</v>
      </c>
      <c r="P308">
        <v>0.99612310000000004</v>
      </c>
      <c r="Q308">
        <v>-8.3204920000000002E-2</v>
      </c>
      <c r="R308">
        <v>-2.8565940000000001E-2</v>
      </c>
      <c r="S308">
        <v>3.0008849999999998</v>
      </c>
      <c r="T308">
        <v>-9.9385260000000003E-2</v>
      </c>
      <c r="U308">
        <v>-8.8409420000000002E-2</v>
      </c>
      <c r="V308">
        <v>1.812853E-2</v>
      </c>
      <c r="W308">
        <v>-7.7133389999999996E-2</v>
      </c>
      <c r="X308">
        <v>0.99685599999999996</v>
      </c>
      <c r="Y308">
        <v>1.8964760000000001E-2</v>
      </c>
      <c r="Z308" s="1">
        <v>-8.8665609999999994E-5</v>
      </c>
      <c r="AA308">
        <v>0.99982020000000005</v>
      </c>
      <c r="AB308">
        <v>19</v>
      </c>
      <c r="AC308">
        <v>33.650799999999997</v>
      </c>
      <c r="AD308">
        <v>-1.1206370000000001</v>
      </c>
      <c r="AE308">
        <v>-0.99500000000000399</v>
      </c>
      <c r="AF308">
        <v>0.64164018558448799</v>
      </c>
      <c r="AG308">
        <v>-1.1206370000000001</v>
      </c>
      <c r="AH308">
        <v>33.622123331852201</v>
      </c>
      <c r="AI308">
        <v>91.908634186855295</v>
      </c>
      <c r="AJ308">
        <v>88.906707579898494</v>
      </c>
      <c r="AK308">
        <v>33.646912291558102</v>
      </c>
      <c r="AL308">
        <v>94.423811550474895</v>
      </c>
      <c r="AM308">
        <v>88.958150650109602</v>
      </c>
      <c r="AN308">
        <v>1.0000000440944199</v>
      </c>
    </row>
    <row r="309" spans="1:40" x14ac:dyDescent="0.25">
      <c r="A309" t="str">
        <f>"20190303154420976"</f>
        <v>20190303154420976</v>
      </c>
      <c r="B309" t="str">
        <f>"1551599060970030"</f>
        <v>1551599060970030</v>
      </c>
      <c r="C309" t="s">
        <v>40</v>
      </c>
      <c r="D309">
        <v>4.3810960000000003</v>
      </c>
      <c r="E309">
        <v>0.5014054</v>
      </c>
      <c r="F309" t="s">
        <v>43</v>
      </c>
      <c r="G309">
        <v>-399.78500000000003</v>
      </c>
      <c r="H309">
        <v>-0.05</v>
      </c>
      <c r="I309">
        <v>367.00040000000001</v>
      </c>
      <c r="J309">
        <v>-432.89370000000002</v>
      </c>
      <c r="K309">
        <v>1.0705209999999901</v>
      </c>
      <c r="L309">
        <v>368.05399999999997</v>
      </c>
      <c r="M309">
        <v>0.99992760000000003</v>
      </c>
      <c r="N309">
        <v>-5.9204150000000001E-3</v>
      </c>
      <c r="O309">
        <v>-1.048231E-2</v>
      </c>
      <c r="P309">
        <v>0.99587479999999995</v>
      </c>
      <c r="Q309">
        <v>-8.5704390000000005E-2</v>
      </c>
      <c r="R309">
        <v>-2.980592E-2</v>
      </c>
      <c r="S309">
        <v>3.0005190000000002</v>
      </c>
      <c r="T309">
        <v>-0.1009549</v>
      </c>
      <c r="U309">
        <v>-9.5092769999999993E-2</v>
      </c>
      <c r="V309">
        <v>1.9364260000000001E-2</v>
      </c>
      <c r="W309">
        <v>-7.9805550000000003E-2</v>
      </c>
      <c r="X309">
        <v>0.99662229999999996</v>
      </c>
      <c r="Y309">
        <v>2.1187170000000002E-2</v>
      </c>
      <c r="Z309">
        <v>-1.285506E-4</v>
      </c>
      <c r="AA309">
        <v>0.99977550000000004</v>
      </c>
      <c r="AB309">
        <v>19</v>
      </c>
      <c r="AC309">
        <v>33.108699999999999</v>
      </c>
      <c r="AD309">
        <v>-1.1205210000000001</v>
      </c>
      <c r="AE309">
        <v>-1.0536000000000101</v>
      </c>
      <c r="AF309">
        <v>0.70567293865745095</v>
      </c>
      <c r="AG309">
        <v>-1.1205210000000001</v>
      </c>
      <c r="AH309">
        <v>33.080073808353703</v>
      </c>
      <c r="AI309">
        <v>91.939596656364103</v>
      </c>
      <c r="AJ309">
        <v>88.777936532817293</v>
      </c>
      <c r="AK309">
        <v>33.106567698478301</v>
      </c>
      <c r="AL309">
        <v>94.577389043289898</v>
      </c>
      <c r="AM309">
        <v>88.886889462000696</v>
      </c>
      <c r="AN309">
        <v>0.99999995461671898</v>
      </c>
    </row>
    <row r="310" spans="1:40" x14ac:dyDescent="0.25">
      <c r="A310" t="str">
        <f>"20190303154420999"</f>
        <v>20190303154420999</v>
      </c>
      <c r="B310" t="str">
        <f>"1551599060990527"</f>
        <v>1551599060990527</v>
      </c>
      <c r="C310" t="s">
        <v>40</v>
      </c>
      <c r="D310">
        <v>4.4450750000000001</v>
      </c>
      <c r="E310">
        <v>0.50145450000000003</v>
      </c>
      <c r="F310" t="s">
        <v>43</v>
      </c>
      <c r="G310">
        <v>-401.64429999999999</v>
      </c>
      <c r="H310">
        <v>-0.05</v>
      </c>
      <c r="I310">
        <v>367.01479999999998</v>
      </c>
      <c r="J310">
        <v>-432.70639999999997</v>
      </c>
      <c r="K310">
        <v>1.070411</v>
      </c>
      <c r="L310">
        <v>368.05200000000002</v>
      </c>
      <c r="M310">
        <v>0.99992840000000005</v>
      </c>
      <c r="N310">
        <v>-5.7825280000000003E-3</v>
      </c>
      <c r="O310">
        <v>-1.049605E-2</v>
      </c>
      <c r="P310">
        <v>0.99541880000000005</v>
      </c>
      <c r="Q310">
        <v>-9.0643840000000003E-2</v>
      </c>
      <c r="R310">
        <v>-3.0420659999999999E-2</v>
      </c>
      <c r="S310">
        <v>3.0001829999999998</v>
      </c>
      <c r="T310">
        <v>-0.10757849999999999</v>
      </c>
      <c r="U310">
        <v>-9.9761959999999997E-2</v>
      </c>
      <c r="V310">
        <v>1.9967950000000002E-2</v>
      </c>
      <c r="W310">
        <v>-8.4885429999999998E-2</v>
      </c>
      <c r="X310">
        <v>0.99619060000000004</v>
      </c>
      <c r="Y310">
        <v>2.272913E-2</v>
      </c>
      <c r="Z310">
        <v>-1.5756940000000001E-4</v>
      </c>
      <c r="AA310">
        <v>0.99974169999999996</v>
      </c>
      <c r="AB310">
        <v>19</v>
      </c>
      <c r="AC310">
        <v>31.062099999999901</v>
      </c>
      <c r="AD310">
        <v>-1.120411</v>
      </c>
      <c r="AE310">
        <v>-1.0371999999999799</v>
      </c>
      <c r="AF310">
        <v>0.71018516958162003</v>
      </c>
      <c r="AG310">
        <v>-1.120411</v>
      </c>
      <c r="AH310">
        <v>31.030947801003101</v>
      </c>
      <c r="AI310">
        <v>92.067296302691602</v>
      </c>
      <c r="AJ310">
        <v>88.688937540546704</v>
      </c>
      <c r="AK310">
        <v>31.059288549685</v>
      </c>
      <c r="AL310">
        <v>94.869436762432997</v>
      </c>
      <c r="AM310">
        <v>88.851699587477796</v>
      </c>
      <c r="AN310">
        <v>0.999999983390923</v>
      </c>
    </row>
    <row r="311" spans="1:40" x14ac:dyDescent="0.25">
      <c r="A311" t="str">
        <f>"20190303154421025"</f>
        <v>20190303154421025</v>
      </c>
      <c r="B311" t="str">
        <f>"1551599061020781"</f>
        <v>1551599061020781</v>
      </c>
      <c r="C311" t="s">
        <v>40</v>
      </c>
      <c r="D311">
        <v>4.4304009999999998</v>
      </c>
      <c r="E311">
        <v>0.50150779999999995</v>
      </c>
      <c r="F311" t="s">
        <v>43</v>
      </c>
      <c r="G311">
        <v>-405.25830000000002</v>
      </c>
      <c r="H311">
        <v>-0.05</v>
      </c>
      <c r="I311">
        <v>367.12090000000001</v>
      </c>
      <c r="J311">
        <v>-432.4794</v>
      </c>
      <c r="K311">
        <v>1.0703100000000001</v>
      </c>
      <c r="L311">
        <v>368.0496</v>
      </c>
      <c r="M311">
        <v>0.9999287</v>
      </c>
      <c r="N311">
        <v>-5.6431019999999997E-3</v>
      </c>
      <c r="O311">
        <v>-1.0519789999999999E-2</v>
      </c>
      <c r="P311">
        <v>0.99494340000000003</v>
      </c>
      <c r="Q311">
        <v>-9.563141E-2</v>
      </c>
      <c r="R311">
        <v>-3.069856E-2</v>
      </c>
      <c r="S311">
        <v>2.9995419999999999</v>
      </c>
      <c r="T311">
        <v>-0.1224391</v>
      </c>
      <c r="U311">
        <v>-0.10174560000000001</v>
      </c>
      <c r="V311">
        <v>2.0225090000000001E-2</v>
      </c>
      <c r="W311">
        <v>-9.001497E-2</v>
      </c>
      <c r="X311">
        <v>0.99573500000000004</v>
      </c>
      <c r="Y311">
        <v>2.3369460000000002E-2</v>
      </c>
      <c r="Z311">
        <v>-1.72862E-4</v>
      </c>
      <c r="AA311">
        <v>0.99972689999999997</v>
      </c>
      <c r="AB311">
        <v>19</v>
      </c>
      <c r="AC311">
        <v>27.2210999999999</v>
      </c>
      <c r="AD311">
        <v>-1.1203099999999999</v>
      </c>
      <c r="AE311">
        <v>-0.92869999999999198</v>
      </c>
      <c r="AF311">
        <v>0.64119897438668705</v>
      </c>
      <c r="AG311">
        <v>-1.1203099999999999</v>
      </c>
      <c r="AH311">
        <v>27.183373589552701</v>
      </c>
      <c r="AI311">
        <v>92.359343300039995</v>
      </c>
      <c r="AJ311">
        <v>88.648762867192403</v>
      </c>
      <c r="AK311">
        <v>27.2140043053213</v>
      </c>
      <c r="AL311">
        <v>95.164468461383905</v>
      </c>
      <c r="AM311">
        <v>88.836384204086102</v>
      </c>
      <c r="AN311">
        <v>0.99999996965730398</v>
      </c>
    </row>
    <row r="312" spans="1:40" x14ac:dyDescent="0.25">
      <c r="A312" t="str">
        <f>"20190303154421045"</f>
        <v>20190303154421045</v>
      </c>
      <c r="B312" t="str">
        <f>"1551599061040301"</f>
        <v>1551599061040301</v>
      </c>
      <c r="C312" t="s">
        <v>40</v>
      </c>
      <c r="D312">
        <v>4.4021619999999997</v>
      </c>
      <c r="E312">
        <v>0.50161389999999995</v>
      </c>
      <c r="F312" t="s">
        <v>43</v>
      </c>
      <c r="G312">
        <v>-407.92809999999997</v>
      </c>
      <c r="H312">
        <v>-0.05</v>
      </c>
      <c r="I312">
        <v>367.20909999999998</v>
      </c>
      <c r="J312">
        <v>-432.30189999999999</v>
      </c>
      <c r="K312">
        <v>1.070252</v>
      </c>
      <c r="L312">
        <v>368.04770000000002</v>
      </c>
      <c r="M312">
        <v>0.99992910000000002</v>
      </c>
      <c r="N312">
        <v>-5.5518310000000001E-3</v>
      </c>
      <c r="O312">
        <v>-1.0542579999999999E-2</v>
      </c>
      <c r="P312">
        <v>0.994556</v>
      </c>
      <c r="Q312">
        <v>-9.9513760000000007E-2</v>
      </c>
      <c r="R312">
        <v>-3.09129E-2</v>
      </c>
      <c r="S312">
        <v>2.998901</v>
      </c>
      <c r="T312">
        <v>-0.13684370000000001</v>
      </c>
      <c r="U312">
        <v>-0.10266110000000001</v>
      </c>
      <c r="V312">
        <v>2.0419320000000001E-2</v>
      </c>
      <c r="W312">
        <v>-9.3990500000000005E-2</v>
      </c>
      <c r="X312">
        <v>0.99536369999999996</v>
      </c>
      <c r="Y312">
        <v>2.3655280000000001E-2</v>
      </c>
      <c r="Z312">
        <v>-1.828334E-4</v>
      </c>
      <c r="AA312">
        <v>0.99972019999999995</v>
      </c>
      <c r="AB312">
        <v>20</v>
      </c>
      <c r="AC312">
        <v>24.373799999999999</v>
      </c>
      <c r="AD312">
        <v>-1.120252</v>
      </c>
      <c r="AE312">
        <v>-0.83860000000004198</v>
      </c>
      <c r="AF312">
        <v>0.58036218703973597</v>
      </c>
      <c r="AG312">
        <v>-1.120252</v>
      </c>
      <c r="AH312">
        <v>24.329951674327098</v>
      </c>
      <c r="AI312">
        <v>92.635524977756205</v>
      </c>
      <c r="AJ312">
        <v>88.633536161524802</v>
      </c>
      <c r="AK312">
        <v>24.362642165552199</v>
      </c>
      <c r="AL312">
        <v>95.393219583927603</v>
      </c>
      <c r="AM312">
        <v>88.824774524207896</v>
      </c>
      <c r="AN312">
        <v>1.0000000289986</v>
      </c>
    </row>
    <row r="313" spans="1:40" x14ac:dyDescent="0.25">
      <c r="A313" t="str">
        <f>"20190303154421068"</f>
        <v>20190303154421068</v>
      </c>
      <c r="B313" t="str">
        <f>"1551599061060798"</f>
        <v>1551599061060798</v>
      </c>
      <c r="C313" t="s">
        <v>40</v>
      </c>
      <c r="D313">
        <v>4.4479150000000001</v>
      </c>
      <c r="E313">
        <v>0.50162529999999905</v>
      </c>
      <c r="F313" t="s">
        <v>43</v>
      </c>
      <c r="G313">
        <v>-409.41</v>
      </c>
      <c r="H313">
        <v>-0.05</v>
      </c>
      <c r="I313">
        <v>367.25229999999999</v>
      </c>
      <c r="J313">
        <v>-432.09300000000002</v>
      </c>
      <c r="K313">
        <v>1.0701989999999999</v>
      </c>
      <c r="L313">
        <v>368.04539999999997</v>
      </c>
      <c r="M313">
        <v>0.99992939999999997</v>
      </c>
      <c r="N313">
        <v>-5.4628259999999996E-3</v>
      </c>
      <c r="O313">
        <v>-1.057204E-2</v>
      </c>
      <c r="P313">
        <v>0.99432399999999999</v>
      </c>
      <c r="Q313">
        <v>-0.1018057</v>
      </c>
      <c r="R313">
        <v>-3.091698E-2</v>
      </c>
      <c r="S313">
        <v>2.998535</v>
      </c>
      <c r="T313">
        <v>-0.14673820000000001</v>
      </c>
      <c r="U313">
        <v>-0.104187</v>
      </c>
      <c r="V313">
        <v>2.0395469999999999E-2</v>
      </c>
      <c r="W313">
        <v>-9.6372429999999995E-2</v>
      </c>
      <c r="X313">
        <v>0.99513640000000003</v>
      </c>
      <c r="Y313">
        <v>2.4135150000000001E-2</v>
      </c>
      <c r="Z313">
        <v>-1.968479E-4</v>
      </c>
      <c r="AA313">
        <v>0.99970870000000001</v>
      </c>
      <c r="AB313">
        <v>20</v>
      </c>
      <c r="AC313">
        <v>22.683</v>
      </c>
      <c r="AD313">
        <v>-1.1201989999999999</v>
      </c>
      <c r="AE313">
        <v>-0.79309999999998104</v>
      </c>
      <c r="AF313">
        <v>0.55190218765954902</v>
      </c>
      <c r="AG313">
        <v>-1.1201989999999999</v>
      </c>
      <c r="AH313">
        <v>22.634980656400799</v>
      </c>
      <c r="AI313">
        <v>92.832400414407104</v>
      </c>
      <c r="AJ313">
        <v>88.603250330263194</v>
      </c>
      <c r="AK313">
        <v>22.669402090482698</v>
      </c>
      <c r="AL313">
        <v>95.530316530952007</v>
      </c>
      <c r="AM313">
        <v>88.825878770925598</v>
      </c>
      <c r="AN313">
        <v>1.00000003753279</v>
      </c>
    </row>
    <row r="314" spans="1:40" x14ac:dyDescent="0.25">
      <c r="A314" t="str">
        <f>"20190303154421089"</f>
        <v>20190303154421089</v>
      </c>
      <c r="B314" t="str">
        <f>"1551599061080318"</f>
        <v>1551599061080318</v>
      </c>
      <c r="C314" t="s">
        <v>40</v>
      </c>
      <c r="D314">
        <v>4.3793899999999999</v>
      </c>
      <c r="E314">
        <v>0.50175320000000001</v>
      </c>
      <c r="F314" t="s">
        <v>43</v>
      </c>
      <c r="G314">
        <v>-410.19290000000001</v>
      </c>
      <c r="H314">
        <v>-0.05</v>
      </c>
      <c r="I314">
        <v>367.28059999999999</v>
      </c>
      <c r="J314">
        <v>-431.91410000000002</v>
      </c>
      <c r="K314">
        <v>1.0701639999999999</v>
      </c>
      <c r="L314">
        <v>368.04349999999999</v>
      </c>
      <c r="M314">
        <v>0.99992930000000002</v>
      </c>
      <c r="N314">
        <v>-5.4031529999999999E-3</v>
      </c>
      <c r="O314">
        <v>-1.0598349999999999E-2</v>
      </c>
      <c r="P314">
        <v>0.99425730000000001</v>
      </c>
      <c r="Q314">
        <v>-0.1021455</v>
      </c>
      <c r="R314">
        <v>-3.1921110000000003E-2</v>
      </c>
      <c r="S314">
        <v>2.9981689999999999</v>
      </c>
      <c r="T314">
        <v>-0.1533571</v>
      </c>
      <c r="U314">
        <v>-0.1047058</v>
      </c>
      <c r="V314">
        <v>2.1373690000000001E-2</v>
      </c>
      <c r="W314">
        <v>-9.6772040000000004E-2</v>
      </c>
      <c r="X314">
        <v>0.99507710000000005</v>
      </c>
      <c r="Y314">
        <v>2.4283969999999998E-2</v>
      </c>
      <c r="Z314">
        <v>-2.0180449999999999E-4</v>
      </c>
      <c r="AA314">
        <v>0.99970510000000001</v>
      </c>
      <c r="AB314">
        <v>20</v>
      </c>
      <c r="AC314">
        <v>21.7212</v>
      </c>
      <c r="AD314">
        <v>-1.1201639999999999</v>
      </c>
      <c r="AE314">
        <v>-0.76290000000000102</v>
      </c>
      <c r="AF314">
        <v>0.53123386351066504</v>
      </c>
      <c r="AG314">
        <v>-1.1201639999999999</v>
      </c>
      <c r="AH314">
        <v>21.670504495514901</v>
      </c>
      <c r="AI314">
        <v>92.958139461425901</v>
      </c>
      <c r="AJ314">
        <v>88.595724273255001</v>
      </c>
      <c r="AK314">
        <v>21.705937940913099</v>
      </c>
      <c r="AL314">
        <v>95.553319953559907</v>
      </c>
      <c r="AM314">
        <v>88.769508464485298</v>
      </c>
      <c r="AN314">
        <v>1.0000000486471901</v>
      </c>
    </row>
    <row r="315" spans="1:40" x14ac:dyDescent="0.25">
      <c r="A315" t="str">
        <f>"20190303154421111"</f>
        <v>20190303154421111</v>
      </c>
      <c r="B315" t="str">
        <f>"1551599061100824"</f>
        <v>1551599061100824</v>
      </c>
      <c r="C315" t="s">
        <v>40</v>
      </c>
      <c r="D315">
        <v>4.3813810000000002</v>
      </c>
      <c r="E315">
        <v>0.5018224</v>
      </c>
      <c r="F315" t="s">
        <v>43</v>
      </c>
      <c r="G315">
        <v>-409.8184</v>
      </c>
      <c r="H315">
        <v>-0.05</v>
      </c>
      <c r="I315">
        <v>367.24200000000002</v>
      </c>
      <c r="J315">
        <v>-431.7081</v>
      </c>
      <c r="K315">
        <v>1.070139</v>
      </c>
      <c r="L315">
        <v>368.04129999999998</v>
      </c>
      <c r="M315">
        <v>0.99992939999999997</v>
      </c>
      <c r="N315">
        <v>-5.3555950000000003E-3</v>
      </c>
      <c r="O315">
        <v>-1.0628149999999999E-2</v>
      </c>
      <c r="P315">
        <v>0.99436290000000005</v>
      </c>
      <c r="Q315">
        <v>-0.10075919999999999</v>
      </c>
      <c r="R315">
        <v>-3.3020580000000001E-2</v>
      </c>
      <c r="S315">
        <v>2.9982600000000001</v>
      </c>
      <c r="T315">
        <v>-0.1520002</v>
      </c>
      <c r="U315">
        <v>-0.1087646</v>
      </c>
      <c r="V315">
        <v>2.244233E-2</v>
      </c>
      <c r="W315">
        <v>-9.5432580000000003E-2</v>
      </c>
      <c r="X315">
        <v>0.99518289999999998</v>
      </c>
      <c r="Y315">
        <v>2.5603299999999999E-2</v>
      </c>
      <c r="Z315">
        <v>-2.3561940000000001E-4</v>
      </c>
      <c r="AA315">
        <v>0.99967220000000001</v>
      </c>
      <c r="AB315">
        <v>20</v>
      </c>
      <c r="AC315">
        <v>21.889700000000001</v>
      </c>
      <c r="AD315">
        <v>-1.120139</v>
      </c>
      <c r="AE315">
        <v>-0.799300000000016</v>
      </c>
      <c r="AF315">
        <v>0.56512670070499105</v>
      </c>
      <c r="AG315">
        <v>-1.120139</v>
      </c>
      <c r="AH315">
        <v>21.8398458087009</v>
      </c>
      <c r="AI315">
        <v>92.935077110638801</v>
      </c>
      <c r="AJ315">
        <v>88.517748186914602</v>
      </c>
      <c r="AK315">
        <v>21.875853000854601</v>
      </c>
      <c r="AL315">
        <v>95.476217833158401</v>
      </c>
      <c r="AM315">
        <v>88.708144114431803</v>
      </c>
      <c r="AN315">
        <v>1.00000001997684</v>
      </c>
    </row>
    <row r="316" spans="1:40" x14ac:dyDescent="0.25">
      <c r="A316" t="str">
        <f>"20190303154421134"</f>
        <v>20190303154421134</v>
      </c>
      <c r="B316" t="str">
        <f>"1551599061130094"</f>
        <v>1551599061130094</v>
      </c>
      <c r="C316" t="s">
        <v>40</v>
      </c>
      <c r="D316">
        <v>4.4538570000000002</v>
      </c>
      <c r="E316">
        <v>0.50574449999999904</v>
      </c>
      <c r="F316" t="s">
        <v>43</v>
      </c>
      <c r="G316">
        <v>-408.73390000000001</v>
      </c>
      <c r="H316">
        <v>-0.05</v>
      </c>
      <c r="I316">
        <v>367.17989999999998</v>
      </c>
      <c r="J316">
        <v>-431.50299999999999</v>
      </c>
      <c r="K316">
        <v>1.0701309999999999</v>
      </c>
      <c r="L316">
        <v>368.03910000000002</v>
      </c>
      <c r="M316">
        <v>0.99992910000000002</v>
      </c>
      <c r="N316">
        <v>-5.3279249999999998E-3</v>
      </c>
      <c r="O316">
        <v>-1.0656209999999999E-2</v>
      </c>
      <c r="P316">
        <v>0.99455249999999995</v>
      </c>
      <c r="Q316">
        <v>-9.8397390000000001E-2</v>
      </c>
      <c r="R316">
        <v>-3.4403099999999999E-2</v>
      </c>
      <c r="S316">
        <v>2.9984739999999999</v>
      </c>
      <c r="T316">
        <v>-0.1461952</v>
      </c>
      <c r="U316">
        <v>-0.11242679999999999</v>
      </c>
      <c r="V316">
        <v>2.3795009999999998E-2</v>
      </c>
      <c r="W316">
        <v>-9.3097410000000005E-2</v>
      </c>
      <c r="X316">
        <v>0.9953727</v>
      </c>
      <c r="Y316">
        <v>2.6792090000000001E-2</v>
      </c>
      <c r="Z316">
        <v>-2.616672E-4</v>
      </c>
      <c r="AA316">
        <v>0.999641</v>
      </c>
      <c r="AB316">
        <v>20</v>
      </c>
      <c r="AC316">
        <v>22.769100000000002</v>
      </c>
      <c r="AD316">
        <v>-1.120131</v>
      </c>
      <c r="AE316">
        <v>-0.85920000000004304</v>
      </c>
      <c r="AF316">
        <v>0.61502911830140605</v>
      </c>
      <c r="AG316">
        <v>-1.120131</v>
      </c>
      <c r="AH316">
        <v>22.722050067208301</v>
      </c>
      <c r="AI316">
        <v>92.821198998457305</v>
      </c>
      <c r="AJ316">
        <v>88.449524994847295</v>
      </c>
      <c r="AK316">
        <v>22.757954950527498</v>
      </c>
      <c r="AL316">
        <v>95.341823708330793</v>
      </c>
      <c r="AM316">
        <v>88.630569206764207</v>
      </c>
      <c r="AN316">
        <v>1.0000000710774399</v>
      </c>
    </row>
    <row r="317" spans="1:40" x14ac:dyDescent="0.25">
      <c r="A317" t="str">
        <f>"20190303154421154"</f>
        <v>20190303154421154</v>
      </c>
      <c r="B317" t="str">
        <f>"1551599061150590"</f>
        <v>1551599061150590</v>
      </c>
      <c r="C317" t="s">
        <v>40</v>
      </c>
      <c r="D317">
        <v>4.3979089999999896</v>
      </c>
      <c r="E317">
        <v>0.50695889999999999</v>
      </c>
      <c r="F317" t="s">
        <v>42</v>
      </c>
      <c r="G317">
        <v>-430.72949999999997</v>
      </c>
      <c r="H317">
        <v>0.96052320000000002</v>
      </c>
      <c r="I317">
        <v>368</v>
      </c>
      <c r="J317">
        <v>-431.32</v>
      </c>
      <c r="K317">
        <v>1.070111</v>
      </c>
      <c r="L317">
        <v>368.03710000000001</v>
      </c>
      <c r="M317">
        <v>0.99992890000000001</v>
      </c>
      <c r="N317">
        <v>-5.3176079999999997E-3</v>
      </c>
      <c r="O317">
        <v>-1.0679900000000001E-2</v>
      </c>
      <c r="P317">
        <v>0.99463639999999998</v>
      </c>
      <c r="Q317">
        <v>-9.7202670000000005E-2</v>
      </c>
      <c r="R317">
        <v>-3.5358939999999998E-2</v>
      </c>
      <c r="S317">
        <v>2.9696349999999998</v>
      </c>
      <c r="T317">
        <v>-0.42090680000000003</v>
      </c>
      <c r="U317">
        <v>-0.14974979999999999</v>
      </c>
      <c r="V317">
        <v>2.4726519999999998E-2</v>
      </c>
      <c r="W317">
        <v>-9.1912530000000006E-2</v>
      </c>
      <c r="X317">
        <v>0.99546000000000001</v>
      </c>
      <c r="Y317">
        <v>3.9384750000000003E-2</v>
      </c>
      <c r="Z317">
        <v>-1.4321869999999999E-3</v>
      </c>
      <c r="AA317">
        <v>0.99922310000000003</v>
      </c>
      <c r="AB317">
        <v>20</v>
      </c>
      <c r="AC317">
        <v>0.59050000000002001</v>
      </c>
      <c r="AD317">
        <v>-0.1095878</v>
      </c>
      <c r="AE317">
        <v>-3.7100000000009403E-2</v>
      </c>
      <c r="AF317">
        <v>2.97700158075761E-2</v>
      </c>
      <c r="AG317">
        <v>-0.1095878</v>
      </c>
      <c r="AH317">
        <v>0.57126458706800098</v>
      </c>
      <c r="AI317">
        <v>100.844969338133</v>
      </c>
      <c r="AJ317">
        <v>87.016873175446406</v>
      </c>
      <c r="AK317">
        <v>0.58244224450841198</v>
      </c>
      <c r="AL317">
        <v>95.273643313792704</v>
      </c>
      <c r="AM317">
        <v>88.577106084360196</v>
      </c>
      <c r="AN317">
        <v>0.99999996278115499</v>
      </c>
    </row>
    <row r="318" spans="1:40" x14ac:dyDescent="0.25">
      <c r="A318" t="str">
        <f>"20190303154421177"</f>
        <v>20190303154421177</v>
      </c>
      <c r="B318" t="str">
        <f>"1551599061170110"</f>
        <v>1551599061170110</v>
      </c>
      <c r="C318" t="s">
        <v>40</v>
      </c>
      <c r="D318">
        <v>4.4244680000000001</v>
      </c>
      <c r="E318">
        <v>0.50796399999999997</v>
      </c>
      <c r="F318" t="s">
        <v>42</v>
      </c>
      <c r="G318">
        <v>-430.54669999999999</v>
      </c>
      <c r="H318">
        <v>0.96359090000000003</v>
      </c>
      <c r="I318">
        <v>367.99450000000002</v>
      </c>
      <c r="J318">
        <v>-431.10879999999997</v>
      </c>
      <c r="K318">
        <v>1.07009</v>
      </c>
      <c r="L318">
        <v>368.03489999999999</v>
      </c>
      <c r="M318">
        <v>0.9999287</v>
      </c>
      <c r="N318">
        <v>-5.3197019999999999E-3</v>
      </c>
      <c r="O318">
        <v>-1.070637E-2</v>
      </c>
      <c r="P318">
        <v>0.99445749999999999</v>
      </c>
      <c r="Q318">
        <v>-9.8987690000000003E-2</v>
      </c>
      <c r="R318">
        <v>-3.5440480000000003E-2</v>
      </c>
      <c r="S318">
        <v>2.9703979999999999</v>
      </c>
      <c r="T318">
        <v>-0.40935250000000001</v>
      </c>
      <c r="U318">
        <v>-0.16241459999999999</v>
      </c>
      <c r="V318">
        <v>2.478377E-2</v>
      </c>
      <c r="W318">
        <v>-9.369632E-2</v>
      </c>
      <c r="X318">
        <v>0.99529230000000002</v>
      </c>
      <c r="Y318">
        <v>4.3569179999999999E-2</v>
      </c>
      <c r="Z318">
        <v>-1.6917270000000001E-3</v>
      </c>
      <c r="AA318">
        <v>0.99904899999999996</v>
      </c>
      <c r="AB318">
        <v>20</v>
      </c>
      <c r="AC318">
        <v>0.56209999999998606</v>
      </c>
      <c r="AD318">
        <v>-0.1064991</v>
      </c>
      <c r="AE318">
        <v>-4.0399999999976899E-2</v>
      </c>
      <c r="AF318">
        <v>3.31940873866775E-2</v>
      </c>
      <c r="AG318">
        <v>-0.1064991</v>
      </c>
      <c r="AH318">
        <v>0.54310440784769898</v>
      </c>
      <c r="AI318">
        <v>101.07438681208301</v>
      </c>
      <c r="AJ318">
        <v>86.502480579582297</v>
      </c>
      <c r="AK318">
        <v>0.55444233565073697</v>
      </c>
      <c r="AL318">
        <v>95.376289760957903</v>
      </c>
      <c r="AM318">
        <v>88.573572773991103</v>
      </c>
      <c r="AN318">
        <v>0.99999999903812198</v>
      </c>
    </row>
    <row r="319" spans="1:40" x14ac:dyDescent="0.25">
      <c r="A319" t="str">
        <f>"20190303154421201"</f>
        <v>20190303154421201</v>
      </c>
      <c r="B319" t="str">
        <f>"1551599061190606"</f>
        <v>1551599061190606</v>
      </c>
      <c r="C319" t="s">
        <v>40</v>
      </c>
      <c r="D319">
        <v>4.4088459999999996</v>
      </c>
      <c r="E319">
        <v>0.50845260000000003</v>
      </c>
      <c r="F319" t="s">
        <v>42</v>
      </c>
      <c r="G319">
        <v>-430.36110000000002</v>
      </c>
      <c r="H319">
        <v>0.97015819999999997</v>
      </c>
      <c r="I319">
        <v>367.99180000000001</v>
      </c>
      <c r="J319">
        <v>-430.89710000000002</v>
      </c>
      <c r="K319">
        <v>1.070079</v>
      </c>
      <c r="L319">
        <v>368.03250000000003</v>
      </c>
      <c r="M319">
        <v>0.99992820000000004</v>
      </c>
      <c r="N319">
        <v>-5.3374390000000002E-3</v>
      </c>
      <c r="O319">
        <v>-1.0732759999999999E-2</v>
      </c>
      <c r="P319">
        <v>0.99430719999999995</v>
      </c>
      <c r="Q319">
        <v>-0.1009563</v>
      </c>
      <c r="R319">
        <v>-3.4074119999999999E-2</v>
      </c>
      <c r="S319">
        <v>2.971069</v>
      </c>
      <c r="T319">
        <v>-0.39714929999999998</v>
      </c>
      <c r="U319">
        <v>-0.1706848</v>
      </c>
      <c r="V319">
        <v>2.339285E-2</v>
      </c>
      <c r="W319">
        <v>-9.5648010000000006E-2</v>
      </c>
      <c r="X319">
        <v>0.99514029999999998</v>
      </c>
      <c r="Y319">
        <v>4.6296579999999997E-2</v>
      </c>
      <c r="Z319">
        <v>-1.8322740000000001E-3</v>
      </c>
      <c r="AA319">
        <v>0.99892599999999998</v>
      </c>
      <c r="AB319">
        <v>20</v>
      </c>
      <c r="AC319">
        <v>0.53600000000000103</v>
      </c>
      <c r="AD319">
        <v>-9.9920799999999907E-2</v>
      </c>
      <c r="AE319">
        <v>-4.0700000000015203E-2</v>
      </c>
      <c r="AF319">
        <v>3.3777695016739301E-2</v>
      </c>
      <c r="AG319">
        <v>-9.9920799999999907E-2</v>
      </c>
      <c r="AH319">
        <v>0.51849056803413096</v>
      </c>
      <c r="AI319">
        <v>100.88549663506301</v>
      </c>
      <c r="AJ319">
        <v>86.272664180024094</v>
      </c>
      <c r="AK319">
        <v>0.52911016631098695</v>
      </c>
      <c r="AL319">
        <v>95.488617939724605</v>
      </c>
      <c r="AM319">
        <v>88.653391105018002</v>
      </c>
      <c r="AN319">
        <v>0.99999999196608602</v>
      </c>
    </row>
    <row r="320" spans="1:40" x14ac:dyDescent="0.25">
      <c r="A320" t="str">
        <f>"20190303154421223"</f>
        <v>20190303154421223</v>
      </c>
      <c r="B320" t="str">
        <f>"1551599061220862"</f>
        <v>1551599061220862</v>
      </c>
      <c r="C320" t="s">
        <v>40</v>
      </c>
      <c r="D320">
        <v>4.4892960000000004</v>
      </c>
      <c r="E320">
        <v>0.50854650000000001</v>
      </c>
      <c r="F320" t="s">
        <v>42</v>
      </c>
      <c r="G320">
        <v>-430.17610000000002</v>
      </c>
      <c r="H320">
        <v>0.9735644</v>
      </c>
      <c r="I320">
        <v>367.99079999999998</v>
      </c>
      <c r="J320">
        <v>-430.69170000000003</v>
      </c>
      <c r="K320">
        <v>1.070066</v>
      </c>
      <c r="L320">
        <v>368.03030000000001</v>
      </c>
      <c r="M320">
        <v>0.99992780000000003</v>
      </c>
      <c r="N320">
        <v>-5.3683169999999896E-3</v>
      </c>
      <c r="O320">
        <v>-1.0763490000000001E-2</v>
      </c>
      <c r="P320">
        <v>0.99440260000000003</v>
      </c>
      <c r="Q320">
        <v>-0.1007361</v>
      </c>
      <c r="R320">
        <v>-3.1875790000000001E-2</v>
      </c>
      <c r="S320">
        <v>2.9709469999999998</v>
      </c>
      <c r="T320">
        <v>-0.39792230000000001</v>
      </c>
      <c r="U320">
        <v>-0.17047119999999999</v>
      </c>
      <c r="V320">
        <v>2.1162429999999999E-2</v>
      </c>
      <c r="W320">
        <v>-9.5396679999999998E-2</v>
      </c>
      <c r="X320">
        <v>0.9952143</v>
      </c>
      <c r="Y320">
        <v>4.619637E-2</v>
      </c>
      <c r="Z320">
        <v>-1.8257029999999999E-3</v>
      </c>
      <c r="AA320">
        <v>0.99893069999999895</v>
      </c>
      <c r="AB320">
        <v>20</v>
      </c>
      <c r="AC320">
        <v>0.51560000000000605</v>
      </c>
      <c r="AD320">
        <v>-9.6501599999999896E-2</v>
      </c>
      <c r="AE320">
        <v>-3.9500000000032197E-2</v>
      </c>
      <c r="AF320">
        <v>3.28054976933475E-2</v>
      </c>
      <c r="AG320">
        <v>-9.6501599999999896E-2</v>
      </c>
      <c r="AH320">
        <v>0.49863007761072298</v>
      </c>
      <c r="AI320">
        <v>100.930178700159</v>
      </c>
      <c r="AJ320">
        <v>86.235863615291393</v>
      </c>
      <c r="AK320">
        <v>0.50894077629872003</v>
      </c>
      <c r="AL320">
        <v>95.474151932097499</v>
      </c>
      <c r="AM320">
        <v>88.781835008098099</v>
      </c>
      <c r="AN320">
        <v>0.99999993896150596</v>
      </c>
    </row>
    <row r="321" spans="1:40" x14ac:dyDescent="0.25">
      <c r="A321" t="str">
        <f>"20190303154421248"</f>
        <v>20190303154421248</v>
      </c>
      <c r="B321" t="str">
        <f>"1551599061240381"</f>
        <v>1551599061240381</v>
      </c>
      <c r="C321" t="s">
        <v>40</v>
      </c>
      <c r="D321">
        <v>4.5032350000000001</v>
      </c>
      <c r="E321">
        <v>0.50842529999999997</v>
      </c>
      <c r="F321" t="s">
        <v>42</v>
      </c>
      <c r="G321">
        <v>-429.81650000000002</v>
      </c>
      <c r="H321">
        <v>0.95354819999999996</v>
      </c>
      <c r="I321">
        <v>367.98160000000001</v>
      </c>
      <c r="J321">
        <v>-430.47059999999999</v>
      </c>
      <c r="K321">
        <v>1.0700620000000001</v>
      </c>
      <c r="L321">
        <v>368.02789999999999</v>
      </c>
      <c r="M321">
        <v>0.99992689999999995</v>
      </c>
      <c r="N321">
        <v>-5.4126819999999898E-3</v>
      </c>
      <c r="O321">
        <v>-1.0808359999999999E-2</v>
      </c>
      <c r="P321">
        <v>0.99460459999999995</v>
      </c>
      <c r="Q321">
        <v>-9.9187529999999996E-2</v>
      </c>
      <c r="R321">
        <v>-3.0391390000000001E-2</v>
      </c>
      <c r="S321">
        <v>2.971527</v>
      </c>
      <c r="T321">
        <v>-0.39577069999999998</v>
      </c>
      <c r="U321">
        <v>-0.16458130000000001</v>
      </c>
      <c r="V321">
        <v>1.9629850000000001E-2</v>
      </c>
      <c r="W321">
        <v>-9.3803139999999993E-2</v>
      </c>
      <c r="X321">
        <v>0.99539719999999998</v>
      </c>
      <c r="Y321">
        <v>4.4188739999999997E-2</v>
      </c>
      <c r="Z321">
        <v>-1.6739910000000001E-3</v>
      </c>
      <c r="AA321">
        <v>0.99902179999999996</v>
      </c>
      <c r="AB321">
        <v>21</v>
      </c>
      <c r="AC321">
        <v>0.65409999999997104</v>
      </c>
      <c r="AD321">
        <v>-0.1165138</v>
      </c>
      <c r="AE321">
        <v>-4.62999999999738E-2</v>
      </c>
      <c r="AF321">
        <v>3.8026876001499101E-2</v>
      </c>
      <c r="AG321">
        <v>-0.1165138</v>
      </c>
      <c r="AH321">
        <v>0.63452915838299395</v>
      </c>
      <c r="AI321">
        <v>100.3866550516</v>
      </c>
      <c r="AJ321">
        <v>86.570407041374693</v>
      </c>
      <c r="AK321">
        <v>0.64625750419403605</v>
      </c>
      <c r="AL321">
        <v>95.3824373115431</v>
      </c>
      <c r="AM321">
        <v>88.870238141290301</v>
      </c>
      <c r="AN321">
        <v>0.99999997292636</v>
      </c>
    </row>
    <row r="322" spans="1:40" x14ac:dyDescent="0.25">
      <c r="A322" t="str">
        <f>"20190303154421268"</f>
        <v>20190303154421268</v>
      </c>
      <c r="B322" t="str">
        <f>"1551599061260878"</f>
        <v>1551599061260878</v>
      </c>
      <c r="C322" t="s">
        <v>40</v>
      </c>
      <c r="D322">
        <v>4.5215459999999998</v>
      </c>
      <c r="E322">
        <v>0.50854290000000002</v>
      </c>
      <c r="F322" t="s">
        <v>42</v>
      </c>
      <c r="G322">
        <v>-429.62810000000002</v>
      </c>
      <c r="H322">
        <v>0.95834390000000003</v>
      </c>
      <c r="I322">
        <v>367.98289999999997</v>
      </c>
      <c r="J322">
        <v>-430.26889999999997</v>
      </c>
      <c r="K322">
        <v>1.0700559999999999</v>
      </c>
      <c r="L322">
        <v>368.02569999999997</v>
      </c>
      <c r="M322">
        <v>0.99992619999999999</v>
      </c>
      <c r="N322">
        <v>-5.4610589999999999E-3</v>
      </c>
      <c r="O322">
        <v>-1.0861839999999999E-2</v>
      </c>
      <c r="P322">
        <v>0.9946026</v>
      </c>
      <c r="Q322">
        <v>-9.9312659999999997E-2</v>
      </c>
      <c r="R322">
        <v>-3.0046509999999998E-2</v>
      </c>
      <c r="S322">
        <v>2.9721069999999998</v>
      </c>
      <c r="T322">
        <v>-0.39408799999999999</v>
      </c>
      <c r="U322">
        <v>-0.1590271</v>
      </c>
      <c r="V322">
        <v>1.922983E-2</v>
      </c>
      <c r="W322">
        <v>-9.3880489999999997E-2</v>
      </c>
      <c r="X322">
        <v>0.99539770000000005</v>
      </c>
      <c r="Y322">
        <v>4.228324E-2</v>
      </c>
      <c r="Z322">
        <v>-1.5313760000000001E-3</v>
      </c>
      <c r="AA322">
        <v>0.99910449999999995</v>
      </c>
      <c r="AB322">
        <v>21</v>
      </c>
      <c r="AC322">
        <v>0.64079999999995596</v>
      </c>
      <c r="AD322">
        <v>-0.111712099999999</v>
      </c>
      <c r="AE322">
        <v>-4.2799999999999699E-2</v>
      </c>
      <c r="AF322">
        <v>3.4784634890103298E-2</v>
      </c>
      <c r="AG322">
        <v>-0.111712099999999</v>
      </c>
      <c r="AH322">
        <v>0.62239542688149396</v>
      </c>
      <c r="AI322">
        <v>100.159995801066</v>
      </c>
      <c r="AJ322">
        <v>86.801162887774595</v>
      </c>
      <c r="AK322">
        <v>0.63329742737030303</v>
      </c>
      <c r="AL322">
        <v>95.386888870260904</v>
      </c>
      <c r="AM322">
        <v>88.893255366218497</v>
      </c>
      <c r="AN322">
        <v>0.99999995696487798</v>
      </c>
    </row>
    <row r="323" spans="1:40" x14ac:dyDescent="0.25">
      <c r="A323" t="str">
        <f>"20190303154421291"</f>
        <v>20190303154421291</v>
      </c>
      <c r="B323" t="str">
        <f>"1551599061280398"</f>
        <v>1551599061280398</v>
      </c>
      <c r="C323" t="s">
        <v>40</v>
      </c>
      <c r="D323">
        <v>4.4983719999999998</v>
      </c>
      <c r="E323">
        <v>0.5082411</v>
      </c>
      <c r="F323" t="s">
        <v>42</v>
      </c>
      <c r="G323">
        <v>-429.44060000000002</v>
      </c>
      <c r="H323">
        <v>0.95956180000000002</v>
      </c>
      <c r="I323">
        <v>367.98110000000003</v>
      </c>
      <c r="J323">
        <v>-430.06229999999999</v>
      </c>
      <c r="K323">
        <v>1.070036</v>
      </c>
      <c r="L323">
        <v>368.02330000000001</v>
      </c>
      <c r="M323">
        <v>0.99992499999999995</v>
      </c>
      <c r="N323">
        <v>-5.5234940000000003E-3</v>
      </c>
      <c r="O323">
        <v>-1.093948E-2</v>
      </c>
      <c r="P323">
        <v>0.99444480000000002</v>
      </c>
      <c r="Q323">
        <v>-0.10076789999999999</v>
      </c>
      <c r="R323">
        <v>-3.0421179999999999E-2</v>
      </c>
      <c r="S323">
        <v>2.9718629999999999</v>
      </c>
      <c r="T323">
        <v>-0.39662219999999998</v>
      </c>
      <c r="U323">
        <v>-0.15884400000000001</v>
      </c>
      <c r="V323">
        <v>1.952541E-2</v>
      </c>
      <c r="W323">
        <v>-9.5275100000000001E-2</v>
      </c>
      <c r="X323">
        <v>0.99525949999999996</v>
      </c>
      <c r="Y323">
        <v>4.2146570000000001E-2</v>
      </c>
      <c r="Z323">
        <v>-1.522806E-3</v>
      </c>
      <c r="AA323">
        <v>0.99911030000000001</v>
      </c>
      <c r="AB323">
        <v>21</v>
      </c>
      <c r="AC323">
        <v>0.62169999999997505</v>
      </c>
      <c r="AD323">
        <v>-0.110474199999999</v>
      </c>
      <c r="AE323">
        <v>-4.2199999999979802E-2</v>
      </c>
      <c r="AF323">
        <v>3.4317645624638099E-2</v>
      </c>
      <c r="AG323">
        <v>-0.110474199999999</v>
      </c>
      <c r="AH323">
        <v>0.60316610162578699</v>
      </c>
      <c r="AI323">
        <v>100.362697430262</v>
      </c>
      <c r="AJ323">
        <v>86.743618909058796</v>
      </c>
      <c r="AK323">
        <v>0.61415925932717796</v>
      </c>
      <c r="AL323">
        <v>95.467153540948999</v>
      </c>
      <c r="AM323">
        <v>88.876092020368503</v>
      </c>
      <c r="AN323">
        <v>1.0000000293279601</v>
      </c>
    </row>
    <row r="324" spans="1:40" x14ac:dyDescent="0.25">
      <c r="A324" t="str">
        <f>"20190303154421312"</f>
        <v>20190303154421312</v>
      </c>
      <c r="B324" t="str">
        <f>"1551599061310653"</f>
        <v>1551599061310653</v>
      </c>
      <c r="C324" t="s">
        <v>40</v>
      </c>
      <c r="D324">
        <v>4.5134410000000003</v>
      </c>
      <c r="E324">
        <v>0.50795349999999995</v>
      </c>
      <c r="F324" t="s">
        <v>42</v>
      </c>
      <c r="G324">
        <v>-429.25299999999999</v>
      </c>
      <c r="H324">
        <v>0.95938939999999995</v>
      </c>
      <c r="I324">
        <v>367.98020000000002</v>
      </c>
      <c r="J324">
        <v>-429.86040000000003</v>
      </c>
      <c r="K324">
        <v>1.070011</v>
      </c>
      <c r="L324">
        <v>368.02109999999999</v>
      </c>
      <c r="M324">
        <v>0.99992329999999996</v>
      </c>
      <c r="N324">
        <v>-5.6015980000000002E-3</v>
      </c>
      <c r="O324">
        <v>-1.105096E-2</v>
      </c>
      <c r="P324">
        <v>0.99435479999999998</v>
      </c>
      <c r="Q324">
        <v>-0.1014583</v>
      </c>
      <c r="R324">
        <v>-3.106188E-2</v>
      </c>
      <c r="S324">
        <v>2.9707340000000002</v>
      </c>
      <c r="T324">
        <v>-0.40628150000000002</v>
      </c>
      <c r="U324">
        <v>-0.15771479999999999</v>
      </c>
      <c r="V324">
        <v>2.0050689999999999E-2</v>
      </c>
      <c r="W324">
        <v>-9.5889470000000004E-2</v>
      </c>
      <c r="X324">
        <v>0.99519000000000002</v>
      </c>
      <c r="Y324">
        <v>4.1667629999999997E-2</v>
      </c>
      <c r="Z324">
        <v>-1.5098640000000001E-3</v>
      </c>
      <c r="AA324">
        <v>0.99913039999999997</v>
      </c>
      <c r="AB324">
        <v>21</v>
      </c>
      <c r="AC324">
        <v>0.60739999999998395</v>
      </c>
      <c r="AD324">
        <v>-0.1106216</v>
      </c>
      <c r="AE324">
        <v>-4.0899999999964999E-2</v>
      </c>
      <c r="AF324">
        <v>3.30923634129641E-2</v>
      </c>
      <c r="AG324">
        <v>-0.1106216</v>
      </c>
      <c r="AH324">
        <v>0.58838687903648401</v>
      </c>
      <c r="AI324">
        <v>100.631367915366</v>
      </c>
      <c r="AJ324">
        <v>86.780932071521704</v>
      </c>
      <c r="AK324">
        <v>0.59960934142582401</v>
      </c>
      <c r="AL324">
        <v>95.502516536890496</v>
      </c>
      <c r="AM324">
        <v>88.845783713697102</v>
      </c>
      <c r="AN324">
        <v>0.999999978363178</v>
      </c>
    </row>
    <row r="325" spans="1:40" x14ac:dyDescent="0.25">
      <c r="A325" t="str">
        <f>"20190303154421335"</f>
        <v>20190303154421335</v>
      </c>
      <c r="B325" t="str">
        <f>"1551599061330174"</f>
        <v>1551599061330174</v>
      </c>
      <c r="C325" t="s">
        <v>40</v>
      </c>
      <c r="D325">
        <v>4.5215480000000001</v>
      </c>
      <c r="E325">
        <v>0.50780369999999997</v>
      </c>
      <c r="F325" t="s">
        <v>42</v>
      </c>
      <c r="G325">
        <v>-429.06470000000002</v>
      </c>
      <c r="H325">
        <v>0.95878039999999998</v>
      </c>
      <c r="I325">
        <v>367.97840000000002</v>
      </c>
      <c r="J325">
        <v>-429.6524</v>
      </c>
      <c r="K325">
        <v>1.0699809999999901</v>
      </c>
      <c r="L325">
        <v>368.01859999999999</v>
      </c>
      <c r="M325">
        <v>0.99992099999999995</v>
      </c>
      <c r="N325">
        <v>-5.7020459999999997E-3</v>
      </c>
      <c r="O325">
        <v>-1.121493E-2</v>
      </c>
      <c r="P325">
        <v>0.99437229999999999</v>
      </c>
      <c r="Q325">
        <v>-0.10097920000000001</v>
      </c>
      <c r="R325">
        <v>-3.2045169999999998E-2</v>
      </c>
      <c r="S325">
        <v>2.969757</v>
      </c>
      <c r="T325">
        <v>-0.4152515</v>
      </c>
      <c r="U325">
        <v>-0.15765379999999901</v>
      </c>
      <c r="V325">
        <v>2.0863059999999999E-2</v>
      </c>
      <c r="W325">
        <v>-9.5312060000000004E-2</v>
      </c>
      <c r="X325">
        <v>0.99522880000000002</v>
      </c>
      <c r="Y325">
        <v>4.1490140000000002E-2</v>
      </c>
      <c r="Z325">
        <v>-1.5079189999999999E-3</v>
      </c>
      <c r="AA325">
        <v>0.99913779999999996</v>
      </c>
      <c r="AB325">
        <v>21</v>
      </c>
      <c r="AC325">
        <v>0.58769999999998301</v>
      </c>
      <c r="AD325">
        <v>-0.111200599999999</v>
      </c>
      <c r="AE325">
        <v>-4.0199999999970197E-2</v>
      </c>
      <c r="AF325">
        <v>3.2449998590721202E-2</v>
      </c>
      <c r="AG325">
        <v>-0.111200599999999</v>
      </c>
      <c r="AH325">
        <v>0.56787762081444204</v>
      </c>
      <c r="AI325">
        <v>101.061748330339</v>
      </c>
      <c r="AJ325">
        <v>86.729527279421106</v>
      </c>
      <c r="AK325">
        <v>0.57957188343705002</v>
      </c>
      <c r="AL325">
        <v>95.469280978864504</v>
      </c>
      <c r="AM325">
        <v>88.799079939689193</v>
      </c>
      <c r="AN325">
        <v>1.0000000102017199</v>
      </c>
    </row>
    <row r="326" spans="1:40" x14ac:dyDescent="0.25">
      <c r="A326" t="str">
        <f>"20190303154421358"</f>
        <v>20190303154421358</v>
      </c>
      <c r="B326" t="str">
        <f>"1551599061350670"</f>
        <v>1551599061350670</v>
      </c>
      <c r="C326" t="s">
        <v>40</v>
      </c>
      <c r="D326">
        <v>4.513007</v>
      </c>
      <c r="E326">
        <v>0.50767399999999996</v>
      </c>
      <c r="F326" t="s">
        <v>42</v>
      </c>
      <c r="G326">
        <v>-428.87459999999999</v>
      </c>
      <c r="H326">
        <v>0.96036310000000003</v>
      </c>
      <c r="I326">
        <v>367.97660000000002</v>
      </c>
      <c r="J326">
        <v>-429.42669999999998</v>
      </c>
      <c r="K326">
        <v>1.0699620000000001</v>
      </c>
      <c r="L326">
        <v>368.01580000000001</v>
      </c>
      <c r="M326">
        <v>0.99991719999999895</v>
      </c>
      <c r="N326">
        <v>-5.8418609999999899E-3</v>
      </c>
      <c r="O326">
        <v>-1.146081E-2</v>
      </c>
      <c r="P326">
        <v>0.99441429999999997</v>
      </c>
      <c r="Q326">
        <v>-0.1003928</v>
      </c>
      <c r="R326">
        <v>-3.2583790000000001E-2</v>
      </c>
      <c r="S326">
        <v>2.9692989999999999</v>
      </c>
      <c r="T326">
        <v>-0.41852780000000001</v>
      </c>
      <c r="U326">
        <v>-0.1596069</v>
      </c>
      <c r="V326">
        <v>2.1145609999999999E-2</v>
      </c>
      <c r="W326">
        <v>-9.4588770000000003E-2</v>
      </c>
      <c r="X326">
        <v>0.99529179999999995</v>
      </c>
      <c r="Y326">
        <v>4.1900420000000001E-2</v>
      </c>
      <c r="Z326">
        <v>-1.519872E-3</v>
      </c>
      <c r="AA326">
        <v>0.99912069999999997</v>
      </c>
      <c r="AB326">
        <v>21</v>
      </c>
      <c r="AC326">
        <v>0.55209999999999504</v>
      </c>
      <c r="AD326">
        <v>-0.1095989</v>
      </c>
      <c r="AE326">
        <v>-3.9199999999993899E-2</v>
      </c>
      <c r="AF326">
        <v>3.16296174460945E-2</v>
      </c>
      <c r="AG326">
        <v>-0.1095989</v>
      </c>
      <c r="AH326">
        <v>0.53166654804498403</v>
      </c>
      <c r="AI326">
        <v>101.627917291605</v>
      </c>
      <c r="AJ326">
        <v>86.595403381649206</v>
      </c>
      <c r="AK326">
        <v>0.54376619046338803</v>
      </c>
      <c r="AL326">
        <v>95.427651652374905</v>
      </c>
      <c r="AM326">
        <v>88.7828976705309</v>
      </c>
      <c r="AN326">
        <v>0.99999996968981197</v>
      </c>
    </row>
    <row r="327" spans="1:40" x14ac:dyDescent="0.25">
      <c r="A327" t="str">
        <f>"20190303154421380"</f>
        <v>20190303154421380</v>
      </c>
      <c r="B327" t="str">
        <f>"1551599061370190"</f>
        <v>1551599061370190</v>
      </c>
      <c r="C327" t="s">
        <v>40</v>
      </c>
      <c r="D327">
        <v>4.5265760000000004</v>
      </c>
      <c r="E327">
        <v>0.50753689999999996</v>
      </c>
      <c r="F327" t="s">
        <v>42</v>
      </c>
      <c r="G327">
        <v>-428.68259999999998</v>
      </c>
      <c r="H327">
        <v>0.96452740000000003</v>
      </c>
      <c r="I327">
        <v>367.9753</v>
      </c>
      <c r="J327">
        <v>-429.20679999999999</v>
      </c>
      <c r="K327">
        <v>1.069939</v>
      </c>
      <c r="L327">
        <v>368.01299999999998</v>
      </c>
      <c r="M327">
        <v>0.99991260000000004</v>
      </c>
      <c r="N327">
        <v>-6.0206649999999997E-3</v>
      </c>
      <c r="O327">
        <v>-1.1779619999999999E-2</v>
      </c>
      <c r="P327">
        <v>0.9944944</v>
      </c>
      <c r="Q327">
        <v>-9.9702250000000006E-2</v>
      </c>
      <c r="R327">
        <v>-3.2257769999999998E-2</v>
      </c>
      <c r="S327">
        <v>2.9690859999999999</v>
      </c>
      <c r="T327">
        <v>-0.42081950000000001</v>
      </c>
      <c r="U327">
        <v>-0.16033939999999999</v>
      </c>
      <c r="V327">
        <v>2.0489239999999999E-2</v>
      </c>
      <c r="W327">
        <v>-9.3722310000000003E-2</v>
      </c>
      <c r="X327">
        <v>0.99538749999999998</v>
      </c>
      <c r="Y327">
        <v>4.1830819999999998E-2</v>
      </c>
      <c r="Z327">
        <v>-1.484857E-3</v>
      </c>
      <c r="AA327">
        <v>0.9991236</v>
      </c>
      <c r="AB327">
        <v>21</v>
      </c>
      <c r="AC327">
        <v>0.52420000000000699</v>
      </c>
      <c r="AD327">
        <v>-0.10541159999999999</v>
      </c>
      <c r="AE327">
        <v>-3.77000000000293E-2</v>
      </c>
      <c r="AF327">
        <v>3.03033156296371E-2</v>
      </c>
      <c r="AG327">
        <v>-0.10541159999999999</v>
      </c>
      <c r="AH327">
        <v>0.50431932581588002</v>
      </c>
      <c r="AI327">
        <v>101.78519679732899</v>
      </c>
      <c r="AJ327">
        <v>86.561371080965699</v>
      </c>
      <c r="AK327">
        <v>0.51610839824991495</v>
      </c>
      <c r="AL327">
        <v>95.377785574752394</v>
      </c>
      <c r="AM327">
        <v>88.820779630306404</v>
      </c>
      <c r="AN327">
        <v>0.99999997775188099</v>
      </c>
    </row>
    <row r="328" spans="1:40" x14ac:dyDescent="0.25">
      <c r="A328" t="str">
        <f>"20190303154421404"</f>
        <v>20190303154421404</v>
      </c>
      <c r="B328" t="str">
        <f>"1551599061400446"</f>
        <v>1551599061400446</v>
      </c>
      <c r="C328" t="s">
        <v>40</v>
      </c>
      <c r="D328">
        <v>4.4344580000000002</v>
      </c>
      <c r="E328">
        <v>0.49693920000000003</v>
      </c>
      <c r="F328" t="s">
        <v>42</v>
      </c>
      <c r="G328">
        <v>-428.49020000000002</v>
      </c>
      <c r="H328">
        <v>0.96812209999999999</v>
      </c>
      <c r="I328">
        <v>367.97469999999998</v>
      </c>
      <c r="J328">
        <v>-428.9948</v>
      </c>
      <c r="K328">
        <v>1.0699179999999999</v>
      </c>
      <c r="L328">
        <v>368.01010000000002</v>
      </c>
      <c r="M328">
        <v>0.99990630000000003</v>
      </c>
      <c r="N328">
        <v>-6.243101E-3</v>
      </c>
      <c r="O328">
        <v>-1.217649E-2</v>
      </c>
      <c r="P328">
        <v>0.99467660000000002</v>
      </c>
      <c r="Q328">
        <v>-9.8314970000000002E-2</v>
      </c>
      <c r="R328">
        <v>-3.086442E-2</v>
      </c>
      <c r="S328">
        <v>2.9691770000000002</v>
      </c>
      <c r="T328">
        <v>-0.42180109999999899</v>
      </c>
      <c r="U328">
        <v>-0.15835569999999999</v>
      </c>
      <c r="V328">
        <v>1.8686580000000001E-2</v>
      </c>
      <c r="W328">
        <v>-9.2114230000000005E-2</v>
      </c>
      <c r="X328">
        <v>0.99557309999999999</v>
      </c>
      <c r="Y328">
        <v>4.077915E-2</v>
      </c>
      <c r="Z328">
        <v>-1.3639399999999999E-3</v>
      </c>
      <c r="AA328">
        <v>0.99916729999999998</v>
      </c>
      <c r="AB328">
        <v>21</v>
      </c>
      <c r="AC328">
        <v>0.50459999999998195</v>
      </c>
      <c r="AD328">
        <v>-0.101795899999999</v>
      </c>
      <c r="AE328">
        <v>-3.54000000000382E-2</v>
      </c>
      <c r="AF328">
        <v>2.8114419873198401E-2</v>
      </c>
      <c r="AG328">
        <v>-0.101795899999999</v>
      </c>
      <c r="AH328">
        <v>0.48533839778959598</v>
      </c>
      <c r="AI328">
        <v>101.826360614335</v>
      </c>
      <c r="AJ328">
        <v>86.684706056577795</v>
      </c>
      <c r="AK328">
        <v>0.49669526495688299</v>
      </c>
      <c r="AL328">
        <v>95.285248864866006</v>
      </c>
      <c r="AM328">
        <v>88.924703306593301</v>
      </c>
      <c r="AN328">
        <v>1.0000000085420899</v>
      </c>
    </row>
    <row r="329" spans="1:40" x14ac:dyDescent="0.25">
      <c r="A329" t="str">
        <f>"20190303154421423"</f>
        <v>20190303154421423</v>
      </c>
      <c r="B329" t="str">
        <f>"1551599061419966"</f>
        <v>1551599061419966</v>
      </c>
      <c r="C329" t="s">
        <v>40</v>
      </c>
      <c r="D329">
        <v>4.4267839999999996</v>
      </c>
      <c r="E329">
        <v>0.49360090000000001</v>
      </c>
      <c r="F329" t="s">
        <v>43</v>
      </c>
      <c r="G329">
        <v>-411.38159999999999</v>
      </c>
      <c r="H329">
        <v>-0.05</v>
      </c>
      <c r="I329">
        <v>367.61599999999999</v>
      </c>
      <c r="J329">
        <v>-428.80040000000002</v>
      </c>
      <c r="K329">
        <v>1.0699080000000001</v>
      </c>
      <c r="L329">
        <v>368.00720000000001</v>
      </c>
      <c r="M329">
        <v>0.9998996</v>
      </c>
      <c r="N329">
        <v>-6.4837760000000001E-3</v>
      </c>
      <c r="O329">
        <v>-1.260824E-2</v>
      </c>
      <c r="P329">
        <v>0.99486459999999999</v>
      </c>
      <c r="Q329">
        <v>-9.6920800000000001E-2</v>
      </c>
      <c r="R329">
        <v>-2.917117E-2</v>
      </c>
      <c r="S329">
        <v>2.9951479999999999</v>
      </c>
      <c r="T329">
        <v>-0.1904438</v>
      </c>
      <c r="U329">
        <v>-6.7016599999999996E-2</v>
      </c>
      <c r="V329">
        <v>1.655131E-2</v>
      </c>
      <c r="W329">
        <v>-9.047993E-2</v>
      </c>
      <c r="X329">
        <v>0.99576070000000005</v>
      </c>
      <c r="Y329">
        <v>9.761133E-3</v>
      </c>
      <c r="Z329">
        <v>3.7740210000000002E-4</v>
      </c>
      <c r="AA329">
        <v>0.99995230000000002</v>
      </c>
      <c r="AB329">
        <v>21</v>
      </c>
      <c r="AC329">
        <v>17.418800000000001</v>
      </c>
      <c r="AD329">
        <v>-1.1199079999999999</v>
      </c>
      <c r="AE329">
        <v>-0.39120000000002603</v>
      </c>
      <c r="AF329">
        <v>0.170838079892213</v>
      </c>
      <c r="AG329">
        <v>-1.1199079999999999</v>
      </c>
      <c r="AH329">
        <v>17.3506633112301</v>
      </c>
      <c r="AI329">
        <v>93.692885835122496</v>
      </c>
      <c r="AJ329">
        <v>89.435872595575105</v>
      </c>
      <c r="AK329">
        <v>17.3876075673932</v>
      </c>
      <c r="AL329">
        <v>95.191217872967002</v>
      </c>
      <c r="AM329">
        <v>89.047730154598895</v>
      </c>
      <c r="AN329">
        <v>0.99999996763000498</v>
      </c>
    </row>
    <row r="330" spans="1:40" x14ac:dyDescent="0.25">
      <c r="A330" t="str">
        <f>"20190303154421448"</f>
        <v>20190303154421448</v>
      </c>
      <c r="B330" t="str">
        <f>"1551599061440462"</f>
        <v>1551599061440462</v>
      </c>
      <c r="C330" t="s">
        <v>40</v>
      </c>
      <c r="D330">
        <v>4.430688</v>
      </c>
      <c r="E330">
        <v>0.49228260000000001</v>
      </c>
      <c r="F330" t="s">
        <v>43</v>
      </c>
      <c r="G330">
        <v>-400.178</v>
      </c>
      <c r="H330">
        <v>-0.05</v>
      </c>
      <c r="I330">
        <v>367.67910000000001</v>
      </c>
      <c r="J330">
        <v>-428.56200000000001</v>
      </c>
      <c r="K330">
        <v>1.0699080000000001</v>
      </c>
      <c r="L330">
        <v>368.00360000000001</v>
      </c>
      <c r="M330">
        <v>0.99988949999999999</v>
      </c>
      <c r="N330">
        <v>-6.8050599999999999E-3</v>
      </c>
      <c r="O330">
        <v>-1.321427E-2</v>
      </c>
      <c r="P330">
        <v>0.99492910000000001</v>
      </c>
      <c r="Q330">
        <v>-9.6463430000000003E-2</v>
      </c>
      <c r="R330">
        <v>-2.8471130000000001E-2</v>
      </c>
      <c r="S330">
        <v>3.0030209999999999</v>
      </c>
      <c r="T330">
        <v>-0.1174991</v>
      </c>
      <c r="U330">
        <v>-3.4423830000000002E-2</v>
      </c>
      <c r="V330">
        <v>1.523731E-2</v>
      </c>
      <c r="W330">
        <v>-8.970293E-2</v>
      </c>
      <c r="X330">
        <v>0.99585199999999996</v>
      </c>
      <c r="Y330">
        <v>-1.7439339999999999E-3</v>
      </c>
      <c r="Z330">
        <v>4.6694130000000001E-4</v>
      </c>
      <c r="AA330">
        <v>0.99999839999999995</v>
      </c>
      <c r="AB330">
        <v>21</v>
      </c>
      <c r="AC330">
        <v>28.383999999999901</v>
      </c>
      <c r="AD330">
        <v>-1.1199079999999999</v>
      </c>
      <c r="AE330">
        <v>-0.32450000000000001</v>
      </c>
      <c r="AF330">
        <v>-5.0532214882620302E-2</v>
      </c>
      <c r="AG330">
        <v>-1.1199079999999999</v>
      </c>
      <c r="AH330">
        <v>28.341694715953899</v>
      </c>
      <c r="AI330">
        <v>92.262833458857997</v>
      </c>
      <c r="AJ330">
        <v>90.102156190843502</v>
      </c>
      <c r="AK330">
        <v>28.3638574034904</v>
      </c>
      <c r="AL330">
        <v>95.146517114901798</v>
      </c>
      <c r="AM330">
        <v>89.123398422689405</v>
      </c>
      <c r="AN330">
        <v>0.99999999858530997</v>
      </c>
    </row>
    <row r="331" spans="1:40" x14ac:dyDescent="0.25">
      <c r="A331" t="str">
        <f>"20190303154421470"</f>
        <v>20190303154421470</v>
      </c>
      <c r="B331" t="str">
        <f>"1551599061459982"</f>
        <v>1551599061459982</v>
      </c>
      <c r="C331" t="s">
        <v>40</v>
      </c>
      <c r="D331">
        <v>4.443333</v>
      </c>
      <c r="E331">
        <v>0.4920292</v>
      </c>
      <c r="F331" t="s">
        <v>41</v>
      </c>
      <c r="G331">
        <v>-394.12889999999999</v>
      </c>
      <c r="H331" s="1">
        <v>-2.8309639999999999E-6</v>
      </c>
      <c r="I331">
        <v>367.75599999999997</v>
      </c>
      <c r="J331">
        <v>-428.35239999999999</v>
      </c>
      <c r="K331">
        <v>1.0699259999999999</v>
      </c>
      <c r="L331">
        <v>368.00009999999997</v>
      </c>
      <c r="M331">
        <v>0.99987969999999904</v>
      </c>
      <c r="N331">
        <v>-7.1027269999999997E-3</v>
      </c>
      <c r="O331">
        <v>-1.379756E-2</v>
      </c>
      <c r="P331">
        <v>0.99498770000000003</v>
      </c>
      <c r="Q331">
        <v>-9.5848639999999999E-2</v>
      </c>
      <c r="R331">
        <v>-2.8517770000000001E-2</v>
      </c>
      <c r="S331">
        <v>3.005646</v>
      </c>
      <c r="T331">
        <v>-9.3391660000000001E-2</v>
      </c>
      <c r="U331">
        <v>-2.1606449999999999E-2</v>
      </c>
      <c r="V331">
        <v>1.4697139999999999E-2</v>
      </c>
      <c r="W331">
        <v>-8.8791720000000005E-2</v>
      </c>
      <c r="X331">
        <v>0.99594179999999999</v>
      </c>
      <c r="Y331">
        <v>-6.6019260000000001E-3</v>
      </c>
      <c r="Z331">
        <v>4.5660399999999999E-4</v>
      </c>
      <c r="AA331">
        <v>0.99997809999999998</v>
      </c>
      <c r="AB331">
        <v>21</v>
      </c>
      <c r="AC331">
        <v>34.223500000000001</v>
      </c>
      <c r="AD331">
        <v>-1.0699288309639901</v>
      </c>
      <c r="AE331">
        <v>-0.24410000000000301</v>
      </c>
      <c r="AF331">
        <v>-0.22791314251297201</v>
      </c>
      <c r="AG331">
        <v>-1.0699288309639901</v>
      </c>
      <c r="AH331">
        <v>34.190195221069402</v>
      </c>
      <c r="AI331">
        <v>91.792357322847806</v>
      </c>
      <c r="AJ331">
        <v>90.381930189637004</v>
      </c>
      <c r="AK331">
        <v>34.207691260280797</v>
      </c>
      <c r="AL331">
        <v>95.094099332046</v>
      </c>
      <c r="AM331">
        <v>89.154546004537707</v>
      </c>
      <c r="AN331">
        <v>1.0000000222259799</v>
      </c>
    </row>
    <row r="332" spans="1:40" x14ac:dyDescent="0.25">
      <c r="A332" t="str">
        <f>"20190303154421490"</f>
        <v>20190303154421490</v>
      </c>
      <c r="B332" t="str">
        <f>"1551599061480481"</f>
        <v>1551599061480481</v>
      </c>
      <c r="C332" t="s">
        <v>40</v>
      </c>
      <c r="D332">
        <v>4.4193069999999999</v>
      </c>
      <c r="E332">
        <v>0.4919229</v>
      </c>
      <c r="F332" t="s">
        <v>41</v>
      </c>
      <c r="G332">
        <v>-387.33710000000002</v>
      </c>
      <c r="H332" s="1">
        <v>-1.4602429999999999E-6</v>
      </c>
      <c r="I332">
        <v>367.72449999999998</v>
      </c>
      <c r="J332">
        <v>-428.15910000000002</v>
      </c>
      <c r="K332">
        <v>1.069958</v>
      </c>
      <c r="L332">
        <v>367.99680000000001</v>
      </c>
      <c r="M332">
        <v>0.99986949999999997</v>
      </c>
      <c r="N332">
        <v>-7.4025089999999998E-3</v>
      </c>
      <c r="O332">
        <v>-1.4363849999999999E-2</v>
      </c>
      <c r="P332">
        <v>0.99498059999999999</v>
      </c>
      <c r="Q332">
        <v>-9.562524E-2</v>
      </c>
      <c r="R332">
        <v>-2.9494389999999999E-2</v>
      </c>
      <c r="S332">
        <v>3.0069889999999999</v>
      </c>
      <c r="T332">
        <v>-7.8440549999999998E-2</v>
      </c>
      <c r="U332">
        <v>-2.0202640000000001E-2</v>
      </c>
      <c r="V332">
        <v>1.510776E-2</v>
      </c>
      <c r="W332">
        <v>-8.8270570000000007E-2</v>
      </c>
      <c r="X332">
        <v>0.99598189999999998</v>
      </c>
      <c r="Y332">
        <v>-7.6403549999999997E-3</v>
      </c>
      <c r="Z332">
        <v>3.9621570000000002E-4</v>
      </c>
      <c r="AA332">
        <v>0.99997069999999999</v>
      </c>
      <c r="AB332">
        <v>21</v>
      </c>
      <c r="AC332">
        <v>40.821999999999903</v>
      </c>
      <c r="AD332">
        <v>-1.069959460243</v>
      </c>
      <c r="AE332">
        <v>-0.27230000000002902</v>
      </c>
      <c r="AF332">
        <v>-0.31388957764095399</v>
      </c>
      <c r="AG332">
        <v>-1.069959460243</v>
      </c>
      <c r="AH332">
        <v>40.7936764127491</v>
      </c>
      <c r="AI332">
        <v>91.502396970137696</v>
      </c>
      <c r="AJ332">
        <v>90.440857375285802</v>
      </c>
      <c r="AK332">
        <v>40.808912938004099</v>
      </c>
      <c r="AL332">
        <v>95.064122337572897</v>
      </c>
      <c r="AM332">
        <v>89.130963619254004</v>
      </c>
      <c r="AN332">
        <v>0.99999994153397398</v>
      </c>
    </row>
    <row r="333" spans="1:40" x14ac:dyDescent="0.25">
      <c r="A333" t="str">
        <f>"20190303154421513"</f>
        <v>20190303154421513</v>
      </c>
      <c r="B333" t="str">
        <f>"1551599061510734"</f>
        <v>1551599061510734</v>
      </c>
      <c r="C333" t="s">
        <v>40</v>
      </c>
      <c r="D333">
        <v>4.4489330000000002</v>
      </c>
      <c r="E333">
        <v>0.49154199999999998</v>
      </c>
      <c r="F333" t="s">
        <v>41</v>
      </c>
      <c r="G333">
        <v>-385.1266</v>
      </c>
      <c r="H333" s="1">
        <v>-2.4173410000000002E-6</v>
      </c>
      <c r="I333">
        <v>367.67489999999998</v>
      </c>
      <c r="J333">
        <v>-427.94060000000002</v>
      </c>
      <c r="K333">
        <v>1.070011</v>
      </c>
      <c r="L333">
        <v>367.99299999999999</v>
      </c>
      <c r="M333">
        <v>0.99985679999999999</v>
      </c>
      <c r="N333">
        <v>-7.7956179999999998E-3</v>
      </c>
      <c r="O333">
        <v>-1.502526E-2</v>
      </c>
      <c r="P333">
        <v>0.9949559</v>
      </c>
      <c r="Q333">
        <v>-9.5107910000000004E-2</v>
      </c>
      <c r="R333">
        <v>-3.189587E-2</v>
      </c>
      <c r="S333">
        <v>3.0073240000000001</v>
      </c>
      <c r="T333">
        <v>-7.4774030000000005E-2</v>
      </c>
      <c r="U333">
        <v>-2.2491460000000001E-2</v>
      </c>
      <c r="V333">
        <v>1.6851080000000001E-2</v>
      </c>
      <c r="W333">
        <v>-8.7363510000000005E-2</v>
      </c>
      <c r="X333">
        <v>0.99603399999999997</v>
      </c>
      <c r="Y333">
        <v>-7.5422060000000001E-3</v>
      </c>
      <c r="Z333">
        <v>3.7953869999999998E-4</v>
      </c>
      <c r="AA333">
        <v>0.99997150000000001</v>
      </c>
      <c r="AB333">
        <v>21</v>
      </c>
      <c r="AC333">
        <v>42.814</v>
      </c>
      <c r="AD333">
        <v>-1.0700134173410001</v>
      </c>
      <c r="AE333">
        <v>-0.31810000000007199</v>
      </c>
      <c r="AF333">
        <v>-0.32504387864362499</v>
      </c>
      <c r="AG333">
        <v>-1.0700134173410001</v>
      </c>
      <c r="AH333">
        <v>42.7872225804417</v>
      </c>
      <c r="AI333">
        <v>91.4325003068858</v>
      </c>
      <c r="AJ333">
        <v>90.435253401165298</v>
      </c>
      <c r="AK333">
        <v>42.8018340539817</v>
      </c>
      <c r="AL333">
        <v>95.011949589638704</v>
      </c>
      <c r="AM333">
        <v>89.030752299822097</v>
      </c>
      <c r="AN333">
        <v>1.0000000354663401</v>
      </c>
    </row>
    <row r="334" spans="1:40" x14ac:dyDescent="0.25">
      <c r="A334" t="str">
        <f>"20190303154421536"</f>
        <v>20190303154421536</v>
      </c>
      <c r="B334" t="str">
        <f>"1551599061530254"</f>
        <v>1551599061530254</v>
      </c>
      <c r="C334" t="s">
        <v>40</v>
      </c>
      <c r="D334">
        <v>4.4404029999999999</v>
      </c>
      <c r="E334">
        <v>0.49091639999999998</v>
      </c>
      <c r="F334" t="s">
        <v>41</v>
      </c>
      <c r="G334">
        <v>-382.70760000000001</v>
      </c>
      <c r="H334" s="1">
        <v>-3.4692600000000001E-6</v>
      </c>
      <c r="I334">
        <v>367.5949</v>
      </c>
      <c r="J334">
        <v>-427.72329999999999</v>
      </c>
      <c r="K334">
        <v>1.0700829999999999</v>
      </c>
      <c r="L334">
        <v>367.9889</v>
      </c>
      <c r="M334">
        <v>0.99984309999999998</v>
      </c>
      <c r="N334">
        <v>-8.2654709999999999E-3</v>
      </c>
      <c r="O334">
        <v>-1.56752E-2</v>
      </c>
      <c r="P334">
        <v>0.99485429999999997</v>
      </c>
      <c r="Q334">
        <v>-9.5338489999999998E-2</v>
      </c>
      <c r="R334">
        <v>-3.428821E-2</v>
      </c>
      <c r="S334">
        <v>3.0075379999999998</v>
      </c>
      <c r="T334">
        <v>-7.1145180000000002E-2</v>
      </c>
      <c r="U334">
        <v>-2.6458740000000001E-2</v>
      </c>
      <c r="V334">
        <v>1.8598719999999999E-2</v>
      </c>
      <c r="W334">
        <v>-8.7128120000000003E-2</v>
      </c>
      <c r="X334">
        <v>0.99602349999999995</v>
      </c>
      <c r="Y334">
        <v>-6.8746270000000003E-3</v>
      </c>
      <c r="Z334">
        <v>3.5088909999999999E-4</v>
      </c>
      <c r="AA334">
        <v>0.99997630000000004</v>
      </c>
      <c r="AB334">
        <v>22</v>
      </c>
      <c r="AC334">
        <v>45.015699999999903</v>
      </c>
      <c r="AD334">
        <v>-1.0700864692599901</v>
      </c>
      <c r="AE334">
        <v>-0.39400000000000501</v>
      </c>
      <c r="AF334">
        <v>-0.311526503372897</v>
      </c>
      <c r="AG334">
        <v>-1.0700864692599901</v>
      </c>
      <c r="AH334">
        <v>44.990923564729698</v>
      </c>
      <c r="AI334">
        <v>91.362461741929806</v>
      </c>
      <c r="AJ334">
        <v>90.396721542626096</v>
      </c>
      <c r="AK334">
        <v>45.004725718765897</v>
      </c>
      <c r="AL334">
        <v>94.998411203765102</v>
      </c>
      <c r="AM334">
        <v>88.930241774547895</v>
      </c>
      <c r="AN334">
        <v>1.0000000171163099</v>
      </c>
    </row>
    <row r="335" spans="1:40" x14ac:dyDescent="0.25">
      <c r="A335" t="str">
        <f>"20190303154421557"</f>
        <v>20190303154421557</v>
      </c>
      <c r="B335" t="str">
        <f>"1551599061550750"</f>
        <v>1551599061550750</v>
      </c>
      <c r="C335" t="s">
        <v>40</v>
      </c>
      <c r="D335">
        <v>4.4317019999999996</v>
      </c>
      <c r="E335">
        <v>0.49050919999999998</v>
      </c>
      <c r="F335" t="s">
        <v>41</v>
      </c>
      <c r="G335">
        <v>-383.7013</v>
      </c>
      <c r="H335" s="1">
        <v>-3.0461829999999999E-6</v>
      </c>
      <c r="I335">
        <v>367.577</v>
      </c>
      <c r="J335">
        <v>-427.51150000000001</v>
      </c>
      <c r="K335">
        <v>1.07019</v>
      </c>
      <c r="L335">
        <v>367.98489999999998</v>
      </c>
      <c r="M335">
        <v>0.99982879999999996</v>
      </c>
      <c r="N335">
        <v>-8.8035860000000004E-3</v>
      </c>
      <c r="O335">
        <v>-1.6284420000000001E-2</v>
      </c>
      <c r="P335">
        <v>0.99480100000000005</v>
      </c>
      <c r="Q335">
        <v>-9.5149899999999996E-2</v>
      </c>
      <c r="R335">
        <v>-3.6300399999999997E-2</v>
      </c>
      <c r="S335">
        <v>3.007568</v>
      </c>
      <c r="T335">
        <v>-7.3107839999999993E-2</v>
      </c>
      <c r="U335">
        <v>-2.8137209999999999E-2</v>
      </c>
      <c r="V335">
        <v>2.0009619999999999E-2</v>
      </c>
      <c r="W335">
        <v>-8.6404259999999997E-2</v>
      </c>
      <c r="X335">
        <v>0.99605920000000003</v>
      </c>
      <c r="Y335">
        <v>-6.9257769999999897E-3</v>
      </c>
      <c r="Z335">
        <v>3.67053E-4</v>
      </c>
      <c r="AA335">
        <v>0.99997590000000003</v>
      </c>
      <c r="AB335">
        <v>21</v>
      </c>
      <c r="AC335">
        <v>43.810200000000002</v>
      </c>
      <c r="AD335">
        <v>-1.070193046183</v>
      </c>
      <c r="AE335">
        <v>-0.407899999999983</v>
      </c>
      <c r="AF335">
        <v>-0.305423086775237</v>
      </c>
      <c r="AG335">
        <v>-1.070193046183</v>
      </c>
      <c r="AH335">
        <v>43.784907735168098</v>
      </c>
      <c r="AI335">
        <v>91.400113665929794</v>
      </c>
      <c r="AJ335">
        <v>90.399662142086598</v>
      </c>
      <c r="AK335">
        <v>43.799049553560103</v>
      </c>
      <c r="AL335">
        <v>94.956780135102207</v>
      </c>
      <c r="AM335">
        <v>88.849152148243405</v>
      </c>
      <c r="AN335">
        <v>1.00000000547166</v>
      </c>
    </row>
    <row r="336" spans="1:40" x14ac:dyDescent="0.25">
      <c r="A336" t="str">
        <f>"20190303154421580"</f>
        <v>20190303154421580</v>
      </c>
      <c r="B336" t="str">
        <f>"1551599061570270"</f>
        <v>1551599061570270</v>
      </c>
      <c r="C336" t="s">
        <v>40</v>
      </c>
      <c r="D336">
        <v>4.4275169999999999</v>
      </c>
      <c r="E336">
        <v>0.49006339999999998</v>
      </c>
      <c r="F336" t="s">
        <v>41</v>
      </c>
      <c r="G336">
        <v>-383.65679999999998</v>
      </c>
      <c r="H336" s="1">
        <v>-3.0739680000000001E-6</v>
      </c>
      <c r="I336">
        <v>367.52780000000001</v>
      </c>
      <c r="J336">
        <v>-427.29939999999999</v>
      </c>
      <c r="K336">
        <v>1.0703199999999999</v>
      </c>
      <c r="L336">
        <v>367.98070000000001</v>
      </c>
      <c r="M336">
        <v>0.99981370000000003</v>
      </c>
      <c r="N336">
        <v>-9.3889290000000007E-3</v>
      </c>
      <c r="O336">
        <v>-1.687E-2</v>
      </c>
      <c r="P336">
        <v>0.99473319999999998</v>
      </c>
      <c r="Q336">
        <v>-9.5273839999999999E-2</v>
      </c>
      <c r="R336">
        <v>-3.7795780000000001E-2</v>
      </c>
      <c r="S336">
        <v>3.0075069999999999</v>
      </c>
      <c r="T336">
        <v>-7.339263E-2</v>
      </c>
      <c r="U336">
        <v>-3.1341550000000003E-2</v>
      </c>
      <c r="V336">
        <v>2.092948E-2</v>
      </c>
      <c r="W336">
        <v>-8.5944820000000005E-2</v>
      </c>
      <c r="X336">
        <v>0.99607999999999997</v>
      </c>
      <c r="Y336">
        <v>-6.4462130000000001E-3</v>
      </c>
      <c r="Z336">
        <v>3.6210920000000001E-4</v>
      </c>
      <c r="AA336">
        <v>0.99997910000000001</v>
      </c>
      <c r="AB336">
        <v>21</v>
      </c>
      <c r="AC336">
        <v>43.642600000000002</v>
      </c>
      <c r="AD336">
        <v>-1.0703230739679901</v>
      </c>
      <c r="AE336">
        <v>-0.45289999999999903</v>
      </c>
      <c r="AF336">
        <v>-0.283277142527259</v>
      </c>
      <c r="AG336">
        <v>-1.0703230739679901</v>
      </c>
      <c r="AH336">
        <v>43.617797852223099</v>
      </c>
      <c r="AI336">
        <v>91.405650925649098</v>
      </c>
      <c r="AJ336">
        <v>90.372103987547703</v>
      </c>
      <c r="AK336">
        <v>43.631847621886699</v>
      </c>
      <c r="AL336">
        <v>94.930358093463596</v>
      </c>
      <c r="AM336">
        <v>88.796287003975095</v>
      </c>
      <c r="AN336">
        <v>0.99999996080895004</v>
      </c>
    </row>
    <row r="337" spans="1:40" x14ac:dyDescent="0.25">
      <c r="A337" t="str">
        <f>"20190303154421603"</f>
        <v>20190303154421603</v>
      </c>
      <c r="B337" t="str">
        <f>"1551599061600525"</f>
        <v>1551599061600525</v>
      </c>
      <c r="C337" t="s">
        <v>40</v>
      </c>
      <c r="D337">
        <v>4.4127510000000001</v>
      </c>
      <c r="E337">
        <v>0.48959009999999997</v>
      </c>
      <c r="F337" t="s">
        <v>41</v>
      </c>
      <c r="G337">
        <v>-384.46660000000003</v>
      </c>
      <c r="H337" s="1">
        <v>-2.728301E-6</v>
      </c>
      <c r="I337">
        <v>367.51819999999998</v>
      </c>
      <c r="J337">
        <v>-427.07760000000002</v>
      </c>
      <c r="K337">
        <v>1.0704499999999999</v>
      </c>
      <c r="L337">
        <v>367.97629999999998</v>
      </c>
      <c r="M337">
        <v>0.99979790000000002</v>
      </c>
      <c r="N337">
        <v>-9.9936030000000002E-3</v>
      </c>
      <c r="O337">
        <v>-1.7447979999999998E-2</v>
      </c>
      <c r="P337">
        <v>0.9947762</v>
      </c>
      <c r="Q337">
        <v>-9.4394430000000001E-2</v>
      </c>
      <c r="R337">
        <v>-3.8862899999999999E-2</v>
      </c>
      <c r="S337">
        <v>3.0074160000000001</v>
      </c>
      <c r="T337">
        <v>-7.5150369999999994E-2</v>
      </c>
      <c r="U337">
        <v>-3.2470699999999998E-2</v>
      </c>
      <c r="V337">
        <v>2.142877E-2</v>
      </c>
      <c r="W337">
        <v>-8.4460960000000002E-2</v>
      </c>
      <c r="X337">
        <v>0.99619630000000003</v>
      </c>
      <c r="Y337">
        <v>-6.648358E-3</v>
      </c>
      <c r="Z337">
        <v>3.7780669999999998E-4</v>
      </c>
      <c r="AA337">
        <v>0.99997780000000003</v>
      </c>
      <c r="AB337">
        <v>21</v>
      </c>
      <c r="AC337">
        <v>42.610999999999898</v>
      </c>
      <c r="AD337">
        <v>-1.0704527283009999</v>
      </c>
      <c r="AE337">
        <v>-0.45810000000000101</v>
      </c>
      <c r="AF337">
        <v>-0.285302662385437</v>
      </c>
      <c r="AG337">
        <v>-1.0704527283009999</v>
      </c>
      <c r="AH337">
        <v>42.585633825036602</v>
      </c>
      <c r="AI337">
        <v>91.439878426710607</v>
      </c>
      <c r="AJ337">
        <v>90.383847612747203</v>
      </c>
      <c r="AK337">
        <v>42.600040785576603</v>
      </c>
      <c r="AL337">
        <v>94.845028895718698</v>
      </c>
      <c r="AM337">
        <v>88.767724024707704</v>
      </c>
      <c r="AN337">
        <v>0.99999995704076095</v>
      </c>
    </row>
    <row r="338" spans="1:40" x14ac:dyDescent="0.25">
      <c r="A338" t="str">
        <f>"20190303154421624"</f>
        <v>20190303154421624</v>
      </c>
      <c r="B338" t="str">
        <f>"1551599061620046"</f>
        <v>1551599061620046</v>
      </c>
      <c r="C338" t="s">
        <v>40</v>
      </c>
      <c r="D338">
        <v>4.4209719999999999</v>
      </c>
      <c r="E338">
        <v>0.48936489999999999</v>
      </c>
      <c r="F338" t="s">
        <v>41</v>
      </c>
      <c r="G338">
        <v>-383.12639999999999</v>
      </c>
      <c r="H338" s="1">
        <v>-3.3028430000000001E-6</v>
      </c>
      <c r="I338">
        <v>367.5204</v>
      </c>
      <c r="J338">
        <v>-426.8766</v>
      </c>
      <c r="K338">
        <v>1.070543</v>
      </c>
      <c r="L338">
        <v>367.97219999999999</v>
      </c>
      <c r="M338">
        <v>0.99978409999999995</v>
      </c>
      <c r="N338">
        <v>-1.050152E-2</v>
      </c>
      <c r="O338">
        <v>-1.793262E-2</v>
      </c>
      <c r="P338">
        <v>0.99484360000000005</v>
      </c>
      <c r="Q338">
        <v>-9.3613390000000005E-2</v>
      </c>
      <c r="R338">
        <v>-3.9023370000000002E-2</v>
      </c>
      <c r="S338">
        <v>3.0075989999999999</v>
      </c>
      <c r="T338">
        <v>-7.3251490000000002E-2</v>
      </c>
      <c r="U338">
        <v>-3.1188960000000002E-2</v>
      </c>
      <c r="V338">
        <v>2.111294E-2</v>
      </c>
      <c r="W338">
        <v>-8.3171209999999995E-2</v>
      </c>
      <c r="X338">
        <v>0.99631159999999996</v>
      </c>
      <c r="Y338">
        <v>-7.5598899999999997E-3</v>
      </c>
      <c r="Z338">
        <v>3.8008920000000003E-4</v>
      </c>
      <c r="AA338">
        <v>0.99997130000000001</v>
      </c>
      <c r="AB338">
        <v>21</v>
      </c>
      <c r="AC338">
        <v>43.7502</v>
      </c>
      <c r="AD338">
        <v>-1.070546302843</v>
      </c>
      <c r="AE338">
        <v>-0.45179999999999099</v>
      </c>
      <c r="AF338">
        <v>-0.33267242382955697</v>
      </c>
      <c r="AG338">
        <v>-1.070546302843</v>
      </c>
      <c r="AH338">
        <v>43.725088568877297</v>
      </c>
      <c r="AI338">
        <v>91.402484499670607</v>
      </c>
      <c r="AJ338">
        <v>90.435913538440005</v>
      </c>
      <c r="AK338">
        <v>43.739457137512296</v>
      </c>
      <c r="AL338">
        <v>94.7708704798371</v>
      </c>
      <c r="AM338">
        <v>88.7860210305208</v>
      </c>
      <c r="AN338">
        <v>1.00000000535143</v>
      </c>
    </row>
    <row r="339" spans="1:40" x14ac:dyDescent="0.25">
      <c r="A339" t="str">
        <f>"20190303154421648"</f>
        <v>20190303154421648</v>
      </c>
      <c r="B339" t="str">
        <f>"1551599061640542"</f>
        <v>1551599061640542</v>
      </c>
      <c r="C339" t="s">
        <v>40</v>
      </c>
      <c r="D339">
        <v>4.4153580000000003</v>
      </c>
      <c r="E339">
        <v>0.48908580000000001</v>
      </c>
      <c r="F339" t="s">
        <v>41</v>
      </c>
      <c r="G339">
        <v>-382.0129</v>
      </c>
      <c r="H339" s="1">
        <v>-3.7796100000000001E-6</v>
      </c>
      <c r="I339">
        <v>367.52550000000002</v>
      </c>
      <c r="J339">
        <v>-426.64819999999997</v>
      </c>
      <c r="K339">
        <v>1.0706249999999999</v>
      </c>
      <c r="L339">
        <v>367.96749999999997</v>
      </c>
      <c r="M339">
        <v>0.99976929999999997</v>
      </c>
      <c r="N339">
        <v>-1.1021400000000001E-2</v>
      </c>
      <c r="O339">
        <v>-1.8436060000000001E-2</v>
      </c>
      <c r="P339">
        <v>0.99486629999999998</v>
      </c>
      <c r="Q339">
        <v>-9.3551529999999994E-2</v>
      </c>
      <c r="R339">
        <v>-3.859054E-2</v>
      </c>
      <c r="S339">
        <v>3.0076290000000001</v>
      </c>
      <c r="T339">
        <v>-7.1768639999999995E-2</v>
      </c>
      <c r="U339">
        <v>-2.9937740000000001E-2</v>
      </c>
      <c r="V339">
        <v>2.0184460000000001E-2</v>
      </c>
      <c r="W339">
        <v>-8.2588990000000001E-2</v>
      </c>
      <c r="X339">
        <v>0.99637929999999997</v>
      </c>
      <c r="Y339">
        <v>-8.4794750000000002E-3</v>
      </c>
      <c r="Z339">
        <v>3.8452529999999998E-4</v>
      </c>
      <c r="AA339">
        <v>0.99996399999999996</v>
      </c>
      <c r="AB339">
        <v>21</v>
      </c>
      <c r="AC339">
        <v>44.635299999999901</v>
      </c>
      <c r="AD339">
        <v>-1.07062877961</v>
      </c>
      <c r="AE339">
        <v>-0.44199999999994999</v>
      </c>
      <c r="AF339">
        <v>-0.38080510924303601</v>
      </c>
      <c r="AG339">
        <v>-1.07062877961</v>
      </c>
      <c r="AH339">
        <v>44.610198859765902</v>
      </c>
      <c r="AI339">
        <v>91.374764183447695</v>
      </c>
      <c r="AJ339">
        <v>90.489080887321506</v>
      </c>
      <c r="AK339">
        <v>44.624669195668197</v>
      </c>
      <c r="AL339">
        <v>94.737396440105698</v>
      </c>
      <c r="AM339">
        <v>88.839471865967795</v>
      </c>
      <c r="AN339">
        <v>1.0000000315816</v>
      </c>
    </row>
    <row r="340" spans="1:40" x14ac:dyDescent="0.25">
      <c r="A340" t="str">
        <f>"20190303154421671"</f>
        <v>20190303154421671</v>
      </c>
      <c r="B340" t="str">
        <f>"1551599061660062"</f>
        <v>1551599061660062</v>
      </c>
      <c r="C340" t="s">
        <v>40</v>
      </c>
      <c r="D340">
        <v>4.4451739999999997</v>
      </c>
      <c r="E340">
        <v>0.48886849999999998</v>
      </c>
      <c r="F340" t="s">
        <v>41</v>
      </c>
      <c r="G340">
        <v>-382.57929999999999</v>
      </c>
      <c r="H340" s="1">
        <v>-3.5272810000000002E-6</v>
      </c>
      <c r="I340">
        <v>367.57839999999999</v>
      </c>
      <c r="J340">
        <v>-426.4325</v>
      </c>
      <c r="K340">
        <v>1.070675</v>
      </c>
      <c r="L340">
        <v>367.96289999999999</v>
      </c>
      <c r="M340">
        <v>0.99975639999999999</v>
      </c>
      <c r="N340">
        <v>-1.1461290000000001E-2</v>
      </c>
      <c r="O340">
        <v>-1.886972E-2</v>
      </c>
      <c r="P340">
        <v>0.99492380000000002</v>
      </c>
      <c r="Q340">
        <v>-9.3430120000000005E-2</v>
      </c>
      <c r="R340">
        <v>-3.7389850000000002E-2</v>
      </c>
      <c r="S340">
        <v>3.0075379999999998</v>
      </c>
      <c r="T340">
        <v>-7.3066229999999996E-2</v>
      </c>
      <c r="U340">
        <v>-2.6550290000000001E-2</v>
      </c>
      <c r="V340">
        <v>1.855586E-2</v>
      </c>
      <c r="W340">
        <v>-8.2026630000000003E-2</v>
      </c>
      <c r="X340">
        <v>0.99645740000000005</v>
      </c>
      <c r="Y340">
        <v>-1.003831E-2</v>
      </c>
      <c r="Z340">
        <v>4.2150839999999999E-4</v>
      </c>
      <c r="AA340">
        <v>0.99994950000000005</v>
      </c>
      <c r="AB340">
        <v>21</v>
      </c>
      <c r="AC340">
        <v>43.853200000000001</v>
      </c>
      <c r="AD340">
        <v>-1.070678527281</v>
      </c>
      <c r="AE340">
        <v>-0.38450000000000201</v>
      </c>
      <c r="AF340">
        <v>-0.44285634686470399</v>
      </c>
      <c r="AG340">
        <v>-1.070678527281</v>
      </c>
      <c r="AH340">
        <v>43.826524068748903</v>
      </c>
      <c r="AI340">
        <v>91.399381599894497</v>
      </c>
      <c r="AJ340">
        <v>90.578940187281404</v>
      </c>
      <c r="AK340">
        <v>43.841837167269397</v>
      </c>
      <c r="AL340">
        <v>94.705065946500596</v>
      </c>
      <c r="AM340">
        <v>88.933171055989703</v>
      </c>
      <c r="AN340">
        <v>1.0000000189921201</v>
      </c>
    </row>
    <row r="341" spans="1:40" x14ac:dyDescent="0.25">
      <c r="A341" t="str">
        <f>"20190303154421693"</f>
        <v>20190303154421693</v>
      </c>
      <c r="B341" t="str">
        <f>"1551599061680558"</f>
        <v>1551599061680558</v>
      </c>
      <c r="C341" t="s">
        <v>40</v>
      </c>
      <c r="D341">
        <v>4.4537979999999999</v>
      </c>
      <c r="E341">
        <v>0.48860130000000002</v>
      </c>
      <c r="F341" t="s">
        <v>41</v>
      </c>
      <c r="G341">
        <v>-383.0532</v>
      </c>
      <c r="H341" s="1">
        <v>-3.3105770000000001E-6</v>
      </c>
      <c r="I341">
        <v>367.65379999999999</v>
      </c>
      <c r="J341">
        <v>-426.22579999999999</v>
      </c>
      <c r="K341">
        <v>1.0707120000000001</v>
      </c>
      <c r="L341">
        <v>367.95859999999999</v>
      </c>
      <c r="M341">
        <v>0.99974470000000004</v>
      </c>
      <c r="N341">
        <v>-1.183762E-2</v>
      </c>
      <c r="O341">
        <v>-1.9252559999999998E-2</v>
      </c>
      <c r="P341">
        <v>0.99495069999999997</v>
      </c>
      <c r="Q341">
        <v>-9.3720819999999996E-2</v>
      </c>
      <c r="R341">
        <v>-3.5917829999999998E-2</v>
      </c>
      <c r="S341">
        <v>3.0075379999999998</v>
      </c>
      <c r="T341">
        <v>-7.4231270000000002E-2</v>
      </c>
      <c r="U341">
        <v>-2.1423339999999999E-2</v>
      </c>
      <c r="V341">
        <v>1.6706059999999998E-2</v>
      </c>
      <c r="W341">
        <v>-8.1940260000000001E-2</v>
      </c>
      <c r="X341">
        <v>0.99649719999999997</v>
      </c>
      <c r="Y341">
        <v>-1.2124660000000001E-2</v>
      </c>
      <c r="Z341">
        <v>4.685596E-4</v>
      </c>
      <c r="AA341">
        <v>0.99992639999999999</v>
      </c>
      <c r="AB341">
        <v>21</v>
      </c>
      <c r="AC341">
        <v>43.172599999999903</v>
      </c>
      <c r="AD341">
        <v>-1.070715310577</v>
      </c>
      <c r="AE341">
        <v>-0.30480000000000002</v>
      </c>
      <c r="AF341">
        <v>-0.52617408715401803</v>
      </c>
      <c r="AG341">
        <v>-1.070715310577</v>
      </c>
      <c r="AH341">
        <v>43.143929882191799</v>
      </c>
      <c r="AI341">
        <v>91.421528348912403</v>
      </c>
      <c r="AJ341">
        <v>90.698732359603497</v>
      </c>
      <c r="AK341">
        <v>43.160421408111603</v>
      </c>
      <c r="AL341">
        <v>94.700100759442293</v>
      </c>
      <c r="AM341">
        <v>89.039538625472701</v>
      </c>
      <c r="AN341">
        <v>0.99999998412871505</v>
      </c>
    </row>
    <row r="342" spans="1:40" x14ac:dyDescent="0.25">
      <c r="A342" t="str">
        <f>"20190303154421714"</f>
        <v>20190303154421714</v>
      </c>
      <c r="B342" t="str">
        <f>"1551599061710680"</f>
        <v>1551599061710680</v>
      </c>
      <c r="C342" t="s">
        <v>40</v>
      </c>
      <c r="D342">
        <v>4.4358899999999997</v>
      </c>
      <c r="E342">
        <v>0.48833729999999997</v>
      </c>
      <c r="F342" t="s">
        <v>41</v>
      </c>
      <c r="G342">
        <v>-384.46370000000002</v>
      </c>
      <c r="H342" s="1">
        <v>-2.6873519999999998E-6</v>
      </c>
      <c r="I342">
        <v>367.7559</v>
      </c>
      <c r="J342">
        <v>-426.02249999999998</v>
      </c>
      <c r="K342">
        <v>1.0707450000000001</v>
      </c>
      <c r="L342">
        <v>367.95420000000001</v>
      </c>
      <c r="M342">
        <v>0.99973369999999995</v>
      </c>
      <c r="N342">
        <v>-1.216588E-2</v>
      </c>
      <c r="O342">
        <v>-1.960632E-2</v>
      </c>
      <c r="P342">
        <v>0.99502710000000005</v>
      </c>
      <c r="Q342">
        <v>-9.3627269999999999E-2</v>
      </c>
      <c r="R342">
        <v>-3.3986639999999999E-2</v>
      </c>
      <c r="S342">
        <v>3.0074459999999998</v>
      </c>
      <c r="T342">
        <v>-7.710612E-2</v>
      </c>
      <c r="U342">
        <v>-1.45874E-2</v>
      </c>
      <c r="V342">
        <v>1.442541E-2</v>
      </c>
      <c r="W342">
        <v>-8.1517030000000004E-2</v>
      </c>
      <c r="X342">
        <v>0.99656750000000005</v>
      </c>
      <c r="Y342">
        <v>-1.4749180000000001E-2</v>
      </c>
      <c r="Z342">
        <v>5.428141E-4</v>
      </c>
      <c r="AA342">
        <v>0.99989110000000003</v>
      </c>
      <c r="AB342">
        <v>21</v>
      </c>
      <c r="AC342">
        <v>41.558799999999898</v>
      </c>
      <c r="AD342">
        <v>-1.0707476873520001</v>
      </c>
      <c r="AE342">
        <v>-0.19830000000001699</v>
      </c>
      <c r="AF342">
        <v>-0.61620456971928705</v>
      </c>
      <c r="AG342">
        <v>-1.0707476873520001</v>
      </c>
      <c r="AH342">
        <v>41.5271327226747</v>
      </c>
      <c r="AI342">
        <v>91.476841301581203</v>
      </c>
      <c r="AJ342">
        <v>90.850126842906306</v>
      </c>
      <c r="AK342">
        <v>41.545504700850003</v>
      </c>
      <c r="AL342">
        <v>94.675770228986295</v>
      </c>
      <c r="AM342">
        <v>89.170696022223197</v>
      </c>
      <c r="AN342">
        <v>0.99999995034496802</v>
      </c>
    </row>
    <row r="343" spans="1:40" x14ac:dyDescent="0.25">
      <c r="A343" t="str">
        <f>"20190303154421737"</f>
        <v>20190303154421737</v>
      </c>
      <c r="B343" t="str">
        <f>"1551599061730200"</f>
        <v>1551599061730200</v>
      </c>
      <c r="C343" t="s">
        <v>40</v>
      </c>
      <c r="D343">
        <v>4.4351580000000004</v>
      </c>
      <c r="E343">
        <v>0.48824450000000003</v>
      </c>
      <c r="F343" t="s">
        <v>41</v>
      </c>
      <c r="G343">
        <v>-385.7448</v>
      </c>
      <c r="H343" s="1">
        <v>-2.1190040000000001E-6</v>
      </c>
      <c r="I343">
        <v>367.86169999999998</v>
      </c>
      <c r="J343">
        <v>-425.81</v>
      </c>
      <c r="K343">
        <v>1.0707799999999901</v>
      </c>
      <c r="L343">
        <v>367.94959999999998</v>
      </c>
      <c r="M343">
        <v>0.99972320000000003</v>
      </c>
      <c r="N343">
        <v>-1.24671E-2</v>
      </c>
      <c r="O343">
        <v>-1.9958500000000001E-2</v>
      </c>
      <c r="P343">
        <v>0.99493010000000004</v>
      </c>
      <c r="Q343">
        <v>-9.5071139999999998E-2</v>
      </c>
      <c r="R343">
        <v>-3.2799960000000003E-2</v>
      </c>
      <c r="S343">
        <v>3.0072329999999998</v>
      </c>
      <c r="T343">
        <v>-7.9944609999999999E-2</v>
      </c>
      <c r="U343">
        <v>-6.8969729999999998E-3</v>
      </c>
      <c r="V343">
        <v>1.2893180000000001E-2</v>
      </c>
      <c r="W343">
        <v>-8.2660600000000001E-2</v>
      </c>
      <c r="X343">
        <v>0.9964944</v>
      </c>
      <c r="Y343">
        <v>-1.7655850000000001E-2</v>
      </c>
      <c r="Z343">
        <v>6.2636309999999896E-4</v>
      </c>
      <c r="AA343">
        <v>0.99984399999999996</v>
      </c>
      <c r="AB343">
        <v>21</v>
      </c>
      <c r="AC343">
        <v>40.065199999999997</v>
      </c>
      <c r="AD343">
        <v>-1.0707821190040001</v>
      </c>
      <c r="AE343">
        <v>-8.78999999999905E-2</v>
      </c>
      <c r="AF343">
        <v>-0.71131278483564297</v>
      </c>
      <c r="AG343">
        <v>-1.0707821190040001</v>
      </c>
      <c r="AH343">
        <v>40.0303799313726</v>
      </c>
      <c r="AI343">
        <v>91.5320112691427</v>
      </c>
      <c r="AJ343">
        <v>91.018000126291298</v>
      </c>
      <c r="AK343">
        <v>40.051015688422801</v>
      </c>
      <c r="AL343">
        <v>94.741513384943801</v>
      </c>
      <c r="AM343">
        <v>89.258717780668604</v>
      </c>
      <c r="AN343">
        <v>1.0000000490571099</v>
      </c>
    </row>
    <row r="344" spans="1:40" x14ac:dyDescent="0.25">
      <c r="A344" t="str">
        <f>"20190303154421759"</f>
        <v>20190303154421759</v>
      </c>
      <c r="B344" t="str">
        <f>"1551599061750697"</f>
        <v>1551599061750697</v>
      </c>
      <c r="C344" t="s">
        <v>40</v>
      </c>
      <c r="D344">
        <v>4.4489789999999996</v>
      </c>
      <c r="E344">
        <v>0.48812060000000002</v>
      </c>
      <c r="F344" t="s">
        <v>41</v>
      </c>
      <c r="G344">
        <v>-388.3116</v>
      </c>
      <c r="H344" s="1">
        <v>-1.0122189999999999E-6</v>
      </c>
      <c r="I344">
        <v>367.91910000000001</v>
      </c>
      <c r="J344">
        <v>-425.59699999999998</v>
      </c>
      <c r="K344">
        <v>1.070805</v>
      </c>
      <c r="L344">
        <v>367.94490000000002</v>
      </c>
      <c r="M344">
        <v>0.99971290000000002</v>
      </c>
      <c r="N344">
        <v>-1.2730750000000001E-2</v>
      </c>
      <c r="O344">
        <v>-2.0298130000000001E-2</v>
      </c>
      <c r="P344">
        <v>0.99485710000000005</v>
      </c>
      <c r="Q344">
        <v>-9.603863E-2</v>
      </c>
      <c r="R344">
        <v>-3.2185930000000001E-2</v>
      </c>
      <c r="S344">
        <v>3.006958</v>
      </c>
      <c r="T344">
        <v>-8.5864540000000003E-2</v>
      </c>
      <c r="U344">
        <v>-2.4414060000000001E-3</v>
      </c>
      <c r="V344">
        <v>1.19454E-2</v>
      </c>
      <c r="W344">
        <v>-8.3365389999999998E-2</v>
      </c>
      <c r="X344">
        <v>0.99644739999999998</v>
      </c>
      <c r="Y344">
        <v>-1.947401E-2</v>
      </c>
      <c r="Z344">
        <v>7.2305130000000005E-4</v>
      </c>
      <c r="AA344">
        <v>0.99981010000000003</v>
      </c>
      <c r="AB344">
        <v>21</v>
      </c>
      <c r="AC344">
        <v>37.285399999999903</v>
      </c>
      <c r="AD344">
        <v>-1.070806012219</v>
      </c>
      <c r="AE344">
        <v>-2.5800000000003799E-2</v>
      </c>
      <c r="AF344">
        <v>-0.73048806225474905</v>
      </c>
      <c r="AG344">
        <v>-1.070806012219</v>
      </c>
      <c r="AH344">
        <v>37.247519233108001</v>
      </c>
      <c r="AI344">
        <v>91.646391147575997</v>
      </c>
      <c r="AJ344">
        <v>91.123524978539606</v>
      </c>
      <c r="AK344">
        <v>37.270067444876602</v>
      </c>
      <c r="AL344">
        <v>94.782035207614399</v>
      </c>
      <c r="AM344">
        <v>89.313171753021294</v>
      </c>
      <c r="AN344">
        <v>0.99999995089888405</v>
      </c>
    </row>
    <row r="345" spans="1:40" x14ac:dyDescent="0.25">
      <c r="A345" t="str">
        <f>"20190303154421782"</f>
        <v>20190303154421782</v>
      </c>
      <c r="B345" t="str">
        <f>"1551599061770216"</f>
        <v>1551599061770216</v>
      </c>
      <c r="C345" t="s">
        <v>40</v>
      </c>
      <c r="D345">
        <v>4.4402280000000003</v>
      </c>
      <c r="E345">
        <v>0.48802590000000001</v>
      </c>
      <c r="F345" t="s">
        <v>41</v>
      </c>
      <c r="G345">
        <v>-389.94389999999999</v>
      </c>
      <c r="H345" s="1">
        <v>-4.4816179999999998E-7</v>
      </c>
      <c r="I345">
        <v>367.9513</v>
      </c>
      <c r="J345">
        <v>-425.3854</v>
      </c>
      <c r="K345">
        <v>1.070824</v>
      </c>
      <c r="L345">
        <v>367.9402</v>
      </c>
      <c r="M345">
        <v>0.99970329999999996</v>
      </c>
      <c r="N345">
        <v>-1.295785E-2</v>
      </c>
      <c r="O345">
        <v>-2.0623209999999999E-2</v>
      </c>
      <c r="P345">
        <v>0.99484550000000005</v>
      </c>
      <c r="Q345">
        <v>-9.6074149999999997E-2</v>
      </c>
      <c r="R345">
        <v>-3.24394E-2</v>
      </c>
      <c r="S345">
        <v>3.0068049999999999</v>
      </c>
      <c r="T345">
        <v>-9.0306280000000003E-2</v>
      </c>
      <c r="U345">
        <v>5.4931640000000002E-4</v>
      </c>
      <c r="V345">
        <v>1.187733E-2</v>
      </c>
      <c r="W345">
        <v>-8.3174319999999996E-2</v>
      </c>
      <c r="X345">
        <v>0.99646429999999997</v>
      </c>
      <c r="Y345">
        <v>-2.0791179999999999E-2</v>
      </c>
      <c r="Z345">
        <v>7.9890500000000004E-4</v>
      </c>
      <c r="AA345">
        <v>0.99978350000000005</v>
      </c>
      <c r="AB345">
        <v>21</v>
      </c>
      <c r="AC345">
        <v>35.441499999999998</v>
      </c>
      <c r="AD345">
        <v>-1.0708244481617999</v>
      </c>
      <c r="AE345">
        <v>1.1099999999999E-2</v>
      </c>
      <c r="AF345">
        <v>-0.74139973224701805</v>
      </c>
      <c r="AG345">
        <v>-1.0708244481617999</v>
      </c>
      <c r="AH345">
        <v>35.4014149205126</v>
      </c>
      <c r="AI345">
        <v>91.732178843948205</v>
      </c>
      <c r="AJ345">
        <v>91.199750545280295</v>
      </c>
      <c r="AK345">
        <v>35.425365445342301</v>
      </c>
      <c r="AL345">
        <v>94.771048980940293</v>
      </c>
      <c r="AM345">
        <v>89.317096803611904</v>
      </c>
      <c r="AN345">
        <v>1.0000000698249301</v>
      </c>
    </row>
    <row r="346" spans="1:40" x14ac:dyDescent="0.25">
      <c r="A346" t="str">
        <f>"20190303154421803"</f>
        <v>20190303154421803</v>
      </c>
      <c r="B346" t="str">
        <f>"1551599061800472"</f>
        <v>1551599061800472</v>
      </c>
      <c r="C346" t="s">
        <v>40</v>
      </c>
      <c r="D346">
        <v>4.4398809999999997</v>
      </c>
      <c r="E346">
        <v>0.48792390000000002</v>
      </c>
      <c r="F346" t="s">
        <v>41</v>
      </c>
      <c r="G346">
        <v>-390.44580000000002</v>
      </c>
      <c r="H346" s="1">
        <v>-4.3770169999999996E-6</v>
      </c>
      <c r="I346">
        <v>367.94760000000002</v>
      </c>
      <c r="J346">
        <v>-425.1884</v>
      </c>
      <c r="K346">
        <v>1.070843</v>
      </c>
      <c r="L346">
        <v>367.93579999999997</v>
      </c>
      <c r="M346">
        <v>0.99969490000000005</v>
      </c>
      <c r="N346">
        <v>-1.314161E-2</v>
      </c>
      <c r="O346">
        <v>-2.0916649999999998E-2</v>
      </c>
      <c r="P346">
        <v>0.99482910000000002</v>
      </c>
      <c r="Q346">
        <v>-9.6058069999999995E-2</v>
      </c>
      <c r="R346">
        <v>-3.2985470000000003E-2</v>
      </c>
      <c r="S346">
        <v>3.006653</v>
      </c>
      <c r="T346">
        <v>-9.214783E-2</v>
      </c>
      <c r="U346">
        <v>6.408691E-4</v>
      </c>
      <c r="V346">
        <v>1.21326E-2</v>
      </c>
      <c r="W346">
        <v>-8.2975119999999999E-2</v>
      </c>
      <c r="X346">
        <v>0.99647779999999997</v>
      </c>
      <c r="Y346">
        <v>-2.1114190000000001E-2</v>
      </c>
      <c r="Z346">
        <v>8.2826699999999896E-4</v>
      </c>
      <c r="AA346">
        <v>0.99977669999999996</v>
      </c>
      <c r="AB346">
        <v>21</v>
      </c>
      <c r="AC346">
        <v>34.742599999999896</v>
      </c>
      <c r="AD346">
        <v>-1.0708473770169999</v>
      </c>
      <c r="AE346">
        <v>1.18000000000506E-2</v>
      </c>
      <c r="AF346">
        <v>-0.73785796859052799</v>
      </c>
      <c r="AG346">
        <v>-1.0708473770169999</v>
      </c>
      <c r="AH346">
        <v>34.701783750413597</v>
      </c>
      <c r="AI346">
        <v>91.767105690443501</v>
      </c>
      <c r="AJ346">
        <v>91.218086608674199</v>
      </c>
      <c r="AK346">
        <v>34.726142082689599</v>
      </c>
      <c r="AL346">
        <v>94.759596224255304</v>
      </c>
      <c r="AM346">
        <v>89.3024305935418</v>
      </c>
      <c r="AN346">
        <v>1.0000000382073</v>
      </c>
    </row>
    <row r="347" spans="1:40" x14ac:dyDescent="0.25">
      <c r="A347" t="str">
        <f>"20190303154421826"</f>
        <v>20190303154421826</v>
      </c>
      <c r="B347" t="str">
        <f>"1551599061820676"</f>
        <v>1551599061820676</v>
      </c>
      <c r="C347" t="s">
        <v>40</v>
      </c>
      <c r="D347">
        <v>4.4732479999999999</v>
      </c>
      <c r="E347">
        <v>0.48785469999999997</v>
      </c>
      <c r="F347" t="s">
        <v>41</v>
      </c>
      <c r="G347">
        <v>-391.05590000000001</v>
      </c>
      <c r="H347" s="1">
        <v>-4.1178319999999998E-6</v>
      </c>
      <c r="I347">
        <v>367.93329999999997</v>
      </c>
      <c r="J347">
        <v>-424.97340000000003</v>
      </c>
      <c r="K347">
        <v>1.0708530000000001</v>
      </c>
      <c r="L347">
        <v>367.93079999999998</v>
      </c>
      <c r="M347">
        <v>0.99968590000000002</v>
      </c>
      <c r="N347">
        <v>-1.331534E-2</v>
      </c>
      <c r="O347">
        <v>-2.1232029999999999E-2</v>
      </c>
      <c r="P347">
        <v>0.99483980000000005</v>
      </c>
      <c r="Q347">
        <v>-9.5819100000000004E-2</v>
      </c>
      <c r="R347">
        <v>-3.3352380000000001E-2</v>
      </c>
      <c r="S347">
        <v>3.0065309999999998</v>
      </c>
      <c r="T347">
        <v>-9.4324350000000001E-2</v>
      </c>
      <c r="U347">
        <v>-2.13623E-4</v>
      </c>
      <c r="V347">
        <v>1.218527E-2</v>
      </c>
      <c r="W347">
        <v>-8.2562739999999996E-2</v>
      </c>
      <c r="X347">
        <v>0.99651140000000005</v>
      </c>
      <c r="Y347">
        <v>-2.1144590000000001E-2</v>
      </c>
      <c r="Z347">
        <v>8.5564799999999998E-4</v>
      </c>
      <c r="AA347">
        <v>0.99977609999999995</v>
      </c>
      <c r="AB347">
        <v>21</v>
      </c>
      <c r="AC347">
        <v>33.917499999999997</v>
      </c>
      <c r="AD347">
        <v>-1.0708571178319899</v>
      </c>
      <c r="AE347">
        <v>2.4999999999977202E-3</v>
      </c>
      <c r="AF347">
        <v>-0.72198098050771398</v>
      </c>
      <c r="AG347">
        <v>-1.0708571178319899</v>
      </c>
      <c r="AH347">
        <v>33.876031508020198</v>
      </c>
      <c r="AI347">
        <v>91.810166371135907</v>
      </c>
      <c r="AJ347">
        <v>91.220928183607896</v>
      </c>
      <c r="AK347">
        <v>33.900641619818998</v>
      </c>
      <c r="AL347">
        <v>94.735887286022603</v>
      </c>
      <c r="AM347">
        <v>89.299426229033998</v>
      </c>
      <c r="AN347">
        <v>1.0000000285856101</v>
      </c>
    </row>
    <row r="348" spans="1:40" x14ac:dyDescent="0.25">
      <c r="A348" t="str">
        <f>"20190303154421848"</f>
        <v>20190303154421848</v>
      </c>
      <c r="B348" t="str">
        <f>"1551599061840197"</f>
        <v>1551599061840197</v>
      </c>
      <c r="C348" t="s">
        <v>40</v>
      </c>
      <c r="D348">
        <v>4.5262399999999996</v>
      </c>
      <c r="E348">
        <v>0.48781780000000002</v>
      </c>
      <c r="F348" t="s">
        <v>41</v>
      </c>
      <c r="G348">
        <v>-391.06229999999999</v>
      </c>
      <c r="H348" s="1">
        <v>-4.116764E-6</v>
      </c>
      <c r="I348">
        <v>367.9239</v>
      </c>
      <c r="J348">
        <v>-424.76490000000001</v>
      </c>
      <c r="K348">
        <v>1.070854</v>
      </c>
      <c r="L348">
        <v>367.92610000000002</v>
      </c>
      <c r="M348">
        <v>0.9996775</v>
      </c>
      <c r="N348">
        <v>-1.3460949999999999E-2</v>
      </c>
      <c r="O348">
        <v>-2.1535820000000001E-2</v>
      </c>
      <c r="P348">
        <v>0.99477729999999998</v>
      </c>
      <c r="Q348">
        <v>-9.6204059999999994E-2</v>
      </c>
      <c r="R348">
        <v>-3.4105829999999997E-2</v>
      </c>
      <c r="S348">
        <v>3.0064090000000001</v>
      </c>
      <c r="T348">
        <v>-9.4937090000000002E-2</v>
      </c>
      <c r="U348">
        <v>-6.1035159999999996E-4</v>
      </c>
      <c r="V348">
        <v>1.2636939999999999E-2</v>
      </c>
      <c r="W348">
        <v>-8.2803370000000001E-2</v>
      </c>
      <c r="X348">
        <v>0.99648579999999998</v>
      </c>
      <c r="Y348">
        <v>-2.1316109999999999E-2</v>
      </c>
      <c r="Z348">
        <v>8.6997639999999998E-4</v>
      </c>
      <c r="AA348">
        <v>0.99977240000000001</v>
      </c>
      <c r="AB348">
        <v>21</v>
      </c>
      <c r="AC348">
        <v>33.702599999999997</v>
      </c>
      <c r="AD348">
        <v>-1.0708581167639999</v>
      </c>
      <c r="AE348">
        <v>-2.2000000000161799E-3</v>
      </c>
      <c r="AF348">
        <v>-0.72294950121495904</v>
      </c>
      <c r="AG348">
        <v>-1.0708581167639999</v>
      </c>
      <c r="AH348">
        <v>33.6608465412858</v>
      </c>
      <c r="AI348">
        <v>91.821725791305795</v>
      </c>
      <c r="AJ348">
        <v>91.230378679697793</v>
      </c>
      <c r="AK348">
        <v>33.685634667667102</v>
      </c>
      <c r="AL348">
        <v>94.749721780742306</v>
      </c>
      <c r="AM348">
        <v>89.273442212607506</v>
      </c>
      <c r="AN348">
        <v>1.00000001996878</v>
      </c>
    </row>
    <row r="349" spans="1:40" x14ac:dyDescent="0.25">
      <c r="A349" t="str">
        <f>"20190303154421874"</f>
        <v>20190303154421874</v>
      </c>
      <c r="B349" t="str">
        <f>"1551599061870452"</f>
        <v>1551599061870452</v>
      </c>
      <c r="C349" t="s">
        <v>40</v>
      </c>
      <c r="D349">
        <v>4.4907899999999996</v>
      </c>
      <c r="E349">
        <v>0.48768729999999899</v>
      </c>
      <c r="F349" t="s">
        <v>41</v>
      </c>
      <c r="G349">
        <v>-391.6653</v>
      </c>
      <c r="H349" s="1">
        <v>-3.8623479999999999E-6</v>
      </c>
      <c r="I349">
        <v>367.89980000000003</v>
      </c>
      <c r="J349">
        <v>-424.53469999999999</v>
      </c>
      <c r="K349">
        <v>1.0708610000000001</v>
      </c>
      <c r="L349">
        <v>367.92070000000001</v>
      </c>
      <c r="M349">
        <v>0.99966840000000001</v>
      </c>
      <c r="N349">
        <v>-1.3598580000000001E-2</v>
      </c>
      <c r="O349">
        <v>-2.1869590000000001E-2</v>
      </c>
      <c r="P349">
        <v>0.99474750000000001</v>
      </c>
      <c r="Q349">
        <v>-9.6486230000000006E-2</v>
      </c>
      <c r="R349">
        <v>-3.4177850000000003E-2</v>
      </c>
      <c r="S349">
        <v>3.006256</v>
      </c>
      <c r="T349">
        <v>-9.7259880000000007E-2</v>
      </c>
      <c r="U349">
        <v>-2.380371E-3</v>
      </c>
      <c r="V349">
        <v>1.23771E-2</v>
      </c>
      <c r="W349">
        <v>-8.2948599999999997E-2</v>
      </c>
      <c r="X349">
        <v>0.9964769</v>
      </c>
      <c r="Y349">
        <v>-2.1060490000000001E-2</v>
      </c>
      <c r="Z349">
        <v>8.9377089999999998E-4</v>
      </c>
      <c r="AA349">
        <v>0.99977780000000005</v>
      </c>
      <c r="AB349">
        <v>21</v>
      </c>
      <c r="AC349">
        <v>32.869399999999899</v>
      </c>
      <c r="AD349">
        <v>-1.0708648623479999</v>
      </c>
      <c r="AE349">
        <v>-2.0899999999983199E-2</v>
      </c>
      <c r="AF349">
        <v>-0.69727163987755003</v>
      </c>
      <c r="AG349">
        <v>-1.0708648623479999</v>
      </c>
      <c r="AH349">
        <v>32.827151090273802</v>
      </c>
      <c r="AI349">
        <v>91.867980112320595</v>
      </c>
      <c r="AJ349">
        <v>91.216819440165295</v>
      </c>
      <c r="AK349">
        <v>32.852013454229102</v>
      </c>
      <c r="AL349">
        <v>94.758071964125605</v>
      </c>
      <c r="AM349">
        <v>89.288373742524598</v>
      </c>
      <c r="AN349">
        <v>0.99999993753998795</v>
      </c>
    </row>
    <row r="350" spans="1:40" x14ac:dyDescent="0.25">
      <c r="A350" t="str">
        <f>"20190303154421896"</f>
        <v>20190303154421896</v>
      </c>
      <c r="B350" t="str">
        <f>"1551599061890949"</f>
        <v>1551599061890949</v>
      </c>
      <c r="C350" t="s">
        <v>40</v>
      </c>
      <c r="D350">
        <v>4.5264410000000002</v>
      </c>
      <c r="E350">
        <v>0.48762070000000002</v>
      </c>
      <c r="F350" t="s">
        <v>41</v>
      </c>
      <c r="G350">
        <v>-392.27179999999998</v>
      </c>
      <c r="H350" s="1">
        <v>-3.601662E-6</v>
      </c>
      <c r="I350">
        <v>367.90260000000001</v>
      </c>
      <c r="J350">
        <v>-424.31909999999999</v>
      </c>
      <c r="K350">
        <v>1.0708679999999999</v>
      </c>
      <c r="L350">
        <v>367.91559999999998</v>
      </c>
      <c r="M350">
        <v>0.99965999999999999</v>
      </c>
      <c r="N350">
        <v>-1.370859E-2</v>
      </c>
      <c r="O350">
        <v>-2.2178570000000002E-2</v>
      </c>
      <c r="P350">
        <v>0.99476810000000004</v>
      </c>
      <c r="Q350">
        <v>-9.612002E-2</v>
      </c>
      <c r="R350">
        <v>-3.4601630000000001E-2</v>
      </c>
      <c r="S350">
        <v>3.0061339999999999</v>
      </c>
      <c r="T350">
        <v>-9.9778770000000003E-2</v>
      </c>
      <c r="U350">
        <v>-1.6784669999999999E-3</v>
      </c>
      <c r="V350">
        <v>1.249333E-2</v>
      </c>
      <c r="W350">
        <v>-8.2472299999999998E-2</v>
      </c>
      <c r="X350">
        <v>0.99651500000000004</v>
      </c>
      <c r="Y350">
        <v>-2.160142E-2</v>
      </c>
      <c r="Z350">
        <v>9.3839710000000003E-4</v>
      </c>
      <c r="AA350">
        <v>0.99976620000000005</v>
      </c>
      <c r="AB350">
        <v>21</v>
      </c>
      <c r="AC350">
        <v>32.0473</v>
      </c>
      <c r="AD350">
        <v>-1.0708716016619999</v>
      </c>
      <c r="AE350">
        <v>-1.2999999999976799E-2</v>
      </c>
      <c r="AF350">
        <v>-0.69705498295190105</v>
      </c>
      <c r="AG350">
        <v>-1.0708716016619999</v>
      </c>
      <c r="AH350">
        <v>32.003968884199203</v>
      </c>
      <c r="AI350">
        <v>91.915981378377893</v>
      </c>
      <c r="AJ350">
        <v>91.247720095003203</v>
      </c>
      <c r="AK350">
        <v>32.029465746048501</v>
      </c>
      <c r="AL350">
        <v>94.730688075135504</v>
      </c>
      <c r="AM350">
        <v>89.281719210046901</v>
      </c>
      <c r="AN350">
        <v>0.99999995439338796</v>
      </c>
    </row>
    <row r="351" spans="1:40" x14ac:dyDescent="0.25">
      <c r="A351" t="str">
        <f>"20190303154421916"</f>
        <v>20190303154421916</v>
      </c>
      <c r="B351" t="str">
        <f>"1551599061910472"</f>
        <v>1551599061910472</v>
      </c>
      <c r="C351" t="s">
        <v>40</v>
      </c>
      <c r="D351">
        <v>4.5432480000000002</v>
      </c>
      <c r="E351">
        <v>0.48757410000000001</v>
      </c>
      <c r="F351" t="s">
        <v>41</v>
      </c>
      <c r="G351">
        <v>-391.95010000000002</v>
      </c>
      <c r="H351" s="1">
        <v>-3.742395E-6</v>
      </c>
      <c r="I351">
        <v>367.88729999999998</v>
      </c>
      <c r="J351">
        <v>-424.14249999999998</v>
      </c>
      <c r="K351">
        <v>1.0708819999999999</v>
      </c>
      <c r="L351">
        <v>367.91140000000001</v>
      </c>
      <c r="M351">
        <v>0.99965349999999997</v>
      </c>
      <c r="N351">
        <v>-1.3786140000000001E-2</v>
      </c>
      <c r="O351">
        <v>-2.2423990000000001E-2</v>
      </c>
      <c r="P351">
        <v>0.99473250000000002</v>
      </c>
      <c r="Q351">
        <v>-9.6437049999999996E-2</v>
      </c>
      <c r="R351">
        <v>-3.4741260000000003E-2</v>
      </c>
      <c r="S351">
        <v>3.0061040000000001</v>
      </c>
      <c r="T351">
        <v>-9.9451419999999999E-2</v>
      </c>
      <c r="U351">
        <v>-2.6245119999999999E-3</v>
      </c>
      <c r="V351">
        <v>1.239031E-2</v>
      </c>
      <c r="W351">
        <v>-8.2712229999999998E-2</v>
      </c>
      <c r="X351">
        <v>0.99649639999999995</v>
      </c>
      <c r="Y351">
        <v>-2.1532409999999998E-2</v>
      </c>
      <c r="Z351">
        <v>9.3705100000000005E-4</v>
      </c>
      <c r="AA351">
        <v>0.99976770000000004</v>
      </c>
      <c r="AB351">
        <v>21</v>
      </c>
      <c r="AC351">
        <v>32.1923999999999</v>
      </c>
      <c r="AD351">
        <v>-1.07088574239499</v>
      </c>
      <c r="AE351">
        <v>-2.4100000000032599E-2</v>
      </c>
      <c r="AF351">
        <v>-0.69708534694039903</v>
      </c>
      <c r="AG351">
        <v>-1.07088574239499</v>
      </c>
      <c r="AH351">
        <v>32.149268723691002</v>
      </c>
      <c r="AI351">
        <v>91.907357641871499</v>
      </c>
      <c r="AJ351">
        <v>91.242136835960395</v>
      </c>
      <c r="AK351">
        <v>32.174651571109202</v>
      </c>
      <c r="AL351">
        <v>94.744482182715004</v>
      </c>
      <c r="AM351">
        <v>89.287628245510206</v>
      </c>
      <c r="AN351">
        <v>0.99999995399321295</v>
      </c>
    </row>
    <row r="352" spans="1:40" x14ac:dyDescent="0.25">
      <c r="A352" t="str">
        <f>"20190303154421937"</f>
        <v>20190303154421937</v>
      </c>
      <c r="B352" t="str">
        <f>"1551599061930969"</f>
        <v>1551599061930969</v>
      </c>
      <c r="C352" t="s">
        <v>40</v>
      </c>
      <c r="D352">
        <v>4.5636799999999997</v>
      </c>
      <c r="E352">
        <v>0.48749100000000001</v>
      </c>
      <c r="F352" t="s">
        <v>41</v>
      </c>
      <c r="G352">
        <v>-392.31349999999998</v>
      </c>
      <c r="H352" s="1">
        <v>-3.5875559999999998E-6</v>
      </c>
      <c r="I352">
        <v>367.88130000000001</v>
      </c>
      <c r="J352">
        <v>-423.94099999999997</v>
      </c>
      <c r="K352">
        <v>1.070892</v>
      </c>
      <c r="L352">
        <v>367.90649999999999</v>
      </c>
      <c r="M352">
        <v>0.99964649999999999</v>
      </c>
      <c r="N352">
        <v>-1.386336E-2</v>
      </c>
      <c r="O352">
        <v>-2.2690419999999999E-2</v>
      </c>
      <c r="P352">
        <v>0.99479260000000003</v>
      </c>
      <c r="Q352">
        <v>-9.5748139999999995E-2</v>
      </c>
      <c r="R352">
        <v>-3.4932560000000001E-2</v>
      </c>
      <c r="S352">
        <v>3.0059809999999998</v>
      </c>
      <c r="T352">
        <v>-0.101136</v>
      </c>
      <c r="U352">
        <v>-2.8381349999999999E-3</v>
      </c>
      <c r="V352">
        <v>1.231699E-2</v>
      </c>
      <c r="W352">
        <v>-8.1945180000000006E-2</v>
      </c>
      <c r="X352">
        <v>0.99656080000000002</v>
      </c>
      <c r="Y352">
        <v>-2.172688E-2</v>
      </c>
      <c r="Z352">
        <v>9.6466759999999999E-4</v>
      </c>
      <c r="AA352">
        <v>0.99976350000000003</v>
      </c>
      <c r="AB352">
        <v>21</v>
      </c>
      <c r="AC352">
        <v>31.627500000000001</v>
      </c>
      <c r="AD352">
        <v>-1.070895587556</v>
      </c>
      <c r="AE352">
        <v>-2.5199999999983898E-2</v>
      </c>
      <c r="AF352">
        <v>-0.69172361520459902</v>
      </c>
      <c r="AG352">
        <v>-1.070895587556</v>
      </c>
      <c r="AH352">
        <v>31.5837175357752</v>
      </c>
      <c r="AI352">
        <v>91.941494275348703</v>
      </c>
      <c r="AJ352">
        <v>91.254649921425894</v>
      </c>
      <c r="AK352">
        <v>31.609437076590101</v>
      </c>
      <c r="AL352">
        <v>94.700383180467</v>
      </c>
      <c r="AM352">
        <v>89.291889052394794</v>
      </c>
      <c r="AN352">
        <v>1.0000000744322599</v>
      </c>
    </row>
    <row r="353" spans="1:40" x14ac:dyDescent="0.25">
      <c r="A353" t="str">
        <f>"20190303154421960"</f>
        <v>20190303154421960</v>
      </c>
      <c r="B353" t="str">
        <f>"1551599061950488"</f>
        <v>1551599061950488</v>
      </c>
      <c r="C353" t="s">
        <v>40</v>
      </c>
      <c r="D353">
        <v>4.5624949999999904</v>
      </c>
      <c r="E353">
        <v>0.48742600000000003</v>
      </c>
      <c r="F353" t="s">
        <v>41</v>
      </c>
      <c r="G353">
        <v>-391.7253</v>
      </c>
      <c r="H353" s="1">
        <v>-3.8409540000000002E-6</v>
      </c>
      <c r="I353">
        <v>367.87540000000001</v>
      </c>
      <c r="J353">
        <v>-423.73559999999998</v>
      </c>
      <c r="K353">
        <v>1.070913</v>
      </c>
      <c r="L353">
        <v>367.90159999999997</v>
      </c>
      <c r="M353">
        <v>0.99963970000000002</v>
      </c>
      <c r="N353">
        <v>-1.393103E-2</v>
      </c>
      <c r="O353">
        <v>-2.294061E-2</v>
      </c>
      <c r="P353">
        <v>0.99476310000000001</v>
      </c>
      <c r="Q353">
        <v>-9.5786189999999993E-2</v>
      </c>
      <c r="R353">
        <v>-3.5655350000000002E-2</v>
      </c>
      <c r="S353">
        <v>3.0059809999999998</v>
      </c>
      <c r="T353">
        <v>-9.9922540000000004E-2</v>
      </c>
      <c r="U353">
        <v>-2.89917E-3</v>
      </c>
      <c r="V353">
        <v>1.2794089999999999E-2</v>
      </c>
      <c r="W353">
        <v>-8.1915650000000007E-2</v>
      </c>
      <c r="X353">
        <v>0.99655709999999997</v>
      </c>
      <c r="Y353">
        <v>-2.1957129999999998E-2</v>
      </c>
      <c r="Z353">
        <v>9.6058920000000004E-4</v>
      </c>
      <c r="AA353">
        <v>0.99975840000000005</v>
      </c>
      <c r="AB353">
        <v>21</v>
      </c>
      <c r="AC353">
        <v>32.010299999999901</v>
      </c>
      <c r="AD353">
        <v>-1.070916840954</v>
      </c>
      <c r="AE353">
        <v>-2.61999999999602E-2</v>
      </c>
      <c r="AF353">
        <v>-0.70742222782626296</v>
      </c>
      <c r="AG353">
        <v>-1.070916840954</v>
      </c>
      <c r="AH353">
        <v>31.966696196853899</v>
      </c>
      <c r="AI353">
        <v>91.9182799805114</v>
      </c>
      <c r="AJ353">
        <v>91.267747313457704</v>
      </c>
      <c r="AK353">
        <v>31.992451841498699</v>
      </c>
      <c r="AL353">
        <v>94.698686077083195</v>
      </c>
      <c r="AM353">
        <v>89.264460521477403</v>
      </c>
      <c r="AN353">
        <v>0.99999995800712904</v>
      </c>
    </row>
    <row r="354" spans="1:40" x14ac:dyDescent="0.25">
      <c r="A354" t="str">
        <f>"20190303154421982"</f>
        <v>20190303154421982</v>
      </c>
      <c r="B354" t="str">
        <f>"1551599061970987"</f>
        <v>1551599061970987</v>
      </c>
      <c r="C354" t="s">
        <v>40</v>
      </c>
      <c r="D354">
        <v>4.5454040000000004</v>
      </c>
      <c r="E354">
        <v>0.48735270000000003</v>
      </c>
      <c r="F354" t="s">
        <v>41</v>
      </c>
      <c r="G354">
        <v>-391.87779999999998</v>
      </c>
      <c r="H354" s="1">
        <v>-3.7801730000000001E-6</v>
      </c>
      <c r="I354">
        <v>367.84910000000002</v>
      </c>
      <c r="J354">
        <v>-423.53030000000001</v>
      </c>
      <c r="K354">
        <v>1.07094</v>
      </c>
      <c r="L354">
        <v>367.89659999999998</v>
      </c>
      <c r="M354">
        <v>0.99963400000000002</v>
      </c>
      <c r="N354">
        <v>-1.3988250000000001E-2</v>
      </c>
      <c r="O354">
        <v>-2.3160360000000001E-2</v>
      </c>
      <c r="P354">
        <v>0.99474079999999998</v>
      </c>
      <c r="Q354">
        <v>-9.5816639999999995E-2</v>
      </c>
      <c r="R354">
        <v>-3.61999E-2</v>
      </c>
      <c r="S354">
        <v>3.0059200000000001</v>
      </c>
      <c r="T354">
        <v>-0.10104539999999999</v>
      </c>
      <c r="U354">
        <v>-4.9438479999999998E-3</v>
      </c>
      <c r="V354">
        <v>1.312406E-2</v>
      </c>
      <c r="W354">
        <v>-8.1888639999999999E-2</v>
      </c>
      <c r="X354">
        <v>0.99655510000000003</v>
      </c>
      <c r="Y354">
        <v>-2.1496680000000001E-2</v>
      </c>
      <c r="Z354">
        <v>9.6593730000000004E-4</v>
      </c>
      <c r="AA354">
        <v>0.9997684</v>
      </c>
      <c r="AB354">
        <v>21</v>
      </c>
      <c r="AC354">
        <v>31.6525</v>
      </c>
      <c r="AD354">
        <v>-1.070943780173</v>
      </c>
      <c r="AE354">
        <v>-4.7499999999956799E-2</v>
      </c>
      <c r="AF354">
        <v>-0.68488366394135902</v>
      </c>
      <c r="AG354">
        <v>-1.070943780173</v>
      </c>
      <c r="AH354">
        <v>31.608923400937002</v>
      </c>
      <c r="AI354">
        <v>91.940044361660597</v>
      </c>
      <c r="AJ354">
        <v>91.241257214859004</v>
      </c>
      <c r="AK354">
        <v>31.634475256904899</v>
      </c>
      <c r="AL354">
        <v>94.697132967886503</v>
      </c>
      <c r="AM354">
        <v>89.245491010757405</v>
      </c>
      <c r="AN354">
        <v>1.0000000288239701</v>
      </c>
    </row>
    <row r="355" spans="1:40" x14ac:dyDescent="0.25">
      <c r="A355" t="str">
        <f>"20190303154422005"</f>
        <v>20190303154422005</v>
      </c>
      <c r="B355" t="str">
        <f>"1551599062000264"</f>
        <v>1551599062000264</v>
      </c>
      <c r="C355" t="s">
        <v>40</v>
      </c>
      <c r="D355">
        <v>4.5598929999999998</v>
      </c>
      <c r="E355">
        <v>0.48726730000000001</v>
      </c>
      <c r="F355" t="s">
        <v>41</v>
      </c>
      <c r="G355">
        <v>-392.02629999999999</v>
      </c>
      <c r="H355" s="1">
        <v>-3.7190540000000001E-6</v>
      </c>
      <c r="I355">
        <v>367.83449999999999</v>
      </c>
      <c r="J355">
        <v>-423.32810000000001</v>
      </c>
      <c r="K355">
        <v>1.070972</v>
      </c>
      <c r="L355">
        <v>367.89170000000001</v>
      </c>
      <c r="M355">
        <v>0.99962910000000005</v>
      </c>
      <c r="N355">
        <v>-1.4036170000000001E-2</v>
      </c>
      <c r="O355">
        <v>-2.3341959999999998E-2</v>
      </c>
      <c r="P355">
        <v>0.99470199999999998</v>
      </c>
      <c r="Q355">
        <v>-9.5899940000000003E-2</v>
      </c>
      <c r="R355">
        <v>-3.703443E-2</v>
      </c>
      <c r="S355">
        <v>3.005798</v>
      </c>
      <c r="T355">
        <v>-0.10217859999999999</v>
      </c>
      <c r="U355">
        <v>-5.9204100000000001E-3</v>
      </c>
      <c r="V355">
        <v>1.3782920000000001E-2</v>
      </c>
      <c r="W355">
        <v>-8.1923830000000003E-2</v>
      </c>
      <c r="X355">
        <v>0.99654330000000002</v>
      </c>
      <c r="Y355">
        <v>-2.135302E-2</v>
      </c>
      <c r="Z355">
        <v>9.7833399999999997E-4</v>
      </c>
      <c r="AA355">
        <v>0.99977150000000004</v>
      </c>
      <c r="AB355">
        <v>21</v>
      </c>
      <c r="AC355">
        <v>31.3018</v>
      </c>
      <c r="AD355">
        <v>-1.0709757190539999</v>
      </c>
      <c r="AE355">
        <v>-5.7200000000023003E-2</v>
      </c>
      <c r="AF355">
        <v>-0.67274532806601295</v>
      </c>
      <c r="AG355">
        <v>-1.0709757190539999</v>
      </c>
      <c r="AH355">
        <v>31.258013574741099</v>
      </c>
      <c r="AI355">
        <v>91.961871433193906</v>
      </c>
      <c r="AJ355">
        <v>91.232948408200699</v>
      </c>
      <c r="AK355">
        <v>31.283589754149698</v>
      </c>
      <c r="AL355">
        <v>94.699156065014293</v>
      </c>
      <c r="AM355">
        <v>89.207608141774998</v>
      </c>
      <c r="AN355">
        <v>1.00000001579024</v>
      </c>
    </row>
    <row r="356" spans="1:40" x14ac:dyDescent="0.25">
      <c r="A356" t="str">
        <f>"20190303154422028"</f>
        <v>20190303154422028</v>
      </c>
      <c r="B356" t="str">
        <f>"1551599062020760"</f>
        <v>1551599062020760</v>
      </c>
      <c r="C356" t="s">
        <v>40</v>
      </c>
      <c r="D356">
        <v>4.5177430000000003</v>
      </c>
      <c r="E356">
        <v>0.48727399999999998</v>
      </c>
      <c r="F356" t="s">
        <v>41</v>
      </c>
      <c r="G356">
        <v>-392.2697</v>
      </c>
      <c r="H356" s="1">
        <v>-3.6186989999999999E-6</v>
      </c>
      <c r="I356">
        <v>367.81150000000002</v>
      </c>
      <c r="J356">
        <v>-423.11880000000002</v>
      </c>
      <c r="K356">
        <v>1.0710029999999999</v>
      </c>
      <c r="L356">
        <v>367.88659999999999</v>
      </c>
      <c r="M356">
        <v>0.99962490000000004</v>
      </c>
      <c r="N356">
        <v>-1.407827E-2</v>
      </c>
      <c r="O356">
        <v>-2.3496710000000001E-2</v>
      </c>
      <c r="P356">
        <v>0.99460490000000001</v>
      </c>
      <c r="Q356">
        <v>-9.644991E-2</v>
      </c>
      <c r="R356">
        <v>-3.819372E-2</v>
      </c>
      <c r="S356">
        <v>3.0056759999999998</v>
      </c>
      <c r="T356">
        <v>-0.10364370000000001</v>
      </c>
      <c r="U356">
        <v>-7.7514649999999999E-3</v>
      </c>
      <c r="V356">
        <v>1.479459E-2</v>
      </c>
      <c r="W356">
        <v>-8.2432179999999994E-2</v>
      </c>
      <c r="X356">
        <v>0.99648680000000001</v>
      </c>
      <c r="Y356">
        <v>-2.089835E-2</v>
      </c>
      <c r="Z356">
        <v>9.8653109999999994E-4</v>
      </c>
      <c r="AA356">
        <v>0.99978109999999998</v>
      </c>
      <c r="AB356">
        <v>20</v>
      </c>
      <c r="AC356">
        <v>30.8491</v>
      </c>
      <c r="AD356">
        <v>-1.0710066186989999</v>
      </c>
      <c r="AE356">
        <v>-7.5099999999963502E-2</v>
      </c>
      <c r="AF356">
        <v>-0.64906253464817898</v>
      </c>
      <c r="AG356">
        <v>-1.0710066186989999</v>
      </c>
      <c r="AH356">
        <v>30.805216429817499</v>
      </c>
      <c r="AI356">
        <v>91.990761937783503</v>
      </c>
      <c r="AJ356">
        <v>91.207037199731204</v>
      </c>
      <c r="AK356">
        <v>30.830661631549201</v>
      </c>
      <c r="AL356">
        <v>94.728381566733802</v>
      </c>
      <c r="AM356">
        <v>89.149406402359901</v>
      </c>
      <c r="AN356">
        <v>0.99999994338352804</v>
      </c>
    </row>
    <row r="357" spans="1:40" x14ac:dyDescent="0.25">
      <c r="A357" t="str">
        <f>"20190303154422049"</f>
        <v>20190303154422049</v>
      </c>
      <c r="B357" t="str">
        <f>"1551599062040281"</f>
        <v>1551599062040281</v>
      </c>
      <c r="C357" t="s">
        <v>40</v>
      </c>
      <c r="D357">
        <v>4.520187</v>
      </c>
      <c r="E357">
        <v>0.49890610000000002</v>
      </c>
      <c r="F357" t="s">
        <v>41</v>
      </c>
      <c r="G357">
        <v>-392.70859999999999</v>
      </c>
      <c r="H357" s="1">
        <v>-3.437243E-6</v>
      </c>
      <c r="I357">
        <v>367.77319999999997</v>
      </c>
      <c r="J357">
        <v>-422.92219999999998</v>
      </c>
      <c r="K357">
        <v>1.0710329999999999</v>
      </c>
      <c r="L357">
        <v>367.8818</v>
      </c>
      <c r="M357">
        <v>0.99962169999999895</v>
      </c>
      <c r="N357">
        <v>-1.411193E-2</v>
      </c>
      <c r="O357">
        <v>-2.3609359999999999E-2</v>
      </c>
      <c r="P357">
        <v>0.9945408</v>
      </c>
      <c r="Q357">
        <v>-9.6929390000000004E-2</v>
      </c>
      <c r="R357">
        <v>-3.8642419999999997E-2</v>
      </c>
      <c r="S357">
        <v>3.0056150000000001</v>
      </c>
      <c r="T357">
        <v>-0.1058533</v>
      </c>
      <c r="U357">
        <v>-1.119995E-2</v>
      </c>
      <c r="V357">
        <v>1.513666E-2</v>
      </c>
      <c r="W357">
        <v>-8.2878160000000006E-2</v>
      </c>
      <c r="X357">
        <v>0.99644469999999996</v>
      </c>
      <c r="Y357">
        <v>-1.9863760000000001E-2</v>
      </c>
      <c r="Z357">
        <v>9.8790789999999998E-4</v>
      </c>
      <c r="AA357">
        <v>0.99980219999999997</v>
      </c>
      <c r="AB357">
        <v>20</v>
      </c>
      <c r="AC357">
        <v>30.2135999999999</v>
      </c>
      <c r="AD357">
        <v>-1.0710364372429999</v>
      </c>
      <c r="AE357">
        <v>-0.108600000000024</v>
      </c>
      <c r="AF357">
        <v>-0.60406597156960695</v>
      </c>
      <c r="AG357">
        <v>-1.0710364372429999</v>
      </c>
      <c r="AH357">
        <v>30.169829338367599</v>
      </c>
      <c r="AI357">
        <v>92.032753515434194</v>
      </c>
      <c r="AJ357">
        <v>91.147033563692304</v>
      </c>
      <c r="AK357">
        <v>30.194877331331099</v>
      </c>
      <c r="AL357">
        <v>94.754021930690797</v>
      </c>
      <c r="AM357">
        <v>89.129705809013004</v>
      </c>
      <c r="AN357">
        <v>0.99999997401951501</v>
      </c>
    </row>
    <row r="358" spans="1:40" x14ac:dyDescent="0.25">
      <c r="A358" t="str">
        <f>"20190303154422074"</f>
        <v>20190303154422074</v>
      </c>
      <c r="B358" t="str">
        <f>"1551599062070536"</f>
        <v>1551599062070536</v>
      </c>
      <c r="C358" t="s">
        <v>40</v>
      </c>
      <c r="D358">
        <v>4.4921959999999999</v>
      </c>
      <c r="E358">
        <v>0.50023320000000004</v>
      </c>
      <c r="F358" t="s">
        <v>41</v>
      </c>
      <c r="G358">
        <v>-394.31880000000001</v>
      </c>
      <c r="H358" s="1">
        <v>-2.9054160000000002E-6</v>
      </c>
      <c r="I358">
        <v>366.87689999999998</v>
      </c>
      <c r="J358">
        <v>-422.69659999999999</v>
      </c>
      <c r="K358">
        <v>1.071064</v>
      </c>
      <c r="L358">
        <v>367.87630000000001</v>
      </c>
      <c r="M358">
        <v>0.99961940000000005</v>
      </c>
      <c r="N358">
        <v>-1.41444E-2</v>
      </c>
      <c r="O358">
        <v>-2.369309E-2</v>
      </c>
      <c r="P358">
        <v>0.99448009999999998</v>
      </c>
      <c r="Q358">
        <v>-9.7464259999999997E-2</v>
      </c>
      <c r="R358">
        <v>-3.8861689999999997E-2</v>
      </c>
      <c r="S358">
        <v>3.0014340000000002</v>
      </c>
      <c r="T358">
        <v>-0.1123866</v>
      </c>
      <c r="U358">
        <v>-0.1054382</v>
      </c>
      <c r="V358">
        <v>1.527856E-2</v>
      </c>
      <c r="W358">
        <v>-8.3380499999999996E-2</v>
      </c>
      <c r="X358">
        <v>0.99640070000000003</v>
      </c>
      <c r="Y358">
        <v>1.141233E-2</v>
      </c>
      <c r="Z358">
        <v>2.5710849999999999E-4</v>
      </c>
      <c r="AA358">
        <v>0.99993489999999996</v>
      </c>
      <c r="AB358">
        <v>20</v>
      </c>
      <c r="AC358">
        <v>28.377799999999901</v>
      </c>
      <c r="AD358">
        <v>-1.071066905416</v>
      </c>
      <c r="AE358">
        <v>-0.99940000000003604</v>
      </c>
      <c r="AF358">
        <v>0.32623032617755798</v>
      </c>
      <c r="AG358">
        <v>-1.071066905416</v>
      </c>
      <c r="AH358">
        <v>28.353173114119201</v>
      </c>
      <c r="AI358">
        <v>92.163228472094502</v>
      </c>
      <c r="AJ358">
        <v>89.340786444362493</v>
      </c>
      <c r="AK358">
        <v>28.375271561357899</v>
      </c>
      <c r="AL358">
        <v>94.782903503329806</v>
      </c>
      <c r="AM358">
        <v>89.121509643869402</v>
      </c>
      <c r="AN358">
        <v>1.0000000485681999</v>
      </c>
    </row>
    <row r="359" spans="1:40" x14ac:dyDescent="0.25">
      <c r="A359" t="str">
        <f>"20190303154422095"</f>
        <v>20190303154422095</v>
      </c>
      <c r="B359" t="str">
        <f>"1551599062090056"</f>
        <v>1551599062090056</v>
      </c>
      <c r="C359" t="s">
        <v>40</v>
      </c>
      <c r="D359">
        <v>4.6052749999999998</v>
      </c>
      <c r="E359">
        <v>0.49935950000000001</v>
      </c>
      <c r="F359" t="s">
        <v>41</v>
      </c>
      <c r="G359">
        <v>-393.61419999999998</v>
      </c>
      <c r="H359" s="1">
        <v>-3.2306189999999999E-6</v>
      </c>
      <c r="I359">
        <v>366.74779999999998</v>
      </c>
      <c r="J359">
        <v>-422.50259999999997</v>
      </c>
      <c r="K359">
        <v>1.071097</v>
      </c>
      <c r="L359">
        <v>367.87169999999998</v>
      </c>
      <c r="M359">
        <v>0.99961820000000001</v>
      </c>
      <c r="N359">
        <v>-1.416779E-2</v>
      </c>
      <c r="O359">
        <v>-2.372674E-2</v>
      </c>
      <c r="P359">
        <v>0.99451460000000003</v>
      </c>
      <c r="Q359">
        <v>-9.7405630000000007E-2</v>
      </c>
      <c r="R359">
        <v>-3.8122280000000001E-2</v>
      </c>
      <c r="S359">
        <v>3.0012819999999998</v>
      </c>
      <c r="T359">
        <v>-0.11053300000000001</v>
      </c>
      <c r="U359">
        <v>-0.11645510000000001</v>
      </c>
      <c r="V359">
        <v>1.450917E-2</v>
      </c>
      <c r="W359">
        <v>-8.3297510000000005E-2</v>
      </c>
      <c r="X359">
        <v>0.9964191</v>
      </c>
      <c r="Y359">
        <v>1.5042379999999999E-2</v>
      </c>
      <c r="Z359">
        <v>1.5354729999999999E-4</v>
      </c>
      <c r="AA359">
        <v>0.99988690000000002</v>
      </c>
      <c r="AB359">
        <v>20</v>
      </c>
      <c r="AC359">
        <v>28.888399999999901</v>
      </c>
      <c r="AD359">
        <v>-1.0711002306190001</v>
      </c>
      <c r="AE359">
        <v>-1.1238999999999899</v>
      </c>
      <c r="AF359">
        <v>0.43748674728160702</v>
      </c>
      <c r="AG359">
        <v>-1.0711002306190001</v>
      </c>
      <c r="AH359">
        <v>28.867310497877</v>
      </c>
      <c r="AI359">
        <v>92.124699015770304</v>
      </c>
      <c r="AJ359">
        <v>89.131743657206499</v>
      </c>
      <c r="AK359">
        <v>28.890487461081602</v>
      </c>
      <c r="AL359">
        <v>94.778132126726604</v>
      </c>
      <c r="AM359">
        <v>89.165757202276794</v>
      </c>
      <c r="AN359">
        <v>1.0000000070155399</v>
      </c>
    </row>
    <row r="360" spans="1:40" x14ac:dyDescent="0.25">
      <c r="A360" t="str">
        <f>"20190303154422117"</f>
        <v>20190303154422117</v>
      </c>
      <c r="B360" t="str">
        <f>"1551599062110553"</f>
        <v>1551599062110553</v>
      </c>
      <c r="C360" t="s">
        <v>40</v>
      </c>
      <c r="D360">
        <v>4.5875529999999998</v>
      </c>
      <c r="E360">
        <v>0.49858140000000001</v>
      </c>
      <c r="F360" t="s">
        <v>41</v>
      </c>
      <c r="G360">
        <v>-397.03519999999997</v>
      </c>
      <c r="H360" s="1">
        <v>-1.7258179999999999E-6</v>
      </c>
      <c r="I360">
        <v>366.95769999999999</v>
      </c>
      <c r="J360">
        <v>-422.30520000000001</v>
      </c>
      <c r="K360">
        <v>1.0711200000000001</v>
      </c>
      <c r="L360">
        <v>367.86700000000002</v>
      </c>
      <c r="M360">
        <v>0.9996176</v>
      </c>
      <c r="N360">
        <v>-1.418786E-2</v>
      </c>
      <c r="O360">
        <v>-2.37349E-2</v>
      </c>
      <c r="P360">
        <v>0.99461049999999995</v>
      </c>
      <c r="Q360">
        <v>-9.6996929999999995E-2</v>
      </c>
      <c r="R360">
        <v>-3.6627529999999998E-2</v>
      </c>
      <c r="S360">
        <v>3.0000309999999999</v>
      </c>
      <c r="T360">
        <v>-0.12617349999999999</v>
      </c>
      <c r="U360">
        <v>-0.107666</v>
      </c>
      <c r="V360">
        <v>1.300841E-2</v>
      </c>
      <c r="W360">
        <v>-8.2867339999999998E-2</v>
      </c>
      <c r="X360">
        <v>0.99647569999999996</v>
      </c>
      <c r="Y360">
        <v>1.212797E-2</v>
      </c>
      <c r="Z360">
        <v>3.1971419999999998E-4</v>
      </c>
      <c r="AA360">
        <v>0.99992639999999999</v>
      </c>
      <c r="AB360">
        <v>20</v>
      </c>
      <c r="AC360">
        <v>25.27</v>
      </c>
      <c r="AD360">
        <v>-1.0711217258179999</v>
      </c>
      <c r="AE360">
        <v>-0.90929999999997302</v>
      </c>
      <c r="AF360">
        <v>0.30864866351402098</v>
      </c>
      <c r="AG360">
        <v>-1.0711217258179999</v>
      </c>
      <c r="AH360">
        <v>25.239176298005901</v>
      </c>
      <c r="AI360">
        <v>92.429927548374806</v>
      </c>
      <c r="AJ360">
        <v>89.299367614159195</v>
      </c>
      <c r="AK360">
        <v>25.263780119982702</v>
      </c>
      <c r="AL360">
        <v>94.753399642218497</v>
      </c>
      <c r="AM360">
        <v>89.252079447091504</v>
      </c>
      <c r="AN360">
        <v>1.00000001772994</v>
      </c>
    </row>
    <row r="361" spans="1:40" x14ac:dyDescent="0.25">
      <c r="A361" t="str">
        <f>"20190303154422137"</f>
        <v>20190303154422137</v>
      </c>
      <c r="B361" t="str">
        <f>"1551599062130072"</f>
        <v>1551599062130072</v>
      </c>
      <c r="C361" t="s">
        <v>40</v>
      </c>
      <c r="D361">
        <v>4.6073149999999998</v>
      </c>
      <c r="E361">
        <v>0.49818699999999999</v>
      </c>
      <c r="F361" t="s">
        <v>41</v>
      </c>
      <c r="G361">
        <v>-398.1481</v>
      </c>
      <c r="H361" s="1">
        <v>-1.2893319999999999E-6</v>
      </c>
      <c r="I361">
        <v>367.08659999999998</v>
      </c>
      <c r="J361">
        <v>-422.11329999999998</v>
      </c>
      <c r="K361">
        <v>1.0711440000000001</v>
      </c>
      <c r="L361">
        <v>367.86239999999998</v>
      </c>
      <c r="M361">
        <v>0.9996178</v>
      </c>
      <c r="N361">
        <v>-1.420421E-2</v>
      </c>
      <c r="O361">
        <v>-2.3720689999999999E-2</v>
      </c>
      <c r="P361">
        <v>0.99465009999999998</v>
      </c>
      <c r="Q361">
        <v>-9.6889820000000001E-2</v>
      </c>
      <c r="R361">
        <v>-3.5828939999999997E-2</v>
      </c>
      <c r="S361">
        <v>2.9997560000000001</v>
      </c>
      <c r="T361">
        <v>-0.13300819999999999</v>
      </c>
      <c r="U361">
        <v>-9.6893309999999996E-2</v>
      </c>
      <c r="V361">
        <v>1.22262E-2</v>
      </c>
      <c r="W361">
        <v>-8.2743209999999998E-2</v>
      </c>
      <c r="X361">
        <v>0.99649589999999999</v>
      </c>
      <c r="Y361">
        <v>8.5634070000000003E-3</v>
      </c>
      <c r="Z361">
        <v>4.634134E-4</v>
      </c>
      <c r="AA361">
        <v>0.99996320000000005</v>
      </c>
      <c r="AB361">
        <v>20</v>
      </c>
      <c r="AC361">
        <v>23.9651999999999</v>
      </c>
      <c r="AD361">
        <v>-1.0711452893319999</v>
      </c>
      <c r="AE361">
        <v>-0.77580000000000304</v>
      </c>
      <c r="AF361">
        <v>0.20664090095107199</v>
      </c>
      <c r="AG361">
        <v>-1.0711452893319999</v>
      </c>
      <c r="AH361">
        <v>23.929106180381002</v>
      </c>
      <c r="AI361">
        <v>92.562940628003005</v>
      </c>
      <c r="AJ361">
        <v>89.505231949808703</v>
      </c>
      <c r="AK361">
        <v>23.953959490755398</v>
      </c>
      <c r="AL361">
        <v>94.746263098544802</v>
      </c>
      <c r="AM361">
        <v>89.297062323389895</v>
      </c>
      <c r="AN361">
        <v>0.99999999874217704</v>
      </c>
    </row>
    <row r="362" spans="1:40" x14ac:dyDescent="0.25">
      <c r="A362" t="str">
        <f>"20190303154422161"</f>
        <v>20190303154422161</v>
      </c>
      <c r="B362" t="str">
        <f>"1551599062150572"</f>
        <v>1551599062150572</v>
      </c>
      <c r="C362" t="s">
        <v>40</v>
      </c>
      <c r="D362">
        <v>4.4973619999999999</v>
      </c>
      <c r="E362">
        <v>0.49838729999999998</v>
      </c>
      <c r="F362" t="s">
        <v>41</v>
      </c>
      <c r="G362">
        <v>-399.142</v>
      </c>
      <c r="H362" s="1">
        <v>-9.3103339999999999E-7</v>
      </c>
      <c r="I362">
        <v>367.16210000000001</v>
      </c>
      <c r="J362">
        <v>-421.90550000000002</v>
      </c>
      <c r="K362">
        <v>1.071169</v>
      </c>
      <c r="L362">
        <v>367.85750000000002</v>
      </c>
      <c r="M362">
        <v>0.99961849999999997</v>
      </c>
      <c r="N362">
        <v>-1.421889E-2</v>
      </c>
      <c r="O362">
        <v>-2.36799E-2</v>
      </c>
      <c r="P362">
        <v>0.99466500000000002</v>
      </c>
      <c r="Q362">
        <v>-9.6901669999999995E-2</v>
      </c>
      <c r="R362">
        <v>-3.5383409999999997E-2</v>
      </c>
      <c r="S362">
        <v>2.9992070000000002</v>
      </c>
      <c r="T362">
        <v>-0.1398517</v>
      </c>
      <c r="U362">
        <v>-9.1430659999999997E-2</v>
      </c>
      <c r="V362">
        <v>1.1823780000000001E-2</v>
      </c>
      <c r="W362">
        <v>-8.2740019999999997E-2</v>
      </c>
      <c r="X362">
        <v>0.99650099999999997</v>
      </c>
      <c r="Y362">
        <v>6.7937290000000001E-3</v>
      </c>
      <c r="Z362">
        <v>5.5996449999999999E-4</v>
      </c>
      <c r="AA362">
        <v>0.9999768</v>
      </c>
      <c r="AB362">
        <v>20</v>
      </c>
      <c r="AC362">
        <v>22.763500000000001</v>
      </c>
      <c r="AD362">
        <v>-1.0711699310334</v>
      </c>
      <c r="AE362">
        <v>-0.69540000000000601</v>
      </c>
      <c r="AF362">
        <v>0.15576848027467699</v>
      </c>
      <c r="AG362">
        <v>-1.0711699310334</v>
      </c>
      <c r="AH362">
        <v>22.723314726893001</v>
      </c>
      <c r="AI362">
        <v>92.698843821778993</v>
      </c>
      <c r="AJ362">
        <v>89.607243185447899</v>
      </c>
      <c r="AK362">
        <v>22.7490813225068</v>
      </c>
      <c r="AL362">
        <v>94.746079795548397</v>
      </c>
      <c r="AM362">
        <v>89.3202004786841</v>
      </c>
      <c r="AN362">
        <v>0.99999997784204397</v>
      </c>
    </row>
    <row r="363" spans="1:40" x14ac:dyDescent="0.25">
      <c r="A363" t="str">
        <f>"20190303154422182"</f>
        <v>20190303154422182</v>
      </c>
      <c r="B363" t="str">
        <f>"1551599062170089"</f>
        <v>1551599062170089</v>
      </c>
      <c r="C363" t="s">
        <v>40</v>
      </c>
      <c r="D363">
        <v>4.6033119999999998</v>
      </c>
      <c r="E363">
        <v>0.49817919999999999</v>
      </c>
      <c r="F363" t="s">
        <v>41</v>
      </c>
      <c r="G363">
        <v>-398.32549999999998</v>
      </c>
      <c r="H363" s="1">
        <v>-1.215798E-6</v>
      </c>
      <c r="I363">
        <v>367.1361</v>
      </c>
      <c r="J363">
        <v>-421.71350000000001</v>
      </c>
      <c r="K363">
        <v>1.0711900000000001</v>
      </c>
      <c r="L363">
        <v>367.85300000000001</v>
      </c>
      <c r="M363">
        <v>0.99961999999999995</v>
      </c>
      <c r="N363">
        <v>-1.422971E-2</v>
      </c>
      <c r="O363">
        <v>-2.361278E-2</v>
      </c>
      <c r="P363">
        <v>0.99469249999999998</v>
      </c>
      <c r="Q363">
        <v>-9.6520969999999998E-2</v>
      </c>
      <c r="R363">
        <v>-3.5650710000000002E-2</v>
      </c>
      <c r="S363">
        <v>2.9995120000000002</v>
      </c>
      <c r="T363">
        <v>-0.13625860000000001</v>
      </c>
      <c r="U363">
        <v>-9.1766360000000005E-2</v>
      </c>
      <c r="V363">
        <v>1.2159680000000001E-2</v>
      </c>
      <c r="W363">
        <v>-8.2347690000000001E-2</v>
      </c>
      <c r="X363">
        <v>0.99652949999999996</v>
      </c>
      <c r="Y363">
        <v>6.9688399999999996E-3</v>
      </c>
      <c r="Z363">
        <v>5.2800709999999997E-4</v>
      </c>
      <c r="AA363">
        <v>0.99997559999999996</v>
      </c>
      <c r="AB363">
        <v>20</v>
      </c>
      <c r="AC363">
        <v>23.388000000000002</v>
      </c>
      <c r="AD363">
        <v>-1.0711912157979999</v>
      </c>
      <c r="AE363">
        <v>-0.71690000000000897</v>
      </c>
      <c r="AF363">
        <v>0.164044710361651</v>
      </c>
      <c r="AG363">
        <v>-1.0711912157979999</v>
      </c>
      <c r="AH363">
        <v>23.349472625994402</v>
      </c>
      <c r="AI363">
        <v>92.626621254906993</v>
      </c>
      <c r="AJ363">
        <v>89.597467785846902</v>
      </c>
      <c r="AK363">
        <v>23.3746065891998</v>
      </c>
      <c r="AL363">
        <v>94.723523758841296</v>
      </c>
      <c r="AM363">
        <v>89.3009100379834</v>
      </c>
      <c r="AN363">
        <v>1.00000002211814</v>
      </c>
    </row>
    <row r="364" spans="1:40" x14ac:dyDescent="0.25">
      <c r="A364" t="str">
        <f>"20190303154422205"</f>
        <v>20190303154422205</v>
      </c>
      <c r="B364" t="str">
        <f>"1551599062200345"</f>
        <v>1551599062200345</v>
      </c>
      <c r="C364" t="s">
        <v>40</v>
      </c>
      <c r="D364">
        <v>4.5045650000000004</v>
      </c>
      <c r="E364">
        <v>0.49857259999999998</v>
      </c>
      <c r="F364" t="s">
        <v>41</v>
      </c>
      <c r="G364">
        <v>-398.4975</v>
      </c>
      <c r="H364" s="1">
        <v>-1.1539680000000001E-6</v>
      </c>
      <c r="I364">
        <v>367.14859999999999</v>
      </c>
      <c r="J364">
        <v>-421.50749999999999</v>
      </c>
      <c r="K364">
        <v>1.0712109999999999</v>
      </c>
      <c r="L364">
        <v>367.84829999999999</v>
      </c>
      <c r="M364">
        <v>0.99962209999999996</v>
      </c>
      <c r="N364">
        <v>-1.423902E-2</v>
      </c>
      <c r="O364">
        <v>-2.3513780000000001E-2</v>
      </c>
      <c r="P364">
        <v>0.99459949999999997</v>
      </c>
      <c r="Q364">
        <v>-9.7203419999999999E-2</v>
      </c>
      <c r="R364">
        <v>-3.638218E-2</v>
      </c>
      <c r="S364">
        <v>2.9993289999999999</v>
      </c>
      <c r="T364">
        <v>-0.13838889999999901</v>
      </c>
      <c r="U364">
        <v>-9.1003420000000002E-2</v>
      </c>
      <c r="V364">
        <v>1.29946E-2</v>
      </c>
      <c r="W364">
        <v>-8.3021349999999994E-2</v>
      </c>
      <c r="X364">
        <v>0.99646310000000005</v>
      </c>
      <c r="Y364">
        <v>6.8160259999999898E-3</v>
      </c>
      <c r="Z364">
        <v>5.4354419999999896E-4</v>
      </c>
      <c r="AA364">
        <v>0.99997659999999999</v>
      </c>
      <c r="AB364">
        <v>20</v>
      </c>
      <c r="AC364">
        <v>23.009999999999899</v>
      </c>
      <c r="AD364">
        <v>-1.071212153968</v>
      </c>
      <c r="AE364">
        <v>-0.69970000000000698</v>
      </c>
      <c r="AF364">
        <v>0.158057324715695</v>
      </c>
      <c r="AG364">
        <v>-1.071212153968</v>
      </c>
      <c r="AH364">
        <v>22.970353491810801</v>
      </c>
      <c r="AI364">
        <v>92.669965462609397</v>
      </c>
      <c r="AJ364">
        <v>89.605758147820097</v>
      </c>
      <c r="AK364">
        <v>22.995860869631599</v>
      </c>
      <c r="AL364">
        <v>94.762254089460399</v>
      </c>
      <c r="AM364">
        <v>89.252863918995502</v>
      </c>
      <c r="AN364">
        <v>1.0000000569232901</v>
      </c>
    </row>
    <row r="365" spans="1:40" x14ac:dyDescent="0.25">
      <c r="A365" t="str">
        <f>"20190303154422228"</f>
        <v>20190303154422228</v>
      </c>
      <c r="B365" t="str">
        <f>"1551599062220841"</f>
        <v>1551599062220841</v>
      </c>
      <c r="C365" t="s">
        <v>40</v>
      </c>
      <c r="D365">
        <v>4.515981</v>
      </c>
      <c r="E365">
        <v>0.49897219999999998</v>
      </c>
      <c r="F365" t="s">
        <v>41</v>
      </c>
      <c r="G365">
        <v>-397.64179999999999</v>
      </c>
      <c r="H365" s="1">
        <v>-1.462246E-6</v>
      </c>
      <c r="I365">
        <v>367.08440000000002</v>
      </c>
      <c r="J365">
        <v>-421.30630000000002</v>
      </c>
      <c r="K365">
        <v>1.0712280000000001</v>
      </c>
      <c r="L365">
        <v>367.84370000000001</v>
      </c>
      <c r="M365">
        <v>0.99962470000000003</v>
      </c>
      <c r="N365">
        <v>-1.4246190000000001E-2</v>
      </c>
      <c r="O365">
        <v>-2.3399059999999999E-2</v>
      </c>
      <c r="P365">
        <v>0.99454679999999995</v>
      </c>
      <c r="Q365">
        <v>-9.7608059999999996E-2</v>
      </c>
      <c r="R365">
        <v>-3.6734219999999998E-2</v>
      </c>
      <c r="S365">
        <v>2.9996339999999999</v>
      </c>
      <c r="T365">
        <v>-0.13463829999999999</v>
      </c>
      <c r="U365">
        <v>-9.6008300000000005E-2</v>
      </c>
      <c r="V365">
        <v>1.346438E-2</v>
      </c>
      <c r="W365">
        <v>-8.3418989999999998E-2</v>
      </c>
      <c r="X365">
        <v>0.99642359999999996</v>
      </c>
      <c r="Y365">
        <v>8.5916440000000007E-3</v>
      </c>
      <c r="Z365">
        <v>4.6214960000000001E-4</v>
      </c>
      <c r="AA365">
        <v>0.99996300000000005</v>
      </c>
      <c r="AB365">
        <v>20</v>
      </c>
      <c r="AC365">
        <v>23.6645</v>
      </c>
      <c r="AD365">
        <v>-1.0712294622459999</v>
      </c>
      <c r="AE365">
        <v>-0.75929999999999598</v>
      </c>
      <c r="AF365">
        <v>0.20488939937025899</v>
      </c>
      <c r="AG365">
        <v>-1.0712294622459999</v>
      </c>
      <c r="AH365">
        <v>23.627422200828601</v>
      </c>
      <c r="AI365">
        <v>92.595823642427604</v>
      </c>
      <c r="AJ365">
        <v>89.503161897766901</v>
      </c>
      <c r="AK365">
        <v>23.652581087123799</v>
      </c>
      <c r="AL365">
        <v>94.785116741191004</v>
      </c>
      <c r="AM365">
        <v>89.225826045348796</v>
      </c>
      <c r="AN365">
        <v>1.0000000040291801</v>
      </c>
    </row>
    <row r="366" spans="1:40" x14ac:dyDescent="0.25">
      <c r="A366" t="str">
        <f>"20190303154422252"</f>
        <v>20190303154422252</v>
      </c>
      <c r="B366" t="str">
        <f>"1551599062240360"</f>
        <v>1551599062240360</v>
      </c>
      <c r="C366" t="s">
        <v>40</v>
      </c>
      <c r="D366">
        <v>4.472442</v>
      </c>
      <c r="E366">
        <v>0.49905630000000001</v>
      </c>
      <c r="F366" t="s">
        <v>41</v>
      </c>
      <c r="G366">
        <v>-396.92290000000003</v>
      </c>
      <c r="H366" s="1">
        <v>-1.7615640000000001E-6</v>
      </c>
      <c r="I366">
        <v>367.02769999999998</v>
      </c>
      <c r="J366">
        <v>-421.09609999999998</v>
      </c>
      <c r="K366">
        <v>1.071231</v>
      </c>
      <c r="L366">
        <v>367.83890000000002</v>
      </c>
      <c r="M366">
        <v>0.99962790000000001</v>
      </c>
      <c r="N366">
        <v>-1.425192E-2</v>
      </c>
      <c r="O366">
        <v>-2.3263880000000001E-2</v>
      </c>
      <c r="P366">
        <v>0.99457079999999998</v>
      </c>
      <c r="Q366">
        <v>-9.7377640000000001E-2</v>
      </c>
      <c r="R366">
        <v>-3.669969E-2</v>
      </c>
      <c r="S366">
        <v>2.9998469999999999</v>
      </c>
      <c r="T366">
        <v>-0.1317905</v>
      </c>
      <c r="U366">
        <v>-0.1003723</v>
      </c>
      <c r="V366">
        <v>1.3565880000000001E-2</v>
      </c>
      <c r="W366">
        <v>-8.3182229999999996E-2</v>
      </c>
      <c r="X366">
        <v>0.99644200000000005</v>
      </c>
      <c r="Y366">
        <v>1.0175379999999999E-2</v>
      </c>
      <c r="Z366">
        <v>3.9374229999999998E-4</v>
      </c>
      <c r="AA366">
        <v>0.99994810000000001</v>
      </c>
      <c r="AB366">
        <v>20</v>
      </c>
      <c r="AC366">
        <v>24.173199999999898</v>
      </c>
      <c r="AD366">
        <v>-1.071232761564</v>
      </c>
      <c r="AE366">
        <v>-0.811200000000042</v>
      </c>
      <c r="AF366">
        <v>0.24807431770878099</v>
      </c>
      <c r="AG366">
        <v>-1.071232761564</v>
      </c>
      <c r="AH366">
        <v>24.138180523362301</v>
      </c>
      <c r="AI366">
        <v>92.540938598112206</v>
      </c>
      <c r="AJ366">
        <v>89.411177201002602</v>
      </c>
      <c r="AK366">
        <v>24.163212523896402</v>
      </c>
      <c r="AL366">
        <v>94.771504158187597</v>
      </c>
      <c r="AM366">
        <v>89.2200051256265</v>
      </c>
      <c r="AN366">
        <v>0.999999987925973</v>
      </c>
    </row>
    <row r="367" spans="1:40" x14ac:dyDescent="0.25">
      <c r="A367" t="str">
        <f>"20190303154422274"</f>
        <v>20190303154422274</v>
      </c>
      <c r="B367" t="str">
        <f>"1551599062270617"</f>
        <v>1551599062270617</v>
      </c>
      <c r="C367" t="s">
        <v>40</v>
      </c>
      <c r="D367">
        <v>4.5885949999999998</v>
      </c>
      <c r="E367">
        <v>0.49869269999999999</v>
      </c>
      <c r="F367" t="s">
        <v>41</v>
      </c>
      <c r="G367">
        <v>-396.34410000000003</v>
      </c>
      <c r="H367" s="1">
        <v>-2.0125639999999999E-6</v>
      </c>
      <c r="I367">
        <v>367.01240000000001</v>
      </c>
      <c r="J367">
        <v>-420.89589999999998</v>
      </c>
      <c r="K367">
        <v>1.0712379999999999</v>
      </c>
      <c r="L367">
        <v>367.83440000000002</v>
      </c>
      <c r="M367">
        <v>0.99963120000000005</v>
      </c>
      <c r="N367">
        <v>-1.425595E-2</v>
      </c>
      <c r="O367">
        <v>-2.312293E-2</v>
      </c>
      <c r="P367">
        <v>0.99457039999999997</v>
      </c>
      <c r="Q367">
        <v>-9.7556649999999995E-2</v>
      </c>
      <c r="R367">
        <v>-3.6234639999999999E-2</v>
      </c>
      <c r="S367">
        <v>2.9999690000000001</v>
      </c>
      <c r="T367">
        <v>-0.12983430000000001</v>
      </c>
      <c r="U367">
        <v>-0.1001587</v>
      </c>
      <c r="V367">
        <v>1.3242169999999999E-2</v>
      </c>
      <c r="W367">
        <v>-8.3357299999999995E-2</v>
      </c>
      <c r="X367">
        <v>0.99643170000000003</v>
      </c>
      <c r="Y367">
        <v>1.024364E-2</v>
      </c>
      <c r="Z367">
        <v>3.7571669999999997E-4</v>
      </c>
      <c r="AA367">
        <v>0.99994749999999999</v>
      </c>
      <c r="AB367">
        <v>20</v>
      </c>
      <c r="AC367">
        <v>24.551799999999901</v>
      </c>
      <c r="AD367">
        <v>-1.07124001256399</v>
      </c>
      <c r="AE367">
        <v>-0.82200000000000195</v>
      </c>
      <c r="AF367">
        <v>0.25353093535933902</v>
      </c>
      <c r="AG367">
        <v>-1.07124001256399</v>
      </c>
      <c r="AH367">
        <v>24.517620378149498</v>
      </c>
      <c r="AI367">
        <v>92.5016801246976</v>
      </c>
      <c r="AJ367">
        <v>89.407538961351307</v>
      </c>
      <c r="AK367">
        <v>24.542321449014398</v>
      </c>
      <c r="AL367">
        <v>94.7815700046567</v>
      </c>
      <c r="AM367">
        <v>89.238607331906394</v>
      </c>
      <c r="AN367">
        <v>0.99999996364724297</v>
      </c>
    </row>
    <row r="368" spans="1:40" x14ac:dyDescent="0.25">
      <c r="A368" t="str">
        <f>"20190303154422297"</f>
        <v>20190303154422297</v>
      </c>
      <c r="B368" t="str">
        <f>"1551599062290137"</f>
        <v>1551599062290137</v>
      </c>
      <c r="C368" t="s">
        <v>40</v>
      </c>
      <c r="D368">
        <v>4.5006180000000002</v>
      </c>
      <c r="E368">
        <v>0.49879580000000001</v>
      </c>
      <c r="F368" t="s">
        <v>41</v>
      </c>
      <c r="G368">
        <v>-397.25639999999999</v>
      </c>
      <c r="H368" s="1">
        <v>-1.6098790000000001E-6</v>
      </c>
      <c r="I368">
        <v>367.0763</v>
      </c>
      <c r="J368">
        <v>-420.68979999999999</v>
      </c>
      <c r="K368">
        <v>1.071242</v>
      </c>
      <c r="L368">
        <v>367.82979999999998</v>
      </c>
      <c r="M368">
        <v>0.99963449999999998</v>
      </c>
      <c r="N368">
        <v>-1.425886E-2</v>
      </c>
      <c r="O368">
        <v>-2.2968200000000001E-2</v>
      </c>
      <c r="P368">
        <v>0.99452289999999999</v>
      </c>
      <c r="Q368">
        <v>-9.8215590000000005E-2</v>
      </c>
      <c r="R368">
        <v>-3.5747790000000002E-2</v>
      </c>
      <c r="S368">
        <v>2.9995120000000002</v>
      </c>
      <c r="T368">
        <v>-0.1359243</v>
      </c>
      <c r="U368">
        <v>-9.6191410000000005E-2</v>
      </c>
      <c r="V368">
        <v>1.291118E-2</v>
      </c>
      <c r="W368">
        <v>-8.4014220000000001E-2</v>
      </c>
      <c r="X368">
        <v>0.99638090000000001</v>
      </c>
      <c r="Y368">
        <v>9.0841510000000004E-3</v>
      </c>
      <c r="Z368">
        <v>4.419844E-4</v>
      </c>
      <c r="AA368">
        <v>0.99995860000000003</v>
      </c>
      <c r="AB368">
        <v>20</v>
      </c>
      <c r="AC368">
        <v>23.433399999999999</v>
      </c>
      <c r="AD368">
        <v>-1.0712436098789999</v>
      </c>
      <c r="AE368">
        <v>-0.75349999999997397</v>
      </c>
      <c r="AF368">
        <v>0.214575481277366</v>
      </c>
      <c r="AG368">
        <v>-1.0712436098789999</v>
      </c>
      <c r="AH368">
        <v>23.3956832897574</v>
      </c>
      <c r="AI368">
        <v>92.621522998912894</v>
      </c>
      <c r="AJ368">
        <v>89.474521662548995</v>
      </c>
      <c r="AK368">
        <v>23.421178495189</v>
      </c>
      <c r="AL368">
        <v>94.819341103505096</v>
      </c>
      <c r="AM368">
        <v>89.2575984524359</v>
      </c>
      <c r="AN368">
        <v>0.999999992808005</v>
      </c>
    </row>
    <row r="369" spans="1:40" x14ac:dyDescent="0.25">
      <c r="A369" t="str">
        <f>"20190303154422318"</f>
        <v>20190303154422318</v>
      </c>
      <c r="B369" t="str">
        <f>"1551599062310633"</f>
        <v>1551599062310633</v>
      </c>
      <c r="C369" t="s">
        <v>40</v>
      </c>
      <c r="D369">
        <v>4.6012360000000001</v>
      </c>
      <c r="E369">
        <v>0.49876740000000003</v>
      </c>
      <c r="F369" t="s">
        <v>41</v>
      </c>
      <c r="G369">
        <v>-397.20139999999998</v>
      </c>
      <c r="H369" s="1">
        <v>-1.6328090000000001E-6</v>
      </c>
      <c r="I369">
        <v>367.07990000000001</v>
      </c>
      <c r="J369">
        <v>-420.50290000000001</v>
      </c>
      <c r="K369">
        <v>1.0712390000000001</v>
      </c>
      <c r="L369">
        <v>367.82569999999998</v>
      </c>
      <c r="M369">
        <v>0.99963780000000002</v>
      </c>
      <c r="N369">
        <v>-1.425941E-2</v>
      </c>
      <c r="O369">
        <v>-2.2823409999999999E-2</v>
      </c>
      <c r="P369">
        <v>0.99443800000000004</v>
      </c>
      <c r="Q369">
        <v>-9.934685E-2</v>
      </c>
      <c r="R369">
        <v>-3.4979459999999997E-2</v>
      </c>
      <c r="S369">
        <v>2.9995729999999998</v>
      </c>
      <c r="T369">
        <v>-0.13680209999999901</v>
      </c>
      <c r="U369">
        <v>-9.5764160000000001E-2</v>
      </c>
      <c r="V369">
        <v>1.2288790000000001E-2</v>
      </c>
      <c r="W369">
        <v>-8.5146490000000005E-2</v>
      </c>
      <c r="X369">
        <v>0.99629270000000003</v>
      </c>
      <c r="Y369">
        <v>9.0860579999999993E-3</v>
      </c>
      <c r="Z369">
        <v>4.4274780000000001E-4</v>
      </c>
      <c r="AA369">
        <v>0.99995860000000003</v>
      </c>
      <c r="AB369">
        <v>20</v>
      </c>
      <c r="AC369">
        <v>23.301500000000001</v>
      </c>
      <c r="AD369">
        <v>-1.0712406328090001</v>
      </c>
      <c r="AE369">
        <v>-0.74579999999997404</v>
      </c>
      <c r="AF369">
        <v>0.213281602995609</v>
      </c>
      <c r="AG369">
        <v>-1.0712406328090001</v>
      </c>
      <c r="AH369">
        <v>23.263335232858299</v>
      </c>
      <c r="AI369">
        <v>92.636408957880306</v>
      </c>
      <c r="AJ369">
        <v>89.474718770669995</v>
      </c>
      <c r="AK369">
        <v>23.2889633022148</v>
      </c>
      <c r="AL369">
        <v>94.884448463486194</v>
      </c>
      <c r="AM369">
        <v>89.293320026876103</v>
      </c>
      <c r="AN369">
        <v>1.0000000415961301</v>
      </c>
    </row>
    <row r="370" spans="1:40" x14ac:dyDescent="0.25">
      <c r="A370" t="str">
        <f>"20190303154422339"</f>
        <v>20190303154422339</v>
      </c>
      <c r="B370" t="str">
        <f>"1551599062330153"</f>
        <v>1551599062330153</v>
      </c>
      <c r="C370" t="s">
        <v>40</v>
      </c>
      <c r="D370">
        <v>4.4954179999999999</v>
      </c>
      <c r="E370">
        <v>0.4986525</v>
      </c>
      <c r="F370" t="s">
        <v>41</v>
      </c>
      <c r="G370">
        <v>-397.91050000000001</v>
      </c>
      <c r="H370" s="1">
        <v>-1.3600760000000001E-6</v>
      </c>
      <c r="I370">
        <v>367.12470000000002</v>
      </c>
      <c r="J370">
        <v>-420.30959999999999</v>
      </c>
      <c r="K370">
        <v>1.0712219999999999</v>
      </c>
      <c r="L370">
        <v>367.82139999999998</v>
      </c>
      <c r="M370">
        <v>0.99964169999999997</v>
      </c>
      <c r="N370">
        <v>-1.422703E-2</v>
      </c>
      <c r="O370">
        <v>-2.267257E-2</v>
      </c>
      <c r="P370">
        <v>0.99437509999999996</v>
      </c>
      <c r="Q370">
        <v>-0.100261</v>
      </c>
      <c r="R370">
        <v>-3.4152670000000003E-2</v>
      </c>
      <c r="S370">
        <v>2.999298</v>
      </c>
      <c r="T370">
        <v>-0.14221410000000001</v>
      </c>
      <c r="U370">
        <v>-9.3048099999999995E-2</v>
      </c>
      <c r="V370">
        <v>1.1613190000000001E-2</v>
      </c>
      <c r="W370">
        <v>-8.6094260000000006E-2</v>
      </c>
      <c r="X370">
        <v>0.99621930000000003</v>
      </c>
      <c r="Y370">
        <v>8.3367270000000004E-3</v>
      </c>
      <c r="Z370">
        <v>4.9473650000000002E-4</v>
      </c>
      <c r="AA370">
        <v>0.99996510000000005</v>
      </c>
      <c r="AB370">
        <v>20</v>
      </c>
      <c r="AC370">
        <v>22.399099999999901</v>
      </c>
      <c r="AD370">
        <v>-1.0712233600759999</v>
      </c>
      <c r="AE370">
        <v>-0.69669999999996401</v>
      </c>
      <c r="AF370">
        <v>0.188194285135206</v>
      </c>
      <c r="AG370">
        <v>-1.0712233600759999</v>
      </c>
      <c r="AH370">
        <v>22.358051298247499</v>
      </c>
      <c r="AI370">
        <v>92.7429719654656</v>
      </c>
      <c r="AJ370">
        <v>89.517735983409807</v>
      </c>
      <c r="AK370">
        <v>22.3844900417945</v>
      </c>
      <c r="AL370">
        <v>94.9389520815011</v>
      </c>
      <c r="AM370">
        <v>89.332118303725906</v>
      </c>
      <c r="AN370">
        <v>0.99999999073970602</v>
      </c>
    </row>
    <row r="371" spans="1:40" x14ac:dyDescent="0.25">
      <c r="A371" t="str">
        <f>"20190303154422366"</f>
        <v>20190303154422366</v>
      </c>
      <c r="B371" t="str">
        <f>"1551599062360408"</f>
        <v>1551599062360408</v>
      </c>
      <c r="C371" t="s">
        <v>40</v>
      </c>
      <c r="D371">
        <v>4.5285330000000004</v>
      </c>
      <c r="E371">
        <v>0.49779430000000002</v>
      </c>
      <c r="F371" t="s">
        <v>41</v>
      </c>
      <c r="G371">
        <v>-398.49099999999999</v>
      </c>
      <c r="H371" s="1">
        <v>-1.150185E-6</v>
      </c>
      <c r="I371">
        <v>367.17110000000002</v>
      </c>
      <c r="J371">
        <v>-420.08789999999999</v>
      </c>
      <c r="K371">
        <v>1.0711790000000001</v>
      </c>
      <c r="L371">
        <v>367.81670000000003</v>
      </c>
      <c r="M371">
        <v>0.99964799999999998</v>
      </c>
      <c r="N371">
        <v>-1.406931E-2</v>
      </c>
      <c r="O371">
        <v>-2.2498799999999999E-2</v>
      </c>
      <c r="P371">
        <v>0.99429979999999996</v>
      </c>
      <c r="Q371">
        <v>-0.1011966</v>
      </c>
      <c r="R371">
        <v>-3.3578730000000001E-2</v>
      </c>
      <c r="S371">
        <v>2.9990839999999999</v>
      </c>
      <c r="T371">
        <v>-0.1472445</v>
      </c>
      <c r="U371">
        <v>-8.9385989999999999E-2</v>
      </c>
      <c r="V371">
        <v>1.121405E-2</v>
      </c>
      <c r="W371">
        <v>-8.7188210000000002E-2</v>
      </c>
      <c r="X371">
        <v>0.99612869999999998</v>
      </c>
      <c r="Y371">
        <v>7.2950910000000001E-3</v>
      </c>
      <c r="Z371">
        <v>5.568347E-4</v>
      </c>
      <c r="AA371">
        <v>0.99997320000000001</v>
      </c>
      <c r="AB371">
        <v>20</v>
      </c>
      <c r="AC371">
        <v>21.596900000000002</v>
      </c>
      <c r="AD371">
        <v>-1.071180150185</v>
      </c>
      <c r="AE371">
        <v>-0.64560000000000095</v>
      </c>
      <c r="AF371">
        <v>0.15909315315807199</v>
      </c>
      <c r="AG371">
        <v>-1.071180150185</v>
      </c>
      <c r="AH371">
        <v>21.552984885099502</v>
      </c>
      <c r="AI371">
        <v>92.845173235566904</v>
      </c>
      <c r="AJ371">
        <v>89.577079428910196</v>
      </c>
      <c r="AK371">
        <v>21.580173655530601</v>
      </c>
      <c r="AL371">
        <v>95.001867530927001</v>
      </c>
      <c r="AM371">
        <v>89.355012464446702</v>
      </c>
      <c r="AN371">
        <v>0.99999996292204696</v>
      </c>
    </row>
    <row r="372" spans="1:40" x14ac:dyDescent="0.25">
      <c r="A372" t="str">
        <f>"20190303154422385"</f>
        <v>20190303154422385</v>
      </c>
      <c r="B372" t="str">
        <f>"1551599062380904"</f>
        <v>1551599062380904</v>
      </c>
      <c r="C372" t="s">
        <v>40</v>
      </c>
      <c r="D372">
        <v>4.5595840000000001</v>
      </c>
      <c r="E372">
        <v>0.49726710000000002</v>
      </c>
      <c r="F372" t="s">
        <v>41</v>
      </c>
      <c r="G372">
        <v>-399.43880000000001</v>
      </c>
      <c r="H372" s="1">
        <v>-8.0466869999999996E-7</v>
      </c>
      <c r="I372">
        <v>367.25740000000002</v>
      </c>
      <c r="J372">
        <v>-419.9058</v>
      </c>
      <c r="K372">
        <v>1.071118</v>
      </c>
      <c r="L372">
        <v>367.81270000000001</v>
      </c>
      <c r="M372">
        <v>0.99965420000000005</v>
      </c>
      <c r="N372">
        <v>-1.383271E-2</v>
      </c>
      <c r="O372">
        <v>-2.2366569999999999E-2</v>
      </c>
      <c r="P372">
        <v>0.99430149999999995</v>
      </c>
      <c r="Q372">
        <v>-0.1014838</v>
      </c>
      <c r="R372">
        <v>-3.2649419999999998E-2</v>
      </c>
      <c r="S372">
        <v>2.9986269999999999</v>
      </c>
      <c r="T372">
        <v>-0.15555439999999901</v>
      </c>
      <c r="U372">
        <v>-8.1207280000000007E-2</v>
      </c>
      <c r="V372">
        <v>1.04165E-2</v>
      </c>
      <c r="W372">
        <v>-8.7711590000000006E-2</v>
      </c>
      <c r="X372">
        <v>0.99609139999999996</v>
      </c>
      <c r="Y372">
        <v>4.7124050000000002E-3</v>
      </c>
      <c r="Z372">
        <v>6.951282E-4</v>
      </c>
      <c r="AA372">
        <v>0.99998869999999895</v>
      </c>
      <c r="AB372">
        <v>20</v>
      </c>
      <c r="AC372">
        <v>20.466999999999899</v>
      </c>
      <c r="AD372">
        <v>-1.0711188046686999</v>
      </c>
      <c r="AE372">
        <v>-0.55529999999998803</v>
      </c>
      <c r="AF372">
        <v>9.7075018586233602E-2</v>
      </c>
      <c r="AG372">
        <v>-1.0711188046686999</v>
      </c>
      <c r="AH372">
        <v>20.418418600228701</v>
      </c>
      <c r="AI372">
        <v>93.002861980897507</v>
      </c>
      <c r="AJ372">
        <v>89.727601482549503</v>
      </c>
      <c r="AK372">
        <v>20.446724363259602</v>
      </c>
      <c r="AL372">
        <v>95.031970379715105</v>
      </c>
      <c r="AM372">
        <v>89.400858462128696</v>
      </c>
      <c r="AN372">
        <v>0.99999995182326795</v>
      </c>
    </row>
    <row r="373" spans="1:40" x14ac:dyDescent="0.25">
      <c r="A373" t="str">
        <f>"20190303154422410"</f>
        <v>20190303154422410</v>
      </c>
      <c r="B373" t="str">
        <f>"1551599062400425"</f>
        <v>1551599062400425</v>
      </c>
      <c r="C373" t="s">
        <v>40</v>
      </c>
      <c r="D373">
        <v>4.5532450000000004</v>
      </c>
      <c r="E373">
        <v>0.49683820000000001</v>
      </c>
      <c r="F373" t="s">
        <v>41</v>
      </c>
      <c r="G373">
        <v>-399.88659999999999</v>
      </c>
      <c r="H373" s="1">
        <v>-6.3674659999999898E-7</v>
      </c>
      <c r="I373">
        <v>367.31569999999999</v>
      </c>
      <c r="J373">
        <v>-419.69869999999997</v>
      </c>
      <c r="K373">
        <v>1.0710329999999999</v>
      </c>
      <c r="L373">
        <v>367.80829999999997</v>
      </c>
      <c r="M373">
        <v>0.9996623</v>
      </c>
      <c r="N373">
        <v>-1.348652E-2</v>
      </c>
      <c r="O373">
        <v>-2.2216690000000001E-2</v>
      </c>
      <c r="P373">
        <v>0.99423850000000003</v>
      </c>
      <c r="Q373">
        <v>-0.10222580000000001</v>
      </c>
      <c r="R373">
        <v>-3.2246179999999999E-2</v>
      </c>
      <c r="S373">
        <v>2.998383</v>
      </c>
      <c r="T373">
        <v>-0.16042709999999999</v>
      </c>
      <c r="U373">
        <v>-7.4432369999999998E-2</v>
      </c>
      <c r="V373">
        <v>1.0163169999999999E-2</v>
      </c>
      <c r="W373">
        <v>-8.879948E-2</v>
      </c>
      <c r="X373">
        <v>0.99599769999999999</v>
      </c>
      <c r="Y373">
        <v>2.6116199999999998E-3</v>
      </c>
      <c r="Z373">
        <v>8.0059819999999998E-4</v>
      </c>
      <c r="AA373">
        <v>0.9999962</v>
      </c>
      <c r="AB373">
        <v>20</v>
      </c>
      <c r="AC373">
        <v>19.812099999999901</v>
      </c>
      <c r="AD373">
        <v>-1.07103363674659</v>
      </c>
      <c r="AE373">
        <v>-0.492599999999981</v>
      </c>
      <c r="AF373">
        <v>5.21268715301198E-2</v>
      </c>
      <c r="AG373">
        <v>-1.07103363674659</v>
      </c>
      <c r="AH373">
        <v>19.760441031111299</v>
      </c>
      <c r="AI373">
        <v>93.102436211271197</v>
      </c>
      <c r="AJ373">
        <v>89.848857482206</v>
      </c>
      <c r="AK373">
        <v>19.789513890083398</v>
      </c>
      <c r="AL373">
        <v>95.094545680845599</v>
      </c>
      <c r="AM373">
        <v>89.4153736113457</v>
      </c>
      <c r="AN373">
        <v>1.000000028039</v>
      </c>
    </row>
    <row r="374" spans="1:40" x14ac:dyDescent="0.25">
      <c r="A374" t="str">
        <f>"20190303154422428"</f>
        <v>20190303154422428</v>
      </c>
      <c r="B374" t="str">
        <f>"1551599062420921"</f>
        <v>1551599062420921</v>
      </c>
      <c r="C374" t="s">
        <v>40</v>
      </c>
      <c r="D374">
        <v>4.565626</v>
      </c>
      <c r="E374">
        <v>0.49643419999999999</v>
      </c>
      <c r="F374" t="s">
        <v>43</v>
      </c>
      <c r="G374">
        <v>-399.44560000000001</v>
      </c>
      <c r="H374">
        <v>-0.05</v>
      </c>
      <c r="I374">
        <v>367.33699999999999</v>
      </c>
      <c r="J374">
        <v>-419.52010000000001</v>
      </c>
      <c r="K374">
        <v>1.0709599999999999</v>
      </c>
      <c r="L374">
        <v>367.80450000000002</v>
      </c>
      <c r="M374">
        <v>0.99966980000000005</v>
      </c>
      <c r="N374">
        <v>-1.314501E-2</v>
      </c>
      <c r="O374">
        <v>-2.2086680000000001E-2</v>
      </c>
      <c r="P374">
        <v>0.9942626</v>
      </c>
      <c r="Q374">
        <v>-0.10205740000000001</v>
      </c>
      <c r="R374">
        <v>-3.2040069999999997E-2</v>
      </c>
      <c r="S374">
        <v>2.9980769999999999</v>
      </c>
      <c r="T374">
        <v>-0.16594709999999999</v>
      </c>
      <c r="U374">
        <v>-6.9763179999999994E-2</v>
      </c>
      <c r="V374">
        <v>1.008476E-2</v>
      </c>
      <c r="W374">
        <v>-8.89712E-2</v>
      </c>
      <c r="X374">
        <v>0.99598310000000001</v>
      </c>
      <c r="Y374">
        <v>1.1921080000000001E-3</v>
      </c>
      <c r="Z374">
        <v>8.9029389999999999E-4</v>
      </c>
      <c r="AA374">
        <v>0.99999890000000002</v>
      </c>
      <c r="AB374">
        <v>20</v>
      </c>
      <c r="AC374">
        <v>20.0745</v>
      </c>
      <c r="AD374">
        <v>-1.12096</v>
      </c>
      <c r="AE374">
        <v>-0.467500000000029</v>
      </c>
      <c r="AF374">
        <v>2.3894176688912701E-2</v>
      </c>
      <c r="AG374">
        <v>-1.12096</v>
      </c>
      <c r="AH374">
        <v>20.017545606441701</v>
      </c>
      <c r="AI374">
        <v>93.205149298486603</v>
      </c>
      <c r="AJ374">
        <v>89.931608257280004</v>
      </c>
      <c r="AK374">
        <v>20.048921526088499</v>
      </c>
      <c r="AL374">
        <v>95.104423977945302</v>
      </c>
      <c r="AM374">
        <v>89.419875256985193</v>
      </c>
      <c r="AN374">
        <v>0.99999995614965198</v>
      </c>
    </row>
    <row r="375" spans="1:40" x14ac:dyDescent="0.25">
      <c r="A375" t="str">
        <f>"20190303154422465"</f>
        <v>20190303154422465</v>
      </c>
      <c r="B375" t="str">
        <f>"1551599062460937"</f>
        <v>1551599062460937</v>
      </c>
      <c r="C375" t="s">
        <v>40</v>
      </c>
      <c r="D375">
        <v>4.688523</v>
      </c>
      <c r="E375">
        <v>0.49567319999999998</v>
      </c>
      <c r="F375" t="s">
        <v>43</v>
      </c>
      <c r="G375">
        <v>-399.53269999999998</v>
      </c>
      <c r="H375">
        <v>-0.05</v>
      </c>
      <c r="I375">
        <v>367.36529999999999</v>
      </c>
      <c r="J375">
        <v>-419.19619999999998</v>
      </c>
      <c r="K375">
        <v>1.07084</v>
      </c>
      <c r="L375">
        <v>367.79759999999999</v>
      </c>
      <c r="M375">
        <v>0.99968389999999996</v>
      </c>
      <c r="N375">
        <v>-1.243708E-2</v>
      </c>
      <c r="O375">
        <v>-2.1850560000000002E-2</v>
      </c>
      <c r="P375">
        <v>0.99434750000000005</v>
      </c>
      <c r="Q375">
        <v>-0.1010812</v>
      </c>
      <c r="R375">
        <v>-3.2492310000000003E-2</v>
      </c>
      <c r="S375">
        <v>2.997986</v>
      </c>
      <c r="T375">
        <v>-0.16813639999999999</v>
      </c>
      <c r="U375">
        <v>-6.588745E-2</v>
      </c>
      <c r="V375">
        <v>1.0768730000000001E-2</v>
      </c>
      <c r="W375">
        <v>-8.8699150000000004E-2</v>
      </c>
      <c r="X375">
        <v>0.9960002</v>
      </c>
      <c r="Y375">
        <v>1.4022089999999999E-4</v>
      </c>
      <c r="Z375">
        <v>9.4778829999999997E-4</v>
      </c>
      <c r="AA375">
        <v>0.99999950000000004</v>
      </c>
      <c r="AB375">
        <v>20</v>
      </c>
      <c r="AC375">
        <v>19.663499999999999</v>
      </c>
      <c r="AD375">
        <v>-1.1208400000000001</v>
      </c>
      <c r="AE375">
        <v>-0.43229999999999702</v>
      </c>
      <c r="AF375">
        <v>2.4969481629283901E-3</v>
      </c>
      <c r="AG375">
        <v>-1.1208400000000001</v>
      </c>
      <c r="AH375">
        <v>19.6045844492103</v>
      </c>
      <c r="AI375">
        <v>93.272171733334702</v>
      </c>
      <c r="AJ375">
        <v>89.992702493082803</v>
      </c>
      <c r="AK375">
        <v>19.636598991846</v>
      </c>
      <c r="AL375">
        <v>95.0887748121432</v>
      </c>
      <c r="AM375">
        <v>89.380543559024105</v>
      </c>
      <c r="AN375">
        <v>0.99999995157828603</v>
      </c>
    </row>
    <row r="376" spans="1:40" x14ac:dyDescent="0.25">
      <c r="A376" t="str">
        <f>"20190303154422486"</f>
        <v>20190303154422486</v>
      </c>
      <c r="B376" t="str">
        <f>"1551599062480457"</f>
        <v>1551599062480457</v>
      </c>
      <c r="C376" t="s">
        <v>40</v>
      </c>
      <c r="D376">
        <v>4.7134530000000003</v>
      </c>
      <c r="E376">
        <v>0.4953052</v>
      </c>
      <c r="F376" t="s">
        <v>43</v>
      </c>
      <c r="G376">
        <v>-399.71480000000003</v>
      </c>
      <c r="H376">
        <v>-0.05</v>
      </c>
      <c r="I376">
        <v>367.39960000000002</v>
      </c>
      <c r="J376">
        <v>-419.00830000000002</v>
      </c>
      <c r="K376">
        <v>1.070773</v>
      </c>
      <c r="L376">
        <v>367.7937</v>
      </c>
      <c r="M376">
        <v>0.99969229999999998</v>
      </c>
      <c r="N376">
        <v>-1.1992070000000001E-2</v>
      </c>
      <c r="O376">
        <v>-2.1717409999999999E-2</v>
      </c>
      <c r="P376">
        <v>0.99439040000000001</v>
      </c>
      <c r="Q376">
        <v>-0.1004558</v>
      </c>
      <c r="R376">
        <v>-3.3117819999999999E-2</v>
      </c>
      <c r="S376">
        <v>2.997528</v>
      </c>
      <c r="T376">
        <v>-0.172459</v>
      </c>
      <c r="U376">
        <v>-6.1248780000000003E-2</v>
      </c>
      <c r="V376">
        <v>1.152572E-2</v>
      </c>
      <c r="W376">
        <v>-8.8516269999999994E-2</v>
      </c>
      <c r="X376">
        <v>0.996008</v>
      </c>
      <c r="Y376">
        <v>-1.265413E-3</v>
      </c>
      <c r="Z376">
        <v>1.0318650000000001E-3</v>
      </c>
      <c r="AA376">
        <v>0.99999870000000002</v>
      </c>
      <c r="AB376">
        <v>20</v>
      </c>
      <c r="AC376">
        <v>19.293499999999899</v>
      </c>
      <c r="AD376">
        <v>-1.120773</v>
      </c>
      <c r="AE376">
        <v>-0.39409999999998002</v>
      </c>
      <c r="AF376">
        <v>-2.49437738129266E-2</v>
      </c>
      <c r="AG376">
        <v>-1.120773</v>
      </c>
      <c r="AH376">
        <v>19.2326343740732</v>
      </c>
      <c r="AI376">
        <v>93.335110781702596</v>
      </c>
      <c r="AJ376">
        <v>90.074309745377803</v>
      </c>
      <c r="AK376">
        <v>19.265279112334799</v>
      </c>
      <c r="AL376">
        <v>95.078255168358893</v>
      </c>
      <c r="AM376">
        <v>89.337007697281607</v>
      </c>
      <c r="AN376">
        <v>0.999999954170114</v>
      </c>
    </row>
    <row r="377" spans="1:40" x14ac:dyDescent="0.25">
      <c r="A377" t="str">
        <f>"20190303154422507"</f>
        <v>20190303154422507</v>
      </c>
      <c r="B377" t="str">
        <f>"1551599062499977"</f>
        <v>1551599062499977</v>
      </c>
      <c r="C377" t="s">
        <v>40</v>
      </c>
      <c r="D377">
        <v>4.6403230000000004</v>
      </c>
      <c r="E377">
        <v>0.49493219999999999</v>
      </c>
      <c r="F377" t="s">
        <v>43</v>
      </c>
      <c r="G377">
        <v>-399.7928</v>
      </c>
      <c r="H377">
        <v>-0.05</v>
      </c>
      <c r="I377">
        <v>367.40839999999997</v>
      </c>
      <c r="J377">
        <v>-418.81540000000001</v>
      </c>
      <c r="K377">
        <v>1.0707150000000001</v>
      </c>
      <c r="L377">
        <v>367.78969999999998</v>
      </c>
      <c r="M377">
        <v>0.99970060000000005</v>
      </c>
      <c r="N377">
        <v>-1.153883E-2</v>
      </c>
      <c r="O377">
        <v>-2.1583100000000001E-2</v>
      </c>
      <c r="P377">
        <v>0.99447609999999997</v>
      </c>
      <c r="Q377">
        <v>-9.9580409999999994E-2</v>
      </c>
      <c r="R377">
        <v>-3.3183200000000003E-2</v>
      </c>
      <c r="S377">
        <v>2.9972840000000001</v>
      </c>
      <c r="T377">
        <v>-0.174820899999999</v>
      </c>
      <c r="U377">
        <v>-6.0089110000000001E-2</v>
      </c>
      <c r="V377">
        <v>1.172319E-2</v>
      </c>
      <c r="W377">
        <v>-8.8091379999999997E-2</v>
      </c>
      <c r="X377">
        <v>0.99604340000000002</v>
      </c>
      <c r="Y377">
        <v>-1.5143719999999999E-3</v>
      </c>
      <c r="Z377">
        <v>1.061513E-3</v>
      </c>
      <c r="AA377">
        <v>0.99999830000000001</v>
      </c>
      <c r="AB377">
        <v>20</v>
      </c>
      <c r="AC377">
        <v>19.022600000000001</v>
      </c>
      <c r="AD377">
        <v>-1.1207149999999999</v>
      </c>
      <c r="AE377">
        <v>-0.38130000000001002</v>
      </c>
      <c r="AF377">
        <v>-2.92811982544403E-2</v>
      </c>
      <c r="AG377">
        <v>-1.1207149999999999</v>
      </c>
      <c r="AH377">
        <v>18.960613175696899</v>
      </c>
      <c r="AI377">
        <v>93.382672256889194</v>
      </c>
      <c r="AJ377">
        <v>90.088482779001097</v>
      </c>
      <c r="AK377">
        <v>18.993728214813601</v>
      </c>
      <c r="AL377">
        <v>95.053815111776402</v>
      </c>
      <c r="AM377">
        <v>89.325673664160306</v>
      </c>
      <c r="AN377">
        <v>0.99999998954881997</v>
      </c>
    </row>
    <row r="378" spans="1:40" x14ac:dyDescent="0.25">
      <c r="A378" t="str">
        <f>"20190303154422529"</f>
        <v>20190303154422529</v>
      </c>
      <c r="B378" t="str">
        <f>"1551599062520473"</f>
        <v>1551599062520473</v>
      </c>
      <c r="C378" t="s">
        <v>40</v>
      </c>
      <c r="D378">
        <v>4.7283609999999996</v>
      </c>
      <c r="E378">
        <v>0.4944327</v>
      </c>
      <c r="F378" t="s">
        <v>43</v>
      </c>
      <c r="G378">
        <v>-399.79410000000001</v>
      </c>
      <c r="H378">
        <v>-0.05</v>
      </c>
      <c r="I378">
        <v>367.42649999999998</v>
      </c>
      <c r="J378">
        <v>-418.6182</v>
      </c>
      <c r="K378">
        <v>1.0706639999999901</v>
      </c>
      <c r="L378">
        <v>367.78559999999999</v>
      </c>
      <c r="M378">
        <v>0.99970859999999995</v>
      </c>
      <c r="N378">
        <v>-1.109136E-2</v>
      </c>
      <c r="O378">
        <v>-2.1446400000000001E-2</v>
      </c>
      <c r="P378">
        <v>0.99456820000000001</v>
      </c>
      <c r="Q378">
        <v>-9.8810510000000004E-2</v>
      </c>
      <c r="R378">
        <v>-3.2725949999999997E-2</v>
      </c>
      <c r="S378">
        <v>2.9971009999999998</v>
      </c>
      <c r="T378">
        <v>-0.17658599999999999</v>
      </c>
      <c r="U378">
        <v>-5.7220460000000001E-2</v>
      </c>
      <c r="V378">
        <v>1.140036E-2</v>
      </c>
      <c r="W378">
        <v>-8.7766330000000004E-2</v>
      </c>
      <c r="X378">
        <v>0.99607590000000001</v>
      </c>
      <c r="Y378">
        <v>-2.330454E-3</v>
      </c>
      <c r="Z378">
        <v>1.106066E-3</v>
      </c>
      <c r="AA378">
        <v>0.99999669999999896</v>
      </c>
      <c r="AB378">
        <v>20</v>
      </c>
      <c r="AC378">
        <v>18.824099999999898</v>
      </c>
      <c r="AD378">
        <v>-1.1206640000000001</v>
      </c>
      <c r="AE378">
        <v>-0.35910000000001202</v>
      </c>
      <c r="AF378">
        <v>-4.4558695925596303E-2</v>
      </c>
      <c r="AG378">
        <v>-1.1206640000000001</v>
      </c>
      <c r="AH378">
        <v>18.761002595391801</v>
      </c>
      <c r="AI378">
        <v>93.4184170607233</v>
      </c>
      <c r="AJ378">
        <v>90.136081235726905</v>
      </c>
      <c r="AK378">
        <v>18.7944963130853</v>
      </c>
      <c r="AL378">
        <v>95.035118408951405</v>
      </c>
      <c r="AM378">
        <v>89.344262828082407</v>
      </c>
      <c r="AN378">
        <v>1.0000000477252999</v>
      </c>
    </row>
    <row r="379" spans="1:40" x14ac:dyDescent="0.25">
      <c r="A379" t="str">
        <f>"20190303154422553"</f>
        <v>20190303154422553</v>
      </c>
      <c r="B379" t="str">
        <f>"1551599062540972"</f>
        <v>1551599062540972</v>
      </c>
      <c r="C379" t="s">
        <v>40</v>
      </c>
      <c r="D379">
        <v>4.6592129999999896</v>
      </c>
      <c r="E379">
        <v>0.49416480000000002</v>
      </c>
      <c r="F379" t="s">
        <v>43</v>
      </c>
      <c r="G379">
        <v>-399.93130000000002</v>
      </c>
      <c r="H379">
        <v>-0.05</v>
      </c>
      <c r="I379">
        <v>367.4615</v>
      </c>
      <c r="J379">
        <v>-418.40170000000001</v>
      </c>
      <c r="K379">
        <v>1.0706230000000001</v>
      </c>
      <c r="L379">
        <v>367.78109999999998</v>
      </c>
      <c r="M379">
        <v>0.99971699999999997</v>
      </c>
      <c r="N379">
        <v>-1.061546E-2</v>
      </c>
      <c r="O379">
        <v>-2.1295720000000001E-2</v>
      </c>
      <c r="P379">
        <v>0.99465610000000004</v>
      </c>
      <c r="Q379">
        <v>-9.8074819999999993E-2</v>
      </c>
      <c r="R379">
        <v>-3.2261770000000002E-2</v>
      </c>
      <c r="S379">
        <v>2.9968870000000001</v>
      </c>
      <c r="T379">
        <v>-0.17972539999999901</v>
      </c>
      <c r="U379">
        <v>-5.1971440000000001E-2</v>
      </c>
      <c r="V379">
        <v>1.108489E-2</v>
      </c>
      <c r="W379">
        <v>-8.7503949999999997E-2</v>
      </c>
      <c r="X379">
        <v>0.9961025</v>
      </c>
      <c r="Y379">
        <v>-3.9242529999999999E-3</v>
      </c>
      <c r="Z379">
        <v>1.1882450000000001E-3</v>
      </c>
      <c r="AA379">
        <v>0.99999159999999998</v>
      </c>
      <c r="AB379">
        <v>20</v>
      </c>
      <c r="AC379">
        <v>18.470399999999898</v>
      </c>
      <c r="AD379">
        <v>-1.1206229999999999</v>
      </c>
      <c r="AE379">
        <v>-0.31959999999997901</v>
      </c>
      <c r="AF379">
        <v>-7.3564353850084696E-2</v>
      </c>
      <c r="AG379">
        <v>-1.1206229999999999</v>
      </c>
      <c r="AH379">
        <v>18.405287628902801</v>
      </c>
      <c r="AI379">
        <v>93.484177709970496</v>
      </c>
      <c r="AJ379">
        <v>90.229005090193397</v>
      </c>
      <c r="AK379">
        <v>18.439517898386899</v>
      </c>
      <c r="AL379">
        <v>95.020027304925094</v>
      </c>
      <c r="AM379">
        <v>89.362423848907298</v>
      </c>
      <c r="AN379">
        <v>1.0000000032790799</v>
      </c>
    </row>
    <row r="380" spans="1:40" x14ac:dyDescent="0.25">
      <c r="A380" t="str">
        <f>"20190303154422574"</f>
        <v>20190303154422574</v>
      </c>
      <c r="B380" t="str">
        <f>"1551599062570249"</f>
        <v>1551599062570249</v>
      </c>
      <c r="C380" t="s">
        <v>40</v>
      </c>
      <c r="D380">
        <v>4.6672940000000001</v>
      </c>
      <c r="E380">
        <v>0.49383510000000003</v>
      </c>
      <c r="F380" t="s">
        <v>43</v>
      </c>
      <c r="G380">
        <v>-399.70729999999998</v>
      </c>
      <c r="H380">
        <v>-0.05</v>
      </c>
      <c r="I380">
        <v>367.47899999999998</v>
      </c>
      <c r="J380">
        <v>-418.21039999999999</v>
      </c>
      <c r="K380">
        <v>1.0705819999999999</v>
      </c>
      <c r="L380">
        <v>367.77719999999999</v>
      </c>
      <c r="M380">
        <v>0.9997241</v>
      </c>
      <c r="N380">
        <v>-1.0196210000000001E-2</v>
      </c>
      <c r="O380">
        <v>-2.1161159999999998E-2</v>
      </c>
      <c r="P380">
        <v>0.99469370000000001</v>
      </c>
      <c r="Q380">
        <v>-9.7953369999999998E-2</v>
      </c>
      <c r="R380">
        <v>-3.1459029999999999E-2</v>
      </c>
      <c r="S380">
        <v>2.9968569999999999</v>
      </c>
      <c r="T380">
        <v>-0.17964469999999999</v>
      </c>
      <c r="U380">
        <v>-4.8431399999999999E-2</v>
      </c>
      <c r="V380">
        <v>1.041596E-2</v>
      </c>
      <c r="W380">
        <v>-8.7800000000000003E-2</v>
      </c>
      <c r="X380">
        <v>0.99608370000000002</v>
      </c>
      <c r="Y380">
        <v>-4.967913E-3</v>
      </c>
      <c r="Z380">
        <v>1.225643E-3</v>
      </c>
      <c r="AA380">
        <v>0.99998690000000001</v>
      </c>
      <c r="AB380">
        <v>20</v>
      </c>
      <c r="AC380">
        <v>18.5031</v>
      </c>
      <c r="AD380">
        <v>-1.120582</v>
      </c>
      <c r="AE380">
        <v>-0.298199999999951</v>
      </c>
      <c r="AF380">
        <v>-9.3092836906370005E-2</v>
      </c>
      <c r="AG380">
        <v>-1.120582</v>
      </c>
      <c r="AH380">
        <v>18.437659951930002</v>
      </c>
      <c r="AI380">
        <v>93.477931870214803</v>
      </c>
      <c r="AJ380">
        <v>90.289287325352305</v>
      </c>
      <c r="AK380">
        <v>18.471915839944899</v>
      </c>
      <c r="AL380">
        <v>95.037055099090907</v>
      </c>
      <c r="AM380">
        <v>89.400884888908294</v>
      </c>
      <c r="AN380">
        <v>1.0000000348142</v>
      </c>
    </row>
    <row r="381" spans="1:40" x14ac:dyDescent="0.25">
      <c r="A381" t="str">
        <f>"20190303154422596"</f>
        <v>20190303154422596</v>
      </c>
      <c r="B381" t="str">
        <f>"1551599062590745"</f>
        <v>1551599062590745</v>
      </c>
      <c r="C381" t="s">
        <v>40</v>
      </c>
      <c r="D381">
        <v>4.6895419999999897</v>
      </c>
      <c r="E381">
        <v>0.49358790000000002</v>
      </c>
      <c r="F381" t="s">
        <v>43</v>
      </c>
      <c r="G381">
        <v>-399.82339999999999</v>
      </c>
      <c r="H381">
        <v>-0.05</v>
      </c>
      <c r="I381">
        <v>367.50959999999998</v>
      </c>
      <c r="J381">
        <v>-418.0016</v>
      </c>
      <c r="K381">
        <v>1.0705229999999999</v>
      </c>
      <c r="L381">
        <v>367.77289999999999</v>
      </c>
      <c r="M381">
        <v>0.99973199999999995</v>
      </c>
      <c r="N381">
        <v>-9.7281920000000001E-3</v>
      </c>
      <c r="O381">
        <v>-2.1013230000000001E-2</v>
      </c>
      <c r="P381">
        <v>0.99477879999999996</v>
      </c>
      <c r="Q381">
        <v>-9.7137589999999996E-2</v>
      </c>
      <c r="R381">
        <v>-3.1303480000000002E-2</v>
      </c>
      <c r="S381">
        <v>2.996613</v>
      </c>
      <c r="T381">
        <v>-0.18262680000000001</v>
      </c>
      <c r="U381">
        <v>-4.3609620000000002E-2</v>
      </c>
      <c r="V381">
        <v>1.040602E-2</v>
      </c>
      <c r="W381">
        <v>-8.7449650000000004E-2</v>
      </c>
      <c r="X381">
        <v>0.99611459999999996</v>
      </c>
      <c r="Y381">
        <v>-6.4224429999999999E-3</v>
      </c>
      <c r="Z381">
        <v>1.30178E-3</v>
      </c>
      <c r="AA381">
        <v>0.99997849999999999</v>
      </c>
      <c r="AB381">
        <v>20</v>
      </c>
      <c r="AC381">
        <v>18.1782</v>
      </c>
      <c r="AD381">
        <v>-1.1205229999999999</v>
      </c>
      <c r="AE381">
        <v>-0.26330000000001502</v>
      </c>
      <c r="AF381">
        <v>-0.118309429691418</v>
      </c>
      <c r="AG381">
        <v>-1.1205229999999999</v>
      </c>
      <c r="AH381">
        <v>18.110918760806399</v>
      </c>
      <c r="AI381">
        <v>93.540303173412198</v>
      </c>
      <c r="AJ381">
        <v>90.374278890396894</v>
      </c>
      <c r="AK381">
        <v>18.145934731372002</v>
      </c>
      <c r="AL381">
        <v>95.016904130731007</v>
      </c>
      <c r="AM381">
        <v>89.401475151465206</v>
      </c>
      <c r="AN381">
        <v>1.0000000114352601</v>
      </c>
    </row>
    <row r="382" spans="1:40" x14ac:dyDescent="0.25">
      <c r="A382" t="str">
        <f>"20190303154422618"</f>
        <v>20190303154422618</v>
      </c>
      <c r="B382" t="str">
        <f>"1551599062610265"</f>
        <v>1551599062610265</v>
      </c>
      <c r="C382" t="s">
        <v>40</v>
      </c>
      <c r="D382">
        <v>4.7806470000000001</v>
      </c>
      <c r="E382">
        <v>0.49329970000000001</v>
      </c>
      <c r="F382" t="s">
        <v>43</v>
      </c>
      <c r="G382">
        <v>-399.59989999999999</v>
      </c>
      <c r="H382">
        <v>-0.05</v>
      </c>
      <c r="I382">
        <v>367.52050000000003</v>
      </c>
      <c r="J382">
        <v>-417.8032</v>
      </c>
      <c r="K382">
        <v>1.070468</v>
      </c>
      <c r="L382">
        <v>367.76889999999997</v>
      </c>
      <c r="M382">
        <v>0.9997393</v>
      </c>
      <c r="N382">
        <v>-9.2681329999999996E-3</v>
      </c>
      <c r="O382">
        <v>-2.0871649999999999E-2</v>
      </c>
      <c r="P382">
        <v>0.99473800000000001</v>
      </c>
      <c r="Q382">
        <v>-9.7586909999999999E-2</v>
      </c>
      <c r="R382">
        <v>-3.1195859999999999E-2</v>
      </c>
      <c r="S382">
        <v>2.9966430000000002</v>
      </c>
      <c r="T382">
        <v>-0.18247340000000001</v>
      </c>
      <c r="U382">
        <v>-4.110718E-2</v>
      </c>
      <c r="V382">
        <v>1.044082E-2</v>
      </c>
      <c r="W382">
        <v>-8.8357630000000006E-2</v>
      </c>
      <c r="X382">
        <v>0.99603410000000003</v>
      </c>
      <c r="Y382">
        <v>-7.1141599999999996E-3</v>
      </c>
      <c r="Z382">
        <v>1.3256710000000001E-3</v>
      </c>
      <c r="AA382">
        <v>0.99997380000000002</v>
      </c>
      <c r="AB382">
        <v>21</v>
      </c>
      <c r="AC382">
        <v>18.203299999999999</v>
      </c>
      <c r="AD382">
        <v>-1.120468</v>
      </c>
      <c r="AE382">
        <v>-0.248399999999946</v>
      </c>
      <c r="AF382">
        <v>-0.1311066630661</v>
      </c>
      <c r="AG382">
        <v>-1.120468</v>
      </c>
      <c r="AH382">
        <v>18.1358193327153</v>
      </c>
      <c r="AI382">
        <v>93.535264658978207</v>
      </c>
      <c r="AJ382">
        <v>90.414192900122998</v>
      </c>
      <c r="AK382">
        <v>18.170871755780301</v>
      </c>
      <c r="AL382">
        <v>95.069129753070499</v>
      </c>
      <c r="AM382">
        <v>89.399425168904202</v>
      </c>
      <c r="AN382">
        <v>1.00000000493214</v>
      </c>
    </row>
    <row r="383" spans="1:40" x14ac:dyDescent="0.25">
      <c r="A383" t="str">
        <f>"20190303154422641"</f>
        <v>20190303154422641</v>
      </c>
      <c r="B383" t="str">
        <f>"1551599062630760"</f>
        <v>1551599062630760</v>
      </c>
      <c r="C383" t="s">
        <v>40</v>
      </c>
      <c r="D383">
        <v>4.6995189999999996</v>
      </c>
      <c r="E383">
        <v>0.49311549999999998</v>
      </c>
      <c r="F383" t="s">
        <v>43</v>
      </c>
      <c r="G383">
        <v>-399.86540000000002</v>
      </c>
      <c r="H383">
        <v>-0.05</v>
      </c>
      <c r="I383">
        <v>367.5367</v>
      </c>
      <c r="J383">
        <v>-417.5856</v>
      </c>
      <c r="K383">
        <v>1.070398</v>
      </c>
      <c r="L383">
        <v>367.76459999999997</v>
      </c>
      <c r="M383">
        <v>0.99974719999999995</v>
      </c>
      <c r="N383">
        <v>-8.7523489999999995E-3</v>
      </c>
      <c r="O383">
        <v>-2.0716109999999999E-2</v>
      </c>
      <c r="P383">
        <v>0.99472099999999997</v>
      </c>
      <c r="Q383">
        <v>-9.789921E-2</v>
      </c>
      <c r="R383">
        <v>-3.075839E-2</v>
      </c>
      <c r="S383">
        <v>2.9963380000000002</v>
      </c>
      <c r="T383">
        <v>-0.18716369999999999</v>
      </c>
      <c r="U383">
        <v>-3.8787839999999997E-2</v>
      </c>
      <c r="V383">
        <v>1.0159039999999999E-2</v>
      </c>
      <c r="W383">
        <v>-8.9183929999999995E-2</v>
      </c>
      <c r="X383">
        <v>0.9959633</v>
      </c>
      <c r="Y383">
        <v>-7.7269330000000001E-3</v>
      </c>
      <c r="Z383">
        <v>1.38635E-3</v>
      </c>
      <c r="AA383">
        <v>0.9999692</v>
      </c>
      <c r="AB383">
        <v>21</v>
      </c>
      <c r="AC383">
        <v>17.720199999999899</v>
      </c>
      <c r="AD383">
        <v>-1.120398</v>
      </c>
      <c r="AE383">
        <v>-0.22789999999997601</v>
      </c>
      <c r="AF383">
        <v>-0.138702149450976</v>
      </c>
      <c r="AG383">
        <v>-1.120398</v>
      </c>
      <c r="AH383">
        <v>17.6505687511562</v>
      </c>
      <c r="AI383">
        <v>93.631956166554602</v>
      </c>
      <c r="AJ383">
        <v>90.450233888197801</v>
      </c>
      <c r="AK383">
        <v>17.686636401644002</v>
      </c>
      <c r="AL383">
        <v>95.116661253423999</v>
      </c>
      <c r="AM383">
        <v>89.415590986011907</v>
      </c>
      <c r="AN383">
        <v>0.99999993720542601</v>
      </c>
    </row>
    <row r="384" spans="1:40" x14ac:dyDescent="0.25">
      <c r="A384" t="str">
        <f>"20190303154422665"</f>
        <v>20190303154422665</v>
      </c>
      <c r="B384" t="str">
        <f>"1551599062660041"</f>
        <v>1551599062660041</v>
      </c>
      <c r="C384" t="s">
        <v>40</v>
      </c>
      <c r="D384">
        <v>4.7013850000000001</v>
      </c>
      <c r="E384">
        <v>0.51879549999999997</v>
      </c>
      <c r="F384" t="s">
        <v>43</v>
      </c>
      <c r="G384">
        <v>-399.94959999999998</v>
      </c>
      <c r="H384">
        <v>-0.05</v>
      </c>
      <c r="I384">
        <v>367.55239999999998</v>
      </c>
      <c r="J384">
        <v>-417.358</v>
      </c>
      <c r="K384">
        <v>1.0703339999999999</v>
      </c>
      <c r="L384">
        <v>367.76</v>
      </c>
      <c r="M384">
        <v>0.99975499999999995</v>
      </c>
      <c r="N384">
        <v>-8.2185880000000006E-3</v>
      </c>
      <c r="O384">
        <v>-2.0552999999999998E-2</v>
      </c>
      <c r="P384">
        <v>0.99464569999999997</v>
      </c>
      <c r="Q384">
        <v>-9.8599870000000006E-2</v>
      </c>
      <c r="R384">
        <v>-3.0954200000000001E-2</v>
      </c>
      <c r="S384">
        <v>2.9960330000000002</v>
      </c>
      <c r="T384">
        <v>-0.190335</v>
      </c>
      <c r="U384">
        <v>-3.6041259999999999E-2</v>
      </c>
      <c r="V384">
        <v>1.051917E-2</v>
      </c>
      <c r="W384">
        <v>-9.0416700000000003E-2</v>
      </c>
      <c r="X384">
        <v>0.99584850000000003</v>
      </c>
      <c r="Y384">
        <v>-8.4752649999999992E-3</v>
      </c>
      <c r="Z384">
        <v>1.439262E-3</v>
      </c>
      <c r="AA384">
        <v>0.99996300000000005</v>
      </c>
      <c r="AB384">
        <v>21</v>
      </c>
      <c r="AC384">
        <v>17.4084</v>
      </c>
      <c r="AD384">
        <v>-1.1203339999999999</v>
      </c>
      <c r="AE384">
        <v>-0.207600000000013</v>
      </c>
      <c r="AF384">
        <v>-0.149631142016108</v>
      </c>
      <c r="AG384">
        <v>-1.1203339999999999</v>
      </c>
      <c r="AH384">
        <v>17.337194401717099</v>
      </c>
      <c r="AI384">
        <v>93.697190134743806</v>
      </c>
      <c r="AJ384">
        <v>90.494487162365601</v>
      </c>
      <c r="AK384">
        <v>17.373999179036101</v>
      </c>
      <c r="AL384">
        <v>95.187579806215297</v>
      </c>
      <c r="AM384">
        <v>89.394805906297293</v>
      </c>
      <c r="AN384">
        <v>1.00000003376431</v>
      </c>
    </row>
    <row r="385" spans="1:40" x14ac:dyDescent="0.25">
      <c r="A385" t="str">
        <f>"20190303154422687"</f>
        <v>20190303154422687</v>
      </c>
      <c r="B385" t="str">
        <f>"1551599062680537"</f>
        <v>1551599062680537</v>
      </c>
      <c r="C385" t="s">
        <v>40</v>
      </c>
      <c r="D385">
        <v>4.7449659999999998</v>
      </c>
      <c r="E385">
        <v>0.52427849999999998</v>
      </c>
      <c r="F385" t="s">
        <v>42</v>
      </c>
      <c r="G385">
        <v>-416.50439999999998</v>
      </c>
      <c r="H385">
        <v>0.95015139999999998</v>
      </c>
      <c r="I385">
        <v>367.68950000000001</v>
      </c>
      <c r="J385">
        <v>-417.15620000000001</v>
      </c>
      <c r="K385">
        <v>1.070276</v>
      </c>
      <c r="L385">
        <v>367.75599999999997</v>
      </c>
      <c r="M385">
        <v>0.99976149999999997</v>
      </c>
      <c r="N385">
        <v>-7.7671290000000002E-3</v>
      </c>
      <c r="O385">
        <v>-2.040869E-2</v>
      </c>
      <c r="P385">
        <v>0.9946507</v>
      </c>
      <c r="Q385">
        <v>-9.8519889999999999E-2</v>
      </c>
      <c r="R385">
        <v>-3.1044780000000001E-2</v>
      </c>
      <c r="S385">
        <v>2.9671020000000001</v>
      </c>
      <c r="T385">
        <v>-0.41785489999999997</v>
      </c>
      <c r="U385">
        <v>-0.24453739999999999</v>
      </c>
      <c r="V385">
        <v>1.075357E-2</v>
      </c>
      <c r="W385">
        <v>-9.0786220000000001E-2</v>
      </c>
      <c r="X385">
        <v>0.99581240000000004</v>
      </c>
      <c r="Y385">
        <v>6.1324280000000002E-2</v>
      </c>
      <c r="Z385">
        <v>-1.832598E-3</v>
      </c>
      <c r="AA385">
        <v>0.99811620000000001</v>
      </c>
      <c r="AB385">
        <v>21</v>
      </c>
      <c r="AC385">
        <v>0.65180000000003602</v>
      </c>
      <c r="AD385">
        <v>-0.120124599999999</v>
      </c>
      <c r="AE385">
        <v>-6.64999999999622E-2</v>
      </c>
      <c r="AF385">
        <v>5.1453726329059299E-2</v>
      </c>
      <c r="AG385">
        <v>-0.120124599999999</v>
      </c>
      <c r="AH385">
        <v>0.63178380618782204</v>
      </c>
      <c r="AI385">
        <v>100.73076643022399</v>
      </c>
      <c r="AJ385">
        <v>85.343994038319195</v>
      </c>
      <c r="AK385">
        <v>0.645157487160676</v>
      </c>
      <c r="AL385">
        <v>95.208839058198095</v>
      </c>
      <c r="AM385">
        <v>89.381298899832601</v>
      </c>
      <c r="AN385">
        <v>1.00000005650169</v>
      </c>
    </row>
    <row r="386" spans="1:40" x14ac:dyDescent="0.25">
      <c r="A386" t="str">
        <f>"20190303154422708"</f>
        <v>20190303154422708</v>
      </c>
      <c r="B386" t="str">
        <f>"1551599062701032"</f>
        <v>1551599062701032</v>
      </c>
      <c r="C386" t="s">
        <v>40</v>
      </c>
      <c r="D386">
        <v>4.6403239999999997</v>
      </c>
      <c r="E386">
        <v>0.52703480000000003</v>
      </c>
      <c r="F386" t="s">
        <v>42</v>
      </c>
      <c r="G386">
        <v>-416.33030000000002</v>
      </c>
      <c r="H386">
        <v>0.91855850000000006</v>
      </c>
      <c r="I386">
        <v>367.67489999999998</v>
      </c>
      <c r="J386">
        <v>-416.94920000000002</v>
      </c>
      <c r="K386">
        <v>1.0702339999999999</v>
      </c>
      <c r="L386">
        <v>367.75200000000001</v>
      </c>
      <c r="M386">
        <v>0.99976779999999998</v>
      </c>
      <c r="N386">
        <v>-7.3386930000000003E-3</v>
      </c>
      <c r="O386">
        <v>-2.026122E-2</v>
      </c>
      <c r="P386">
        <v>0.99459540000000002</v>
      </c>
      <c r="Q386">
        <v>-9.9068310000000007E-2</v>
      </c>
      <c r="R386">
        <v>-3.107447E-2</v>
      </c>
      <c r="S386">
        <v>2.9533390000000002</v>
      </c>
      <c r="T386">
        <v>-0.54254910000000001</v>
      </c>
      <c r="U386">
        <v>-0.28979490000000002</v>
      </c>
      <c r="V386">
        <v>1.0931420000000001E-2</v>
      </c>
      <c r="W386">
        <v>-9.1761620000000002E-2</v>
      </c>
      <c r="X386">
        <v>0.99572099999999997</v>
      </c>
      <c r="Y386">
        <v>7.6461260000000003E-2</v>
      </c>
      <c r="Z386">
        <v>-3.698008E-3</v>
      </c>
      <c r="AA386">
        <v>0.99706570000000005</v>
      </c>
      <c r="AB386">
        <v>21</v>
      </c>
      <c r="AC386">
        <v>0.61889999999999601</v>
      </c>
      <c r="AD386">
        <v>-0.15167549999999899</v>
      </c>
      <c r="AE386">
        <v>-7.7099999999972996E-2</v>
      </c>
      <c r="AF386">
        <v>6.0940003823322299E-2</v>
      </c>
      <c r="AG386">
        <v>-0.15167549999999899</v>
      </c>
      <c r="AH386">
        <v>0.58569546527769101</v>
      </c>
      <c r="AI386">
        <v>104.444049179391</v>
      </c>
      <c r="AJ386">
        <v>84.059905527886897</v>
      </c>
      <c r="AK386">
        <v>0.60807756035976801</v>
      </c>
      <c r="AL386">
        <v>95.264959914239896</v>
      </c>
      <c r="AM386">
        <v>89.371009480277493</v>
      </c>
      <c r="AN386">
        <v>1.0000000003446201</v>
      </c>
    </row>
    <row r="387" spans="1:40" x14ac:dyDescent="0.25">
      <c r="A387" t="str">
        <f>"20190303154422732"</f>
        <v>20190303154422732</v>
      </c>
      <c r="B387" t="str">
        <f>"1551599062720553"</f>
        <v>1551599062720553</v>
      </c>
      <c r="C387" t="s">
        <v>40</v>
      </c>
      <c r="D387">
        <v>4.7719569999999996</v>
      </c>
      <c r="E387">
        <v>0.52751459999999994</v>
      </c>
      <c r="F387" t="s">
        <v>42</v>
      </c>
      <c r="G387">
        <v>-416.14420000000001</v>
      </c>
      <c r="H387">
        <v>0.90844290000000005</v>
      </c>
      <c r="I387">
        <v>367.66649999999998</v>
      </c>
      <c r="J387">
        <v>-416.73099999999999</v>
      </c>
      <c r="K387">
        <v>1.0702</v>
      </c>
      <c r="L387">
        <v>367.74770000000001</v>
      </c>
      <c r="M387">
        <v>0.99977389999999999</v>
      </c>
      <c r="N387">
        <v>-6.932484E-3</v>
      </c>
      <c r="O387">
        <v>-2.0106519999999999E-2</v>
      </c>
      <c r="P387">
        <v>0.99462969999999895</v>
      </c>
      <c r="Q387">
        <v>-9.8554299999999997E-2</v>
      </c>
      <c r="R387">
        <v>-3.1609329999999998E-2</v>
      </c>
      <c r="S387">
        <v>2.9475099999999999</v>
      </c>
      <c r="T387">
        <v>-0.592499</v>
      </c>
      <c r="U387">
        <v>-0.31243900000000002</v>
      </c>
      <c r="V387">
        <v>1.161977E-2</v>
      </c>
      <c r="W387">
        <v>-9.1651650000000001E-2</v>
      </c>
      <c r="X387">
        <v>0.99572329999999998</v>
      </c>
      <c r="Y387">
        <v>8.4043919999999994E-2</v>
      </c>
      <c r="Z387">
        <v>-4.7839839999999998E-3</v>
      </c>
      <c r="AA387">
        <v>0.99645050000000002</v>
      </c>
      <c r="AB387">
        <v>21</v>
      </c>
      <c r="AC387">
        <v>0.586799999999982</v>
      </c>
      <c r="AD387">
        <v>-0.16175709999999999</v>
      </c>
      <c r="AE387">
        <v>-8.1200000000023906E-2</v>
      </c>
      <c r="AF387">
        <v>6.4570392041454594E-2</v>
      </c>
      <c r="AG387">
        <v>-0.16175709999999999</v>
      </c>
      <c r="AH387">
        <v>0.54749270259531102</v>
      </c>
      <c r="AI387">
        <v>106.352591028772</v>
      </c>
      <c r="AJ387">
        <v>83.273701215062005</v>
      </c>
      <c r="AK387">
        <v>0.57452846258816004</v>
      </c>
      <c r="AL387">
        <v>95.258632609197903</v>
      </c>
      <c r="AM387">
        <v>89.331407067767799</v>
      </c>
      <c r="AN387">
        <v>0.99999996708273198</v>
      </c>
    </row>
    <row r="388" spans="1:40" x14ac:dyDescent="0.25">
      <c r="A388" t="str">
        <f>"20190303154422753"</f>
        <v>20190303154422753</v>
      </c>
      <c r="B388" t="str">
        <f>"1551599062750809"</f>
        <v>1551599062750809</v>
      </c>
      <c r="C388" t="s">
        <v>40</v>
      </c>
      <c r="D388">
        <v>4.8010769999999896</v>
      </c>
      <c r="E388">
        <v>0.52811260000000004</v>
      </c>
      <c r="F388" t="s">
        <v>42</v>
      </c>
      <c r="G388">
        <v>-415.95440000000002</v>
      </c>
      <c r="H388">
        <v>0.90349290000000004</v>
      </c>
      <c r="I388">
        <v>367.6635</v>
      </c>
      <c r="J388">
        <v>-416.524</v>
      </c>
      <c r="K388">
        <v>1.0701750000000001</v>
      </c>
      <c r="L388">
        <v>367.74369999999999</v>
      </c>
      <c r="M388">
        <v>0.99977919999999998</v>
      </c>
      <c r="N388">
        <v>-6.5914099999999998E-3</v>
      </c>
      <c r="O388">
        <v>-1.996057E-2</v>
      </c>
      <c r="P388">
        <v>0.99468579999999995</v>
      </c>
      <c r="Q388">
        <v>-9.7978579999999996E-2</v>
      </c>
      <c r="R388">
        <v>-3.1632460000000001E-2</v>
      </c>
      <c r="S388">
        <v>2.943451</v>
      </c>
      <c r="T388">
        <v>-0.63190459999999904</v>
      </c>
      <c r="U388">
        <v>-0.318573</v>
      </c>
      <c r="V388">
        <v>1.1787540000000001E-2</v>
      </c>
      <c r="W388">
        <v>-9.1415109999999994E-2</v>
      </c>
      <c r="X388">
        <v>0.99574309999999999</v>
      </c>
      <c r="Y388">
        <v>8.6157289999999997E-2</v>
      </c>
      <c r="Z388">
        <v>-5.3124919999999898E-3</v>
      </c>
      <c r="AA388">
        <v>0.99626740000000003</v>
      </c>
      <c r="AB388">
        <v>21</v>
      </c>
      <c r="AC388">
        <v>0.56959999999997901</v>
      </c>
      <c r="AD388">
        <v>-0.1666821</v>
      </c>
      <c r="AE388">
        <v>-8.0199999999990695E-2</v>
      </c>
      <c r="AF388">
        <v>6.3483656696246393E-2</v>
      </c>
      <c r="AG388">
        <v>-0.1666821</v>
      </c>
      <c r="AH388">
        <v>0.52684906617548399</v>
      </c>
      <c r="AI388">
        <v>107.437677863847</v>
      </c>
      <c r="AJ388">
        <v>83.129164535389194</v>
      </c>
      <c r="AK388">
        <v>0.55622211000455202</v>
      </c>
      <c r="AL388">
        <v>95.245022585004804</v>
      </c>
      <c r="AM388">
        <v>89.321768087402106</v>
      </c>
      <c r="AN388">
        <v>0.99999999481658597</v>
      </c>
    </row>
    <row r="389" spans="1:40" x14ac:dyDescent="0.25">
      <c r="A389" t="str">
        <f>"20190303154422774"</f>
        <v>20190303154422774</v>
      </c>
      <c r="B389" t="str">
        <f>"1551599062770329"</f>
        <v>1551599062770329</v>
      </c>
      <c r="C389" t="s">
        <v>40</v>
      </c>
      <c r="D389">
        <v>4.8128869999999999</v>
      </c>
      <c r="E389">
        <v>0.528555</v>
      </c>
      <c r="F389" t="s">
        <v>42</v>
      </c>
      <c r="G389">
        <v>-415.7629</v>
      </c>
      <c r="H389">
        <v>0.89961650000000004</v>
      </c>
      <c r="I389">
        <v>367.65940000000001</v>
      </c>
      <c r="J389">
        <v>-416.31889999999999</v>
      </c>
      <c r="K389">
        <v>1.070157</v>
      </c>
      <c r="L389">
        <v>367.7398</v>
      </c>
      <c r="M389">
        <v>0.9997838</v>
      </c>
      <c r="N389">
        <v>-6.2932049999999996E-3</v>
      </c>
      <c r="O389">
        <v>-1.981612E-2</v>
      </c>
      <c r="P389">
        <v>0.99473579999999995</v>
      </c>
      <c r="Q389">
        <v>-9.7465830000000003E-2</v>
      </c>
      <c r="R389">
        <v>-3.1642799999999999E-2</v>
      </c>
      <c r="S389">
        <v>2.9407649999999999</v>
      </c>
      <c r="T389">
        <v>-0.65904160000000001</v>
      </c>
      <c r="U389">
        <v>-0.32415769999999999</v>
      </c>
      <c r="V389">
        <v>1.1940940000000001E-2</v>
      </c>
      <c r="W389">
        <v>-9.1198940000000006E-2</v>
      </c>
      <c r="X389">
        <v>0.99576109999999896</v>
      </c>
      <c r="Y389">
        <v>8.8084709999999997E-2</v>
      </c>
      <c r="Z389">
        <v>-5.7528700000000002E-3</v>
      </c>
      <c r="AA389">
        <v>0.99609639999999999</v>
      </c>
      <c r="AB389">
        <v>22</v>
      </c>
      <c r="AC389">
        <v>0.55599999999998295</v>
      </c>
      <c r="AD389">
        <v>-0.17054049999999901</v>
      </c>
      <c r="AE389">
        <v>-8.0399999999997293E-2</v>
      </c>
      <c r="AF389">
        <v>6.3513187288276304E-2</v>
      </c>
      <c r="AG389">
        <v>-0.17054049999999901</v>
      </c>
      <c r="AH389">
        <v>0.51044419715446498</v>
      </c>
      <c r="AI389">
        <v>108.342706720305</v>
      </c>
      <c r="AJ389">
        <v>82.9072950574392</v>
      </c>
      <c r="AK389">
        <v>0.54191444482356399</v>
      </c>
      <c r="AL389">
        <v>95.232584972083998</v>
      </c>
      <c r="AM389">
        <v>89.312955011673495</v>
      </c>
      <c r="AN389">
        <v>1.0000000004892</v>
      </c>
    </row>
    <row r="390" spans="1:40" x14ac:dyDescent="0.25">
      <c r="A390" t="str">
        <f>"20190303154422797"</f>
        <v>20190303154422797</v>
      </c>
      <c r="B390" t="str">
        <f>"1551599062790825"</f>
        <v>1551599062790825</v>
      </c>
      <c r="C390" t="s">
        <v>40</v>
      </c>
      <c r="D390">
        <v>4.765968</v>
      </c>
      <c r="E390">
        <v>0.52909510000000004</v>
      </c>
      <c r="F390" t="s">
        <v>42</v>
      </c>
      <c r="G390">
        <v>-415.56830000000002</v>
      </c>
      <c r="H390">
        <v>0.8994936</v>
      </c>
      <c r="I390">
        <v>367.65609999999998</v>
      </c>
      <c r="J390">
        <v>-416.08760000000001</v>
      </c>
      <c r="K390">
        <v>1.070133</v>
      </c>
      <c r="L390">
        <v>367.73540000000003</v>
      </c>
      <c r="M390">
        <v>0.99978880000000003</v>
      </c>
      <c r="N390">
        <v>-5.9978030000000003E-3</v>
      </c>
      <c r="O390">
        <v>-1.9653839999999999E-2</v>
      </c>
      <c r="P390">
        <v>0.99476969999999998</v>
      </c>
      <c r="Q390">
        <v>-9.7251879999999999E-2</v>
      </c>
      <c r="R390">
        <v>-3.1234669999999999E-2</v>
      </c>
      <c r="S390">
        <v>2.9399410000000001</v>
      </c>
      <c r="T390">
        <v>-0.66852619999999996</v>
      </c>
      <c r="U390">
        <v>-0.32754519999999998</v>
      </c>
      <c r="V390">
        <v>1.1694100000000001E-2</v>
      </c>
      <c r="W390">
        <v>-9.1278990000000004E-2</v>
      </c>
      <c r="X390">
        <v>0.99575670000000005</v>
      </c>
      <c r="Y390">
        <v>8.9328820000000003E-2</v>
      </c>
      <c r="Z390">
        <v>-5.9885759999999998E-3</v>
      </c>
      <c r="AA390">
        <v>0.99598419999999999</v>
      </c>
      <c r="AB390">
        <v>22</v>
      </c>
      <c r="AC390">
        <v>0.51929999999998699</v>
      </c>
      <c r="AD390">
        <v>-0.1706394</v>
      </c>
      <c r="AE390">
        <v>-7.9300000000046098E-2</v>
      </c>
      <c r="AF390">
        <v>6.2485184130474797E-2</v>
      </c>
      <c r="AG390">
        <v>-0.1706394</v>
      </c>
      <c r="AH390">
        <v>0.47105524619660999</v>
      </c>
      <c r="AI390">
        <v>109.75339795593</v>
      </c>
      <c r="AJ390">
        <v>82.443863480712295</v>
      </c>
      <c r="AK390">
        <v>0.50489132299686801</v>
      </c>
      <c r="AL390">
        <v>95.237190681787098</v>
      </c>
      <c r="AM390">
        <v>89.327153134304993</v>
      </c>
      <c r="AN390">
        <v>1.00000000579256</v>
      </c>
    </row>
    <row r="391" spans="1:40" x14ac:dyDescent="0.25">
      <c r="A391" t="str">
        <f>"20190303154422823"</f>
        <v>20190303154422823</v>
      </c>
      <c r="B391" t="str">
        <f>"1551599062810345"</f>
        <v>1551599062810345</v>
      </c>
      <c r="C391" t="s">
        <v>40</v>
      </c>
      <c r="D391">
        <v>4.7375990000000003</v>
      </c>
      <c r="E391">
        <v>0.52959250000000002</v>
      </c>
      <c r="F391" t="s">
        <v>42</v>
      </c>
      <c r="G391">
        <v>-415.36970000000002</v>
      </c>
      <c r="H391">
        <v>0.90545260000000005</v>
      </c>
      <c r="I391">
        <v>367.65429999999998</v>
      </c>
      <c r="J391">
        <v>-415.85090000000002</v>
      </c>
      <c r="K391">
        <v>1.070114</v>
      </c>
      <c r="L391">
        <v>367.73090000000002</v>
      </c>
      <c r="M391">
        <v>0.99979370000000001</v>
      </c>
      <c r="N391">
        <v>-5.7364829999999997E-3</v>
      </c>
      <c r="O391">
        <v>-1.9487640000000001E-2</v>
      </c>
      <c r="P391">
        <v>0.99487049999999999</v>
      </c>
      <c r="Q391">
        <v>-9.6456710000000001E-2</v>
      </c>
      <c r="R391">
        <v>-3.0475889999999999E-2</v>
      </c>
      <c r="S391">
        <v>2.9394529999999999</v>
      </c>
      <c r="T391">
        <v>-0.67427689999999996</v>
      </c>
      <c r="U391">
        <v>-0.33090209999999998</v>
      </c>
      <c r="V391">
        <v>1.1099339999999999E-2</v>
      </c>
      <c r="W391">
        <v>-9.074364E-2</v>
      </c>
      <c r="X391">
        <v>0.99581240000000004</v>
      </c>
      <c r="Y391">
        <v>9.057192E-2</v>
      </c>
      <c r="Z391">
        <v>-6.1997440000000001E-3</v>
      </c>
      <c r="AA391">
        <v>0.99587060000000005</v>
      </c>
      <c r="AB391">
        <v>22</v>
      </c>
      <c r="AC391">
        <v>0.48120000000000102</v>
      </c>
      <c r="AD391">
        <v>-0.16466140000000001</v>
      </c>
      <c r="AE391">
        <v>-7.6600000000041704E-2</v>
      </c>
      <c r="AF391">
        <v>6.0319397514830002E-2</v>
      </c>
      <c r="AG391">
        <v>-0.16466140000000001</v>
      </c>
      <c r="AH391">
        <v>0.43313729947813301</v>
      </c>
      <c r="AI391">
        <v>110.63267175364</v>
      </c>
      <c r="AJ391">
        <v>82.071887187480101</v>
      </c>
      <c r="AK391">
        <v>0.46728976723840399</v>
      </c>
      <c r="AL391">
        <v>95.206389745055603</v>
      </c>
      <c r="AM391">
        <v>89.361406823139404</v>
      </c>
      <c r="AN391">
        <v>0.99999996977132199</v>
      </c>
    </row>
    <row r="392" spans="1:40" x14ac:dyDescent="0.25">
      <c r="A392" t="str">
        <f>"20190303154422842"</f>
        <v>20190303154422842</v>
      </c>
      <c r="B392" t="str">
        <f>"1551599062830841"</f>
        <v>1551599062830841</v>
      </c>
      <c r="C392" t="s">
        <v>40</v>
      </c>
      <c r="D392">
        <v>4.7854900000000002</v>
      </c>
      <c r="E392">
        <v>0.52985109999999902</v>
      </c>
      <c r="F392" t="s">
        <v>42</v>
      </c>
      <c r="G392">
        <v>-414.99040000000002</v>
      </c>
      <c r="H392">
        <v>0.87271369999999904</v>
      </c>
      <c r="I392">
        <v>367.63330000000002</v>
      </c>
      <c r="J392">
        <v>-415.64789999999999</v>
      </c>
      <c r="K392">
        <v>1.070103</v>
      </c>
      <c r="L392">
        <v>367.72710000000001</v>
      </c>
      <c r="M392">
        <v>0.99979759999999995</v>
      </c>
      <c r="N392">
        <v>-5.5451780000000004E-3</v>
      </c>
      <c r="O392">
        <v>-1.9344670000000001E-2</v>
      </c>
      <c r="P392">
        <v>0.9949481</v>
      </c>
      <c r="Q392">
        <v>-9.5993449999999994E-2</v>
      </c>
      <c r="R392">
        <v>-2.9393300000000001E-2</v>
      </c>
      <c r="S392">
        <v>2.93988</v>
      </c>
      <c r="T392">
        <v>-0.67455900000000002</v>
      </c>
      <c r="U392">
        <v>-0.33273320000000001</v>
      </c>
      <c r="V392">
        <v>1.0157680000000001E-2</v>
      </c>
      <c r="W392">
        <v>-9.0470729999999999E-2</v>
      </c>
      <c r="X392">
        <v>0.99584729999999999</v>
      </c>
      <c r="Y392">
        <v>9.1290239999999995E-2</v>
      </c>
      <c r="Z392">
        <v>-6.3032469999999997E-3</v>
      </c>
      <c r="AA392">
        <v>0.99580440000000003</v>
      </c>
      <c r="AB392">
        <v>22</v>
      </c>
      <c r="AC392">
        <v>0.65749999999997</v>
      </c>
      <c r="AD392">
        <v>-0.19738929999999999</v>
      </c>
      <c r="AE392">
        <v>-9.3799999999987393E-2</v>
      </c>
      <c r="AF392">
        <v>7.4484001261039906E-2</v>
      </c>
      <c r="AG392">
        <v>-0.19738929999999999</v>
      </c>
      <c r="AH392">
        <v>0.60569115113980698</v>
      </c>
      <c r="AI392">
        <v>107.92403246158401</v>
      </c>
      <c r="AJ392">
        <v>82.989331838733605</v>
      </c>
      <c r="AK392">
        <v>0.64138301565243305</v>
      </c>
      <c r="AL392">
        <v>95.190688474011793</v>
      </c>
      <c r="AM392">
        <v>89.415601155653206</v>
      </c>
      <c r="AN392">
        <v>0.999999988183502</v>
      </c>
    </row>
    <row r="393" spans="1:40" x14ac:dyDescent="0.25">
      <c r="A393" t="str">
        <f>"20190303154422865"</f>
        <v>20190303154422865</v>
      </c>
      <c r="B393" t="str">
        <f>"1551599062860121"</f>
        <v>1551599062860121</v>
      </c>
      <c r="C393" t="s">
        <v>40</v>
      </c>
      <c r="D393">
        <v>4.6353650000000002</v>
      </c>
      <c r="E393">
        <v>0.53164540000000005</v>
      </c>
      <c r="F393" t="s">
        <v>42</v>
      </c>
      <c r="G393">
        <v>-414.79140000000001</v>
      </c>
      <c r="H393">
        <v>0.87235209999999996</v>
      </c>
      <c r="I393">
        <v>367.63049999999998</v>
      </c>
      <c r="J393">
        <v>-415.41980000000001</v>
      </c>
      <c r="K393">
        <v>1.07009</v>
      </c>
      <c r="L393">
        <v>367.72289999999998</v>
      </c>
      <c r="M393">
        <v>0.99980170000000002</v>
      </c>
      <c r="N393">
        <v>-5.3607940000000003E-3</v>
      </c>
      <c r="O393">
        <v>-1.9183740000000001E-2</v>
      </c>
      <c r="P393">
        <v>0.99505259999999995</v>
      </c>
      <c r="Q393">
        <v>-9.5100119999999996E-2</v>
      </c>
      <c r="R393">
        <v>-2.8747149999999999E-2</v>
      </c>
      <c r="S393">
        <v>2.9399410000000001</v>
      </c>
      <c r="T393">
        <v>-0.6786721</v>
      </c>
      <c r="U393">
        <v>-0.33197019999999999</v>
      </c>
      <c r="V393">
        <v>9.670204E-3</v>
      </c>
      <c r="W393">
        <v>-8.9760649999999997E-2</v>
      </c>
      <c r="X393">
        <v>0.99591640000000003</v>
      </c>
      <c r="Y393">
        <v>9.1172160000000002E-2</v>
      </c>
      <c r="Z393">
        <v>-6.3484099999999996E-3</v>
      </c>
      <c r="AA393">
        <v>0.99581489999999995</v>
      </c>
      <c r="AB393">
        <v>22</v>
      </c>
      <c r="AC393">
        <v>0.62839999999999896</v>
      </c>
      <c r="AD393">
        <v>-0.197737899999999</v>
      </c>
      <c r="AE393">
        <v>-9.2399999999997803E-2</v>
      </c>
      <c r="AF393">
        <v>7.3230217504619194E-2</v>
      </c>
      <c r="AG393">
        <v>-0.197737899999999</v>
      </c>
      <c r="AH393">
        <v>0.57438682877518898</v>
      </c>
      <c r="AI393">
        <v>108.85477424359701</v>
      </c>
      <c r="AJ393">
        <v>82.734394301769797</v>
      </c>
      <c r="AK393">
        <v>0.61186858958652401</v>
      </c>
      <c r="AL393">
        <v>95.149837710763293</v>
      </c>
      <c r="AM393">
        <v>89.443683762352094</v>
      </c>
      <c r="AN393">
        <v>0.99999998146139102</v>
      </c>
    </row>
    <row r="394" spans="1:40" x14ac:dyDescent="0.25">
      <c r="A394" t="str">
        <f>"20190303154422889"</f>
        <v>20190303154422889</v>
      </c>
      <c r="B394" t="str">
        <f>"1551599062880617"</f>
        <v>1551599062880617</v>
      </c>
      <c r="C394" t="s">
        <v>40</v>
      </c>
      <c r="D394">
        <v>4.7638230000000004</v>
      </c>
      <c r="E394">
        <v>0.53158229999999995</v>
      </c>
      <c r="F394" t="s">
        <v>42</v>
      </c>
      <c r="G394">
        <v>-414.58659999999998</v>
      </c>
      <c r="H394">
        <v>0.88158799999999904</v>
      </c>
      <c r="I394">
        <v>367.625</v>
      </c>
      <c r="J394">
        <v>-415.18049999999999</v>
      </c>
      <c r="K394">
        <v>1.0700750000000001</v>
      </c>
      <c r="L394">
        <v>367.71850000000001</v>
      </c>
      <c r="M394">
        <v>0.99980570000000002</v>
      </c>
      <c r="N394">
        <v>-5.1970339999999997E-3</v>
      </c>
      <c r="O394">
        <v>-1.901547E-2</v>
      </c>
      <c r="P394">
        <v>0.99510560000000003</v>
      </c>
      <c r="Q394">
        <v>-9.4622919999999999E-2</v>
      </c>
      <c r="R394">
        <v>-2.849525E-2</v>
      </c>
      <c r="S394">
        <v>2.9414060000000002</v>
      </c>
      <c r="T394">
        <v>-0.66567019999999899</v>
      </c>
      <c r="U394">
        <v>-0.3442383</v>
      </c>
      <c r="V394">
        <v>9.5848510000000001E-3</v>
      </c>
      <c r="W394">
        <v>-8.9446289999999998E-2</v>
      </c>
      <c r="X394">
        <v>0.99594550000000004</v>
      </c>
      <c r="Y394">
        <v>9.5349009999999998E-2</v>
      </c>
      <c r="Z394">
        <v>-6.7342790000000001E-3</v>
      </c>
      <c r="AA394">
        <v>0.99542109999999995</v>
      </c>
      <c r="AB394">
        <v>22</v>
      </c>
      <c r="AC394">
        <v>0.59390000000001897</v>
      </c>
      <c r="AD394">
        <v>-0.18848699999999999</v>
      </c>
      <c r="AE394">
        <v>-9.3500000000005898E-2</v>
      </c>
      <c r="AF394">
        <v>7.4834294747552405E-2</v>
      </c>
      <c r="AG394">
        <v>-0.18848699999999999</v>
      </c>
      <c r="AH394">
        <v>0.54227147299845402</v>
      </c>
      <c r="AI394">
        <v>108.999847027279</v>
      </c>
      <c r="AJ394">
        <v>82.142722862789199</v>
      </c>
      <c r="AK394">
        <v>0.57895239119229502</v>
      </c>
      <c r="AL394">
        <v>95.131753506189497</v>
      </c>
      <c r="AM394">
        <v>89.448609832614807</v>
      </c>
      <c r="AN394">
        <v>0.999999973566852</v>
      </c>
    </row>
    <row r="395" spans="1:40" x14ac:dyDescent="0.25">
      <c r="A395" t="str">
        <f>"20190303154422909"</f>
        <v>20190303154422909</v>
      </c>
      <c r="B395" t="str">
        <f>"1551599062900137"</f>
        <v>1551599062900137</v>
      </c>
      <c r="C395" t="s">
        <v>40</v>
      </c>
      <c r="D395">
        <v>4.8435889999999997</v>
      </c>
      <c r="E395">
        <v>0.53154219999999996</v>
      </c>
      <c r="F395" t="s">
        <v>42</v>
      </c>
      <c r="G395">
        <v>-414.38200000000001</v>
      </c>
      <c r="H395">
        <v>0.88807549999999902</v>
      </c>
      <c r="I395">
        <v>367.62540000000001</v>
      </c>
      <c r="J395">
        <v>-414.96969999999999</v>
      </c>
      <c r="K395">
        <v>1.070065</v>
      </c>
      <c r="L395">
        <v>367.71460000000002</v>
      </c>
      <c r="M395">
        <v>0.99980919999999895</v>
      </c>
      <c r="N395">
        <v>-5.074673E-3</v>
      </c>
      <c r="O395">
        <v>-1.8867109999999999E-2</v>
      </c>
      <c r="P395">
        <v>0.99507049999999997</v>
      </c>
      <c r="Q395">
        <v>-9.4902829999999994E-2</v>
      </c>
      <c r="R395">
        <v>-2.878004E-2</v>
      </c>
      <c r="S395">
        <v>2.9412229999999999</v>
      </c>
      <c r="T395">
        <v>-0.67030100000000004</v>
      </c>
      <c r="U395">
        <v>-0.34292600000000001</v>
      </c>
      <c r="V395">
        <v>1.0018579999999999E-2</v>
      </c>
      <c r="W395">
        <v>-8.9848120000000004E-2</v>
      </c>
      <c r="X395">
        <v>0.99590509999999999</v>
      </c>
      <c r="Y395">
        <v>9.5044690000000001E-2</v>
      </c>
      <c r="Z395">
        <v>-6.7675460000000002E-3</v>
      </c>
      <c r="AA395">
        <v>0.99544999999999995</v>
      </c>
      <c r="AB395">
        <v>22</v>
      </c>
      <c r="AC395">
        <v>0.58770000000003997</v>
      </c>
      <c r="AD395">
        <v>-0.1819895</v>
      </c>
      <c r="AE395">
        <v>-8.9200000000005206E-2</v>
      </c>
      <c r="AF395">
        <v>7.1402999290343994E-2</v>
      </c>
      <c r="AG395">
        <v>-0.1819895</v>
      </c>
      <c r="AH395">
        <v>0.53877741119274003</v>
      </c>
      <c r="AI395">
        <v>108.513354818466</v>
      </c>
      <c r="AJ395">
        <v>82.450707396695805</v>
      </c>
      <c r="AK395">
        <v>0.57314890319135903</v>
      </c>
      <c r="AL395">
        <v>95.154869544887006</v>
      </c>
      <c r="AM395">
        <v>89.423636862202301</v>
      </c>
      <c r="AN395">
        <v>1.00000001240938</v>
      </c>
    </row>
    <row r="396" spans="1:40" x14ac:dyDescent="0.25">
      <c r="A396" t="str">
        <f>"20190303154422931"</f>
        <v>20190303154422931</v>
      </c>
      <c r="B396" t="str">
        <f>"1551599062920633"</f>
        <v>1551599062920633</v>
      </c>
      <c r="C396" t="s">
        <v>40</v>
      </c>
      <c r="D396">
        <v>4.6405139999999996</v>
      </c>
      <c r="E396">
        <v>0.53187700000000004</v>
      </c>
      <c r="F396" t="s">
        <v>42</v>
      </c>
      <c r="G396">
        <v>-414.17919999999998</v>
      </c>
      <c r="H396">
        <v>0.88819919999999997</v>
      </c>
      <c r="I396">
        <v>367.62189999999998</v>
      </c>
      <c r="J396">
        <v>-414.74689999999998</v>
      </c>
      <c r="K396">
        <v>1.0700590000000001</v>
      </c>
      <c r="L396">
        <v>367.7106</v>
      </c>
      <c r="M396">
        <v>0.9998127</v>
      </c>
      <c r="N396">
        <v>-4.965845E-3</v>
      </c>
      <c r="O396">
        <v>-1.8710689999999999E-2</v>
      </c>
      <c r="P396">
        <v>0.99505449999999995</v>
      </c>
      <c r="Q396">
        <v>-9.5094579999999998E-2</v>
      </c>
      <c r="R396">
        <v>-2.8703449999999998E-2</v>
      </c>
      <c r="S396">
        <v>2.9404300000000001</v>
      </c>
      <c r="T396">
        <v>-0.67663819999999997</v>
      </c>
      <c r="U396">
        <v>-0.34338380000000002</v>
      </c>
      <c r="V396">
        <v>1.009818E-2</v>
      </c>
      <c r="W396">
        <v>-9.0148259999999994E-2</v>
      </c>
      <c r="X396">
        <v>0.99587709999999996</v>
      </c>
      <c r="Y396">
        <v>9.5336409999999996E-2</v>
      </c>
      <c r="Z396">
        <v>-6.8895800000000002E-3</v>
      </c>
      <c r="AA396">
        <v>0.99542129999999995</v>
      </c>
      <c r="AB396">
        <v>23</v>
      </c>
      <c r="AC396">
        <v>0.56770000000000198</v>
      </c>
      <c r="AD396">
        <v>-0.18185979999999999</v>
      </c>
      <c r="AE396">
        <v>-8.8700000000017099E-2</v>
      </c>
      <c r="AF396">
        <v>7.0954401714381596E-2</v>
      </c>
      <c r="AG396">
        <v>-0.18185979999999999</v>
      </c>
      <c r="AH396">
        <v>0.51742686222239898</v>
      </c>
      <c r="AI396">
        <v>109.198672574502</v>
      </c>
      <c r="AJ396">
        <v>82.191767979678502</v>
      </c>
      <c r="AK396">
        <v>0.55302628484367999</v>
      </c>
      <c r="AL396">
        <v>95.172136744694896</v>
      </c>
      <c r="AM396">
        <v>89.419041500053794</v>
      </c>
      <c r="AN396">
        <v>0.99999994016237304</v>
      </c>
    </row>
    <row r="397" spans="1:40" x14ac:dyDescent="0.25">
      <c r="A397" t="str">
        <f>"20190303154422952"</f>
        <v>20190303154422952</v>
      </c>
      <c r="B397" t="str">
        <f>"1551599062950889"</f>
        <v>1551599062950889</v>
      </c>
      <c r="C397" t="s">
        <v>40</v>
      </c>
      <c r="D397">
        <v>4.6687830000000003</v>
      </c>
      <c r="E397">
        <v>0.50139309999999904</v>
      </c>
      <c r="F397" t="s">
        <v>42</v>
      </c>
      <c r="G397">
        <v>-413.97250000000003</v>
      </c>
      <c r="H397">
        <v>0.89406049999999904</v>
      </c>
      <c r="I397">
        <v>367.61959999999999</v>
      </c>
      <c r="J397">
        <v>-414.52800000000002</v>
      </c>
      <c r="K397">
        <v>1.070039</v>
      </c>
      <c r="L397">
        <v>367.70670000000001</v>
      </c>
      <c r="M397">
        <v>0.99981609999999999</v>
      </c>
      <c r="N397">
        <v>-4.8767430000000002E-3</v>
      </c>
      <c r="O397">
        <v>-1.8557290000000001E-2</v>
      </c>
      <c r="P397">
        <v>0.99510109999999996</v>
      </c>
      <c r="Q397">
        <v>-9.443124E-2</v>
      </c>
      <c r="R397">
        <v>-2.9270850000000001E-2</v>
      </c>
      <c r="S397">
        <v>2.941071</v>
      </c>
      <c r="T397">
        <v>-0.6683905</v>
      </c>
      <c r="U397">
        <v>-0.3458252</v>
      </c>
      <c r="V397">
        <v>1.081758E-2</v>
      </c>
      <c r="W397">
        <v>-8.9573219999999995E-2</v>
      </c>
      <c r="X397">
        <v>0.99592150000000002</v>
      </c>
      <c r="Y397">
        <v>9.6301319999999996E-2</v>
      </c>
      <c r="Z397">
        <v>-6.9478150000000004E-3</v>
      </c>
      <c r="AA397">
        <v>0.99532790000000004</v>
      </c>
      <c r="AB397">
        <v>23</v>
      </c>
      <c r="AC397">
        <v>0.555499999999995</v>
      </c>
      <c r="AD397">
        <v>-0.17597850000000001</v>
      </c>
      <c r="AE397">
        <v>-8.71000000000208E-2</v>
      </c>
      <c r="AF397">
        <v>6.9926978517302896E-2</v>
      </c>
      <c r="AG397">
        <v>-0.17597850000000001</v>
      </c>
      <c r="AH397">
        <v>0.50732806250465601</v>
      </c>
      <c r="AI397">
        <v>108.963972891382</v>
      </c>
      <c r="AJ397">
        <v>82.152151244261105</v>
      </c>
      <c r="AK397">
        <v>0.54151636890452104</v>
      </c>
      <c r="AL397">
        <v>95.139055192483198</v>
      </c>
      <c r="AM397">
        <v>89.3776845811187</v>
      </c>
      <c r="AN397">
        <v>1.00000000797023</v>
      </c>
    </row>
    <row r="398" spans="1:40" x14ac:dyDescent="0.25">
      <c r="A398" t="str">
        <f>"20190303154422977"</f>
        <v>20190303154422977</v>
      </c>
      <c r="B398" t="str">
        <f>"1551599062970409"</f>
        <v>1551599062970409</v>
      </c>
      <c r="C398" t="s">
        <v>40</v>
      </c>
      <c r="D398">
        <v>4.6397409999999999</v>
      </c>
      <c r="E398">
        <v>0.49696889999999999</v>
      </c>
      <c r="F398" t="s">
        <v>42</v>
      </c>
      <c r="G398">
        <v>-413.72669999999999</v>
      </c>
      <c r="H398">
        <v>0.97494259999999999</v>
      </c>
      <c r="I398">
        <v>367.67939999999999</v>
      </c>
      <c r="J398">
        <v>-414.2878</v>
      </c>
      <c r="K398">
        <v>1.070031</v>
      </c>
      <c r="L398">
        <v>367.70240000000001</v>
      </c>
      <c r="M398">
        <v>0.99981949999999997</v>
      </c>
      <c r="N398">
        <v>-4.79642E-3</v>
      </c>
      <c r="O398">
        <v>-1.8388660000000001E-2</v>
      </c>
      <c r="P398">
        <v>0.99503490000000006</v>
      </c>
      <c r="Q398">
        <v>-9.511037E-2</v>
      </c>
      <c r="R398">
        <v>-2.9318360000000002E-2</v>
      </c>
      <c r="S398">
        <v>2.9782709999999999</v>
      </c>
      <c r="T398">
        <v>-0.35368569999999999</v>
      </c>
      <c r="U398">
        <v>-0.1001282</v>
      </c>
      <c r="V398">
        <v>1.10346E-2</v>
      </c>
      <c r="W398">
        <v>-9.0332599999999999E-2</v>
      </c>
      <c r="X398">
        <v>0.99585049999999997</v>
      </c>
      <c r="Y398">
        <v>1.5224039999999999E-2</v>
      </c>
      <c r="Z398">
        <v>1.1501440000000001E-3</v>
      </c>
      <c r="AA398">
        <v>0.99988350000000004</v>
      </c>
      <c r="AB398">
        <v>23</v>
      </c>
      <c r="AC398">
        <v>0.56110000000001004</v>
      </c>
      <c r="AD398">
        <v>-9.5088399999999906E-2</v>
      </c>
      <c r="AE398">
        <v>-2.3000000000024501E-2</v>
      </c>
      <c r="AF398">
        <v>1.2324751018722701E-2</v>
      </c>
      <c r="AG398">
        <v>-9.5088399999999906E-2</v>
      </c>
      <c r="AH398">
        <v>0.545779918541206</v>
      </c>
      <c r="AI398">
        <v>99.880674951148293</v>
      </c>
      <c r="AJ398">
        <v>88.706371933762199</v>
      </c>
      <c r="AK398">
        <v>0.55413845091734903</v>
      </c>
      <c r="AL398">
        <v>95.182741712956997</v>
      </c>
      <c r="AM398">
        <v>89.365155577698204</v>
      </c>
      <c r="AN398">
        <v>0.99999997968508403</v>
      </c>
    </row>
    <row r="399" spans="1:40" x14ac:dyDescent="0.25">
      <c r="A399" t="str">
        <f>"20190303154422997"</f>
        <v>20190303154422997</v>
      </c>
      <c r="B399" t="str">
        <f>"1551599062990905"</f>
        <v>1551599062990905</v>
      </c>
      <c r="C399" t="s">
        <v>40</v>
      </c>
      <c r="D399">
        <v>4.6266499999999997</v>
      </c>
      <c r="E399">
        <v>0.49553019999999998</v>
      </c>
      <c r="F399" t="s">
        <v>42</v>
      </c>
      <c r="G399">
        <v>-413.51369999999997</v>
      </c>
      <c r="H399">
        <v>0.98818030000000001</v>
      </c>
      <c r="I399">
        <v>367.68549999999999</v>
      </c>
      <c r="J399">
        <v>-414.06920000000002</v>
      </c>
      <c r="K399">
        <v>1.070022</v>
      </c>
      <c r="L399">
        <v>367.69850000000002</v>
      </c>
      <c r="M399">
        <v>0.99982260000000001</v>
      </c>
      <c r="N399">
        <v>-4.7372789999999996E-3</v>
      </c>
      <c r="O399">
        <v>-1.8235100000000001E-2</v>
      </c>
      <c r="P399">
        <v>0.99505759999999999</v>
      </c>
      <c r="Q399">
        <v>-9.4993460000000002E-2</v>
      </c>
      <c r="R399">
        <v>-2.8926690000000001E-2</v>
      </c>
      <c r="S399">
        <v>2.98291</v>
      </c>
      <c r="T399">
        <v>-0.3155037</v>
      </c>
      <c r="U399">
        <v>-6.4422610000000005E-2</v>
      </c>
      <c r="V399">
        <v>1.079564E-2</v>
      </c>
      <c r="W399">
        <v>-9.027454E-2</v>
      </c>
      <c r="X399">
        <v>0.99585840000000003</v>
      </c>
      <c r="Y399">
        <v>3.430317E-3</v>
      </c>
      <c r="Z399">
        <v>1.647782E-3</v>
      </c>
      <c r="AA399">
        <v>0.99999280000000002</v>
      </c>
      <c r="AB399">
        <v>23</v>
      </c>
      <c r="AC399">
        <v>0.55550000000005095</v>
      </c>
      <c r="AD399">
        <v>-8.1841700000000003E-2</v>
      </c>
      <c r="AE399">
        <v>-1.3000000000033599E-2</v>
      </c>
      <c r="AF399">
        <v>2.8072271479108899E-3</v>
      </c>
      <c r="AG399">
        <v>-8.1841700000000003E-2</v>
      </c>
      <c r="AH399">
        <v>0.54384638705435795</v>
      </c>
      <c r="AI399">
        <v>98.557928918140206</v>
      </c>
      <c r="AJ399">
        <v>89.704253180572607</v>
      </c>
      <c r="AK399">
        <v>0.54997712415629496</v>
      </c>
      <c r="AL399">
        <v>95.179401389837807</v>
      </c>
      <c r="AM399">
        <v>89.378907301515298</v>
      </c>
      <c r="AN399">
        <v>0.99999999563288999</v>
      </c>
    </row>
    <row r="400" spans="1:40" x14ac:dyDescent="0.25">
      <c r="A400" t="str">
        <f>"20190303154423022"</f>
        <v>20190303154423022</v>
      </c>
      <c r="B400" t="str">
        <f>"1551599063010425"</f>
        <v>1551599063010425</v>
      </c>
      <c r="C400" t="s">
        <v>40</v>
      </c>
      <c r="D400">
        <v>4.6118790000000001</v>
      </c>
      <c r="E400">
        <v>0.4947009</v>
      </c>
      <c r="F400" t="s">
        <v>42</v>
      </c>
      <c r="G400">
        <v>-413.30119999999999</v>
      </c>
      <c r="H400">
        <v>0.99367680000000003</v>
      </c>
      <c r="I400">
        <v>367.68520000000001</v>
      </c>
      <c r="J400">
        <v>-413.82060000000001</v>
      </c>
      <c r="K400">
        <v>1.0700190000000001</v>
      </c>
      <c r="L400">
        <v>367.69420000000002</v>
      </c>
      <c r="M400">
        <v>0.99982579999999999</v>
      </c>
      <c r="N400">
        <v>-4.6837950000000001E-3</v>
      </c>
      <c r="O400">
        <v>-1.806081E-2</v>
      </c>
      <c r="P400">
        <v>0.99508509999999994</v>
      </c>
      <c r="Q400">
        <v>-9.475227E-2</v>
      </c>
      <c r="R400">
        <v>-2.8769389999999999E-2</v>
      </c>
      <c r="S400">
        <v>2.9851070000000002</v>
      </c>
      <c r="T400">
        <v>-0.29688019999999998</v>
      </c>
      <c r="U400">
        <v>-5.1330569999999999E-2</v>
      </c>
      <c r="V400">
        <v>1.081179E-2</v>
      </c>
      <c r="W400">
        <v>-9.00865E-2</v>
      </c>
      <c r="X400">
        <v>0.99587519999999996</v>
      </c>
      <c r="Y400">
        <v>-7.8322440000000004E-4</v>
      </c>
      <c r="Z400">
        <v>1.7478140000000001E-3</v>
      </c>
      <c r="AA400">
        <v>0.99999819999999995</v>
      </c>
      <c r="AB400">
        <v>23</v>
      </c>
      <c r="AC400">
        <v>0.51940000000001796</v>
      </c>
      <c r="AD400">
        <v>-7.6342199999999999E-2</v>
      </c>
      <c r="AE400">
        <v>-9.0000000000145502E-3</v>
      </c>
      <c r="AF400">
        <v>-3.7427353749702698E-4</v>
      </c>
      <c r="AG400">
        <v>-7.6342199999999999E-2</v>
      </c>
      <c r="AH400">
        <v>0.50849580253414595</v>
      </c>
      <c r="AI400">
        <v>98.538237842912807</v>
      </c>
      <c r="AJ400">
        <v>90.042172010275394</v>
      </c>
      <c r="AK400">
        <v>0.51419476152170795</v>
      </c>
      <c r="AL400">
        <v>95.168583684956701</v>
      </c>
      <c r="AM400">
        <v>89.377988728172994</v>
      </c>
      <c r="AN400">
        <v>0.99999994313014495</v>
      </c>
    </row>
    <row r="401" spans="1:40" x14ac:dyDescent="0.25">
      <c r="A401" t="str">
        <f>"20190303154423043"</f>
        <v>20190303154423043</v>
      </c>
      <c r="B401" t="str">
        <f>"1551599063040682"</f>
        <v>1551599063040682</v>
      </c>
      <c r="C401" t="s">
        <v>40</v>
      </c>
      <c r="D401">
        <v>4.5778449999999999</v>
      </c>
      <c r="E401">
        <v>0.49431619999999998</v>
      </c>
      <c r="F401" t="s">
        <v>42</v>
      </c>
      <c r="G401">
        <v>-412.89089999999999</v>
      </c>
      <c r="H401">
        <v>0.98372159999999997</v>
      </c>
      <c r="I401">
        <v>367.68009999999998</v>
      </c>
      <c r="J401">
        <v>-413.59589999999997</v>
      </c>
      <c r="K401">
        <v>1.0700130000000001</v>
      </c>
      <c r="L401">
        <v>367.69029999999998</v>
      </c>
      <c r="M401">
        <v>0.99982910000000003</v>
      </c>
      <c r="N401">
        <v>-4.6471660000000003E-3</v>
      </c>
      <c r="O401">
        <v>-1.790373E-2</v>
      </c>
      <c r="P401">
        <v>0.99510609999999999</v>
      </c>
      <c r="Q401">
        <v>-9.4300129999999996E-2</v>
      </c>
      <c r="R401">
        <v>-2.952287E-2</v>
      </c>
      <c r="S401">
        <v>2.9871219999999998</v>
      </c>
      <c r="T401">
        <v>-0.2775147</v>
      </c>
      <c r="U401">
        <v>-4.3884279999999998E-2</v>
      </c>
      <c r="V401">
        <v>1.172141E-2</v>
      </c>
      <c r="W401">
        <v>-8.9670429999999995E-2</v>
      </c>
      <c r="X401">
        <v>0.99590250000000002</v>
      </c>
      <c r="Y401">
        <v>-3.1310600000000002E-3</v>
      </c>
      <c r="Z401">
        <v>1.7289199999999999E-3</v>
      </c>
      <c r="AA401">
        <v>0.99999360000000004</v>
      </c>
      <c r="AB401">
        <v>23</v>
      </c>
      <c r="AC401">
        <v>0.70499999999998397</v>
      </c>
      <c r="AD401">
        <v>-8.6291399999999796E-2</v>
      </c>
      <c r="AE401">
        <v>-1.0199999999997499E-2</v>
      </c>
      <c r="AF401">
        <v>-2.3881281784580801E-3</v>
      </c>
      <c r="AG401">
        <v>-8.6291399999999796E-2</v>
      </c>
      <c r="AH401">
        <v>0.69466464075321799</v>
      </c>
      <c r="AI401">
        <v>97.080980415769105</v>
      </c>
      <c r="AJ401">
        <v>90.196971485944303</v>
      </c>
      <c r="AK401">
        <v>0.700007765659035</v>
      </c>
      <c r="AL401">
        <v>95.144647545322798</v>
      </c>
      <c r="AM401">
        <v>89.325680661385803</v>
      </c>
      <c r="AN401">
        <v>0.99999998348751096</v>
      </c>
    </row>
    <row r="402" spans="1:40" x14ac:dyDescent="0.25">
      <c r="A402" t="str">
        <f>"20190303154423065"</f>
        <v>20190303154423065</v>
      </c>
      <c r="B402" t="str">
        <f>"1551599063060202"</f>
        <v>1551599063060202</v>
      </c>
      <c r="C402" t="s">
        <v>40</v>
      </c>
      <c r="D402">
        <v>4.584212</v>
      </c>
      <c r="E402">
        <v>0.4937298</v>
      </c>
      <c r="F402" t="s">
        <v>42</v>
      </c>
      <c r="G402">
        <v>-412.67610000000002</v>
      </c>
      <c r="H402">
        <v>0.98953519999999995</v>
      </c>
      <c r="I402">
        <v>367.67689999999999</v>
      </c>
      <c r="J402">
        <v>-413.36599999999999</v>
      </c>
      <c r="K402">
        <v>1.070006</v>
      </c>
      <c r="L402">
        <v>367.68639999999999</v>
      </c>
      <c r="M402">
        <v>0.99983200000000005</v>
      </c>
      <c r="N402">
        <v>-4.6188979999999998E-3</v>
      </c>
      <c r="O402">
        <v>-1.7742250000000001E-2</v>
      </c>
      <c r="P402">
        <v>0.99514970000000003</v>
      </c>
      <c r="Q402">
        <v>-9.3815949999999995E-2</v>
      </c>
      <c r="R402">
        <v>-2.9593680000000001E-2</v>
      </c>
      <c r="S402">
        <v>2.9886780000000002</v>
      </c>
      <c r="T402">
        <v>-0.26154450000000001</v>
      </c>
      <c r="U402">
        <v>-4.3060300000000003E-2</v>
      </c>
      <c r="V402">
        <v>1.195238E-2</v>
      </c>
      <c r="W402">
        <v>-8.9214130000000003E-2</v>
      </c>
      <c r="X402">
        <v>0.99594070000000001</v>
      </c>
      <c r="Y402">
        <v>-3.2626090000000001E-3</v>
      </c>
      <c r="Z402">
        <v>1.617729E-3</v>
      </c>
      <c r="AA402">
        <v>0.99999340000000003</v>
      </c>
      <c r="AB402">
        <v>23</v>
      </c>
      <c r="AC402">
        <v>0.68989999999996598</v>
      </c>
      <c r="AD402">
        <v>-8.0470799999999995E-2</v>
      </c>
      <c r="AE402">
        <v>-9.5000000000027198E-3</v>
      </c>
      <c r="AF402">
        <v>-2.7052054840894001E-3</v>
      </c>
      <c r="AG402">
        <v>-8.0470799999999995E-2</v>
      </c>
      <c r="AH402">
        <v>0.68070065595607798</v>
      </c>
      <c r="AI402">
        <v>96.742025423030498</v>
      </c>
      <c r="AJ402">
        <v>90.227700736889403</v>
      </c>
      <c r="AK402">
        <v>0.68544602326396598</v>
      </c>
      <c r="AL402">
        <v>95.118398449804204</v>
      </c>
      <c r="AM402">
        <v>89.312420855410593</v>
      </c>
      <c r="AN402">
        <v>0.99999994914790402</v>
      </c>
    </row>
    <row r="403" spans="1:40" x14ac:dyDescent="0.25">
      <c r="A403" t="str">
        <f>"20190303154423090"</f>
        <v>20190303154423090</v>
      </c>
      <c r="B403" t="str">
        <f>"1551599063080698"</f>
        <v>1551599063080698</v>
      </c>
      <c r="C403" t="s">
        <v>40</v>
      </c>
      <c r="D403">
        <v>4.6430249999999997</v>
      </c>
      <c r="E403">
        <v>0.49297150000000001</v>
      </c>
      <c r="F403" t="s">
        <v>42</v>
      </c>
      <c r="G403">
        <v>-412.4622</v>
      </c>
      <c r="H403">
        <v>0.99191180000000001</v>
      </c>
      <c r="I403">
        <v>367.67469999999997</v>
      </c>
      <c r="J403">
        <v>-413.10469999999998</v>
      </c>
      <c r="K403">
        <v>1.070001</v>
      </c>
      <c r="L403">
        <v>367.68200000000002</v>
      </c>
      <c r="M403">
        <v>0.99983540000000004</v>
      </c>
      <c r="N403">
        <v>-4.5963590000000004E-3</v>
      </c>
      <c r="O403">
        <v>-1.7559809999999999E-2</v>
      </c>
      <c r="P403">
        <v>0.99516590000000005</v>
      </c>
      <c r="Q403">
        <v>-9.3544989999999995E-2</v>
      </c>
      <c r="R403">
        <v>-2.9915690000000002E-2</v>
      </c>
      <c r="S403">
        <v>2.9891049999999999</v>
      </c>
      <c r="T403">
        <v>-0.25825880000000001</v>
      </c>
      <c r="U403">
        <v>-3.8635250000000003E-2</v>
      </c>
      <c r="V403">
        <v>1.2455620000000001E-2</v>
      </c>
      <c r="W403">
        <v>-8.8965359999999993E-2</v>
      </c>
      <c r="X403">
        <v>0.99595679999999998</v>
      </c>
      <c r="Y403">
        <v>-4.5597199999999997E-3</v>
      </c>
      <c r="Z403">
        <v>1.6407170000000001E-3</v>
      </c>
      <c r="AA403">
        <v>0.99998830000000005</v>
      </c>
      <c r="AB403">
        <v>24</v>
      </c>
      <c r="AC403">
        <v>0.64249999999998397</v>
      </c>
      <c r="AD403">
        <v>-7.80891999999999E-2</v>
      </c>
      <c r="AE403">
        <v>-7.2999999999865299E-3</v>
      </c>
      <c r="AF403">
        <v>-3.92544231797891E-3</v>
      </c>
      <c r="AG403">
        <v>-7.80891999999999E-2</v>
      </c>
      <c r="AH403">
        <v>0.63317711460014503</v>
      </c>
      <c r="AI403">
        <v>97.030603860951203</v>
      </c>
      <c r="AJ403">
        <v>90.355206135747693</v>
      </c>
      <c r="AK403">
        <v>0.63798635620787103</v>
      </c>
      <c r="AL403">
        <v>95.104088005345602</v>
      </c>
      <c r="AM403">
        <v>89.283485735109295</v>
      </c>
      <c r="AN403">
        <v>0.99999996260787605</v>
      </c>
    </row>
    <row r="404" spans="1:40" x14ac:dyDescent="0.25">
      <c r="A404" t="str">
        <f>"20190303154423112"</f>
        <v>20190303154423112</v>
      </c>
      <c r="B404" t="str">
        <f>"1551599063100217"</f>
        <v>1551599063100217</v>
      </c>
      <c r="C404" t="s">
        <v>40</v>
      </c>
      <c r="D404">
        <v>4.5676550000000002</v>
      </c>
      <c r="E404">
        <v>0.49288920000000003</v>
      </c>
      <c r="F404" t="s">
        <v>42</v>
      </c>
      <c r="G404">
        <v>-412.2432</v>
      </c>
      <c r="H404">
        <v>0.99502769999999996</v>
      </c>
      <c r="I404">
        <v>367.6721</v>
      </c>
      <c r="J404">
        <v>-412.86219999999997</v>
      </c>
      <c r="K404">
        <v>1.069993</v>
      </c>
      <c r="L404">
        <v>367.67790000000002</v>
      </c>
      <c r="M404">
        <v>0.99983829999999996</v>
      </c>
      <c r="N404">
        <v>-4.5844550000000003E-3</v>
      </c>
      <c r="O404">
        <v>-1.7390260000000001E-2</v>
      </c>
      <c r="P404">
        <v>0.99519440000000003</v>
      </c>
      <c r="Q404">
        <v>-9.3372819999999995E-2</v>
      </c>
      <c r="R404">
        <v>-2.949595E-2</v>
      </c>
      <c r="S404">
        <v>2.9891359999999998</v>
      </c>
      <c r="T404">
        <v>-0.26025710000000002</v>
      </c>
      <c r="U404">
        <v>-3.3264160000000001E-2</v>
      </c>
      <c r="V404">
        <v>1.220443E-2</v>
      </c>
      <c r="W404">
        <v>-8.8804999999999995E-2</v>
      </c>
      <c r="X404">
        <v>0.99597420000000003</v>
      </c>
      <c r="Y404">
        <v>-6.179744E-3</v>
      </c>
      <c r="Z404">
        <v>1.7142520000000001E-3</v>
      </c>
      <c r="AA404">
        <v>0.99997939999999996</v>
      </c>
      <c r="AB404">
        <v>24</v>
      </c>
      <c r="AC404">
        <v>0.61899999999997102</v>
      </c>
      <c r="AD404">
        <v>-7.4965299999999999E-2</v>
      </c>
      <c r="AE404">
        <v>-5.8000000000220098E-3</v>
      </c>
      <c r="AF404">
        <v>-4.8937902354273602E-3</v>
      </c>
      <c r="AG404">
        <v>-7.4965299999999999E-2</v>
      </c>
      <c r="AH404">
        <v>0.61006032853537695</v>
      </c>
      <c r="AI404">
        <v>97.005264385303605</v>
      </c>
      <c r="AJ404">
        <v>90.459606204559904</v>
      </c>
      <c r="AK404">
        <v>0.61466848775551397</v>
      </c>
      <c r="AL404">
        <v>95.094863649555094</v>
      </c>
      <c r="AM404">
        <v>89.297946338018505</v>
      </c>
      <c r="AN404">
        <v>0.99999994160113004</v>
      </c>
    </row>
    <row r="405" spans="1:40" x14ac:dyDescent="0.25">
      <c r="A405" t="str">
        <f>"20190303154423133"</f>
        <v>20190303154423133</v>
      </c>
      <c r="B405" t="str">
        <f>"1551599063120713"</f>
        <v>1551599063120713</v>
      </c>
      <c r="C405" t="s">
        <v>40</v>
      </c>
      <c r="D405">
        <v>4.6024240000000001</v>
      </c>
      <c r="E405">
        <v>0.49302309999999999</v>
      </c>
      <c r="F405" t="s">
        <v>43</v>
      </c>
      <c r="G405">
        <v>-399.79610000000002</v>
      </c>
      <c r="H405">
        <v>-0.05</v>
      </c>
      <c r="I405">
        <v>367.54109999999997</v>
      </c>
      <c r="J405">
        <v>-412.64010000000002</v>
      </c>
      <c r="K405">
        <v>1.0699829999999999</v>
      </c>
      <c r="L405">
        <v>367.67419999999998</v>
      </c>
      <c r="M405">
        <v>0.99984119999999999</v>
      </c>
      <c r="N405">
        <v>-4.584149E-3</v>
      </c>
      <c r="O405">
        <v>-1.7235170000000001E-2</v>
      </c>
      <c r="P405">
        <v>0.9952356</v>
      </c>
      <c r="Q405">
        <v>-9.3192590000000006E-2</v>
      </c>
      <c r="R405">
        <v>-2.8663460000000002E-2</v>
      </c>
      <c r="S405">
        <v>2.9895320000000001</v>
      </c>
      <c r="T405">
        <v>-0.25625500000000001</v>
      </c>
      <c r="U405">
        <v>-3.1280519999999999E-2</v>
      </c>
      <c r="V405">
        <v>1.1526109999999999E-2</v>
      </c>
      <c r="W405">
        <v>-8.8625110000000007E-2</v>
      </c>
      <c r="X405">
        <v>0.99599839999999995</v>
      </c>
      <c r="Y405">
        <v>-6.690723E-3</v>
      </c>
      <c r="Z405">
        <v>1.697236E-3</v>
      </c>
      <c r="AA405">
        <v>0.99997619999999998</v>
      </c>
      <c r="AB405">
        <v>24</v>
      </c>
      <c r="AC405">
        <v>12.8439999999999</v>
      </c>
      <c r="AD405">
        <v>-1.119983</v>
      </c>
      <c r="AE405">
        <v>-0.13310000000001301</v>
      </c>
      <c r="AF405">
        <v>-8.7624372044154797E-2</v>
      </c>
      <c r="AG405">
        <v>-1.119983</v>
      </c>
      <c r="AH405">
        <v>12.747469261409501</v>
      </c>
      <c r="AI405">
        <v>95.020952665272404</v>
      </c>
      <c r="AJ405">
        <v>90.393837202264095</v>
      </c>
      <c r="AK405">
        <v>12.796875107675501</v>
      </c>
      <c r="AL405">
        <v>95.084515423815901</v>
      </c>
      <c r="AM405">
        <v>89.336978875428201</v>
      </c>
      <c r="AN405">
        <v>1.0000000370683999</v>
      </c>
    </row>
    <row r="406" spans="1:40" x14ac:dyDescent="0.25">
      <c r="A406" t="str">
        <f>"20190303154423154"</f>
        <v>20190303154423154</v>
      </c>
      <c r="B406" t="str">
        <f>"1551599063150970"</f>
        <v>1551599063150970</v>
      </c>
      <c r="C406" t="s">
        <v>40</v>
      </c>
      <c r="D406">
        <v>4.6129189999999998</v>
      </c>
      <c r="E406">
        <v>0.4931102</v>
      </c>
      <c r="F406" t="s">
        <v>41</v>
      </c>
      <c r="G406">
        <v>-399.93110000000001</v>
      </c>
      <c r="H406" s="1">
        <v>-5.601445E-7</v>
      </c>
      <c r="I406">
        <v>367.54680000000002</v>
      </c>
      <c r="J406">
        <v>-412.40789999999998</v>
      </c>
      <c r="K406">
        <v>1.069977</v>
      </c>
      <c r="L406">
        <v>367.6703</v>
      </c>
      <c r="M406">
        <v>0.99984379999999995</v>
      </c>
      <c r="N406">
        <v>-4.5953959999999999E-3</v>
      </c>
      <c r="O406">
        <v>-1.7072819999999999E-2</v>
      </c>
      <c r="P406">
        <v>0.99526400000000004</v>
      </c>
      <c r="Q406">
        <v>-9.3160209999999993E-2</v>
      </c>
      <c r="R406">
        <v>-2.776646E-2</v>
      </c>
      <c r="S406">
        <v>2.98996</v>
      </c>
      <c r="T406">
        <v>-0.25172620000000001</v>
      </c>
      <c r="U406">
        <v>-2.996826E-2</v>
      </c>
      <c r="V406">
        <v>1.0790559999999999E-2</v>
      </c>
      <c r="W406">
        <v>-8.858162E-2</v>
      </c>
      <c r="X406">
        <v>0.99601050000000002</v>
      </c>
      <c r="Y406">
        <v>-6.9711599999999997E-3</v>
      </c>
      <c r="Z406">
        <v>1.6653589999999999E-3</v>
      </c>
      <c r="AA406">
        <v>0.99997429999999998</v>
      </c>
      <c r="AB406">
        <v>24</v>
      </c>
      <c r="AC406">
        <v>12.4767999999999</v>
      </c>
      <c r="AD406">
        <v>-1.0699775601445001</v>
      </c>
      <c r="AE406">
        <v>-0.123499999999978</v>
      </c>
      <c r="AF406">
        <v>-8.8880792328421707E-2</v>
      </c>
      <c r="AG406">
        <v>-1.0699775601445001</v>
      </c>
      <c r="AH406">
        <v>12.3860081434776</v>
      </c>
      <c r="AI406">
        <v>94.937168837188693</v>
      </c>
      <c r="AJ406">
        <v>90.411141896053095</v>
      </c>
      <c r="AK406">
        <v>12.432455489755499</v>
      </c>
      <c r="AL406">
        <v>95.082013838485295</v>
      </c>
      <c r="AM406">
        <v>89.379294334770904</v>
      </c>
      <c r="AN406">
        <v>1.0000000278485901</v>
      </c>
    </row>
    <row r="407" spans="1:40" x14ac:dyDescent="0.25">
      <c r="A407" t="str">
        <f>"20190303154423176"</f>
        <v>20190303154423176</v>
      </c>
      <c r="B407" t="str">
        <f>"1551599063170489"</f>
        <v>1551599063170489</v>
      </c>
      <c r="C407" t="s">
        <v>40</v>
      </c>
      <c r="D407">
        <v>4.6039279999999998</v>
      </c>
      <c r="E407">
        <v>0.49325819999999998</v>
      </c>
      <c r="F407" t="s">
        <v>41</v>
      </c>
      <c r="G407">
        <v>-399.4819</v>
      </c>
      <c r="H407" s="1">
        <v>-7.1211080000000003E-7</v>
      </c>
      <c r="I407">
        <v>367.55009999999999</v>
      </c>
      <c r="J407">
        <v>-412.17270000000002</v>
      </c>
      <c r="K407">
        <v>1.069976</v>
      </c>
      <c r="L407">
        <v>367.66649999999998</v>
      </c>
      <c r="M407">
        <v>0.99984649999999997</v>
      </c>
      <c r="N407">
        <v>-4.6180049999999997E-3</v>
      </c>
      <c r="O407">
        <v>-1.6908840000000001E-2</v>
      </c>
      <c r="P407">
        <v>0.99524140000000005</v>
      </c>
      <c r="Q407">
        <v>-9.3643229999999994E-2</v>
      </c>
      <c r="R407">
        <v>-2.6939729999999999E-2</v>
      </c>
      <c r="S407">
        <v>2.990265</v>
      </c>
      <c r="T407">
        <v>-0.24752389999999999</v>
      </c>
      <c r="U407">
        <v>-2.7801510000000001E-2</v>
      </c>
      <c r="V407">
        <v>1.012798E-2</v>
      </c>
      <c r="W407">
        <v>-8.9042419999999997E-2</v>
      </c>
      <c r="X407">
        <v>0.99597630000000004</v>
      </c>
      <c r="Y407">
        <v>-7.5339219999999898E-3</v>
      </c>
      <c r="Z407">
        <v>1.647901E-3</v>
      </c>
      <c r="AA407">
        <v>0.99997029999999998</v>
      </c>
      <c r="AB407">
        <v>24</v>
      </c>
      <c r="AC407">
        <v>12.690799999999999</v>
      </c>
      <c r="AD407">
        <v>-1.0699767121107999</v>
      </c>
      <c r="AE407">
        <v>-0.11639999999999801</v>
      </c>
      <c r="AF407">
        <v>-9.7512510855893395E-2</v>
      </c>
      <c r="AG407">
        <v>-1.0699767121107999</v>
      </c>
      <c r="AH407">
        <v>12.601385927853199</v>
      </c>
      <c r="AI407">
        <v>94.853167190170197</v>
      </c>
      <c r="AJ407">
        <v>90.443359471692602</v>
      </c>
      <c r="AK407">
        <v>12.6471058411373</v>
      </c>
      <c r="AL407">
        <v>95.108520827540403</v>
      </c>
      <c r="AM407">
        <v>89.417385224623203</v>
      </c>
      <c r="AN407">
        <v>0.99999995935001196</v>
      </c>
    </row>
    <row r="408" spans="1:40" x14ac:dyDescent="0.25">
      <c r="A408" t="str">
        <f>"20190303154423199"</f>
        <v>20190303154423199</v>
      </c>
      <c r="B408" t="str">
        <f>"1551599063190986"</f>
        <v>1551599063190986</v>
      </c>
      <c r="C408" t="s">
        <v>40</v>
      </c>
      <c r="D408">
        <v>4.6256559999999904</v>
      </c>
      <c r="E408">
        <v>0.49331130000000001</v>
      </c>
      <c r="F408" t="s">
        <v>41</v>
      </c>
      <c r="G408">
        <v>-399.18770000000001</v>
      </c>
      <c r="H408" s="1">
        <v>-8.1221900000000003E-7</v>
      </c>
      <c r="I408">
        <v>367.55020000000002</v>
      </c>
      <c r="J408">
        <v>-411.92259999999999</v>
      </c>
      <c r="K408">
        <v>1.0699829999999999</v>
      </c>
      <c r="L408">
        <v>367.66239999999999</v>
      </c>
      <c r="M408">
        <v>0.99984930000000005</v>
      </c>
      <c r="N408">
        <v>-4.6546590000000002E-3</v>
      </c>
      <c r="O408">
        <v>-1.673415E-2</v>
      </c>
      <c r="P408">
        <v>0.99523320000000004</v>
      </c>
      <c r="Q408">
        <v>-9.3885200000000002E-2</v>
      </c>
      <c r="R408">
        <v>-2.639888E-2</v>
      </c>
      <c r="S408">
        <v>2.9904480000000002</v>
      </c>
      <c r="T408">
        <v>-0.24641299999999999</v>
      </c>
      <c r="U408">
        <v>-2.676392E-2</v>
      </c>
      <c r="V408">
        <v>9.7614109999999994E-3</v>
      </c>
      <c r="W408">
        <v>-8.9248019999999997E-2</v>
      </c>
      <c r="X408">
        <v>0.9959616</v>
      </c>
      <c r="Y408">
        <v>-7.7073940000000002E-3</v>
      </c>
      <c r="Z408">
        <v>1.633661E-3</v>
      </c>
      <c r="AA408">
        <v>0.99996890000000005</v>
      </c>
      <c r="AB408">
        <v>24</v>
      </c>
      <c r="AC408">
        <v>12.7348999999999</v>
      </c>
      <c r="AD408">
        <v>-1.069983812219</v>
      </c>
      <c r="AE408">
        <v>-0.112199999999973</v>
      </c>
      <c r="AF408">
        <v>-0.100218293682276</v>
      </c>
      <c r="AG408">
        <v>-1.069983812219</v>
      </c>
      <c r="AH408">
        <v>12.6457309121382</v>
      </c>
      <c r="AI408">
        <v>94.836254271059701</v>
      </c>
      <c r="AJ408">
        <v>90.454063516657797</v>
      </c>
      <c r="AK408">
        <v>12.691312751918399</v>
      </c>
      <c r="AL408">
        <v>95.120347712142106</v>
      </c>
      <c r="AM408">
        <v>89.438462541989395</v>
      </c>
      <c r="AN408">
        <v>1.00000000144659</v>
      </c>
    </row>
    <row r="409" spans="1:40" x14ac:dyDescent="0.25">
      <c r="A409" t="str">
        <f>"20190303154423223"</f>
        <v>20190303154423223</v>
      </c>
      <c r="B409" t="str">
        <f>"1551599063220265"</f>
        <v>1551599063220265</v>
      </c>
      <c r="C409" t="s">
        <v>40</v>
      </c>
      <c r="D409">
        <v>4.6432820000000001</v>
      </c>
      <c r="E409">
        <v>0.49325619999999998</v>
      </c>
      <c r="F409" t="s">
        <v>41</v>
      </c>
      <c r="G409">
        <v>-398.90269999999998</v>
      </c>
      <c r="H409" s="1">
        <v>-9.0876960000000004E-7</v>
      </c>
      <c r="I409">
        <v>367.55180000000001</v>
      </c>
      <c r="J409">
        <v>-411.66399999999999</v>
      </c>
      <c r="K409">
        <v>1.069979</v>
      </c>
      <c r="L409">
        <v>367.65839999999997</v>
      </c>
      <c r="M409">
        <v>0.99985190000000002</v>
      </c>
      <c r="N409">
        <v>-4.704415E-3</v>
      </c>
      <c r="O409">
        <v>-1.6554010000000001E-2</v>
      </c>
      <c r="P409">
        <v>0.9952337</v>
      </c>
      <c r="Q409">
        <v>-9.3852530000000003E-2</v>
      </c>
      <c r="R409">
        <v>-2.6490389999999999E-2</v>
      </c>
      <c r="S409">
        <v>2.9905089999999999</v>
      </c>
      <c r="T409">
        <v>-0.24576039999999999</v>
      </c>
      <c r="U409">
        <v>-2.5390630000000001E-2</v>
      </c>
      <c r="V409">
        <v>1.003242E-2</v>
      </c>
      <c r="W409">
        <v>-8.9165699999999903E-2</v>
      </c>
      <c r="X409">
        <v>0.99596629999999997</v>
      </c>
      <c r="Y409">
        <v>-7.9866050000000008E-3</v>
      </c>
      <c r="Z409">
        <v>1.6267020000000001E-3</v>
      </c>
      <c r="AA409">
        <v>0.99996680000000004</v>
      </c>
      <c r="AB409">
        <v>24</v>
      </c>
      <c r="AC409">
        <v>12.7613</v>
      </c>
      <c r="AD409">
        <v>-1.0699799087696</v>
      </c>
      <c r="AE409">
        <v>-0.10659999999995701</v>
      </c>
      <c r="AF409">
        <v>-0.103936997750567</v>
      </c>
      <c r="AG409">
        <v>-1.0699799087696</v>
      </c>
      <c r="AH409">
        <v>12.672235150340301</v>
      </c>
      <c r="AI409">
        <v>94.826158727434503</v>
      </c>
      <c r="AJ409">
        <v>90.469926394431099</v>
      </c>
      <c r="AK409">
        <v>12.7177515155074</v>
      </c>
      <c r="AL409">
        <v>95.115612142918295</v>
      </c>
      <c r="AM409">
        <v>89.422876171601999</v>
      </c>
      <c r="AN409">
        <v>1.00000002112161</v>
      </c>
    </row>
    <row r="410" spans="1:40" x14ac:dyDescent="0.25">
      <c r="A410" t="str">
        <f>"20190303154423243"</f>
        <v>20190303154423243</v>
      </c>
      <c r="B410" t="str">
        <f>"1551599063231044"</f>
        <v>1551599063231044</v>
      </c>
      <c r="C410" t="s">
        <v>40</v>
      </c>
      <c r="D410">
        <v>4.7662820000000004</v>
      </c>
      <c r="E410">
        <v>0.49325619999999998</v>
      </c>
      <c r="F410" t="s">
        <v>42</v>
      </c>
      <c r="G410">
        <v>-410.72879999999998</v>
      </c>
      <c r="H410">
        <v>0.99338890000000002</v>
      </c>
      <c r="I410">
        <v>367.65010000000001</v>
      </c>
      <c r="J410">
        <v>-411.43979999999999</v>
      </c>
      <c r="K410">
        <v>1.069982</v>
      </c>
      <c r="L410">
        <v>367.65480000000002</v>
      </c>
      <c r="M410">
        <v>0.99985429999999997</v>
      </c>
      <c r="N410">
        <v>-4.7527719999999997E-3</v>
      </c>
      <c r="O410">
        <v>-1.6397829999999999E-2</v>
      </c>
      <c r="P410">
        <v>0.99520989999999998</v>
      </c>
      <c r="Q410">
        <v>-9.4057650000000007E-2</v>
      </c>
      <c r="R410">
        <v>-2.6658089999999999E-2</v>
      </c>
      <c r="S410">
        <v>2.9906009999999998</v>
      </c>
      <c r="T410">
        <v>-0.2453169</v>
      </c>
      <c r="U410">
        <v>-2.505493E-2</v>
      </c>
      <c r="V410">
        <v>1.0356199999999999E-2</v>
      </c>
      <c r="W410">
        <v>-8.9322689999999996E-2</v>
      </c>
      <c r="X410">
        <v>0.99594890000000003</v>
      </c>
      <c r="Y410">
        <v>-7.9438670000000003E-3</v>
      </c>
      <c r="Z410">
        <v>1.6091149999999999E-3</v>
      </c>
      <c r="AA410">
        <v>0.99996719999999895</v>
      </c>
      <c r="AB410">
        <v>25</v>
      </c>
      <c r="AC410">
        <v>0.71100000000001196</v>
      </c>
      <c r="AD410">
        <v>-7.6593099999999803E-2</v>
      </c>
      <c r="AE410">
        <v>-4.7000000000139101E-3</v>
      </c>
      <c r="AF410">
        <v>-6.8797846970205497E-3</v>
      </c>
      <c r="AG410">
        <v>-7.6593099999999803E-2</v>
      </c>
      <c r="AH410">
        <v>0.70282563191410097</v>
      </c>
      <c r="AI410">
        <v>96.219186021888007</v>
      </c>
      <c r="AJ410">
        <v>90.560836172982405</v>
      </c>
      <c r="AK410">
        <v>0.70702029905833796</v>
      </c>
      <c r="AL410">
        <v>95.124643137546997</v>
      </c>
      <c r="AM410">
        <v>89.404241354922405</v>
      </c>
      <c r="AN410">
        <v>1.0000000026192399</v>
      </c>
    </row>
    <row r="411" spans="1:40" x14ac:dyDescent="0.25">
      <c r="A411" t="str">
        <f>"20190303154423267"</f>
        <v>20190303154423267</v>
      </c>
      <c r="B411" t="str">
        <f>"1551599063260281"</f>
        <v>1551599063260281</v>
      </c>
      <c r="C411" t="s">
        <v>40</v>
      </c>
      <c r="D411">
        <v>4.9285769999999998</v>
      </c>
      <c r="E411">
        <v>0.52184679999999894</v>
      </c>
      <c r="F411" t="s">
        <v>42</v>
      </c>
      <c r="G411">
        <v>-410.50779999999997</v>
      </c>
      <c r="H411">
        <v>0.99337629999999999</v>
      </c>
      <c r="I411">
        <v>367.64659999999998</v>
      </c>
      <c r="J411">
        <v>-411.17860000000002</v>
      </c>
      <c r="K411">
        <v>1.0699879999999999</v>
      </c>
      <c r="L411">
        <v>367.65069999999997</v>
      </c>
      <c r="M411">
        <v>0.999857</v>
      </c>
      <c r="N411">
        <v>-4.81117E-3</v>
      </c>
      <c r="O411">
        <v>-1.6216399999999999E-2</v>
      </c>
      <c r="P411">
        <v>0.99521780000000004</v>
      </c>
      <c r="Q411">
        <v>-9.3898519999999999E-2</v>
      </c>
      <c r="R411">
        <v>-2.6924739999999999E-2</v>
      </c>
      <c r="S411">
        <v>2.9905089999999999</v>
      </c>
      <c r="T411">
        <v>-0.24587809999999999</v>
      </c>
      <c r="U411">
        <v>-2.5848389999999999E-2</v>
      </c>
      <c r="V411">
        <v>1.080365E-2</v>
      </c>
      <c r="W411">
        <v>-8.9105169999999997E-2</v>
      </c>
      <c r="X411">
        <v>0.99596359999999995</v>
      </c>
      <c r="Y411">
        <v>-7.4986840000000003E-3</v>
      </c>
      <c r="Z411">
        <v>1.578882E-3</v>
      </c>
      <c r="AA411">
        <v>0.99997060000000004</v>
      </c>
      <c r="AB411">
        <v>25</v>
      </c>
      <c r="AC411">
        <v>0.67080000000004203</v>
      </c>
      <c r="AD411">
        <v>-7.6611699999999797E-2</v>
      </c>
      <c r="AE411">
        <v>-4.0999999999939904E-3</v>
      </c>
      <c r="AF411">
        <v>-6.69134806420998E-3</v>
      </c>
      <c r="AG411">
        <v>-7.6611699999999797E-2</v>
      </c>
      <c r="AH411">
        <v>0.66214175826836996</v>
      </c>
      <c r="AI411">
        <v>96.599604912050197</v>
      </c>
      <c r="AJ411">
        <v>90.578989239766003</v>
      </c>
      <c r="AK411">
        <v>0.66659270529952197</v>
      </c>
      <c r="AL411">
        <v>95.112130424633605</v>
      </c>
      <c r="AM411">
        <v>89.378512155142403</v>
      </c>
      <c r="AN411">
        <v>0.99999997134950502</v>
      </c>
    </row>
    <row r="412" spans="1:40" x14ac:dyDescent="0.25">
      <c r="A412" t="str">
        <f>"20190303154423291"</f>
        <v>20190303154423291</v>
      </c>
      <c r="B412" t="str">
        <f>"1551599063280778"</f>
        <v>1551599063280778</v>
      </c>
      <c r="C412" t="s">
        <v>40</v>
      </c>
      <c r="D412">
        <v>4.9722730000000004</v>
      </c>
      <c r="E412">
        <v>0.5187737</v>
      </c>
      <c r="F412" t="s">
        <v>42</v>
      </c>
      <c r="G412">
        <v>-410.35770000000002</v>
      </c>
      <c r="H412">
        <v>0.85385270000000002</v>
      </c>
      <c r="I412">
        <v>367.57709999999997</v>
      </c>
      <c r="J412">
        <v>-410.90620000000001</v>
      </c>
      <c r="K412">
        <v>1.069993</v>
      </c>
      <c r="L412">
        <v>367.6465</v>
      </c>
      <c r="M412">
        <v>0.99985959999999996</v>
      </c>
      <c r="N412">
        <v>-4.8730989999999997E-3</v>
      </c>
      <c r="O412">
        <v>-1.6026749999999999E-2</v>
      </c>
      <c r="P412">
        <v>0.99522659999999996</v>
      </c>
      <c r="Q412">
        <v>-9.381188E-2</v>
      </c>
      <c r="R412">
        <v>-2.6897819999999999E-2</v>
      </c>
      <c r="S412">
        <v>2.934418</v>
      </c>
      <c r="T412">
        <v>-0.77271339999999999</v>
      </c>
      <c r="U412">
        <v>-0.26193240000000001</v>
      </c>
      <c r="V412">
        <v>1.0965600000000001E-2</v>
      </c>
      <c r="W412">
        <v>-8.8956800000000003E-2</v>
      </c>
      <c r="X412">
        <v>0.9959751</v>
      </c>
      <c r="Y412">
        <v>7.100853E-2</v>
      </c>
      <c r="Z412">
        <v>-5.2873369999999996E-3</v>
      </c>
      <c r="AA412">
        <v>0.99746170000000001</v>
      </c>
      <c r="AB412">
        <v>25</v>
      </c>
      <c r="AC412">
        <v>0.54849999999999</v>
      </c>
      <c r="AD412">
        <v>-0.21614029999999901</v>
      </c>
      <c r="AE412">
        <v>-6.9400000000030104E-2</v>
      </c>
      <c r="AF412">
        <v>5.25663679359758E-2</v>
      </c>
      <c r="AG412">
        <v>-0.21614029999999901</v>
      </c>
      <c r="AH412">
        <v>0.47668762964702199</v>
      </c>
      <c r="AI412">
        <v>114.260577492789</v>
      </c>
      <c r="AJ412">
        <v>83.707176809946105</v>
      </c>
      <c r="AK412">
        <v>0.52603322003516695</v>
      </c>
      <c r="AL412">
        <v>95.103595521157203</v>
      </c>
      <c r="AM412">
        <v>89.369203893505102</v>
      </c>
      <c r="AN412">
        <v>0.99999997823480402</v>
      </c>
    </row>
    <row r="413" spans="1:40" x14ac:dyDescent="0.25">
      <c r="A413" t="str">
        <f>"20190303154423313"</f>
        <v>20190303154423313</v>
      </c>
      <c r="B413" t="str">
        <f>"1551599063311033"</f>
        <v>1551599063311033</v>
      </c>
      <c r="C413" t="s">
        <v>40</v>
      </c>
      <c r="D413">
        <v>4.7352379999999998</v>
      </c>
      <c r="E413">
        <v>0.51973829999999999</v>
      </c>
      <c r="F413" t="s">
        <v>42</v>
      </c>
      <c r="G413">
        <v>-410.13690000000003</v>
      </c>
      <c r="H413">
        <v>0.84752890000000003</v>
      </c>
      <c r="I413">
        <v>367.58339999999998</v>
      </c>
      <c r="J413">
        <v>-410.65719999999999</v>
      </c>
      <c r="K413">
        <v>1.0699909999999999</v>
      </c>
      <c r="L413">
        <v>367.64269999999999</v>
      </c>
      <c r="M413">
        <v>0.99986209999999998</v>
      </c>
      <c r="N413">
        <v>-4.9320509999999998E-3</v>
      </c>
      <c r="O413">
        <v>-1.5853550000000001E-2</v>
      </c>
      <c r="P413">
        <v>0.99524869999999999</v>
      </c>
      <c r="Q413">
        <v>-9.3624159999999998E-2</v>
      </c>
      <c r="R413">
        <v>-2.6732209999999999E-2</v>
      </c>
      <c r="S413">
        <v>2.92807</v>
      </c>
      <c r="T413">
        <v>-0.84683059999999999</v>
      </c>
      <c r="U413">
        <v>-0.23925779999999999</v>
      </c>
      <c r="V413">
        <v>1.097221E-2</v>
      </c>
      <c r="W413">
        <v>-8.8710230000000001E-2</v>
      </c>
      <c r="X413">
        <v>0.99599700000000002</v>
      </c>
      <c r="Y413">
        <v>6.3616889999999995E-2</v>
      </c>
      <c r="Z413">
        <v>-4.7523219999999998E-3</v>
      </c>
      <c r="AA413">
        <v>0.99796309999999999</v>
      </c>
      <c r="AB413">
        <v>25</v>
      </c>
      <c r="AC413">
        <v>0.52029999999996301</v>
      </c>
      <c r="AD413">
        <v>-0.222462099999999</v>
      </c>
      <c r="AE413">
        <v>-5.9300000000007402E-2</v>
      </c>
      <c r="AF413">
        <v>4.32403586884871E-2</v>
      </c>
      <c r="AG413">
        <v>-0.222462099999999</v>
      </c>
      <c r="AH413">
        <v>0.44149853563118902</v>
      </c>
      <c r="AI413">
        <v>116.63285693042999</v>
      </c>
      <c r="AJ413">
        <v>84.406292253340993</v>
      </c>
      <c r="AK413">
        <v>0.49626612973323397</v>
      </c>
      <c r="AL413">
        <v>95.089412123205904</v>
      </c>
      <c r="AM413">
        <v>89.368837561221298</v>
      </c>
      <c r="AN413">
        <v>0.999999959153967</v>
      </c>
    </row>
    <row r="414" spans="1:40" x14ac:dyDescent="0.25">
      <c r="A414" t="str">
        <f>"20190303154423332"</f>
        <v>20190303154423332</v>
      </c>
      <c r="B414" t="str">
        <f>"1551599063330553"</f>
        <v>1551599063330553</v>
      </c>
      <c r="C414" t="s">
        <v>40</v>
      </c>
      <c r="D414">
        <v>4.9271699999999896</v>
      </c>
      <c r="E414">
        <v>0.52000119999999905</v>
      </c>
      <c r="F414" t="s">
        <v>42</v>
      </c>
      <c r="G414">
        <v>-409.91129999999998</v>
      </c>
      <c r="H414">
        <v>0.85159019999999996</v>
      </c>
      <c r="I414">
        <v>367.5797</v>
      </c>
      <c r="J414">
        <v>-410.44319999999999</v>
      </c>
      <c r="K414">
        <v>1.07</v>
      </c>
      <c r="L414">
        <v>367.63940000000002</v>
      </c>
      <c r="M414">
        <v>0.99986439999999999</v>
      </c>
      <c r="N414">
        <v>-4.9854399999999998E-3</v>
      </c>
      <c r="O414">
        <v>-1.5704780000000002E-2</v>
      </c>
      <c r="P414">
        <v>0.99523159999999999</v>
      </c>
      <c r="Q414">
        <v>-9.3754749999999998E-2</v>
      </c>
      <c r="R414">
        <v>-2.6917759999999999E-2</v>
      </c>
      <c r="S414">
        <v>2.9270939999999999</v>
      </c>
      <c r="T414">
        <v>-0.85710549999999996</v>
      </c>
      <c r="U414">
        <v>-0.24646000000000001</v>
      </c>
      <c r="V414">
        <v>1.130627E-2</v>
      </c>
      <c r="W414">
        <v>-8.8787619999999998E-2</v>
      </c>
      <c r="X414">
        <v>0.99598640000000005</v>
      </c>
      <c r="Y414">
        <v>6.6071829999999998E-2</v>
      </c>
      <c r="Z414">
        <v>-5.2081410000000003E-3</v>
      </c>
      <c r="AA414">
        <v>0.9978013</v>
      </c>
      <c r="AB414">
        <v>25</v>
      </c>
      <c r="AC414">
        <v>0.53190000000000703</v>
      </c>
      <c r="AD414">
        <v>-0.21840979999999999</v>
      </c>
      <c r="AE414">
        <v>-5.9700000000020702E-2</v>
      </c>
      <c r="AF414">
        <v>4.4010804399193797E-2</v>
      </c>
      <c r="AG414">
        <v>-0.21840979999999999</v>
      </c>
      <c r="AH414">
        <v>0.45672197849559698</v>
      </c>
      <c r="AI414">
        <v>115.45476544701199</v>
      </c>
      <c r="AJ414">
        <v>84.495838571089905</v>
      </c>
      <c r="AK414">
        <v>0.50816804039691099</v>
      </c>
      <c r="AL414">
        <v>95.093863646856704</v>
      </c>
      <c r="AM414">
        <v>89.3496158892642</v>
      </c>
      <c r="AN414">
        <v>0.99999999109576798</v>
      </c>
    </row>
    <row r="415" spans="1:40" x14ac:dyDescent="0.25">
      <c r="A415" t="str">
        <f>"20190303154423357"</f>
        <v>20190303154423357</v>
      </c>
      <c r="B415" t="str">
        <f>"1551599063350073"</f>
        <v>1551599063350073</v>
      </c>
      <c r="C415" t="s">
        <v>40</v>
      </c>
      <c r="D415">
        <v>4.9787150000000002</v>
      </c>
      <c r="E415">
        <v>0.51889819999999998</v>
      </c>
      <c r="F415" t="s">
        <v>42</v>
      </c>
      <c r="G415">
        <v>-409.6866</v>
      </c>
      <c r="H415">
        <v>0.8514235</v>
      </c>
      <c r="I415">
        <v>367.5752</v>
      </c>
      <c r="J415">
        <v>-410.16090000000003</v>
      </c>
      <c r="K415">
        <v>1.0700069999999999</v>
      </c>
      <c r="L415">
        <v>367.6352</v>
      </c>
      <c r="M415">
        <v>0.99986699999999995</v>
      </c>
      <c r="N415">
        <v>-5.0617680000000003E-3</v>
      </c>
      <c r="O415">
        <v>-1.5508259999999999E-2</v>
      </c>
      <c r="P415">
        <v>0.99528799999999995</v>
      </c>
      <c r="Q415">
        <v>-9.3278970000000003E-2</v>
      </c>
      <c r="R415">
        <v>-2.6474580000000001E-2</v>
      </c>
      <c r="S415">
        <v>2.9279790000000001</v>
      </c>
      <c r="T415">
        <v>-0.84588829999999904</v>
      </c>
      <c r="U415">
        <v>-0.2482605</v>
      </c>
      <c r="V415">
        <v>1.1058220000000001E-2</v>
      </c>
      <c r="W415">
        <v>-8.8235640000000004E-2</v>
      </c>
      <c r="X415">
        <v>0.99603830000000004</v>
      </c>
      <c r="Y415">
        <v>6.6866140000000004E-2</v>
      </c>
      <c r="Z415">
        <v>-5.3167700000000002E-3</v>
      </c>
      <c r="AA415">
        <v>0.99774779999999996</v>
      </c>
      <c r="AB415">
        <v>25</v>
      </c>
      <c r="AC415">
        <v>0.47430000000002698</v>
      </c>
      <c r="AD415">
        <v>-0.21858349999999899</v>
      </c>
      <c r="AE415">
        <v>-6.0000000000002197E-2</v>
      </c>
      <c r="AF415">
        <v>4.3536222828872401E-2</v>
      </c>
      <c r="AG415">
        <v>-0.21858349999999899</v>
      </c>
      <c r="AH415">
        <v>0.39301650295563301</v>
      </c>
      <c r="AI415">
        <v>118.93326769945401</v>
      </c>
      <c r="AJ415">
        <v>83.678857817033801</v>
      </c>
      <c r="AK415">
        <v>0.45181425471749997</v>
      </c>
      <c r="AL415">
        <v>95.062112586777999</v>
      </c>
      <c r="AM415">
        <v>89.363916723879498</v>
      </c>
      <c r="AN415">
        <v>1.0000000537313301</v>
      </c>
    </row>
    <row r="416" spans="1:40" x14ac:dyDescent="0.25">
      <c r="A416" t="str">
        <f>"20190303154423379"</f>
        <v>20190303154423379</v>
      </c>
      <c r="B416" t="str">
        <f>"1551599063370569"</f>
        <v>1551599063370569</v>
      </c>
      <c r="C416" t="s">
        <v>40</v>
      </c>
      <c r="D416">
        <v>5.0203009999999999</v>
      </c>
      <c r="E416">
        <v>0.51868539999999996</v>
      </c>
      <c r="F416" t="s">
        <v>42</v>
      </c>
      <c r="G416">
        <v>-409.4554</v>
      </c>
      <c r="H416">
        <v>0.86278239999999995</v>
      </c>
      <c r="I416">
        <v>367.57760000000002</v>
      </c>
      <c r="J416">
        <v>-409.91829999999999</v>
      </c>
      <c r="K416">
        <v>1.0700190000000001</v>
      </c>
      <c r="L416">
        <v>367.63159999999999</v>
      </c>
      <c r="M416">
        <v>0.99986920000000001</v>
      </c>
      <c r="N416">
        <v>-5.1323990000000002E-3</v>
      </c>
      <c r="O416">
        <v>-1.533986E-2</v>
      </c>
      <c r="P416">
        <v>0.99530130000000006</v>
      </c>
      <c r="Q416">
        <v>-9.3205029999999994E-2</v>
      </c>
      <c r="R416">
        <v>-2.6237839999999998E-2</v>
      </c>
      <c r="S416">
        <v>2.9273069999999999</v>
      </c>
      <c r="T416">
        <v>-0.85995379999999999</v>
      </c>
      <c r="U416">
        <v>-0.2381897</v>
      </c>
      <c r="V416">
        <v>1.098887E-2</v>
      </c>
      <c r="W416">
        <v>-8.8091279999999994E-2</v>
      </c>
      <c r="X416">
        <v>0.99605180000000004</v>
      </c>
      <c r="Y416">
        <v>6.3700039999999999E-2</v>
      </c>
      <c r="Z416">
        <v>-4.9874480000000002E-3</v>
      </c>
      <c r="AA416">
        <v>0.99795659999999997</v>
      </c>
      <c r="AB416">
        <v>25</v>
      </c>
      <c r="AC416">
        <v>0.46289999999998999</v>
      </c>
      <c r="AD416">
        <v>-0.20723659999999999</v>
      </c>
      <c r="AE416">
        <v>-5.3999999999973597E-2</v>
      </c>
      <c r="AF416">
        <v>3.9151103848430797E-2</v>
      </c>
      <c r="AG416">
        <v>-0.20723659999999999</v>
      </c>
      <c r="AH416">
        <v>0.38712491758665901</v>
      </c>
      <c r="AI416">
        <v>118.04001088808199</v>
      </c>
      <c r="AJ416">
        <v>84.225140779106596</v>
      </c>
      <c r="AK416">
        <v>0.44084636680887801</v>
      </c>
      <c r="AL416">
        <v>95.053809263409093</v>
      </c>
      <c r="AM416">
        <v>89.367914068295804</v>
      </c>
      <c r="AN416">
        <v>1.0000000085795699</v>
      </c>
    </row>
    <row r="417" spans="1:40" x14ac:dyDescent="0.25">
      <c r="A417" t="str">
        <f>"20190303154423402"</f>
        <v>20190303154423402</v>
      </c>
      <c r="B417" t="str">
        <f>"1551599063391066"</f>
        <v>1551599063391066</v>
      </c>
      <c r="C417" t="s">
        <v>40</v>
      </c>
      <c r="D417">
        <v>5.0154540000000001</v>
      </c>
      <c r="E417">
        <v>0.51837860000000002</v>
      </c>
      <c r="F417" t="s">
        <v>42</v>
      </c>
      <c r="G417">
        <v>-409.22750000000002</v>
      </c>
      <c r="H417">
        <v>0.86542889999999995</v>
      </c>
      <c r="I417">
        <v>367.57589999999999</v>
      </c>
      <c r="J417">
        <v>-409.66410000000002</v>
      </c>
      <c r="K417">
        <v>1.0700240000000001</v>
      </c>
      <c r="L417">
        <v>367.62790000000001</v>
      </c>
      <c r="M417">
        <v>0.99987159999999997</v>
      </c>
      <c r="N417">
        <v>-5.2109499999999998E-3</v>
      </c>
      <c r="O417">
        <v>-1.516373E-2</v>
      </c>
      <c r="P417">
        <v>0.99530580000000002</v>
      </c>
      <c r="Q417">
        <v>-9.3103989999999998E-2</v>
      </c>
      <c r="R417">
        <v>-2.6420349999999999E-2</v>
      </c>
      <c r="S417">
        <v>2.926758</v>
      </c>
      <c r="T417">
        <v>-0.86687449999999999</v>
      </c>
      <c r="U417">
        <v>-0.2359009</v>
      </c>
      <c r="V417">
        <v>1.1347110000000001E-2</v>
      </c>
      <c r="W417">
        <v>-8.7911859999999994E-2</v>
      </c>
      <c r="X417">
        <v>0.99606360000000005</v>
      </c>
      <c r="Y417">
        <v>6.3099660000000002E-2</v>
      </c>
      <c r="Z417">
        <v>-4.9903839999999996E-3</v>
      </c>
      <c r="AA417">
        <v>0.99799479999999996</v>
      </c>
      <c r="AB417">
        <v>25</v>
      </c>
      <c r="AC417">
        <v>0.43659999999999799</v>
      </c>
      <c r="AD417">
        <v>-0.2045951</v>
      </c>
      <c r="AE417">
        <v>-5.2000000000020898E-2</v>
      </c>
      <c r="AF417">
        <v>3.72976238591433E-2</v>
      </c>
      <c r="AG417">
        <v>-0.2045951</v>
      </c>
      <c r="AH417">
        <v>0.359498366509439</v>
      </c>
      <c r="AI417">
        <v>119.513085926683</v>
      </c>
      <c r="AJ417">
        <v>84.076807236642793</v>
      </c>
      <c r="AK417">
        <v>0.41531836368321501</v>
      </c>
      <c r="AL417">
        <v>95.043489393084698</v>
      </c>
      <c r="AM417">
        <v>89.347317389697295</v>
      </c>
      <c r="AN417">
        <v>0.99999997363948501</v>
      </c>
    </row>
    <row r="418" spans="1:40" x14ac:dyDescent="0.25">
      <c r="A418" t="str">
        <f>"20190303154423424"</f>
        <v>20190303154423424</v>
      </c>
      <c r="B418" t="str">
        <f>"1551599063420660"</f>
        <v>1551599063420660</v>
      </c>
      <c r="C418" t="s">
        <v>40</v>
      </c>
      <c r="D418">
        <v>5.0311899999999996</v>
      </c>
      <c r="E418">
        <v>0.5181732</v>
      </c>
      <c r="F418" t="s">
        <v>42</v>
      </c>
      <c r="G418">
        <v>-408.79480000000001</v>
      </c>
      <c r="H418">
        <v>0.81005530000000003</v>
      </c>
      <c r="I418">
        <v>367.55860000000001</v>
      </c>
      <c r="J418">
        <v>-409.40910000000002</v>
      </c>
      <c r="K418">
        <v>1.0700259999999999</v>
      </c>
      <c r="L418">
        <v>367.62419999999997</v>
      </c>
      <c r="M418">
        <v>0.99987369999999998</v>
      </c>
      <c r="N418">
        <v>-5.2994929999999997E-3</v>
      </c>
      <c r="O418">
        <v>-1.4986920000000001E-2</v>
      </c>
      <c r="P418">
        <v>0.99526680000000001</v>
      </c>
      <c r="Q418">
        <v>-9.3463110000000002E-2</v>
      </c>
      <c r="R418">
        <v>-2.6622090000000001E-2</v>
      </c>
      <c r="S418">
        <v>2.9260860000000002</v>
      </c>
      <c r="T418">
        <v>-0.87499669999999896</v>
      </c>
      <c r="U418">
        <v>-0.23364260000000001</v>
      </c>
      <c r="V418">
        <v>1.172568E-2</v>
      </c>
      <c r="W418">
        <v>-8.8182839999999998E-2</v>
      </c>
      <c r="X418">
        <v>0.99603529999999996</v>
      </c>
      <c r="Y418">
        <v>6.2507199999999999E-2</v>
      </c>
      <c r="Z418">
        <v>-5.0009440000000002E-3</v>
      </c>
      <c r="AA418">
        <v>0.99803200000000003</v>
      </c>
      <c r="AB418">
        <v>25</v>
      </c>
      <c r="AC418">
        <v>0.61430000000001395</v>
      </c>
      <c r="AD418">
        <v>-0.259970699999999</v>
      </c>
      <c r="AE418">
        <v>-6.5599999999960801E-2</v>
      </c>
      <c r="AF418">
        <v>4.7903423095435098E-2</v>
      </c>
      <c r="AG418">
        <v>-0.259970699999999</v>
      </c>
      <c r="AH418">
        <v>0.52266243665655998</v>
      </c>
      <c r="AI418">
        <v>116.350175662998</v>
      </c>
      <c r="AJ418">
        <v>84.763317541982303</v>
      </c>
      <c r="AK418">
        <v>0.58570942069811605</v>
      </c>
      <c r="AL418">
        <v>95.059075743706103</v>
      </c>
      <c r="AM418">
        <v>89.3255249663532</v>
      </c>
      <c r="AN418">
        <v>1.000000011844</v>
      </c>
    </row>
    <row r="419" spans="1:40" x14ac:dyDescent="0.25">
      <c r="A419" t="str">
        <f>"20190303154423445"</f>
        <v>20190303154423445</v>
      </c>
      <c r="B419" t="str">
        <f>"1551599063440181"</f>
        <v>1551599063440181</v>
      </c>
      <c r="C419" t="s">
        <v>40</v>
      </c>
      <c r="D419">
        <v>5.0511039999999996</v>
      </c>
      <c r="E419">
        <v>0.51812499999999995</v>
      </c>
      <c r="F419" t="s">
        <v>42</v>
      </c>
      <c r="G419">
        <v>-408.56380000000001</v>
      </c>
      <c r="H419">
        <v>0.8143629</v>
      </c>
      <c r="I419">
        <v>367.55680000000001</v>
      </c>
      <c r="J419">
        <v>-409.16739999999999</v>
      </c>
      <c r="K419">
        <v>1.0700369999999999</v>
      </c>
      <c r="L419">
        <v>367.62079999999997</v>
      </c>
      <c r="M419">
        <v>0.99987570000000003</v>
      </c>
      <c r="N419">
        <v>-5.3913769999999897E-3</v>
      </c>
      <c r="O419">
        <v>-1.481918E-2</v>
      </c>
      <c r="P419">
        <v>0.99520649999999999</v>
      </c>
      <c r="Q419">
        <v>-9.3973230000000005E-2</v>
      </c>
      <c r="R419">
        <v>-2.7072530000000001E-2</v>
      </c>
      <c r="S419">
        <v>2.924957</v>
      </c>
      <c r="T419">
        <v>-0.88462809999999903</v>
      </c>
      <c r="U419">
        <v>-0.2325439</v>
      </c>
      <c r="V419">
        <v>1.2344259999999999E-2</v>
      </c>
      <c r="W419">
        <v>-8.8601540000000006E-2</v>
      </c>
      <c r="X419">
        <v>0.99599059999999995</v>
      </c>
      <c r="Y419">
        <v>6.2286889999999998E-2</v>
      </c>
      <c r="Z419">
        <v>-5.0727159999999997E-3</v>
      </c>
      <c r="AA419">
        <v>0.99804539999999997</v>
      </c>
      <c r="AB419">
        <v>26</v>
      </c>
      <c r="AC419">
        <v>0.60359999999997105</v>
      </c>
      <c r="AD419">
        <v>-0.25567410000000002</v>
      </c>
      <c r="AE419">
        <v>-6.3999999999964502E-2</v>
      </c>
      <c r="AF419">
        <v>4.6752779802238999E-2</v>
      </c>
      <c r="AG419">
        <v>-0.25567410000000002</v>
      </c>
      <c r="AH419">
        <v>0.513392471486806</v>
      </c>
      <c r="AI419">
        <v>116.379424846145</v>
      </c>
      <c r="AJ419">
        <v>84.796634647014898</v>
      </c>
      <c r="AK419">
        <v>0.57543626720026697</v>
      </c>
      <c r="AL419">
        <v>95.083160100730595</v>
      </c>
      <c r="AM419">
        <v>89.289915198245296</v>
      </c>
      <c r="AN419">
        <v>0.99999994446683804</v>
      </c>
    </row>
    <row r="420" spans="1:40" x14ac:dyDescent="0.25">
      <c r="A420" t="str">
        <f>"20190303154423467"</f>
        <v>20190303154423467</v>
      </c>
      <c r="B420" t="str">
        <f>"1551599063460676"</f>
        <v>1551599063460676</v>
      </c>
      <c r="C420" t="s">
        <v>40</v>
      </c>
      <c r="D420">
        <v>5.0963890000000003</v>
      </c>
      <c r="E420">
        <v>0.51820949999999999</v>
      </c>
      <c r="F420" t="s">
        <v>42</v>
      </c>
      <c r="G420">
        <v>-408.3331</v>
      </c>
      <c r="H420">
        <v>0.8159999</v>
      </c>
      <c r="I420">
        <v>367.55430000000001</v>
      </c>
      <c r="J420">
        <v>-408.90440000000001</v>
      </c>
      <c r="K420">
        <v>1.070057</v>
      </c>
      <c r="L420">
        <v>367.61709999999999</v>
      </c>
      <c r="M420">
        <v>0.99987760000000003</v>
      </c>
      <c r="N420">
        <v>-5.5089960000000004E-3</v>
      </c>
      <c r="O420">
        <v>-1.463744E-2</v>
      </c>
      <c r="P420">
        <v>0.99522480000000002</v>
      </c>
      <c r="Q420">
        <v>-9.3846230000000003E-2</v>
      </c>
      <c r="R420">
        <v>-2.684572E-2</v>
      </c>
      <c r="S420">
        <v>2.9240110000000001</v>
      </c>
      <c r="T420">
        <v>-0.89034650000000004</v>
      </c>
      <c r="U420">
        <v>-0.23352049999999999</v>
      </c>
      <c r="V420">
        <v>1.229823E-2</v>
      </c>
      <c r="W420">
        <v>-8.83573E-2</v>
      </c>
      <c r="X420">
        <v>0.99601289999999998</v>
      </c>
      <c r="Y420">
        <v>6.2764929999999997E-2</v>
      </c>
      <c r="Z420">
        <v>-5.234916E-3</v>
      </c>
      <c r="AA420">
        <v>0.99801459999999997</v>
      </c>
      <c r="AB420">
        <v>26</v>
      </c>
      <c r="AC420">
        <v>0.57130000000000702</v>
      </c>
      <c r="AD420">
        <v>-0.25405709999999998</v>
      </c>
      <c r="AE420">
        <v>-6.2799999999981496E-2</v>
      </c>
      <c r="AF420">
        <v>4.5533638179125799E-2</v>
      </c>
      <c r="AG420">
        <v>-0.25405709999999998</v>
      </c>
      <c r="AH420">
        <v>0.47863432469784301</v>
      </c>
      <c r="AI420">
        <v>117.852425575064</v>
      </c>
      <c r="AJ420">
        <v>84.565668755538596</v>
      </c>
      <c r="AK420">
        <v>0.54379144811701297</v>
      </c>
      <c r="AL420">
        <v>95.069110908378903</v>
      </c>
      <c r="AM420">
        <v>89.292578571851905</v>
      </c>
      <c r="AN420">
        <v>0.99999997794541595</v>
      </c>
    </row>
    <row r="421" spans="1:40" x14ac:dyDescent="0.25">
      <c r="A421" t="str">
        <f>"20190303154423491"</f>
        <v>20190303154423491</v>
      </c>
      <c r="B421" t="str">
        <f>"1551599063481173"</f>
        <v>1551599063481173</v>
      </c>
      <c r="C421" t="s">
        <v>40</v>
      </c>
      <c r="D421">
        <v>5.0815460000000003</v>
      </c>
      <c r="E421">
        <v>0.51828909999999995</v>
      </c>
      <c r="F421" t="s">
        <v>42</v>
      </c>
      <c r="G421">
        <v>-408.09899999999999</v>
      </c>
      <c r="H421">
        <v>0.82432129999999904</v>
      </c>
      <c r="I421">
        <v>367.55220000000003</v>
      </c>
      <c r="J421">
        <v>-408.62900000000002</v>
      </c>
      <c r="K421">
        <v>1.070079</v>
      </c>
      <c r="L421">
        <v>367.61329999999998</v>
      </c>
      <c r="M421">
        <v>0.99987969999999904</v>
      </c>
      <c r="N421">
        <v>-5.671532E-3</v>
      </c>
      <c r="O421">
        <v>-1.444748E-2</v>
      </c>
      <c r="P421">
        <v>0.99526910000000002</v>
      </c>
      <c r="Q421">
        <v>-9.3534019999999995E-2</v>
      </c>
      <c r="R421">
        <v>-2.6290669999999999E-2</v>
      </c>
      <c r="S421">
        <v>2.92395</v>
      </c>
      <c r="T421">
        <v>-0.89209869999999902</v>
      </c>
      <c r="U421">
        <v>-0.23403930000000001</v>
      </c>
      <c r="V421">
        <v>1.193193E-2</v>
      </c>
      <c r="W421">
        <v>-8.7883069999999994E-2</v>
      </c>
      <c r="X421">
        <v>0.99605940000000004</v>
      </c>
      <c r="Y421">
        <v>6.3097650000000005E-2</v>
      </c>
      <c r="Z421">
        <v>-5.3579459999999997E-3</v>
      </c>
      <c r="AA421">
        <v>0.99799300000000002</v>
      </c>
      <c r="AB421">
        <v>26</v>
      </c>
      <c r="AC421">
        <v>0.530000000000029</v>
      </c>
      <c r="AD421">
        <v>-0.2457577</v>
      </c>
      <c r="AE421">
        <v>-6.1099999999953497E-2</v>
      </c>
      <c r="AF421">
        <v>4.4082408615360703E-2</v>
      </c>
      <c r="AG421">
        <v>-0.2457577</v>
      </c>
      <c r="AH421">
        <v>0.43790711637285601</v>
      </c>
      <c r="AI421">
        <v>119.178446118476</v>
      </c>
      <c r="AJ421">
        <v>84.251621596752301</v>
      </c>
      <c r="AK421">
        <v>0.50408605260273898</v>
      </c>
      <c r="AL421">
        <v>95.041832968127693</v>
      </c>
      <c r="AM421">
        <v>89.313678951161506</v>
      </c>
      <c r="AN421">
        <v>1.0000000666372499</v>
      </c>
    </row>
    <row r="422" spans="1:40" x14ac:dyDescent="0.25">
      <c r="A422" t="str">
        <f>"20190303154423514"</f>
        <v>20190303154423514</v>
      </c>
      <c r="B422" t="str">
        <f>"1551599063500692"</f>
        <v>1551599063500692</v>
      </c>
      <c r="C422" t="s">
        <v>40</v>
      </c>
      <c r="D422">
        <v>5.0654019999999997</v>
      </c>
      <c r="E422">
        <v>0.51809340000000004</v>
      </c>
      <c r="F422" t="s">
        <v>42</v>
      </c>
      <c r="G422">
        <v>-407.86279999999999</v>
      </c>
      <c r="H422">
        <v>0.83593949999999995</v>
      </c>
      <c r="I422">
        <v>367.5521</v>
      </c>
      <c r="J422">
        <v>-408.36160000000001</v>
      </c>
      <c r="K422">
        <v>1.070112</v>
      </c>
      <c r="L422">
        <v>367.6096</v>
      </c>
      <c r="M422">
        <v>0.99988100000000002</v>
      </c>
      <c r="N422">
        <v>-5.8887990000000001E-3</v>
      </c>
      <c r="O422">
        <v>-1.426318E-2</v>
      </c>
      <c r="P422">
        <v>0.99527160000000003</v>
      </c>
      <c r="Q422">
        <v>-9.3670929999999999E-2</v>
      </c>
      <c r="R422">
        <v>-2.569755E-2</v>
      </c>
      <c r="S422">
        <v>2.9241030000000001</v>
      </c>
      <c r="T422">
        <v>-0.89355899999999999</v>
      </c>
      <c r="U422">
        <v>-0.2330933</v>
      </c>
      <c r="V422">
        <v>1.1522569999999999E-2</v>
      </c>
      <c r="W422">
        <v>-8.7803679999999995E-2</v>
      </c>
      <c r="X422">
        <v>0.99607120000000005</v>
      </c>
      <c r="Y422">
        <v>6.2945509999999996E-2</v>
      </c>
      <c r="Z422">
        <v>-5.4065769999999897E-3</v>
      </c>
      <c r="AA422">
        <v>0.99800239999999996</v>
      </c>
      <c r="AB422">
        <v>26</v>
      </c>
      <c r="AC422">
        <v>0.49880000000001701</v>
      </c>
      <c r="AD422">
        <v>-0.23417250000000001</v>
      </c>
      <c r="AE422">
        <v>-5.7500000000004499E-2</v>
      </c>
      <c r="AF422">
        <v>4.1379060228657803E-2</v>
      </c>
      <c r="AG422">
        <v>-0.23417250000000001</v>
      </c>
      <c r="AH422">
        <v>0.410319485601367</v>
      </c>
      <c r="AI422">
        <v>119.589108388028</v>
      </c>
      <c r="AJ422">
        <v>84.241421160283494</v>
      </c>
      <c r="AK422">
        <v>0.47424789577374798</v>
      </c>
      <c r="AL422">
        <v>95.037266710264106</v>
      </c>
      <c r="AM422">
        <v>89.337230929239297</v>
      </c>
      <c r="AN422">
        <v>1.0000000456551901</v>
      </c>
    </row>
    <row r="423" spans="1:40" x14ac:dyDescent="0.25">
      <c r="A423" t="str">
        <f>"20190303154423537"</f>
        <v>20190303154423537</v>
      </c>
      <c r="B423" t="str">
        <f>"1551599063530480"</f>
        <v>1551599063530480</v>
      </c>
      <c r="C423" t="s">
        <v>40</v>
      </c>
      <c r="D423">
        <v>5.0305580000000001</v>
      </c>
      <c r="E423">
        <v>0.51749899999999904</v>
      </c>
      <c r="F423" t="s">
        <v>42</v>
      </c>
      <c r="G423">
        <v>-407.62700000000001</v>
      </c>
      <c r="H423">
        <v>0.84486930000000005</v>
      </c>
      <c r="I423">
        <v>367.55160000000001</v>
      </c>
      <c r="J423">
        <v>-408.09649999999999</v>
      </c>
      <c r="K423">
        <v>1.0701609999999999</v>
      </c>
      <c r="L423">
        <v>367.60599999999999</v>
      </c>
      <c r="M423">
        <v>0.99988189999999999</v>
      </c>
      <c r="N423">
        <v>-6.1744259999999898E-3</v>
      </c>
      <c r="O423">
        <v>-1.4080280000000001E-2</v>
      </c>
      <c r="P423">
        <v>0.99524489999999999</v>
      </c>
      <c r="Q423">
        <v>-9.4245499999999996E-2</v>
      </c>
      <c r="R423">
        <v>-2.4613340000000001E-2</v>
      </c>
      <c r="S423">
        <v>2.9239809999999999</v>
      </c>
      <c r="T423">
        <v>-0.89641680000000001</v>
      </c>
      <c r="U423">
        <v>-0.2299194</v>
      </c>
      <c r="V423">
        <v>1.0620940000000001E-2</v>
      </c>
      <c r="W423">
        <v>-8.8094210000000006E-2</v>
      </c>
      <c r="X423">
        <v>0.99605549999999998</v>
      </c>
      <c r="Y423">
        <v>6.2069039999999999E-2</v>
      </c>
      <c r="Z423">
        <v>-5.3555819999999898E-3</v>
      </c>
      <c r="AA423">
        <v>0.99805750000000004</v>
      </c>
      <c r="AB423">
        <v>26</v>
      </c>
      <c r="AC423">
        <v>0.469500000000039</v>
      </c>
      <c r="AD423">
        <v>-0.22529170000000001</v>
      </c>
      <c r="AE423">
        <v>-5.4399999999986903E-2</v>
      </c>
      <c r="AF423">
        <v>3.8936930702989501E-2</v>
      </c>
      <c r="AG423">
        <v>-0.22529170000000001</v>
      </c>
      <c r="AH423">
        <v>0.383161352157455</v>
      </c>
      <c r="AI423">
        <v>120.32629562010401</v>
      </c>
      <c r="AJ423">
        <v>84.197510551372702</v>
      </c>
      <c r="AK423">
        <v>0.44618948491485999</v>
      </c>
      <c r="AL423">
        <v>95.053977957082907</v>
      </c>
      <c r="AM423">
        <v>89.389078244491799</v>
      </c>
      <c r="AN423">
        <v>0.99999997664112805</v>
      </c>
    </row>
    <row r="424" spans="1:40" x14ac:dyDescent="0.25">
      <c r="A424" t="str">
        <f>"20190303154423557"</f>
        <v>20190303154423557</v>
      </c>
      <c r="B424" t="str">
        <f>"1551599063550977"</f>
        <v>1551599063550977</v>
      </c>
      <c r="C424" t="s">
        <v>40</v>
      </c>
      <c r="D424">
        <v>4.9900260000000003</v>
      </c>
      <c r="E424">
        <v>0.51720949999999999</v>
      </c>
      <c r="F424" t="s">
        <v>42</v>
      </c>
      <c r="G424">
        <v>-407.39100000000002</v>
      </c>
      <c r="H424">
        <v>0.85289989999999904</v>
      </c>
      <c r="I424">
        <v>367.55270000000002</v>
      </c>
      <c r="J424">
        <v>-407.85980000000001</v>
      </c>
      <c r="K424">
        <v>1.0702229999999999</v>
      </c>
      <c r="L424">
        <v>367.6028</v>
      </c>
      <c r="M424">
        <v>0.99988220000000005</v>
      </c>
      <c r="N424">
        <v>-6.4860119999999898E-3</v>
      </c>
      <c r="O424">
        <v>-1.391741E-2</v>
      </c>
      <c r="P424">
        <v>0.99520710000000001</v>
      </c>
      <c r="Q424">
        <v>-9.4827380000000003E-2</v>
      </c>
      <c r="R424">
        <v>-2.3889959999999998E-2</v>
      </c>
      <c r="S424">
        <v>2.923584</v>
      </c>
      <c r="T424">
        <v>-0.90034040000000004</v>
      </c>
      <c r="U424">
        <v>-0.22149659999999999</v>
      </c>
      <c r="V424">
        <v>1.006074E-2</v>
      </c>
      <c r="W424">
        <v>-8.8366210000000001E-2</v>
      </c>
      <c r="X424">
        <v>0.99603719999999996</v>
      </c>
      <c r="Y424">
        <v>5.947384E-2</v>
      </c>
      <c r="Z424">
        <v>-5.041439E-3</v>
      </c>
      <c r="AA424">
        <v>0.99821709999999997</v>
      </c>
      <c r="AB424">
        <v>26</v>
      </c>
      <c r="AC424">
        <v>0.46880000000004401</v>
      </c>
      <c r="AD424">
        <v>-0.21732309999999999</v>
      </c>
      <c r="AE424">
        <v>-5.0099999999986197E-2</v>
      </c>
      <c r="AF424">
        <v>3.5935244043269698E-2</v>
      </c>
      <c r="AG424">
        <v>-0.21732309999999999</v>
      </c>
      <c r="AH424">
        <v>0.38718528127143698</v>
      </c>
      <c r="AI424">
        <v>119.200288289528</v>
      </c>
      <c r="AJ424">
        <v>84.697483586176403</v>
      </c>
      <c r="AK424">
        <v>0.44545831857908003</v>
      </c>
      <c r="AL424">
        <v>95.069623536793699</v>
      </c>
      <c r="AM424">
        <v>89.421288343257999</v>
      </c>
      <c r="AN424">
        <v>0.99999995467147396</v>
      </c>
    </row>
    <row r="425" spans="1:40" x14ac:dyDescent="0.25">
      <c r="A425" t="str">
        <f>"20190303154423579"</f>
        <v>20190303154423579</v>
      </c>
      <c r="B425" t="str">
        <f>"1551599063570498"</f>
        <v>1551599063570498</v>
      </c>
      <c r="C425" t="s">
        <v>40</v>
      </c>
      <c r="D425">
        <v>4.9367039999999998</v>
      </c>
      <c r="E425">
        <v>0.51694969999999996</v>
      </c>
      <c r="F425" t="s">
        <v>42</v>
      </c>
      <c r="G425">
        <v>-407.15809999999999</v>
      </c>
      <c r="H425">
        <v>0.85352159999999999</v>
      </c>
      <c r="I425">
        <v>367.55040000000002</v>
      </c>
      <c r="J425">
        <v>-407.61619999999999</v>
      </c>
      <c r="K425">
        <v>1.0702929999999999</v>
      </c>
      <c r="L425">
        <v>367.59960000000001</v>
      </c>
      <c r="M425">
        <v>0.99988220000000005</v>
      </c>
      <c r="N425">
        <v>-6.84798E-3</v>
      </c>
      <c r="O425">
        <v>-1.3750460000000001E-2</v>
      </c>
      <c r="P425">
        <v>0.99520149999999996</v>
      </c>
      <c r="Q425">
        <v>-9.4806399999999999E-2</v>
      </c>
      <c r="R425">
        <v>-2.4209140000000001E-2</v>
      </c>
      <c r="S425">
        <v>2.9232480000000001</v>
      </c>
      <c r="T425">
        <v>-0.90276270000000003</v>
      </c>
      <c r="U425">
        <v>-0.21710209999999999</v>
      </c>
      <c r="V425">
        <v>1.0546349999999999E-2</v>
      </c>
      <c r="W425">
        <v>-8.7984519999999997E-2</v>
      </c>
      <c r="X425">
        <v>0.99606600000000001</v>
      </c>
      <c r="Y425">
        <v>5.8193179999999997E-2</v>
      </c>
      <c r="Z425">
        <v>-4.9220890000000002E-3</v>
      </c>
      <c r="AA425">
        <v>0.99829319999999999</v>
      </c>
      <c r="AB425">
        <v>26</v>
      </c>
      <c r="AC425">
        <v>0.45810000000000101</v>
      </c>
      <c r="AD425">
        <v>-0.216771399999999</v>
      </c>
      <c r="AE425">
        <v>-4.9199999999984798E-2</v>
      </c>
      <c r="AF425">
        <v>3.5121548943535599E-2</v>
      </c>
      <c r="AG425">
        <v>-0.216771399999999</v>
      </c>
      <c r="AH425">
        <v>0.37559161383184603</v>
      </c>
      <c r="AI425">
        <v>119.883383064575</v>
      </c>
      <c r="AJ425">
        <v>84.6578099006082</v>
      </c>
      <c r="AK425">
        <v>0.43507749130351903</v>
      </c>
      <c r="AL425">
        <v>95.047668622377103</v>
      </c>
      <c r="AM425">
        <v>89.393374770965295</v>
      </c>
      <c r="AN425">
        <v>0.99999998880697605</v>
      </c>
    </row>
    <row r="426" spans="1:40" x14ac:dyDescent="0.25">
      <c r="A426" t="str">
        <f>"20190303154423602"</f>
        <v>20190303154423602</v>
      </c>
      <c r="B426" t="str">
        <f>"1551599063590996"</f>
        <v>1551599063590996</v>
      </c>
      <c r="C426" t="s">
        <v>40</v>
      </c>
      <c r="D426">
        <v>4.8773540000000004</v>
      </c>
      <c r="E426">
        <v>0.5166596</v>
      </c>
      <c r="F426" t="s">
        <v>42</v>
      </c>
      <c r="G426">
        <v>-406.92410000000001</v>
      </c>
      <c r="H426">
        <v>0.85621990000000003</v>
      </c>
      <c r="I426">
        <v>367.54820000000001</v>
      </c>
      <c r="J426">
        <v>-407.34629999999999</v>
      </c>
      <c r="K426">
        <v>1.0703689999999999</v>
      </c>
      <c r="L426">
        <v>367.59609999999998</v>
      </c>
      <c r="M426">
        <v>0.99988160000000004</v>
      </c>
      <c r="N426">
        <v>-7.2814609999999899E-3</v>
      </c>
      <c r="O426">
        <v>-1.35657E-2</v>
      </c>
      <c r="P426">
        <v>0.99518629999999997</v>
      </c>
      <c r="Q426">
        <v>-9.4877680000000006E-2</v>
      </c>
      <c r="R426">
        <v>-2.4552520000000001E-2</v>
      </c>
      <c r="S426">
        <v>2.9230960000000001</v>
      </c>
      <c r="T426">
        <v>-0.90413279999999996</v>
      </c>
      <c r="U426">
        <v>-0.2158813</v>
      </c>
      <c r="V426">
        <v>1.107414E-2</v>
      </c>
      <c r="W426">
        <v>-8.7623859999999998E-2</v>
      </c>
      <c r="X426">
        <v>0.99609210000000004</v>
      </c>
      <c r="Y426">
        <v>5.7957559999999998E-2</v>
      </c>
      <c r="Z426">
        <v>-4.9658530000000001E-3</v>
      </c>
      <c r="AA426">
        <v>0.99830669999999999</v>
      </c>
      <c r="AB426">
        <v>26</v>
      </c>
      <c r="AC426">
        <v>0.42219999999997498</v>
      </c>
      <c r="AD426">
        <v>-0.21414910000000001</v>
      </c>
      <c r="AE426">
        <v>-4.7899999999970001E-2</v>
      </c>
      <c r="AF426">
        <v>3.3626672123588698E-2</v>
      </c>
      <c r="AG426">
        <v>-0.21414910000000001</v>
      </c>
      <c r="AH426">
        <v>0.33716858184986398</v>
      </c>
      <c r="AI426">
        <v>122.293057825387</v>
      </c>
      <c r="AJ426">
        <v>84.304581036918705</v>
      </c>
      <c r="AK426">
        <v>0.40084066996197598</v>
      </c>
      <c r="AL426">
        <v>95.026924026002106</v>
      </c>
      <c r="AM426">
        <v>89.3630354622223</v>
      </c>
      <c r="AN426">
        <v>1.0000000245502201</v>
      </c>
    </row>
    <row r="427" spans="1:40" x14ac:dyDescent="0.25">
      <c r="A427" t="str">
        <f>"20190303154423623"</f>
        <v>20190303154423623</v>
      </c>
      <c r="B427" t="str">
        <f>"1551599063620272"</f>
        <v>1551599063620272</v>
      </c>
      <c r="C427" t="s">
        <v>40</v>
      </c>
      <c r="D427">
        <v>4.8293350000000004</v>
      </c>
      <c r="E427">
        <v>0.51640370000000002</v>
      </c>
      <c r="F427" t="s">
        <v>42</v>
      </c>
      <c r="G427">
        <v>-406.48079999999999</v>
      </c>
      <c r="H427">
        <v>0.80235429999999996</v>
      </c>
      <c r="I427">
        <v>367.53269999999998</v>
      </c>
      <c r="J427">
        <v>-407.09530000000001</v>
      </c>
      <c r="K427">
        <v>1.0704370000000001</v>
      </c>
      <c r="L427">
        <v>367.59289999999999</v>
      </c>
      <c r="M427">
        <v>0.99988060000000001</v>
      </c>
      <c r="N427">
        <v>-7.7103689999999999E-3</v>
      </c>
      <c r="O427">
        <v>-1.3393159999999999E-2</v>
      </c>
      <c r="P427">
        <v>0.99520949999999997</v>
      </c>
      <c r="Q427">
        <v>-9.4522919999999996E-2</v>
      </c>
      <c r="R427">
        <v>-2.4977849999999999E-2</v>
      </c>
      <c r="S427">
        <v>2.922882</v>
      </c>
      <c r="T427">
        <v>-0.90523399999999998</v>
      </c>
      <c r="U427">
        <v>-0.21423339999999999</v>
      </c>
      <c r="V427">
        <v>1.167089E-2</v>
      </c>
      <c r="W427">
        <v>-8.6841459999999995E-2</v>
      </c>
      <c r="X427">
        <v>0.99615379999999998</v>
      </c>
      <c r="Y427">
        <v>5.757483E-2</v>
      </c>
      <c r="Z427">
        <v>-4.9815939999999998E-3</v>
      </c>
      <c r="AA427">
        <v>0.99832869999999996</v>
      </c>
      <c r="AB427">
        <v>26</v>
      </c>
      <c r="AC427">
        <v>0.61450000000002003</v>
      </c>
      <c r="AD427">
        <v>-0.26808270000000001</v>
      </c>
      <c r="AE427">
        <v>-6.0200000000008899E-2</v>
      </c>
      <c r="AF427">
        <v>4.3722009748683198E-2</v>
      </c>
      <c r="AG427">
        <v>-0.26808270000000001</v>
      </c>
      <c r="AH427">
        <v>0.51766383958322404</v>
      </c>
      <c r="AI427">
        <v>117.295224872636</v>
      </c>
      <c r="AJ427">
        <v>85.172242871028303</v>
      </c>
      <c r="AK427">
        <v>0.58459883594461604</v>
      </c>
      <c r="AL427">
        <v>94.981924284893793</v>
      </c>
      <c r="AM427">
        <v>89.328756114796093</v>
      </c>
      <c r="AN427">
        <v>1.00000002105138</v>
      </c>
    </row>
    <row r="428" spans="1:40" x14ac:dyDescent="0.25">
      <c r="A428" t="str">
        <f>"20190303154423646"</f>
        <v>20190303154423646</v>
      </c>
      <c r="B428" t="str">
        <f>"1551599063640768"</f>
        <v>1551599063640768</v>
      </c>
      <c r="C428" t="s">
        <v>40</v>
      </c>
      <c r="D428">
        <v>4.7657800000000003</v>
      </c>
      <c r="E428">
        <v>0.51623450000000004</v>
      </c>
      <c r="F428" t="s">
        <v>42</v>
      </c>
      <c r="G428">
        <v>-406.24579999999997</v>
      </c>
      <c r="H428">
        <v>0.80770159999999902</v>
      </c>
      <c r="I428">
        <v>367.53050000000002</v>
      </c>
      <c r="J428">
        <v>-406.82740000000001</v>
      </c>
      <c r="K428">
        <v>1.070503</v>
      </c>
      <c r="L428">
        <v>367.58960000000002</v>
      </c>
      <c r="M428">
        <v>0.99987939999999997</v>
      </c>
      <c r="N428">
        <v>-8.1766100000000008E-3</v>
      </c>
      <c r="O428">
        <v>-1.320785E-2</v>
      </c>
      <c r="P428">
        <v>0.99518680000000004</v>
      </c>
      <c r="Q428">
        <v>-9.4510510000000006E-2</v>
      </c>
      <c r="R428">
        <v>-2.591125E-2</v>
      </c>
      <c r="S428">
        <v>2.9232480000000001</v>
      </c>
      <c r="T428">
        <v>-0.90415939999999995</v>
      </c>
      <c r="U428">
        <v>-0.2136536</v>
      </c>
      <c r="V428">
        <v>1.278952E-2</v>
      </c>
      <c r="W428">
        <v>-8.6364250000000004E-2</v>
      </c>
      <c r="X428">
        <v>0.99618150000000005</v>
      </c>
      <c r="Y428">
        <v>5.7546199999999999E-2</v>
      </c>
      <c r="Z428">
        <v>-5.0456449999999996E-3</v>
      </c>
      <c r="AA428">
        <v>0.9983301</v>
      </c>
      <c r="AB428">
        <v>26</v>
      </c>
      <c r="AC428">
        <v>0.58160000000003698</v>
      </c>
      <c r="AD428">
        <v>-0.26280140000000002</v>
      </c>
      <c r="AE428">
        <v>-5.9100000000000798E-2</v>
      </c>
      <c r="AF428">
        <v>4.2769590811628497E-2</v>
      </c>
      <c r="AG428">
        <v>-0.26280140000000002</v>
      </c>
      <c r="AH428">
        <v>0.48443112937791</v>
      </c>
      <c r="AI428">
        <v>118.38646907531199</v>
      </c>
      <c r="AJ428">
        <v>84.954536574977396</v>
      </c>
      <c r="AK428">
        <v>0.55278145125403</v>
      </c>
      <c r="AL428">
        <v>94.954479314591296</v>
      </c>
      <c r="AM428">
        <v>89.264446026414504</v>
      </c>
      <c r="AN428">
        <v>0.99999996822107096</v>
      </c>
    </row>
    <row r="429" spans="1:40" x14ac:dyDescent="0.25">
      <c r="A429" t="str">
        <f>"20190303154423669"</f>
        <v>20190303154423669</v>
      </c>
      <c r="B429" t="str">
        <f>"1551599063660289"</f>
        <v>1551599063660289</v>
      </c>
      <c r="C429" t="s">
        <v>40</v>
      </c>
      <c r="D429">
        <v>4.5216560000000001</v>
      </c>
      <c r="E429">
        <v>0.51614479999999996</v>
      </c>
      <c r="F429" t="s">
        <v>42</v>
      </c>
      <c r="G429">
        <v>-406.0093</v>
      </c>
      <c r="H429">
        <v>0.81729830000000003</v>
      </c>
      <c r="I429">
        <v>367.52940000000001</v>
      </c>
      <c r="J429">
        <v>-406.5711</v>
      </c>
      <c r="K429">
        <v>1.0705739999999999</v>
      </c>
      <c r="L429">
        <v>367.58640000000003</v>
      </c>
      <c r="M429">
        <v>0.99987780000000004</v>
      </c>
      <c r="N429">
        <v>-8.6368030000000002E-3</v>
      </c>
      <c r="O429">
        <v>-1.3037770000000001E-2</v>
      </c>
      <c r="P429">
        <v>0.99512239999999996</v>
      </c>
      <c r="Q429">
        <v>-9.5056559999999998E-2</v>
      </c>
      <c r="R429">
        <v>-2.638093E-2</v>
      </c>
      <c r="S429">
        <v>2.9230040000000002</v>
      </c>
      <c r="T429">
        <v>-0.90466559999999996</v>
      </c>
      <c r="U429">
        <v>-0.2151489</v>
      </c>
      <c r="V429">
        <v>1.343015E-2</v>
      </c>
      <c r="W429">
        <v>-8.6452089999999995E-2</v>
      </c>
      <c r="X429">
        <v>0.99616550000000004</v>
      </c>
      <c r="Y429">
        <v>5.8183470000000001E-2</v>
      </c>
      <c r="Z429">
        <v>-5.2169640000000001E-3</v>
      </c>
      <c r="AA429">
        <v>0.99829230000000002</v>
      </c>
      <c r="AB429">
        <v>26</v>
      </c>
      <c r="AC429">
        <v>0.56180000000000496</v>
      </c>
      <c r="AD429">
        <v>-0.25327569999999899</v>
      </c>
      <c r="AE429">
        <v>-5.7000000000016302E-2</v>
      </c>
      <c r="AF429">
        <v>4.1351367820786002E-2</v>
      </c>
      <c r="AG429">
        <v>-0.25327569999999899</v>
      </c>
      <c r="AH429">
        <v>0.46828733680934098</v>
      </c>
      <c r="AI429">
        <v>118.31396303816599</v>
      </c>
      <c r="AJ429">
        <v>84.953676458124704</v>
      </c>
      <c r="AK429">
        <v>0.53399582924132005</v>
      </c>
      <c r="AL429">
        <v>94.959530822547407</v>
      </c>
      <c r="AM429">
        <v>89.227593911476703</v>
      </c>
      <c r="AN429">
        <v>1.0000000180923201</v>
      </c>
    </row>
    <row r="430" spans="1:40" x14ac:dyDescent="0.25">
      <c r="A430" t="str">
        <f>"20190303154423689"</f>
        <v>20190303154423689</v>
      </c>
      <c r="B430" t="str">
        <f>"1551599063680785"</f>
        <v>1551599063680785</v>
      </c>
      <c r="C430" t="s">
        <v>40</v>
      </c>
      <c r="D430">
        <v>4.5079209999999996</v>
      </c>
      <c r="E430">
        <v>0.51688009999999995</v>
      </c>
      <c r="F430" t="s">
        <v>42</v>
      </c>
      <c r="G430">
        <v>-405.77420000000001</v>
      </c>
      <c r="H430">
        <v>0.82346030000000003</v>
      </c>
      <c r="I430">
        <v>367.52730000000003</v>
      </c>
      <c r="J430">
        <v>-406.33170000000001</v>
      </c>
      <c r="K430">
        <v>1.070632</v>
      </c>
      <c r="L430">
        <v>367.58339999999998</v>
      </c>
      <c r="M430">
        <v>0.99987579999999998</v>
      </c>
      <c r="N430">
        <v>-9.0968530000000002E-3</v>
      </c>
      <c r="O430">
        <v>-1.288273E-2</v>
      </c>
      <c r="P430">
        <v>0.99510180000000004</v>
      </c>
      <c r="Q430">
        <v>-9.5248529999999998E-2</v>
      </c>
      <c r="R430">
        <v>-2.6465539999999999E-2</v>
      </c>
      <c r="S430">
        <v>2.9224549999999998</v>
      </c>
      <c r="T430">
        <v>-0.90619159999999999</v>
      </c>
      <c r="U430">
        <v>-0.21566769999999999</v>
      </c>
      <c r="V430">
        <v>1.366885E-2</v>
      </c>
      <c r="W430">
        <v>-8.6185880000000006E-2</v>
      </c>
      <c r="X430">
        <v>0.99618530000000005</v>
      </c>
      <c r="Y430">
        <v>5.8492559999999999E-2</v>
      </c>
      <c r="Z430">
        <v>-5.338944E-3</v>
      </c>
      <c r="AA430">
        <v>0.99827359999999998</v>
      </c>
      <c r="AB430">
        <v>26</v>
      </c>
      <c r="AC430">
        <v>0.55750000000000399</v>
      </c>
      <c r="AD430">
        <v>-0.24717169999999899</v>
      </c>
      <c r="AE430">
        <v>-5.6099999999958003E-2</v>
      </c>
      <c r="AF430">
        <v>4.0945187504950201E-2</v>
      </c>
      <c r="AG430">
        <v>-0.24717169999999899</v>
      </c>
      <c r="AH430">
        <v>0.467251553727285</v>
      </c>
      <c r="AI430">
        <v>117.787939484915</v>
      </c>
      <c r="AJ430">
        <v>84.991971677971094</v>
      </c>
      <c r="AK430">
        <v>0.53018333821543995</v>
      </c>
      <c r="AL430">
        <v>94.944221071372297</v>
      </c>
      <c r="AM430">
        <v>89.213882927121205</v>
      </c>
      <c r="AN430">
        <v>0.99999999765389302</v>
      </c>
    </row>
    <row r="431" spans="1:40" x14ac:dyDescent="0.25">
      <c r="A431" t="str">
        <f>"20190303154423736"</f>
        <v>20190303154423736</v>
      </c>
      <c r="B431" t="str">
        <f>"1551599063730560"</f>
        <v>1551599063730560</v>
      </c>
      <c r="C431" t="s">
        <v>40</v>
      </c>
      <c r="D431">
        <v>4.4731899999999998</v>
      </c>
      <c r="E431">
        <v>0.51137449999999995</v>
      </c>
      <c r="F431" t="s">
        <v>42</v>
      </c>
      <c r="G431">
        <v>-405.49590000000001</v>
      </c>
      <c r="H431">
        <v>0.92448889999999995</v>
      </c>
      <c r="I431">
        <v>367.52190000000002</v>
      </c>
      <c r="J431">
        <v>-405.79309999999998</v>
      </c>
      <c r="K431">
        <v>1.0707770000000001</v>
      </c>
      <c r="L431">
        <v>367.577</v>
      </c>
      <c r="M431">
        <v>0.99986929999999996</v>
      </c>
      <c r="N431">
        <v>-1.0244909999999999E-2</v>
      </c>
      <c r="O431">
        <v>-1.2508439999999999E-2</v>
      </c>
      <c r="P431">
        <v>0.99492179999999997</v>
      </c>
      <c r="Q431">
        <v>-9.7436120000000001E-2</v>
      </c>
      <c r="R431">
        <v>-2.5241130000000001E-2</v>
      </c>
      <c r="S431">
        <v>2.9595030000000002</v>
      </c>
      <c r="T431">
        <v>-0.51762600000000003</v>
      </c>
      <c r="U431">
        <v>-0.21694949999999999</v>
      </c>
      <c r="V431">
        <v>1.281614E-2</v>
      </c>
      <c r="W431">
        <v>-8.7232379999999998E-2</v>
      </c>
      <c r="X431">
        <v>0.99610560000000004</v>
      </c>
      <c r="Y431">
        <v>5.9838559999999999E-2</v>
      </c>
      <c r="Z431">
        <v>-3.4550639999999999E-3</v>
      </c>
      <c r="AA431">
        <v>0.99820209999999998</v>
      </c>
      <c r="AB431">
        <v>26</v>
      </c>
      <c r="AC431">
        <v>0.29719999999997498</v>
      </c>
      <c r="AD431">
        <v>-0.1462881</v>
      </c>
      <c r="AE431">
        <v>-5.5099999999981698E-2</v>
      </c>
      <c r="AF431">
        <v>4.1627541900987899E-2</v>
      </c>
      <c r="AG431">
        <v>-0.1462881</v>
      </c>
      <c r="AH431">
        <v>0.241337397496621</v>
      </c>
      <c r="AI431">
        <v>120.851358535418</v>
      </c>
      <c r="AJ431">
        <v>80.213524680324895</v>
      </c>
      <c r="AK431">
        <v>0.28526619126137298</v>
      </c>
      <c r="AL431">
        <v>95.004407508105601</v>
      </c>
      <c r="AM431">
        <v>89.262859061996295</v>
      </c>
      <c r="AN431">
        <v>1.0000000539581599</v>
      </c>
    </row>
    <row r="432" spans="1:40" x14ac:dyDescent="0.25">
      <c r="A432" t="str">
        <f>"20190303154423757"</f>
        <v>20190303154423757</v>
      </c>
      <c r="B432" t="str">
        <f>"1551599063751056"</f>
        <v>1551599063751056</v>
      </c>
      <c r="C432" t="s">
        <v>40</v>
      </c>
      <c r="D432">
        <v>4.438104</v>
      </c>
      <c r="E432">
        <v>0.51054379999999999</v>
      </c>
      <c r="F432" t="s">
        <v>42</v>
      </c>
      <c r="G432">
        <v>-404.99450000000002</v>
      </c>
      <c r="H432">
        <v>0.99800259999999996</v>
      </c>
      <c r="I432">
        <v>367.53230000000002</v>
      </c>
      <c r="J432">
        <v>-405.53820000000002</v>
      </c>
      <c r="K432">
        <v>1.070837</v>
      </c>
      <c r="L432">
        <v>367.57400000000001</v>
      </c>
      <c r="M432">
        <v>0.99986580000000003</v>
      </c>
      <c r="N432">
        <v>-1.0783930000000001E-2</v>
      </c>
      <c r="O432">
        <v>-1.232801E-2</v>
      </c>
      <c r="P432">
        <v>0.99476500000000001</v>
      </c>
      <c r="Q432">
        <v>-9.9145689999999995E-2</v>
      </c>
      <c r="R432">
        <v>-2.475171E-2</v>
      </c>
      <c r="S432">
        <v>2.984467</v>
      </c>
      <c r="T432">
        <v>-0.27213900000000002</v>
      </c>
      <c r="U432">
        <v>-0.1661987</v>
      </c>
      <c r="V432">
        <v>1.250747E-2</v>
      </c>
      <c r="W432">
        <v>-8.8406879999999993E-2</v>
      </c>
      <c r="X432">
        <v>0.9960059</v>
      </c>
      <c r="Y432">
        <v>4.3127939999999997E-2</v>
      </c>
      <c r="Z432">
        <v>-1.2057960000000001E-3</v>
      </c>
      <c r="AA432">
        <v>0.99906890000000004</v>
      </c>
      <c r="AB432">
        <v>26</v>
      </c>
      <c r="AC432">
        <v>0.54370000000000096</v>
      </c>
      <c r="AD432">
        <v>-7.2834399999999994E-2</v>
      </c>
      <c r="AE432">
        <v>-4.1699999999991598E-2</v>
      </c>
      <c r="AF432">
        <v>3.4380338831597003E-2</v>
      </c>
      <c r="AG432">
        <v>-7.2834399999999994E-2</v>
      </c>
      <c r="AH432">
        <v>0.53463463222388996</v>
      </c>
      <c r="AI432">
        <v>97.7419705228927</v>
      </c>
      <c r="AJ432">
        <v>86.320590524797694</v>
      </c>
      <c r="AK432">
        <v>0.54066722435774595</v>
      </c>
      <c r="AL432">
        <v>95.0719627677407</v>
      </c>
      <c r="AM432">
        <v>89.280538822322598</v>
      </c>
      <c r="AN432">
        <v>0.99999998303597204</v>
      </c>
    </row>
    <row r="433" spans="1:40" x14ac:dyDescent="0.25">
      <c r="A433" t="str">
        <f>"20190303154423779"</f>
        <v>20190303154423779</v>
      </c>
      <c r="B433" t="str">
        <f>"1551599063770576"</f>
        <v>1551599063770576</v>
      </c>
      <c r="C433" t="s">
        <v>40</v>
      </c>
      <c r="D433">
        <v>4.4266550000000002</v>
      </c>
      <c r="E433">
        <v>0.50983109999999998</v>
      </c>
      <c r="F433" t="s">
        <v>41</v>
      </c>
      <c r="G433">
        <v>-392.38290000000001</v>
      </c>
      <c r="H433" s="1">
        <v>-3.735652E-6</v>
      </c>
      <c r="I433">
        <v>366.87860000000001</v>
      </c>
      <c r="J433">
        <v>-405.29079999999999</v>
      </c>
      <c r="K433">
        <v>1.0708819999999999</v>
      </c>
      <c r="L433">
        <v>367.5711</v>
      </c>
      <c r="M433">
        <v>0.99986260000000005</v>
      </c>
      <c r="N433">
        <v>-1.127073E-2</v>
      </c>
      <c r="O433">
        <v>-1.215858E-2</v>
      </c>
      <c r="P433">
        <v>0.99463179999999995</v>
      </c>
      <c r="Q433">
        <v>-0.1005183</v>
      </c>
      <c r="R433">
        <v>-2.4570419999999999E-2</v>
      </c>
      <c r="S433">
        <v>2.9875790000000002</v>
      </c>
      <c r="T433">
        <v>-0.2431865</v>
      </c>
      <c r="U433">
        <v>-0.15789790000000001</v>
      </c>
      <c r="V433">
        <v>1.2496699999999999E-2</v>
      </c>
      <c r="W433">
        <v>-8.9296070000000005E-2</v>
      </c>
      <c r="X433">
        <v>0.99592670000000005</v>
      </c>
      <c r="Y433">
        <v>4.050906E-2</v>
      </c>
      <c r="Z433">
        <v>-1.0231979999999999E-3</v>
      </c>
      <c r="AA433">
        <v>0.99917860000000003</v>
      </c>
      <c r="AB433">
        <v>26</v>
      </c>
      <c r="AC433">
        <v>12.9078999999999</v>
      </c>
      <c r="AD433">
        <v>-1.0708857356519901</v>
      </c>
      <c r="AE433">
        <v>-0.69249999999999501</v>
      </c>
      <c r="AF433">
        <v>0.53184693379784098</v>
      </c>
      <c r="AG433">
        <v>-1.0708857356519901</v>
      </c>
      <c r="AH433">
        <v>12.8273295285946</v>
      </c>
      <c r="AI433">
        <v>94.768176535303098</v>
      </c>
      <c r="AJ433">
        <v>87.625761404116403</v>
      </c>
      <c r="AK433">
        <v>12.8829360106681</v>
      </c>
      <c r="AL433">
        <v>95.123111953140807</v>
      </c>
      <c r="AM433">
        <v>89.281101115697098</v>
      </c>
      <c r="AN433">
        <v>0.999999973700612</v>
      </c>
    </row>
    <row r="434" spans="1:40" x14ac:dyDescent="0.25">
      <c r="A434" t="str">
        <f>"20190303154423800"</f>
        <v>20190303154423800</v>
      </c>
      <c r="B434" t="str">
        <f>"1551599063790097"</f>
        <v>1551599063790097</v>
      </c>
      <c r="C434" t="s">
        <v>40</v>
      </c>
      <c r="D434">
        <v>4.4022030000000001</v>
      </c>
      <c r="E434">
        <v>0.50927909999999998</v>
      </c>
      <c r="F434" t="s">
        <v>41</v>
      </c>
      <c r="G434">
        <v>-390.97030000000001</v>
      </c>
      <c r="H434" s="1">
        <v>-4.3475140000000003E-6</v>
      </c>
      <c r="I434">
        <v>366.84539999999998</v>
      </c>
      <c r="J434">
        <v>-405.03629999999998</v>
      </c>
      <c r="K434">
        <v>1.0709200000000001</v>
      </c>
      <c r="L434">
        <v>367.56819999999999</v>
      </c>
      <c r="M434">
        <v>0.99985939999999995</v>
      </c>
      <c r="N434">
        <v>-1.172695E-2</v>
      </c>
      <c r="O434">
        <v>-1.198978E-2</v>
      </c>
      <c r="P434">
        <v>0.99457779999999996</v>
      </c>
      <c r="Q434">
        <v>-0.10111530000000001</v>
      </c>
      <c r="R434">
        <v>-2.430558E-2</v>
      </c>
      <c r="S434">
        <v>2.9898380000000002</v>
      </c>
      <c r="T434">
        <v>-0.22357929999999901</v>
      </c>
      <c r="U434">
        <v>-0.15148929999999999</v>
      </c>
      <c r="V434">
        <v>1.240085E-2</v>
      </c>
      <c r="W434">
        <v>-8.9439299999999999E-2</v>
      </c>
      <c r="X434">
        <v>0.99591510000000005</v>
      </c>
      <c r="Y434">
        <v>3.8523799999999997E-2</v>
      </c>
      <c r="Z434">
        <v>-9.0955219999999995E-4</v>
      </c>
      <c r="AA434">
        <v>0.99925730000000001</v>
      </c>
      <c r="AB434">
        <v>26</v>
      </c>
      <c r="AC434">
        <v>14.065999999999899</v>
      </c>
      <c r="AD434">
        <v>-1.070924347514</v>
      </c>
      <c r="AE434">
        <v>-0.72280000000000599</v>
      </c>
      <c r="AF434">
        <v>0.55090322526588098</v>
      </c>
      <c r="AG434">
        <v>-1.070924347514</v>
      </c>
      <c r="AH434">
        <v>13.9927582318858</v>
      </c>
      <c r="AI434">
        <v>94.3731790636852</v>
      </c>
      <c r="AJ434">
        <v>87.745395467685896</v>
      </c>
      <c r="AK434">
        <v>14.044488465505401</v>
      </c>
      <c r="AL434">
        <v>95.131351117272104</v>
      </c>
      <c r="AM434">
        <v>89.286606207620096</v>
      </c>
      <c r="AN434">
        <v>1.0000000279366099</v>
      </c>
    </row>
    <row r="435" spans="1:40" x14ac:dyDescent="0.25">
      <c r="A435" t="str">
        <f>"20190303154423825"</f>
        <v>20190303154423825</v>
      </c>
      <c r="B435" t="str">
        <f>"1551599063820353"</f>
        <v>1551599063820353</v>
      </c>
      <c r="C435" t="s">
        <v>40</v>
      </c>
      <c r="D435">
        <v>4.3537210000000002</v>
      </c>
      <c r="E435">
        <v>0.5086794</v>
      </c>
      <c r="F435" t="s">
        <v>41</v>
      </c>
      <c r="G435">
        <v>-389.58150000000001</v>
      </c>
      <c r="H435" s="1">
        <v>-8.7365279999999998E-7</v>
      </c>
      <c r="I435">
        <v>366.81560000000002</v>
      </c>
      <c r="J435">
        <v>-404.7638</v>
      </c>
      <c r="K435">
        <v>1.0709489999999999</v>
      </c>
      <c r="L435">
        <v>367.5652</v>
      </c>
      <c r="M435">
        <v>0.99985639999999998</v>
      </c>
      <c r="N435">
        <v>-1.2159079999999999E-2</v>
      </c>
      <c r="O435">
        <v>-1.181069E-2</v>
      </c>
      <c r="P435">
        <v>0.99451239999999996</v>
      </c>
      <c r="Q435">
        <v>-0.1017517</v>
      </c>
      <c r="R435">
        <v>-2.4329569999999998E-2</v>
      </c>
      <c r="S435">
        <v>2.99173</v>
      </c>
      <c r="T435">
        <v>-0.20730879999999999</v>
      </c>
      <c r="U435">
        <v>-0.14569089999999901</v>
      </c>
      <c r="V435">
        <v>1.260442E-2</v>
      </c>
      <c r="W435">
        <v>-8.9645870000000002E-2</v>
      </c>
      <c r="X435">
        <v>0.99589399999999995</v>
      </c>
      <c r="Y435">
        <v>3.6755059999999999E-2</v>
      </c>
      <c r="Z435">
        <v>-8.2160929999999896E-4</v>
      </c>
      <c r="AA435">
        <v>0.99932399999999999</v>
      </c>
      <c r="AB435">
        <v>26</v>
      </c>
      <c r="AC435">
        <v>15.1822999999999</v>
      </c>
      <c r="AD435">
        <v>-1.0709498736528</v>
      </c>
      <c r="AE435">
        <v>-0.74959999999998606</v>
      </c>
      <c r="AF435">
        <v>0.56740459965205003</v>
      </c>
      <c r="AG435">
        <v>-1.0709498736528</v>
      </c>
      <c r="AH435">
        <v>15.115068143471101</v>
      </c>
      <c r="AI435">
        <v>94.049969329866897</v>
      </c>
      <c r="AJ435">
        <v>87.850182963160805</v>
      </c>
      <c r="AK435">
        <v>15.1635802696249</v>
      </c>
      <c r="AL435">
        <v>95.143234295117196</v>
      </c>
      <c r="AM435">
        <v>89.274881149681207</v>
      </c>
      <c r="AN435">
        <v>1.0000000563237901</v>
      </c>
    </row>
    <row r="436" spans="1:40" x14ac:dyDescent="0.25">
      <c r="A436" t="str">
        <f>"20190303154423846"</f>
        <v>20190303154423846</v>
      </c>
      <c r="B436" t="str">
        <f>"1551599063840849"</f>
        <v>1551599063840849</v>
      </c>
      <c r="C436" t="s">
        <v>40</v>
      </c>
      <c r="D436">
        <v>4.3238799999999999</v>
      </c>
      <c r="E436">
        <v>0.50848349999999998</v>
      </c>
      <c r="F436" t="s">
        <v>41</v>
      </c>
      <c r="G436">
        <v>-387.81439999999998</v>
      </c>
      <c r="H436" s="1">
        <v>-1.487748E-6</v>
      </c>
      <c r="I436">
        <v>366.76769999999999</v>
      </c>
      <c r="J436">
        <v>-404.51749999999998</v>
      </c>
      <c r="K436">
        <v>1.070972</v>
      </c>
      <c r="L436">
        <v>367.56240000000003</v>
      </c>
      <c r="M436">
        <v>0.99985409999999997</v>
      </c>
      <c r="N436">
        <v>-1.250715E-2</v>
      </c>
      <c r="O436">
        <v>-1.164658E-2</v>
      </c>
      <c r="P436">
        <v>0.99452450000000003</v>
      </c>
      <c r="Q436">
        <v>-0.1015732</v>
      </c>
      <c r="R436">
        <v>-2.4582409999999999E-2</v>
      </c>
      <c r="S436">
        <v>2.9937130000000001</v>
      </c>
      <c r="T436">
        <v>-0.1891582</v>
      </c>
      <c r="U436">
        <v>-0.14083860000000001</v>
      </c>
      <c r="V436">
        <v>1.3020520000000001E-2</v>
      </c>
      <c r="W436">
        <v>-8.9120399999999905E-2</v>
      </c>
      <c r="X436">
        <v>0.99593569999999998</v>
      </c>
      <c r="Y436">
        <v>3.5285749999999998E-2</v>
      </c>
      <c r="Z436">
        <v>-7.4489589999999996E-4</v>
      </c>
      <c r="AA436">
        <v>0.99937699999999996</v>
      </c>
      <c r="AB436">
        <v>26</v>
      </c>
      <c r="AC436">
        <v>16.703099999999999</v>
      </c>
      <c r="AD436">
        <v>-1.0709734877479999</v>
      </c>
      <c r="AE436">
        <v>-0.79470000000003405</v>
      </c>
      <c r="AF436">
        <v>0.59764545247489997</v>
      </c>
      <c r="AG436">
        <v>-1.0709734877479999</v>
      </c>
      <c r="AH436">
        <v>16.642956068906201</v>
      </c>
      <c r="AI436">
        <v>93.679539202986007</v>
      </c>
      <c r="AJ436">
        <v>87.943402930032406</v>
      </c>
      <c r="AK436">
        <v>16.688084102432601</v>
      </c>
      <c r="AL436">
        <v>95.113006639046503</v>
      </c>
      <c r="AM436">
        <v>89.250977403445802</v>
      </c>
      <c r="AN436">
        <v>0.99999994908585899</v>
      </c>
    </row>
    <row r="437" spans="1:40" x14ac:dyDescent="0.25">
      <c r="A437" t="str">
        <f>"20190303154423869"</f>
        <v>20190303154423869</v>
      </c>
      <c r="B437" t="str">
        <f>"1551599063860369"</f>
        <v>1551599063860369</v>
      </c>
      <c r="C437" t="s">
        <v>40</v>
      </c>
      <c r="D437">
        <v>4.3184610000000001</v>
      </c>
      <c r="E437">
        <v>0.5083472</v>
      </c>
      <c r="F437" t="s">
        <v>41</v>
      </c>
      <c r="G437">
        <v>-386.50749999999999</v>
      </c>
      <c r="H437" s="1">
        <v>-1.9940829999999998E-6</v>
      </c>
      <c r="I437">
        <v>366.72149999999999</v>
      </c>
      <c r="J437">
        <v>-404.26659999999998</v>
      </c>
      <c r="K437">
        <v>1.070994</v>
      </c>
      <c r="L437">
        <v>367.55970000000002</v>
      </c>
      <c r="M437">
        <v>0.99985210000000002</v>
      </c>
      <c r="N437">
        <v>-1.282021E-2</v>
      </c>
      <c r="O437">
        <v>-1.147602E-2</v>
      </c>
      <c r="P437">
        <v>0.99452560000000001</v>
      </c>
      <c r="Q437">
        <v>-0.10151399999999999</v>
      </c>
      <c r="R437">
        <v>-2.4780969999999999E-2</v>
      </c>
      <c r="S437">
        <v>2.9948730000000001</v>
      </c>
      <c r="T437">
        <v>-0.17809129999999901</v>
      </c>
      <c r="U437">
        <v>-0.1398315</v>
      </c>
      <c r="V437">
        <v>1.338838E-2</v>
      </c>
      <c r="W437">
        <v>-8.8749350000000005E-2</v>
      </c>
      <c r="X437">
        <v>0.99596399999999996</v>
      </c>
      <c r="Y437">
        <v>3.5109139999999997E-2</v>
      </c>
      <c r="Z437">
        <v>-7.3339279999999998E-4</v>
      </c>
      <c r="AA437">
        <v>0.99938320000000003</v>
      </c>
      <c r="AB437">
        <v>26</v>
      </c>
      <c r="AC437">
        <v>17.759099999999901</v>
      </c>
      <c r="AD437">
        <v>-1.0709959940830001</v>
      </c>
      <c r="AE437">
        <v>-0.83820000000002803</v>
      </c>
      <c r="AF437">
        <v>0.63203074904105505</v>
      </c>
      <c r="AG437">
        <v>-1.0709959940830001</v>
      </c>
      <c r="AH437">
        <v>17.7033079218821</v>
      </c>
      <c r="AI437">
        <v>93.459801229884505</v>
      </c>
      <c r="AJ437">
        <v>87.955335747674795</v>
      </c>
      <c r="AK437">
        <v>17.7469323169963</v>
      </c>
      <c r="AL437">
        <v>95.091662239329693</v>
      </c>
      <c r="AM437">
        <v>89.229840167369105</v>
      </c>
      <c r="AN437">
        <v>0.99999999257022298</v>
      </c>
    </row>
    <row r="438" spans="1:40" x14ac:dyDescent="0.25">
      <c r="A438" t="str">
        <f>"20190303154423890"</f>
        <v>20190303154423890</v>
      </c>
      <c r="B438" t="str">
        <f>"1551599063880868"</f>
        <v>1551599063880868</v>
      </c>
      <c r="C438" t="s">
        <v>40</v>
      </c>
      <c r="D438">
        <v>4.3323039999999997</v>
      </c>
      <c r="E438">
        <v>0.50829609999999903</v>
      </c>
      <c r="F438" t="s">
        <v>41</v>
      </c>
      <c r="G438">
        <v>-385.23200000000003</v>
      </c>
      <c r="H438" s="1">
        <v>-2.5493459999999999E-6</v>
      </c>
      <c r="I438">
        <v>366.67590000000001</v>
      </c>
      <c r="J438">
        <v>-404.01080000000002</v>
      </c>
      <c r="K438">
        <v>1.0710150000000001</v>
      </c>
      <c r="L438">
        <v>367.55700000000002</v>
      </c>
      <c r="M438">
        <v>0.99985049999999998</v>
      </c>
      <c r="N438">
        <v>-1.3099899999999999E-2</v>
      </c>
      <c r="O438">
        <v>-1.1300289999999999E-2</v>
      </c>
      <c r="P438">
        <v>0.99451659999999997</v>
      </c>
      <c r="Q438">
        <v>-0.1017275</v>
      </c>
      <c r="R438">
        <v>-2.426186E-2</v>
      </c>
      <c r="S438">
        <v>2.9958499999999999</v>
      </c>
      <c r="T438">
        <v>-0.16856309999999999</v>
      </c>
      <c r="U438">
        <v>-0.1390991</v>
      </c>
      <c r="V438">
        <v>1.3043900000000001E-2</v>
      </c>
      <c r="W438">
        <v>-8.8684570000000004E-2</v>
      </c>
      <c r="X438">
        <v>0.99597440000000004</v>
      </c>
      <c r="Y438">
        <v>3.503088E-2</v>
      </c>
      <c r="Z438">
        <v>-7.269752E-4</v>
      </c>
      <c r="AA438">
        <v>0.999386</v>
      </c>
      <c r="AB438">
        <v>26</v>
      </c>
      <c r="AC438">
        <v>18.7788</v>
      </c>
      <c r="AD438">
        <v>-1.0710175493459999</v>
      </c>
      <c r="AE438">
        <v>-0.88109999999994604</v>
      </c>
      <c r="AF438">
        <v>0.66665593453304905</v>
      </c>
      <c r="AG438">
        <v>-1.0710175493459999</v>
      </c>
      <c r="AH438">
        <v>18.726777626183399</v>
      </c>
      <c r="AI438">
        <v>93.271213631330895</v>
      </c>
      <c r="AJ438">
        <v>87.961184298386002</v>
      </c>
      <c r="AK438">
        <v>18.769222386305199</v>
      </c>
      <c r="AL438">
        <v>95.087935627983597</v>
      </c>
      <c r="AM438">
        <v>89.249661744993404</v>
      </c>
      <c r="AN438">
        <v>1.0000000508693201</v>
      </c>
    </row>
    <row r="439" spans="1:40" x14ac:dyDescent="0.25">
      <c r="A439" t="str">
        <f>"20190303154423915"</f>
        <v>20190303154423915</v>
      </c>
      <c r="B439" t="str">
        <f>"1551599063911121"</f>
        <v>1551599063911121</v>
      </c>
      <c r="C439" t="s">
        <v>40</v>
      </c>
      <c r="D439">
        <v>4.3316520000000001</v>
      </c>
      <c r="E439">
        <v>0.50820569999999998</v>
      </c>
      <c r="F439" t="s">
        <v>41</v>
      </c>
      <c r="G439">
        <v>-384.15929999999997</v>
      </c>
      <c r="H439" s="1">
        <v>-3.014197E-6</v>
      </c>
      <c r="I439">
        <v>366.64960000000002</v>
      </c>
      <c r="J439">
        <v>-403.74369999999999</v>
      </c>
      <c r="K439">
        <v>1.071026</v>
      </c>
      <c r="L439">
        <v>367.55419999999998</v>
      </c>
      <c r="M439">
        <v>0.99984910000000005</v>
      </c>
      <c r="N439">
        <v>-1.3353790000000001E-2</v>
      </c>
      <c r="O439">
        <v>-1.111669E-2</v>
      </c>
      <c r="P439">
        <v>0.99450720000000004</v>
      </c>
      <c r="Q439">
        <v>-0.10188460000000001</v>
      </c>
      <c r="R439">
        <v>-2.3978670000000001E-2</v>
      </c>
      <c r="S439">
        <v>2.9966740000000001</v>
      </c>
      <c r="T439">
        <v>-0.16167400000000001</v>
      </c>
      <c r="U439">
        <v>-0.1369629</v>
      </c>
      <c r="V439">
        <v>1.2943380000000001E-2</v>
      </c>
      <c r="W439">
        <v>-8.8589000000000001E-2</v>
      </c>
      <c r="X439">
        <v>0.99598410000000004</v>
      </c>
      <c r="Y439">
        <v>3.4495049999999999E-2</v>
      </c>
      <c r="Z439">
        <v>-7.0936899999999995E-4</v>
      </c>
      <c r="AA439">
        <v>0.99940459999999998</v>
      </c>
      <c r="AB439">
        <v>26</v>
      </c>
      <c r="AC439">
        <v>19.584399999999999</v>
      </c>
      <c r="AD439">
        <v>-1.071029014197</v>
      </c>
      <c r="AE439">
        <v>-0.90459999999995899</v>
      </c>
      <c r="AF439">
        <v>0.68476737204373805</v>
      </c>
      <c r="AG439">
        <v>-1.071029014197</v>
      </c>
      <c r="AH439">
        <v>19.534946669499099</v>
      </c>
      <c r="AI439">
        <v>93.136251847207902</v>
      </c>
      <c r="AJ439">
        <v>87.9924069807428</v>
      </c>
      <c r="AK439">
        <v>19.576264988072801</v>
      </c>
      <c r="AL439">
        <v>95.082438824770307</v>
      </c>
      <c r="AM439">
        <v>89.255450661833095</v>
      </c>
      <c r="AN439">
        <v>0.99999993472981497</v>
      </c>
    </row>
    <row r="440" spans="1:40" x14ac:dyDescent="0.25">
      <c r="A440" t="str">
        <f>"20190303154423937"</f>
        <v>20190303154423937</v>
      </c>
      <c r="B440" t="str">
        <f>"1551599063930640"</f>
        <v>1551599063930640</v>
      </c>
      <c r="C440" t="s">
        <v>40</v>
      </c>
      <c r="D440">
        <v>4.3171809999999997</v>
      </c>
      <c r="E440">
        <v>0.50818649999999999</v>
      </c>
      <c r="F440" t="s">
        <v>41</v>
      </c>
      <c r="G440">
        <v>-382.69959999999998</v>
      </c>
      <c r="H440" s="1">
        <v>-3.6484920000000001E-6</v>
      </c>
      <c r="I440">
        <v>366.60399999999998</v>
      </c>
      <c r="J440">
        <v>-403.48039999999997</v>
      </c>
      <c r="K440">
        <v>1.07104</v>
      </c>
      <c r="L440">
        <v>367.55149999999998</v>
      </c>
      <c r="M440">
        <v>0.99984819999999996</v>
      </c>
      <c r="N440">
        <v>-1.357038E-2</v>
      </c>
      <c r="O440">
        <v>-1.0936680000000001E-2</v>
      </c>
      <c r="P440">
        <v>0.99449779999999999</v>
      </c>
      <c r="Q440">
        <v>-0.1020219</v>
      </c>
      <c r="R440">
        <v>-2.3786209999999999E-2</v>
      </c>
      <c r="S440">
        <v>2.9977109999999998</v>
      </c>
      <c r="T440">
        <v>-0.1525668</v>
      </c>
      <c r="U440">
        <v>-0.13534549999999901</v>
      </c>
      <c r="V440">
        <v>1.2929919999999999E-2</v>
      </c>
      <c r="W440">
        <v>-8.8510740000000004E-2</v>
      </c>
      <c r="X440">
        <v>0.99599130000000002</v>
      </c>
      <c r="Y440">
        <v>3.4126129999999998E-2</v>
      </c>
      <c r="Z440">
        <v>-6.9163899999999997E-4</v>
      </c>
      <c r="AA440">
        <v>0.99941729999999995</v>
      </c>
      <c r="AB440">
        <v>25</v>
      </c>
      <c r="AC440">
        <v>20.780799999999999</v>
      </c>
      <c r="AD440">
        <v>-1.0710436484919901</v>
      </c>
      <c r="AE440">
        <v>-0.94749999999993395</v>
      </c>
      <c r="AF440">
        <v>0.71824548124563503</v>
      </c>
      <c r="AG440">
        <v>-1.0710436484919901</v>
      </c>
      <c r="AH440">
        <v>20.734954783871501</v>
      </c>
      <c r="AI440">
        <v>92.955159795367294</v>
      </c>
      <c r="AJ440">
        <v>88.016104322301402</v>
      </c>
      <c r="AK440">
        <v>20.775017712567699</v>
      </c>
      <c r="AL440">
        <v>95.077936831653901</v>
      </c>
      <c r="AM440">
        <v>89.256230218099404</v>
      </c>
      <c r="AN440">
        <v>1.0000000018011199</v>
      </c>
    </row>
    <row r="441" spans="1:40" x14ac:dyDescent="0.25">
      <c r="A441" t="str">
        <f>"20190303154423957"</f>
        <v>20190303154423957</v>
      </c>
      <c r="B441" t="str">
        <f>"1551599063950161"</f>
        <v>1551599063950161</v>
      </c>
      <c r="C441" t="s">
        <v>40</v>
      </c>
      <c r="D441">
        <v>4.2941799999999999</v>
      </c>
      <c r="E441">
        <v>0.50811740000000005</v>
      </c>
      <c r="F441" t="s">
        <v>41</v>
      </c>
      <c r="G441">
        <v>-381.75299999999999</v>
      </c>
      <c r="H441" s="1">
        <v>-4.0593810000000002E-6</v>
      </c>
      <c r="I441">
        <v>366.577</v>
      </c>
      <c r="J441">
        <v>-403.25020000000001</v>
      </c>
      <c r="K441">
        <v>1.071051</v>
      </c>
      <c r="L441">
        <v>367.54910000000001</v>
      </c>
      <c r="M441">
        <v>0.99984770000000001</v>
      </c>
      <c r="N441">
        <v>-1.3734400000000001E-2</v>
      </c>
      <c r="O441">
        <v>-1.0779820000000001E-2</v>
      </c>
      <c r="P441">
        <v>0.99445609999999995</v>
      </c>
      <c r="Q441">
        <v>-0.1024877</v>
      </c>
      <c r="R441">
        <v>-2.3538150000000001E-2</v>
      </c>
      <c r="S441">
        <v>2.9981990000000001</v>
      </c>
      <c r="T441">
        <v>-0.1477945</v>
      </c>
      <c r="U441">
        <v>-0.13446040000000001</v>
      </c>
      <c r="V441">
        <v>1.2838209999999999E-2</v>
      </c>
      <c r="W441">
        <v>-8.8813790000000004E-2</v>
      </c>
      <c r="X441">
        <v>0.99596549999999995</v>
      </c>
      <c r="Y441">
        <v>3.3983529999999998E-2</v>
      </c>
      <c r="Z441">
        <v>-6.8752880000000002E-4</v>
      </c>
      <c r="AA441">
        <v>0.99942209999999998</v>
      </c>
      <c r="AB441">
        <v>25</v>
      </c>
      <c r="AC441">
        <v>21.4971999999999</v>
      </c>
      <c r="AD441">
        <v>-1.071055059381</v>
      </c>
      <c r="AE441">
        <v>-0.97210000000001096</v>
      </c>
      <c r="AF441">
        <v>0.73845637771084705</v>
      </c>
      <c r="AG441">
        <v>-1.071055059381</v>
      </c>
      <c r="AH441">
        <v>21.453285247918501</v>
      </c>
      <c r="AI441">
        <v>92.856429282407504</v>
      </c>
      <c r="AJ441">
        <v>88.028566034423605</v>
      </c>
      <c r="AK441">
        <v>21.492694681927698</v>
      </c>
      <c r="AL441">
        <v>95.095369014508293</v>
      </c>
      <c r="AM441">
        <v>89.261485951996306</v>
      </c>
      <c r="AN441">
        <v>0.99999999306020904</v>
      </c>
    </row>
    <row r="442" spans="1:40" x14ac:dyDescent="0.25">
      <c r="A442" t="str">
        <f>"20190303154423981"</f>
        <v>20190303154423981</v>
      </c>
      <c r="B442" t="str">
        <f>"1551599063970660"</f>
        <v>1551599063970660</v>
      </c>
      <c r="C442" t="s">
        <v>40</v>
      </c>
      <c r="D442">
        <v>4.325145</v>
      </c>
      <c r="E442">
        <v>0.50803560000000003</v>
      </c>
      <c r="F442" t="s">
        <v>41</v>
      </c>
      <c r="G442">
        <v>-381.01249999999999</v>
      </c>
      <c r="H442" s="1">
        <v>-4.3797730000000003E-6</v>
      </c>
      <c r="I442">
        <v>366.5616</v>
      </c>
      <c r="J442">
        <v>-402.98700000000002</v>
      </c>
      <c r="K442">
        <v>1.0710649999999999</v>
      </c>
      <c r="L442">
        <v>367.54649999999998</v>
      </c>
      <c r="M442">
        <v>0.99984720000000005</v>
      </c>
      <c r="N442">
        <v>-1.3897939999999999E-2</v>
      </c>
      <c r="O442">
        <v>-1.060081E-2</v>
      </c>
      <c r="P442">
        <v>0.99445729999999999</v>
      </c>
      <c r="Q442">
        <v>-0.1024829</v>
      </c>
      <c r="R442">
        <v>-2.3492619999999999E-2</v>
      </c>
      <c r="S442">
        <v>2.998688</v>
      </c>
      <c r="T442">
        <v>-0.14442829999999901</v>
      </c>
      <c r="U442">
        <v>-0.13314819999999999</v>
      </c>
      <c r="V442">
        <v>1.297101E-2</v>
      </c>
      <c r="W442">
        <v>-8.8646089999999997E-2</v>
      </c>
      <c r="X442">
        <v>0.99597869999999999</v>
      </c>
      <c r="Y442">
        <v>3.3720470000000002E-2</v>
      </c>
      <c r="Z442">
        <v>-6.8303069999999997E-4</v>
      </c>
      <c r="AA442">
        <v>0.99943110000000002</v>
      </c>
      <c r="AB442">
        <v>25</v>
      </c>
      <c r="AC442">
        <v>21.9744999999999</v>
      </c>
      <c r="AD442">
        <v>-1.071069379773</v>
      </c>
      <c r="AE442">
        <v>-0.98489999999998201</v>
      </c>
      <c r="AF442">
        <v>0.75009618845933201</v>
      </c>
      <c r="AG442">
        <v>-1.071069379773</v>
      </c>
      <c r="AH442">
        <v>21.931707385993601</v>
      </c>
      <c r="AI442">
        <v>92.794276827653505</v>
      </c>
      <c r="AJ442">
        <v>88.041164812455193</v>
      </c>
      <c r="AK442">
        <v>21.970653671956899</v>
      </c>
      <c r="AL442">
        <v>95.085722562671606</v>
      </c>
      <c r="AM442">
        <v>89.253857420316507</v>
      </c>
      <c r="AN442">
        <v>0.99999997361319803</v>
      </c>
    </row>
    <row r="443" spans="1:40" x14ac:dyDescent="0.25">
      <c r="A443" t="str">
        <f>"20190303154424002"</f>
        <v>20190303154424002</v>
      </c>
      <c r="B443" t="str">
        <f>"1551599064000912"</f>
        <v>1551599064000912</v>
      </c>
      <c r="C443" t="s">
        <v>40</v>
      </c>
      <c r="D443">
        <v>4.3355399999999999</v>
      </c>
      <c r="E443">
        <v>0.50802990000000003</v>
      </c>
      <c r="F443" t="s">
        <v>41</v>
      </c>
      <c r="G443">
        <v>-380.13600000000002</v>
      </c>
      <c r="H443" s="1">
        <v>-4.7604110000000003E-6</v>
      </c>
      <c r="I443">
        <v>366.53539999999998</v>
      </c>
      <c r="J443">
        <v>-402.74489999999997</v>
      </c>
      <c r="K443">
        <v>1.0710740000000001</v>
      </c>
      <c r="L443">
        <v>367.54410000000001</v>
      </c>
      <c r="M443">
        <v>0.99984729999999999</v>
      </c>
      <c r="N443">
        <v>-1.402602E-2</v>
      </c>
      <c r="O443">
        <v>-1.043528E-2</v>
      </c>
      <c r="P443">
        <v>0.99446579999999996</v>
      </c>
      <c r="Q443">
        <v>-0.10237449999999999</v>
      </c>
      <c r="R443">
        <v>-2.3606729999999999E-2</v>
      </c>
      <c r="S443">
        <v>2.9991150000000002</v>
      </c>
      <c r="T443">
        <v>-0.140574</v>
      </c>
      <c r="U443">
        <v>-0.13269039999999999</v>
      </c>
      <c r="V443">
        <v>1.3249489999999999E-2</v>
      </c>
      <c r="W443">
        <v>-8.8409950000000001E-2</v>
      </c>
      <c r="X443">
        <v>0.99599610000000005</v>
      </c>
      <c r="Y443">
        <v>3.3729019999999998E-2</v>
      </c>
      <c r="Z443">
        <v>-6.8416519999999999E-4</v>
      </c>
      <c r="AA443">
        <v>0.99943079999999995</v>
      </c>
      <c r="AB443">
        <v>25</v>
      </c>
      <c r="AC443">
        <v>22.608899999999998</v>
      </c>
      <c r="AD443">
        <v>-1.0710787604109999</v>
      </c>
      <c r="AE443">
        <v>-1.0087000000000299</v>
      </c>
      <c r="AF443">
        <v>0.77096483194160503</v>
      </c>
      <c r="AG443">
        <v>-1.0710787604109999</v>
      </c>
      <c r="AH443">
        <v>22.567647518208201</v>
      </c>
      <c r="AI443">
        <v>92.715683052459795</v>
      </c>
      <c r="AJ443">
        <v>88.043400018328796</v>
      </c>
      <c r="AK443">
        <v>22.606200719917201</v>
      </c>
      <c r="AL443">
        <v>95.072139018090098</v>
      </c>
      <c r="AM443">
        <v>89.237853358555697</v>
      </c>
      <c r="AN443">
        <v>1.0000000497297299</v>
      </c>
    </row>
    <row r="444" spans="1:40" x14ac:dyDescent="0.25">
      <c r="A444" t="str">
        <f>"20190303154424025"</f>
        <v>20190303154424025</v>
      </c>
      <c r="B444" t="str">
        <f>"1551599064020433"</f>
        <v>1551599064020433</v>
      </c>
      <c r="C444" t="s">
        <v>40</v>
      </c>
      <c r="D444">
        <v>4.364922</v>
      </c>
      <c r="E444">
        <v>0.50797979999999998</v>
      </c>
      <c r="F444" t="s">
        <v>41</v>
      </c>
      <c r="G444">
        <v>-378.88940000000002</v>
      </c>
      <c r="H444" s="1">
        <v>-1.197124E-6</v>
      </c>
      <c r="I444">
        <v>366.48509999999999</v>
      </c>
      <c r="J444">
        <v>-402.49560000000002</v>
      </c>
      <c r="K444">
        <v>1.0710900000000001</v>
      </c>
      <c r="L444">
        <v>367.54169999999999</v>
      </c>
      <c r="M444">
        <v>0.99984740000000005</v>
      </c>
      <c r="N444">
        <v>-1.413994E-2</v>
      </c>
      <c r="O444">
        <v>-1.026489E-2</v>
      </c>
      <c r="P444">
        <v>0.99447180000000002</v>
      </c>
      <c r="Q444">
        <v>-0.1022947</v>
      </c>
      <c r="R444">
        <v>-2.369959E-2</v>
      </c>
      <c r="S444">
        <v>2.9996640000000001</v>
      </c>
      <c r="T444">
        <v>-0.13467999999999999</v>
      </c>
      <c r="U444">
        <v>-0.13314819999999999</v>
      </c>
      <c r="V444">
        <v>1.351132E-2</v>
      </c>
      <c r="W444">
        <v>-8.8216619999999996E-2</v>
      </c>
      <c r="X444">
        <v>0.99600960000000005</v>
      </c>
      <c r="Y444">
        <v>3.4045690000000003E-2</v>
      </c>
      <c r="Z444">
        <v>-6.8918429999999904E-4</v>
      </c>
      <c r="AA444">
        <v>0.99941999999999998</v>
      </c>
      <c r="AB444">
        <v>25</v>
      </c>
      <c r="AC444">
        <v>23.606200000000001</v>
      </c>
      <c r="AD444">
        <v>-1.07109119712399</v>
      </c>
      <c r="AE444">
        <v>-1.0566</v>
      </c>
      <c r="AF444">
        <v>0.81253561121384799</v>
      </c>
      <c r="AG444">
        <v>-1.07109119712399</v>
      </c>
      <c r="AH444">
        <v>23.5673810012409</v>
      </c>
      <c r="AI444">
        <v>92.600646972049702</v>
      </c>
      <c r="AJ444">
        <v>88.025388217296907</v>
      </c>
      <c r="AK444">
        <v>23.605696298344899</v>
      </c>
      <c r="AL444">
        <v>95.061019205311695</v>
      </c>
      <c r="AM444">
        <v>89.222804548605097</v>
      </c>
      <c r="AN444">
        <v>0.99999992555226003</v>
      </c>
    </row>
    <row r="445" spans="1:40" x14ac:dyDescent="0.25">
      <c r="A445" t="str">
        <f>"20190303154424047"</f>
        <v>20190303154424047</v>
      </c>
      <c r="B445" t="str">
        <f>"1551599064040929"</f>
        <v>1551599064040929</v>
      </c>
      <c r="C445" t="s">
        <v>40</v>
      </c>
      <c r="D445">
        <v>4.3937220000000003</v>
      </c>
      <c r="E445">
        <v>0.50792890000000002</v>
      </c>
      <c r="F445" t="s">
        <v>41</v>
      </c>
      <c r="G445">
        <v>-378.04849999999999</v>
      </c>
      <c r="H445" s="1">
        <v>-1.4892850000000001E-6</v>
      </c>
      <c r="I445">
        <v>366.46260000000001</v>
      </c>
      <c r="J445">
        <v>-402.24360000000001</v>
      </c>
      <c r="K445">
        <v>1.071099</v>
      </c>
      <c r="L445">
        <v>367.53930000000003</v>
      </c>
      <c r="M445">
        <v>0.99984770000000001</v>
      </c>
      <c r="N445">
        <v>-1.4238860000000001E-2</v>
      </c>
      <c r="O445">
        <v>-1.0092500000000001E-2</v>
      </c>
      <c r="P445">
        <v>0.9945408</v>
      </c>
      <c r="Q445">
        <v>-0.1016306</v>
      </c>
      <c r="R445">
        <v>-2.3662639999999999E-2</v>
      </c>
      <c r="S445">
        <v>3.0000309999999999</v>
      </c>
      <c r="T445">
        <v>-0.131439</v>
      </c>
      <c r="U445">
        <v>-0.1324158</v>
      </c>
      <c r="V445">
        <v>1.364489E-2</v>
      </c>
      <c r="W445">
        <v>-8.7453069999999994E-2</v>
      </c>
      <c r="X445">
        <v>0.99607520000000005</v>
      </c>
      <c r="Y445">
        <v>3.3970550000000002E-2</v>
      </c>
      <c r="Z445">
        <v>-6.8746940000000004E-4</v>
      </c>
      <c r="AA445">
        <v>0.99942260000000005</v>
      </c>
      <c r="AB445">
        <v>25</v>
      </c>
      <c r="AC445">
        <v>24.1951</v>
      </c>
      <c r="AD445">
        <v>-1.071100489285</v>
      </c>
      <c r="AE445">
        <v>-1.07670000000001</v>
      </c>
      <c r="AF445">
        <v>0.83080637734927898</v>
      </c>
      <c r="AG445">
        <v>-1.071100489285</v>
      </c>
      <c r="AH445">
        <v>24.157485576651901</v>
      </c>
      <c r="AI445">
        <v>92.537233446019201</v>
      </c>
      <c r="AJ445">
        <v>88.030302240633802</v>
      </c>
      <c r="AK445">
        <v>24.195487283395099</v>
      </c>
      <c r="AL445">
        <v>95.0171008267085</v>
      </c>
      <c r="AM445">
        <v>89.215174002569398</v>
      </c>
      <c r="AN445">
        <v>1.00000001326528</v>
      </c>
    </row>
    <row r="446" spans="1:40" x14ac:dyDescent="0.25">
      <c r="A446" t="str">
        <f>"20190303154424070"</f>
        <v>20190303154424070</v>
      </c>
      <c r="B446" t="str">
        <f>"1551599064060452"</f>
        <v>1551599064060452</v>
      </c>
      <c r="C446" t="s">
        <v>40</v>
      </c>
      <c r="D446">
        <v>4.4243579999999998</v>
      </c>
      <c r="E446">
        <v>0.50786480000000001</v>
      </c>
      <c r="F446" t="s">
        <v>41</v>
      </c>
      <c r="G446">
        <v>-376.93079999999998</v>
      </c>
      <c r="H446" s="1">
        <v>-1.879318E-6</v>
      </c>
      <c r="I446">
        <v>366.42619999999999</v>
      </c>
      <c r="J446">
        <v>-401.98939999999999</v>
      </c>
      <c r="K446">
        <v>1.0711200000000001</v>
      </c>
      <c r="L446">
        <v>367.53699999999998</v>
      </c>
      <c r="M446">
        <v>0.99984819999999996</v>
      </c>
      <c r="N446">
        <v>-1.432425E-2</v>
      </c>
      <c r="O446">
        <v>-9.9190630000000005E-3</v>
      </c>
      <c r="P446">
        <v>0.99457519999999999</v>
      </c>
      <c r="Q446">
        <v>-0.10138949999999999</v>
      </c>
      <c r="R446">
        <v>-2.3246300000000001E-2</v>
      </c>
      <c r="S446">
        <v>3.000397</v>
      </c>
      <c r="T446">
        <v>-0.12696060000000001</v>
      </c>
      <c r="U446">
        <v>-0.1319275</v>
      </c>
      <c r="V446">
        <v>1.3400749999999999E-2</v>
      </c>
      <c r="W446">
        <v>-8.7126579999999995E-2</v>
      </c>
      <c r="X446">
        <v>0.99610710000000002</v>
      </c>
      <c r="Y446">
        <v>3.3978130000000002E-2</v>
      </c>
      <c r="Z446">
        <v>-6.8453509999999895E-4</v>
      </c>
      <c r="AA446">
        <v>0.99942240000000004</v>
      </c>
      <c r="AB446">
        <v>25</v>
      </c>
      <c r="AC446">
        <v>25.058599999999998</v>
      </c>
      <c r="AD446">
        <v>-1.071121879318</v>
      </c>
      <c r="AE446">
        <v>-1.11079999999998</v>
      </c>
      <c r="AF446">
        <v>0.86059269418413298</v>
      </c>
      <c r="AG446">
        <v>-1.071121879318</v>
      </c>
      <c r="AH446">
        <v>25.022756599328801</v>
      </c>
      <c r="AI446">
        <v>92.449655074018807</v>
      </c>
      <c r="AJ446">
        <v>88.030236932399703</v>
      </c>
      <c r="AK446">
        <v>25.060452304276001</v>
      </c>
      <c r="AL446">
        <v>94.998322778062601</v>
      </c>
      <c r="AM446">
        <v>89.229239404599596</v>
      </c>
      <c r="AN446">
        <v>0.99999998785673405</v>
      </c>
    </row>
    <row r="447" spans="1:40" x14ac:dyDescent="0.25">
      <c r="A447" t="str">
        <f>"20190303154424091"</f>
        <v>20190303154424091</v>
      </c>
      <c r="B447" t="str">
        <f>"1551599064080948"</f>
        <v>1551599064080948</v>
      </c>
      <c r="C447" t="s">
        <v>40</v>
      </c>
      <c r="D447">
        <v>4.4263629999999896</v>
      </c>
      <c r="E447">
        <v>0.50775749999999997</v>
      </c>
      <c r="F447" t="s">
        <v>41</v>
      </c>
      <c r="G447">
        <v>-376.10359999999997</v>
      </c>
      <c r="H447" s="1">
        <v>-2.221982E-6</v>
      </c>
      <c r="I447">
        <v>366.4135</v>
      </c>
      <c r="J447">
        <v>-401.74310000000003</v>
      </c>
      <c r="K447">
        <v>1.0711280000000001</v>
      </c>
      <c r="L447">
        <v>367.53469999999999</v>
      </c>
      <c r="M447">
        <v>0.99984899999999999</v>
      </c>
      <c r="N447">
        <v>-1.439502E-2</v>
      </c>
      <c r="O447">
        <v>-9.7506559999999999E-3</v>
      </c>
      <c r="P447">
        <v>0.99467099999999997</v>
      </c>
      <c r="Q447">
        <v>-0.1006177</v>
      </c>
      <c r="R447">
        <v>-2.2498819999999999E-2</v>
      </c>
      <c r="S447">
        <v>3.000702</v>
      </c>
      <c r="T447">
        <v>-0.12416480000000001</v>
      </c>
      <c r="U447">
        <v>-0.13021849999999999</v>
      </c>
      <c r="V447">
        <v>1.281937E-2</v>
      </c>
      <c r="W447">
        <v>-8.6283289999999999E-2</v>
      </c>
      <c r="X447">
        <v>0.99618819999999997</v>
      </c>
      <c r="Y447">
        <v>3.3575519999999998E-2</v>
      </c>
      <c r="Z447">
        <v>-6.7314770000000005E-4</v>
      </c>
      <c r="AA447">
        <v>0.99943599999999999</v>
      </c>
      <c r="AB447">
        <v>25</v>
      </c>
      <c r="AC447">
        <v>25.639500000000002</v>
      </c>
      <c r="AD447">
        <v>-1.071130221982</v>
      </c>
      <c r="AE447">
        <v>-1.12119999999998</v>
      </c>
      <c r="AF447">
        <v>0.86960406998612205</v>
      </c>
      <c r="AG447">
        <v>-1.071130221982</v>
      </c>
      <c r="AH447">
        <v>25.604612482403699</v>
      </c>
      <c r="AI447">
        <v>92.394106735802893</v>
      </c>
      <c r="AJ447">
        <v>88.054823159532006</v>
      </c>
      <c r="AK447">
        <v>25.641757185595601</v>
      </c>
      <c r="AL447">
        <v>94.949822930917307</v>
      </c>
      <c r="AM447">
        <v>89.262734433325903</v>
      </c>
      <c r="AN447">
        <v>1.00000003609982</v>
      </c>
    </row>
    <row r="448" spans="1:40" x14ac:dyDescent="0.25">
      <c r="A448" t="str">
        <f>"20190303154424116"</f>
        <v>20190303154424116</v>
      </c>
      <c r="B448" t="str">
        <f>"1551599064110225"</f>
        <v>1551599064110225</v>
      </c>
      <c r="C448" t="s">
        <v>40</v>
      </c>
      <c r="D448">
        <v>4.5047119999999996</v>
      </c>
      <c r="E448">
        <v>0.50765169999999904</v>
      </c>
      <c r="F448" t="s">
        <v>41</v>
      </c>
      <c r="G448">
        <v>-375.024</v>
      </c>
      <c r="H448" s="1">
        <v>-2.6869710000000001E-6</v>
      </c>
      <c r="I448">
        <v>366.40320000000003</v>
      </c>
      <c r="J448">
        <v>-401.47500000000002</v>
      </c>
      <c r="K448">
        <v>1.0711389999999901</v>
      </c>
      <c r="L448">
        <v>367.53230000000002</v>
      </c>
      <c r="M448">
        <v>0.99984969999999995</v>
      </c>
      <c r="N448">
        <v>-1.4454750000000001E-2</v>
      </c>
      <c r="O448">
        <v>-9.5675069999999994E-3</v>
      </c>
      <c r="P448">
        <v>0.99474240000000003</v>
      </c>
      <c r="Q448">
        <v>-0.1000047</v>
      </c>
      <c r="R448">
        <v>-2.2067380000000001E-2</v>
      </c>
      <c r="S448">
        <v>3.0010680000000001</v>
      </c>
      <c r="T448">
        <v>-0.1203079</v>
      </c>
      <c r="U448">
        <v>-0.1270752</v>
      </c>
      <c r="V448">
        <v>1.256932E-2</v>
      </c>
      <c r="W448">
        <v>-8.5609950000000004E-2</v>
      </c>
      <c r="X448">
        <v>0.99624939999999995</v>
      </c>
      <c r="Y448">
        <v>3.2710969999999999E-2</v>
      </c>
      <c r="Z448">
        <v>-6.4678789999999999E-4</v>
      </c>
      <c r="AA448">
        <v>0.99946460000000004</v>
      </c>
      <c r="AB448">
        <v>25</v>
      </c>
      <c r="AC448">
        <v>26.451000000000001</v>
      </c>
      <c r="AD448">
        <v>-1.07114168697099</v>
      </c>
      <c r="AE448">
        <v>-1.12909999999999</v>
      </c>
      <c r="AF448">
        <v>0.87452023607749196</v>
      </c>
      <c r="AG448">
        <v>-1.07114168697099</v>
      </c>
      <c r="AH448">
        <v>26.417350644833899</v>
      </c>
      <c r="AI448">
        <v>92.320624569609706</v>
      </c>
      <c r="AJ448">
        <v>88.103972351485197</v>
      </c>
      <c r="AK448">
        <v>26.453516689638398</v>
      </c>
      <c r="AL448">
        <v>94.911100485730799</v>
      </c>
      <c r="AM448">
        <v>89.277158130356597</v>
      </c>
      <c r="AN448">
        <v>0.99999995917231099</v>
      </c>
    </row>
    <row r="449" spans="1:40" x14ac:dyDescent="0.25">
      <c r="A449" t="str">
        <f>"20190303154424139"</f>
        <v>20190303154424139</v>
      </c>
      <c r="B449" t="str">
        <f>"1551599064130721"</f>
        <v>1551599064130721</v>
      </c>
      <c r="C449" t="s">
        <v>40</v>
      </c>
      <c r="D449">
        <v>4.5191039999999996</v>
      </c>
      <c r="E449">
        <v>0.50755629999999996</v>
      </c>
      <c r="F449" t="s">
        <v>41</v>
      </c>
      <c r="G449">
        <v>-374.05040000000002</v>
      </c>
      <c r="H449" s="1">
        <v>-3.107042E-6</v>
      </c>
      <c r="I449">
        <v>366.3895</v>
      </c>
      <c r="J449">
        <v>-401.22039999999998</v>
      </c>
      <c r="K449">
        <v>1.071145</v>
      </c>
      <c r="L449">
        <v>367.5301</v>
      </c>
      <c r="M449">
        <v>0.99985100000000005</v>
      </c>
      <c r="N449">
        <v>-1.447758E-2</v>
      </c>
      <c r="O449">
        <v>-9.3931580000000004E-3</v>
      </c>
      <c r="P449">
        <v>0.99476679999999995</v>
      </c>
      <c r="Q449">
        <v>-9.9810640000000006E-2</v>
      </c>
      <c r="R449">
        <v>-2.1845469999999999E-2</v>
      </c>
      <c r="S449">
        <v>3.0013429999999999</v>
      </c>
      <c r="T449">
        <v>-0.1172255</v>
      </c>
      <c r="U449">
        <v>-0.12506099999999901</v>
      </c>
      <c r="V449">
        <v>1.252059E-2</v>
      </c>
      <c r="W449">
        <v>-8.5392919999999997E-2</v>
      </c>
      <c r="X449">
        <v>0.99626870000000001</v>
      </c>
      <c r="Y449">
        <v>3.2213599999999898E-2</v>
      </c>
      <c r="Z449">
        <v>-6.3136430000000003E-4</v>
      </c>
      <c r="AA449">
        <v>0.99948079999999995</v>
      </c>
      <c r="AB449">
        <v>25</v>
      </c>
      <c r="AC449">
        <v>27.169999999999899</v>
      </c>
      <c r="AD449">
        <v>-1.0711481070419999</v>
      </c>
      <c r="AE449">
        <v>-1.1406000000000001</v>
      </c>
      <c r="AF449">
        <v>0.88393935566015303</v>
      </c>
      <c r="AG449">
        <v>-1.0711481070419999</v>
      </c>
      <c r="AH449">
        <v>27.1374120437894</v>
      </c>
      <c r="AI449">
        <v>92.259166871699193</v>
      </c>
      <c r="AJ449">
        <v>88.134380159837704</v>
      </c>
      <c r="AK449">
        <v>27.1729247503118</v>
      </c>
      <c r="AL449">
        <v>94.898619583611193</v>
      </c>
      <c r="AM449">
        <v>89.279974167916095</v>
      </c>
      <c r="AN449">
        <v>1.0000000192798799</v>
      </c>
    </row>
    <row r="450" spans="1:40" x14ac:dyDescent="0.25">
      <c r="A450" t="str">
        <f>"20190303154424159"</f>
        <v>20190303154424159</v>
      </c>
      <c r="B450" t="str">
        <f>"1551599064150241"</f>
        <v>1551599064150241</v>
      </c>
      <c r="C450" t="s">
        <v>40</v>
      </c>
      <c r="D450">
        <v>4.5114850000000004</v>
      </c>
      <c r="E450">
        <v>0.5074227</v>
      </c>
      <c r="F450" t="s">
        <v>41</v>
      </c>
      <c r="G450">
        <v>-373.51710000000003</v>
      </c>
      <c r="H450" s="1">
        <v>-3.335933E-6</v>
      </c>
      <c r="I450">
        <v>366.38889999999998</v>
      </c>
      <c r="J450">
        <v>-401.0016</v>
      </c>
      <c r="K450">
        <v>1.071359</v>
      </c>
      <c r="L450">
        <v>367.52809999999999</v>
      </c>
      <c r="M450">
        <v>0.99984079999999997</v>
      </c>
      <c r="N450">
        <v>-1.525807E-2</v>
      </c>
      <c r="O450">
        <v>-9.2578969999999993E-3</v>
      </c>
      <c r="P450">
        <v>0.99473140000000004</v>
      </c>
      <c r="Q450">
        <v>-0.10006660000000001</v>
      </c>
      <c r="R450">
        <v>-2.227751E-2</v>
      </c>
      <c r="S450">
        <v>3.001404</v>
      </c>
      <c r="T450">
        <v>-0.11604929999999999</v>
      </c>
      <c r="U450">
        <v>-0.12362670000000001</v>
      </c>
      <c r="V450">
        <v>1.308629E-2</v>
      </c>
      <c r="W450">
        <v>-8.487169E-2</v>
      </c>
      <c r="X450">
        <v>0.99630589999999997</v>
      </c>
      <c r="Y450">
        <v>3.1871200000000002E-2</v>
      </c>
      <c r="Z450">
        <v>-6.4258100000000003E-4</v>
      </c>
      <c r="AA450">
        <v>0.99949180000000004</v>
      </c>
      <c r="AB450">
        <v>25</v>
      </c>
      <c r="AC450">
        <v>27.484499999999901</v>
      </c>
      <c r="AD450">
        <v>-1.071362335933</v>
      </c>
      <c r="AE450">
        <v>-1.13920000000001</v>
      </c>
      <c r="AF450">
        <v>0.88333298064997201</v>
      </c>
      <c r="AG450">
        <v>-1.071362335933</v>
      </c>
      <c r="AH450">
        <v>27.452227923956698</v>
      </c>
      <c r="AI450">
        <v>92.233760401684805</v>
      </c>
      <c r="AJ450">
        <v>88.157024062652695</v>
      </c>
      <c r="AK450">
        <v>27.487322757926599</v>
      </c>
      <c r="AL450">
        <v>94.868646827413201</v>
      </c>
      <c r="AM450">
        <v>89.247474021529399</v>
      </c>
      <c r="AN450">
        <v>0.99999995056211299</v>
      </c>
    </row>
    <row r="451" spans="1:40" x14ac:dyDescent="0.25">
      <c r="A451" t="str">
        <f>"20190303154424183"</f>
        <v>20190303154424183</v>
      </c>
      <c r="B451" t="str">
        <f>"1551599064180497"</f>
        <v>1551599064180497</v>
      </c>
      <c r="C451" t="s">
        <v>40</v>
      </c>
      <c r="D451">
        <v>4.552969</v>
      </c>
      <c r="E451">
        <v>0.50728359999999995</v>
      </c>
      <c r="F451" t="s">
        <v>41</v>
      </c>
      <c r="G451">
        <v>-373.46260000000001</v>
      </c>
      <c r="H451" s="1">
        <v>-3.3590579999999998E-6</v>
      </c>
      <c r="I451">
        <v>366.3904</v>
      </c>
      <c r="J451">
        <v>-400.7475</v>
      </c>
      <c r="K451">
        <v>1.0720190000000001</v>
      </c>
      <c r="L451">
        <v>367.52600000000001</v>
      </c>
      <c r="M451">
        <v>0.9998224</v>
      </c>
      <c r="N451">
        <v>-1.6500819999999999E-2</v>
      </c>
      <c r="O451">
        <v>-9.1064430000000005E-3</v>
      </c>
      <c r="P451">
        <v>0.99466650000000001</v>
      </c>
      <c r="Q451">
        <v>-0.1005646</v>
      </c>
      <c r="R451">
        <v>-2.291785E-2</v>
      </c>
      <c r="S451">
        <v>3.0013730000000001</v>
      </c>
      <c r="T451">
        <v>-0.11676350000000001</v>
      </c>
      <c r="U451">
        <v>-0.1239929</v>
      </c>
      <c r="V451">
        <v>1.3875419999999999E-2</v>
      </c>
      <c r="W451">
        <v>-8.4132429999999994E-2</v>
      </c>
      <c r="X451">
        <v>0.99635799999999997</v>
      </c>
      <c r="Y451">
        <v>3.2142909999999997E-2</v>
      </c>
      <c r="Z451">
        <v>-6.8641660000000001E-4</v>
      </c>
      <c r="AA451">
        <v>0.99948300000000001</v>
      </c>
      <c r="AB451">
        <v>25</v>
      </c>
      <c r="AC451">
        <v>27.2849</v>
      </c>
      <c r="AD451">
        <v>-1.072022359058</v>
      </c>
      <c r="AE451">
        <v>-1.1356000000000099</v>
      </c>
      <c r="AF451">
        <v>0.88568581581811001</v>
      </c>
      <c r="AG451">
        <v>-1.072022359058</v>
      </c>
      <c r="AH451">
        <v>27.252114674619602</v>
      </c>
      <c r="AI451">
        <v>92.251507542186502</v>
      </c>
      <c r="AJ451">
        <v>88.138558984566203</v>
      </c>
      <c r="AK451">
        <v>27.287569066175099</v>
      </c>
      <c r="AL451">
        <v>94.826137928747201</v>
      </c>
      <c r="AM451">
        <v>89.202142585938404</v>
      </c>
      <c r="AN451">
        <v>1.0000000286109401</v>
      </c>
    </row>
    <row r="452" spans="1:40" x14ac:dyDescent="0.25">
      <c r="A452" t="str">
        <f>"20190303154424203"</f>
        <v>20190303154424203</v>
      </c>
      <c r="B452" t="str">
        <f>"1551599064200993"</f>
        <v>1551599064200993</v>
      </c>
      <c r="C452" t="s">
        <v>40</v>
      </c>
      <c r="D452">
        <v>4.6092750000000002</v>
      </c>
      <c r="E452">
        <v>0.50720540000000003</v>
      </c>
      <c r="F452" t="s">
        <v>41</v>
      </c>
      <c r="G452">
        <v>-373.51170000000002</v>
      </c>
      <c r="H452" s="1">
        <v>-3.3370279999999999E-6</v>
      </c>
      <c r="I452">
        <v>366.39600000000002</v>
      </c>
      <c r="J452">
        <v>-400.51839999999999</v>
      </c>
      <c r="K452">
        <v>1.0728359999999999</v>
      </c>
      <c r="L452">
        <v>367.52409999999998</v>
      </c>
      <c r="M452">
        <v>0.99981989999999998</v>
      </c>
      <c r="N452">
        <v>-1.6732670000000002E-2</v>
      </c>
      <c r="O452">
        <v>-8.9637019999999901E-3</v>
      </c>
      <c r="P452">
        <v>0.99470499999999995</v>
      </c>
      <c r="Q452">
        <v>-0.10007820000000001</v>
      </c>
      <c r="R452">
        <v>-2.3377019999999998E-2</v>
      </c>
      <c r="S452">
        <v>3.0012509999999999</v>
      </c>
      <c r="T452">
        <v>-0.1181309</v>
      </c>
      <c r="U452">
        <v>-0.1245117</v>
      </c>
      <c r="V452">
        <v>1.447651E-2</v>
      </c>
      <c r="W452">
        <v>-8.3414130000000003E-2</v>
      </c>
      <c r="X452">
        <v>0.99640980000000001</v>
      </c>
      <c r="Y452">
        <v>3.2458540000000001E-2</v>
      </c>
      <c r="Z452">
        <v>-7.0751549999999999E-4</v>
      </c>
      <c r="AA452">
        <v>0.9994729</v>
      </c>
      <c r="AB452">
        <v>24</v>
      </c>
      <c r="AC452">
        <v>27.006699999999899</v>
      </c>
      <c r="AD452">
        <v>-1.0728393370280001</v>
      </c>
      <c r="AE452">
        <v>-1.1281000000000101</v>
      </c>
      <c r="AF452">
        <v>0.88454733233553395</v>
      </c>
      <c r="AG452">
        <v>-1.0728393370280001</v>
      </c>
      <c r="AH452">
        <v>26.9732365529036</v>
      </c>
      <c r="AI452">
        <v>92.276471663447097</v>
      </c>
      <c r="AJ452">
        <v>88.121742902529405</v>
      </c>
      <c r="AK452">
        <v>27.0090521559923</v>
      </c>
      <c r="AL452">
        <v>94.784837386787999</v>
      </c>
      <c r="AM452">
        <v>89.167627042371905</v>
      </c>
      <c r="AN452">
        <v>0.99999998798073797</v>
      </c>
    </row>
    <row r="453" spans="1:40" x14ac:dyDescent="0.25">
      <c r="A453" t="str">
        <f>"20190303154424227"</f>
        <v>20190303154424227</v>
      </c>
      <c r="B453" t="str">
        <f>"1551599064220513"</f>
        <v>1551599064220513</v>
      </c>
      <c r="C453" t="s">
        <v>40</v>
      </c>
      <c r="D453">
        <v>4.6205360000000004</v>
      </c>
      <c r="E453">
        <v>0.50710200000000005</v>
      </c>
      <c r="F453" t="s">
        <v>41</v>
      </c>
      <c r="G453">
        <v>-373.02960000000002</v>
      </c>
      <c r="H453" s="1">
        <v>-3.547371E-6</v>
      </c>
      <c r="I453">
        <v>366.37610000000001</v>
      </c>
      <c r="J453">
        <v>-400.2713</v>
      </c>
      <c r="K453">
        <v>1.07362</v>
      </c>
      <c r="L453">
        <v>367.52210000000002</v>
      </c>
      <c r="M453">
        <v>0.99984890000000004</v>
      </c>
      <c r="N453">
        <v>-1.49909E-2</v>
      </c>
      <c r="O453">
        <v>-8.7998580000000007E-3</v>
      </c>
      <c r="P453">
        <v>0.99483999999999995</v>
      </c>
      <c r="Q453">
        <v>-9.8681640000000001E-2</v>
      </c>
      <c r="R453">
        <v>-2.3571959999999999E-2</v>
      </c>
      <c r="S453">
        <v>3.0012819999999998</v>
      </c>
      <c r="T453">
        <v>-0.1171343</v>
      </c>
      <c r="U453">
        <v>-0.12533569999999999</v>
      </c>
      <c r="V453">
        <v>1.4834969999999999E-2</v>
      </c>
      <c r="W453">
        <v>-8.3751000000000006E-2</v>
      </c>
      <c r="X453">
        <v>0.99637629999999999</v>
      </c>
      <c r="Y453">
        <v>3.2897469999999998E-2</v>
      </c>
      <c r="Z453">
        <v>-6.7697329999999998E-4</v>
      </c>
      <c r="AA453">
        <v>0.99945850000000003</v>
      </c>
      <c r="AB453">
        <v>24</v>
      </c>
      <c r="AC453">
        <v>27.241699999999899</v>
      </c>
      <c r="AD453">
        <v>-1.0736235473710001</v>
      </c>
      <c r="AE453">
        <v>-1.1460000000000099</v>
      </c>
      <c r="AF453">
        <v>0.90480270001343399</v>
      </c>
      <c r="AG453">
        <v>-1.0736235473710001</v>
      </c>
      <c r="AH453">
        <v>27.208544291119601</v>
      </c>
      <c r="AI453">
        <v>92.258418136750194</v>
      </c>
      <c r="AJ453">
        <v>88.095367452179005</v>
      </c>
      <c r="AK453">
        <v>27.244746610846601</v>
      </c>
      <c r="AL453">
        <v>94.804206243047702</v>
      </c>
      <c r="AM453">
        <v>89.146990579155599</v>
      </c>
      <c r="AN453">
        <v>1.0000000187687901</v>
      </c>
    </row>
    <row r="454" spans="1:40" x14ac:dyDescent="0.25">
      <c r="A454" t="str">
        <f>"20190303154424248"</f>
        <v>20190303154424248</v>
      </c>
      <c r="B454" t="str">
        <f>"1551599064241009"</f>
        <v>1551599064241009</v>
      </c>
      <c r="C454" t="s">
        <v>40</v>
      </c>
      <c r="D454">
        <v>4.6507420000000002</v>
      </c>
      <c r="E454">
        <v>0.50706739999999995</v>
      </c>
      <c r="F454" t="s">
        <v>41</v>
      </c>
      <c r="G454">
        <v>-371.85590000000002</v>
      </c>
      <c r="H454" s="1">
        <v>-4.0582499999999996E-6</v>
      </c>
      <c r="I454">
        <v>366.33449999999999</v>
      </c>
      <c r="J454">
        <v>-400.03199999999998</v>
      </c>
      <c r="K454">
        <v>1.074568</v>
      </c>
      <c r="L454">
        <v>367.52019999999999</v>
      </c>
      <c r="M454">
        <v>0.99988370000000004</v>
      </c>
      <c r="N454">
        <v>-1.256323E-2</v>
      </c>
      <c r="O454">
        <v>-8.6507659999999903E-3</v>
      </c>
      <c r="P454">
        <v>0.99507210000000001</v>
      </c>
      <c r="Q454">
        <v>-9.6377660000000004E-2</v>
      </c>
      <c r="R454">
        <v>-2.3305360000000001E-2</v>
      </c>
      <c r="S454">
        <v>3.0013429999999999</v>
      </c>
      <c r="T454">
        <v>-0.1134</v>
      </c>
      <c r="U454">
        <v>-0.12542719999999999</v>
      </c>
      <c r="V454">
        <v>1.4717010000000001E-2</v>
      </c>
      <c r="W454">
        <v>-8.3862899999999893E-2</v>
      </c>
      <c r="X454">
        <v>0.99636860000000005</v>
      </c>
      <c r="Y454">
        <v>3.3079799999999999E-2</v>
      </c>
      <c r="Z454">
        <v>-6.1446809999999999E-4</v>
      </c>
      <c r="AA454">
        <v>0.99945249999999997</v>
      </c>
      <c r="AB454">
        <v>24</v>
      </c>
      <c r="AC454">
        <v>28.176099999999899</v>
      </c>
      <c r="AD454">
        <v>-1.07457205825</v>
      </c>
      <c r="AE454">
        <v>-1.18569999999999</v>
      </c>
      <c r="AF454">
        <v>0.94052598721093605</v>
      </c>
      <c r="AG454">
        <v>-1.07457205825</v>
      </c>
      <c r="AH454">
        <v>28.144440236563099</v>
      </c>
      <c r="AI454">
        <v>92.185307380256205</v>
      </c>
      <c r="AJ454">
        <v>88.086011920036299</v>
      </c>
      <c r="AK454">
        <v>28.180646026492401</v>
      </c>
      <c r="AL454">
        <v>94.810640454157607</v>
      </c>
      <c r="AM454">
        <v>89.153765739358406</v>
      </c>
      <c r="AN454">
        <v>0.99999998172285398</v>
      </c>
    </row>
    <row r="455" spans="1:40" x14ac:dyDescent="0.25">
      <c r="A455" t="str">
        <f>"20190303154424271"</f>
        <v>20190303154424271</v>
      </c>
      <c r="B455" t="str">
        <f>"1551599064260532"</f>
        <v>1551599064260532</v>
      </c>
      <c r="C455" t="s">
        <v>40</v>
      </c>
      <c r="D455">
        <v>4.7120059999999997</v>
      </c>
      <c r="E455">
        <v>0.50651999999999997</v>
      </c>
      <c r="F455" t="s">
        <v>41</v>
      </c>
      <c r="G455">
        <v>-369.7747</v>
      </c>
      <c r="H455" s="1">
        <v>-9.530199E-7</v>
      </c>
      <c r="I455">
        <v>366.27030000000002</v>
      </c>
      <c r="J455">
        <v>-399.78440000000001</v>
      </c>
      <c r="K455">
        <v>1.075861</v>
      </c>
      <c r="L455">
        <v>367.51830000000001</v>
      </c>
      <c r="M455">
        <v>0.99991229999999998</v>
      </c>
      <c r="N455">
        <v>-1.0173939999999999E-2</v>
      </c>
      <c r="O455">
        <v>-8.4827050000000001E-3</v>
      </c>
      <c r="P455">
        <v>0.99527960000000004</v>
      </c>
      <c r="Q455">
        <v>-9.4393939999999996E-2</v>
      </c>
      <c r="R455">
        <v>-2.2549340000000001E-2</v>
      </c>
      <c r="S455">
        <v>3.0016780000000001</v>
      </c>
      <c r="T455">
        <v>-0.1066025</v>
      </c>
      <c r="U455">
        <v>-0.1239929</v>
      </c>
      <c r="V455">
        <v>1.412569E-2</v>
      </c>
      <c r="W455">
        <v>-8.4258180000000002E-2</v>
      </c>
      <c r="X455">
        <v>0.99634389999999995</v>
      </c>
      <c r="Y455">
        <v>3.2771439999999999E-2</v>
      </c>
      <c r="Z455">
        <v>-5.3358170000000001E-4</v>
      </c>
      <c r="AA455">
        <v>0.99946270000000004</v>
      </c>
      <c r="AB455">
        <v>25</v>
      </c>
      <c r="AC455">
        <v>30.009699999999999</v>
      </c>
      <c r="AD455">
        <v>-1.0758619530199001</v>
      </c>
      <c r="AE455">
        <v>-1.24799999999999</v>
      </c>
      <c r="AF455">
        <v>0.99210558637192003</v>
      </c>
      <c r="AG455">
        <v>-1.0758619530199001</v>
      </c>
      <c r="AH455">
        <v>29.980740724151101</v>
      </c>
      <c r="AI455">
        <v>92.054059670843699</v>
      </c>
      <c r="AJ455">
        <v>88.104692328948403</v>
      </c>
      <c r="AK455">
        <v>30.016438276471799</v>
      </c>
      <c r="AL455">
        <v>94.833368338789398</v>
      </c>
      <c r="AM455">
        <v>89.187742104193603</v>
      </c>
      <c r="AN455">
        <v>1.00000007154104</v>
      </c>
    </row>
    <row r="456" spans="1:40" x14ac:dyDescent="0.25">
      <c r="A456" t="str">
        <f>"20190303154424292"</f>
        <v>20190303154424292</v>
      </c>
      <c r="B456" t="str">
        <f>"1551599064281028"</f>
        <v>1551599064281028</v>
      </c>
      <c r="C456" t="s">
        <v>40</v>
      </c>
      <c r="D456">
        <v>4.6989140000000003</v>
      </c>
      <c r="E456">
        <v>0.4739564</v>
      </c>
      <c r="F456" t="s">
        <v>41</v>
      </c>
      <c r="G456">
        <v>-367.8605</v>
      </c>
      <c r="H456" s="1">
        <v>-1.6054419999999901E-6</v>
      </c>
      <c r="I456">
        <v>366.26650000000001</v>
      </c>
      <c r="J456">
        <v>-399.55329999999998</v>
      </c>
      <c r="K456">
        <v>1.077275</v>
      </c>
      <c r="L456">
        <v>367.51650000000001</v>
      </c>
      <c r="M456">
        <v>0.99993209999999999</v>
      </c>
      <c r="N456">
        <v>-8.1832239999999994E-3</v>
      </c>
      <c r="O456">
        <v>-8.3144829999999992E-3</v>
      </c>
      <c r="P456">
        <v>0.99546380000000001</v>
      </c>
      <c r="Q456">
        <v>-9.2622099999999999E-2</v>
      </c>
      <c r="R456">
        <v>-2.175562E-2</v>
      </c>
      <c r="S456">
        <v>3.002014</v>
      </c>
      <c r="T456">
        <v>-0.1011701</v>
      </c>
      <c r="U456">
        <v>-0.1177063</v>
      </c>
      <c r="V456">
        <v>1.349594E-2</v>
      </c>
      <c r="W456">
        <v>-8.4468779999999993E-2</v>
      </c>
      <c r="X456">
        <v>0.99633470000000002</v>
      </c>
      <c r="Y456">
        <v>3.0850240000000001E-2</v>
      </c>
      <c r="Z456">
        <v>-4.338128E-4</v>
      </c>
      <c r="AA456">
        <v>0.99952390000000002</v>
      </c>
      <c r="AB456">
        <v>25</v>
      </c>
      <c r="AC456">
        <v>31.692799999999899</v>
      </c>
      <c r="AD456">
        <v>-1.077276605442</v>
      </c>
      <c r="AE456">
        <v>-1.25</v>
      </c>
      <c r="AF456">
        <v>0.98530210691226605</v>
      </c>
      <c r="AG456">
        <v>-1.077276605442</v>
      </c>
      <c r="AH456">
        <v>31.6655682410968</v>
      </c>
      <c r="AI456">
        <v>91.947534374254303</v>
      </c>
      <c r="AJ456">
        <v>88.217766282362007</v>
      </c>
      <c r="AK456">
        <v>31.699204361593601</v>
      </c>
      <c r="AL456">
        <v>94.845478469317698</v>
      </c>
      <c r="AM456">
        <v>89.223942401689499</v>
      </c>
      <c r="AN456">
        <v>0.99999997480763003</v>
      </c>
    </row>
    <row r="457" spans="1:40" x14ac:dyDescent="0.25">
      <c r="A457" t="str">
        <f>"20190303154424318"</f>
        <v>20190303154424318</v>
      </c>
      <c r="B457" t="str">
        <f>"1551599064310305"</f>
        <v>1551599064310305</v>
      </c>
      <c r="C457" t="s">
        <v>40</v>
      </c>
      <c r="D457">
        <v>4.7323599999999999</v>
      </c>
      <c r="E457">
        <v>0.47325660000000003</v>
      </c>
      <c r="F457" t="s">
        <v>41</v>
      </c>
      <c r="G457">
        <v>-374.37369999999999</v>
      </c>
      <c r="H457" s="1">
        <v>-2.5542960000000002E-6</v>
      </c>
      <c r="I457">
        <v>368.72370000000001</v>
      </c>
      <c r="J457">
        <v>-399.27670000000001</v>
      </c>
      <c r="K457">
        <v>1.079056</v>
      </c>
      <c r="L457">
        <v>367.5145</v>
      </c>
      <c r="M457">
        <v>0.99994939999999999</v>
      </c>
      <c r="N457">
        <v>-5.9715219999999999E-3</v>
      </c>
      <c r="O457">
        <v>-8.1059249999999999E-3</v>
      </c>
      <c r="P457">
        <v>0.99563749999999995</v>
      </c>
      <c r="Q457">
        <v>-9.085493E-2</v>
      </c>
      <c r="R457">
        <v>-2.1250809999999998E-2</v>
      </c>
      <c r="S457">
        <v>3.0049130000000002</v>
      </c>
      <c r="T457">
        <v>-0.12856139999999999</v>
      </c>
      <c r="U457">
        <v>0.14407349999999999</v>
      </c>
      <c r="V457">
        <v>1.3195729999999999E-2</v>
      </c>
      <c r="W457">
        <v>-8.4904460000000001E-2</v>
      </c>
      <c r="X457">
        <v>0.99630169999999996</v>
      </c>
      <c r="Y457">
        <v>-5.5922489999999998E-2</v>
      </c>
      <c r="Z457">
        <v>1.660311E-3</v>
      </c>
      <c r="AA457">
        <v>0.99843369999999998</v>
      </c>
      <c r="AB457">
        <v>25</v>
      </c>
      <c r="AC457">
        <v>24.902999999999999</v>
      </c>
      <c r="AD457">
        <v>-1.0790585542960001</v>
      </c>
      <c r="AE457">
        <v>1.2092000000000001</v>
      </c>
      <c r="AF457">
        <v>-1.4083876356377201</v>
      </c>
      <c r="AG457">
        <v>-1.0790585542960001</v>
      </c>
      <c r="AH457">
        <v>24.845840896460601</v>
      </c>
      <c r="AI457">
        <v>92.482820775014304</v>
      </c>
      <c r="AJ457">
        <v>93.244341972731405</v>
      </c>
      <c r="AK457">
        <v>24.909109437072399</v>
      </c>
      <c r="AL457">
        <v>94.870531038781905</v>
      </c>
      <c r="AM457">
        <v>89.241178218094205</v>
      </c>
      <c r="AN457">
        <v>0.99999998602050699</v>
      </c>
    </row>
    <row r="458" spans="1:40" x14ac:dyDescent="0.25">
      <c r="A458" t="str">
        <f>"20190303154424342"</f>
        <v>20190303154424342</v>
      </c>
      <c r="B458" t="str">
        <f>"1551599064330801"</f>
        <v>1551599064330801</v>
      </c>
      <c r="C458" t="s">
        <v>40</v>
      </c>
      <c r="D458">
        <v>4.7661290000000003</v>
      </c>
      <c r="E458">
        <v>0.47231230000000002</v>
      </c>
      <c r="F458" t="s">
        <v>41</v>
      </c>
      <c r="G458">
        <v>-375.15390000000002</v>
      </c>
      <c r="H458" s="1">
        <v>-2.2189879999999999E-6</v>
      </c>
      <c r="I458">
        <v>368.72710000000001</v>
      </c>
      <c r="J458">
        <v>-399.01369999999997</v>
      </c>
      <c r="K458">
        <v>1.0807450000000001</v>
      </c>
      <c r="L458">
        <v>367.51249999999999</v>
      </c>
      <c r="M458">
        <v>0.99996070000000004</v>
      </c>
      <c r="N458">
        <v>-3.9984829999999997E-3</v>
      </c>
      <c r="O458">
        <v>-7.9119469999999904E-3</v>
      </c>
      <c r="P458">
        <v>0.99581620000000004</v>
      </c>
      <c r="Q458">
        <v>-8.8960449999999996E-2</v>
      </c>
      <c r="R458">
        <v>-2.08839E-2</v>
      </c>
      <c r="S458">
        <v>3.0041199999999999</v>
      </c>
      <c r="T458">
        <v>-0.13438</v>
      </c>
      <c r="U458">
        <v>0.15103150000000001</v>
      </c>
      <c r="V458">
        <v>1.3020159999999999E-2</v>
      </c>
      <c r="W458">
        <v>-8.4974999999999995E-2</v>
      </c>
      <c r="X458">
        <v>0.99629800000000002</v>
      </c>
      <c r="Y458">
        <v>-5.8042209999999997E-2</v>
      </c>
      <c r="Z458">
        <v>1.7348109999999999E-3</v>
      </c>
      <c r="AA458">
        <v>0.99831270000000005</v>
      </c>
      <c r="AB458">
        <v>25</v>
      </c>
      <c r="AC458">
        <v>23.8597999999999</v>
      </c>
      <c r="AD458">
        <v>-1.0807472189880001</v>
      </c>
      <c r="AE458">
        <v>1.2146000000000099</v>
      </c>
      <c r="AF458">
        <v>-1.40047503256404</v>
      </c>
      <c r="AG458">
        <v>-1.0807472189880001</v>
      </c>
      <c r="AH458">
        <v>23.8007374033342</v>
      </c>
      <c r="AI458">
        <v>92.595425761017296</v>
      </c>
      <c r="AJ458">
        <v>93.367496209157807</v>
      </c>
      <c r="AK458">
        <v>23.866387364045199</v>
      </c>
      <c r="AL458">
        <v>94.874587322804103</v>
      </c>
      <c r="AM458">
        <v>89.251270451253504</v>
      </c>
      <c r="AN458">
        <v>0.999999989997712</v>
      </c>
    </row>
    <row r="459" spans="1:40" x14ac:dyDescent="0.25">
      <c r="A459" t="str">
        <f>"20190303154424362"</f>
        <v>20190303154424362</v>
      </c>
      <c r="B459" t="str">
        <f>"1551599064350321"</f>
        <v>1551599064350321</v>
      </c>
      <c r="C459" t="s">
        <v>40</v>
      </c>
      <c r="D459">
        <v>4.7448489999999897</v>
      </c>
      <c r="E459">
        <v>0.47239409999999998</v>
      </c>
      <c r="F459" t="s">
        <v>41</v>
      </c>
      <c r="G459">
        <v>-375.37860000000001</v>
      </c>
      <c r="H459" s="1">
        <v>-2.1155610000000001E-6</v>
      </c>
      <c r="I459">
        <v>368.76690000000002</v>
      </c>
      <c r="J459">
        <v>-398.79129999999998</v>
      </c>
      <c r="K459">
        <v>1.082133</v>
      </c>
      <c r="L459">
        <v>367.51089999999999</v>
      </c>
      <c r="M459">
        <v>0.99996689999999999</v>
      </c>
      <c r="N459">
        <v>-2.4898089999999999E-3</v>
      </c>
      <c r="O459">
        <v>-7.7561100000000001E-3</v>
      </c>
      <c r="P459">
        <v>0.99593620000000005</v>
      </c>
      <c r="Q459">
        <v>-8.7594640000000001E-2</v>
      </c>
      <c r="R459">
        <v>-2.0939449999999998E-2</v>
      </c>
      <c r="S459">
        <v>3.0036619999999998</v>
      </c>
      <c r="T459">
        <v>-0.1373463</v>
      </c>
      <c r="U459">
        <v>0.15942379999999901</v>
      </c>
      <c r="V459">
        <v>1.3230560000000001E-2</v>
      </c>
      <c r="W459">
        <v>-8.5111820000000005E-2</v>
      </c>
      <c r="X459">
        <v>0.99628349999999999</v>
      </c>
      <c r="Y459">
        <v>-6.0671620000000002E-2</v>
      </c>
      <c r="Z459">
        <v>1.7960230000000001E-3</v>
      </c>
      <c r="AA459">
        <v>0.99815620000000005</v>
      </c>
      <c r="AB459">
        <v>25</v>
      </c>
      <c r="AC459">
        <v>23.412699999999901</v>
      </c>
      <c r="AD459">
        <v>-1.0821351155609999</v>
      </c>
      <c r="AE459">
        <v>1.25600000000002</v>
      </c>
      <c r="AF459">
        <v>-1.4344985363778</v>
      </c>
      <c r="AG459">
        <v>-1.0821351155609999</v>
      </c>
      <c r="AH459">
        <v>23.352509513460099</v>
      </c>
      <c r="AI459">
        <v>92.648154520195206</v>
      </c>
      <c r="AJ459">
        <v>93.515149654150903</v>
      </c>
      <c r="AK459">
        <v>23.4215392968832</v>
      </c>
      <c r="AL459">
        <v>94.882455274042002</v>
      </c>
      <c r="AM459">
        <v>89.239161653541103</v>
      </c>
      <c r="AN459">
        <v>0.99999994099693601</v>
      </c>
    </row>
    <row r="460" spans="1:40" x14ac:dyDescent="0.25">
      <c r="A460" t="str">
        <f>"20190303154424384"</f>
        <v>20190303154424384</v>
      </c>
      <c r="B460" t="str">
        <f>"1551599064380577"</f>
        <v>1551599064380577</v>
      </c>
      <c r="C460" t="s">
        <v>40</v>
      </c>
      <c r="D460">
        <v>4.7412650000000003</v>
      </c>
      <c r="E460">
        <v>0.47185589999999999</v>
      </c>
      <c r="F460" t="s">
        <v>41</v>
      </c>
      <c r="G460">
        <v>-374.16430000000003</v>
      </c>
      <c r="H460" s="1">
        <v>-2.628571E-6</v>
      </c>
      <c r="I460">
        <v>368.8116</v>
      </c>
      <c r="J460">
        <v>-398.54070000000002</v>
      </c>
      <c r="K460">
        <v>1.0839080000000001</v>
      </c>
      <c r="L460">
        <v>367.50909999999999</v>
      </c>
      <c r="M460">
        <v>0.99996969999999996</v>
      </c>
      <c r="N460">
        <v>-1.8712850000000001E-3</v>
      </c>
      <c r="O460">
        <v>-7.5759719999999899E-3</v>
      </c>
      <c r="P460">
        <v>0.99599539999999998</v>
      </c>
      <c r="Q460">
        <v>-8.6791489999999999E-2</v>
      </c>
      <c r="R460">
        <v>-2.1461170000000002E-2</v>
      </c>
      <c r="S460">
        <v>3.0039370000000001</v>
      </c>
      <c r="T460">
        <v>-0.131995899999999</v>
      </c>
      <c r="U460">
        <v>0.15866089999999999</v>
      </c>
      <c r="V460">
        <v>1.3931310000000001E-2</v>
      </c>
      <c r="W460">
        <v>-8.4924620000000006E-2</v>
      </c>
      <c r="X460">
        <v>0.99629000000000001</v>
      </c>
      <c r="Y460">
        <v>-6.0240929999999998E-2</v>
      </c>
      <c r="Z460">
        <v>1.696754E-3</v>
      </c>
      <c r="AA460">
        <v>0.99818240000000003</v>
      </c>
      <c r="AB460">
        <v>25</v>
      </c>
      <c r="AC460">
        <v>24.376399999999901</v>
      </c>
      <c r="AD460">
        <v>-1.0839106285709901</v>
      </c>
      <c r="AE460">
        <v>1.3025</v>
      </c>
      <c r="AF460">
        <v>-1.4842116304322699</v>
      </c>
      <c r="AG460">
        <v>-1.0839106285709901</v>
      </c>
      <c r="AH460">
        <v>24.3178885853834</v>
      </c>
      <c r="AI460">
        <v>92.547396533935498</v>
      </c>
      <c r="AJ460">
        <v>93.492643036151193</v>
      </c>
      <c r="AK460">
        <v>24.387239525328901</v>
      </c>
      <c r="AL460">
        <v>94.871690151132199</v>
      </c>
      <c r="AM460">
        <v>89.198874576723796</v>
      </c>
      <c r="AN460">
        <v>1.00000001829023</v>
      </c>
    </row>
    <row r="461" spans="1:40" x14ac:dyDescent="0.25">
      <c r="A461" t="str">
        <f>"20190303154424405"</f>
        <v>20190303154424405</v>
      </c>
      <c r="B461" t="str">
        <f>"1551599064401073"</f>
        <v>1551599064401073</v>
      </c>
      <c r="C461" t="s">
        <v>40</v>
      </c>
      <c r="D461">
        <v>4.7195179999999999</v>
      </c>
      <c r="E461">
        <v>0.47167199999999998</v>
      </c>
      <c r="F461" t="s">
        <v>41</v>
      </c>
      <c r="G461">
        <v>-374.63760000000002</v>
      </c>
      <c r="H461" s="1">
        <v>-2.4286879999999998E-6</v>
      </c>
      <c r="I461">
        <v>368.7937</v>
      </c>
      <c r="J461">
        <v>-398.30950000000001</v>
      </c>
      <c r="K461">
        <v>1.0859760000000001</v>
      </c>
      <c r="L461">
        <v>367.50749999999999</v>
      </c>
      <c r="M461">
        <v>0.99997060000000004</v>
      </c>
      <c r="N461">
        <v>-2.0487449999999998E-3</v>
      </c>
      <c r="O461">
        <v>-7.4044649999999998E-3</v>
      </c>
      <c r="P461">
        <v>0.9959964</v>
      </c>
      <c r="Q461">
        <v>-8.6767150000000001E-2</v>
      </c>
      <c r="R461">
        <v>-2.1512469999999999E-2</v>
      </c>
      <c r="S461">
        <v>3.0036930000000002</v>
      </c>
      <c r="T461">
        <v>-0.13620499999999999</v>
      </c>
      <c r="U461">
        <v>0.161438</v>
      </c>
      <c r="V461">
        <v>1.415343E-2</v>
      </c>
      <c r="W461">
        <v>-8.4723419999999994E-2</v>
      </c>
      <c r="X461">
        <v>0.99630399999999997</v>
      </c>
      <c r="Y461">
        <v>-6.0989149999999999E-2</v>
      </c>
      <c r="Z461">
        <v>1.7638619999999999E-3</v>
      </c>
      <c r="AA461">
        <v>0.99813689999999999</v>
      </c>
      <c r="AB461">
        <v>24</v>
      </c>
      <c r="AC461">
        <v>23.671899999999901</v>
      </c>
      <c r="AD461">
        <v>-1.0859784286880001</v>
      </c>
      <c r="AE461">
        <v>1.2862</v>
      </c>
      <c r="AF461">
        <v>-1.4583825202573499</v>
      </c>
      <c r="AG461">
        <v>-1.0859784286880001</v>
      </c>
      <c r="AH461">
        <v>23.612178760764898</v>
      </c>
      <c r="AI461">
        <v>92.628307627415694</v>
      </c>
      <c r="AJ461">
        <v>93.534326633915995</v>
      </c>
      <c r="AK461">
        <v>23.682086364028098</v>
      </c>
      <c r="AL461">
        <v>94.860120539821907</v>
      </c>
      <c r="AM461">
        <v>89.186114619397202</v>
      </c>
      <c r="AN461">
        <v>1.00000001894663</v>
      </c>
    </row>
    <row r="462" spans="1:40" x14ac:dyDescent="0.25">
      <c r="A462" t="str">
        <f>"20190303154424429"</f>
        <v>20190303154424429</v>
      </c>
      <c r="B462" t="str">
        <f>"1551599064420611"</f>
        <v>1551599064420611</v>
      </c>
      <c r="C462" t="s">
        <v>40</v>
      </c>
      <c r="D462">
        <v>4.6980199999999996</v>
      </c>
      <c r="E462">
        <v>0.47143439999999998</v>
      </c>
      <c r="F462" t="s">
        <v>41</v>
      </c>
      <c r="G462">
        <v>-374.58800000000002</v>
      </c>
      <c r="H462" s="1">
        <v>-2.450151E-6</v>
      </c>
      <c r="I462">
        <v>368.7928</v>
      </c>
      <c r="J462">
        <v>-398.05799999999999</v>
      </c>
      <c r="K462">
        <v>1.0884480000000001</v>
      </c>
      <c r="L462">
        <v>367.5059</v>
      </c>
      <c r="M462">
        <v>0.99997190000000002</v>
      </c>
      <c r="N462">
        <v>-2.1056830000000001E-3</v>
      </c>
      <c r="O462">
        <v>-7.2187800000000002E-3</v>
      </c>
      <c r="P462">
        <v>0.99596010000000001</v>
      </c>
      <c r="Q462">
        <v>-8.7133210000000003E-2</v>
      </c>
      <c r="R462">
        <v>-2.1717529999999999E-2</v>
      </c>
      <c r="S462">
        <v>3.0036010000000002</v>
      </c>
      <c r="T462">
        <v>-0.13750509999999999</v>
      </c>
      <c r="U462">
        <v>0.16275020000000001</v>
      </c>
      <c r="V462">
        <v>1.4544710000000001E-2</v>
      </c>
      <c r="W462">
        <v>-8.5032570000000002E-2</v>
      </c>
      <c r="X462">
        <v>0.99627200000000005</v>
      </c>
      <c r="Y462">
        <v>-6.1238720000000003E-2</v>
      </c>
      <c r="Z462">
        <v>1.779449E-3</v>
      </c>
      <c r="AA462">
        <v>0.99812160000000005</v>
      </c>
      <c r="AB462">
        <v>24</v>
      </c>
      <c r="AC462">
        <v>23.47</v>
      </c>
      <c r="AD462">
        <v>-1.0884504501509999</v>
      </c>
      <c r="AE462">
        <v>1.2868999999999999</v>
      </c>
      <c r="AF462">
        <v>-1.4531755241492299</v>
      </c>
      <c r="AG462">
        <v>-1.0884504501509999</v>
      </c>
      <c r="AH462">
        <v>23.409900539207001</v>
      </c>
      <c r="AI462">
        <v>92.656960701763893</v>
      </c>
      <c r="AJ462">
        <v>93.552092280470305</v>
      </c>
      <c r="AK462">
        <v>23.480202016634799</v>
      </c>
      <c r="AL462">
        <v>94.877897811698503</v>
      </c>
      <c r="AM462">
        <v>89.163590566137998</v>
      </c>
      <c r="AN462">
        <v>0.99999999226689396</v>
      </c>
    </row>
    <row r="463" spans="1:40" x14ac:dyDescent="0.25">
      <c r="A463" t="str">
        <f>"20190303154424450"</f>
        <v>20190303154424450</v>
      </c>
      <c r="B463" t="str">
        <f>"1551599064441096"</f>
        <v>1551599064441096</v>
      </c>
      <c r="C463" t="s">
        <v>40</v>
      </c>
      <c r="D463">
        <v>4.672358</v>
      </c>
      <c r="E463">
        <v>0.47145239999999999</v>
      </c>
      <c r="F463" t="s">
        <v>41</v>
      </c>
      <c r="G463">
        <v>-374.65230000000003</v>
      </c>
      <c r="H463" s="1">
        <v>-2.4244060000000002E-6</v>
      </c>
      <c r="I463">
        <v>368.7824</v>
      </c>
      <c r="J463">
        <v>-397.81909999999999</v>
      </c>
      <c r="K463">
        <v>1.0908739999999999</v>
      </c>
      <c r="L463">
        <v>367.5043</v>
      </c>
      <c r="M463">
        <v>0.99997360000000002</v>
      </c>
      <c r="N463">
        <v>-1.827494E-3</v>
      </c>
      <c r="O463">
        <v>-7.0437669999999898E-3</v>
      </c>
      <c r="P463">
        <v>0.9959886</v>
      </c>
      <c r="Q463">
        <v>-8.6899439999999994E-2</v>
      </c>
      <c r="R463">
        <v>-2.1340040000000001E-2</v>
      </c>
      <c r="S463">
        <v>3.0035099999999999</v>
      </c>
      <c r="T463">
        <v>-0.13967370000000001</v>
      </c>
      <c r="U463">
        <v>0.1638184</v>
      </c>
      <c r="V463">
        <v>1.4342270000000001E-2</v>
      </c>
      <c r="W463">
        <v>-8.5075830000000005E-2</v>
      </c>
      <c r="X463">
        <v>0.99627129999999997</v>
      </c>
      <c r="Y463">
        <v>-6.1417550000000001E-2</v>
      </c>
      <c r="Z463">
        <v>1.7967279999999901E-3</v>
      </c>
      <c r="AA463">
        <v>0.99811050000000001</v>
      </c>
      <c r="AB463">
        <v>24</v>
      </c>
      <c r="AC463">
        <v>23.166799999999899</v>
      </c>
      <c r="AD463">
        <v>-1.0908764244060001</v>
      </c>
      <c r="AE463">
        <v>1.27809999999999</v>
      </c>
      <c r="AF463">
        <v>-1.4380711747702699</v>
      </c>
      <c r="AG463">
        <v>-1.0908764244060001</v>
      </c>
      <c r="AH463">
        <v>23.106145479534302</v>
      </c>
      <c r="AI463">
        <v>92.697801981377395</v>
      </c>
      <c r="AJ463">
        <v>93.561358550952093</v>
      </c>
      <c r="AK463">
        <v>23.1765402724055</v>
      </c>
      <c r="AL463">
        <v>94.880385157190403</v>
      </c>
      <c r="AM463">
        <v>89.175229900542007</v>
      </c>
      <c r="AN463">
        <v>1.00000005038131</v>
      </c>
    </row>
    <row r="464" spans="1:40" x14ac:dyDescent="0.25">
      <c r="A464" t="str">
        <f>"20190303154424472"</f>
        <v>20190303154424472</v>
      </c>
      <c r="B464" t="str">
        <f>"1551599064460633"</f>
        <v>1551599064460633</v>
      </c>
      <c r="C464" t="s">
        <v>40</v>
      </c>
      <c r="D464">
        <v>4.6048249999999999</v>
      </c>
      <c r="E464">
        <v>0.47160990000000003</v>
      </c>
      <c r="F464" t="s">
        <v>41</v>
      </c>
      <c r="G464">
        <v>-374.58319999999998</v>
      </c>
      <c r="H464" s="1">
        <v>-2.454532E-6</v>
      </c>
      <c r="I464">
        <v>368.77969999999999</v>
      </c>
      <c r="J464">
        <v>-397.57420000000002</v>
      </c>
      <c r="K464">
        <v>1.0935060000000001</v>
      </c>
      <c r="L464">
        <v>367.5027</v>
      </c>
      <c r="M464">
        <v>0.99997499999999995</v>
      </c>
      <c r="N464">
        <v>-1.6900000000000001E-3</v>
      </c>
      <c r="O464">
        <v>-6.8710409999999996E-3</v>
      </c>
      <c r="P464">
        <v>0.99597139999999995</v>
      </c>
      <c r="Q464">
        <v>-8.7203879999999998E-2</v>
      </c>
      <c r="R464">
        <v>-2.0893459999999999E-2</v>
      </c>
      <c r="S464">
        <v>3.0032960000000002</v>
      </c>
      <c r="T464">
        <v>-0.14099790000000001</v>
      </c>
      <c r="U464">
        <v>0.164856</v>
      </c>
      <c r="V464">
        <v>1.4068570000000001E-2</v>
      </c>
      <c r="W464">
        <v>-8.551723E-2</v>
      </c>
      <c r="X464">
        <v>0.99623729999999999</v>
      </c>
      <c r="Y464">
        <v>-6.1591499999999903E-2</v>
      </c>
      <c r="Z464">
        <v>1.8065990000000001E-3</v>
      </c>
      <c r="AA464">
        <v>0.99809979999999998</v>
      </c>
      <c r="AB464">
        <v>25</v>
      </c>
      <c r="AC464">
        <v>22.991</v>
      </c>
      <c r="AD464">
        <v>-1.093508454532</v>
      </c>
      <c r="AE464">
        <v>1.2769999999999799</v>
      </c>
      <c r="AF464">
        <v>-1.4317133365102499</v>
      </c>
      <c r="AG464">
        <v>-1.093508454532</v>
      </c>
      <c r="AH464">
        <v>22.9299705915431</v>
      </c>
      <c r="AI464">
        <v>92.725013961632797</v>
      </c>
      <c r="AJ464">
        <v>93.5728252972701</v>
      </c>
      <c r="AK464">
        <v>23.000632929271902</v>
      </c>
      <c r="AL464">
        <v>94.905768563034798</v>
      </c>
      <c r="AM464">
        <v>89.190939640219597</v>
      </c>
      <c r="AN464">
        <v>0.999999939600002</v>
      </c>
    </row>
    <row r="465" spans="1:40" x14ac:dyDescent="0.25">
      <c r="A465" t="str">
        <f>"20190303154424494"</f>
        <v>20190303154424494</v>
      </c>
      <c r="B465" t="str">
        <f>"1551599064490872"</f>
        <v>1551599064490872</v>
      </c>
      <c r="C465" t="s">
        <v>40</v>
      </c>
      <c r="D465">
        <v>4.6387429999999998</v>
      </c>
      <c r="E465">
        <v>0.47177459999999999</v>
      </c>
      <c r="F465" t="s">
        <v>41</v>
      </c>
      <c r="G465">
        <v>-373.952</v>
      </c>
      <c r="H465" s="1">
        <v>-2.7214299999999999E-6</v>
      </c>
      <c r="I465">
        <v>368.8014</v>
      </c>
      <c r="J465">
        <v>-397.33269999999999</v>
      </c>
      <c r="K465">
        <v>1.09623</v>
      </c>
      <c r="L465">
        <v>367.50130000000001</v>
      </c>
      <c r="M465">
        <v>0.99997570000000002</v>
      </c>
      <c r="N465">
        <v>-1.9788869999999999E-3</v>
      </c>
      <c r="O465">
        <v>-6.7078329999999999E-3</v>
      </c>
      <c r="P465">
        <v>0.9959384</v>
      </c>
      <c r="Q465">
        <v>-8.7630239999999998E-2</v>
      </c>
      <c r="R465">
        <v>-2.0692169999999999E-2</v>
      </c>
      <c r="S465">
        <v>3.0034480000000001</v>
      </c>
      <c r="T465">
        <v>-0.13903450000000001</v>
      </c>
      <c r="U465">
        <v>0.16513059999999999</v>
      </c>
      <c r="V465">
        <v>1.403047E-2</v>
      </c>
      <c r="W465">
        <v>-8.5655819999999994E-2</v>
      </c>
      <c r="X465">
        <v>0.99622599999999994</v>
      </c>
      <c r="Y465">
        <v>-6.151885E-2</v>
      </c>
      <c r="Z465">
        <v>1.779891E-3</v>
      </c>
      <c r="AA465">
        <v>0.99810430000000006</v>
      </c>
      <c r="AB465">
        <v>25</v>
      </c>
      <c r="AC465">
        <v>23.380699999999901</v>
      </c>
      <c r="AD465">
        <v>-1.0962327214299901</v>
      </c>
      <c r="AE465">
        <v>1.30009999999998</v>
      </c>
      <c r="AF465">
        <v>-1.4537189784504301</v>
      </c>
      <c r="AG465">
        <v>-1.0962327214299901</v>
      </c>
      <c r="AH465">
        <v>23.320345605242601</v>
      </c>
      <c r="AI465">
        <v>92.686147697416899</v>
      </c>
      <c r="AJ465">
        <v>93.567027968045494</v>
      </c>
      <c r="AK465">
        <v>23.3913134346021</v>
      </c>
      <c r="AL465">
        <v>94.913738090542694</v>
      </c>
      <c r="AM465">
        <v>89.193121267635206</v>
      </c>
      <c r="AN465">
        <v>1.0000000083321401</v>
      </c>
    </row>
    <row r="466" spans="1:40" x14ac:dyDescent="0.25">
      <c r="A466" t="str">
        <f>"20190303154424518"</f>
        <v>20190303154424518</v>
      </c>
      <c r="B466" t="str">
        <f>"1551599064510392"</f>
        <v>1551599064510392</v>
      </c>
      <c r="C466" t="s">
        <v>40</v>
      </c>
      <c r="D466">
        <v>4.5794819999999996</v>
      </c>
      <c r="E466">
        <v>0.4719257</v>
      </c>
      <c r="F466" t="s">
        <v>41</v>
      </c>
      <c r="G466">
        <v>-373.28519999999997</v>
      </c>
      <c r="H466" s="1">
        <v>-3.0049479999999999E-6</v>
      </c>
      <c r="I466">
        <v>368.8159</v>
      </c>
      <c r="J466">
        <v>-397.07479999999998</v>
      </c>
      <c r="K466">
        <v>1.099153</v>
      </c>
      <c r="L466">
        <v>367.49970000000002</v>
      </c>
      <c r="M466">
        <v>0.99997510000000001</v>
      </c>
      <c r="N466">
        <v>-2.6426280000000002E-3</v>
      </c>
      <c r="O466">
        <v>-6.5347069999999998E-3</v>
      </c>
      <c r="P466">
        <v>0.99590310000000004</v>
      </c>
      <c r="Q466">
        <v>-8.8153330000000002E-2</v>
      </c>
      <c r="R466">
        <v>-2.0148659999999999E-2</v>
      </c>
      <c r="S466">
        <v>3.0036320000000001</v>
      </c>
      <c r="T466">
        <v>-0.13692360000000001</v>
      </c>
      <c r="U466">
        <v>0.1642151</v>
      </c>
      <c r="V466">
        <v>1.366012E-2</v>
      </c>
      <c r="W466">
        <v>-8.5517789999999996E-2</v>
      </c>
      <c r="X466">
        <v>0.99624299999999999</v>
      </c>
      <c r="Y466">
        <v>-6.104159E-2</v>
      </c>
      <c r="Z466">
        <v>1.750602E-3</v>
      </c>
      <c r="AA466">
        <v>0.99813370000000001</v>
      </c>
      <c r="AB466">
        <v>25</v>
      </c>
      <c r="AC466">
        <v>23.7896</v>
      </c>
      <c r="AD466">
        <v>-1.099156004948</v>
      </c>
      <c r="AE466">
        <v>1.3161999999999801</v>
      </c>
      <c r="AF466">
        <v>-1.4685052085194501</v>
      </c>
      <c r="AG466">
        <v>-1.099156004948</v>
      </c>
      <c r="AH466">
        <v>23.729988347513199</v>
      </c>
      <c r="AI466">
        <v>92.646947468757901</v>
      </c>
      <c r="AJ466">
        <v>93.541172818179405</v>
      </c>
      <c r="AK466">
        <v>23.8007772655385</v>
      </c>
      <c r="AL466">
        <v>94.905800454034704</v>
      </c>
      <c r="AM466">
        <v>89.214430435445493</v>
      </c>
      <c r="AN466">
        <v>1.00000000316694</v>
      </c>
    </row>
    <row r="467" spans="1:40" x14ac:dyDescent="0.25">
      <c r="A467" t="str">
        <f>"20190303154424540"</f>
        <v>20190303154424540</v>
      </c>
      <c r="B467" t="str">
        <f>"1551599064530888"</f>
        <v>1551599064530888</v>
      </c>
      <c r="C467" t="s">
        <v>40</v>
      </c>
      <c r="D467">
        <v>4.5356889999999996</v>
      </c>
      <c r="E467">
        <v>0.47194419999999998</v>
      </c>
      <c r="F467" t="s">
        <v>41</v>
      </c>
      <c r="G467">
        <v>-372.61770000000001</v>
      </c>
      <c r="H467" s="1">
        <v>-3.2872769999999998E-6</v>
      </c>
      <c r="I467">
        <v>368.83850000000001</v>
      </c>
      <c r="J467">
        <v>-396.8218</v>
      </c>
      <c r="K467">
        <v>1.1018709999999901</v>
      </c>
      <c r="L467">
        <v>367.4982</v>
      </c>
      <c r="M467">
        <v>0.99997400000000003</v>
      </c>
      <c r="N467">
        <v>-3.3898299999999999E-3</v>
      </c>
      <c r="O467">
        <v>-6.3597829999999999E-3</v>
      </c>
      <c r="P467">
        <v>0.99582890000000002</v>
      </c>
      <c r="Q467">
        <v>-8.8911829999999997E-2</v>
      </c>
      <c r="R467">
        <v>-2.048442E-2</v>
      </c>
      <c r="S467">
        <v>3.0036930000000002</v>
      </c>
      <c r="T467">
        <v>-0.13499220000000001</v>
      </c>
      <c r="U467">
        <v>0.16442870000000001</v>
      </c>
      <c r="V467">
        <v>1.4170800000000001E-2</v>
      </c>
      <c r="W467">
        <v>-8.5531930000000006E-2</v>
      </c>
      <c r="X467">
        <v>0.99623470000000003</v>
      </c>
      <c r="Y467">
        <v>-6.0938109999999997E-2</v>
      </c>
      <c r="Z467">
        <v>1.7349920000000001E-3</v>
      </c>
      <c r="AA467">
        <v>0.99814000000000003</v>
      </c>
      <c r="AB467">
        <v>25</v>
      </c>
      <c r="AC467">
        <v>24.204099999999901</v>
      </c>
      <c r="AD467">
        <v>-1.10187428727699</v>
      </c>
      <c r="AE467">
        <v>1.34030000000001</v>
      </c>
      <c r="AF467">
        <v>-1.4911257549688399</v>
      </c>
      <c r="AG467">
        <v>-1.10187428727699</v>
      </c>
      <c r="AH467">
        <v>24.1451994385598</v>
      </c>
      <c r="AI467">
        <v>92.607937722606394</v>
      </c>
      <c r="AJ467">
        <v>93.5339052539357</v>
      </c>
      <c r="AK467">
        <v>24.2162804511742</v>
      </c>
      <c r="AL467">
        <v>94.906613365059101</v>
      </c>
      <c r="AM467">
        <v>89.185059224238003</v>
      </c>
      <c r="AN467">
        <v>1.0000000500531201</v>
      </c>
    </row>
    <row r="468" spans="1:40" x14ac:dyDescent="0.25">
      <c r="A468" t="str">
        <f>"20190303154424563"</f>
        <v>20190303154424563</v>
      </c>
      <c r="B468" t="str">
        <f>"1551599064550408"</f>
        <v>1551599064550408</v>
      </c>
      <c r="C468" t="s">
        <v>40</v>
      </c>
      <c r="D468">
        <v>4.5252189999999999</v>
      </c>
      <c r="E468">
        <v>0.47207500000000002</v>
      </c>
      <c r="F468" t="s">
        <v>41</v>
      </c>
      <c r="G468">
        <v>-372.53190000000001</v>
      </c>
      <c r="H468" s="1">
        <v>-3.327021E-6</v>
      </c>
      <c r="I468">
        <v>368.82190000000003</v>
      </c>
      <c r="J468">
        <v>-396.57069999999999</v>
      </c>
      <c r="K468">
        <v>1.104339</v>
      </c>
      <c r="L468">
        <v>367.49689999999998</v>
      </c>
      <c r="M468">
        <v>0.99997259999999999</v>
      </c>
      <c r="N468">
        <v>-4.0864330000000004E-3</v>
      </c>
      <c r="O468">
        <v>-6.1863469999999896E-3</v>
      </c>
      <c r="P468">
        <v>0.99576629999999999</v>
      </c>
      <c r="Q468">
        <v>-8.9654639999999994E-2</v>
      </c>
      <c r="R468">
        <v>-2.0289450000000001E-2</v>
      </c>
      <c r="S468">
        <v>3.0036930000000002</v>
      </c>
      <c r="T468">
        <v>-0.136257399999999</v>
      </c>
      <c r="U468">
        <v>0.16369629999999999</v>
      </c>
      <c r="V468">
        <v>1.414927E-2</v>
      </c>
      <c r="W468">
        <v>-8.5580950000000003E-2</v>
      </c>
      <c r="X468">
        <v>0.99623070000000002</v>
      </c>
      <c r="Y468">
        <v>-6.0520869999999997E-2</v>
      </c>
      <c r="Z468">
        <v>1.7498539999999999E-3</v>
      </c>
      <c r="AA468">
        <v>0.99816539999999998</v>
      </c>
      <c r="AB468">
        <v>25</v>
      </c>
      <c r="AC468">
        <v>24.038799999999899</v>
      </c>
      <c r="AD468">
        <v>-1.104342327021</v>
      </c>
      <c r="AE468">
        <v>1.3250000000000399</v>
      </c>
      <c r="AF468">
        <v>-1.4705939692685901</v>
      </c>
      <c r="AG468">
        <v>-1.104342327021</v>
      </c>
      <c r="AH468">
        <v>23.979687583372801</v>
      </c>
      <c r="AI468">
        <v>92.631855725766499</v>
      </c>
      <c r="AJ468">
        <v>93.509363244927201</v>
      </c>
      <c r="AK468">
        <v>24.0501067605502</v>
      </c>
      <c r="AL468">
        <v>94.909432811868896</v>
      </c>
      <c r="AM468">
        <v>89.186293947926004</v>
      </c>
      <c r="AN468">
        <v>0.999999954233461</v>
      </c>
    </row>
    <row r="469" spans="1:40" x14ac:dyDescent="0.25">
      <c r="A469" t="str">
        <f>"20190303154424583"</f>
        <v>20190303154424583</v>
      </c>
      <c r="B469" t="str">
        <f>"1551599064570907"</f>
        <v>1551599064570907</v>
      </c>
      <c r="C469" t="s">
        <v>40</v>
      </c>
      <c r="D469">
        <v>4.5275699999999999</v>
      </c>
      <c r="E469">
        <v>0.472196</v>
      </c>
      <c r="F469" t="s">
        <v>41</v>
      </c>
      <c r="G469">
        <v>-372.00670000000002</v>
      </c>
      <c r="H469" s="1">
        <v>-3.5507199999999901E-6</v>
      </c>
      <c r="I469">
        <v>368.83089999999999</v>
      </c>
      <c r="J469">
        <v>-396.34100000000001</v>
      </c>
      <c r="K469">
        <v>1.1063730000000001</v>
      </c>
      <c r="L469">
        <v>367.49560000000002</v>
      </c>
      <c r="M469">
        <v>0.99997100000000005</v>
      </c>
      <c r="N469">
        <v>-4.6819039999999998E-3</v>
      </c>
      <c r="O469">
        <v>-6.0291390000000002E-3</v>
      </c>
      <c r="P469">
        <v>0.99564940000000002</v>
      </c>
      <c r="Q469">
        <v>-9.0867390000000006E-2</v>
      </c>
      <c r="R469">
        <v>-2.062841E-2</v>
      </c>
      <c r="S469">
        <v>3.0039669999999998</v>
      </c>
      <c r="T469">
        <v>-0.1350517</v>
      </c>
      <c r="U469">
        <v>0.16314699999999999</v>
      </c>
      <c r="V469">
        <v>1.464588E-2</v>
      </c>
      <c r="W469">
        <v>-8.6200840000000001E-2</v>
      </c>
      <c r="X469">
        <v>0.99617009999999995</v>
      </c>
      <c r="Y469">
        <v>-6.0178120000000002E-2</v>
      </c>
      <c r="Z469">
        <v>1.7346550000000001E-3</v>
      </c>
      <c r="AA469">
        <v>0.99818620000000002</v>
      </c>
      <c r="AB469">
        <v>25</v>
      </c>
      <c r="AC469">
        <v>24.334299999999899</v>
      </c>
      <c r="AD469">
        <v>-1.1063765507200001</v>
      </c>
      <c r="AE469">
        <v>1.33529999999996</v>
      </c>
      <c r="AF469">
        <v>-1.47894419994606</v>
      </c>
      <c r="AG469">
        <v>-1.1063765507200001</v>
      </c>
      <c r="AH469">
        <v>24.2757763191055</v>
      </c>
      <c r="AI469">
        <v>92.604645907063599</v>
      </c>
      <c r="AJ469">
        <v>93.486300768093102</v>
      </c>
      <c r="AK469">
        <v>24.3459372568357</v>
      </c>
      <c r="AL469">
        <v>94.945081518604994</v>
      </c>
      <c r="AM469">
        <v>89.157687369521597</v>
      </c>
      <c r="AN469">
        <v>0.99999997737584401</v>
      </c>
    </row>
    <row r="470" spans="1:40" x14ac:dyDescent="0.25">
      <c r="A470" t="str">
        <f>"20190303154424605"</f>
        <v>20190303154424605</v>
      </c>
      <c r="B470" t="str">
        <f>"1551599064600184"</f>
        <v>1551599064600184</v>
      </c>
      <c r="C470" t="s">
        <v>40</v>
      </c>
      <c r="D470">
        <v>4.4788509999999997</v>
      </c>
      <c r="E470">
        <v>0.47237859999999998</v>
      </c>
      <c r="F470" t="s">
        <v>41</v>
      </c>
      <c r="G470">
        <v>-371.81920000000002</v>
      </c>
      <c r="H470" s="1">
        <v>-3.6346049999999998E-6</v>
      </c>
      <c r="I470">
        <v>368.8116</v>
      </c>
      <c r="J470">
        <v>-396.09429999999998</v>
      </c>
      <c r="K470">
        <v>1.1083459999999901</v>
      </c>
      <c r="L470">
        <v>367.49430000000001</v>
      </c>
      <c r="M470">
        <v>0.99996890000000005</v>
      </c>
      <c r="N470">
        <v>-5.2917210000000001E-3</v>
      </c>
      <c r="O470">
        <v>-5.8593959999999898E-3</v>
      </c>
      <c r="P470">
        <v>0.9955328</v>
      </c>
      <c r="Q470">
        <v>-9.2204359999999999E-2</v>
      </c>
      <c r="R470">
        <v>-2.0325139999999998E-2</v>
      </c>
      <c r="S470">
        <v>3.004089</v>
      </c>
      <c r="T470">
        <v>-0.13553860000000001</v>
      </c>
      <c r="U470">
        <v>0.16122439999999999</v>
      </c>
      <c r="V470">
        <v>1.451212E-2</v>
      </c>
      <c r="W470">
        <v>-8.6930980000000005E-2</v>
      </c>
      <c r="X470">
        <v>0.99610869999999996</v>
      </c>
      <c r="Y470">
        <v>-5.9369369999999998E-2</v>
      </c>
      <c r="Z470">
        <v>1.728039E-3</v>
      </c>
      <c r="AA470">
        <v>0.99823459999999997</v>
      </c>
      <c r="AB470">
        <v>25</v>
      </c>
      <c r="AC470">
        <v>24.275099999999899</v>
      </c>
      <c r="AD470">
        <v>-1.1083496346049999</v>
      </c>
      <c r="AE470">
        <v>1.3172999999999799</v>
      </c>
      <c r="AF470">
        <v>-1.4564894472644401</v>
      </c>
      <c r="AG470">
        <v>-1.1083496346049999</v>
      </c>
      <c r="AH470">
        <v>24.216629798571599</v>
      </c>
      <c r="AI470">
        <v>92.615771247363</v>
      </c>
      <c r="AJ470">
        <v>93.441861813451396</v>
      </c>
      <c r="AK470">
        <v>24.2856945386288</v>
      </c>
      <c r="AL470">
        <v>94.987072631143306</v>
      </c>
      <c r="AM470">
        <v>89.165327631648793</v>
      </c>
      <c r="AN470">
        <v>1.0000000695631699</v>
      </c>
    </row>
    <row r="471" spans="1:40" x14ac:dyDescent="0.25">
      <c r="A471" t="str">
        <f>"20190303154424628"</f>
        <v>20190303154424628</v>
      </c>
      <c r="B471" t="str">
        <f>"1551599064620682"</f>
        <v>1551599064620682</v>
      </c>
      <c r="C471" t="s">
        <v>40</v>
      </c>
      <c r="D471">
        <v>4.4980370000000001</v>
      </c>
      <c r="E471">
        <v>0.47253529999999999</v>
      </c>
      <c r="F471" t="s">
        <v>41</v>
      </c>
      <c r="G471">
        <v>-371.75659999999999</v>
      </c>
      <c r="H471" s="1">
        <v>-3.6642079999999998E-6</v>
      </c>
      <c r="I471">
        <v>368.79599999999999</v>
      </c>
      <c r="J471">
        <v>-395.83839999999998</v>
      </c>
      <c r="K471">
        <v>1.110155</v>
      </c>
      <c r="L471">
        <v>367.49299999999999</v>
      </c>
      <c r="M471">
        <v>0.99996660000000004</v>
      </c>
      <c r="N471">
        <v>-5.8871409999999898E-3</v>
      </c>
      <c r="O471">
        <v>-5.6821750000000002E-3</v>
      </c>
      <c r="P471">
        <v>0.99551679999999998</v>
      </c>
      <c r="Q471">
        <v>-9.25367E-2</v>
      </c>
      <c r="R471">
        <v>-1.957892E-2</v>
      </c>
      <c r="S471">
        <v>3.0040589999999998</v>
      </c>
      <c r="T471">
        <v>-0.13680599999999901</v>
      </c>
      <c r="U471">
        <v>0.16067500000000001</v>
      </c>
      <c r="V471">
        <v>1.3942319999999999E-2</v>
      </c>
      <c r="W471">
        <v>-8.6670499999999998E-2</v>
      </c>
      <c r="X471">
        <v>0.99613949999999996</v>
      </c>
      <c r="Y471">
        <v>-5.9009600000000002E-2</v>
      </c>
      <c r="Z471">
        <v>1.7409789999999999E-3</v>
      </c>
      <c r="AA471">
        <v>0.99825589999999997</v>
      </c>
      <c r="AB471">
        <v>25</v>
      </c>
      <c r="AC471">
        <v>24.081799999999902</v>
      </c>
      <c r="AD471">
        <v>-1.1101586642079999</v>
      </c>
      <c r="AE471">
        <v>1.30299999999994</v>
      </c>
      <c r="AF471">
        <v>-1.4367738617989601</v>
      </c>
      <c r="AG471">
        <v>-1.1101586642079999</v>
      </c>
      <c r="AH471">
        <v>24.0231032354937</v>
      </c>
      <c r="AI471">
        <v>92.641164552077498</v>
      </c>
      <c r="AJ471">
        <v>93.422669153826803</v>
      </c>
      <c r="AK471">
        <v>24.091622204676298</v>
      </c>
      <c r="AL471">
        <v>94.972091863778402</v>
      </c>
      <c r="AM471">
        <v>89.1981204085222</v>
      </c>
      <c r="AN471">
        <v>1.00000003365874</v>
      </c>
    </row>
    <row r="472" spans="1:40" x14ac:dyDescent="0.25">
      <c r="A472" t="str">
        <f>"20190303154424650"</f>
        <v>20190303154424650</v>
      </c>
      <c r="B472" t="str">
        <f>"1551599064641176"</f>
        <v>1551599064641176</v>
      </c>
      <c r="C472" t="s">
        <v>40</v>
      </c>
      <c r="D472">
        <v>4.510014</v>
      </c>
      <c r="E472">
        <v>0.4726997</v>
      </c>
      <c r="F472" t="s">
        <v>41</v>
      </c>
      <c r="G472">
        <v>-371.31560000000002</v>
      </c>
      <c r="H472" s="1">
        <v>-3.8503729999999999E-6</v>
      </c>
      <c r="I472">
        <v>368.81310000000002</v>
      </c>
      <c r="J472">
        <v>-395.58870000000002</v>
      </c>
      <c r="K472">
        <v>1.1117189999999999</v>
      </c>
      <c r="L472">
        <v>367.49180000000001</v>
      </c>
      <c r="M472">
        <v>0.99996439999999998</v>
      </c>
      <c r="N472">
        <v>-6.4209990000000002E-3</v>
      </c>
      <c r="O472">
        <v>-5.5088719999999997E-3</v>
      </c>
      <c r="P472">
        <v>0.99549670000000001</v>
      </c>
      <c r="Q472">
        <v>-9.2947779999999994E-2</v>
      </c>
      <c r="R472">
        <v>-1.8645970000000001E-2</v>
      </c>
      <c r="S472">
        <v>3.0040589999999998</v>
      </c>
      <c r="T472">
        <v>-0.1359947</v>
      </c>
      <c r="U472">
        <v>0.16171259999999901</v>
      </c>
      <c r="V472">
        <v>1.3181709999999999E-2</v>
      </c>
      <c r="W472">
        <v>-8.655011E-2</v>
      </c>
      <c r="X472">
        <v>0.9961603</v>
      </c>
      <c r="Y472">
        <v>-5.9180570000000002E-2</v>
      </c>
      <c r="Z472">
        <v>1.741916E-3</v>
      </c>
      <c r="AA472">
        <v>0.99824579999999996</v>
      </c>
      <c r="AB472">
        <v>25</v>
      </c>
      <c r="AC472">
        <v>24.273099999999999</v>
      </c>
      <c r="AD472">
        <v>-1.1117228503729999</v>
      </c>
      <c r="AE472">
        <v>1.3212999999999999</v>
      </c>
      <c r="AF472">
        <v>-1.45196330274043</v>
      </c>
      <c r="AG472">
        <v>-1.1117228503729999</v>
      </c>
      <c r="AH472">
        <v>24.2148074064146</v>
      </c>
      <c r="AI472">
        <v>92.623946910585303</v>
      </c>
      <c r="AJ472">
        <v>93.4314491890987</v>
      </c>
      <c r="AK472">
        <v>24.283760476052599</v>
      </c>
      <c r="AL472">
        <v>94.965168119110899</v>
      </c>
      <c r="AM472">
        <v>89.241876761488996</v>
      </c>
      <c r="AN472">
        <v>1.00000001115781</v>
      </c>
    </row>
    <row r="473" spans="1:40" x14ac:dyDescent="0.25">
      <c r="A473" t="str">
        <f>"20190303154424672"</f>
        <v>20190303154424672</v>
      </c>
      <c r="B473" t="str">
        <f>"1551599064660699"</f>
        <v>1551599064660699</v>
      </c>
      <c r="C473" t="s">
        <v>40</v>
      </c>
      <c r="D473">
        <v>4.4921490000000004</v>
      </c>
      <c r="E473">
        <v>0.47286889999999998</v>
      </c>
      <c r="F473" t="s">
        <v>41</v>
      </c>
      <c r="G473">
        <v>-370.85340000000002</v>
      </c>
      <c r="H473" s="1">
        <v>-4.044546E-6</v>
      </c>
      <c r="I473">
        <v>368.83629999999999</v>
      </c>
      <c r="J473">
        <v>-395.34620000000001</v>
      </c>
      <c r="K473">
        <v>1.113043</v>
      </c>
      <c r="L473">
        <v>367.49059999999997</v>
      </c>
      <c r="M473">
        <v>0.99996209999999996</v>
      </c>
      <c r="N473">
        <v>-6.8905889999999999E-3</v>
      </c>
      <c r="O473">
        <v>-5.3410940000000002E-3</v>
      </c>
      <c r="P473">
        <v>0.99548510000000001</v>
      </c>
      <c r="Q473">
        <v>-9.3211379999999996E-2</v>
      </c>
      <c r="R473">
        <v>-1.7925569999999998E-2</v>
      </c>
      <c r="S473">
        <v>3.0040279999999999</v>
      </c>
      <c r="T473">
        <v>-0.1350151</v>
      </c>
      <c r="U473">
        <v>0.16329959999999999</v>
      </c>
      <c r="V473">
        <v>1.2628520000000001E-2</v>
      </c>
      <c r="W473">
        <v>-8.6346160000000005E-2</v>
      </c>
      <c r="X473">
        <v>0.99618510000000005</v>
      </c>
      <c r="Y473">
        <v>-5.953961E-2</v>
      </c>
      <c r="Z473">
        <v>1.744743E-3</v>
      </c>
      <c r="AA473">
        <v>0.99822440000000001</v>
      </c>
      <c r="AB473">
        <v>25</v>
      </c>
      <c r="AC473">
        <v>24.4927999999999</v>
      </c>
      <c r="AD473">
        <v>-1.1130470445459999</v>
      </c>
      <c r="AE473">
        <v>1.3457000000000201</v>
      </c>
      <c r="AF473">
        <v>-1.4734684782096501</v>
      </c>
      <c r="AG473">
        <v>-1.1130470445459999</v>
      </c>
      <c r="AH473">
        <v>24.4349531374361</v>
      </c>
      <c r="AI473">
        <v>92.603379274379805</v>
      </c>
      <c r="AJ473">
        <v>93.450852462941398</v>
      </c>
      <c r="AK473">
        <v>24.5046305401316</v>
      </c>
      <c r="AL473">
        <v>94.953439057059995</v>
      </c>
      <c r="AM473">
        <v>89.273707123616902</v>
      </c>
      <c r="AN473">
        <v>0.99999994616307097</v>
      </c>
    </row>
    <row r="474" spans="1:40" x14ac:dyDescent="0.25">
      <c r="A474" t="str">
        <f>"20190303154424695"</f>
        <v>20190303154424695</v>
      </c>
      <c r="B474" t="str">
        <f>"1551599064690952"</f>
        <v>1551599064690952</v>
      </c>
      <c r="C474" t="s">
        <v>40</v>
      </c>
      <c r="D474">
        <v>4.5074829999999997</v>
      </c>
      <c r="E474">
        <v>0.47295569999999998</v>
      </c>
      <c r="F474" t="s">
        <v>41</v>
      </c>
      <c r="G474">
        <v>-370.45389999999998</v>
      </c>
      <c r="H474" s="1">
        <v>-4.2135810000000003E-6</v>
      </c>
      <c r="I474">
        <v>368.84949999999998</v>
      </c>
      <c r="J474">
        <v>-395.08440000000002</v>
      </c>
      <c r="K474">
        <v>1.114285</v>
      </c>
      <c r="L474">
        <v>367.48939999999999</v>
      </c>
      <c r="M474">
        <v>0.99995990000000001</v>
      </c>
      <c r="N474">
        <v>-7.3466989999999999E-3</v>
      </c>
      <c r="O474">
        <v>-5.1608569999999996E-3</v>
      </c>
      <c r="P474">
        <v>0.99540490000000004</v>
      </c>
      <c r="Q474">
        <v>-9.4121449999999995E-2</v>
      </c>
      <c r="R474">
        <v>-1.7625160000000001E-2</v>
      </c>
      <c r="S474">
        <v>3.0039980000000002</v>
      </c>
      <c r="T474">
        <v>-0.13432179999999999</v>
      </c>
      <c r="U474">
        <v>0.16400149999999999</v>
      </c>
      <c r="V474">
        <v>1.2508109999999999E-2</v>
      </c>
      <c r="W474">
        <v>-8.6802409999999997E-2</v>
      </c>
      <c r="X474">
        <v>0.996147</v>
      </c>
      <c r="Y474">
        <v>-5.9593069999999998E-2</v>
      </c>
      <c r="Z474">
        <v>1.742492E-3</v>
      </c>
      <c r="AA474">
        <v>0.99822120000000003</v>
      </c>
      <c r="AB474">
        <v>25</v>
      </c>
      <c r="AC474">
        <v>24.630500000000001</v>
      </c>
      <c r="AD474">
        <v>-1.1142892135810001</v>
      </c>
      <c r="AE474">
        <v>1.3600999999999801</v>
      </c>
      <c r="AF474">
        <v>-1.48417139329054</v>
      </c>
      <c r="AG474">
        <v>-1.1142892135810001</v>
      </c>
      <c r="AH474">
        <v>24.573012362004398</v>
      </c>
      <c r="AI474">
        <v>92.591642686742105</v>
      </c>
      <c r="AJ474">
        <v>93.4563763505802</v>
      </c>
      <c r="AK474">
        <v>24.642997823304398</v>
      </c>
      <c r="AL474">
        <v>94.979678616869293</v>
      </c>
      <c r="AM474">
        <v>89.280603914909307</v>
      </c>
      <c r="AN474">
        <v>0.99999997840328902</v>
      </c>
    </row>
    <row r="475" spans="1:40" x14ac:dyDescent="0.25">
      <c r="A475" t="str">
        <f>"20190303154424717"</f>
        <v>20190303154424717</v>
      </c>
      <c r="B475" t="str">
        <f>"1551599064710472"</f>
        <v>1551599064710472</v>
      </c>
      <c r="C475" t="s">
        <v>40</v>
      </c>
      <c r="D475">
        <v>4.5531129999999997</v>
      </c>
      <c r="E475">
        <v>0.47293679999999999</v>
      </c>
      <c r="F475" t="s">
        <v>41</v>
      </c>
      <c r="G475">
        <v>-370.24860000000001</v>
      </c>
      <c r="H475" s="1">
        <v>-4.3017130000000004E-6</v>
      </c>
      <c r="I475">
        <v>368.8492</v>
      </c>
      <c r="J475">
        <v>-394.8424</v>
      </c>
      <c r="K475">
        <v>1.1152740000000001</v>
      </c>
      <c r="L475">
        <v>367.48840000000001</v>
      </c>
      <c r="M475">
        <v>0.99995769999999995</v>
      </c>
      <c r="N475">
        <v>-7.72473E-3</v>
      </c>
      <c r="O475">
        <v>-4.994971E-3</v>
      </c>
      <c r="P475">
        <v>0.99537160000000002</v>
      </c>
      <c r="Q475">
        <v>-9.4422859999999997E-2</v>
      </c>
      <c r="R475">
        <v>-1.7877009999999999E-2</v>
      </c>
      <c r="S475">
        <v>3.0040589999999998</v>
      </c>
      <c r="T475">
        <v>-0.1347805</v>
      </c>
      <c r="U475">
        <v>0.16448969999999999</v>
      </c>
      <c r="V475">
        <v>1.2925870000000001E-2</v>
      </c>
      <c r="W475">
        <v>-8.6727369999999998E-2</v>
      </c>
      <c r="X475">
        <v>0.99614820000000004</v>
      </c>
      <c r="Y475">
        <v>-5.9587380000000002E-2</v>
      </c>
      <c r="Z475">
        <v>1.7508090000000001E-3</v>
      </c>
      <c r="AA475">
        <v>0.99822160000000004</v>
      </c>
      <c r="AB475">
        <v>25</v>
      </c>
      <c r="AC475">
        <v>24.593799999999899</v>
      </c>
      <c r="AD475">
        <v>-1.1152783017129999</v>
      </c>
      <c r="AE475">
        <v>1.36079999999998</v>
      </c>
      <c r="AF475">
        <v>-1.48059654564232</v>
      </c>
      <c r="AG475">
        <v>-1.1152783017129999</v>
      </c>
      <c r="AH475">
        <v>24.536392297076102</v>
      </c>
      <c r="AI475">
        <v>92.597814764556801</v>
      </c>
      <c r="AJ475">
        <v>93.453204996255096</v>
      </c>
      <c r="AK475">
        <v>24.60631136065</v>
      </c>
      <c r="AL475">
        <v>94.975362880007793</v>
      </c>
      <c r="AM475">
        <v>89.256580259592397</v>
      </c>
      <c r="AN475">
        <v>0.99999997559280596</v>
      </c>
    </row>
    <row r="476" spans="1:40" x14ac:dyDescent="0.25">
      <c r="A476" t="str">
        <f>"20190303154424742"</f>
        <v>20190303154424742</v>
      </c>
      <c r="B476" t="str">
        <f>"1551599064730967"</f>
        <v>1551599064730967</v>
      </c>
      <c r="C476" t="s">
        <v>40</v>
      </c>
      <c r="D476">
        <v>4.5449099999999998</v>
      </c>
      <c r="E476">
        <v>0.4895389</v>
      </c>
      <c r="F476" t="s">
        <v>41</v>
      </c>
      <c r="G476">
        <v>-370.14760000000001</v>
      </c>
      <c r="H476" s="1">
        <v>-4.3475719999999997E-6</v>
      </c>
      <c r="I476">
        <v>368.83499999999998</v>
      </c>
      <c r="J476">
        <v>-394.56790000000001</v>
      </c>
      <c r="K476">
        <v>1.1162319999999999</v>
      </c>
      <c r="L476">
        <v>367.48719999999997</v>
      </c>
      <c r="M476">
        <v>0.9999557</v>
      </c>
      <c r="N476">
        <v>-8.1095270000000001E-3</v>
      </c>
      <c r="O476">
        <v>-4.8060589999999997E-3</v>
      </c>
      <c r="P476">
        <v>0.99540689999999998</v>
      </c>
      <c r="Q476">
        <v>-9.4025810000000001E-2</v>
      </c>
      <c r="R476">
        <v>-1.8010269999999998E-2</v>
      </c>
      <c r="S476">
        <v>3.0040279999999999</v>
      </c>
      <c r="T476">
        <v>-0.13566879999999901</v>
      </c>
      <c r="U476">
        <v>0.1638184</v>
      </c>
      <c r="V476">
        <v>1.324675E-2</v>
      </c>
      <c r="W476">
        <v>-8.5946629999999996E-2</v>
      </c>
      <c r="X476">
        <v>0.99621159999999997</v>
      </c>
      <c r="Y476">
        <v>-5.9176189999999997E-2</v>
      </c>
      <c r="Z476">
        <v>1.7527249999999999E-3</v>
      </c>
      <c r="AA476">
        <v>0.99824599999999997</v>
      </c>
      <c r="AB476">
        <v>25</v>
      </c>
      <c r="AC476">
        <v>24.420300000000001</v>
      </c>
      <c r="AD476">
        <v>-1.1162363475720001</v>
      </c>
      <c r="AE476">
        <v>1.3478000000000001</v>
      </c>
      <c r="AF476">
        <v>-1.4621081072481801</v>
      </c>
      <c r="AG476">
        <v>-1.1162363475720001</v>
      </c>
      <c r="AH476">
        <v>24.362792414478999</v>
      </c>
      <c r="AI476">
        <v>92.618596058326901</v>
      </c>
      <c r="AJ476">
        <v>93.434428414511501</v>
      </c>
      <c r="AK476">
        <v>24.4321386278794</v>
      </c>
      <c r="AL476">
        <v>94.930462357097696</v>
      </c>
      <c r="AM476">
        <v>89.238175765874402</v>
      </c>
      <c r="AN476">
        <v>0.99999992578423602</v>
      </c>
    </row>
    <row r="477" spans="1:40" x14ac:dyDescent="0.25">
      <c r="A477" t="str">
        <f>"20190303154424766"</f>
        <v>20190303154424766</v>
      </c>
      <c r="B477" t="str">
        <f>"1551599064760248"</f>
        <v>1551599064760248</v>
      </c>
      <c r="C477" t="s">
        <v>40</v>
      </c>
      <c r="D477">
        <v>4.5187030000000004</v>
      </c>
      <c r="E477">
        <v>0.49682809999999999</v>
      </c>
      <c r="F477" t="s">
        <v>41</v>
      </c>
      <c r="G477">
        <v>-357.39</v>
      </c>
      <c r="H477" s="1">
        <v>-1.41085E-6</v>
      </c>
      <c r="I477">
        <v>367.87520000000001</v>
      </c>
      <c r="J477">
        <v>-394.29599999999999</v>
      </c>
      <c r="K477">
        <v>1.117016</v>
      </c>
      <c r="L477">
        <v>367.48610000000002</v>
      </c>
      <c r="M477">
        <v>0.9999538</v>
      </c>
      <c r="N477">
        <v>-8.4460590000000006E-3</v>
      </c>
      <c r="O477">
        <v>-4.6183359999999998E-3</v>
      </c>
      <c r="P477">
        <v>0.99542149999999996</v>
      </c>
      <c r="Q477">
        <v>-9.38364E-2</v>
      </c>
      <c r="R477">
        <v>-1.820801E-2</v>
      </c>
      <c r="S477">
        <v>3.0059200000000001</v>
      </c>
      <c r="T477">
        <v>-9.0249899999999994E-2</v>
      </c>
      <c r="U477">
        <v>3.1372070000000002E-2</v>
      </c>
      <c r="V477">
        <v>1.3631030000000001E-2</v>
      </c>
      <c r="W477">
        <v>-8.5421730000000001E-2</v>
      </c>
      <c r="X477">
        <v>0.99625160000000001</v>
      </c>
      <c r="Y477">
        <v>-1.504457E-2</v>
      </c>
      <c r="Z477">
        <v>3.8897399999999999E-4</v>
      </c>
      <c r="AA477">
        <v>0.99988679999999996</v>
      </c>
      <c r="AB477">
        <v>25</v>
      </c>
      <c r="AC477">
        <v>36.905999999999999</v>
      </c>
      <c r="AD477">
        <v>-1.1170174108499999</v>
      </c>
      <c r="AE477">
        <v>0.38909999999998401</v>
      </c>
      <c r="AF477">
        <v>-0.55903416121224503</v>
      </c>
      <c r="AG477">
        <v>-1.1170174108499999</v>
      </c>
      <c r="AH477">
        <v>36.870037757743098</v>
      </c>
      <c r="AI477">
        <v>91.735107103677294</v>
      </c>
      <c r="AJ477">
        <v>90.868668593585596</v>
      </c>
      <c r="AK477">
        <v>36.89119043006</v>
      </c>
      <c r="AL477">
        <v>94.900276601466203</v>
      </c>
      <c r="AM477">
        <v>89.216109907425903</v>
      </c>
      <c r="AN477">
        <v>0.99999996371880595</v>
      </c>
    </row>
    <row r="478" spans="1:40" x14ac:dyDescent="0.25">
      <c r="A478" t="str">
        <f>"20190303154424784"</f>
        <v>20190303154424784</v>
      </c>
      <c r="B478" t="str">
        <f>"1551599064780744"</f>
        <v>1551599064780744</v>
      </c>
      <c r="C478" t="s">
        <v>40</v>
      </c>
      <c r="D478">
        <v>4.5446390000000001</v>
      </c>
      <c r="E478">
        <v>0.49771090000000001</v>
      </c>
      <c r="F478" t="s">
        <v>41</v>
      </c>
      <c r="G478">
        <v>-353.3861</v>
      </c>
      <c r="H478" s="1">
        <v>-3.2634829999999999E-6</v>
      </c>
      <c r="I478">
        <v>367.11430000000001</v>
      </c>
      <c r="J478">
        <v>-394.08150000000001</v>
      </c>
      <c r="K478">
        <v>1.1175489999999999</v>
      </c>
      <c r="L478">
        <v>367.4853</v>
      </c>
      <c r="M478">
        <v>0.99995239999999996</v>
      </c>
      <c r="N478">
        <v>-8.6895059999999996E-3</v>
      </c>
      <c r="O478">
        <v>-4.4692600000000001E-3</v>
      </c>
      <c r="P478">
        <v>0.99543060000000005</v>
      </c>
      <c r="Q478">
        <v>-9.3754710000000005E-2</v>
      </c>
      <c r="R478">
        <v>-1.8122909999999999E-2</v>
      </c>
      <c r="S478">
        <v>3.0055540000000001</v>
      </c>
      <c r="T478">
        <v>-8.206463E-2</v>
      </c>
      <c r="U478">
        <v>-2.7313230000000001E-2</v>
      </c>
      <c r="V478">
        <v>1.3694329999999999E-2</v>
      </c>
      <c r="W478">
        <v>-8.5097419999999993E-2</v>
      </c>
      <c r="X478">
        <v>0.99627849999999996</v>
      </c>
      <c r="Y478">
        <v>4.6163829999999999E-3</v>
      </c>
      <c r="Z478" s="1">
        <v>9.9673339999999998E-8</v>
      </c>
      <c r="AA478">
        <v>0.99998929999999997</v>
      </c>
      <c r="AB478">
        <v>25</v>
      </c>
      <c r="AC478">
        <v>40.695399999999999</v>
      </c>
      <c r="AD478">
        <v>-1.117552263483</v>
      </c>
      <c r="AE478">
        <v>-0.37099999999998001</v>
      </c>
      <c r="AF478">
        <v>0.18896863523729501</v>
      </c>
      <c r="AG478">
        <v>-1.117552263483</v>
      </c>
      <c r="AH478">
        <v>40.665986885384903</v>
      </c>
      <c r="AI478">
        <v>91.574146611127006</v>
      </c>
      <c r="AJ478">
        <v>89.733757172538603</v>
      </c>
      <c r="AK478">
        <v>40.681778741458899</v>
      </c>
      <c r="AL478">
        <v>94.881627031633201</v>
      </c>
      <c r="AM478">
        <v>89.212491384215895</v>
      </c>
      <c r="AN478">
        <v>0.99999997756352699</v>
      </c>
    </row>
    <row r="479" spans="1:40" x14ac:dyDescent="0.25">
      <c r="A479" t="str">
        <f>"20190303154424807"</f>
        <v>20190303154424807</v>
      </c>
      <c r="B479" t="str">
        <f>"1551599064800264"</f>
        <v>1551599064800264</v>
      </c>
      <c r="C479" t="s">
        <v>40</v>
      </c>
      <c r="D479">
        <v>4.5252809999999997</v>
      </c>
      <c r="E479">
        <v>0.49853979999999998</v>
      </c>
      <c r="F479" t="s">
        <v>41</v>
      </c>
      <c r="G479">
        <v>-355.99549999999999</v>
      </c>
      <c r="H479" s="1">
        <v>-2.1544239999999999E-6</v>
      </c>
      <c r="I479">
        <v>367.05590000000001</v>
      </c>
      <c r="J479">
        <v>-393.83210000000003</v>
      </c>
      <c r="K479">
        <v>1.1180749999999999</v>
      </c>
      <c r="L479">
        <v>367.48439999999999</v>
      </c>
      <c r="M479">
        <v>0.99995080000000003</v>
      </c>
      <c r="N479">
        <v>-8.9506289999999999E-3</v>
      </c>
      <c r="O479">
        <v>-4.2966819999999996E-3</v>
      </c>
      <c r="P479">
        <v>0.99540620000000002</v>
      </c>
      <c r="Q479">
        <v>-9.4017509999999999E-2</v>
      </c>
      <c r="R479">
        <v>-1.8090579999999998E-2</v>
      </c>
      <c r="S479">
        <v>3.0048520000000001</v>
      </c>
      <c r="T479">
        <v>-8.8170529999999997E-2</v>
      </c>
      <c r="U479">
        <v>-3.3874509999999997E-2</v>
      </c>
      <c r="V479">
        <v>1.3834269999999999E-2</v>
      </c>
      <c r="W479">
        <v>-8.5100250000000002E-2</v>
      </c>
      <c r="X479">
        <v>0.9962763</v>
      </c>
      <c r="Y479">
        <v>6.9728460000000004E-3</v>
      </c>
      <c r="Z479" s="1">
        <v>-4.5899919999999999E-5</v>
      </c>
      <c r="AA479">
        <v>0.99997570000000002</v>
      </c>
      <c r="AB479">
        <v>25</v>
      </c>
      <c r="AC479">
        <v>37.836599999999997</v>
      </c>
      <c r="AD479">
        <v>-1.118077154424</v>
      </c>
      <c r="AE479">
        <v>-0.428499999999985</v>
      </c>
      <c r="AF479">
        <v>0.26568573803061002</v>
      </c>
      <c r="AG479">
        <v>-1.118077154424</v>
      </c>
      <c r="AH479">
        <v>37.805084319700697</v>
      </c>
      <c r="AI479">
        <v>91.693974636897096</v>
      </c>
      <c r="AJ479">
        <v>89.597344612950295</v>
      </c>
      <c r="AK479">
        <v>37.822547321066601</v>
      </c>
      <c r="AL479">
        <v>94.881789890404306</v>
      </c>
      <c r="AM479">
        <v>89.204443241812299</v>
      </c>
      <c r="AN479">
        <v>0.99999995275909104</v>
      </c>
    </row>
    <row r="480" spans="1:40" x14ac:dyDescent="0.25">
      <c r="A480" t="str">
        <f>"20190303154424828"</f>
        <v>20190303154424828</v>
      </c>
      <c r="B480" t="str">
        <f>"1551599064820760"</f>
        <v>1551599064820760</v>
      </c>
      <c r="C480" t="s">
        <v>40</v>
      </c>
      <c r="D480">
        <v>4.5055399999999999</v>
      </c>
      <c r="E480">
        <v>0.49912600000000001</v>
      </c>
      <c r="F480" t="s">
        <v>41</v>
      </c>
      <c r="G480">
        <v>-358.7602</v>
      </c>
      <c r="H480" s="1">
        <v>-1.101234E-6</v>
      </c>
      <c r="I480">
        <v>367.01080000000002</v>
      </c>
      <c r="J480">
        <v>-393.58769999999998</v>
      </c>
      <c r="K480">
        <v>1.1185099999999999</v>
      </c>
      <c r="L480">
        <v>367.48349999999999</v>
      </c>
      <c r="M480">
        <v>0.99994930000000004</v>
      </c>
      <c r="N480">
        <v>-9.1901369999999993E-3</v>
      </c>
      <c r="O480">
        <v>-4.1279730000000001E-3</v>
      </c>
      <c r="P480">
        <v>0.99540039999999996</v>
      </c>
      <c r="Q480">
        <v>-9.4183219999999998E-2</v>
      </c>
      <c r="R480">
        <v>-1.7534560000000001E-2</v>
      </c>
      <c r="S480">
        <v>3.0040589999999998</v>
      </c>
      <c r="T480">
        <v>-9.5767969999999994E-2</v>
      </c>
      <c r="U480">
        <v>-4.0557860000000001E-2</v>
      </c>
      <c r="V480">
        <v>1.3446410000000001E-2</v>
      </c>
      <c r="W480">
        <v>-8.5027459999999999E-2</v>
      </c>
      <c r="X480">
        <v>0.9962879</v>
      </c>
      <c r="Y480">
        <v>9.3668380000000006E-3</v>
      </c>
      <c r="Z480" s="1">
        <v>-9.8690679999999999E-5</v>
      </c>
      <c r="AA480">
        <v>0.99995610000000001</v>
      </c>
      <c r="AB480">
        <v>25</v>
      </c>
      <c r="AC480">
        <v>34.827499999999901</v>
      </c>
      <c r="AD480">
        <v>-1.1185111012340001</v>
      </c>
      <c r="AE480">
        <v>-0.47269999999997397</v>
      </c>
      <c r="AF480">
        <v>0.32858408214255602</v>
      </c>
      <c r="AG480">
        <v>-1.1185111012340001</v>
      </c>
      <c r="AH480">
        <v>34.793274709011598</v>
      </c>
      <c r="AI480">
        <v>91.8411905288783</v>
      </c>
      <c r="AJ480">
        <v>89.458920678902402</v>
      </c>
      <c r="AK480">
        <v>34.812799364017899</v>
      </c>
      <c r="AL480">
        <v>94.877603794820303</v>
      </c>
      <c r="AM480">
        <v>89.226753864281406</v>
      </c>
      <c r="AN480">
        <v>1.00000002729117</v>
      </c>
    </row>
    <row r="481" spans="1:40" x14ac:dyDescent="0.25">
      <c r="A481" t="str">
        <f>"20190303154424851"</f>
        <v>20190303154424851</v>
      </c>
      <c r="B481" t="str">
        <f>"1551599064840280"</f>
        <v>1551599064840280</v>
      </c>
      <c r="C481" t="s">
        <v>40</v>
      </c>
      <c r="D481">
        <v>4.5240929999999997</v>
      </c>
      <c r="E481">
        <v>0.49970350000000002</v>
      </c>
      <c r="F481" t="s">
        <v>41</v>
      </c>
      <c r="G481">
        <v>-358.32049999999998</v>
      </c>
      <c r="H481" s="1">
        <v>-1.260943E-6</v>
      </c>
      <c r="I481">
        <v>366.97289999999998</v>
      </c>
      <c r="J481">
        <v>-393.31950000000001</v>
      </c>
      <c r="K481">
        <v>1.118914</v>
      </c>
      <c r="L481">
        <v>367.48259999999999</v>
      </c>
      <c r="M481">
        <v>0.99994769999999999</v>
      </c>
      <c r="N481">
        <v>-9.4408300000000007E-3</v>
      </c>
      <c r="O481">
        <v>-3.9431290000000001E-3</v>
      </c>
      <c r="P481">
        <v>0.99535260000000003</v>
      </c>
      <c r="Q481">
        <v>-9.4743389999999997E-2</v>
      </c>
      <c r="R481">
        <v>-1.7240889999999998E-2</v>
      </c>
      <c r="S481">
        <v>3.004089</v>
      </c>
      <c r="T481">
        <v>-9.5275520000000002E-2</v>
      </c>
      <c r="U481">
        <v>-4.348755E-2</v>
      </c>
      <c r="V481">
        <v>1.3337069999999999E-2</v>
      </c>
      <c r="W481">
        <v>-8.5338289999999997E-2</v>
      </c>
      <c r="X481">
        <v>0.9962628</v>
      </c>
      <c r="Y481">
        <v>1.0525710000000001E-2</v>
      </c>
      <c r="Z481">
        <v>-1.2876860000000001E-4</v>
      </c>
      <c r="AA481">
        <v>0.99994459999999996</v>
      </c>
      <c r="AB481">
        <v>25</v>
      </c>
      <c r="AC481">
        <v>34.999000000000002</v>
      </c>
      <c r="AD481">
        <v>-1.118915260943</v>
      </c>
      <c r="AE481">
        <v>-0.50970000000000903</v>
      </c>
      <c r="AF481">
        <v>0.37130489894978702</v>
      </c>
      <c r="AG481">
        <v>-1.118915260943</v>
      </c>
      <c r="AH481">
        <v>34.965008477507503</v>
      </c>
      <c r="AI481">
        <v>91.832793514685093</v>
      </c>
      <c r="AJ481">
        <v>89.391580185318503</v>
      </c>
      <c r="AK481">
        <v>34.984877540465</v>
      </c>
      <c r="AL481">
        <v>94.895477975824804</v>
      </c>
      <c r="AM481">
        <v>89.233021470235499</v>
      </c>
      <c r="AN481">
        <v>1.0000000339200701</v>
      </c>
    </row>
    <row r="482" spans="1:40" x14ac:dyDescent="0.25">
      <c r="A482" t="str">
        <f>"20190303154424873"</f>
        <v>20190303154424873</v>
      </c>
      <c r="B482" t="str">
        <f>"1551599064870536"</f>
        <v>1551599064870536</v>
      </c>
      <c r="C482" t="s">
        <v>40</v>
      </c>
      <c r="D482">
        <v>4.520238</v>
      </c>
      <c r="E482">
        <v>0.50018320000000005</v>
      </c>
      <c r="F482" t="s">
        <v>41</v>
      </c>
      <c r="G482">
        <v>-358.68689999999998</v>
      </c>
      <c r="H482" s="1">
        <v>-1.1463459999999999E-6</v>
      </c>
      <c r="I482">
        <v>366.93509999999998</v>
      </c>
      <c r="J482">
        <v>-393.08150000000001</v>
      </c>
      <c r="K482">
        <v>1.1192230000000001</v>
      </c>
      <c r="L482">
        <v>367.4819</v>
      </c>
      <c r="M482">
        <v>0.99994640000000001</v>
      </c>
      <c r="N482">
        <v>-9.6597539999999996E-3</v>
      </c>
      <c r="O482">
        <v>-3.778553E-3</v>
      </c>
      <c r="P482">
        <v>0.99533479999999996</v>
      </c>
      <c r="Q482">
        <v>-9.4974909999999996E-2</v>
      </c>
      <c r="R482">
        <v>-1.6998599999999999E-2</v>
      </c>
      <c r="S482">
        <v>3.0039370000000001</v>
      </c>
      <c r="T482">
        <v>-9.705126E-2</v>
      </c>
      <c r="U482">
        <v>-4.7485350000000003E-2</v>
      </c>
      <c r="V482">
        <v>1.3258900000000001E-2</v>
      </c>
      <c r="W482">
        <v>-8.5351880000000005E-2</v>
      </c>
      <c r="X482">
        <v>0.99626269999999995</v>
      </c>
      <c r="Y482">
        <v>1.202019E-2</v>
      </c>
      <c r="Z482">
        <v>-1.6664730000000001E-4</v>
      </c>
      <c r="AA482">
        <v>0.99992780000000003</v>
      </c>
      <c r="AB482">
        <v>25</v>
      </c>
      <c r="AC482">
        <v>34.394599999999997</v>
      </c>
      <c r="AD482">
        <v>-1.11922414634599</v>
      </c>
      <c r="AE482">
        <v>-0.54680000000001805</v>
      </c>
      <c r="AF482">
        <v>0.41638743882804802</v>
      </c>
      <c r="AG482">
        <v>-1.11922414634599</v>
      </c>
      <c r="AH482">
        <v>34.360046103419897</v>
      </c>
      <c r="AI482">
        <v>91.865522848497704</v>
      </c>
      <c r="AJ482">
        <v>89.305703052056003</v>
      </c>
      <c r="AK482">
        <v>34.380791285514597</v>
      </c>
      <c r="AL482">
        <v>94.896259375136495</v>
      </c>
      <c r="AM482">
        <v>89.237516204973105</v>
      </c>
      <c r="AN482">
        <v>1.0000000546300101</v>
      </c>
    </row>
    <row r="483" spans="1:40" x14ac:dyDescent="0.25">
      <c r="A483" t="str">
        <f>"20190303154424896"</f>
        <v>20190303154424896</v>
      </c>
      <c r="B483" t="str">
        <f>"1551599064891032"</f>
        <v>1551599064891032</v>
      </c>
      <c r="C483" t="s">
        <v>40</v>
      </c>
      <c r="D483">
        <v>4.5195730000000003</v>
      </c>
      <c r="E483">
        <v>0.50046709999999905</v>
      </c>
      <c r="F483" t="s">
        <v>41</v>
      </c>
      <c r="G483">
        <v>-358.51220000000001</v>
      </c>
      <c r="H483" s="1">
        <v>-1.2160009999999999E-6</v>
      </c>
      <c r="I483">
        <v>366.89670000000001</v>
      </c>
      <c r="J483">
        <v>-392.82560000000001</v>
      </c>
      <c r="K483">
        <v>1.119513</v>
      </c>
      <c r="L483">
        <v>367.48110000000003</v>
      </c>
      <c r="M483">
        <v>0.99994470000000002</v>
      </c>
      <c r="N483">
        <v>-9.9021200000000004E-3</v>
      </c>
      <c r="O483">
        <v>-3.595965E-3</v>
      </c>
      <c r="P483">
        <v>0.99531020000000003</v>
      </c>
      <c r="Q483">
        <v>-9.5266710000000004E-2</v>
      </c>
      <c r="R483">
        <v>-1.680005E-2</v>
      </c>
      <c r="S483">
        <v>3.0039060000000002</v>
      </c>
      <c r="T483">
        <v>-9.7254869999999993E-2</v>
      </c>
      <c r="U483">
        <v>-5.0842289999999998E-2</v>
      </c>
      <c r="V483">
        <v>1.3243029999999999E-2</v>
      </c>
      <c r="W483">
        <v>-8.5402370000000005E-2</v>
      </c>
      <c r="X483">
        <v>0.99625859999999999</v>
      </c>
      <c r="Y483">
        <v>1.3319030000000001E-2</v>
      </c>
      <c r="Z483">
        <v>-2.007259E-4</v>
      </c>
      <c r="AA483">
        <v>0.9999112</v>
      </c>
      <c r="AB483">
        <v>25</v>
      </c>
      <c r="AC483">
        <v>34.313400000000001</v>
      </c>
      <c r="AD483">
        <v>-1.1195142160010001</v>
      </c>
      <c r="AE483">
        <v>-0.58440000000001602</v>
      </c>
      <c r="AF483">
        <v>0.460510354442971</v>
      </c>
      <c r="AG483">
        <v>-1.1195142160010001</v>
      </c>
      <c r="AH483">
        <v>34.278801677818102</v>
      </c>
      <c r="AI483">
        <v>91.870394072343103</v>
      </c>
      <c r="AJ483">
        <v>89.230319868893901</v>
      </c>
      <c r="AK483">
        <v>34.300169479662401</v>
      </c>
      <c r="AL483">
        <v>94.899162763036401</v>
      </c>
      <c r="AM483">
        <v>89.2384256047755</v>
      </c>
      <c r="AN483">
        <v>1.0000000703595699</v>
      </c>
    </row>
    <row r="484" spans="1:40" x14ac:dyDescent="0.25">
      <c r="A484" t="str">
        <f>"20190303154424917"</f>
        <v>20190303154424917</v>
      </c>
      <c r="B484" t="str">
        <f>"1551599064910552"</f>
        <v>1551599064910552</v>
      </c>
      <c r="C484" t="s">
        <v>40</v>
      </c>
      <c r="D484">
        <v>4.5372309999999896</v>
      </c>
      <c r="E484">
        <v>0.50066529999999998</v>
      </c>
      <c r="F484" t="s">
        <v>41</v>
      </c>
      <c r="G484">
        <v>-358.47609999999997</v>
      </c>
      <c r="H484" s="1">
        <v>-1.2322170000000001E-6</v>
      </c>
      <c r="I484">
        <v>366.88189999999997</v>
      </c>
      <c r="J484">
        <v>-392.58510000000001</v>
      </c>
      <c r="K484">
        <v>1.1197569999999999</v>
      </c>
      <c r="L484">
        <v>367.48039999999997</v>
      </c>
      <c r="M484">
        <v>0.99994249999999996</v>
      </c>
      <c r="N484">
        <v>-1.015719E-2</v>
      </c>
      <c r="O484">
        <v>-3.4279010000000001E-3</v>
      </c>
      <c r="P484">
        <v>0.99528249999999996</v>
      </c>
      <c r="Q484">
        <v>-9.5492320000000006E-2</v>
      </c>
      <c r="R484">
        <v>-1.7152319999999999E-2</v>
      </c>
      <c r="S484">
        <v>3.0039060000000002</v>
      </c>
      <c r="T484">
        <v>-9.7902660000000002E-2</v>
      </c>
      <c r="U484">
        <v>-5.2398680000000003E-2</v>
      </c>
      <c r="V484">
        <v>1.376314E-2</v>
      </c>
      <c r="W484">
        <v>-8.5373899999999905E-2</v>
      </c>
      <c r="X484">
        <v>0.99625390000000003</v>
      </c>
      <c r="Y484">
        <v>1.4004310000000001E-2</v>
      </c>
      <c r="Z484">
        <v>-2.224169E-4</v>
      </c>
      <c r="AA484">
        <v>0.99990190000000001</v>
      </c>
      <c r="AB484">
        <v>25</v>
      </c>
      <c r="AC484">
        <v>34.109000000000002</v>
      </c>
      <c r="AD484">
        <v>-1.1197582322170001</v>
      </c>
      <c r="AE484">
        <v>-0.59850000000000103</v>
      </c>
      <c r="AF484">
        <v>0.48104988870312798</v>
      </c>
      <c r="AG484">
        <v>-1.1197582322170001</v>
      </c>
      <c r="AH484">
        <v>34.074139815462999</v>
      </c>
      <c r="AI484">
        <v>91.882012428337603</v>
      </c>
      <c r="AJ484">
        <v>89.191166744501004</v>
      </c>
      <c r="AK484">
        <v>34.095927493730898</v>
      </c>
      <c r="AL484">
        <v>94.897526016304695</v>
      </c>
      <c r="AM484">
        <v>89.208515345253602</v>
      </c>
      <c r="AN484">
        <v>0.99999998004453905</v>
      </c>
    </row>
    <row r="485" spans="1:40" x14ac:dyDescent="0.25">
      <c r="A485" t="str">
        <f>"20190303154424943"</f>
        <v>20190303154424943</v>
      </c>
      <c r="B485" t="str">
        <f>"1551599064940469"</f>
        <v>1551599064940469</v>
      </c>
      <c r="C485" t="s">
        <v>40</v>
      </c>
      <c r="D485">
        <v>4.5230249999999996</v>
      </c>
      <c r="E485">
        <v>0.50094640000000001</v>
      </c>
      <c r="F485" t="s">
        <v>41</v>
      </c>
      <c r="G485">
        <v>-358.37599999999998</v>
      </c>
      <c r="H485" s="1">
        <v>-1.2741499999999999E-6</v>
      </c>
      <c r="I485">
        <v>366.85239999999999</v>
      </c>
      <c r="J485">
        <v>-392.30509999999998</v>
      </c>
      <c r="K485">
        <v>1.12001</v>
      </c>
      <c r="L485">
        <v>367.47969999999998</v>
      </c>
      <c r="M485">
        <v>0.99993940000000003</v>
      </c>
      <c r="N485">
        <v>-1.0521900000000001E-2</v>
      </c>
      <c r="O485">
        <v>-3.2410360000000001E-3</v>
      </c>
      <c r="P485">
        <v>0.99519840000000004</v>
      </c>
      <c r="Q485">
        <v>-9.6247579999999999E-2</v>
      </c>
      <c r="R485">
        <v>-1.7794890000000001E-2</v>
      </c>
      <c r="S485">
        <v>3.0038450000000001</v>
      </c>
      <c r="T485">
        <v>-9.8324060000000005E-2</v>
      </c>
      <c r="U485">
        <v>-5.5145260000000001E-2</v>
      </c>
      <c r="V485">
        <v>1.4592020000000001E-2</v>
      </c>
      <c r="W485">
        <v>-8.5766430000000005E-2</v>
      </c>
      <c r="X485">
        <v>0.99620839999999999</v>
      </c>
      <c r="Y485">
        <v>1.510448E-2</v>
      </c>
      <c r="Z485">
        <v>-2.5466369999999999E-4</v>
      </c>
      <c r="AA485">
        <v>0.99988589999999999</v>
      </c>
      <c r="AB485">
        <v>25</v>
      </c>
      <c r="AC485">
        <v>33.929099999999998</v>
      </c>
      <c r="AD485">
        <v>-1.1200112741499999</v>
      </c>
      <c r="AE485">
        <v>-0.62729999999999098</v>
      </c>
      <c r="AF485">
        <v>0.51676226919329105</v>
      </c>
      <c r="AG485">
        <v>-1.1200112741499999</v>
      </c>
      <c r="AH485">
        <v>33.894033867017299</v>
      </c>
      <c r="AI485">
        <v>91.892401720235796</v>
      </c>
      <c r="AJ485">
        <v>89.126512846074107</v>
      </c>
      <c r="AK485">
        <v>33.916470928968998</v>
      </c>
      <c r="AL485">
        <v>94.920099065624996</v>
      </c>
      <c r="AM485">
        <v>89.160816777196899</v>
      </c>
      <c r="AN485">
        <v>0.99999999189659206</v>
      </c>
    </row>
    <row r="486" spans="1:40" x14ac:dyDescent="0.25">
      <c r="A486" t="str">
        <f>"20190303154424964"</f>
        <v>20190303154424964</v>
      </c>
      <c r="B486" t="str">
        <f>"1551599064960966"</f>
        <v>1551599064960966</v>
      </c>
      <c r="C486" t="s">
        <v>40</v>
      </c>
      <c r="D486">
        <v>4.5516610000000002</v>
      </c>
      <c r="E486">
        <v>0.50108359999999996</v>
      </c>
      <c r="F486" t="s">
        <v>41</v>
      </c>
      <c r="G486">
        <v>-358.6995</v>
      </c>
      <c r="H486" s="1">
        <v>-1.1733939999999999E-6</v>
      </c>
      <c r="I486">
        <v>366.81729999999999</v>
      </c>
      <c r="J486">
        <v>-392.05380000000002</v>
      </c>
      <c r="K486">
        <v>1.1202099999999999</v>
      </c>
      <c r="L486">
        <v>367.47910000000002</v>
      </c>
      <c r="M486">
        <v>0.99993569999999998</v>
      </c>
      <c r="N486">
        <v>-1.0916739999999999E-2</v>
      </c>
      <c r="O486">
        <v>-3.0687679999999999E-3</v>
      </c>
      <c r="P486">
        <v>0.99515699999999996</v>
      </c>
      <c r="Q486">
        <v>-9.6594479999999996E-2</v>
      </c>
      <c r="R486">
        <v>-1.8238609999999999E-2</v>
      </c>
      <c r="S486">
        <v>3.0036930000000002</v>
      </c>
      <c r="T486">
        <v>-0.1001073</v>
      </c>
      <c r="U486">
        <v>-5.9204100000000003E-2</v>
      </c>
      <c r="V486">
        <v>1.520613E-2</v>
      </c>
      <c r="W486">
        <v>-8.5720420000000006E-2</v>
      </c>
      <c r="X486">
        <v>0.99620319999999996</v>
      </c>
      <c r="Y486">
        <v>1.6626680000000001E-2</v>
      </c>
      <c r="Z486">
        <v>-2.9901930000000003E-4</v>
      </c>
      <c r="AA486">
        <v>0.99986169999999996</v>
      </c>
      <c r="AB486">
        <v>25</v>
      </c>
      <c r="AC486">
        <v>33.354300000000002</v>
      </c>
      <c r="AD486">
        <v>-1.1202111733939999</v>
      </c>
      <c r="AE486">
        <v>-0.66180000000002703</v>
      </c>
      <c r="AF486">
        <v>0.55880411084275095</v>
      </c>
      <c r="AG486">
        <v>-1.1202111733939999</v>
      </c>
      <c r="AH486">
        <v>33.318606481514998</v>
      </c>
      <c r="AI486">
        <v>91.925356334088093</v>
      </c>
      <c r="AJ486">
        <v>89.039152022185306</v>
      </c>
      <c r="AK486">
        <v>33.342115604402601</v>
      </c>
      <c r="AL486">
        <v>94.917453022503594</v>
      </c>
      <c r="AM486">
        <v>89.125500282903403</v>
      </c>
      <c r="AN486">
        <v>1.0000000162423901</v>
      </c>
    </row>
    <row r="487" spans="1:40" x14ac:dyDescent="0.25">
      <c r="A487" t="str">
        <f>"20190303154424987"</f>
        <v>20190303154424987</v>
      </c>
      <c r="B487" t="str">
        <f>"1551599064980486"</f>
        <v>1551599064980486</v>
      </c>
      <c r="C487" t="s">
        <v>40</v>
      </c>
      <c r="D487">
        <v>4.5653920000000001</v>
      </c>
      <c r="E487">
        <v>0.50115810000000005</v>
      </c>
      <c r="F487" t="s">
        <v>41</v>
      </c>
      <c r="G487">
        <v>-358.52800000000002</v>
      </c>
      <c r="H487" s="1">
        <v>-1.238382E-6</v>
      </c>
      <c r="I487">
        <v>366.79230000000001</v>
      </c>
      <c r="J487">
        <v>-391.80329999999998</v>
      </c>
      <c r="K487">
        <v>1.120393</v>
      </c>
      <c r="L487">
        <v>367.4785</v>
      </c>
      <c r="M487">
        <v>0.99993169999999998</v>
      </c>
      <c r="N487">
        <v>-1.1330649999999999E-2</v>
      </c>
      <c r="O487">
        <v>-2.8935829999999999E-3</v>
      </c>
      <c r="P487">
        <v>0.99510909999999997</v>
      </c>
      <c r="Q487">
        <v>-9.702972E-2</v>
      </c>
      <c r="R487">
        <v>-1.85255E-2</v>
      </c>
      <c r="S487">
        <v>3.0036930000000002</v>
      </c>
      <c r="T487">
        <v>-0.1003636</v>
      </c>
      <c r="U487">
        <v>-6.1523439999999999E-2</v>
      </c>
      <c r="V487">
        <v>1.566652E-2</v>
      </c>
      <c r="W487">
        <v>-8.5743910000000007E-2</v>
      </c>
      <c r="X487">
        <v>0.99619400000000002</v>
      </c>
      <c r="Y487">
        <v>1.7572629999999999E-2</v>
      </c>
      <c r="Z487">
        <v>-3.2920520000000002E-4</v>
      </c>
      <c r="AA487">
        <v>0.9998456</v>
      </c>
      <c r="AB487">
        <v>25</v>
      </c>
      <c r="AC487">
        <v>33.275299999999902</v>
      </c>
      <c r="AD487">
        <v>-1.120394238382</v>
      </c>
      <c r="AE487">
        <v>-0.68619999999998504</v>
      </c>
      <c r="AF487">
        <v>0.58923837596308304</v>
      </c>
      <c r="AG487">
        <v>-1.120394238382</v>
      </c>
      <c r="AH487">
        <v>33.239478835474301</v>
      </c>
      <c r="AI487">
        <v>91.930219615350794</v>
      </c>
      <c r="AJ487">
        <v>88.984420409668601</v>
      </c>
      <c r="AK487">
        <v>33.263575249318201</v>
      </c>
      <c r="AL487">
        <v>94.918804093053794</v>
      </c>
      <c r="AM487">
        <v>89.099019381030203</v>
      </c>
      <c r="AN487">
        <v>0.99999997179349798</v>
      </c>
    </row>
    <row r="488" spans="1:40" x14ac:dyDescent="0.25">
      <c r="A488" t="str">
        <f>"20190303154425007"</f>
        <v>20190303154425007</v>
      </c>
      <c r="B488" t="str">
        <f>"1551599065000982"</f>
        <v>1551599065000982</v>
      </c>
      <c r="C488" t="s">
        <v>40</v>
      </c>
      <c r="D488">
        <v>4.5518669999999997</v>
      </c>
      <c r="E488">
        <v>0.501247</v>
      </c>
      <c r="F488" t="s">
        <v>41</v>
      </c>
      <c r="G488">
        <v>-358.41149999999999</v>
      </c>
      <c r="H488" s="1">
        <v>-1.282148E-6</v>
      </c>
      <c r="I488">
        <v>366.77690000000001</v>
      </c>
      <c r="J488">
        <v>-391.57600000000002</v>
      </c>
      <c r="K488">
        <v>1.1205320000000001</v>
      </c>
      <c r="L488">
        <v>367.47800000000001</v>
      </c>
      <c r="M488">
        <v>0.99992789999999998</v>
      </c>
      <c r="N488">
        <v>-1.169545E-2</v>
      </c>
      <c r="O488">
        <v>-2.7346219999999999E-3</v>
      </c>
      <c r="P488">
        <v>0.99513079999999998</v>
      </c>
      <c r="Q488">
        <v>-9.6854880000000004E-2</v>
      </c>
      <c r="R488">
        <v>-1.826972E-2</v>
      </c>
      <c r="S488">
        <v>3.0037229999999999</v>
      </c>
      <c r="T488">
        <v>-0.1007836</v>
      </c>
      <c r="U488">
        <v>-6.3110349999999996E-2</v>
      </c>
      <c r="V488">
        <v>1.5568200000000001E-2</v>
      </c>
      <c r="W488">
        <v>-8.5205550000000005E-2</v>
      </c>
      <c r="X488">
        <v>0.99624170000000001</v>
      </c>
      <c r="Y488">
        <v>1.8258590000000002E-2</v>
      </c>
      <c r="Z488">
        <v>-3.5327820000000002E-4</v>
      </c>
      <c r="AA488">
        <v>0.99983319999999998</v>
      </c>
      <c r="AB488">
        <v>25</v>
      </c>
      <c r="AC488">
        <v>33.164499999999897</v>
      </c>
      <c r="AD488">
        <v>-1.1205332821480001</v>
      </c>
      <c r="AE488">
        <v>-0.70109999999999595</v>
      </c>
      <c r="AF488">
        <v>0.60970309867771399</v>
      </c>
      <c r="AG488">
        <v>-1.1205332821480001</v>
      </c>
      <c r="AH488">
        <v>33.1284917482933</v>
      </c>
      <c r="AI488">
        <v>91.936897817777805</v>
      </c>
      <c r="AJ488">
        <v>88.945636546675303</v>
      </c>
      <c r="AK488">
        <v>33.153043574032097</v>
      </c>
      <c r="AL488">
        <v>94.887845193471804</v>
      </c>
      <c r="AM488">
        <v>89.104715696196294</v>
      </c>
      <c r="AN488">
        <v>0.99999993971046397</v>
      </c>
    </row>
    <row r="489" spans="1:40" x14ac:dyDescent="0.25">
      <c r="A489" t="str">
        <f>"20190303154425030"</f>
        <v>20190303154425030</v>
      </c>
      <c r="B489" t="str">
        <f>"1551599065020505"</f>
        <v>1551599065020505</v>
      </c>
      <c r="C489" t="s">
        <v>40</v>
      </c>
      <c r="D489">
        <v>4.5907080000000002</v>
      </c>
      <c r="E489">
        <v>0.50137929999999997</v>
      </c>
      <c r="F489" t="s">
        <v>41</v>
      </c>
      <c r="G489">
        <v>-357.98079999999999</v>
      </c>
      <c r="H489" s="1">
        <v>-1.430166E-6</v>
      </c>
      <c r="I489">
        <v>366.7715</v>
      </c>
      <c r="J489">
        <v>-391.3279</v>
      </c>
      <c r="K489">
        <v>1.120662</v>
      </c>
      <c r="L489">
        <v>367.47750000000002</v>
      </c>
      <c r="M489">
        <v>0.99992409999999998</v>
      </c>
      <c r="N489">
        <v>-1.206611E-2</v>
      </c>
      <c r="O489">
        <v>-2.5651150000000002E-3</v>
      </c>
      <c r="P489">
        <v>0.99520399999999998</v>
      </c>
      <c r="Q489">
        <v>-9.6273059999999994E-2</v>
      </c>
      <c r="R489">
        <v>-1.7343219999999999E-2</v>
      </c>
      <c r="S489">
        <v>3.003784</v>
      </c>
      <c r="T489">
        <v>-0.1001879</v>
      </c>
      <c r="U489">
        <v>-6.3171389999999994E-2</v>
      </c>
      <c r="V489">
        <v>1.4809950000000001E-2</v>
      </c>
      <c r="W489">
        <v>-8.4253839999999997E-2</v>
      </c>
      <c r="X489">
        <v>0.99633430000000001</v>
      </c>
      <c r="Y489">
        <v>1.8447760000000001E-2</v>
      </c>
      <c r="Z489">
        <v>-3.6430849999999999E-4</v>
      </c>
      <c r="AA489">
        <v>0.99982979999999999</v>
      </c>
      <c r="AB489">
        <v>25</v>
      </c>
      <c r="AC489">
        <v>33.347099999999998</v>
      </c>
      <c r="AD489">
        <v>-1.1206634301659999</v>
      </c>
      <c r="AE489">
        <v>-0.70600000000001695</v>
      </c>
      <c r="AF489">
        <v>0.61975270580925201</v>
      </c>
      <c r="AG489">
        <v>-1.1206634301659999</v>
      </c>
      <c r="AH489">
        <v>33.311197737539402</v>
      </c>
      <c r="AI489">
        <v>91.926498720783201</v>
      </c>
      <c r="AJ489">
        <v>88.934138651549006</v>
      </c>
      <c r="AK489">
        <v>33.335804694795002</v>
      </c>
      <c r="AL489">
        <v>94.833118936853296</v>
      </c>
      <c r="AM489">
        <v>89.148393122552505</v>
      </c>
      <c r="AN489">
        <v>1.00000004076511</v>
      </c>
    </row>
    <row r="490" spans="1:40" x14ac:dyDescent="0.25">
      <c r="A490" t="str">
        <f>"20190303154425052"</f>
        <v>20190303154425052</v>
      </c>
      <c r="B490" t="str">
        <f>"1551599065040600"</f>
        <v>1551599065040600</v>
      </c>
      <c r="C490" t="s">
        <v>40</v>
      </c>
      <c r="D490">
        <v>4.5678010000000002</v>
      </c>
      <c r="E490">
        <v>0.50147600000000003</v>
      </c>
      <c r="F490" t="s">
        <v>41</v>
      </c>
      <c r="G490">
        <v>-356.875</v>
      </c>
      <c r="H490" s="1">
        <v>-1.8275629999999999E-6</v>
      </c>
      <c r="I490">
        <v>366.7715</v>
      </c>
      <c r="J490">
        <v>-391.07940000000002</v>
      </c>
      <c r="K490">
        <v>1.120768</v>
      </c>
      <c r="L490">
        <v>367.47710000000001</v>
      </c>
      <c r="M490">
        <v>0.99992020000000004</v>
      </c>
      <c r="N490">
        <v>-1.240516E-2</v>
      </c>
      <c r="O490">
        <v>-2.3982069999999999E-3</v>
      </c>
      <c r="P490">
        <v>0.99527469999999996</v>
      </c>
      <c r="Q490">
        <v>-9.5683379999999998E-2</v>
      </c>
      <c r="R490">
        <v>-1.652089E-2</v>
      </c>
      <c r="S490">
        <v>3.0039669999999998</v>
      </c>
      <c r="T490">
        <v>-9.7710969999999994E-2</v>
      </c>
      <c r="U490">
        <v>-6.1553959999999998E-2</v>
      </c>
      <c r="V490">
        <v>1.41537999999999E-2</v>
      </c>
      <c r="W490">
        <v>-8.3325640000000006E-2</v>
      </c>
      <c r="X490">
        <v>0.99642189999999997</v>
      </c>
      <c r="Y490">
        <v>1.8075919999999999E-2</v>
      </c>
      <c r="Z490">
        <v>-3.57812E-4</v>
      </c>
      <c r="AA490">
        <v>0.99983659999999996</v>
      </c>
      <c r="AB490">
        <v>25</v>
      </c>
      <c r="AC490">
        <v>34.2044</v>
      </c>
      <c r="AD490">
        <v>-1.120769827563</v>
      </c>
      <c r="AE490">
        <v>-0.705600000000004</v>
      </c>
      <c r="AF490">
        <v>0.62289393346480004</v>
      </c>
      <c r="AG490">
        <v>-1.120769827563</v>
      </c>
      <c r="AH490">
        <v>34.169323117789702</v>
      </c>
      <c r="AI490">
        <v>91.878343054273202</v>
      </c>
      <c r="AJ490">
        <v>88.955635125245394</v>
      </c>
      <c r="AK490">
        <v>34.1933731033755</v>
      </c>
      <c r="AL490">
        <v>94.779749285362797</v>
      </c>
      <c r="AM490">
        <v>89.186189636836104</v>
      </c>
      <c r="AN490">
        <v>1.00000004756772</v>
      </c>
    </row>
    <row r="491" spans="1:40" x14ac:dyDescent="0.25">
      <c r="A491" t="str">
        <f>"20190303154425074"</f>
        <v>20190303154425074</v>
      </c>
      <c r="B491" t="str">
        <f>"1551599065070853"</f>
        <v>1551599065070853</v>
      </c>
      <c r="C491" t="s">
        <v>40</v>
      </c>
      <c r="D491">
        <v>4.5726789999999999</v>
      </c>
      <c r="E491">
        <v>0.50164949999999997</v>
      </c>
      <c r="F491" t="s">
        <v>41</v>
      </c>
      <c r="G491">
        <v>-355.96260000000001</v>
      </c>
      <c r="H491" s="1">
        <v>-2.2175509999999999E-6</v>
      </c>
      <c r="I491">
        <v>366.77960000000002</v>
      </c>
      <c r="J491">
        <v>-390.83010000000002</v>
      </c>
      <c r="K491">
        <v>1.1208549999999999</v>
      </c>
      <c r="L491">
        <v>367.47669999999999</v>
      </c>
      <c r="M491">
        <v>0.99991669999999999</v>
      </c>
      <c r="N491">
        <v>-1.2712090000000001E-2</v>
      </c>
      <c r="O491">
        <v>-2.2318720000000002E-3</v>
      </c>
      <c r="P491">
        <v>0.99530359999999996</v>
      </c>
      <c r="Q491">
        <v>-9.5554840000000002E-2</v>
      </c>
      <c r="R491">
        <v>-1.550908E-2</v>
      </c>
      <c r="S491">
        <v>3.0040279999999999</v>
      </c>
      <c r="T491">
        <v>-9.5874909999999994E-2</v>
      </c>
      <c r="U491">
        <v>-5.9661869999999999E-2</v>
      </c>
      <c r="V491">
        <v>1.3307390000000001E-2</v>
      </c>
      <c r="W491">
        <v>-8.2891080000000006E-2</v>
      </c>
      <c r="X491">
        <v>0.99646970000000001</v>
      </c>
      <c r="Y491">
        <v>1.7612920000000001E-2</v>
      </c>
      <c r="Z491">
        <v>-3.5012710000000002E-4</v>
      </c>
      <c r="AA491">
        <v>0.99984479999999998</v>
      </c>
      <c r="AB491">
        <v>25</v>
      </c>
      <c r="AC491">
        <v>34.8675</v>
      </c>
      <c r="AD491">
        <v>-1.1208572175510001</v>
      </c>
      <c r="AE491">
        <v>-0.69709999999997696</v>
      </c>
      <c r="AF491">
        <v>0.61863315137956199</v>
      </c>
      <c r="AG491">
        <v>-1.1208572175510001</v>
      </c>
      <c r="AH491">
        <v>34.832987866810598</v>
      </c>
      <c r="AI491">
        <v>91.842739463575199</v>
      </c>
      <c r="AJ491">
        <v>88.982535095065998</v>
      </c>
      <c r="AK491">
        <v>34.856506876155798</v>
      </c>
      <c r="AL491">
        <v>94.754764908348704</v>
      </c>
      <c r="AM491">
        <v>89.234886959713407</v>
      </c>
      <c r="AN491">
        <v>0.99999994039513196</v>
      </c>
    </row>
    <row r="492" spans="1:40" x14ac:dyDescent="0.25">
      <c r="A492" t="str">
        <f>"20190303154425098"</f>
        <v>20190303154425098</v>
      </c>
      <c r="B492" t="str">
        <f>"1551599065090373"</f>
        <v>1551599065090373</v>
      </c>
      <c r="C492" t="s">
        <v>40</v>
      </c>
      <c r="D492">
        <v>4.5995439999999999</v>
      </c>
      <c r="E492">
        <v>0.5185225</v>
      </c>
      <c r="F492" t="s">
        <v>41</v>
      </c>
      <c r="G492">
        <v>-356.07229999999998</v>
      </c>
      <c r="H492" s="1">
        <v>-2.1652789999999999E-6</v>
      </c>
      <c r="I492">
        <v>366.80889999999999</v>
      </c>
      <c r="J492">
        <v>-390.57929999999999</v>
      </c>
      <c r="K492">
        <v>1.120916</v>
      </c>
      <c r="L492">
        <v>367.47629999999998</v>
      </c>
      <c r="M492">
        <v>0.99991359999999996</v>
      </c>
      <c r="N492">
        <v>-1.2987220000000001E-2</v>
      </c>
      <c r="O492">
        <v>-2.0634859999999998E-3</v>
      </c>
      <c r="P492">
        <v>0.99527750000000004</v>
      </c>
      <c r="Q492">
        <v>-9.5928529999999998E-2</v>
      </c>
      <c r="R492">
        <v>-1.4863690000000001E-2</v>
      </c>
      <c r="S492">
        <v>3.0040279999999999</v>
      </c>
      <c r="T492">
        <v>-9.6872689999999997E-2</v>
      </c>
      <c r="U492">
        <v>-5.7708740000000001E-2</v>
      </c>
      <c r="V492">
        <v>1.282983E-2</v>
      </c>
      <c r="W492">
        <v>-8.2991049999999997E-2</v>
      </c>
      <c r="X492">
        <v>0.99646769999999996</v>
      </c>
      <c r="Y492">
        <v>1.7131480000000001E-2</v>
      </c>
      <c r="Z492">
        <v>-3.4770290000000001E-4</v>
      </c>
      <c r="AA492">
        <v>0.9998532</v>
      </c>
      <c r="AB492">
        <v>25</v>
      </c>
      <c r="AC492">
        <v>34.506999999999998</v>
      </c>
      <c r="AD492">
        <v>-1.1209181652789999</v>
      </c>
      <c r="AE492">
        <v>-0.667399999999986</v>
      </c>
      <c r="AF492">
        <v>0.59555966890564904</v>
      </c>
      <c r="AG492">
        <v>-1.1209181652789999</v>
      </c>
      <c r="AH492">
        <v>34.471942732197803</v>
      </c>
      <c r="AI492">
        <v>91.862142981897307</v>
      </c>
      <c r="AJ492">
        <v>89.010219374545201</v>
      </c>
      <c r="AK492">
        <v>34.495303804784797</v>
      </c>
      <c r="AL492">
        <v>94.760512296603594</v>
      </c>
      <c r="AM492">
        <v>89.262339867991699</v>
      </c>
      <c r="AN492">
        <v>0.99999999803061002</v>
      </c>
    </row>
    <row r="493" spans="1:40" x14ac:dyDescent="0.25">
      <c r="A493" t="str">
        <f>"20190303154425253"</f>
        <v>20190303154425253</v>
      </c>
      <c r="B493" t="str">
        <f>"1551599065250260"</f>
        <v>1551599065250260</v>
      </c>
      <c r="C493" t="s">
        <v>40</v>
      </c>
      <c r="D493">
        <v>4.5265870000000001</v>
      </c>
      <c r="E493">
        <v>0.51623030000000003</v>
      </c>
      <c r="F493" t="s">
        <v>48</v>
      </c>
      <c r="G493">
        <v>-158.78319999999999</v>
      </c>
      <c r="H493">
        <v>3.38273</v>
      </c>
      <c r="I493">
        <v>352.90719999999999</v>
      </c>
      <c r="J493">
        <v>-388.87329999999997</v>
      </c>
      <c r="K493">
        <v>1.1210690000000001</v>
      </c>
      <c r="L493">
        <v>367.47500000000002</v>
      </c>
      <c r="M493">
        <v>0.99990219999999996</v>
      </c>
      <c r="N493">
        <v>-1.3961660000000001E-2</v>
      </c>
      <c r="O493">
        <v>-9.1383570000000002E-4</v>
      </c>
      <c r="P493">
        <v>0.99497769999999996</v>
      </c>
      <c r="Q493">
        <v>-9.8793210000000006E-2</v>
      </c>
      <c r="R493">
        <v>-1.610586E-2</v>
      </c>
      <c r="S493">
        <v>3.014221</v>
      </c>
      <c r="T493">
        <v>2.941322E-2</v>
      </c>
      <c r="U493">
        <v>-0.18945310000000001</v>
      </c>
      <c r="V493">
        <v>1.5215029999999999E-2</v>
      </c>
      <c r="W493">
        <v>-8.4888530000000004E-2</v>
      </c>
      <c r="X493">
        <v>0.99627429999999995</v>
      </c>
      <c r="Y493">
        <v>6.1818690000000003E-2</v>
      </c>
      <c r="Z493">
        <v>-1.5232829999999999E-4</v>
      </c>
      <c r="AA493">
        <v>0.99808739999999996</v>
      </c>
      <c r="AB493">
        <v>24</v>
      </c>
      <c r="AC493">
        <v>230.09010000000001</v>
      </c>
      <c r="AD493">
        <v>2.2616610000000001</v>
      </c>
      <c r="AE493">
        <v>-14.5678</v>
      </c>
      <c r="AF493">
        <v>14.3561273645208</v>
      </c>
      <c r="AG493">
        <v>2.2616610000000001</v>
      </c>
      <c r="AH493">
        <v>230.08117649541799</v>
      </c>
      <c r="AI493">
        <v>89.437902890998899</v>
      </c>
      <c r="AJ493">
        <v>86.429605635250795</v>
      </c>
      <c r="AK493">
        <v>230.539717361024</v>
      </c>
      <c r="AL493">
        <v>94.869614842835205</v>
      </c>
      <c r="AM493">
        <v>89.125050962543099</v>
      </c>
      <c r="AN493">
        <v>1.0000000202519701</v>
      </c>
    </row>
    <row r="494" spans="1:40" x14ac:dyDescent="0.25">
      <c r="A494" t="str">
        <f>"20190303154425275"</f>
        <v>20190303154425275</v>
      </c>
      <c r="B494" t="str">
        <f>"1551599065270756"</f>
        <v>1551599065270756</v>
      </c>
      <c r="C494" t="s">
        <v>40</v>
      </c>
      <c r="D494">
        <v>4.6284830000000001</v>
      </c>
      <c r="E494">
        <v>0.51289770000000001</v>
      </c>
      <c r="F494" t="s">
        <v>48</v>
      </c>
      <c r="G494">
        <v>-169.2955</v>
      </c>
      <c r="H494">
        <v>0.47446919999999998</v>
      </c>
      <c r="I494">
        <v>354.64659999999998</v>
      </c>
      <c r="J494">
        <v>-388.62880000000001</v>
      </c>
      <c r="K494">
        <v>1.12104</v>
      </c>
      <c r="L494">
        <v>367.47500000000002</v>
      </c>
      <c r="M494">
        <v>0.9999036</v>
      </c>
      <c r="N494">
        <v>-1.3864390000000001E-2</v>
      </c>
      <c r="O494">
        <v>-7.7747000000000005E-4</v>
      </c>
      <c r="P494">
        <v>0.99506470000000002</v>
      </c>
      <c r="Q494">
        <v>-9.8036070000000003E-2</v>
      </c>
      <c r="R494">
        <v>-1.5334759999999999E-2</v>
      </c>
      <c r="S494">
        <v>3.0113829999999999</v>
      </c>
      <c r="T494">
        <v>-8.8665489999999996E-3</v>
      </c>
      <c r="U494">
        <v>-0.1759338</v>
      </c>
      <c r="V494">
        <v>1.457838E-2</v>
      </c>
      <c r="W494">
        <v>-8.4227510000000005E-2</v>
      </c>
      <c r="X494">
        <v>0.99633989999999995</v>
      </c>
      <c r="Y494">
        <v>5.7545869999999999E-2</v>
      </c>
      <c r="Z494">
        <v>-4.9241170000000002E-4</v>
      </c>
      <c r="AA494">
        <v>0.99834279999999997</v>
      </c>
      <c r="AB494">
        <v>24</v>
      </c>
      <c r="AC494">
        <v>219.33330000000001</v>
      </c>
      <c r="AD494">
        <v>-0.6465708</v>
      </c>
      <c r="AE494">
        <v>-12.8284</v>
      </c>
      <c r="AF494">
        <v>12.657745051102699</v>
      </c>
      <c r="AG494">
        <v>-0.6465708</v>
      </c>
      <c r="AH494">
        <v>219.34130876087599</v>
      </c>
      <c r="AI494">
        <v>90.168614566677107</v>
      </c>
      <c r="AJ494">
        <v>86.697239037806895</v>
      </c>
      <c r="AK494">
        <v>219.70718306990301</v>
      </c>
      <c r="AL494">
        <v>94.831605157510495</v>
      </c>
      <c r="AM494">
        <v>89.1617117366484</v>
      </c>
      <c r="AN494">
        <v>0.99999999946811702</v>
      </c>
    </row>
    <row r="495" spans="1:40" x14ac:dyDescent="0.25">
      <c r="A495" t="str">
        <f>"20190303154425298"</f>
        <v>20190303154425298</v>
      </c>
      <c r="B495" t="str">
        <f>"1551599065290276"</f>
        <v>1551599065290276</v>
      </c>
      <c r="C495" t="s">
        <v>40</v>
      </c>
      <c r="D495">
        <v>4.6133119999999996</v>
      </c>
      <c r="E495">
        <v>0.50973359999999901</v>
      </c>
      <c r="F495" t="s">
        <v>50</v>
      </c>
      <c r="G495">
        <v>-200.94560000000001</v>
      </c>
      <c r="H495">
        <v>7.9987370000000002E-2</v>
      </c>
      <c r="I495">
        <v>358.36709999999999</v>
      </c>
      <c r="J495">
        <v>-388.38069999999999</v>
      </c>
      <c r="K495">
        <v>1.120986</v>
      </c>
      <c r="L495">
        <v>367.47500000000002</v>
      </c>
      <c r="M495">
        <v>0.99990610000000002</v>
      </c>
      <c r="N495">
        <v>-1.3690620000000001E-2</v>
      </c>
      <c r="O495">
        <v>-6.5512009999999996E-4</v>
      </c>
      <c r="P495">
        <v>0.99521170000000003</v>
      </c>
      <c r="Q495">
        <v>-9.6682039999999997E-2</v>
      </c>
      <c r="R495">
        <v>-1.436835E-2</v>
      </c>
      <c r="S495">
        <v>3.0110169999999998</v>
      </c>
      <c r="T495">
        <v>-1.67017E-2</v>
      </c>
      <c r="U495">
        <v>-0.1461182</v>
      </c>
      <c r="V495">
        <v>1.373131E-2</v>
      </c>
      <c r="W495">
        <v>-8.3045309999999997E-2</v>
      </c>
      <c r="X495">
        <v>0.99645110000000003</v>
      </c>
      <c r="Y495">
        <v>4.781386E-2</v>
      </c>
      <c r="Z495">
        <v>-4.6537930000000003E-4</v>
      </c>
      <c r="AA495">
        <v>0.99885610000000002</v>
      </c>
      <c r="AB495">
        <v>24</v>
      </c>
      <c r="AC495">
        <v>187.43510000000001</v>
      </c>
      <c r="AD495">
        <v>-1.04099863</v>
      </c>
      <c r="AE495">
        <v>-9.1079000000000292</v>
      </c>
      <c r="AF495">
        <v>8.9848175461814108</v>
      </c>
      <c r="AG495">
        <v>-1.04099863</v>
      </c>
      <c r="AH495">
        <v>187.43525909451299</v>
      </c>
      <c r="AI495">
        <v>90.317847391462905</v>
      </c>
      <c r="AJ495">
        <v>87.255594435754603</v>
      </c>
      <c r="AK495">
        <v>187.65336921119501</v>
      </c>
      <c r="AL495">
        <v>94.763632242416904</v>
      </c>
      <c r="AM495">
        <v>89.210501833636101</v>
      </c>
      <c r="AN495">
        <v>0.99999993353925798</v>
      </c>
    </row>
    <row r="496" spans="1:40" x14ac:dyDescent="0.25">
      <c r="A496" t="str">
        <f>"20190303154425320"</f>
        <v>20190303154425320</v>
      </c>
      <c r="B496" t="str">
        <f>"1551599065310776"</f>
        <v>1551599065310776</v>
      </c>
      <c r="C496" t="s">
        <v>40</v>
      </c>
      <c r="D496">
        <v>4.6483840000000001</v>
      </c>
      <c r="E496">
        <v>0.50756080000000003</v>
      </c>
      <c r="F496" t="s">
        <v>41</v>
      </c>
      <c r="G496">
        <v>-249.35339999999999</v>
      </c>
      <c r="H496" s="1">
        <v>-2.2527979999999998E-6</v>
      </c>
      <c r="I496">
        <v>362.02350000000001</v>
      </c>
      <c r="J496">
        <v>-388.1386</v>
      </c>
      <c r="K496">
        <v>1.120927</v>
      </c>
      <c r="L496">
        <v>367.47500000000002</v>
      </c>
      <c r="M496">
        <v>0.9999091</v>
      </c>
      <c r="N496">
        <v>-1.3472659999999999E-2</v>
      </c>
      <c r="O496">
        <v>-5.4870519999999999E-4</v>
      </c>
      <c r="P496">
        <v>0.99529909999999999</v>
      </c>
      <c r="Q496">
        <v>-9.5952120000000002E-2</v>
      </c>
      <c r="R496">
        <v>-1.315908E-2</v>
      </c>
      <c r="S496">
        <v>3.0104060000000001</v>
      </c>
      <c r="T496">
        <v>-2.4273159999999998E-2</v>
      </c>
      <c r="U496">
        <v>-0.11804199999999999</v>
      </c>
      <c r="V496">
        <v>1.2623830000000001E-2</v>
      </c>
      <c r="W496">
        <v>-8.2532309999999998E-2</v>
      </c>
      <c r="X496">
        <v>0.99650839999999996</v>
      </c>
      <c r="Y496">
        <v>3.8629520000000001E-2</v>
      </c>
      <c r="Z496">
        <v>-4.1898610000000002E-4</v>
      </c>
      <c r="AA496">
        <v>0.99925350000000002</v>
      </c>
      <c r="AB496">
        <v>24</v>
      </c>
      <c r="AC496">
        <v>138.7852</v>
      </c>
      <c r="AD496">
        <v>-1.1209292527979999</v>
      </c>
      <c r="AE496">
        <v>-5.4515000000000002</v>
      </c>
      <c r="AF496">
        <v>5.3749900180957697</v>
      </c>
      <c r="AG496">
        <v>-1.1209292527979999</v>
      </c>
      <c r="AH496">
        <v>138.77913155193599</v>
      </c>
      <c r="AI496">
        <v>90.462425475180794</v>
      </c>
      <c r="AJ496">
        <v>87.782012394334402</v>
      </c>
      <c r="AK496">
        <v>138.887704115209</v>
      </c>
      <c r="AL496">
        <v>94.734138095667802</v>
      </c>
      <c r="AM496">
        <v>89.274212347074297</v>
      </c>
      <c r="AN496">
        <v>0.99999996727418194</v>
      </c>
    </row>
    <row r="497" spans="1:40" x14ac:dyDescent="0.25">
      <c r="A497" t="str">
        <f>"20190303154425344"</f>
        <v>20190303154425344</v>
      </c>
      <c r="B497" t="str">
        <f>"1551599065341028"</f>
        <v>1551599065341028</v>
      </c>
      <c r="C497" t="s">
        <v>40</v>
      </c>
      <c r="D497">
        <v>4.6573209999999996</v>
      </c>
      <c r="E497">
        <v>0.50554589999999999</v>
      </c>
      <c r="F497" t="s">
        <v>41</v>
      </c>
      <c r="G497">
        <v>-278.62599999999998</v>
      </c>
      <c r="H497" s="1">
        <v>-1.962607E-6</v>
      </c>
      <c r="I497">
        <v>363.94510000000002</v>
      </c>
      <c r="J497">
        <v>-387.88170000000002</v>
      </c>
      <c r="K497">
        <v>1.1208549999999999</v>
      </c>
      <c r="L497">
        <v>367.47489999999999</v>
      </c>
      <c r="M497">
        <v>0.99991269999999999</v>
      </c>
      <c r="N497">
        <v>-1.3215060000000001E-2</v>
      </c>
      <c r="O497">
        <v>-4.5989199999999999E-4</v>
      </c>
      <c r="P497">
        <v>0.99528240000000001</v>
      </c>
      <c r="Q497">
        <v>-9.6221039999999994E-2</v>
      </c>
      <c r="R497">
        <v>-1.243841E-2</v>
      </c>
      <c r="S497">
        <v>3.0099179999999999</v>
      </c>
      <c r="T497">
        <v>-3.0808329999999998E-2</v>
      </c>
      <c r="U497">
        <v>-9.7015379999999998E-2</v>
      </c>
      <c r="V497">
        <v>1.198691E-2</v>
      </c>
      <c r="W497">
        <v>-8.3058950000000006E-2</v>
      </c>
      <c r="X497">
        <v>0.99647249999999998</v>
      </c>
      <c r="Y497">
        <v>3.1751670000000003E-2</v>
      </c>
      <c r="Z497">
        <v>-3.7369889999999998E-4</v>
      </c>
      <c r="AA497">
        <v>0.99949569999999999</v>
      </c>
      <c r="AB497">
        <v>24</v>
      </c>
      <c r="AC497">
        <v>109.2557</v>
      </c>
      <c r="AD497">
        <v>-1.120856962607</v>
      </c>
      <c r="AE497">
        <v>-3.5297999999999599</v>
      </c>
      <c r="AF497">
        <v>3.4791836288465201</v>
      </c>
      <c r="AG497">
        <v>-1.120856962607</v>
      </c>
      <c r="AH497">
        <v>109.245826040862</v>
      </c>
      <c r="AI497">
        <v>90.587533481729196</v>
      </c>
      <c r="AJ497">
        <v>88.175901158860995</v>
      </c>
      <c r="AK497">
        <v>109.30696019194799</v>
      </c>
      <c r="AL497">
        <v>94.764416343592103</v>
      </c>
      <c r="AM497">
        <v>89.3108026287847</v>
      </c>
      <c r="AN497">
        <v>0.99999995922134899</v>
      </c>
    </row>
    <row r="498" spans="1:40" x14ac:dyDescent="0.25">
      <c r="A498" t="str">
        <f>"20190303154425368"</f>
        <v>20190303154425368</v>
      </c>
      <c r="B498" t="str">
        <f>"1551599065360549"</f>
        <v>1551599065360549</v>
      </c>
      <c r="C498" t="s">
        <v>40</v>
      </c>
      <c r="D498">
        <v>4.6478199999999896</v>
      </c>
      <c r="E498">
        <v>0.50461099999999903</v>
      </c>
      <c r="F498" t="s">
        <v>43</v>
      </c>
      <c r="G498">
        <v>-303.541</v>
      </c>
      <c r="H498">
        <v>-0.05</v>
      </c>
      <c r="I498">
        <v>365.26900000000001</v>
      </c>
      <c r="J498">
        <v>-387.6225</v>
      </c>
      <c r="K498">
        <v>1.120797</v>
      </c>
      <c r="L498">
        <v>367.47489999999999</v>
      </c>
      <c r="M498">
        <v>0.99991609999999997</v>
      </c>
      <c r="N498">
        <v>-1.2948660000000001E-2</v>
      </c>
      <c r="O498">
        <v>-4.0285009999999999E-4</v>
      </c>
      <c r="P498">
        <v>0.99525490000000005</v>
      </c>
      <c r="Q498">
        <v>-9.6554089999999995E-2</v>
      </c>
      <c r="R498">
        <v>-1.2045780000000001E-2</v>
      </c>
      <c r="S498">
        <v>3.0091549999999998</v>
      </c>
      <c r="T498">
        <v>-4.1774390000000002E-2</v>
      </c>
      <c r="U498">
        <v>-7.8704830000000003E-2</v>
      </c>
      <c r="V498">
        <v>1.164653E-2</v>
      </c>
      <c r="W498">
        <v>-8.3658460000000004E-2</v>
      </c>
      <c r="X498">
        <v>0.99642640000000005</v>
      </c>
      <c r="Y498">
        <v>2.5738649999999998E-2</v>
      </c>
      <c r="Z498">
        <v>-3.4493419999999999E-4</v>
      </c>
      <c r="AA498">
        <v>0.99966869999999997</v>
      </c>
      <c r="AB498">
        <v>24</v>
      </c>
      <c r="AC498">
        <v>84.081500000000005</v>
      </c>
      <c r="AD498">
        <v>-1.1707969999999901</v>
      </c>
      <c r="AE498">
        <v>-2.2058999999999802</v>
      </c>
      <c r="AF498">
        <v>2.1716039715580702</v>
      </c>
      <c r="AG498">
        <v>-1.1707969999999901</v>
      </c>
      <c r="AH498">
        <v>84.066093275540894</v>
      </c>
      <c r="AI498">
        <v>90.797646486292606</v>
      </c>
      <c r="AJ498">
        <v>88.520258612158599</v>
      </c>
      <c r="AK498">
        <v>84.102286937017595</v>
      </c>
      <c r="AL498">
        <v>94.798885628850101</v>
      </c>
      <c r="AM498">
        <v>89.330340274433695</v>
      </c>
      <c r="AN498">
        <v>0.99999997510378602</v>
      </c>
    </row>
    <row r="499" spans="1:40" x14ac:dyDescent="0.25">
      <c r="A499" t="str">
        <f>"20190303154425388"</f>
        <v>20190303154425388</v>
      </c>
      <c r="B499" t="str">
        <f>"1551599065381045"</f>
        <v>1551599065381045</v>
      </c>
      <c r="C499" t="s">
        <v>40</v>
      </c>
      <c r="D499">
        <v>4.6390549999999999</v>
      </c>
      <c r="E499">
        <v>0.50353599999999998</v>
      </c>
      <c r="F499" t="s">
        <v>43</v>
      </c>
      <c r="G499">
        <v>-314.47370000000001</v>
      </c>
      <c r="H499">
        <v>-0.05</v>
      </c>
      <c r="I499">
        <v>365.767</v>
      </c>
      <c r="J499">
        <v>-387.39319999999998</v>
      </c>
      <c r="K499">
        <v>1.12076</v>
      </c>
      <c r="L499">
        <v>367.47489999999999</v>
      </c>
      <c r="M499">
        <v>0.99991920000000001</v>
      </c>
      <c r="N499">
        <v>-1.2719690000000001E-2</v>
      </c>
      <c r="O499">
        <v>-3.7564569999999999E-4</v>
      </c>
      <c r="P499">
        <v>0.99528159999999999</v>
      </c>
      <c r="Q499">
        <v>-9.6285159999999995E-2</v>
      </c>
      <c r="R499">
        <v>-1.199652E-2</v>
      </c>
      <c r="S499">
        <v>3.0087890000000002</v>
      </c>
      <c r="T499">
        <v>-4.8157690000000003E-2</v>
      </c>
      <c r="U499">
        <v>-7.0251460000000002E-2</v>
      </c>
      <c r="V499">
        <v>1.1621029999999999E-2</v>
      </c>
      <c r="W499">
        <v>-8.3617849999999994E-2</v>
      </c>
      <c r="X499">
        <v>0.99643020000000004</v>
      </c>
      <c r="Y499">
        <v>2.2961539999999999E-2</v>
      </c>
      <c r="Z499">
        <v>-3.2856139999999997E-4</v>
      </c>
      <c r="AA499">
        <v>0.99973630000000002</v>
      </c>
      <c r="AB499">
        <v>25</v>
      </c>
      <c r="AC499">
        <v>72.9194999999999</v>
      </c>
      <c r="AD499">
        <v>-1.17076</v>
      </c>
      <c r="AE499">
        <v>-1.70789999999999</v>
      </c>
      <c r="AF499">
        <v>1.6800729204316101</v>
      </c>
      <c r="AG499">
        <v>-1.17076</v>
      </c>
      <c r="AH499">
        <v>72.901354299770702</v>
      </c>
      <c r="AI499">
        <v>90.919818841591095</v>
      </c>
      <c r="AJ499">
        <v>88.679804343792497</v>
      </c>
      <c r="AK499">
        <v>72.930108890198895</v>
      </c>
      <c r="AL499">
        <v>94.796550217736694</v>
      </c>
      <c r="AM499">
        <v>89.331808904866506</v>
      </c>
      <c r="AN499">
        <v>1.0000000683244501</v>
      </c>
    </row>
    <row r="500" spans="1:40" x14ac:dyDescent="0.25">
      <c r="A500" t="str">
        <f>"20190303154425412"</f>
        <v>20190303154425412</v>
      </c>
      <c r="B500" t="str">
        <f>"1551599065400564"</f>
        <v>1551599065400564</v>
      </c>
      <c r="C500" t="s">
        <v>40</v>
      </c>
      <c r="D500">
        <v>4.7162689999999996</v>
      </c>
      <c r="E500">
        <v>0.50287729999999997</v>
      </c>
      <c r="F500" t="s">
        <v>41</v>
      </c>
      <c r="G500">
        <v>-322.36090000000002</v>
      </c>
      <c r="H500" s="1">
        <v>-3.8758420000000001E-6</v>
      </c>
      <c r="I500">
        <v>366.14159999999998</v>
      </c>
      <c r="J500">
        <v>-387.14019999999999</v>
      </c>
      <c r="K500">
        <v>1.12073</v>
      </c>
      <c r="L500">
        <v>367.47469999999998</v>
      </c>
      <c r="M500">
        <v>0.99992199999999998</v>
      </c>
      <c r="N500">
        <v>-1.2482149999999999E-2</v>
      </c>
      <c r="O500">
        <v>-3.6644919999999999E-4</v>
      </c>
      <c r="P500">
        <v>0.99534140000000004</v>
      </c>
      <c r="Q500">
        <v>-9.5546320000000004E-2</v>
      </c>
      <c r="R500">
        <v>-1.29097E-2</v>
      </c>
      <c r="S500">
        <v>3.0084529999999998</v>
      </c>
      <c r="T500">
        <v>-5.1847459999999998E-2</v>
      </c>
      <c r="U500">
        <v>-6.167603E-2</v>
      </c>
      <c r="V500">
        <v>1.2541129999999999E-2</v>
      </c>
      <c r="W500">
        <v>-8.3115380000000003E-2</v>
      </c>
      <c r="X500">
        <v>0.99646100000000004</v>
      </c>
      <c r="Y500">
        <v>2.0125049999999998E-2</v>
      </c>
      <c r="Z500">
        <v>-2.9728129999999998E-4</v>
      </c>
      <c r="AA500">
        <v>0.99979739999999995</v>
      </c>
      <c r="AB500">
        <v>25</v>
      </c>
      <c r="AC500">
        <v>64.779299999999907</v>
      </c>
      <c r="AD500">
        <v>-1.120733875842</v>
      </c>
      <c r="AE500">
        <v>-1.3331</v>
      </c>
      <c r="AF500">
        <v>1.3089681061221099</v>
      </c>
      <c r="AG500">
        <v>-1.120733875842</v>
      </c>
      <c r="AH500">
        <v>64.760408466117994</v>
      </c>
      <c r="AI500">
        <v>90.991250737958396</v>
      </c>
      <c r="AJ500">
        <v>88.842068187974405</v>
      </c>
      <c r="AK500">
        <v>64.783330777459597</v>
      </c>
      <c r="AL500">
        <v>94.767660637613105</v>
      </c>
      <c r="AM500">
        <v>89.278932257757603</v>
      </c>
      <c r="AN500">
        <v>0.99999998542761004</v>
      </c>
    </row>
    <row r="501" spans="1:40" x14ac:dyDescent="0.25">
      <c r="A501" t="str">
        <f>"20190303154425433"</f>
        <v>20190303154425433</v>
      </c>
      <c r="B501" t="str">
        <f>"1551599065430821"</f>
        <v>1551599065430821</v>
      </c>
      <c r="C501" t="s">
        <v>40</v>
      </c>
      <c r="D501">
        <v>4.6630379999999896</v>
      </c>
      <c r="E501">
        <v>0.50196779999999996</v>
      </c>
      <c r="F501" t="s">
        <v>41</v>
      </c>
      <c r="G501">
        <v>-323.9554</v>
      </c>
      <c r="H501" s="1">
        <v>-3.175939E-6</v>
      </c>
      <c r="I501">
        <v>366.23110000000003</v>
      </c>
      <c r="J501">
        <v>-386.90410000000003</v>
      </c>
      <c r="K501">
        <v>1.120711</v>
      </c>
      <c r="L501">
        <v>367.47469999999998</v>
      </c>
      <c r="M501">
        <v>0.9999247</v>
      </c>
      <c r="N501">
        <v>-1.2275909999999999E-2</v>
      </c>
      <c r="O501">
        <v>-3.708467E-4</v>
      </c>
      <c r="P501">
        <v>0.9953919</v>
      </c>
      <c r="Q501">
        <v>-9.4884399999999994E-2</v>
      </c>
      <c r="R501">
        <v>-1.387293E-2</v>
      </c>
      <c r="S501">
        <v>3.0081790000000002</v>
      </c>
      <c r="T501">
        <v>-5.3357120000000001E-2</v>
      </c>
      <c r="U501">
        <v>-5.9204100000000003E-2</v>
      </c>
      <c r="V501">
        <v>1.3498990000000001E-2</v>
      </c>
      <c r="W501">
        <v>-8.2658609999999993E-2</v>
      </c>
      <c r="X501">
        <v>0.99648650000000005</v>
      </c>
      <c r="Y501">
        <v>1.93013E-2</v>
      </c>
      <c r="Z501">
        <v>-2.8762470000000002E-4</v>
      </c>
      <c r="AA501">
        <v>0.99981370000000003</v>
      </c>
      <c r="AB501">
        <v>25</v>
      </c>
      <c r="AC501">
        <v>62.948700000000002</v>
      </c>
      <c r="AD501">
        <v>-1.120714175939</v>
      </c>
      <c r="AE501">
        <v>-1.2435999999999501</v>
      </c>
      <c r="AF501">
        <v>1.2198673317022799</v>
      </c>
      <c r="AG501">
        <v>-1.120714175939</v>
      </c>
      <c r="AH501">
        <v>62.929218088122198</v>
      </c>
      <c r="AI501">
        <v>91.020088119717997</v>
      </c>
      <c r="AJ501">
        <v>88.889474568330101</v>
      </c>
      <c r="AK501">
        <v>62.951017193954499</v>
      </c>
      <c r="AL501">
        <v>94.741399176536802</v>
      </c>
      <c r="AM501">
        <v>89.223885272031296</v>
      </c>
      <c r="AN501">
        <v>1.0000000066101999</v>
      </c>
    </row>
    <row r="502" spans="1:40" x14ac:dyDescent="0.25">
      <c r="A502" t="str">
        <f>"20190303154425454"</f>
        <v>20190303154425454</v>
      </c>
      <c r="B502" t="str">
        <f>"1551599065450340"</f>
        <v>1551599065450340</v>
      </c>
      <c r="C502" t="s">
        <v>40</v>
      </c>
      <c r="D502">
        <v>4.7021069999999998</v>
      </c>
      <c r="E502">
        <v>0.5016794</v>
      </c>
      <c r="F502" t="s">
        <v>41</v>
      </c>
      <c r="G502">
        <v>-329.12180000000001</v>
      </c>
      <c r="H502" s="1">
        <v>-1.1349890000000001E-6</v>
      </c>
      <c r="I502">
        <v>366.42160000000001</v>
      </c>
      <c r="J502">
        <v>-386.67079999999999</v>
      </c>
      <c r="K502">
        <v>1.1207009999999999</v>
      </c>
      <c r="L502">
        <v>367.47449999999998</v>
      </c>
      <c r="M502">
        <v>0.99992700000000001</v>
      </c>
      <c r="N502">
        <v>-1.2088410000000001E-2</v>
      </c>
      <c r="O502">
        <v>-3.8128290000000002E-4</v>
      </c>
      <c r="P502">
        <v>0.99542079999999999</v>
      </c>
      <c r="Q502">
        <v>-9.4408179999999994E-2</v>
      </c>
      <c r="R502">
        <v>-1.4993680000000001E-2</v>
      </c>
      <c r="S502">
        <v>3.007568</v>
      </c>
      <c r="T502">
        <v>-5.8332920000000003E-2</v>
      </c>
      <c r="U502">
        <v>-5.4809570000000002E-2</v>
      </c>
      <c r="V502">
        <v>1.460912E-2</v>
      </c>
      <c r="W502">
        <v>-8.2369079999999997E-2</v>
      </c>
      <c r="X502">
        <v>0.99649480000000001</v>
      </c>
      <c r="Y502">
        <v>1.7834180000000002E-2</v>
      </c>
      <c r="Z502">
        <v>-2.7795739999999998E-4</v>
      </c>
      <c r="AA502">
        <v>0.99984090000000003</v>
      </c>
      <c r="AB502">
        <v>25</v>
      </c>
      <c r="AC502">
        <v>57.5489999999999</v>
      </c>
      <c r="AD502">
        <v>-1.1207021349889901</v>
      </c>
      <c r="AE502">
        <v>-1.05289999999996</v>
      </c>
      <c r="AF502">
        <v>1.0305651811324099</v>
      </c>
      <c r="AG502">
        <v>-1.1207021349889901</v>
      </c>
      <c r="AH502">
        <v>57.527588303197298</v>
      </c>
      <c r="AI502">
        <v>91.115866075304396</v>
      </c>
      <c r="AJ502">
        <v>88.973697283948596</v>
      </c>
      <c r="AK502">
        <v>57.547731960956497</v>
      </c>
      <c r="AL502">
        <v>94.724753649684402</v>
      </c>
      <c r="AM502">
        <v>89.160074937076701</v>
      </c>
      <c r="AN502">
        <v>0.99999998907712995</v>
      </c>
    </row>
    <row r="503" spans="1:40" x14ac:dyDescent="0.25">
      <c r="A503" t="str">
        <f>"20190303154425477"</f>
        <v>20190303154425477</v>
      </c>
      <c r="B503" t="str">
        <f>"1551599065470838"</f>
        <v>1551599065470838</v>
      </c>
      <c r="C503" t="s">
        <v>40</v>
      </c>
      <c r="D503">
        <v>4.6886679999999998</v>
      </c>
      <c r="E503">
        <v>0.50153689999999995</v>
      </c>
      <c r="F503" t="s">
        <v>41</v>
      </c>
      <c r="G503">
        <v>-329.30630000000002</v>
      </c>
      <c r="H503" s="1">
        <v>-1.077507E-6</v>
      </c>
      <c r="I503">
        <v>366.40170000000001</v>
      </c>
      <c r="J503">
        <v>-386.41570000000002</v>
      </c>
      <c r="K503">
        <v>1.1206969999999901</v>
      </c>
      <c r="L503">
        <v>367.47449999999998</v>
      </c>
      <c r="M503">
        <v>0.99992910000000002</v>
      </c>
      <c r="N503">
        <v>-1.190363E-2</v>
      </c>
      <c r="O503">
        <v>-3.9446300000000001E-4</v>
      </c>
      <c r="P503">
        <v>0.99547229999999998</v>
      </c>
      <c r="Q503">
        <v>-9.3733179999999999E-2</v>
      </c>
      <c r="R503">
        <v>-1.5771279999999999E-2</v>
      </c>
      <c r="S503">
        <v>3.0073850000000002</v>
      </c>
      <c r="T503">
        <v>-5.8753729999999997E-2</v>
      </c>
      <c r="U503">
        <v>-5.6243899999999999E-2</v>
      </c>
      <c r="V503">
        <v>1.537379E-2</v>
      </c>
      <c r="W503">
        <v>-8.1877660000000005E-2</v>
      </c>
      <c r="X503">
        <v>0.99652379999999996</v>
      </c>
      <c r="Y503">
        <v>1.829863E-2</v>
      </c>
      <c r="Z503">
        <v>-2.8464300000000001E-4</v>
      </c>
      <c r="AA503">
        <v>0.99983250000000001</v>
      </c>
      <c r="AB503">
        <v>25</v>
      </c>
      <c r="AC503">
        <v>57.109400000000001</v>
      </c>
      <c r="AD503">
        <v>-1.1206980775069999</v>
      </c>
      <c r="AE503">
        <v>-1.07279999999997</v>
      </c>
      <c r="AF503">
        <v>1.04986662535408</v>
      </c>
      <c r="AG503">
        <v>-1.1206980775069999</v>
      </c>
      <c r="AH503">
        <v>57.087842572900598</v>
      </c>
      <c r="AI503">
        <v>91.124445573558305</v>
      </c>
      <c r="AJ503">
        <v>88.946428101079803</v>
      </c>
      <c r="AK503">
        <v>57.108492833730402</v>
      </c>
      <c r="AL503">
        <v>94.696501903067997</v>
      </c>
      <c r="AM503">
        <v>89.116144130697606</v>
      </c>
      <c r="AN503">
        <v>0.99999999429623898</v>
      </c>
    </row>
    <row r="504" spans="1:40" x14ac:dyDescent="0.25">
      <c r="A504" t="str">
        <f>"20190303154425499"</f>
        <v>20190303154425499</v>
      </c>
      <c r="B504" t="str">
        <f>"1551599065490367"</f>
        <v>1551599065490367</v>
      </c>
      <c r="C504" t="s">
        <v>40</v>
      </c>
      <c r="D504">
        <v>4.7191169999999998</v>
      </c>
      <c r="E504">
        <v>0.50129259999999998</v>
      </c>
      <c r="F504" t="s">
        <v>41</v>
      </c>
      <c r="G504">
        <v>-328.66079999999999</v>
      </c>
      <c r="H504" s="1">
        <v>-1.306794E-6</v>
      </c>
      <c r="I504">
        <v>366.3655</v>
      </c>
      <c r="J504">
        <v>-386.17610000000002</v>
      </c>
      <c r="K504">
        <v>1.1207</v>
      </c>
      <c r="L504">
        <v>367.47430000000003</v>
      </c>
      <c r="M504">
        <v>0.99993089999999996</v>
      </c>
      <c r="N504">
        <v>-1.174975E-2</v>
      </c>
      <c r="O504">
        <v>-4.0532900000000001E-4</v>
      </c>
      <c r="P504">
        <v>0.99555910000000003</v>
      </c>
      <c r="Q504">
        <v>-9.2734070000000002E-2</v>
      </c>
      <c r="R504">
        <v>-1.6199740000000001E-2</v>
      </c>
      <c r="S504">
        <v>3.0072329999999998</v>
      </c>
      <c r="T504">
        <v>-5.8353420000000003E-2</v>
      </c>
      <c r="U504">
        <v>-5.7739260000000001E-2</v>
      </c>
      <c r="V504">
        <v>1.579171E-2</v>
      </c>
      <c r="W504">
        <v>-8.1030900000000003E-2</v>
      </c>
      <c r="X504">
        <v>0.99658650000000004</v>
      </c>
      <c r="Y504">
        <v>1.8785639999999999E-2</v>
      </c>
      <c r="Z504">
        <v>-2.8952010000000001E-4</v>
      </c>
      <c r="AA504">
        <v>0.99982349999999998</v>
      </c>
      <c r="AB504">
        <v>25</v>
      </c>
      <c r="AC504">
        <v>57.515300000000003</v>
      </c>
      <c r="AD504">
        <v>-1.1207013067939999</v>
      </c>
      <c r="AE504">
        <v>-1.10880000000003</v>
      </c>
      <c r="AF504">
        <v>1.0850738574857799</v>
      </c>
      <c r="AG504">
        <v>-1.1207013067939999</v>
      </c>
      <c r="AH504">
        <v>57.493923789796597</v>
      </c>
      <c r="AI504">
        <v>91.116498785967494</v>
      </c>
      <c r="AJ504">
        <v>88.918794045865297</v>
      </c>
      <c r="AK504">
        <v>57.515081756372297</v>
      </c>
      <c r="AL504">
        <v>94.647824263099594</v>
      </c>
      <c r="AM504">
        <v>89.092178534138398</v>
      </c>
      <c r="AN504">
        <v>1.0000000184208899</v>
      </c>
    </row>
    <row r="505" spans="1:40" x14ac:dyDescent="0.25">
      <c r="A505" t="str">
        <f>"20190303154425522"</f>
        <v>20190303154425522</v>
      </c>
      <c r="B505" t="str">
        <f>"1551599065510856"</f>
        <v>1551599065510856</v>
      </c>
      <c r="C505" t="s">
        <v>40</v>
      </c>
      <c r="D505">
        <v>4.7412419999999997</v>
      </c>
      <c r="E505">
        <v>0.50099159999999998</v>
      </c>
      <c r="F505" t="s">
        <v>41</v>
      </c>
      <c r="G505">
        <v>-327.20370000000003</v>
      </c>
      <c r="H505" s="1">
        <v>-1.8035059999999999E-6</v>
      </c>
      <c r="I505">
        <v>366.3623</v>
      </c>
      <c r="J505">
        <v>-385.92230000000001</v>
      </c>
      <c r="K505">
        <v>1.120703</v>
      </c>
      <c r="L505">
        <v>367.4742</v>
      </c>
      <c r="M505">
        <v>0.99993259999999995</v>
      </c>
      <c r="N505">
        <v>-1.160629E-2</v>
      </c>
      <c r="O505">
        <v>-4.1328879999999999E-4</v>
      </c>
      <c r="P505">
        <v>0.99561670000000002</v>
      </c>
      <c r="Q505">
        <v>-9.2089859999999996E-2</v>
      </c>
      <c r="R505">
        <v>-1.6343110000000001E-2</v>
      </c>
      <c r="S505">
        <v>3.0071110000000001</v>
      </c>
      <c r="T505">
        <v>-5.7146549999999997E-2</v>
      </c>
      <c r="U505">
        <v>-5.6701660000000001E-2</v>
      </c>
      <c r="V505">
        <v>1.5927440000000001E-2</v>
      </c>
      <c r="W505">
        <v>-8.0528999999999906E-2</v>
      </c>
      <c r="X505">
        <v>0.99662499999999998</v>
      </c>
      <c r="Y505">
        <v>1.8433919999999999E-2</v>
      </c>
      <c r="Z505">
        <v>-2.7907300000000002E-4</v>
      </c>
      <c r="AA505">
        <v>0.99983010000000005</v>
      </c>
      <c r="AB505">
        <v>25</v>
      </c>
      <c r="AC505">
        <v>58.718599999999903</v>
      </c>
      <c r="AD505">
        <v>-1.1207048035060001</v>
      </c>
      <c r="AE505">
        <v>-1.1118999999999899</v>
      </c>
      <c r="AF505">
        <v>1.0872346196210101</v>
      </c>
      <c r="AG505">
        <v>-1.1207048035060001</v>
      </c>
      <c r="AH505">
        <v>58.697680033811999</v>
      </c>
      <c r="AI505">
        <v>91.093618116485104</v>
      </c>
      <c r="AJ505">
        <v>88.938853590358406</v>
      </c>
      <c r="AK505">
        <v>58.718444289051703</v>
      </c>
      <c r="AL505">
        <v>94.618973324828602</v>
      </c>
      <c r="AM505">
        <v>89.084412481676793</v>
      </c>
      <c r="AN505">
        <v>0.99999999690547603</v>
      </c>
    </row>
    <row r="506" spans="1:40" x14ac:dyDescent="0.25">
      <c r="A506" t="str">
        <f>"20190303154425545"</f>
        <v>20190303154425545</v>
      </c>
      <c r="B506" t="str">
        <f>"1551599065541108"</f>
        <v>1551599065541108</v>
      </c>
      <c r="C506" t="s">
        <v>40</v>
      </c>
      <c r="D506">
        <v>4.799328</v>
      </c>
      <c r="E506">
        <v>0.50060059999999995</v>
      </c>
      <c r="F506" t="s">
        <v>41</v>
      </c>
      <c r="G506">
        <v>-327.24459999999999</v>
      </c>
      <c r="H506" s="1">
        <v>-1.77563E-6</v>
      </c>
      <c r="I506">
        <v>366.41480000000001</v>
      </c>
      <c r="J506">
        <v>-385.66899999999998</v>
      </c>
      <c r="K506">
        <v>1.1207049999999901</v>
      </c>
      <c r="L506">
        <v>367.47410000000002</v>
      </c>
      <c r="M506">
        <v>0.99993399999999999</v>
      </c>
      <c r="N506">
        <v>-1.1483129999999999E-2</v>
      </c>
      <c r="O506">
        <v>-4.1649729999999999E-4</v>
      </c>
      <c r="P506">
        <v>0.99562399999999995</v>
      </c>
      <c r="Q506">
        <v>-9.2131699999999997E-2</v>
      </c>
      <c r="R506">
        <v>-1.5648410000000001E-2</v>
      </c>
      <c r="S506">
        <v>3.0070190000000001</v>
      </c>
      <c r="T506">
        <v>-5.7431940000000001E-2</v>
      </c>
      <c r="U506">
        <v>-5.4290770000000002E-2</v>
      </c>
      <c r="V506">
        <v>1.5229589999999999E-2</v>
      </c>
      <c r="W506">
        <v>-8.0693440000000005E-2</v>
      </c>
      <c r="X506">
        <v>0.99662260000000003</v>
      </c>
      <c r="Y506">
        <v>1.7630150000000001E-2</v>
      </c>
      <c r="Z506">
        <v>-2.664125E-4</v>
      </c>
      <c r="AA506">
        <v>0.99984459999999997</v>
      </c>
      <c r="AB506">
        <v>25</v>
      </c>
      <c r="AC506">
        <v>58.424399999999999</v>
      </c>
      <c r="AD506">
        <v>-1.12070677562999</v>
      </c>
      <c r="AE506">
        <v>-1.0592999999999999</v>
      </c>
      <c r="AF506">
        <v>1.03458414326701</v>
      </c>
      <c r="AG506">
        <v>-1.12070677562999</v>
      </c>
      <c r="AH506">
        <v>58.403353375045299</v>
      </c>
      <c r="AI506">
        <v>91.099146130373299</v>
      </c>
      <c r="AJ506">
        <v>88.985142080863994</v>
      </c>
      <c r="AK506">
        <v>58.4232662000068</v>
      </c>
      <c r="AL506">
        <v>94.628425840319693</v>
      </c>
      <c r="AM506">
        <v>89.124519834133295</v>
      </c>
      <c r="AN506">
        <v>0.99999998925068001</v>
      </c>
    </row>
    <row r="507" spans="1:40" x14ac:dyDescent="0.25">
      <c r="A507" t="str">
        <f>"20190303154425569"</f>
        <v>20190303154425569</v>
      </c>
      <c r="B507" t="str">
        <f>"1551599065560629"</f>
        <v>1551599065560629</v>
      </c>
      <c r="C507" t="s">
        <v>40</v>
      </c>
      <c r="D507">
        <v>4.7805470000000003</v>
      </c>
      <c r="E507">
        <v>0.50031689999999995</v>
      </c>
      <c r="F507" t="s">
        <v>41</v>
      </c>
      <c r="G507">
        <v>-330.61849999999998</v>
      </c>
      <c r="H507" s="1">
        <v>-4.547227E-6</v>
      </c>
      <c r="I507">
        <v>366.57060000000001</v>
      </c>
      <c r="J507">
        <v>-385.40710000000001</v>
      </c>
      <c r="K507">
        <v>1.1206959999999999</v>
      </c>
      <c r="L507">
        <v>367.47399999999999</v>
      </c>
      <c r="M507">
        <v>0.99993529999999997</v>
      </c>
      <c r="N507">
        <v>-1.1376280000000001E-2</v>
      </c>
      <c r="O507">
        <v>-4.1765949999999997E-4</v>
      </c>
      <c r="P507">
        <v>0.9956332</v>
      </c>
      <c r="Q507">
        <v>-9.2167349999999995E-2</v>
      </c>
      <c r="R507">
        <v>-1.482604E-2</v>
      </c>
      <c r="S507">
        <v>3.0067439999999999</v>
      </c>
      <c r="T507">
        <v>-6.1210750000000001E-2</v>
      </c>
      <c r="U507">
        <v>-4.9346920000000002E-2</v>
      </c>
      <c r="V507">
        <v>1.4406260000000001E-2</v>
      </c>
      <c r="W507">
        <v>-8.0835420000000005E-2</v>
      </c>
      <c r="X507">
        <v>0.99662329999999999</v>
      </c>
      <c r="Y507">
        <v>1.5987089999999999E-2</v>
      </c>
      <c r="Z507">
        <v>-2.4991370000000001E-4</v>
      </c>
      <c r="AA507">
        <v>0.99987210000000004</v>
      </c>
      <c r="AB507">
        <v>25</v>
      </c>
      <c r="AC507">
        <v>54.788600000000002</v>
      </c>
      <c r="AD507">
        <v>-1.120700547227</v>
      </c>
      <c r="AE507">
        <v>-0.903399999999976</v>
      </c>
      <c r="AF507">
        <v>0.88014730374100403</v>
      </c>
      <c r="AG507">
        <v>-1.120700547227</v>
      </c>
      <c r="AH507">
        <v>54.766064291881001</v>
      </c>
      <c r="AI507">
        <v>91.1721522176109</v>
      </c>
      <c r="AJ507">
        <v>89.079276817991598</v>
      </c>
      <c r="AK507">
        <v>54.784600272478798</v>
      </c>
      <c r="AL507">
        <v>94.636587521920902</v>
      </c>
      <c r="AM507">
        <v>89.171843149085106</v>
      </c>
      <c r="AN507">
        <v>0.99999995377832496</v>
      </c>
    </row>
    <row r="508" spans="1:40" x14ac:dyDescent="0.25">
      <c r="A508" t="str">
        <f>"20190303154425587"</f>
        <v>20190303154425587</v>
      </c>
      <c r="B508" t="str">
        <f>"1551599065581125"</f>
        <v>1551599065581125</v>
      </c>
      <c r="C508" t="s">
        <v>40</v>
      </c>
      <c r="D508">
        <v>4.7598229999999999</v>
      </c>
      <c r="E508">
        <v>0.50008069999999905</v>
      </c>
      <c r="F508" t="s">
        <v>41</v>
      </c>
      <c r="G508">
        <v>-332.4162</v>
      </c>
      <c r="H508" s="1">
        <v>-3.755191E-6</v>
      </c>
      <c r="I508">
        <v>366.68810000000002</v>
      </c>
      <c r="J508">
        <v>-385.1909</v>
      </c>
      <c r="K508">
        <v>1.120698</v>
      </c>
      <c r="L508">
        <v>367.47399999999999</v>
      </c>
      <c r="M508">
        <v>0.99993589999999999</v>
      </c>
      <c r="N508">
        <v>-1.131246E-2</v>
      </c>
      <c r="O508">
        <v>-4.175246E-4</v>
      </c>
      <c r="P508">
        <v>0.99566359999999998</v>
      </c>
      <c r="Q508">
        <v>-9.1999549999999999E-2</v>
      </c>
      <c r="R508">
        <v>-1.377689E-2</v>
      </c>
      <c r="S508">
        <v>3.0066220000000001</v>
      </c>
      <c r="T508">
        <v>-6.3586710000000005E-2</v>
      </c>
      <c r="U508">
        <v>-4.4586180000000003E-2</v>
      </c>
      <c r="V508">
        <v>1.3357559999999999E-2</v>
      </c>
      <c r="W508">
        <v>-8.073081E-2</v>
      </c>
      <c r="X508">
        <v>0.99664640000000004</v>
      </c>
      <c r="Y508">
        <v>1.440526E-2</v>
      </c>
      <c r="Z508">
        <v>-2.2969700000000001E-4</v>
      </c>
      <c r="AA508">
        <v>0.99989620000000001</v>
      </c>
      <c r="AB508">
        <v>25</v>
      </c>
      <c r="AC508">
        <v>52.774700000000003</v>
      </c>
      <c r="AD508">
        <v>-1.1207017551909999</v>
      </c>
      <c r="AE508">
        <v>-0.78589999999996896</v>
      </c>
      <c r="AF508">
        <v>0.763519552448646</v>
      </c>
      <c r="AG508">
        <v>-1.1207017551909999</v>
      </c>
      <c r="AH508">
        <v>52.751240645983501</v>
      </c>
      <c r="AI508">
        <v>91.216940112238206</v>
      </c>
      <c r="AJ508">
        <v>89.170760860167107</v>
      </c>
      <c r="AK508">
        <v>52.768668016366703</v>
      </c>
      <c r="AL508">
        <v>94.630574093641798</v>
      </c>
      <c r="AM508">
        <v>89.232138908311398</v>
      </c>
      <c r="AN508">
        <v>0.99999996736268404</v>
      </c>
    </row>
    <row r="509" spans="1:40" x14ac:dyDescent="0.25">
      <c r="A509" t="str">
        <f>"20190303154425611"</f>
        <v>20190303154425611</v>
      </c>
      <c r="B509" t="str">
        <f>"1551599065600644"</f>
        <v>1551599065600644</v>
      </c>
      <c r="C509" t="s">
        <v>40</v>
      </c>
      <c r="D509">
        <v>4.7781549999999999</v>
      </c>
      <c r="E509">
        <v>0.49987389999999998</v>
      </c>
      <c r="F509" t="s">
        <v>41</v>
      </c>
      <c r="G509">
        <v>-333.91590000000002</v>
      </c>
      <c r="H509" s="1">
        <v>-3.0923480000000001E-6</v>
      </c>
      <c r="I509">
        <v>366.7978</v>
      </c>
      <c r="J509">
        <v>-384.9402</v>
      </c>
      <c r="K509">
        <v>1.1207100000000001</v>
      </c>
      <c r="L509">
        <v>367.47379999999998</v>
      </c>
      <c r="M509">
        <v>0.99993650000000001</v>
      </c>
      <c r="N509">
        <v>-1.127451E-2</v>
      </c>
      <c r="O509">
        <v>-4.1694030000000002E-4</v>
      </c>
      <c r="P509">
        <v>0.99570820000000004</v>
      </c>
      <c r="Q509">
        <v>-9.1661790000000007E-2</v>
      </c>
      <c r="R509">
        <v>-1.278526E-2</v>
      </c>
      <c r="S509">
        <v>3.0064700000000002</v>
      </c>
      <c r="T509">
        <v>-6.571138E-2</v>
      </c>
      <c r="U509">
        <v>-3.9642330000000003E-2</v>
      </c>
      <c r="V509">
        <v>1.23666E-2</v>
      </c>
      <c r="W509">
        <v>-8.043032E-2</v>
      </c>
      <c r="X509">
        <v>0.99668350000000006</v>
      </c>
      <c r="Y509">
        <v>1.2763E-2</v>
      </c>
      <c r="Z509">
        <v>-2.070114E-4</v>
      </c>
      <c r="AA509">
        <v>0.99991850000000004</v>
      </c>
      <c r="AB509">
        <v>25</v>
      </c>
      <c r="AC509">
        <v>51.024299999999897</v>
      </c>
      <c r="AD509">
        <v>-1.120713092348</v>
      </c>
      <c r="AE509">
        <v>-0.67599999999998694</v>
      </c>
      <c r="AF509">
        <v>0.654408853741971</v>
      </c>
      <c r="AG509">
        <v>-1.120713092348</v>
      </c>
      <c r="AH509">
        <v>50.999977805674803</v>
      </c>
      <c r="AI509">
        <v>91.258755732023701</v>
      </c>
      <c r="AJ509">
        <v>89.264846586515404</v>
      </c>
      <c r="AK509">
        <v>51.016487383615001</v>
      </c>
      <c r="AL509">
        <v>94.613301036489602</v>
      </c>
      <c r="AM509">
        <v>89.289124753123204</v>
      </c>
      <c r="AN509">
        <v>0.999999984171556</v>
      </c>
    </row>
    <row r="510" spans="1:40" x14ac:dyDescent="0.25">
      <c r="A510" t="str">
        <f>"20190303154425632"</f>
        <v>20190303154425632</v>
      </c>
      <c r="B510" t="str">
        <f>"1551599065621144"</f>
        <v>1551599065621144</v>
      </c>
      <c r="C510" t="s">
        <v>40</v>
      </c>
      <c r="D510">
        <v>4.7817959999999999</v>
      </c>
      <c r="E510">
        <v>0.4996718</v>
      </c>
      <c r="F510" t="s">
        <v>41</v>
      </c>
      <c r="G510">
        <v>-334.8777</v>
      </c>
      <c r="H510" s="1">
        <v>-2.6629739999999999E-6</v>
      </c>
      <c r="I510">
        <v>366.89240000000001</v>
      </c>
      <c r="J510">
        <v>-384.69819999999999</v>
      </c>
      <c r="K510">
        <v>1.120722</v>
      </c>
      <c r="L510">
        <v>367.47379999999998</v>
      </c>
      <c r="M510">
        <v>0.99993639999999995</v>
      </c>
      <c r="N510">
        <v>-1.1275769999999999E-2</v>
      </c>
      <c r="O510">
        <v>-4.1610250000000002E-4</v>
      </c>
      <c r="P510">
        <v>0.99572269999999896</v>
      </c>
      <c r="Q510">
        <v>-9.1523010000000002E-2</v>
      </c>
      <c r="R510">
        <v>-1.265661E-2</v>
      </c>
      <c r="S510">
        <v>3.0062869999999999</v>
      </c>
      <c r="T510">
        <v>-6.7299369999999997E-2</v>
      </c>
      <c r="U510">
        <v>-3.4912110000000003E-2</v>
      </c>
      <c r="V510">
        <v>1.2238890000000001E-2</v>
      </c>
      <c r="W510">
        <v>-8.0290109999999998E-2</v>
      </c>
      <c r="X510">
        <v>0.99669640000000004</v>
      </c>
      <c r="Y510">
        <v>1.1191960000000001E-2</v>
      </c>
      <c r="Z510">
        <v>-1.8374600000000001E-4</v>
      </c>
      <c r="AA510">
        <v>0.99993739999999998</v>
      </c>
      <c r="AB510">
        <v>25</v>
      </c>
      <c r="AC510">
        <v>49.820499999999903</v>
      </c>
      <c r="AD510">
        <v>-1.120724662974</v>
      </c>
      <c r="AE510">
        <v>-0.58139999999997305</v>
      </c>
      <c r="AF510">
        <v>0.56038466193338998</v>
      </c>
      <c r="AG510">
        <v>-1.120724662974</v>
      </c>
      <c r="AH510">
        <v>49.795542701493098</v>
      </c>
      <c r="AI510">
        <v>91.289229659879894</v>
      </c>
      <c r="AJ510">
        <v>89.355237056222805</v>
      </c>
      <c r="AK510">
        <v>49.811305219555798</v>
      </c>
      <c r="AL510">
        <v>94.605241442946905</v>
      </c>
      <c r="AM510">
        <v>89.296474331828406</v>
      </c>
      <c r="AN510">
        <v>1.0000000029825999</v>
      </c>
    </row>
    <row r="511" spans="1:40" x14ac:dyDescent="0.25">
      <c r="A511" t="str">
        <f>"20190303154425655"</f>
        <v>20190303154425655</v>
      </c>
      <c r="B511" t="str">
        <f>"1551599065650420"</f>
        <v>1551599065650420</v>
      </c>
      <c r="C511" t="s">
        <v>40</v>
      </c>
      <c r="D511">
        <v>4.7739129999999896</v>
      </c>
      <c r="E511">
        <v>0.49944430000000001</v>
      </c>
      <c r="F511" t="s">
        <v>41</v>
      </c>
      <c r="G511">
        <v>-335.87959999999998</v>
      </c>
      <c r="H511" s="1">
        <v>-2.2261019999999998E-6</v>
      </c>
      <c r="I511">
        <v>366.93200000000002</v>
      </c>
      <c r="J511">
        <v>-384.44639999999998</v>
      </c>
      <c r="K511">
        <v>1.1207499999999999</v>
      </c>
      <c r="L511">
        <v>367.47370000000001</v>
      </c>
      <c r="M511">
        <v>0.99993580000000004</v>
      </c>
      <c r="N511">
        <v>-1.1325760000000001E-2</v>
      </c>
      <c r="O511">
        <v>-4.1518449999999998E-4</v>
      </c>
      <c r="P511">
        <v>0.9956351</v>
      </c>
      <c r="Q511">
        <v>-9.2466409999999999E-2</v>
      </c>
      <c r="R511">
        <v>-1.269613E-2</v>
      </c>
      <c r="S511">
        <v>3.0061339999999999</v>
      </c>
      <c r="T511">
        <v>-6.9011569999999994E-2</v>
      </c>
      <c r="U511">
        <v>-3.3355709999999997E-2</v>
      </c>
      <c r="V511">
        <v>1.227937E-2</v>
      </c>
      <c r="W511">
        <v>-8.1184599999999996E-2</v>
      </c>
      <c r="X511">
        <v>0.9966235</v>
      </c>
      <c r="Y511">
        <v>1.0675840000000001E-2</v>
      </c>
      <c r="Z511">
        <v>-1.7816619999999999E-4</v>
      </c>
      <c r="AA511">
        <v>0.99994300000000003</v>
      </c>
      <c r="AB511">
        <v>25</v>
      </c>
      <c r="AC511">
        <v>48.566800000000001</v>
      </c>
      <c r="AD511">
        <v>-1.120752226102</v>
      </c>
      <c r="AE511">
        <v>-0.54170000000004803</v>
      </c>
      <c r="AF511">
        <v>0.521256929873536</v>
      </c>
      <c r="AG511">
        <v>-1.120752226102</v>
      </c>
      <c r="AH511">
        <v>48.541174545506102</v>
      </c>
      <c r="AI511">
        <v>91.322573380837596</v>
      </c>
      <c r="AJ511">
        <v>89.384755838782098</v>
      </c>
      <c r="AK511">
        <v>48.556909092286197</v>
      </c>
      <c r="AL511">
        <v>94.656659533190407</v>
      </c>
      <c r="AM511">
        <v>89.294096037373706</v>
      </c>
      <c r="AN511">
        <v>1.0000000614785001</v>
      </c>
    </row>
    <row r="512" spans="1:40" x14ac:dyDescent="0.25">
      <c r="A512" t="str">
        <f>"20190303154425677"</f>
        <v>20190303154425677</v>
      </c>
      <c r="B512" t="str">
        <f>"1551599065670917"</f>
        <v>1551599065670917</v>
      </c>
      <c r="C512" t="s">
        <v>40</v>
      </c>
      <c r="D512">
        <v>4.7510570000000003</v>
      </c>
      <c r="E512">
        <v>0.49929780000000001</v>
      </c>
      <c r="F512" t="s">
        <v>41</v>
      </c>
      <c r="G512">
        <v>-339.27690000000001</v>
      </c>
      <c r="H512" s="1">
        <v>-9.2896270000000003E-7</v>
      </c>
      <c r="I512">
        <v>366.99759999999998</v>
      </c>
      <c r="J512">
        <v>-384.20490000000001</v>
      </c>
      <c r="K512">
        <v>1.1207849999999999</v>
      </c>
      <c r="L512">
        <v>367.47359999999998</v>
      </c>
      <c r="M512">
        <v>0.99993449999999995</v>
      </c>
      <c r="N512">
        <v>-1.144509E-2</v>
      </c>
      <c r="O512">
        <v>-4.1466650000000001E-4</v>
      </c>
      <c r="P512">
        <v>0.99551420000000002</v>
      </c>
      <c r="Q512">
        <v>-9.3656840000000005E-2</v>
      </c>
      <c r="R512">
        <v>-1.3421560000000001E-2</v>
      </c>
      <c r="S512">
        <v>3.0058289999999999</v>
      </c>
      <c r="T512">
        <v>-7.458091E-2</v>
      </c>
      <c r="U512">
        <v>-3.1677249999999997E-2</v>
      </c>
      <c r="V512">
        <v>1.300547E-2</v>
      </c>
      <c r="W512">
        <v>-8.2257410000000003E-2</v>
      </c>
      <c r="X512">
        <v>0.99652620000000003</v>
      </c>
      <c r="Y512">
        <v>1.011884E-2</v>
      </c>
      <c r="Z512">
        <v>-1.7789269999999999E-4</v>
      </c>
      <c r="AA512">
        <v>0.99994879999999997</v>
      </c>
      <c r="AB512">
        <v>25</v>
      </c>
      <c r="AC512">
        <v>44.927999999999997</v>
      </c>
      <c r="AD512">
        <v>-1.1207859289627</v>
      </c>
      <c r="AE512">
        <v>-0.47599999999999898</v>
      </c>
      <c r="AF512">
        <v>0.45708418479972202</v>
      </c>
      <c r="AG512">
        <v>-1.1207859289627</v>
      </c>
      <c r="AH512">
        <v>44.900254507432599</v>
      </c>
      <c r="AI512">
        <v>91.4298281073971</v>
      </c>
      <c r="AJ512">
        <v>89.416749630036094</v>
      </c>
      <c r="AK512">
        <v>44.916566452510303</v>
      </c>
      <c r="AL512">
        <v>94.718333849658293</v>
      </c>
      <c r="AM512">
        <v>89.2522863524363</v>
      </c>
      <c r="AN512">
        <v>0.99999994551813298</v>
      </c>
    </row>
    <row r="513" spans="1:40" x14ac:dyDescent="0.25">
      <c r="A513" t="str">
        <f>"20190303154425700"</f>
        <v>20190303154425700</v>
      </c>
      <c r="B513" t="str">
        <f>"1551599065690440"</f>
        <v>1551599065690440</v>
      </c>
      <c r="C513" t="s">
        <v>40</v>
      </c>
      <c r="D513">
        <v>4.7497939999999996</v>
      </c>
      <c r="E513">
        <v>0.49921749999999998</v>
      </c>
      <c r="F513" t="s">
        <v>41</v>
      </c>
      <c r="G513">
        <v>-342.05849999999998</v>
      </c>
      <c r="H513" s="1">
        <v>-4.195557E-6</v>
      </c>
      <c r="I513">
        <v>367.017</v>
      </c>
      <c r="J513">
        <v>-383.95010000000002</v>
      </c>
      <c r="K513">
        <v>1.1208359999999999</v>
      </c>
      <c r="L513">
        <v>367.47340000000003</v>
      </c>
      <c r="M513">
        <v>0.99993189999999998</v>
      </c>
      <c r="N513">
        <v>-1.166317E-2</v>
      </c>
      <c r="O513">
        <v>-4.143765E-4</v>
      </c>
      <c r="P513">
        <v>0.99536170000000002</v>
      </c>
      <c r="Q513">
        <v>-9.5159759999999996E-2</v>
      </c>
      <c r="R513">
        <v>-1.413473E-2</v>
      </c>
      <c r="S513">
        <v>3.005585</v>
      </c>
      <c r="T513">
        <v>-7.9926849999999994E-2</v>
      </c>
      <c r="U513">
        <v>-3.2562260000000003E-2</v>
      </c>
      <c r="V513">
        <v>1.371903E-2</v>
      </c>
      <c r="W513">
        <v>-8.3544670000000001E-2</v>
      </c>
      <c r="X513">
        <v>0.99640960000000001</v>
      </c>
      <c r="Y513">
        <v>1.041365E-2</v>
      </c>
      <c r="Z513">
        <v>-1.9299820000000001E-4</v>
      </c>
      <c r="AA513">
        <v>0.9999458</v>
      </c>
      <c r="AB513">
        <v>25</v>
      </c>
      <c r="AC513">
        <v>41.891599999999997</v>
      </c>
      <c r="AD513">
        <v>-1.120840195557</v>
      </c>
      <c r="AE513">
        <v>-0.45640000000003</v>
      </c>
      <c r="AF513">
        <v>0.43872585257194902</v>
      </c>
      <c r="AG513">
        <v>-1.120840195557</v>
      </c>
      <c r="AH513">
        <v>41.8618215175484</v>
      </c>
      <c r="AI513">
        <v>91.533630093435406</v>
      </c>
      <c r="AJ513">
        <v>89.399543103179496</v>
      </c>
      <c r="AK513">
        <v>41.879122052459103</v>
      </c>
      <c r="AL513">
        <v>94.792342883276902</v>
      </c>
      <c r="AM513">
        <v>89.211174949061103</v>
      </c>
      <c r="AN513">
        <v>1.0000000073208499</v>
      </c>
    </row>
    <row r="514" spans="1:40" x14ac:dyDescent="0.25">
      <c r="A514" t="str">
        <f>"20190303154425722"</f>
        <v>20190303154425722</v>
      </c>
      <c r="B514" t="str">
        <f>"1551599065710936"</f>
        <v>1551599065710936</v>
      </c>
      <c r="C514" t="s">
        <v>40</v>
      </c>
      <c r="D514">
        <v>4.7491309999999904</v>
      </c>
      <c r="E514">
        <v>0.49912400000000001</v>
      </c>
      <c r="F514" t="s">
        <v>41</v>
      </c>
      <c r="G514">
        <v>-344.79399999999998</v>
      </c>
      <c r="H514" s="1">
        <v>-2.9000850000000002E-6</v>
      </c>
      <c r="I514">
        <v>367.03050000000002</v>
      </c>
      <c r="J514">
        <v>-383.70569999999998</v>
      </c>
      <c r="K514">
        <v>1.120889</v>
      </c>
      <c r="L514">
        <v>367.47340000000003</v>
      </c>
      <c r="M514">
        <v>0.9999287</v>
      </c>
      <c r="N514">
        <v>-1.194163E-2</v>
      </c>
      <c r="O514">
        <v>-4.1399740000000001E-4</v>
      </c>
      <c r="P514">
        <v>0.99528240000000001</v>
      </c>
      <c r="Q514">
        <v>-9.5883209999999996E-2</v>
      </c>
      <c r="R514">
        <v>-1.481729E-2</v>
      </c>
      <c r="S514">
        <v>3.00528</v>
      </c>
      <c r="T514">
        <v>-8.6025710000000005E-2</v>
      </c>
      <c r="U514">
        <v>-3.3996579999999998E-2</v>
      </c>
      <c r="V514">
        <v>1.440198E-2</v>
      </c>
      <c r="W514">
        <v>-8.3991560000000007E-2</v>
      </c>
      <c r="X514">
        <v>0.99636239999999998</v>
      </c>
      <c r="Y514">
        <v>1.08913E-2</v>
      </c>
      <c r="Z514">
        <v>-2.1399259999999999E-4</v>
      </c>
      <c r="AA514">
        <v>0.99994070000000002</v>
      </c>
      <c r="AB514">
        <v>25</v>
      </c>
      <c r="AC514">
        <v>38.911699999999897</v>
      </c>
      <c r="AD514">
        <v>-1.1208919000849999</v>
      </c>
      <c r="AE514">
        <v>-0.44290000000000801</v>
      </c>
      <c r="AF514">
        <v>0.42643566683048001</v>
      </c>
      <c r="AG514">
        <v>-1.1208919000849999</v>
      </c>
      <c r="AH514">
        <v>38.8796223797317</v>
      </c>
      <c r="AI514">
        <v>91.651269424331105</v>
      </c>
      <c r="AJ514">
        <v>89.371599239841601</v>
      </c>
      <c r="AK514">
        <v>38.898114124211098</v>
      </c>
      <c r="AL514">
        <v>94.818038065603801</v>
      </c>
      <c r="AM514">
        <v>89.171872394144501</v>
      </c>
      <c r="AN514">
        <v>1.0000000156564499</v>
      </c>
    </row>
    <row r="515" spans="1:40" x14ac:dyDescent="0.25">
      <c r="A515" t="str">
        <f>"20190303154425745"</f>
        <v>20190303154425745</v>
      </c>
      <c r="B515" t="str">
        <f>"1551599065740213"</f>
        <v>1551599065740213</v>
      </c>
      <c r="C515" t="s">
        <v>40</v>
      </c>
      <c r="D515">
        <v>4.7361510000000004</v>
      </c>
      <c r="E515">
        <v>0.49903399999999998</v>
      </c>
      <c r="F515" t="s">
        <v>41</v>
      </c>
      <c r="G515">
        <v>-346.04919999999998</v>
      </c>
      <c r="H515" s="1">
        <v>-2.3061799999999999E-6</v>
      </c>
      <c r="I515">
        <v>367.03359999999998</v>
      </c>
      <c r="J515">
        <v>-383.46140000000003</v>
      </c>
      <c r="K515">
        <v>1.120941</v>
      </c>
      <c r="L515">
        <v>367.47320000000002</v>
      </c>
      <c r="M515">
        <v>0.99992510000000001</v>
      </c>
      <c r="N515">
        <v>-1.223925E-2</v>
      </c>
      <c r="O515">
        <v>-4.1401429999999998E-4</v>
      </c>
      <c r="P515">
        <v>0.99527359999999998</v>
      </c>
      <c r="Q515">
        <v>-9.5958570000000007E-2</v>
      </c>
      <c r="R515">
        <v>-1.491719E-2</v>
      </c>
      <c r="S515">
        <v>3.0050349999999999</v>
      </c>
      <c r="T515">
        <v>-8.9448689999999997E-2</v>
      </c>
      <c r="U515">
        <v>-3.5095210000000002E-2</v>
      </c>
      <c r="V515">
        <v>1.4501989999999999E-2</v>
      </c>
      <c r="W515">
        <v>-8.3770460000000005E-2</v>
      </c>
      <c r="X515">
        <v>0.99637960000000003</v>
      </c>
      <c r="Y515">
        <v>1.125702E-2</v>
      </c>
      <c r="Z515">
        <v>-2.2915810000000001E-4</v>
      </c>
      <c r="AA515">
        <v>0.99993659999999995</v>
      </c>
      <c r="AB515">
        <v>25</v>
      </c>
      <c r="AC515">
        <v>37.412199999999999</v>
      </c>
      <c r="AD515">
        <v>-1.1209433061799901</v>
      </c>
      <c r="AE515">
        <v>-0.43960000000004101</v>
      </c>
      <c r="AF515">
        <v>0.42372927997544102</v>
      </c>
      <c r="AG515">
        <v>-1.1209433061799901</v>
      </c>
      <c r="AH515">
        <v>37.378827726216102</v>
      </c>
      <c r="AI515">
        <v>91.717602158936401</v>
      </c>
      <c r="AJ515">
        <v>89.350518435207505</v>
      </c>
      <c r="AK515">
        <v>37.3980323357328</v>
      </c>
      <c r="AL515">
        <v>94.805324988435501</v>
      </c>
      <c r="AM515">
        <v>89.166136925619199</v>
      </c>
      <c r="AN515">
        <v>1.00000005248936</v>
      </c>
    </row>
    <row r="516" spans="1:40" x14ac:dyDescent="0.25">
      <c r="A516" t="str">
        <f>"20190303154425769"</f>
        <v>20190303154425769</v>
      </c>
      <c r="B516" t="str">
        <f>"1551599065760708"</f>
        <v>1551599065760708</v>
      </c>
      <c r="C516" t="s">
        <v>40</v>
      </c>
      <c r="D516">
        <v>4.6957259999999996</v>
      </c>
      <c r="E516">
        <v>0.49897629999999998</v>
      </c>
      <c r="F516" t="s">
        <v>41</v>
      </c>
      <c r="G516">
        <v>-346.46859999999998</v>
      </c>
      <c r="H516" s="1">
        <v>-2.1060580000000002E-6</v>
      </c>
      <c r="I516">
        <v>367.04419999999999</v>
      </c>
      <c r="J516">
        <v>-383.197</v>
      </c>
      <c r="K516">
        <v>1.120989</v>
      </c>
      <c r="L516">
        <v>367.47309999999999</v>
      </c>
      <c r="M516">
        <v>0.99992110000000001</v>
      </c>
      <c r="N516">
        <v>-1.254951E-2</v>
      </c>
      <c r="O516">
        <v>-4.136783E-4</v>
      </c>
      <c r="P516">
        <v>0.99526409999999998</v>
      </c>
      <c r="Q516">
        <v>-9.6059069999999996E-2</v>
      </c>
      <c r="R516">
        <v>-1.4910390000000001E-2</v>
      </c>
      <c r="S516">
        <v>3.0049739999999998</v>
      </c>
      <c r="T516">
        <v>-9.1055629999999999E-2</v>
      </c>
      <c r="U516">
        <v>-3.4851069999999998E-2</v>
      </c>
      <c r="V516">
        <v>1.449522E-2</v>
      </c>
      <c r="W516">
        <v>-8.3561919999999998E-2</v>
      </c>
      <c r="X516">
        <v>0.99639710000000004</v>
      </c>
      <c r="Y516">
        <v>1.1176139999999999E-2</v>
      </c>
      <c r="Z516">
        <v>-2.3209749999999999E-4</v>
      </c>
      <c r="AA516">
        <v>0.99993750000000003</v>
      </c>
      <c r="AB516">
        <v>25</v>
      </c>
      <c r="AC516">
        <v>36.728399999999901</v>
      </c>
      <c r="AD516">
        <v>-1.120991106058</v>
      </c>
      <c r="AE516">
        <v>-0.42889999999999801</v>
      </c>
      <c r="AF516">
        <v>0.41332005303418801</v>
      </c>
      <c r="AG516">
        <v>-1.120991106058</v>
      </c>
      <c r="AH516">
        <v>36.694396753705803</v>
      </c>
      <c r="AI516">
        <v>91.749695464694895</v>
      </c>
      <c r="AJ516">
        <v>89.354656425113205</v>
      </c>
      <c r="AK516">
        <v>36.713842180361297</v>
      </c>
      <c r="AL516">
        <v>94.793335010748393</v>
      </c>
      <c r="AM516">
        <v>89.166540781530301</v>
      </c>
      <c r="AN516">
        <v>0.99999994338266995</v>
      </c>
    </row>
    <row r="517" spans="1:40" x14ac:dyDescent="0.25">
      <c r="A517" t="str">
        <f>"20190303154425789"</f>
        <v>20190303154425789</v>
      </c>
      <c r="B517" t="str">
        <f>"1551599065780229"</f>
        <v>1551599065780229</v>
      </c>
      <c r="C517" t="s">
        <v>40</v>
      </c>
      <c r="D517">
        <v>4.6938029999999999</v>
      </c>
      <c r="E517">
        <v>0.49890040000000002</v>
      </c>
      <c r="F517" t="s">
        <v>41</v>
      </c>
      <c r="G517">
        <v>-346.69029999999998</v>
      </c>
      <c r="H517" s="1">
        <v>-1.9987360000000002E-6</v>
      </c>
      <c r="I517">
        <v>367.05829999999997</v>
      </c>
      <c r="J517">
        <v>-382.97379999999998</v>
      </c>
      <c r="K517">
        <v>1.1210230000000001</v>
      </c>
      <c r="L517">
        <v>367.47309999999999</v>
      </c>
      <c r="M517">
        <v>0.99991819999999998</v>
      </c>
      <c r="N517">
        <v>-1.279371E-2</v>
      </c>
      <c r="O517">
        <v>-4.1391900000000001E-4</v>
      </c>
      <c r="P517">
        <v>0.99531769999999997</v>
      </c>
      <c r="Q517">
        <v>-9.5537750000000005E-2</v>
      </c>
      <c r="R517">
        <v>-1.4684869999999999E-2</v>
      </c>
      <c r="S517">
        <v>3.0048520000000001</v>
      </c>
      <c r="T517">
        <v>-9.2268470000000005E-2</v>
      </c>
      <c r="U517">
        <v>-3.414917E-2</v>
      </c>
      <c r="V517">
        <v>1.4269499999999999E-2</v>
      </c>
      <c r="W517">
        <v>-8.2796599999999998E-2</v>
      </c>
      <c r="X517">
        <v>0.99646429999999997</v>
      </c>
      <c r="Y517">
        <v>1.0942769999999999E-2</v>
      </c>
      <c r="Z517">
        <v>-2.3057829999999999E-4</v>
      </c>
      <c r="AA517">
        <v>0.9999401</v>
      </c>
      <c r="AB517">
        <v>25</v>
      </c>
      <c r="AC517">
        <v>36.283499999999997</v>
      </c>
      <c r="AD517">
        <v>-1.1210249987359999</v>
      </c>
      <c r="AE517">
        <v>-0.41480000000001299</v>
      </c>
      <c r="AF517">
        <v>0.39939909860647099</v>
      </c>
      <c r="AG517">
        <v>-1.1210249987359999</v>
      </c>
      <c r="AH517">
        <v>36.249070489644303</v>
      </c>
      <c r="AI517">
        <v>91.771235536195704</v>
      </c>
      <c r="AJ517">
        <v>89.368729834677097</v>
      </c>
      <c r="AK517">
        <v>36.268599753105399</v>
      </c>
      <c r="AL517">
        <v>94.749332654511903</v>
      </c>
      <c r="AM517">
        <v>89.179572969657102</v>
      </c>
      <c r="AN517">
        <v>0.99999999838814901</v>
      </c>
    </row>
    <row r="518" spans="1:40" x14ac:dyDescent="0.25">
      <c r="A518" t="str">
        <f>"20190303154425812"</f>
        <v>20190303154425812</v>
      </c>
      <c r="B518" t="str">
        <f>"1551599065800728"</f>
        <v>1551599065800728</v>
      </c>
      <c r="C518" t="s">
        <v>40</v>
      </c>
      <c r="D518">
        <v>4.7031589999999897</v>
      </c>
      <c r="E518">
        <v>0.49884400000000001</v>
      </c>
      <c r="F518" t="s">
        <v>41</v>
      </c>
      <c r="G518">
        <v>-346.1644</v>
      </c>
      <c r="H518" s="1">
        <v>-2.24541E-6</v>
      </c>
      <c r="I518">
        <v>367.0693</v>
      </c>
      <c r="J518">
        <v>-382.72919999999999</v>
      </c>
      <c r="K518">
        <v>1.121051</v>
      </c>
      <c r="L518">
        <v>367.47289999999998</v>
      </c>
      <c r="M518">
        <v>0.999915</v>
      </c>
      <c r="N518">
        <v>-1.3039500000000001E-2</v>
      </c>
      <c r="O518">
        <v>-4.1384199999999999E-4</v>
      </c>
      <c r="P518">
        <v>0.9953592</v>
      </c>
      <c r="Q518">
        <v>-9.5191200000000004E-2</v>
      </c>
      <c r="R518">
        <v>-1.41102999999999E-2</v>
      </c>
      <c r="S518">
        <v>3.0048219999999999</v>
      </c>
      <c r="T518">
        <v>-9.1511369999999995E-2</v>
      </c>
      <c r="U518">
        <v>-3.2958979999999999E-2</v>
      </c>
      <c r="V518">
        <v>1.3694990000000001E-2</v>
      </c>
      <c r="W518">
        <v>-8.2204589999999994E-2</v>
      </c>
      <c r="X518">
        <v>0.9965214</v>
      </c>
      <c r="Y518">
        <v>1.0547259999999999E-2</v>
      </c>
      <c r="Z518">
        <v>-2.2215430000000001E-4</v>
      </c>
      <c r="AA518">
        <v>0.99994430000000001</v>
      </c>
      <c r="AB518">
        <v>24</v>
      </c>
      <c r="AC518">
        <v>36.564799999999899</v>
      </c>
      <c r="AD518">
        <v>-1.12105324541</v>
      </c>
      <c r="AE518">
        <v>-0.40359999999998297</v>
      </c>
      <c r="AF518">
        <v>0.38810186062009899</v>
      </c>
      <c r="AG518">
        <v>-1.12105324541</v>
      </c>
      <c r="AH518">
        <v>36.5306294411984</v>
      </c>
      <c r="AI518">
        <v>91.757644126656004</v>
      </c>
      <c r="AJ518">
        <v>89.3913118273842</v>
      </c>
      <c r="AK518">
        <v>36.549887425317898</v>
      </c>
      <c r="AL518">
        <v>94.7152968312285</v>
      </c>
      <c r="AM518">
        <v>89.212645373570496</v>
      </c>
      <c r="AN518">
        <v>1.00000002401306</v>
      </c>
    </row>
    <row r="519" spans="1:40" x14ac:dyDescent="0.25">
      <c r="A519" t="str">
        <f>"20190303154425844"</f>
        <v>20190303154425844</v>
      </c>
      <c r="B519" t="str">
        <f>"1551599065840741"</f>
        <v>1551599065840741</v>
      </c>
      <c r="C519" t="s">
        <v>40</v>
      </c>
      <c r="D519">
        <v>4.7061019999999996</v>
      </c>
      <c r="E519">
        <v>0.49878980000000001</v>
      </c>
      <c r="F519" t="s">
        <v>41</v>
      </c>
      <c r="G519">
        <v>-345.82960000000003</v>
      </c>
      <c r="H519" s="1">
        <v>-2.3994880000000002E-6</v>
      </c>
      <c r="I519">
        <v>367.09289999999999</v>
      </c>
      <c r="J519">
        <v>-382.3716</v>
      </c>
      <c r="K519">
        <v>1.1210709999999999</v>
      </c>
      <c r="L519">
        <v>367.47280000000001</v>
      </c>
      <c r="M519">
        <v>0.99991079999999999</v>
      </c>
      <c r="N519">
        <v>-1.3356299999999899E-2</v>
      </c>
      <c r="O519">
        <v>-4.1367349999999999E-4</v>
      </c>
      <c r="P519">
        <v>0.99538389999999999</v>
      </c>
      <c r="Q519">
        <v>-9.4992859999999998E-2</v>
      </c>
      <c r="R519">
        <v>-1.369159E-2</v>
      </c>
      <c r="S519">
        <v>3.0048219999999999</v>
      </c>
      <c r="T519">
        <v>-9.1289999999999996E-2</v>
      </c>
      <c r="U519">
        <v>-3.0944820000000001E-2</v>
      </c>
      <c r="V519">
        <v>1.3276649999999999E-2</v>
      </c>
      <c r="W519">
        <v>-8.1690150000000003E-2</v>
      </c>
      <c r="X519">
        <v>0.99656929999999999</v>
      </c>
      <c r="Y519">
        <v>9.8776530000000001E-3</v>
      </c>
      <c r="Z519">
        <v>-2.0895970000000001E-4</v>
      </c>
      <c r="AA519">
        <v>0.99995120000000004</v>
      </c>
      <c r="AB519">
        <v>24</v>
      </c>
      <c r="AC519">
        <v>36.541999999999902</v>
      </c>
      <c r="AD519">
        <v>-1.121073399488</v>
      </c>
      <c r="AE519">
        <v>-0.37990000000002</v>
      </c>
      <c r="AF519">
        <v>0.364439188917416</v>
      </c>
      <c r="AG519">
        <v>-1.121073399488</v>
      </c>
      <c r="AH519">
        <v>36.507796494058802</v>
      </c>
      <c r="AI519">
        <v>91.7587859287177</v>
      </c>
      <c r="AJ519">
        <v>89.4280637051056</v>
      </c>
      <c r="AK519">
        <v>36.526823381469598</v>
      </c>
      <c r="AL519">
        <v>94.685722422153702</v>
      </c>
      <c r="AM519">
        <v>89.236730439333897</v>
      </c>
      <c r="AN519">
        <v>0.99999995987236601</v>
      </c>
    </row>
    <row r="520" spans="1:40" x14ac:dyDescent="0.25">
      <c r="A520" t="str">
        <f>"20190303154425867"</f>
        <v>20190303154425867</v>
      </c>
      <c r="B520" t="str">
        <f>"1551599065860261"</f>
        <v>1551599065860261</v>
      </c>
      <c r="C520" t="s">
        <v>40</v>
      </c>
      <c r="D520">
        <v>4.7226419999999996</v>
      </c>
      <c r="E520">
        <v>0.49876280000000001</v>
      </c>
      <c r="F520" t="s">
        <v>41</v>
      </c>
      <c r="G520">
        <v>-345.87950000000001</v>
      </c>
      <c r="H520" s="1">
        <v>-2.3712880000000002E-6</v>
      </c>
      <c r="I520">
        <v>367.1189</v>
      </c>
      <c r="J520">
        <v>-382.12310000000002</v>
      </c>
      <c r="K520">
        <v>1.121076</v>
      </c>
      <c r="L520">
        <v>367.47269999999997</v>
      </c>
      <c r="M520">
        <v>0.99990820000000002</v>
      </c>
      <c r="N520">
        <v>-1.354416E-2</v>
      </c>
      <c r="O520">
        <v>-4.1351000000000002E-4</v>
      </c>
      <c r="P520">
        <v>0.99530640000000004</v>
      </c>
      <c r="Q520">
        <v>-9.5810389999999995E-2</v>
      </c>
      <c r="R520">
        <v>-1.361881E-2</v>
      </c>
      <c r="S520">
        <v>3.0047000000000001</v>
      </c>
      <c r="T520">
        <v>-9.2307210000000001E-2</v>
      </c>
      <c r="U520">
        <v>-2.914429E-2</v>
      </c>
      <c r="V520">
        <v>1.3204199999999999E-2</v>
      </c>
      <c r="W520">
        <v>-8.2321439999999996E-2</v>
      </c>
      <c r="X520">
        <v>0.99651840000000003</v>
      </c>
      <c r="Y520">
        <v>9.2793359999999991E-3</v>
      </c>
      <c r="Z520">
        <v>-1.98264E-4</v>
      </c>
      <c r="AA520">
        <v>0.99995690000000004</v>
      </c>
      <c r="AB520">
        <v>24</v>
      </c>
      <c r="AC520">
        <v>36.243600000000001</v>
      </c>
      <c r="AD520">
        <v>-1.1210783712879999</v>
      </c>
      <c r="AE520">
        <v>-0.35379999999997802</v>
      </c>
      <c r="AF520">
        <v>0.33848767875359997</v>
      </c>
      <c r="AG520">
        <v>-1.1210783712879999</v>
      </c>
      <c r="AH520">
        <v>36.209102593006101</v>
      </c>
      <c r="AI520">
        <v>91.773303896065002</v>
      </c>
      <c r="AJ520">
        <v>89.464406761813194</v>
      </c>
      <c r="AK520">
        <v>36.228034741261901</v>
      </c>
      <c r="AL520">
        <v>94.722014507918303</v>
      </c>
      <c r="AM520">
        <v>89.240856304661094</v>
      </c>
      <c r="AN520">
        <v>1.0000000459599301</v>
      </c>
    </row>
    <row r="521" spans="1:40" x14ac:dyDescent="0.25">
      <c r="A521" t="str">
        <f>"20190303154425889"</f>
        <v>20190303154425889</v>
      </c>
      <c r="B521" t="str">
        <f>"1551599065880760"</f>
        <v>1551599065880760</v>
      </c>
      <c r="C521" t="s">
        <v>40</v>
      </c>
      <c r="D521">
        <v>4.7407219999999999</v>
      </c>
      <c r="E521">
        <v>0.49877700000000003</v>
      </c>
      <c r="F521" t="s">
        <v>41</v>
      </c>
      <c r="G521">
        <v>-346.97370000000001</v>
      </c>
      <c r="H521" s="1">
        <v>-1.8512580000000001E-6</v>
      </c>
      <c r="I521">
        <v>367.13459999999998</v>
      </c>
      <c r="J521">
        <v>-381.88170000000002</v>
      </c>
      <c r="K521">
        <v>1.1210709999999999</v>
      </c>
      <c r="L521">
        <v>367.4726</v>
      </c>
      <c r="M521">
        <v>0.99990599999999996</v>
      </c>
      <c r="N521">
        <v>-1.3704239999999999E-2</v>
      </c>
      <c r="O521">
        <v>-4.134114E-4</v>
      </c>
      <c r="P521">
        <v>0.99526429999999999</v>
      </c>
      <c r="Q521">
        <v>-9.6285330000000002E-2</v>
      </c>
      <c r="R521">
        <v>-1.3347799999999899E-2</v>
      </c>
      <c r="S521">
        <v>3.0045169999999999</v>
      </c>
      <c r="T521">
        <v>-9.582794E-2</v>
      </c>
      <c r="U521">
        <v>-2.8900149999999999E-2</v>
      </c>
      <c r="V521">
        <v>1.2933210000000001E-2</v>
      </c>
      <c r="W521">
        <v>-8.2637379999999996E-2</v>
      </c>
      <c r="X521">
        <v>0.99649580000000004</v>
      </c>
      <c r="Y521">
        <v>9.1984059999999992E-3</v>
      </c>
      <c r="Z521">
        <v>-2.021879E-4</v>
      </c>
      <c r="AA521">
        <v>0.99995769999999995</v>
      </c>
      <c r="AB521">
        <v>24</v>
      </c>
      <c r="AC521">
        <v>34.908000000000001</v>
      </c>
      <c r="AD521">
        <v>-1.1210728512579999</v>
      </c>
      <c r="AE521">
        <v>-0.33800000000002201</v>
      </c>
      <c r="AF521">
        <v>0.32323390552791598</v>
      </c>
      <c r="AG521">
        <v>-1.1210728512579999</v>
      </c>
      <c r="AH521">
        <v>34.872173751893499</v>
      </c>
      <c r="AI521">
        <v>91.841235153294704</v>
      </c>
      <c r="AJ521">
        <v>89.468934504831196</v>
      </c>
      <c r="AK521">
        <v>34.891686498043597</v>
      </c>
      <c r="AL521">
        <v>94.740178443422593</v>
      </c>
      <c r="AM521">
        <v>89.256417593057606</v>
      </c>
      <c r="AN521">
        <v>1.0000000419559001</v>
      </c>
    </row>
    <row r="522" spans="1:40" x14ac:dyDescent="0.25">
      <c r="A522" t="str">
        <f>"20190303154425911"</f>
        <v>20190303154425911</v>
      </c>
      <c r="B522" t="str">
        <f>"1551599065900277"</f>
        <v>1551599065900277</v>
      </c>
      <c r="C522" t="s">
        <v>40</v>
      </c>
      <c r="D522">
        <v>4.7399129999999996</v>
      </c>
      <c r="E522">
        <v>0.49874869999999999</v>
      </c>
      <c r="F522" t="s">
        <v>41</v>
      </c>
      <c r="G522">
        <v>-347.56330000000003</v>
      </c>
      <c r="H522" s="1">
        <v>-1.574671E-6</v>
      </c>
      <c r="I522">
        <v>367.15570000000002</v>
      </c>
      <c r="J522">
        <v>-381.6404</v>
      </c>
      <c r="K522">
        <v>1.1210719999999901</v>
      </c>
      <c r="L522">
        <v>367.47250000000003</v>
      </c>
      <c r="M522">
        <v>0.99990420000000002</v>
      </c>
      <c r="N522">
        <v>-1.3844260000000001E-2</v>
      </c>
      <c r="O522">
        <v>-4.1354370000000002E-4</v>
      </c>
      <c r="P522">
        <v>0.99521420000000005</v>
      </c>
      <c r="Q522">
        <v>-9.6827880000000005E-2</v>
      </c>
      <c r="R522">
        <v>-1.3161920000000001E-2</v>
      </c>
      <c r="S522">
        <v>3.0043950000000001</v>
      </c>
      <c r="T522">
        <v>-9.8143820000000007E-2</v>
      </c>
      <c r="U522">
        <v>-2.7740480000000001E-2</v>
      </c>
      <c r="V522">
        <v>1.274721E-2</v>
      </c>
      <c r="W522">
        <v>-8.3041030000000002E-2</v>
      </c>
      <c r="X522">
        <v>0.99646460000000003</v>
      </c>
      <c r="Y522">
        <v>8.8127199999999996E-3</v>
      </c>
      <c r="Z522">
        <v>-1.9714949999999999E-4</v>
      </c>
      <c r="AA522">
        <v>0.99996110000000005</v>
      </c>
      <c r="AB522">
        <v>24</v>
      </c>
      <c r="AC522">
        <v>34.077099999999902</v>
      </c>
      <c r="AD522">
        <v>-1.1210735746710001</v>
      </c>
      <c r="AE522">
        <v>-0.31680000000000003</v>
      </c>
      <c r="AF522">
        <v>0.30237902091028901</v>
      </c>
      <c r="AG522">
        <v>-1.1210735746710001</v>
      </c>
      <c r="AH522">
        <v>34.040389776044101</v>
      </c>
      <c r="AI522">
        <v>91.886201825695494</v>
      </c>
      <c r="AJ522">
        <v>89.491057941483007</v>
      </c>
      <c r="AK522">
        <v>34.060187538196601</v>
      </c>
      <c r="AL522">
        <v>94.763385841845206</v>
      </c>
      <c r="AM522">
        <v>89.267087363527907</v>
      </c>
      <c r="AN522">
        <v>1.0000000015396999</v>
      </c>
    </row>
    <row r="523" spans="1:40" x14ac:dyDescent="0.25">
      <c r="A523" t="str">
        <f>"20190303154425934"</f>
        <v>20190303154425934</v>
      </c>
      <c r="B523" t="str">
        <f>"1551599065930533"</f>
        <v>1551599065930533</v>
      </c>
      <c r="C523" t="s">
        <v>40</v>
      </c>
      <c r="D523">
        <v>4.7057799999999999</v>
      </c>
      <c r="E523">
        <v>0.4987702</v>
      </c>
      <c r="F523" t="s">
        <v>41</v>
      </c>
      <c r="G523">
        <v>-348.23340000000002</v>
      </c>
      <c r="H523" s="1">
        <v>-1.3123229999999999E-6</v>
      </c>
      <c r="I523">
        <v>367.1746</v>
      </c>
      <c r="J523">
        <v>-381.39960000000002</v>
      </c>
      <c r="K523">
        <v>1.1210719999999901</v>
      </c>
      <c r="L523">
        <v>367.47239999999999</v>
      </c>
      <c r="M523">
        <v>0.99990239999999997</v>
      </c>
      <c r="N523">
        <v>-1.3966009999999999E-2</v>
      </c>
      <c r="O523">
        <v>-4.1355750000000001E-4</v>
      </c>
      <c r="P523">
        <v>0.99507900000000005</v>
      </c>
      <c r="Q523">
        <v>-9.8240229999999998E-2</v>
      </c>
      <c r="R523">
        <v>-1.2914170000000001E-2</v>
      </c>
      <c r="S523">
        <v>3.0042719999999998</v>
      </c>
      <c r="T523">
        <v>-0.1008174</v>
      </c>
      <c r="U523">
        <v>-2.6794430000000001E-2</v>
      </c>
      <c r="V523">
        <v>1.2499379999999999E-2</v>
      </c>
      <c r="W523">
        <v>-8.4333779999999997E-2</v>
      </c>
      <c r="X523">
        <v>0.9963592</v>
      </c>
      <c r="Y523">
        <v>8.4981420000000002E-3</v>
      </c>
      <c r="Z523">
        <v>-1.9381880000000001E-4</v>
      </c>
      <c r="AA523">
        <v>0.99996390000000002</v>
      </c>
      <c r="AB523">
        <v>24</v>
      </c>
      <c r="AC523">
        <v>33.166200000000003</v>
      </c>
      <c r="AD523">
        <v>-1.1210733123229999</v>
      </c>
      <c r="AE523">
        <v>-0.29779999999999501</v>
      </c>
      <c r="AF523">
        <v>0.28375832315246002</v>
      </c>
      <c r="AG523">
        <v>-1.1210733123229999</v>
      </c>
      <c r="AH523">
        <v>33.128472327499999</v>
      </c>
      <c r="AI523">
        <v>91.938088578820896</v>
      </c>
      <c r="AJ523">
        <v>89.509251239328194</v>
      </c>
      <c r="AK523">
        <v>33.148650091843699</v>
      </c>
      <c r="AL523">
        <v>94.837715533285007</v>
      </c>
      <c r="AM523">
        <v>89.281259053341202</v>
      </c>
      <c r="AN523">
        <v>1.00000003818705</v>
      </c>
    </row>
    <row r="524" spans="1:40" x14ac:dyDescent="0.25">
      <c r="A524" t="str">
        <f>"20190303154425957"</f>
        <v>20190303154425957</v>
      </c>
      <c r="B524" t="str">
        <f>"1551599065951029"</f>
        <v>1551599065951029</v>
      </c>
      <c r="C524" t="s">
        <v>40</v>
      </c>
      <c r="D524">
        <v>4.7411099999999999</v>
      </c>
      <c r="E524">
        <v>0.49878749999999999</v>
      </c>
      <c r="F524" t="s">
        <v>41</v>
      </c>
      <c r="G524">
        <v>-349.66590000000002</v>
      </c>
      <c r="H524" s="1">
        <v>-7.5733859999999998E-7</v>
      </c>
      <c r="I524">
        <v>367.19290000000001</v>
      </c>
      <c r="J524">
        <v>-381.14960000000002</v>
      </c>
      <c r="K524">
        <v>1.121067</v>
      </c>
      <c r="L524">
        <v>367.47230000000002</v>
      </c>
      <c r="M524">
        <v>0.99990089999999998</v>
      </c>
      <c r="N524">
        <v>-1.407572E-2</v>
      </c>
      <c r="O524">
        <v>-4.1361289999999998E-4</v>
      </c>
      <c r="P524">
        <v>0.99498339999999996</v>
      </c>
      <c r="Q524">
        <v>-9.9203050000000001E-2</v>
      </c>
      <c r="R524">
        <v>-1.291874E-2</v>
      </c>
      <c r="S524">
        <v>3.0040589999999998</v>
      </c>
      <c r="T524">
        <v>-0.1061261</v>
      </c>
      <c r="U524">
        <v>-2.6458740000000001E-2</v>
      </c>
      <c r="V524">
        <v>1.250397E-2</v>
      </c>
      <c r="W524">
        <v>-8.5188550000000002E-2</v>
      </c>
      <c r="X524">
        <v>0.99628640000000002</v>
      </c>
      <c r="Y524">
        <v>8.3864609999999996E-3</v>
      </c>
      <c r="Z524">
        <v>-1.9835400000000001E-4</v>
      </c>
      <c r="AA524">
        <v>0.99996479999999999</v>
      </c>
      <c r="AB524">
        <v>24</v>
      </c>
      <c r="AC524">
        <v>31.483699999999999</v>
      </c>
      <c r="AD524">
        <v>-1.1210677573386001</v>
      </c>
      <c r="AE524">
        <v>-0.27940000000000897</v>
      </c>
      <c r="AF524">
        <v>0.26603933184502698</v>
      </c>
      <c r="AG524">
        <v>-1.1210677573386001</v>
      </c>
      <c r="AH524">
        <v>31.443947579605702</v>
      </c>
      <c r="AI524">
        <v>92.041822507690497</v>
      </c>
      <c r="AJ524">
        <v>89.515246386980095</v>
      </c>
      <c r="AK524">
        <v>31.465050599540199</v>
      </c>
      <c r="AL524">
        <v>94.886867244066295</v>
      </c>
      <c r="AM524">
        <v>89.280942613133007</v>
      </c>
      <c r="AN524">
        <v>1.00000001457091</v>
      </c>
    </row>
    <row r="525" spans="1:40" x14ac:dyDescent="0.25">
      <c r="A525" t="str">
        <f>"20190303154425981"</f>
        <v>20190303154425981</v>
      </c>
      <c r="B525" t="str">
        <f>"1551599065970548"</f>
        <v>1551599065970548</v>
      </c>
      <c r="C525" t="s">
        <v>40</v>
      </c>
      <c r="D525">
        <v>4.768783</v>
      </c>
      <c r="E525">
        <v>0.49878460000000002</v>
      </c>
      <c r="F525" t="s">
        <v>41</v>
      </c>
      <c r="G525">
        <v>-350.47430000000003</v>
      </c>
      <c r="H525" s="1">
        <v>-4.4976720000000002E-6</v>
      </c>
      <c r="I525">
        <v>367.1986</v>
      </c>
      <c r="J525">
        <v>-380.90300000000002</v>
      </c>
      <c r="K525">
        <v>1.1210639999999901</v>
      </c>
      <c r="L525">
        <v>367.47219999999999</v>
      </c>
      <c r="M525">
        <v>0.9998996</v>
      </c>
      <c r="N525">
        <v>-1.416865E-2</v>
      </c>
      <c r="O525">
        <v>-4.1355530000000001E-4</v>
      </c>
      <c r="P525">
        <v>0.99490199999999995</v>
      </c>
      <c r="Q525">
        <v>-9.9971069999999995E-2</v>
      </c>
      <c r="R525">
        <v>-1.326832E-2</v>
      </c>
      <c r="S525">
        <v>3.003784</v>
      </c>
      <c r="T525">
        <v>-0.10977720000000001</v>
      </c>
      <c r="U525">
        <v>-2.6794430000000001E-2</v>
      </c>
      <c r="V525">
        <v>1.2853440000000001E-2</v>
      </c>
      <c r="W525">
        <v>-8.5865070000000002E-2</v>
      </c>
      <c r="X525">
        <v>0.99622390000000005</v>
      </c>
      <c r="Y525">
        <v>8.4985189999999995E-3</v>
      </c>
      <c r="Z525">
        <v>-2.0622810000000001E-4</v>
      </c>
      <c r="AA525">
        <v>0.99996390000000002</v>
      </c>
      <c r="AB525">
        <v>24</v>
      </c>
      <c r="AC525">
        <v>30.4286999999999</v>
      </c>
      <c r="AD525">
        <v>-1.12106849767199</v>
      </c>
      <c r="AE525">
        <v>-0.27359999999998702</v>
      </c>
      <c r="AF525">
        <v>0.26066097977816599</v>
      </c>
      <c r="AG525">
        <v>-1.12106849767199</v>
      </c>
      <c r="AH525">
        <v>30.387566791186099</v>
      </c>
      <c r="AI525">
        <v>92.112739621486398</v>
      </c>
      <c r="AJ525">
        <v>89.508535584857498</v>
      </c>
      <c r="AK525">
        <v>30.409356359707001</v>
      </c>
      <c r="AL525">
        <v>94.925771409609496</v>
      </c>
      <c r="AM525">
        <v>89.260801709472901</v>
      </c>
      <c r="AN525">
        <v>1.00000004004857</v>
      </c>
    </row>
    <row r="526" spans="1:40" x14ac:dyDescent="0.25">
      <c r="A526" t="str">
        <f>"20190303154426002"</f>
        <v>20190303154426002</v>
      </c>
      <c r="B526" t="str">
        <f>"1551599065991045"</f>
        <v>1551599065991045</v>
      </c>
      <c r="C526" t="s">
        <v>40</v>
      </c>
      <c r="D526">
        <v>4.7490880000000004</v>
      </c>
      <c r="E526">
        <v>0.49877949999999999</v>
      </c>
      <c r="F526" t="s">
        <v>41</v>
      </c>
      <c r="G526">
        <v>-351.06950000000001</v>
      </c>
      <c r="H526" s="1">
        <v>-4.243765E-6</v>
      </c>
      <c r="I526">
        <v>367.19049999999999</v>
      </c>
      <c r="J526">
        <v>-380.678</v>
      </c>
      <c r="K526">
        <v>1.1210719999999901</v>
      </c>
      <c r="L526">
        <v>367.47210000000001</v>
      </c>
      <c r="M526">
        <v>0.99989870000000003</v>
      </c>
      <c r="N526">
        <v>-1.423957E-2</v>
      </c>
      <c r="O526">
        <v>-4.1394110000000001E-4</v>
      </c>
      <c r="P526">
        <v>0.99490979999999996</v>
      </c>
      <c r="Q526">
        <v>-9.9808419999999995E-2</v>
      </c>
      <c r="R526">
        <v>-1.3897720000000001E-2</v>
      </c>
      <c r="S526">
        <v>3.0036619999999998</v>
      </c>
      <c r="T526">
        <v>-0.11287</v>
      </c>
      <c r="U526">
        <v>-2.835083E-2</v>
      </c>
      <c r="V526">
        <v>1.348252E-2</v>
      </c>
      <c r="W526">
        <v>-8.5631669999999993E-2</v>
      </c>
      <c r="X526">
        <v>0.9962356</v>
      </c>
      <c r="Y526">
        <v>9.0157060000000001E-3</v>
      </c>
      <c r="Z526">
        <v>-2.2390020000000001E-4</v>
      </c>
      <c r="AA526">
        <v>0.9999593</v>
      </c>
      <c r="AB526">
        <v>24</v>
      </c>
      <c r="AC526">
        <v>29.608499999999999</v>
      </c>
      <c r="AD526">
        <v>-1.1210762437649999</v>
      </c>
      <c r="AE526">
        <v>-0.281600000000025</v>
      </c>
      <c r="AF526">
        <v>0.26895700985983301</v>
      </c>
      <c r="AG526">
        <v>-1.1210762437649999</v>
      </c>
      <c r="AH526">
        <v>29.566230799040198</v>
      </c>
      <c r="AI526">
        <v>92.171380155633102</v>
      </c>
      <c r="AJ526">
        <v>89.478808218956999</v>
      </c>
      <c r="AK526">
        <v>29.588699759867801</v>
      </c>
      <c r="AL526">
        <v>94.912349503360105</v>
      </c>
      <c r="AM526">
        <v>89.224636886524905</v>
      </c>
      <c r="AN526">
        <v>0.999999965979949</v>
      </c>
    </row>
    <row r="527" spans="1:40" x14ac:dyDescent="0.25">
      <c r="A527" t="str">
        <f>"20190303154426026"</f>
        <v>20190303154426026</v>
      </c>
      <c r="B527" t="str">
        <f>"1551599066020325"</f>
        <v>1551599066020325</v>
      </c>
      <c r="C527" t="s">
        <v>40</v>
      </c>
      <c r="D527">
        <v>4.7457279999999997</v>
      </c>
      <c r="E527">
        <v>0.49878479999999997</v>
      </c>
      <c r="F527" t="s">
        <v>41</v>
      </c>
      <c r="G527">
        <v>-350.86630000000002</v>
      </c>
      <c r="H527" s="1">
        <v>-4.3335470000000003E-6</v>
      </c>
      <c r="I527">
        <v>367.17579999999998</v>
      </c>
      <c r="J527">
        <v>-380.4264</v>
      </c>
      <c r="K527">
        <v>1.1210690000000001</v>
      </c>
      <c r="L527">
        <v>367.47199999999998</v>
      </c>
      <c r="M527">
        <v>0.99989819999999996</v>
      </c>
      <c r="N527">
        <v>-1.426556E-2</v>
      </c>
      <c r="O527">
        <v>-4.1388850000000001E-4</v>
      </c>
      <c r="P527">
        <v>0.99497829999999998</v>
      </c>
      <c r="Q527">
        <v>-9.9078550000000001E-2</v>
      </c>
      <c r="R527">
        <v>-1.4198570000000001E-2</v>
      </c>
      <c r="S527">
        <v>3.0036320000000001</v>
      </c>
      <c r="T527">
        <v>-0.1129521</v>
      </c>
      <c r="U527">
        <v>-2.9846190000000002E-2</v>
      </c>
      <c r="V527">
        <v>1.3783500000000001E-2</v>
      </c>
      <c r="W527">
        <v>-8.4875000000000006E-2</v>
      </c>
      <c r="X527">
        <v>0.99629630000000002</v>
      </c>
      <c r="Y527">
        <v>9.5131390000000003E-3</v>
      </c>
      <c r="Z527">
        <v>-2.3704220000000001E-4</v>
      </c>
      <c r="AA527">
        <v>0.99995469999999997</v>
      </c>
      <c r="AB527">
        <v>24</v>
      </c>
      <c r="AC527">
        <v>29.560099999999899</v>
      </c>
      <c r="AD527">
        <v>-1.121073333547</v>
      </c>
      <c r="AE527">
        <v>-0.29619999999999802</v>
      </c>
      <c r="AF527">
        <v>0.28355634012418801</v>
      </c>
      <c r="AG527">
        <v>-1.121073333547</v>
      </c>
      <c r="AH527">
        <v>29.517768268687099</v>
      </c>
      <c r="AI527">
        <v>92.174925732740405</v>
      </c>
      <c r="AJ527">
        <v>89.449616865560003</v>
      </c>
      <c r="AK527">
        <v>29.5404105113846</v>
      </c>
      <c r="AL527">
        <v>94.868836756272501</v>
      </c>
      <c r="AM527">
        <v>89.207378369750998</v>
      </c>
      <c r="AN527">
        <v>1.00000003394546</v>
      </c>
    </row>
    <row r="528" spans="1:40" x14ac:dyDescent="0.25">
      <c r="A528" t="str">
        <f>"20190303154426046"</f>
        <v>20190303154426046</v>
      </c>
      <c r="B528" t="str">
        <f>"1551599066040821"</f>
        <v>1551599066040821</v>
      </c>
      <c r="C528" t="s">
        <v>40</v>
      </c>
      <c r="D528">
        <v>4.73245</v>
      </c>
      <c r="E528">
        <v>0.49878319999999998</v>
      </c>
      <c r="F528" t="s">
        <v>41</v>
      </c>
      <c r="G528">
        <v>-350.2749</v>
      </c>
      <c r="H528" s="1">
        <v>-4.5899709999999999E-6</v>
      </c>
      <c r="I528">
        <v>367.16059999999999</v>
      </c>
      <c r="J528">
        <v>-380.20510000000002</v>
      </c>
      <c r="K528">
        <v>1.121057</v>
      </c>
      <c r="L528">
        <v>367.47190000000001</v>
      </c>
      <c r="M528">
        <v>0.99989870000000003</v>
      </c>
      <c r="N528">
        <v>-1.423642E-2</v>
      </c>
      <c r="O528">
        <v>-4.1391920000000002E-4</v>
      </c>
      <c r="P528">
        <v>0.99505399999999999</v>
      </c>
      <c r="Q528">
        <v>-9.8193440000000007E-2</v>
      </c>
      <c r="R528">
        <v>-1.503382E-2</v>
      </c>
      <c r="S528">
        <v>3.0035400000000001</v>
      </c>
      <c r="T528">
        <v>-0.1116751</v>
      </c>
      <c r="U528">
        <v>-3.100586E-2</v>
      </c>
      <c r="V528">
        <v>1.461846E-2</v>
      </c>
      <c r="W528">
        <v>-8.4017969999999997E-2</v>
      </c>
      <c r="X528">
        <v>0.99635700000000005</v>
      </c>
      <c r="Y528">
        <v>9.8992660000000003E-3</v>
      </c>
      <c r="Z528">
        <v>-2.4497620000000001E-4</v>
      </c>
      <c r="AA528">
        <v>0.99995089999999998</v>
      </c>
      <c r="AB528">
        <v>24</v>
      </c>
      <c r="AC528">
        <v>29.930199999999999</v>
      </c>
      <c r="AD528">
        <v>-1.1210615899709999</v>
      </c>
      <c r="AE528">
        <v>-0.31130000000001601</v>
      </c>
      <c r="AF528">
        <v>0.298491314151759</v>
      </c>
      <c r="AG528">
        <v>-1.1210615899709999</v>
      </c>
      <c r="AH528">
        <v>29.8883991475866</v>
      </c>
      <c r="AI528">
        <v>92.147950523676002</v>
      </c>
      <c r="AJ528">
        <v>89.427813985876895</v>
      </c>
      <c r="AK528">
        <v>29.910905699403099</v>
      </c>
      <c r="AL528">
        <v>94.819556714189503</v>
      </c>
      <c r="AM528">
        <v>89.159421805146394</v>
      </c>
      <c r="AN528">
        <v>0.99999999505234605</v>
      </c>
    </row>
    <row r="529" spans="1:40" x14ac:dyDescent="0.25">
      <c r="A529" t="str">
        <f>"20190303154426068"</f>
        <v>20190303154426068</v>
      </c>
      <c r="B529" t="str">
        <f>"1551599066060341"</f>
        <v>1551599066060341</v>
      </c>
      <c r="C529" t="s">
        <v>40</v>
      </c>
      <c r="D529">
        <v>4.7329749999999997</v>
      </c>
      <c r="E529">
        <v>0.49877159999999898</v>
      </c>
      <c r="F529" t="s">
        <v>41</v>
      </c>
      <c r="G529">
        <v>-349.50990000000002</v>
      </c>
      <c r="H529" s="1">
        <v>-8.3336810000000005E-7</v>
      </c>
      <c r="I529">
        <v>367.13220000000001</v>
      </c>
      <c r="J529">
        <v>-379.96440000000001</v>
      </c>
      <c r="K529">
        <v>1.121024</v>
      </c>
      <c r="L529">
        <v>367.47179999999997</v>
      </c>
      <c r="M529">
        <v>0.99990029999999996</v>
      </c>
      <c r="N529">
        <v>-1.411957E-2</v>
      </c>
      <c r="O529">
        <v>-4.139236E-4</v>
      </c>
      <c r="P529">
        <v>0.99513739999999995</v>
      </c>
      <c r="Q529">
        <v>-9.7339079999999994E-2</v>
      </c>
      <c r="R529">
        <v>-1.5068639999999999E-2</v>
      </c>
      <c r="S529">
        <v>3.0036010000000002</v>
      </c>
      <c r="T529">
        <v>-0.1096983</v>
      </c>
      <c r="U529">
        <v>-3.3233640000000002E-2</v>
      </c>
      <c r="V529">
        <v>1.465326E-2</v>
      </c>
      <c r="W529">
        <v>-8.3278950000000004E-2</v>
      </c>
      <c r="X529">
        <v>0.99641849999999998</v>
      </c>
      <c r="Y529">
        <v>1.064025E-2</v>
      </c>
      <c r="Z529">
        <v>-2.6012229999999999E-4</v>
      </c>
      <c r="AA529">
        <v>0.99994340000000004</v>
      </c>
      <c r="AB529">
        <v>24</v>
      </c>
      <c r="AC529">
        <v>30.454499999999999</v>
      </c>
      <c r="AD529">
        <v>-1.1210248333681001</v>
      </c>
      <c r="AE529">
        <v>-0.33959999999996099</v>
      </c>
      <c r="AF529">
        <v>0.32655046990134801</v>
      </c>
      <c r="AG529">
        <v>-1.1210248333681001</v>
      </c>
      <c r="AH529">
        <v>30.413434010877399</v>
      </c>
      <c r="AI529">
        <v>92.110818205705499</v>
      </c>
      <c r="AJ529">
        <v>89.384836162243204</v>
      </c>
      <c r="AK529">
        <v>30.435839075346902</v>
      </c>
      <c r="AL529">
        <v>94.7770652136943</v>
      </c>
      <c r="AM529">
        <v>89.157473050789903</v>
      </c>
      <c r="AN529">
        <v>0.99999996434198901</v>
      </c>
    </row>
    <row r="530" spans="1:40" x14ac:dyDescent="0.25">
      <c r="A530" t="str">
        <f>"20190303154426090"</f>
        <v>20190303154426090</v>
      </c>
      <c r="B530" t="str">
        <f>"1551599066080840"</f>
        <v>1551599066080840</v>
      </c>
      <c r="C530" t="s">
        <v>40</v>
      </c>
      <c r="D530">
        <v>4.7754690000000002</v>
      </c>
      <c r="E530">
        <v>0.49875419999999998</v>
      </c>
      <c r="F530" t="s">
        <v>41</v>
      </c>
      <c r="G530">
        <v>-348.82389999999998</v>
      </c>
      <c r="H530" s="1">
        <v>-1.0975559999999999E-6</v>
      </c>
      <c r="I530">
        <v>367.12939999999998</v>
      </c>
      <c r="J530">
        <v>-379.72949999999997</v>
      </c>
      <c r="K530">
        <v>1.1209739999999999</v>
      </c>
      <c r="L530">
        <v>367.4717</v>
      </c>
      <c r="M530">
        <v>0.99990319999999999</v>
      </c>
      <c r="N530">
        <v>-1.3914269999999999E-2</v>
      </c>
      <c r="O530">
        <v>-4.1379269999999998E-4</v>
      </c>
      <c r="P530">
        <v>0.99517149999999999</v>
      </c>
      <c r="Q530">
        <v>-9.706526E-2</v>
      </c>
      <c r="R530">
        <v>-1.45641E-2</v>
      </c>
      <c r="S530">
        <v>3.003571</v>
      </c>
      <c r="T530">
        <v>-0.10812529999999999</v>
      </c>
      <c r="U530">
        <v>-3.3020019999999997E-2</v>
      </c>
      <c r="V530">
        <v>1.4149109999999999E-2</v>
      </c>
      <c r="W530">
        <v>-8.3209249999999998E-2</v>
      </c>
      <c r="X530">
        <v>0.99643159999999997</v>
      </c>
      <c r="Y530">
        <v>1.0569719999999999E-2</v>
      </c>
      <c r="Z530">
        <v>-2.546216E-4</v>
      </c>
      <c r="AA530">
        <v>0.9999441</v>
      </c>
      <c r="AB530">
        <v>24</v>
      </c>
      <c r="AC530">
        <v>30.9056</v>
      </c>
      <c r="AD530">
        <v>-1.120975097556</v>
      </c>
      <c r="AE530">
        <v>-0.34230000000002198</v>
      </c>
      <c r="AF530">
        <v>0.32907734728447302</v>
      </c>
      <c r="AG530">
        <v>-1.120975097556</v>
      </c>
      <c r="AH530">
        <v>30.865138401407702</v>
      </c>
      <c r="AI530">
        <v>92.079863662023598</v>
      </c>
      <c r="AJ530">
        <v>89.389148089744495</v>
      </c>
      <c r="AK530">
        <v>30.887240822188801</v>
      </c>
      <c r="AL530">
        <v>94.773057833200696</v>
      </c>
      <c r="AM530">
        <v>89.186467183147698</v>
      </c>
      <c r="AN530">
        <v>0.999999955038956</v>
      </c>
    </row>
    <row r="531" spans="1:40" x14ac:dyDescent="0.25">
      <c r="A531" t="str">
        <f>"20190303154426113"</f>
        <v>20190303154426113</v>
      </c>
      <c r="B531" t="str">
        <f>"1551599066111093"</f>
        <v>1551599066111093</v>
      </c>
      <c r="C531" t="s">
        <v>40</v>
      </c>
      <c r="D531">
        <v>4.7564159999999998</v>
      </c>
      <c r="E531">
        <v>0.49875940000000002</v>
      </c>
      <c r="F531" t="s">
        <v>41</v>
      </c>
      <c r="G531">
        <v>-348.63209999999998</v>
      </c>
      <c r="H531" s="1">
        <v>-1.166577E-6</v>
      </c>
      <c r="I531">
        <v>367.14690000000002</v>
      </c>
      <c r="J531">
        <v>-379.49340000000001</v>
      </c>
      <c r="K531">
        <v>1.120911</v>
      </c>
      <c r="L531">
        <v>367.47160000000002</v>
      </c>
      <c r="M531">
        <v>0.99990710000000005</v>
      </c>
      <c r="N531">
        <v>-1.363967E-2</v>
      </c>
      <c r="O531">
        <v>-4.1380399999999998E-4</v>
      </c>
      <c r="P531">
        <v>0.9951487</v>
      </c>
      <c r="Q531">
        <v>-9.7341120000000003E-2</v>
      </c>
      <c r="R531">
        <v>-1.428486E-2</v>
      </c>
      <c r="S531">
        <v>3.0035099999999999</v>
      </c>
      <c r="T531">
        <v>-0.10826810000000001</v>
      </c>
      <c r="U531">
        <v>-3.1372070000000002E-2</v>
      </c>
      <c r="V531">
        <v>1.3869799999999899E-2</v>
      </c>
      <c r="W531">
        <v>-8.3759050000000002E-2</v>
      </c>
      <c r="X531">
        <v>0.99638950000000004</v>
      </c>
      <c r="Y531">
        <v>1.002188E-2</v>
      </c>
      <c r="Z531">
        <v>-2.3968190000000001E-4</v>
      </c>
      <c r="AA531">
        <v>0.9999498</v>
      </c>
      <c r="AB531">
        <v>24</v>
      </c>
      <c r="AC531">
        <v>30.8613</v>
      </c>
      <c r="AD531">
        <v>-1.1209121665770001</v>
      </c>
      <c r="AE531">
        <v>-0.32470000000000698</v>
      </c>
      <c r="AF531">
        <v>0.31151734534481401</v>
      </c>
      <c r="AG531">
        <v>-1.1209121665770001</v>
      </c>
      <c r="AH531">
        <v>30.820777080122699</v>
      </c>
      <c r="AI531">
        <v>92.082749792400307</v>
      </c>
      <c r="AJ531">
        <v>89.420909429897407</v>
      </c>
      <c r="AK531">
        <v>30.842726646070901</v>
      </c>
      <c r="AL531">
        <v>94.804669225630406</v>
      </c>
      <c r="AM531">
        <v>89.202490912705898</v>
      </c>
      <c r="AN531">
        <v>0.99999999275959595</v>
      </c>
    </row>
    <row r="532" spans="1:40" x14ac:dyDescent="0.25">
      <c r="A532" t="str">
        <f>"20190303154426135"</f>
        <v>20190303154426135</v>
      </c>
      <c r="B532" t="str">
        <f>"1551599066130614"</f>
        <v>1551599066130614</v>
      </c>
      <c r="C532" t="s">
        <v>40</v>
      </c>
      <c r="D532">
        <v>4.7454320000000001</v>
      </c>
      <c r="E532">
        <v>0.49876310000000001</v>
      </c>
      <c r="F532" t="s">
        <v>41</v>
      </c>
      <c r="G532">
        <v>-348.99250000000001</v>
      </c>
      <c r="H532" s="1">
        <v>-1.024326E-6</v>
      </c>
      <c r="I532">
        <v>367.16140000000001</v>
      </c>
      <c r="J532">
        <v>-379.25200000000001</v>
      </c>
      <c r="K532">
        <v>1.120849</v>
      </c>
      <c r="L532">
        <v>367.47149999999999</v>
      </c>
      <c r="M532">
        <v>0.9999112</v>
      </c>
      <c r="N532">
        <v>-1.332625E-2</v>
      </c>
      <c r="O532">
        <v>-4.1335470000000002E-4</v>
      </c>
      <c r="P532">
        <v>0.99516499999999997</v>
      </c>
      <c r="Q532">
        <v>-9.7285640000000007E-2</v>
      </c>
      <c r="R532">
        <v>-1.350997E-2</v>
      </c>
      <c r="S532">
        <v>3.0033569999999998</v>
      </c>
      <c r="T532">
        <v>-0.1103736</v>
      </c>
      <c r="U532">
        <v>-3.0548100000000002E-2</v>
      </c>
      <c r="V532">
        <v>1.3095280000000001E-2</v>
      </c>
      <c r="W532">
        <v>-8.4015619999999999E-2</v>
      </c>
      <c r="X532">
        <v>0.9963784</v>
      </c>
      <c r="Y532">
        <v>9.7485660000000002E-3</v>
      </c>
      <c r="Z532">
        <v>-2.3437769999999999E-4</v>
      </c>
      <c r="AA532">
        <v>0.99995239999999996</v>
      </c>
      <c r="AB532">
        <v>24</v>
      </c>
      <c r="AC532">
        <v>30.2594999999999</v>
      </c>
      <c r="AD532">
        <v>-1.120850024326</v>
      </c>
      <c r="AE532">
        <v>-0.31009999999997701</v>
      </c>
      <c r="AF532">
        <v>0.29718324828771098</v>
      </c>
      <c r="AG532">
        <v>-1.120850024326</v>
      </c>
      <c r="AH532">
        <v>30.21816897159</v>
      </c>
      <c r="AI532">
        <v>92.12413424316</v>
      </c>
      <c r="AJ532">
        <v>89.436537767722697</v>
      </c>
      <c r="AK532">
        <v>30.240409366535701</v>
      </c>
      <c r="AL532">
        <v>94.819421502847803</v>
      </c>
      <c r="AM532">
        <v>89.247011899608495</v>
      </c>
      <c r="AN532">
        <v>1.00000001337441</v>
      </c>
    </row>
    <row r="533" spans="1:40" x14ac:dyDescent="0.25">
      <c r="A533" t="str">
        <f>"20190303154426158"</f>
        <v>20190303154426158</v>
      </c>
      <c r="B533" t="str">
        <f>"1551599066151109"</f>
        <v>1551599066151109</v>
      </c>
      <c r="C533" t="s">
        <v>40</v>
      </c>
      <c r="D533">
        <v>4.769482</v>
      </c>
      <c r="E533">
        <v>0.49875659999999999</v>
      </c>
      <c r="F533" t="s">
        <v>41</v>
      </c>
      <c r="G533">
        <v>-348.95209999999997</v>
      </c>
      <c r="H533" s="1">
        <v>-1.0340749999999999E-6</v>
      </c>
      <c r="I533">
        <v>367.18299999999999</v>
      </c>
      <c r="J533">
        <v>-378.9973</v>
      </c>
      <c r="K533">
        <v>1.1207959999999999</v>
      </c>
      <c r="L533">
        <v>367.47140000000002</v>
      </c>
      <c r="M533">
        <v>0.99991560000000002</v>
      </c>
      <c r="N533">
        <v>-1.2994489999999999E-2</v>
      </c>
      <c r="O533">
        <v>-4.129537E-4</v>
      </c>
      <c r="P533">
        <v>0.99516559999999998</v>
      </c>
      <c r="Q533">
        <v>-9.7391459999999999E-2</v>
      </c>
      <c r="R533">
        <v>-1.267307E-2</v>
      </c>
      <c r="S533">
        <v>3.0033259999999999</v>
      </c>
      <c r="T533">
        <v>-0.1110988</v>
      </c>
      <c r="U533">
        <v>-2.8594970000000001E-2</v>
      </c>
      <c r="V533">
        <v>1.225859E-2</v>
      </c>
      <c r="W533">
        <v>-8.4451970000000001E-2</v>
      </c>
      <c r="X533">
        <v>0.99635209999999996</v>
      </c>
      <c r="Y533">
        <v>9.0994089999999993E-3</v>
      </c>
      <c r="Z533">
        <v>-2.1748779999999999E-4</v>
      </c>
      <c r="AA533">
        <v>0.99995860000000003</v>
      </c>
      <c r="AB533">
        <v>24</v>
      </c>
      <c r="AC533">
        <v>30.045200000000001</v>
      </c>
      <c r="AD533">
        <v>-1.120797034075</v>
      </c>
      <c r="AE533">
        <v>-0.28839999999996702</v>
      </c>
      <c r="AF533">
        <v>0.275608161136082</v>
      </c>
      <c r="AG533">
        <v>-1.120797034075</v>
      </c>
      <c r="AH533">
        <v>30.003568450437299</v>
      </c>
      <c r="AI533">
        <v>92.139225185442299</v>
      </c>
      <c r="AJ533">
        <v>89.473704591876398</v>
      </c>
      <c r="AK533">
        <v>30.025760033846801</v>
      </c>
      <c r="AL533">
        <v>94.844511956415602</v>
      </c>
      <c r="AM533">
        <v>89.295098557316507</v>
      </c>
      <c r="AN533">
        <v>0.99999995772003802</v>
      </c>
    </row>
    <row r="534" spans="1:40" x14ac:dyDescent="0.25">
      <c r="A534" t="str">
        <f>"20190303154426182"</f>
        <v>20190303154426182</v>
      </c>
      <c r="B534" t="str">
        <f>"1551599066170629"</f>
        <v>1551599066170629</v>
      </c>
      <c r="C534" t="s">
        <v>40</v>
      </c>
      <c r="D534">
        <v>4.7582069999999996</v>
      </c>
      <c r="E534">
        <v>0.4987645</v>
      </c>
      <c r="F534" t="s">
        <v>41</v>
      </c>
      <c r="G534">
        <v>-349.0301</v>
      </c>
      <c r="H534" s="1">
        <v>-9.9547119999999997E-7</v>
      </c>
      <c r="I534">
        <v>367.21559999999999</v>
      </c>
      <c r="J534">
        <v>-378.75110000000001</v>
      </c>
      <c r="K534">
        <v>1.1207590000000001</v>
      </c>
      <c r="L534">
        <v>367.47129999999999</v>
      </c>
      <c r="M534">
        <v>0.99991940000000001</v>
      </c>
      <c r="N534">
        <v>-1.269089E-2</v>
      </c>
      <c r="O534">
        <v>-4.1290560000000002E-4</v>
      </c>
      <c r="P534">
        <v>0.9951875</v>
      </c>
      <c r="Q534">
        <v>-9.7292729999999994E-2</v>
      </c>
      <c r="R534">
        <v>-1.168099E-2</v>
      </c>
      <c r="S534">
        <v>3.0032649999999999</v>
      </c>
      <c r="T534">
        <v>-0.11232449999999999</v>
      </c>
      <c r="U534">
        <v>-2.5634770000000001E-2</v>
      </c>
      <c r="V534">
        <v>1.1266730000000001E-2</v>
      </c>
      <c r="W534">
        <v>-8.4655439999999998E-2</v>
      </c>
      <c r="X534">
        <v>0.99634659999999997</v>
      </c>
      <c r="Y534">
        <v>8.1149240000000008E-3</v>
      </c>
      <c r="Z534">
        <v>-1.9301809999999999E-4</v>
      </c>
      <c r="AA534">
        <v>0.99996700000000005</v>
      </c>
      <c r="AB534">
        <v>24</v>
      </c>
      <c r="AC534">
        <v>29.721</v>
      </c>
      <c r="AD534">
        <v>-1.1207599954712</v>
      </c>
      <c r="AE534">
        <v>-0.25569999999998999</v>
      </c>
      <c r="AF534">
        <v>0.243081387505031</v>
      </c>
      <c r="AG534">
        <v>-1.1207599954712</v>
      </c>
      <c r="AH534">
        <v>29.678902893771699</v>
      </c>
      <c r="AI534">
        <v>92.162551934516003</v>
      </c>
      <c r="AJ534">
        <v>89.530736489339105</v>
      </c>
      <c r="AK534">
        <v>29.701051639737098</v>
      </c>
      <c r="AL534">
        <v>94.856211548350899</v>
      </c>
      <c r="AM534">
        <v>89.352124486869599</v>
      </c>
      <c r="AN534">
        <v>1.00000001502902</v>
      </c>
    </row>
    <row r="535" spans="1:40" x14ac:dyDescent="0.25">
      <c r="A535" t="str">
        <f>"20190303154426201"</f>
        <v>20190303154426201</v>
      </c>
      <c r="B535" t="str">
        <f>"1551599066191124"</f>
        <v>1551599066191124</v>
      </c>
      <c r="C535" t="s">
        <v>40</v>
      </c>
      <c r="D535">
        <v>4.7280579999999999</v>
      </c>
      <c r="E535">
        <v>0.49874200000000002</v>
      </c>
      <c r="F535" t="s">
        <v>41</v>
      </c>
      <c r="G535">
        <v>-348.91050000000001</v>
      </c>
      <c r="H535" s="1">
        <v>-1.034256E-6</v>
      </c>
      <c r="I535">
        <v>367.2423</v>
      </c>
      <c r="J535">
        <v>-378.52870000000001</v>
      </c>
      <c r="K535">
        <v>1.12073</v>
      </c>
      <c r="L535">
        <v>367.47120000000001</v>
      </c>
      <c r="M535">
        <v>0.99992270000000005</v>
      </c>
      <c r="N535">
        <v>-1.243523E-2</v>
      </c>
      <c r="O535">
        <v>-4.1284420000000001E-4</v>
      </c>
      <c r="P535">
        <v>0.9951894</v>
      </c>
      <c r="Q535">
        <v>-9.7291639999999999E-2</v>
      </c>
      <c r="R535">
        <v>-1.152106E-2</v>
      </c>
      <c r="S535">
        <v>3.0032040000000002</v>
      </c>
      <c r="T535">
        <v>-0.1127952</v>
      </c>
      <c r="U535">
        <v>-2.3040769999999999E-2</v>
      </c>
      <c r="V535">
        <v>1.110688E-2</v>
      </c>
      <c r="W535">
        <v>-8.4909090000000007E-2</v>
      </c>
      <c r="X535">
        <v>0.99632679999999996</v>
      </c>
      <c r="Y535">
        <v>7.2522960000000001E-3</v>
      </c>
      <c r="Z535">
        <v>-1.708902E-4</v>
      </c>
      <c r="AA535">
        <v>0.99997369999999997</v>
      </c>
      <c r="AB535">
        <v>24</v>
      </c>
      <c r="AC535">
        <v>29.618200000000002</v>
      </c>
      <c r="AD535">
        <v>-1.120731034256</v>
      </c>
      <c r="AE535">
        <v>-0.22890000000001001</v>
      </c>
      <c r="AF535">
        <v>0.21636156396572601</v>
      </c>
      <c r="AG535">
        <v>-1.120731034256</v>
      </c>
      <c r="AH535">
        <v>29.5759473667942</v>
      </c>
      <c r="AI535">
        <v>92.170031396124003</v>
      </c>
      <c r="AJ535">
        <v>89.580862679428705</v>
      </c>
      <c r="AK535">
        <v>29.597964676999101</v>
      </c>
      <c r="AL535">
        <v>94.870797190059506</v>
      </c>
      <c r="AM535">
        <v>89.361302950208</v>
      </c>
      <c r="AN535">
        <v>1.0000000043731001</v>
      </c>
    </row>
    <row r="536" spans="1:40" x14ac:dyDescent="0.25">
      <c r="A536" t="str">
        <f>"20190303154426224"</f>
        <v>20190303154426224</v>
      </c>
      <c r="B536" t="str">
        <f>"1551599066220405"</f>
        <v>1551599066220405</v>
      </c>
      <c r="C536" t="s">
        <v>40</v>
      </c>
      <c r="D536">
        <v>4.7836100000000004</v>
      </c>
      <c r="E536">
        <v>0.49873830000000002</v>
      </c>
      <c r="F536" t="s">
        <v>41</v>
      </c>
      <c r="G536">
        <v>-348.9144</v>
      </c>
      <c r="H536" s="1">
        <v>-1.0312819999999999E-6</v>
      </c>
      <c r="I536">
        <v>367.24790000000002</v>
      </c>
      <c r="J536">
        <v>-378.29199999999997</v>
      </c>
      <c r="K536">
        <v>1.1207149999999999</v>
      </c>
      <c r="L536">
        <v>367.471</v>
      </c>
      <c r="M536">
        <v>0.99992579999999998</v>
      </c>
      <c r="N536">
        <v>-1.218344E-2</v>
      </c>
      <c r="O536">
        <v>-4.1260100000000002E-4</v>
      </c>
      <c r="P536">
        <v>0.99520679999999995</v>
      </c>
      <c r="Q536">
        <v>-9.7070600000000007E-2</v>
      </c>
      <c r="R536">
        <v>-1.1875719999999999E-2</v>
      </c>
      <c r="S536">
        <v>3.0031129999999999</v>
      </c>
      <c r="T536">
        <v>-0.1136506</v>
      </c>
      <c r="U536">
        <v>-2.2644040000000001E-2</v>
      </c>
      <c r="V536">
        <v>1.14617E-2</v>
      </c>
      <c r="W536">
        <v>-8.4938749999999993E-2</v>
      </c>
      <c r="X536">
        <v>0.99632019999999999</v>
      </c>
      <c r="Y536">
        <v>7.1207529999999996E-3</v>
      </c>
      <c r="Z536">
        <v>-1.6750709999999999E-4</v>
      </c>
      <c r="AA536">
        <v>0.99997460000000005</v>
      </c>
      <c r="AB536">
        <v>24</v>
      </c>
      <c r="AC536">
        <v>29.377599999999902</v>
      </c>
      <c r="AD536">
        <v>-1.1207160312819999</v>
      </c>
      <c r="AE536">
        <v>-0.223099999999988</v>
      </c>
      <c r="AF536">
        <v>0.21067127896342699</v>
      </c>
      <c r="AG536">
        <v>-1.1207160312819999</v>
      </c>
      <c r="AH536">
        <v>29.335000202249201</v>
      </c>
      <c r="AI536">
        <v>92.187810866343995</v>
      </c>
      <c r="AJ536">
        <v>89.588533575609603</v>
      </c>
      <c r="AK536">
        <v>29.357156260041801</v>
      </c>
      <c r="AL536">
        <v>94.872503003158201</v>
      </c>
      <c r="AM536">
        <v>89.340896562968695</v>
      </c>
      <c r="AN536">
        <v>0.99999995137324504</v>
      </c>
    </row>
    <row r="537" spans="1:40" x14ac:dyDescent="0.25">
      <c r="A537" t="str">
        <f>"20190303154426245"</f>
        <v>20190303154426245</v>
      </c>
      <c r="B537" t="str">
        <f>"1551599066240901"</f>
        <v>1551599066240901</v>
      </c>
      <c r="C537" t="s">
        <v>40</v>
      </c>
      <c r="D537">
        <v>4.7925599999999999</v>
      </c>
      <c r="E537">
        <v>0.49879279999999998</v>
      </c>
      <c r="F537" t="s">
        <v>41</v>
      </c>
      <c r="G537">
        <v>-348.80860000000001</v>
      </c>
      <c r="H537" s="1">
        <v>-1.073855E-6</v>
      </c>
      <c r="I537">
        <v>367.24059999999997</v>
      </c>
      <c r="J537">
        <v>-378.05680000000001</v>
      </c>
      <c r="K537">
        <v>1.1207009999999999</v>
      </c>
      <c r="L537">
        <v>367.471</v>
      </c>
      <c r="M537">
        <v>0.99992840000000005</v>
      </c>
      <c r="N537">
        <v>-1.195678E-2</v>
      </c>
      <c r="O537">
        <v>-4.1230169999999998E-4</v>
      </c>
      <c r="P537">
        <v>0.99525240000000004</v>
      </c>
      <c r="Q537">
        <v>-9.6513399999999999E-2</v>
      </c>
      <c r="R537">
        <v>-1.2566549999999999E-2</v>
      </c>
      <c r="S537">
        <v>3.0029910000000002</v>
      </c>
      <c r="T537">
        <v>-0.11414920000000001</v>
      </c>
      <c r="U537">
        <v>-2.3468019999999999E-2</v>
      </c>
      <c r="V537">
        <v>1.2152909999999999E-2</v>
      </c>
      <c r="W537">
        <v>-8.4606899999999999E-2</v>
      </c>
      <c r="X537">
        <v>0.99634029999999996</v>
      </c>
      <c r="Y537">
        <v>7.3954429999999998E-3</v>
      </c>
      <c r="Z537">
        <v>-1.7400259999999999E-4</v>
      </c>
      <c r="AA537">
        <v>0.99997259999999999</v>
      </c>
      <c r="AB537">
        <v>24</v>
      </c>
      <c r="AC537">
        <v>29.248200000000001</v>
      </c>
      <c r="AD537">
        <v>-1.120702073855</v>
      </c>
      <c r="AE537">
        <v>-0.230400000000031</v>
      </c>
      <c r="AF537">
        <v>0.21801996064694501</v>
      </c>
      <c r="AG537">
        <v>-1.120702073855</v>
      </c>
      <c r="AH537">
        <v>29.2054160950956</v>
      </c>
      <c r="AI537">
        <v>92.197476764623005</v>
      </c>
      <c r="AJ537">
        <v>89.572291950181494</v>
      </c>
      <c r="AK537">
        <v>29.227723741838901</v>
      </c>
      <c r="AL537">
        <v>94.853420436263605</v>
      </c>
      <c r="AM537">
        <v>89.301166556768393</v>
      </c>
      <c r="AN537">
        <v>1.00000000707658</v>
      </c>
    </row>
    <row r="538" spans="1:40" x14ac:dyDescent="0.25">
      <c r="A538" t="str">
        <f>"20190303154426271"</f>
        <v>20190303154426271</v>
      </c>
      <c r="B538" t="str">
        <f>"1551599066260421"</f>
        <v>1551599066260421</v>
      </c>
      <c r="C538" t="s">
        <v>40</v>
      </c>
      <c r="D538">
        <v>4.746893</v>
      </c>
      <c r="E538">
        <v>0.51388140000000004</v>
      </c>
      <c r="F538" t="s">
        <v>41</v>
      </c>
      <c r="G538">
        <v>-348.1429</v>
      </c>
      <c r="H538" s="1">
        <v>-1.3366949999999999E-6</v>
      </c>
      <c r="I538">
        <v>367.21350000000001</v>
      </c>
      <c r="J538">
        <v>-377.79880000000003</v>
      </c>
      <c r="K538">
        <v>1.1206879999999999</v>
      </c>
      <c r="L538">
        <v>367.47089999999997</v>
      </c>
      <c r="M538">
        <v>0.99993120000000002</v>
      </c>
      <c r="N538">
        <v>-1.173649E-2</v>
      </c>
      <c r="O538">
        <v>-4.1206560000000002E-4</v>
      </c>
      <c r="P538">
        <v>0.99533119999999997</v>
      </c>
      <c r="Q538">
        <v>-9.5583230000000005E-2</v>
      </c>
      <c r="R538">
        <v>-1.3405510000000001E-2</v>
      </c>
      <c r="S538">
        <v>3.003082</v>
      </c>
      <c r="T538">
        <v>-0.112508399999999</v>
      </c>
      <c r="U538">
        <v>-2.5848389999999999E-2</v>
      </c>
      <c r="V538">
        <v>1.2992109999999999E-2</v>
      </c>
      <c r="W538">
        <v>-8.389539E-2</v>
      </c>
      <c r="X538">
        <v>0.99638990000000005</v>
      </c>
      <c r="Y538">
        <v>8.1874819999999994E-3</v>
      </c>
      <c r="Z538">
        <v>-1.9078650000000001E-4</v>
      </c>
      <c r="AA538">
        <v>0.99996640000000003</v>
      </c>
      <c r="AB538">
        <v>24</v>
      </c>
      <c r="AC538">
        <v>29.655899999999999</v>
      </c>
      <c r="AD538">
        <v>-1.1206893366949999</v>
      </c>
      <c r="AE538">
        <v>-0.25739999999996099</v>
      </c>
      <c r="AF538">
        <v>0.244829356020837</v>
      </c>
      <c r="AG538">
        <v>-1.1206893366949999</v>
      </c>
      <c r="AH538">
        <v>29.613716400713201</v>
      </c>
      <c r="AI538">
        <v>92.167169785013698</v>
      </c>
      <c r="AJ538">
        <v>89.526321890006997</v>
      </c>
      <c r="AK538">
        <v>29.6359255813754</v>
      </c>
      <c r="AL538">
        <v>94.812508334425999</v>
      </c>
      <c r="AM538">
        <v>89.252952195756805</v>
      </c>
      <c r="AN538">
        <v>1.0000000321037501</v>
      </c>
    </row>
    <row r="539" spans="1:40" x14ac:dyDescent="0.25">
      <c r="A539" t="str">
        <f>"20190303154426291"</f>
        <v>20190303154426291</v>
      </c>
      <c r="B539" t="str">
        <f>"1551599066280918"</f>
        <v>1551599066280918</v>
      </c>
      <c r="C539" t="s">
        <v>40</v>
      </c>
      <c r="D539">
        <v>4.7834709999999996</v>
      </c>
      <c r="E539">
        <v>0.51490979999999997</v>
      </c>
      <c r="F539" t="s">
        <v>41</v>
      </c>
      <c r="G539">
        <v>-335.63900000000001</v>
      </c>
      <c r="H539" s="1">
        <v>-2.603404E-6</v>
      </c>
      <c r="I539">
        <v>365.38690000000003</v>
      </c>
      <c r="J539">
        <v>-377.56740000000002</v>
      </c>
      <c r="K539">
        <v>1.1206929999999999</v>
      </c>
      <c r="L539">
        <v>367.47070000000002</v>
      </c>
      <c r="M539">
        <v>0.99993310000000002</v>
      </c>
      <c r="N539">
        <v>-1.156077E-2</v>
      </c>
      <c r="O539">
        <v>-4.116349E-4</v>
      </c>
      <c r="P539">
        <v>0.99541710000000005</v>
      </c>
      <c r="Q539">
        <v>-9.4569710000000001E-2</v>
      </c>
      <c r="R539">
        <v>-1.419225E-2</v>
      </c>
      <c r="S539">
        <v>3.0043950000000001</v>
      </c>
      <c r="T539">
        <v>-7.9862589999999997E-2</v>
      </c>
      <c r="U539">
        <v>-0.14849849999999901</v>
      </c>
      <c r="V539">
        <v>1.3779370000000001E-2</v>
      </c>
      <c r="W539">
        <v>-8.3056069999999996E-2</v>
      </c>
      <c r="X539">
        <v>0.99644960000000005</v>
      </c>
      <c r="Y539">
        <v>4.8930969999999997E-2</v>
      </c>
      <c r="Z539">
        <v>-9.2674399999999996E-4</v>
      </c>
      <c r="AA539">
        <v>0.99880170000000001</v>
      </c>
      <c r="AB539">
        <v>24</v>
      </c>
      <c r="AC539">
        <v>41.928400000000003</v>
      </c>
      <c r="AD539">
        <v>-1.1206956034040001</v>
      </c>
      <c r="AE539">
        <v>-2.0837999999999899</v>
      </c>
      <c r="AF539">
        <v>2.06506776932516</v>
      </c>
      <c r="AG539">
        <v>-1.1206956034040001</v>
      </c>
      <c r="AH539">
        <v>41.899393904126001</v>
      </c>
      <c r="AI539">
        <v>91.530285394570399</v>
      </c>
      <c r="AJ539">
        <v>87.178383961553806</v>
      </c>
      <c r="AK539">
        <v>41.965219802361297</v>
      </c>
      <c r="AL539">
        <v>94.764250595579597</v>
      </c>
      <c r="AM539">
        <v>89.207737725318793</v>
      </c>
      <c r="AN539">
        <v>0.99999999357080005</v>
      </c>
    </row>
    <row r="540" spans="1:40" x14ac:dyDescent="0.25">
      <c r="A540" t="str">
        <f>"20190303154426315"</f>
        <v>20190303154426315</v>
      </c>
      <c r="B540" t="str">
        <f>"1551599066311173"</f>
        <v>1551599066311173</v>
      </c>
      <c r="C540" t="s">
        <v>40</v>
      </c>
      <c r="D540">
        <v>4.8179379999999998</v>
      </c>
      <c r="E540">
        <v>0.51466080000000003</v>
      </c>
      <c r="F540" t="s">
        <v>41</v>
      </c>
      <c r="G540">
        <v>-330.411</v>
      </c>
      <c r="H540" s="1">
        <v>-4.9204660000000001E-6</v>
      </c>
      <c r="I540">
        <v>364.96820000000002</v>
      </c>
      <c r="J540">
        <v>-377.31439999999998</v>
      </c>
      <c r="K540">
        <v>1.1206860000000001</v>
      </c>
      <c r="L540">
        <v>367.47059999999999</v>
      </c>
      <c r="M540">
        <v>0.99993520000000002</v>
      </c>
      <c r="N540">
        <v>-1.138491E-2</v>
      </c>
      <c r="O540">
        <v>-4.114573E-4</v>
      </c>
      <c r="P540">
        <v>0.99545099999999997</v>
      </c>
      <c r="Q540">
        <v>-9.4159199999999998E-2</v>
      </c>
      <c r="R540">
        <v>-1.4557240000000001E-2</v>
      </c>
      <c r="S540">
        <v>3.004791</v>
      </c>
      <c r="T540">
        <v>-7.1410420000000002E-2</v>
      </c>
      <c r="U540">
        <v>-0.15945429999999999</v>
      </c>
      <c r="V540">
        <v>1.414433E-2</v>
      </c>
      <c r="W540">
        <v>-8.2820450000000004E-2</v>
      </c>
      <c r="X540">
        <v>0.99646409999999996</v>
      </c>
      <c r="Y540">
        <v>5.2559359999999999E-2</v>
      </c>
      <c r="Z540">
        <v>-9.184083E-4</v>
      </c>
      <c r="AA540">
        <v>0.99861739999999999</v>
      </c>
      <c r="AB540">
        <v>24</v>
      </c>
      <c r="AC540">
        <v>46.903399999999898</v>
      </c>
      <c r="AD540">
        <v>-1.1206909204660001</v>
      </c>
      <c r="AE540">
        <v>-2.5023999999999602</v>
      </c>
      <c r="AF540">
        <v>2.4816870093048902</v>
      </c>
      <c r="AG540">
        <v>-1.1206909204660001</v>
      </c>
      <c r="AH540">
        <v>46.877739002368301</v>
      </c>
      <c r="AI540">
        <v>91.367576465086799</v>
      </c>
      <c r="AJ540">
        <v>86.969615350463499</v>
      </c>
      <c r="AK540">
        <v>46.956758113455102</v>
      </c>
      <c r="AL540">
        <v>94.750703880650207</v>
      </c>
      <c r="AM540">
        <v>89.186768503486704</v>
      </c>
      <c r="AN540">
        <v>0.99999999579908005</v>
      </c>
    </row>
    <row r="541" spans="1:40" x14ac:dyDescent="0.25">
      <c r="A541" t="str">
        <f>"20190303154426336"</f>
        <v>20190303154426336</v>
      </c>
      <c r="B541" t="str">
        <f>"1551599066330695"</f>
        <v>1551599066330695</v>
      </c>
      <c r="C541" t="s">
        <v>40</v>
      </c>
      <c r="D541">
        <v>4.8128970000000004</v>
      </c>
      <c r="E541">
        <v>0.51455280000000003</v>
      </c>
      <c r="F541" t="s">
        <v>41</v>
      </c>
      <c r="G541">
        <v>-329.23759999999999</v>
      </c>
      <c r="H541" s="1">
        <v>-1.4903660000000001E-6</v>
      </c>
      <c r="I541">
        <v>364.93779999999998</v>
      </c>
      <c r="J541">
        <v>-377.07510000000002</v>
      </c>
      <c r="K541">
        <v>1.120682</v>
      </c>
      <c r="L541">
        <v>367.47050000000002</v>
      </c>
      <c r="M541">
        <v>0.99993690000000002</v>
      </c>
      <c r="N541">
        <v>-1.122798E-2</v>
      </c>
      <c r="O541">
        <v>-4.1092480000000001E-4</v>
      </c>
      <c r="P541">
        <v>0.99544659999999996</v>
      </c>
      <c r="Q541">
        <v>-9.4171459999999999E-2</v>
      </c>
      <c r="R541">
        <v>-1.4760290000000001E-2</v>
      </c>
      <c r="S541">
        <v>3.0047609999999998</v>
      </c>
      <c r="T541">
        <v>-7.0042010000000002E-2</v>
      </c>
      <c r="U541">
        <v>-0.15829470000000001</v>
      </c>
      <c r="V541">
        <v>1.434798E-2</v>
      </c>
      <c r="W541">
        <v>-8.2989160000000006E-2</v>
      </c>
      <c r="X541">
        <v>0.99644710000000003</v>
      </c>
      <c r="Y541">
        <v>5.2177019999999998E-2</v>
      </c>
      <c r="Z541">
        <v>-8.9586039999999998E-4</v>
      </c>
      <c r="AA541">
        <v>0.99863740000000001</v>
      </c>
      <c r="AB541">
        <v>24</v>
      </c>
      <c r="AC541">
        <v>47.837499999999999</v>
      </c>
      <c r="AD541">
        <v>-1.1206834903659999</v>
      </c>
      <c r="AE541">
        <v>-2.5327000000000299</v>
      </c>
      <c r="AF541">
        <v>2.51166633550443</v>
      </c>
      <c r="AG541">
        <v>-1.1206834903659999</v>
      </c>
      <c r="AH541">
        <v>47.812369794235501</v>
      </c>
      <c r="AI541">
        <v>91.340872953488898</v>
      </c>
      <c r="AJ541">
        <v>86.992917842720203</v>
      </c>
      <c r="AK541">
        <v>47.891409507417997</v>
      </c>
      <c r="AL541">
        <v>94.760403889801097</v>
      </c>
      <c r="AM541">
        <v>89.175047134642199</v>
      </c>
      <c r="AN541">
        <v>0.99999994415299598</v>
      </c>
    </row>
    <row r="542" spans="1:40" x14ac:dyDescent="0.25">
      <c r="A542" t="str">
        <f>"20190303154426359"</f>
        <v>20190303154426359</v>
      </c>
      <c r="B542" t="str">
        <f>"1551599066351189"</f>
        <v>1551599066351189</v>
      </c>
      <c r="C542" t="s">
        <v>40</v>
      </c>
      <c r="D542">
        <v>4.9190360000000002</v>
      </c>
      <c r="E542">
        <v>0.51390159999999996</v>
      </c>
      <c r="F542" t="s">
        <v>41</v>
      </c>
      <c r="G542">
        <v>-328.46480000000003</v>
      </c>
      <c r="H542" s="1">
        <v>-1.761148E-6</v>
      </c>
      <c r="I542">
        <v>364.90859999999998</v>
      </c>
      <c r="J542">
        <v>-376.83620000000002</v>
      </c>
      <c r="K542">
        <v>1.120673</v>
      </c>
      <c r="L542">
        <v>367.47039999999998</v>
      </c>
      <c r="M542">
        <v>0.99993849999999995</v>
      </c>
      <c r="N542">
        <v>-1.1077419999999999E-2</v>
      </c>
      <c r="O542">
        <v>-4.1067849999999999E-4</v>
      </c>
      <c r="P542">
        <v>0.99542790000000003</v>
      </c>
      <c r="Q542">
        <v>-9.4330670000000005E-2</v>
      </c>
      <c r="R542">
        <v>-1.5000400000000001E-2</v>
      </c>
      <c r="S542">
        <v>3.0047609999999998</v>
      </c>
      <c r="T542">
        <v>-6.9272879999999995E-2</v>
      </c>
      <c r="U542">
        <v>-0.15835569999999999</v>
      </c>
      <c r="V542">
        <v>1.4588479999999999E-2</v>
      </c>
      <c r="W542">
        <v>-8.32986E-2</v>
      </c>
      <c r="X542">
        <v>0.99641780000000002</v>
      </c>
      <c r="Y542">
        <v>5.2197960000000002E-2</v>
      </c>
      <c r="Z542">
        <v>-8.8566030000000002E-4</v>
      </c>
      <c r="AA542">
        <v>0.99863639999999998</v>
      </c>
      <c r="AB542">
        <v>24</v>
      </c>
      <c r="AC542">
        <v>48.371400000000001</v>
      </c>
      <c r="AD542">
        <v>-1.1206747611479999</v>
      </c>
      <c r="AE542">
        <v>-2.5617999999999999</v>
      </c>
      <c r="AF542">
        <v>2.5405736004050499</v>
      </c>
      <c r="AG542">
        <v>-1.1206747611479999</v>
      </c>
      <c r="AH542">
        <v>48.346570037834802</v>
      </c>
      <c r="AI542">
        <v>91.326050902320901</v>
      </c>
      <c r="AJ542">
        <v>86.991919417377702</v>
      </c>
      <c r="AK542">
        <v>48.4262455757476</v>
      </c>
      <c r="AL542">
        <v>94.778195039655401</v>
      </c>
      <c r="AM542">
        <v>89.161196621300206</v>
      </c>
      <c r="AN542">
        <v>0.99999995633375405</v>
      </c>
    </row>
    <row r="543" spans="1:40" x14ac:dyDescent="0.25">
      <c r="A543" t="str">
        <f>"20190303154426384"</f>
        <v>20190303154426384</v>
      </c>
      <c r="B543" t="str">
        <f>"1551599066380470"</f>
        <v>1551599066380470</v>
      </c>
      <c r="C543" t="s">
        <v>40</v>
      </c>
      <c r="D543">
        <v>4.8745370000000001</v>
      </c>
      <c r="E543">
        <v>0.51389119999999999</v>
      </c>
      <c r="F543" t="s">
        <v>41</v>
      </c>
      <c r="G543">
        <v>-334.3229</v>
      </c>
      <c r="H543" s="1">
        <v>-3.184271E-6</v>
      </c>
      <c r="I543">
        <v>365.2953</v>
      </c>
      <c r="J543">
        <v>-376.57010000000002</v>
      </c>
      <c r="K543">
        <v>1.12066</v>
      </c>
      <c r="L543">
        <v>367.47030000000001</v>
      </c>
      <c r="M543">
        <v>0.99994039999999995</v>
      </c>
      <c r="N543">
        <v>-1.091546E-2</v>
      </c>
      <c r="O543">
        <v>-4.1061949999999999E-4</v>
      </c>
      <c r="P543">
        <v>0.99541190000000002</v>
      </c>
      <c r="Q543">
        <v>-9.4556470000000004E-2</v>
      </c>
      <c r="R543">
        <v>-1.4639009999999999E-2</v>
      </c>
      <c r="S543">
        <v>3.0039669999999998</v>
      </c>
      <c r="T543">
        <v>-7.9186199999999998E-2</v>
      </c>
      <c r="U543">
        <v>-0.1536865</v>
      </c>
      <c r="V543">
        <v>1.4227139999999999E-2</v>
      </c>
      <c r="W543">
        <v>-8.3685930000000006E-2</v>
      </c>
      <c r="X543">
        <v>0.99639060000000002</v>
      </c>
      <c r="Y543">
        <v>5.0659460000000003E-2</v>
      </c>
      <c r="Z543">
        <v>-9.3755939999999995E-4</v>
      </c>
      <c r="AA543">
        <v>0.99871549999999998</v>
      </c>
      <c r="AB543">
        <v>24</v>
      </c>
      <c r="AC543">
        <v>42.247199999999999</v>
      </c>
      <c r="AD543">
        <v>-1.120663184271</v>
      </c>
      <c r="AE543">
        <v>-2.17500000000001</v>
      </c>
      <c r="AF543">
        <v>2.1561381121205101</v>
      </c>
      <c r="AG543">
        <v>-1.120663184271</v>
      </c>
      <c r="AH543">
        <v>42.218461257540703</v>
      </c>
      <c r="AI543">
        <v>91.518546150960105</v>
      </c>
      <c r="AJ543">
        <v>87.076388562731097</v>
      </c>
      <c r="AK543">
        <v>42.288335134946898</v>
      </c>
      <c r="AL543">
        <v>94.800465024941701</v>
      </c>
      <c r="AM543">
        <v>89.181947636592099</v>
      </c>
      <c r="AN543">
        <v>0.99999998708045201</v>
      </c>
    </row>
    <row r="544" spans="1:40" x14ac:dyDescent="0.25">
      <c r="A544" t="str">
        <f>"20190303154426404"</f>
        <v>20190303154426404</v>
      </c>
      <c r="B544" t="str">
        <f>"1551599066400966"</f>
        <v>1551599066400966</v>
      </c>
      <c r="C544" t="s">
        <v>40</v>
      </c>
      <c r="D544">
        <v>4.8461360000000004</v>
      </c>
      <c r="E544">
        <v>0.5138374</v>
      </c>
      <c r="F544" t="s">
        <v>41</v>
      </c>
      <c r="G544">
        <v>-335.03649999999999</v>
      </c>
      <c r="H544" s="1">
        <v>-2.86656E-6</v>
      </c>
      <c r="I544">
        <v>365.3605</v>
      </c>
      <c r="J544">
        <v>-376.33960000000002</v>
      </c>
      <c r="K544">
        <v>1.120644</v>
      </c>
      <c r="L544">
        <v>367.47019999999998</v>
      </c>
      <c r="M544">
        <v>0.99994179999999999</v>
      </c>
      <c r="N544">
        <v>-1.078259E-2</v>
      </c>
      <c r="O544">
        <v>-4.1025410000000001E-4</v>
      </c>
      <c r="P544">
        <v>0.99539259999999996</v>
      </c>
      <c r="Q544">
        <v>-9.4755870000000006E-2</v>
      </c>
      <c r="R544">
        <v>-1.466483E-2</v>
      </c>
      <c r="S544">
        <v>3.003876</v>
      </c>
      <c r="T544">
        <v>-8.1050629999999999E-2</v>
      </c>
      <c r="U544">
        <v>-0.1525879</v>
      </c>
      <c r="V544">
        <v>1.4253149999999999E-2</v>
      </c>
      <c r="W544">
        <v>-8.4017939999999999E-2</v>
      </c>
      <c r="X544">
        <v>0.99636230000000003</v>
      </c>
      <c r="Y544">
        <v>5.0296319999999999E-2</v>
      </c>
      <c r="Z544">
        <v>-9.4276169999999999E-4</v>
      </c>
      <c r="AA544">
        <v>0.99873389999999995</v>
      </c>
      <c r="AB544">
        <v>24</v>
      </c>
      <c r="AC544">
        <v>41.303100000000001</v>
      </c>
      <c r="AD544">
        <v>-1.12064686656</v>
      </c>
      <c r="AE544">
        <v>-2.1096999999999699</v>
      </c>
      <c r="AF544">
        <v>2.0912186058917399</v>
      </c>
      <c r="AG544">
        <v>-1.12064686656</v>
      </c>
      <c r="AH544">
        <v>41.2736571342895</v>
      </c>
      <c r="AI544">
        <v>91.553299881065499</v>
      </c>
      <c r="AJ544">
        <v>87.099466452889999</v>
      </c>
      <c r="AK544">
        <v>41.341792630412698</v>
      </c>
      <c r="AL544">
        <v>94.819554966793305</v>
      </c>
      <c r="AM544">
        <v>89.180429005654304</v>
      </c>
      <c r="AN544">
        <v>0.99999999969402797</v>
      </c>
    </row>
    <row r="545" spans="1:40" x14ac:dyDescent="0.25">
      <c r="A545" t="str">
        <f>"20190303154426427"</f>
        <v>20190303154426427</v>
      </c>
      <c r="B545" t="str">
        <f>"1551599066420485"</f>
        <v>1551599066420485</v>
      </c>
      <c r="C545" t="s">
        <v>40</v>
      </c>
      <c r="D545">
        <v>4.9462849999999996</v>
      </c>
      <c r="E545">
        <v>0.51341059999999905</v>
      </c>
      <c r="F545" t="s">
        <v>41</v>
      </c>
      <c r="G545">
        <v>-335.38420000000002</v>
      </c>
      <c r="H545" s="1">
        <v>-2.711315E-6</v>
      </c>
      <c r="I545">
        <v>365.3947</v>
      </c>
      <c r="J545">
        <v>-376.09530000000001</v>
      </c>
      <c r="K545">
        <v>1.1206290000000001</v>
      </c>
      <c r="L545">
        <v>367.4701</v>
      </c>
      <c r="M545">
        <v>0.99994329999999998</v>
      </c>
      <c r="N545">
        <v>-1.0652770000000001E-2</v>
      </c>
      <c r="O545">
        <v>-4.1027149999999998E-4</v>
      </c>
      <c r="P545">
        <v>0.99538130000000002</v>
      </c>
      <c r="Q545">
        <v>-9.4870140000000006E-2</v>
      </c>
      <c r="R545">
        <v>-1.470374E-2</v>
      </c>
      <c r="S545">
        <v>3.0038149999999999</v>
      </c>
      <c r="T545">
        <v>-8.2192180000000004E-2</v>
      </c>
      <c r="U545">
        <v>-0.15222169999999999</v>
      </c>
      <c r="V545">
        <v>1.429207E-2</v>
      </c>
      <c r="W545">
        <v>-8.4261660000000002E-2</v>
      </c>
      <c r="X545">
        <v>0.99634120000000004</v>
      </c>
      <c r="Y545">
        <v>5.0175419999999998E-2</v>
      </c>
      <c r="Z545">
        <v>-9.4654910000000001E-4</v>
      </c>
      <c r="AA545">
        <v>0.99873999999999996</v>
      </c>
      <c r="AB545">
        <v>24</v>
      </c>
      <c r="AC545">
        <v>40.711099999999902</v>
      </c>
      <c r="AD545">
        <v>-1.1206317113149999</v>
      </c>
      <c r="AE545">
        <v>-2.0754000000000001</v>
      </c>
      <c r="AF545">
        <v>2.0571416094344102</v>
      </c>
      <c r="AG545">
        <v>-1.1206317113149999</v>
      </c>
      <c r="AH545">
        <v>40.681203648011902</v>
      </c>
      <c r="AI545">
        <v>91.575896396092901</v>
      </c>
      <c r="AJ545">
        <v>87.105168669440403</v>
      </c>
      <c r="AK545">
        <v>40.748594789080599</v>
      </c>
      <c r="AL545">
        <v>94.833568598733194</v>
      </c>
      <c r="AM545">
        <v>89.178173970109</v>
      </c>
      <c r="AN545">
        <v>1.0000000387141299</v>
      </c>
    </row>
    <row r="546" spans="1:40" x14ac:dyDescent="0.25">
      <c r="A546" t="str">
        <f>"20190303154426447"</f>
        <v>20190303154426447</v>
      </c>
      <c r="B546" t="str">
        <f>"1551599066440982"</f>
        <v>1551599066440982</v>
      </c>
      <c r="C546" t="s">
        <v>40</v>
      </c>
      <c r="D546">
        <v>4.8699949999999896</v>
      </c>
      <c r="E546">
        <v>0.51349359999999999</v>
      </c>
      <c r="F546" t="s">
        <v>41</v>
      </c>
      <c r="G546">
        <v>-338.44709999999998</v>
      </c>
      <c r="H546" s="1">
        <v>-1.581644E-6</v>
      </c>
      <c r="I546">
        <v>365.60579999999999</v>
      </c>
      <c r="J546">
        <v>-375.86759999999998</v>
      </c>
      <c r="K546">
        <v>1.1206210000000001</v>
      </c>
      <c r="L546">
        <v>367.47</v>
      </c>
      <c r="M546">
        <v>0.99994439999999996</v>
      </c>
      <c r="N546">
        <v>-1.0539929999999999E-2</v>
      </c>
      <c r="O546">
        <v>-4.0979100000000001E-4</v>
      </c>
      <c r="P546">
        <v>0.99534990000000001</v>
      </c>
      <c r="Q546">
        <v>-9.5263630000000002E-2</v>
      </c>
      <c r="R546">
        <v>-1.42691E-2</v>
      </c>
      <c r="S546">
        <v>3.0032350000000001</v>
      </c>
      <c r="T546">
        <v>-8.9393619999999993E-2</v>
      </c>
      <c r="U546">
        <v>-0.14871219999999999</v>
      </c>
      <c r="V546">
        <v>1.385788E-2</v>
      </c>
      <c r="W546">
        <v>-8.4767910000000002E-2</v>
      </c>
      <c r="X546">
        <v>0.99630430000000003</v>
      </c>
      <c r="Y546">
        <v>4.9018140000000002E-2</v>
      </c>
      <c r="Z546">
        <v>-9.796188999999999E-4</v>
      </c>
      <c r="AA546">
        <v>0.99879739999999995</v>
      </c>
      <c r="AB546">
        <v>24</v>
      </c>
      <c r="AC546">
        <v>37.420499999999997</v>
      </c>
      <c r="AD546">
        <v>-1.1206225816440001</v>
      </c>
      <c r="AE546">
        <v>-1.8642000000000301</v>
      </c>
      <c r="AF546">
        <v>1.84721191434925</v>
      </c>
      <c r="AG546">
        <v>-1.1206225816440001</v>
      </c>
      <c r="AH546">
        <v>37.387814142235797</v>
      </c>
      <c r="AI546">
        <v>91.714718460292005</v>
      </c>
      <c r="AJ546">
        <v>87.171499393611796</v>
      </c>
      <c r="AK546">
        <v>37.450188693267997</v>
      </c>
      <c r="AL546">
        <v>94.862679174081293</v>
      </c>
      <c r="AM546">
        <v>89.203108088075396</v>
      </c>
      <c r="AN546">
        <v>0.99999994880117404</v>
      </c>
    </row>
    <row r="547" spans="1:40" x14ac:dyDescent="0.25">
      <c r="A547" t="str">
        <f>"20190303154426470"</f>
        <v>20190303154426470</v>
      </c>
      <c r="B547" t="str">
        <f>"1551599066460504"</f>
        <v>1551599066460504</v>
      </c>
      <c r="C547" t="s">
        <v>40</v>
      </c>
      <c r="D547">
        <v>4.8660129999999997</v>
      </c>
      <c r="E547">
        <v>0.51356999999999997</v>
      </c>
      <c r="F547" t="s">
        <v>41</v>
      </c>
      <c r="G547">
        <v>-339.03410000000002</v>
      </c>
      <c r="H547" s="1">
        <v>-1.370376E-6</v>
      </c>
      <c r="I547">
        <v>365.649</v>
      </c>
      <c r="J547">
        <v>-375.62049999999999</v>
      </c>
      <c r="K547">
        <v>1.120608</v>
      </c>
      <c r="L547">
        <v>367.4699</v>
      </c>
      <c r="M547">
        <v>0.99994559999999999</v>
      </c>
      <c r="N547">
        <v>-1.042686E-2</v>
      </c>
      <c r="O547">
        <v>-4.0967329999999999E-4</v>
      </c>
      <c r="P547">
        <v>0.99538590000000005</v>
      </c>
      <c r="Q547">
        <v>-9.4955159999999997E-2</v>
      </c>
      <c r="R547">
        <v>-1.379619E-2</v>
      </c>
      <c r="S547">
        <v>3.003174</v>
      </c>
      <c r="T547">
        <v>-9.1368439999999995E-2</v>
      </c>
      <c r="U547">
        <v>-0.14846799999999999</v>
      </c>
      <c r="V547">
        <v>1.338522E-2</v>
      </c>
      <c r="W547">
        <v>-8.4571709999999994E-2</v>
      </c>
      <c r="X547">
        <v>0.99632750000000003</v>
      </c>
      <c r="Y547">
        <v>4.893728E-2</v>
      </c>
      <c r="Z547">
        <v>-9.9099489999999991E-4</v>
      </c>
      <c r="AA547">
        <v>0.99880139999999995</v>
      </c>
      <c r="AB547">
        <v>24</v>
      </c>
      <c r="AC547">
        <v>36.586399999999898</v>
      </c>
      <c r="AD547">
        <v>-1.1206093703760001</v>
      </c>
      <c r="AE547">
        <v>-1.82089999999999</v>
      </c>
      <c r="AF547">
        <v>1.80422212537208</v>
      </c>
      <c r="AG547">
        <v>-1.1206093703760001</v>
      </c>
      <c r="AH547">
        <v>36.552935787797601</v>
      </c>
      <c r="AI547">
        <v>91.7538423277595</v>
      </c>
      <c r="AJ547">
        <v>87.1742219283678</v>
      </c>
      <c r="AK547">
        <v>36.6145885890516</v>
      </c>
      <c r="AL547">
        <v>94.851396917809694</v>
      </c>
      <c r="AM547">
        <v>89.230302807796505</v>
      </c>
      <c r="AN547">
        <v>1.0000000127515101</v>
      </c>
    </row>
    <row r="548" spans="1:40" x14ac:dyDescent="0.25">
      <c r="A548" t="str">
        <f>"20190303154426492"</f>
        <v>20190303154426492</v>
      </c>
      <c r="B548" t="str">
        <f>"1551599066481001"</f>
        <v>1551599066481001</v>
      </c>
      <c r="C548" t="s">
        <v>40</v>
      </c>
      <c r="D548">
        <v>4.8673409999999997</v>
      </c>
      <c r="E548">
        <v>0.51366060000000002</v>
      </c>
      <c r="F548" t="s">
        <v>41</v>
      </c>
      <c r="G548">
        <v>-337.88130000000001</v>
      </c>
      <c r="H548" s="1">
        <v>-1.77082E-6</v>
      </c>
      <c r="I548">
        <v>365.61849999999998</v>
      </c>
      <c r="J548">
        <v>-375.37349999999998</v>
      </c>
      <c r="K548">
        <v>1.1206020000000001</v>
      </c>
      <c r="L548">
        <v>367.46980000000002</v>
      </c>
      <c r="M548">
        <v>0.99994669999999997</v>
      </c>
      <c r="N548">
        <v>-1.0324979999999999E-2</v>
      </c>
      <c r="O548">
        <v>-4.0938150000000001E-4</v>
      </c>
      <c r="P548">
        <v>0.99538389999999999</v>
      </c>
      <c r="Q548">
        <v>-9.5044199999999995E-2</v>
      </c>
      <c r="R548">
        <v>-1.3337109999999999E-2</v>
      </c>
      <c r="S548">
        <v>3.0034179999999999</v>
      </c>
      <c r="T548">
        <v>-8.9181899999999995E-2</v>
      </c>
      <c r="U548">
        <v>-0.14733889999999999</v>
      </c>
      <c r="V548">
        <v>1.292629E-2</v>
      </c>
      <c r="W548">
        <v>-8.4762249999999997E-2</v>
      </c>
      <c r="X548">
        <v>0.99631729999999996</v>
      </c>
      <c r="Y548">
        <v>4.8560510000000001E-2</v>
      </c>
      <c r="Z548">
        <v>-9.6337609999999998E-4</v>
      </c>
      <c r="AA548">
        <v>0.99881980000000004</v>
      </c>
      <c r="AB548">
        <v>24</v>
      </c>
      <c r="AC548">
        <v>37.492199999999897</v>
      </c>
      <c r="AD548">
        <v>-1.1206037708200001</v>
      </c>
      <c r="AE548">
        <v>-1.8513000000000299</v>
      </c>
      <c r="AF548">
        <v>1.8343157122337701</v>
      </c>
      <c r="AG548">
        <v>-1.1206037708200001</v>
      </c>
      <c r="AH548">
        <v>37.459571621821098</v>
      </c>
      <c r="AI548">
        <v>91.711443830088797</v>
      </c>
      <c r="AJ548">
        <v>87.196586584277696</v>
      </c>
      <c r="AK548">
        <v>37.521193651503999</v>
      </c>
      <c r="AL548">
        <v>94.862353726441398</v>
      </c>
      <c r="AM548">
        <v>89.256682273273398</v>
      </c>
      <c r="AN548">
        <v>0.99999994513875601</v>
      </c>
    </row>
    <row r="549" spans="1:40" x14ac:dyDescent="0.25">
      <c r="A549" t="str">
        <f>"20190303154426515"</f>
        <v>20190303154426515</v>
      </c>
      <c r="B549" t="str">
        <f>"1551599066510277"</f>
        <v>1551599066510277</v>
      </c>
      <c r="C549" t="s">
        <v>40</v>
      </c>
      <c r="D549">
        <v>4.8802089999999998</v>
      </c>
      <c r="E549">
        <v>0.5138528</v>
      </c>
      <c r="F549" t="s">
        <v>41</v>
      </c>
      <c r="G549">
        <v>-337.73660000000001</v>
      </c>
      <c r="H549" s="1">
        <v>-1.8175420000000001E-6</v>
      </c>
      <c r="I549">
        <v>365.62799999999999</v>
      </c>
      <c r="J549">
        <v>-375.12869999999998</v>
      </c>
      <c r="K549">
        <v>1.1205959999999999</v>
      </c>
      <c r="L549">
        <v>367.46969999999999</v>
      </c>
      <c r="M549">
        <v>0.99994749999999999</v>
      </c>
      <c r="N549">
        <v>-1.023583E-2</v>
      </c>
      <c r="O549">
        <v>-4.0904089999999998E-4</v>
      </c>
      <c r="P549">
        <v>0.99542209999999998</v>
      </c>
      <c r="Q549">
        <v>-9.464359E-2</v>
      </c>
      <c r="R549">
        <v>-1.332259E-2</v>
      </c>
      <c r="S549">
        <v>3.0034179999999999</v>
      </c>
      <c r="T549">
        <v>-8.9423660000000002E-2</v>
      </c>
      <c r="U549">
        <v>-0.14697270000000001</v>
      </c>
      <c r="V549">
        <v>1.2912079999999999E-2</v>
      </c>
      <c r="W549">
        <v>-8.4450109999999995E-2</v>
      </c>
      <c r="X549">
        <v>0.99634400000000001</v>
      </c>
      <c r="Y549">
        <v>4.8439349999999999E-2</v>
      </c>
      <c r="Z549">
        <v>-9.6067730000000005E-4</v>
      </c>
      <c r="AA549">
        <v>0.99882570000000004</v>
      </c>
      <c r="AB549">
        <v>25</v>
      </c>
      <c r="AC549">
        <v>37.3920999999999</v>
      </c>
      <c r="AD549">
        <v>-1.1205978175419999</v>
      </c>
      <c r="AE549">
        <v>-1.8416999999999399</v>
      </c>
      <c r="AF549">
        <v>1.82476922976166</v>
      </c>
      <c r="AG549">
        <v>-1.1205978175419999</v>
      </c>
      <c r="AH549">
        <v>37.3593778168445</v>
      </c>
      <c r="AI549">
        <v>91.716032277928903</v>
      </c>
      <c r="AJ549">
        <v>87.203686000267894</v>
      </c>
      <c r="AK549">
        <v>37.420697923372501</v>
      </c>
      <c r="AL549">
        <v>94.844405019278597</v>
      </c>
      <c r="AM549">
        <v>89.257519213644898</v>
      </c>
      <c r="AN549">
        <v>0.99999995461246804</v>
      </c>
    </row>
    <row r="550" spans="1:40" x14ac:dyDescent="0.25">
      <c r="A550" t="str">
        <f>"20190303154426536"</f>
        <v>20190303154426536</v>
      </c>
      <c r="B550" t="str">
        <f>"1551599066530773"</f>
        <v>1551599066530773</v>
      </c>
      <c r="C550" t="s">
        <v>40</v>
      </c>
      <c r="D550">
        <v>4.8842919999999896</v>
      </c>
      <c r="E550">
        <v>0.51393800000000001</v>
      </c>
      <c r="F550" t="s">
        <v>41</v>
      </c>
      <c r="G550">
        <v>-336.55259999999998</v>
      </c>
      <c r="H550" s="1">
        <v>-2.236358E-6</v>
      </c>
      <c r="I550">
        <v>365.56819999999999</v>
      </c>
      <c r="J550">
        <v>-374.8954</v>
      </c>
      <c r="K550">
        <v>1.120592</v>
      </c>
      <c r="L550">
        <v>367.46960000000001</v>
      </c>
      <c r="M550">
        <v>0.99994839999999996</v>
      </c>
      <c r="N550">
        <v>-1.016152E-2</v>
      </c>
      <c r="O550">
        <v>-4.0901819999999999E-4</v>
      </c>
      <c r="P550">
        <v>0.99543539999999997</v>
      </c>
      <c r="Q550">
        <v>-9.4505000000000006E-2</v>
      </c>
      <c r="R550">
        <v>-1.333135E-2</v>
      </c>
      <c r="S550">
        <v>3.003479</v>
      </c>
      <c r="T550">
        <v>-8.7247850000000002E-2</v>
      </c>
      <c r="U550">
        <v>-0.1480408</v>
      </c>
      <c r="V550">
        <v>1.29207E-2</v>
      </c>
      <c r="W550">
        <v>-8.4385399999999999E-2</v>
      </c>
      <c r="X550">
        <v>0.99634940000000005</v>
      </c>
      <c r="Y550">
        <v>4.8793789999999997E-2</v>
      </c>
      <c r="Z550">
        <v>-9.4854300000000004E-4</v>
      </c>
      <c r="AA550">
        <v>0.99880840000000004</v>
      </c>
      <c r="AB550">
        <v>25</v>
      </c>
      <c r="AC550">
        <v>38.342799999999997</v>
      </c>
      <c r="AD550">
        <v>-1.1205942363579999</v>
      </c>
      <c r="AE550">
        <v>-1.90140000000002</v>
      </c>
      <c r="AF550">
        <v>1.8841107830607999</v>
      </c>
      <c r="AG550">
        <v>-1.1205942363579999</v>
      </c>
      <c r="AH550">
        <v>38.310931907849103</v>
      </c>
      <c r="AI550">
        <v>91.6734017834208</v>
      </c>
      <c r="AJ550">
        <v>87.184493160136796</v>
      </c>
      <c r="AK550">
        <v>38.373599108413799</v>
      </c>
      <c r="AL550">
        <v>94.840683986891406</v>
      </c>
      <c r="AM550">
        <v>89.257027621354197</v>
      </c>
      <c r="AN550">
        <v>0.99999998355100495</v>
      </c>
    </row>
    <row r="551" spans="1:40" x14ac:dyDescent="0.25">
      <c r="A551" t="str">
        <f>"20190303154426560"</f>
        <v>20190303154426560</v>
      </c>
      <c r="B551" t="str">
        <f>"1551599066550293"</f>
        <v>1551599066550293</v>
      </c>
      <c r="C551" t="s">
        <v>40</v>
      </c>
      <c r="D551">
        <v>4.9131460000000002</v>
      </c>
      <c r="E551">
        <v>0.51407049999999999</v>
      </c>
      <c r="F551" t="s">
        <v>41</v>
      </c>
      <c r="G551">
        <v>-335.85140000000001</v>
      </c>
      <c r="H551" s="1">
        <v>-2.486276E-6</v>
      </c>
      <c r="I551">
        <v>365.53359999999998</v>
      </c>
      <c r="J551">
        <v>-374.63729999999998</v>
      </c>
      <c r="K551">
        <v>1.120584</v>
      </c>
      <c r="L551">
        <v>367.46949999999998</v>
      </c>
      <c r="M551">
        <v>0.99994899999999998</v>
      </c>
      <c r="N551">
        <v>-1.008704E-2</v>
      </c>
      <c r="O551">
        <v>-4.0863990000000001E-4</v>
      </c>
      <c r="P551">
        <v>0.99543079999999995</v>
      </c>
      <c r="Q551">
        <v>-9.4516559999999999E-2</v>
      </c>
      <c r="R551">
        <v>-1.356394E-2</v>
      </c>
      <c r="S551">
        <v>3.0035400000000001</v>
      </c>
      <c r="T551">
        <v>-8.6203810000000006E-2</v>
      </c>
      <c r="U551">
        <v>-0.148925799999999</v>
      </c>
      <c r="V551">
        <v>1.3154020000000001E-2</v>
      </c>
      <c r="W551">
        <v>-8.4471260000000006E-2</v>
      </c>
      <c r="X551">
        <v>0.99633910000000003</v>
      </c>
      <c r="Y551">
        <v>4.9087220000000001E-2</v>
      </c>
      <c r="Z551">
        <v>-9.4404229999999997E-4</v>
      </c>
      <c r="AA551">
        <v>0.99879410000000002</v>
      </c>
      <c r="AB551">
        <v>25</v>
      </c>
      <c r="AC551">
        <v>38.785899999999899</v>
      </c>
      <c r="AD551">
        <v>-1.120586486276</v>
      </c>
      <c r="AE551">
        <v>-1.9359</v>
      </c>
      <c r="AF551">
        <v>1.9184521660511999</v>
      </c>
      <c r="AG551">
        <v>-1.120586486276</v>
      </c>
      <c r="AH551">
        <v>38.754419025342997</v>
      </c>
      <c r="AI551">
        <v>91.654225124541696</v>
      </c>
      <c r="AJ551">
        <v>87.166012026665598</v>
      </c>
      <c r="AK551">
        <v>38.8180520734686</v>
      </c>
      <c r="AL551">
        <v>94.845620891385906</v>
      </c>
      <c r="AM551">
        <v>89.243604867597696</v>
      </c>
      <c r="AN551">
        <v>1.00000001209847</v>
      </c>
    </row>
    <row r="552" spans="1:40" x14ac:dyDescent="0.25">
      <c r="A552" t="str">
        <f>"20190303154426584"</f>
        <v>20190303154426584</v>
      </c>
      <c r="B552" t="str">
        <f>"1551599066580549"</f>
        <v>1551599066580549</v>
      </c>
      <c r="C552" t="s">
        <v>40</v>
      </c>
      <c r="D552">
        <v>4.9169790000000004</v>
      </c>
      <c r="E552">
        <v>0.51422639999999997</v>
      </c>
      <c r="F552" t="s">
        <v>41</v>
      </c>
      <c r="G552">
        <v>-335.38920000000002</v>
      </c>
      <c r="H552" s="1">
        <v>-2.6901790000000002E-6</v>
      </c>
      <c r="I552">
        <v>365.50189999999998</v>
      </c>
      <c r="J552">
        <v>-374.37599999999998</v>
      </c>
      <c r="K552">
        <v>1.120574</v>
      </c>
      <c r="L552">
        <v>367.46940000000001</v>
      </c>
      <c r="M552">
        <v>0.99994989999999995</v>
      </c>
      <c r="N552">
        <v>-1.001724E-2</v>
      </c>
      <c r="O552">
        <v>-4.0876479999999999E-4</v>
      </c>
      <c r="P552">
        <v>0.99539460000000002</v>
      </c>
      <c r="Q552">
        <v>-9.4767470000000006E-2</v>
      </c>
      <c r="R552">
        <v>-1.4453239999999999E-2</v>
      </c>
      <c r="S552">
        <v>3.003571</v>
      </c>
      <c r="T552">
        <v>-8.5755830000000005E-2</v>
      </c>
      <c r="U552">
        <v>-0.1505737</v>
      </c>
      <c r="V552">
        <v>1.4043079999999999E-2</v>
      </c>
      <c r="W552">
        <v>-8.4792099999999995E-2</v>
      </c>
      <c r="X552">
        <v>0.99629970000000001</v>
      </c>
      <c r="Y552">
        <v>4.963323E-2</v>
      </c>
      <c r="Z552">
        <v>-9.4921329999999996E-4</v>
      </c>
      <c r="AA552">
        <v>0.99876710000000002</v>
      </c>
      <c r="AB552">
        <v>25</v>
      </c>
      <c r="AC552">
        <v>38.986799999999903</v>
      </c>
      <c r="AD552">
        <v>-1.120576690179</v>
      </c>
      <c r="AE552">
        <v>-1.96750000000002</v>
      </c>
      <c r="AF552">
        <v>1.94995578376593</v>
      </c>
      <c r="AG552">
        <v>-1.120576690179</v>
      </c>
      <c r="AH552">
        <v>38.955500503437001</v>
      </c>
      <c r="AI552">
        <v>91.645631453282604</v>
      </c>
      <c r="AJ552">
        <v>87.1343953200969</v>
      </c>
      <c r="AK552">
        <v>39.020366978675298</v>
      </c>
      <c r="AL552">
        <v>94.864069916112001</v>
      </c>
      <c r="AM552">
        <v>89.192455908313605</v>
      </c>
      <c r="AN552">
        <v>1.00000000026919</v>
      </c>
    </row>
    <row r="553" spans="1:40" x14ac:dyDescent="0.25">
      <c r="A553" t="str">
        <f>"20190303154426605"</f>
        <v>20190303154426605</v>
      </c>
      <c r="B553" t="str">
        <f>"1551599066601046"</f>
        <v>1551599066601046</v>
      </c>
      <c r="C553" t="s">
        <v>40</v>
      </c>
      <c r="D553">
        <v>4.89405</v>
      </c>
      <c r="E553">
        <v>0.51428620000000003</v>
      </c>
      <c r="F553" t="s">
        <v>41</v>
      </c>
      <c r="G553">
        <v>-335.46080000000001</v>
      </c>
      <c r="H553" s="1">
        <v>-2.6662049999999999E-6</v>
      </c>
      <c r="I553">
        <v>365.46370000000002</v>
      </c>
      <c r="J553">
        <v>-374.12900000000002</v>
      </c>
      <c r="K553">
        <v>1.120566</v>
      </c>
      <c r="L553">
        <v>367.46929999999998</v>
      </c>
      <c r="M553">
        <v>0.99995040000000002</v>
      </c>
      <c r="N553">
        <v>-9.957769E-3</v>
      </c>
      <c r="O553">
        <v>-4.084669E-4</v>
      </c>
      <c r="P553">
        <v>0.99536380000000002</v>
      </c>
      <c r="Q553">
        <v>-9.5047279999999998E-2</v>
      </c>
      <c r="R553">
        <v>-1.473437E-2</v>
      </c>
      <c r="S553">
        <v>3.003387</v>
      </c>
      <c r="T553">
        <v>-8.6483480000000001E-2</v>
      </c>
      <c r="U553">
        <v>-0.15478520000000001</v>
      </c>
      <c r="V553">
        <v>1.4324440000000001E-2</v>
      </c>
      <c r="W553">
        <v>-8.5131419999999999E-2</v>
      </c>
      <c r="X553">
        <v>0.99626680000000001</v>
      </c>
      <c r="Y553">
        <v>5.1032269999999998E-2</v>
      </c>
      <c r="Z553">
        <v>-9.807479E-4</v>
      </c>
      <c r="AA553">
        <v>0.99869649999999999</v>
      </c>
      <c r="AB553">
        <v>25</v>
      </c>
      <c r="AC553">
        <v>38.668199999999999</v>
      </c>
      <c r="AD553">
        <v>-1.1205686662049901</v>
      </c>
      <c r="AE553">
        <v>-2.0055999999999501</v>
      </c>
      <c r="AF553">
        <v>1.98813923719525</v>
      </c>
      <c r="AG553">
        <v>-1.1205686662049901</v>
      </c>
      <c r="AH553">
        <v>38.636656534833897</v>
      </c>
      <c r="AI553">
        <v>91.659074736438896</v>
      </c>
      <c r="AJ553">
        <v>87.054310177697602</v>
      </c>
      <c r="AK553">
        <v>38.703999792694297</v>
      </c>
      <c r="AL553">
        <v>94.883581865088502</v>
      </c>
      <c r="AM553">
        <v>89.176251375296104</v>
      </c>
      <c r="AN553">
        <v>1.0000000425173801</v>
      </c>
    </row>
    <row r="554" spans="1:40" x14ac:dyDescent="0.25">
      <c r="A554" t="str">
        <f>"20190303154426626"</f>
        <v>20190303154426626</v>
      </c>
      <c r="B554" t="str">
        <f>"1551599066620565"</f>
        <v>1551599066620565</v>
      </c>
      <c r="C554" t="s">
        <v>40</v>
      </c>
      <c r="D554">
        <v>5.0231349999999999</v>
      </c>
      <c r="E554">
        <v>0.49896210000000002</v>
      </c>
      <c r="F554" t="s">
        <v>41</v>
      </c>
      <c r="G554">
        <v>-335.60239999999999</v>
      </c>
      <c r="H554" s="1">
        <v>-2.604816E-6</v>
      </c>
      <c r="I554">
        <v>365.4676</v>
      </c>
      <c r="J554">
        <v>-373.90370000000001</v>
      </c>
      <c r="K554">
        <v>1.1205529999999999</v>
      </c>
      <c r="L554">
        <v>367.4692</v>
      </c>
      <c r="M554">
        <v>0.99995080000000003</v>
      </c>
      <c r="N554">
        <v>-9.9093629999999992E-3</v>
      </c>
      <c r="O554">
        <v>-4.0822569999999998E-4</v>
      </c>
      <c r="P554">
        <v>0.9953938</v>
      </c>
      <c r="Q554">
        <v>-9.4731300000000004E-2</v>
      </c>
      <c r="R554">
        <v>-1.475042E-2</v>
      </c>
      <c r="S554">
        <v>3.0033259999999999</v>
      </c>
      <c r="T554">
        <v>-8.7353230000000004E-2</v>
      </c>
      <c r="U554">
        <v>-0.15603639999999999</v>
      </c>
      <c r="V554">
        <v>1.434057E-2</v>
      </c>
      <c r="W554">
        <v>-8.4863419999999995E-2</v>
      </c>
      <c r="X554">
        <v>0.99628939999999999</v>
      </c>
      <c r="Y554">
        <v>5.1447809999999997E-2</v>
      </c>
      <c r="Z554">
        <v>-9.9486720000000004E-4</v>
      </c>
      <c r="AA554">
        <v>0.99867519999999999</v>
      </c>
      <c r="AB554">
        <v>25</v>
      </c>
      <c r="AC554">
        <v>38.301299999999998</v>
      </c>
      <c r="AD554">
        <v>-1.1205556048159999</v>
      </c>
      <c r="AE554">
        <v>-2.0015999999999901</v>
      </c>
      <c r="AF554">
        <v>1.9842697139352901</v>
      </c>
      <c r="AG554">
        <v>-1.1205556048159999</v>
      </c>
      <c r="AH554">
        <v>38.269447082913501</v>
      </c>
      <c r="AI554">
        <v>91.674931771656802</v>
      </c>
      <c r="AJ554">
        <v>87.031873457248807</v>
      </c>
      <c r="AK554">
        <v>38.337234527193502</v>
      </c>
      <c r="AL554">
        <v>94.868170984212</v>
      </c>
      <c r="AM554">
        <v>89.175342627750695</v>
      </c>
      <c r="AN554">
        <v>1.00000001027719</v>
      </c>
    </row>
    <row r="555" spans="1:40" x14ac:dyDescent="0.25">
      <c r="A555" t="str">
        <f>"20190303154426649"</f>
        <v>20190303154426649</v>
      </c>
      <c r="B555" t="str">
        <f>"1551599066640261"</f>
        <v>1551599066640261</v>
      </c>
      <c r="C555" t="s">
        <v>40</v>
      </c>
      <c r="D555">
        <v>4.9488240000000001</v>
      </c>
      <c r="E555">
        <v>0.488373</v>
      </c>
      <c r="F555" t="s">
        <v>41</v>
      </c>
      <c r="G555">
        <v>-350.46280000000002</v>
      </c>
      <c r="H555" s="1">
        <v>-4.5023689999999997E-6</v>
      </c>
      <c r="I555">
        <v>367.19990000000001</v>
      </c>
      <c r="J555">
        <v>-373.65570000000002</v>
      </c>
      <c r="K555">
        <v>1.120549</v>
      </c>
      <c r="L555">
        <v>367.46910000000003</v>
      </c>
      <c r="M555">
        <v>0.99995120000000004</v>
      </c>
      <c r="N555">
        <v>-9.8629440000000002E-3</v>
      </c>
      <c r="O555">
        <v>-4.0787640000000002E-4</v>
      </c>
      <c r="P555">
        <v>0.99533320000000003</v>
      </c>
      <c r="Q555">
        <v>-9.5331559999999996E-2</v>
      </c>
      <c r="R555">
        <v>-1.4953879999999999E-2</v>
      </c>
      <c r="S555">
        <v>2.999695</v>
      </c>
      <c r="T555">
        <v>-0.14339579999999999</v>
      </c>
      <c r="U555">
        <v>-3.4454350000000002E-2</v>
      </c>
      <c r="V555">
        <v>1.4544690000000001E-2</v>
      </c>
      <c r="W555">
        <v>-8.5510530000000001E-2</v>
      </c>
      <c r="X555">
        <v>0.99623110000000004</v>
      </c>
      <c r="Y555">
        <v>1.106238E-2</v>
      </c>
      <c r="Z555">
        <v>-3.0337970000000002E-4</v>
      </c>
      <c r="AA555">
        <v>0.99993880000000002</v>
      </c>
      <c r="AB555">
        <v>25</v>
      </c>
      <c r="AC555">
        <v>23.192900000000002</v>
      </c>
      <c r="AD555">
        <v>-1.1205535023690001</v>
      </c>
      <c r="AE555">
        <v>-0.26920000000001199</v>
      </c>
      <c r="AF555">
        <v>0.25913486534756902</v>
      </c>
      <c r="AG555">
        <v>-1.1205535023690001</v>
      </c>
      <c r="AH555">
        <v>23.139001977041001</v>
      </c>
      <c r="AI555">
        <v>92.772325767549006</v>
      </c>
      <c r="AJ555">
        <v>89.358368461215207</v>
      </c>
      <c r="AK555">
        <v>23.1675679242258</v>
      </c>
      <c r="AL555">
        <v>94.905382964691299</v>
      </c>
      <c r="AM555">
        <v>89.163557382457796</v>
      </c>
      <c r="AN555">
        <v>1.00000000167764</v>
      </c>
    </row>
    <row r="556" spans="1:40" x14ac:dyDescent="0.25">
      <c r="A556" t="str">
        <f>"20190303154426670"</f>
        <v>20190303154426670</v>
      </c>
      <c r="B556" t="str">
        <f>"1551599066660761"</f>
        <v>1551599066660761</v>
      </c>
      <c r="C556" t="s">
        <v>40</v>
      </c>
      <c r="D556">
        <v>4.9437860000000002</v>
      </c>
      <c r="E556">
        <v>0.48471740000000002</v>
      </c>
      <c r="F556" t="s">
        <v>41</v>
      </c>
      <c r="G556">
        <v>-353.92250000000001</v>
      </c>
      <c r="H556" s="1">
        <v>-2.9128720000000002E-6</v>
      </c>
      <c r="I556">
        <v>367.79349999999999</v>
      </c>
      <c r="J556">
        <v>-373.4049</v>
      </c>
      <c r="K556">
        <v>1.1205430000000001</v>
      </c>
      <c r="L556">
        <v>367.46899999999999</v>
      </c>
      <c r="M556">
        <v>0.99995160000000005</v>
      </c>
      <c r="N556">
        <v>-9.8225829999999993E-3</v>
      </c>
      <c r="O556">
        <v>-4.076773E-4</v>
      </c>
      <c r="P556">
        <v>0.9953052</v>
      </c>
      <c r="Q556">
        <v>-9.5670610000000003E-2</v>
      </c>
      <c r="R556">
        <v>-1.464156E-2</v>
      </c>
      <c r="S556">
        <v>2.9984739999999999</v>
      </c>
      <c r="T556">
        <v>-0.17026839999999999</v>
      </c>
      <c r="U556">
        <v>4.9285889999999999E-2</v>
      </c>
      <c r="V556">
        <v>1.423249E-2</v>
      </c>
      <c r="W556">
        <v>-8.5890040000000001E-2</v>
      </c>
      <c r="X556">
        <v>0.9962029</v>
      </c>
      <c r="Y556">
        <v>-1.6810200000000001E-2</v>
      </c>
      <c r="Z556">
        <v>5.786408E-4</v>
      </c>
      <c r="AA556">
        <v>0.99985860000000004</v>
      </c>
      <c r="AB556">
        <v>25</v>
      </c>
      <c r="AC556">
        <v>19.482399999999899</v>
      </c>
      <c r="AD556">
        <v>-1.1205459128719999</v>
      </c>
      <c r="AE556">
        <v>0.32450000000000001</v>
      </c>
      <c r="AF556">
        <v>-0.33134707446024098</v>
      </c>
      <c r="AG556">
        <v>-1.1205459128719999</v>
      </c>
      <c r="AH556">
        <v>19.418047680904301</v>
      </c>
      <c r="AI556">
        <v>93.302191606665502</v>
      </c>
      <c r="AJ556">
        <v>90.977592954650405</v>
      </c>
      <c r="AK556">
        <v>19.4531742850487</v>
      </c>
      <c r="AL556">
        <v>94.927207882533096</v>
      </c>
      <c r="AM556">
        <v>89.181485885832203</v>
      </c>
      <c r="AN556">
        <v>0.99999994035560402</v>
      </c>
    </row>
    <row r="557" spans="1:40" x14ac:dyDescent="0.25">
      <c r="A557" t="str">
        <f>"20190303154426693"</f>
        <v>20190303154426693</v>
      </c>
      <c r="B557" t="str">
        <f>"1551599066691014"</f>
        <v>1551599066691014</v>
      </c>
      <c r="C557" t="s">
        <v>40</v>
      </c>
      <c r="D557">
        <v>4.9042009999999996</v>
      </c>
      <c r="E557">
        <v>0.48206480000000002</v>
      </c>
      <c r="F557" t="s">
        <v>41</v>
      </c>
      <c r="G557">
        <v>-355.10680000000002</v>
      </c>
      <c r="H557" s="1">
        <v>-2.3770080000000001E-6</v>
      </c>
      <c r="I557">
        <v>367.95030000000003</v>
      </c>
      <c r="J557">
        <v>-373.14830000000001</v>
      </c>
      <c r="K557">
        <v>1.12053799999999</v>
      </c>
      <c r="L557">
        <v>367.46890000000002</v>
      </c>
      <c r="M557">
        <v>0.99995210000000001</v>
      </c>
      <c r="N557">
        <v>-9.7876270000000001E-3</v>
      </c>
      <c r="O557">
        <v>-4.075056E-4</v>
      </c>
      <c r="P557">
        <v>0.99524369999999995</v>
      </c>
      <c r="Q557">
        <v>-9.6308350000000001E-2</v>
      </c>
      <c r="R557">
        <v>-1.46649E-2</v>
      </c>
      <c r="S557">
        <v>2.997681</v>
      </c>
      <c r="T557">
        <v>-0.1835715</v>
      </c>
      <c r="U557">
        <v>7.8857419999999998E-2</v>
      </c>
      <c r="V557">
        <v>1.425587E-2</v>
      </c>
      <c r="W557">
        <v>-8.6563169999999995E-2</v>
      </c>
      <c r="X557">
        <v>0.99614440000000004</v>
      </c>
      <c r="Y557">
        <v>-2.6646019999999999E-2</v>
      </c>
      <c r="Z557">
        <v>9.6647819999999996E-4</v>
      </c>
      <c r="AA557">
        <v>0.99964450000000005</v>
      </c>
      <c r="AB557">
        <v>25</v>
      </c>
      <c r="AC557">
        <v>18.0414999999999</v>
      </c>
      <c r="AD557">
        <v>-1.12054037700799</v>
      </c>
      <c r="AE557">
        <v>0.48140000000000699</v>
      </c>
      <c r="AF557">
        <v>-0.48687552135918799</v>
      </c>
      <c r="AG557">
        <v>-1.12054037700799</v>
      </c>
      <c r="AH557">
        <v>17.972023954896802</v>
      </c>
      <c r="AI557">
        <v>93.566419634598006</v>
      </c>
      <c r="AJ557">
        <v>91.551805809224902</v>
      </c>
      <c r="AK557">
        <v>18.0135033667854</v>
      </c>
      <c r="AL557">
        <v>94.965919082605893</v>
      </c>
      <c r="AM557">
        <v>89.180093338689304</v>
      </c>
      <c r="AN557">
        <v>1.0000000389406301</v>
      </c>
    </row>
    <row r="558" spans="1:40" x14ac:dyDescent="0.25">
      <c r="A558" t="str">
        <f>"20190303154426715"</f>
        <v>20190303154426715</v>
      </c>
      <c r="B558" t="str">
        <f>"1551599066710533"</f>
        <v>1551599066710533</v>
      </c>
      <c r="C558" t="s">
        <v>40</v>
      </c>
      <c r="D558">
        <v>4.9109210000000001</v>
      </c>
      <c r="E558">
        <v>0.48102499999999998</v>
      </c>
      <c r="F558" t="s">
        <v>41</v>
      </c>
      <c r="G558">
        <v>-355.6628</v>
      </c>
      <c r="H558" s="1">
        <v>-2.1204999999999999E-6</v>
      </c>
      <c r="I558">
        <v>368.05180000000001</v>
      </c>
      <c r="J558">
        <v>-372.9033</v>
      </c>
      <c r="K558">
        <v>1.120533</v>
      </c>
      <c r="L558">
        <v>367.46879999999999</v>
      </c>
      <c r="M558">
        <v>0.99995239999999996</v>
      </c>
      <c r="N558">
        <v>-9.7595389999999994E-3</v>
      </c>
      <c r="O558">
        <v>-4.0772330000000002E-4</v>
      </c>
      <c r="P558">
        <v>0.9952375</v>
      </c>
      <c r="Q558">
        <v>-9.6364660000000005E-2</v>
      </c>
      <c r="R558">
        <v>-1.471778E-2</v>
      </c>
      <c r="S558">
        <v>2.997223</v>
      </c>
      <c r="T558">
        <v>-0.19207299999999999</v>
      </c>
      <c r="U558">
        <v>9.9914550000000005E-2</v>
      </c>
      <c r="V558">
        <v>1.4308660000000001E-2</v>
      </c>
      <c r="W558">
        <v>-8.6647520000000006E-2</v>
      </c>
      <c r="X558">
        <v>0.99613620000000003</v>
      </c>
      <c r="Y558">
        <v>-3.3644649999999998E-2</v>
      </c>
      <c r="Z558">
        <v>1.2631739999999999E-3</v>
      </c>
      <c r="AA558">
        <v>0.99943300000000002</v>
      </c>
      <c r="AB558">
        <v>25</v>
      </c>
      <c r="AC558">
        <v>17.240499999999901</v>
      </c>
      <c r="AD558">
        <v>-1.1205351205</v>
      </c>
      <c r="AE558">
        <v>0.58300000000002605</v>
      </c>
      <c r="AF558">
        <v>-0.58755050454328805</v>
      </c>
      <c r="AG558">
        <v>-1.1205351205</v>
      </c>
      <c r="AH558">
        <v>17.1678222430975</v>
      </c>
      <c r="AI558">
        <v>93.732190879294095</v>
      </c>
      <c r="AJ558">
        <v>91.960122230327002</v>
      </c>
      <c r="AK558">
        <v>17.214381636360201</v>
      </c>
      <c r="AL558">
        <v>94.970770752880597</v>
      </c>
      <c r="AM558">
        <v>89.1770508382033</v>
      </c>
      <c r="AN558">
        <v>0.99999992971178997</v>
      </c>
    </row>
    <row r="559" spans="1:40" x14ac:dyDescent="0.25">
      <c r="A559" t="str">
        <f>"20190303154426737"</f>
        <v>20190303154426737</v>
      </c>
      <c r="B559" t="str">
        <f>"1551599066731029"</f>
        <v>1551599066731029</v>
      </c>
      <c r="C559" t="s">
        <v>40</v>
      </c>
      <c r="D559">
        <v>4.8636400000000002</v>
      </c>
      <c r="E559">
        <v>0.4802053</v>
      </c>
      <c r="F559" t="s">
        <v>41</v>
      </c>
      <c r="G559">
        <v>-355.75940000000003</v>
      </c>
      <c r="H559" s="1">
        <v>-2.0729239999999999E-6</v>
      </c>
      <c r="I559">
        <v>368.08620000000002</v>
      </c>
      <c r="J559">
        <v>-372.65190000000001</v>
      </c>
      <c r="K559">
        <v>1.120528</v>
      </c>
      <c r="L559">
        <v>367.46870000000001</v>
      </c>
      <c r="M559">
        <v>0.99995259999999997</v>
      </c>
      <c r="N559">
        <v>-9.7354429999999999E-3</v>
      </c>
      <c r="O559">
        <v>-4.0713050000000002E-4</v>
      </c>
      <c r="P559">
        <v>0.9952223</v>
      </c>
      <c r="Q559">
        <v>-9.6504519999999996E-2</v>
      </c>
      <c r="R559">
        <v>-1.481943E-2</v>
      </c>
      <c r="S559">
        <v>2.9969480000000002</v>
      </c>
      <c r="T559">
        <v>-0.195881</v>
      </c>
      <c r="U559">
        <v>0.1079407</v>
      </c>
      <c r="V559">
        <v>1.441101E-2</v>
      </c>
      <c r="W559">
        <v>-8.6811509999999995E-2</v>
      </c>
      <c r="X559">
        <v>0.99612049999999996</v>
      </c>
      <c r="Y559">
        <v>-3.6310839999999997E-2</v>
      </c>
      <c r="Z559">
        <v>1.384637E-3</v>
      </c>
      <c r="AA559">
        <v>0.99933959999999999</v>
      </c>
      <c r="AB559">
        <v>25</v>
      </c>
      <c r="AC559">
        <v>16.892499999999899</v>
      </c>
      <c r="AD559">
        <v>-1.120530072924</v>
      </c>
      <c r="AE559">
        <v>0.61750000000000604</v>
      </c>
      <c r="AF559">
        <v>-0.62164609260152803</v>
      </c>
      <c r="AG559">
        <v>-1.120530072924</v>
      </c>
      <c r="AH559">
        <v>16.818344115522901</v>
      </c>
      <c r="AI559">
        <v>93.809131350579307</v>
      </c>
      <c r="AJ559">
        <v>92.116824937385999</v>
      </c>
      <c r="AK559">
        <v>16.867090155000501</v>
      </c>
      <c r="AL559">
        <v>94.9802019611611</v>
      </c>
      <c r="AM559">
        <v>89.171152030641906</v>
      </c>
      <c r="AN559">
        <v>0.99999998299897397</v>
      </c>
    </row>
    <row r="560" spans="1:40" x14ac:dyDescent="0.25">
      <c r="A560" t="str">
        <f>"20190303154426760"</f>
        <v>20190303154426760</v>
      </c>
      <c r="B560" t="str">
        <f>"1551599066750553"</f>
        <v>1551599066750553</v>
      </c>
      <c r="C560" t="s">
        <v>40</v>
      </c>
      <c r="D560">
        <v>4.9116519999999904</v>
      </c>
      <c r="E560">
        <v>0.47978219999999999</v>
      </c>
      <c r="F560" t="s">
        <v>41</v>
      </c>
      <c r="G560">
        <v>-355.99520000000001</v>
      </c>
      <c r="H560" s="1">
        <v>-1.9686929999999999E-6</v>
      </c>
      <c r="I560">
        <v>368.10359999999997</v>
      </c>
      <c r="J560">
        <v>-372.40480000000002</v>
      </c>
      <c r="K560">
        <v>1.12052</v>
      </c>
      <c r="L560">
        <v>367.46859999999998</v>
      </c>
      <c r="M560">
        <v>0.99995270000000003</v>
      </c>
      <c r="N560">
        <v>-9.7159959999999993E-3</v>
      </c>
      <c r="O560">
        <v>-4.0727169999999998E-4</v>
      </c>
      <c r="P560">
        <v>0.99523799999999996</v>
      </c>
      <c r="Q560">
        <v>-9.6306500000000003E-2</v>
      </c>
      <c r="R560">
        <v>-1.504731E-2</v>
      </c>
      <c r="S560">
        <v>2.996521</v>
      </c>
      <c r="T560">
        <v>-0.20158139999999999</v>
      </c>
      <c r="U560">
        <v>0.1142273</v>
      </c>
      <c r="V560">
        <v>1.46386E-2</v>
      </c>
      <c r="W560">
        <v>-8.6632730000000005E-2</v>
      </c>
      <c r="X560">
        <v>0.99613280000000004</v>
      </c>
      <c r="Y560">
        <v>-3.83994E-2</v>
      </c>
      <c r="Z560">
        <v>1.4999360000000001E-3</v>
      </c>
      <c r="AA560">
        <v>0.99926130000000002</v>
      </c>
      <c r="AB560">
        <v>25</v>
      </c>
      <c r="AC560">
        <v>16.409600000000001</v>
      </c>
      <c r="AD560">
        <v>-1.1205219686929999</v>
      </c>
      <c r="AE560">
        <v>0.63499999999999002</v>
      </c>
      <c r="AF560">
        <v>-0.63870971977847102</v>
      </c>
      <c r="AG560">
        <v>-1.1205219686929999</v>
      </c>
      <c r="AH560">
        <v>16.3332953478184</v>
      </c>
      <c r="AI560">
        <v>93.921556551769299</v>
      </c>
      <c r="AJ560">
        <v>92.239397128577295</v>
      </c>
      <c r="AK560">
        <v>16.3841403957464</v>
      </c>
      <c r="AL560">
        <v>94.969919615756694</v>
      </c>
      <c r="AM560">
        <v>89.158074475976903</v>
      </c>
      <c r="AN560">
        <v>1.0000000368765201</v>
      </c>
    </row>
    <row r="561" spans="1:40" x14ac:dyDescent="0.25">
      <c r="A561" t="str">
        <f>"20190303154426785"</f>
        <v>20190303154426785</v>
      </c>
      <c r="B561" t="str">
        <f>"1551599066780806"</f>
        <v>1551599066780806</v>
      </c>
      <c r="C561" t="s">
        <v>40</v>
      </c>
      <c r="D561">
        <v>4.911842</v>
      </c>
      <c r="E561">
        <v>0.47912450000000001</v>
      </c>
      <c r="F561" t="s">
        <v>41</v>
      </c>
      <c r="G561">
        <v>-355.77589999999998</v>
      </c>
      <c r="H561" s="1">
        <v>-2.0603910000000002E-6</v>
      </c>
      <c r="I561">
        <v>368.11700000000002</v>
      </c>
      <c r="J561">
        <v>-372.1311</v>
      </c>
      <c r="K561">
        <v>1.1205130000000001</v>
      </c>
      <c r="L561">
        <v>367.46850000000001</v>
      </c>
      <c r="M561">
        <v>0.99995279999999998</v>
      </c>
      <c r="N561">
        <v>-9.6989090000000003E-3</v>
      </c>
      <c r="O561">
        <v>-4.065955E-4</v>
      </c>
      <c r="P561">
        <v>0.9952548</v>
      </c>
      <c r="Q561">
        <v>-9.6194970000000005E-2</v>
      </c>
      <c r="R561">
        <v>-1.4638689999999999E-2</v>
      </c>
      <c r="S561">
        <v>2.9965519999999999</v>
      </c>
      <c r="T561">
        <v>-0.20191899999999999</v>
      </c>
      <c r="U561">
        <v>0.11685180000000001</v>
      </c>
      <c r="V561">
        <v>1.4230609999999999E-2</v>
      </c>
      <c r="W561">
        <v>-8.6538050000000005E-2</v>
      </c>
      <c r="X561">
        <v>0.99614689999999995</v>
      </c>
      <c r="Y561">
        <v>-3.9269680000000001E-2</v>
      </c>
      <c r="Z561">
        <v>1.535249E-3</v>
      </c>
      <c r="AA561">
        <v>0.99922750000000005</v>
      </c>
      <c r="AB561">
        <v>25</v>
      </c>
      <c r="AC561">
        <v>16.3552</v>
      </c>
      <c r="AD561">
        <v>-1.1205150603909999</v>
      </c>
      <c r="AE561">
        <v>0.648499999999955</v>
      </c>
      <c r="AF561">
        <v>-0.652094221591767</v>
      </c>
      <c r="AG561">
        <v>-1.1205150603909999</v>
      </c>
      <c r="AH561">
        <v>16.278646348067699</v>
      </c>
      <c r="AI561">
        <v>93.934508338017494</v>
      </c>
      <c r="AJ561">
        <v>92.293942662339205</v>
      </c>
      <c r="AK561">
        <v>16.3301900723737</v>
      </c>
      <c r="AL561">
        <v>94.964474608264794</v>
      </c>
      <c r="AM561">
        <v>89.181547988651204</v>
      </c>
      <c r="AN561">
        <v>0.99999999536919204</v>
      </c>
    </row>
    <row r="562" spans="1:40" x14ac:dyDescent="0.25">
      <c r="A562" t="str">
        <f>"20190303154426807"</f>
        <v>20190303154426807</v>
      </c>
      <c r="B562" t="str">
        <f>"1551599066800326"</f>
        <v>1551599066800326</v>
      </c>
      <c r="C562" t="s">
        <v>40</v>
      </c>
      <c r="D562">
        <v>4.9079560000000004</v>
      </c>
      <c r="E562">
        <v>0.47870099999999999</v>
      </c>
      <c r="F562" t="s">
        <v>41</v>
      </c>
      <c r="G562">
        <v>-355.5197</v>
      </c>
      <c r="H562" s="1">
        <v>-2.1640049999999999E-6</v>
      </c>
      <c r="I562">
        <v>368.15260000000001</v>
      </c>
      <c r="J562">
        <v>-371.87299999999999</v>
      </c>
      <c r="K562">
        <v>1.120511</v>
      </c>
      <c r="L562">
        <v>367.46839999999997</v>
      </c>
      <c r="M562">
        <v>0.99995310000000004</v>
      </c>
      <c r="N562">
        <v>-9.6862739999999999E-3</v>
      </c>
      <c r="O562">
        <v>-4.068899E-4</v>
      </c>
      <c r="P562">
        <v>0.99529140000000005</v>
      </c>
      <c r="Q562">
        <v>-9.5908300000000002E-2</v>
      </c>
      <c r="R562">
        <v>-1.402891E-2</v>
      </c>
      <c r="S562">
        <v>2.996613</v>
      </c>
      <c r="T562">
        <v>-0.2021337</v>
      </c>
      <c r="U562">
        <v>0.1234131</v>
      </c>
      <c r="V562">
        <v>1.3620709999999999E-2</v>
      </c>
      <c r="W562">
        <v>-8.6263599999999996E-2</v>
      </c>
      <c r="X562">
        <v>0.99617920000000004</v>
      </c>
      <c r="Y562">
        <v>-4.1447619999999998E-2</v>
      </c>
      <c r="Z562">
        <v>1.6202829999999999E-3</v>
      </c>
      <c r="AA562">
        <v>0.99913940000000001</v>
      </c>
      <c r="AB562">
        <v>25</v>
      </c>
      <c r="AC562">
        <v>16.353300000000001</v>
      </c>
      <c r="AD562">
        <v>-1.1205131640049999</v>
      </c>
      <c r="AE562">
        <v>0.684200000000032</v>
      </c>
      <c r="AF562">
        <v>-0.68763155136129595</v>
      </c>
      <c r="AG562">
        <v>-1.1205131640049999</v>
      </c>
      <c r="AH562">
        <v>16.276736688238199</v>
      </c>
      <c r="AI562">
        <v>93.934609277930093</v>
      </c>
      <c r="AJ562">
        <v>92.419094984695803</v>
      </c>
      <c r="AK562">
        <v>16.3297441535186</v>
      </c>
      <c r="AL562">
        <v>94.948690905391601</v>
      </c>
      <c r="AM562">
        <v>89.216646392507698</v>
      </c>
      <c r="AN562">
        <v>0.99999996546925096</v>
      </c>
    </row>
    <row r="563" spans="1:40" x14ac:dyDescent="0.25">
      <c r="A563" t="str">
        <f>"20190303154426828"</f>
        <v>20190303154426828</v>
      </c>
      <c r="B563" t="str">
        <f>"1551599066820822"</f>
        <v>1551599066820822</v>
      </c>
      <c r="C563" t="s">
        <v>40</v>
      </c>
      <c r="D563">
        <v>4.898695</v>
      </c>
      <c r="E563">
        <v>0.4783539</v>
      </c>
      <c r="F563" t="s">
        <v>41</v>
      </c>
      <c r="G563">
        <v>-355.238</v>
      </c>
      <c r="H563" s="1">
        <v>-2.2797419999999998E-6</v>
      </c>
      <c r="I563">
        <v>368.1814</v>
      </c>
      <c r="J563">
        <v>-371.63940000000002</v>
      </c>
      <c r="K563">
        <v>1.1205069999999999</v>
      </c>
      <c r="L563">
        <v>367.4683</v>
      </c>
      <c r="M563">
        <v>0.99995319999999999</v>
      </c>
      <c r="N563">
        <v>-9.6772969999999996E-3</v>
      </c>
      <c r="O563">
        <v>-4.0660860000000002E-4</v>
      </c>
      <c r="P563">
        <v>0.99532489999999996</v>
      </c>
      <c r="Q563">
        <v>-9.5645980000000005E-2</v>
      </c>
      <c r="R563">
        <v>-1.3442290000000001E-2</v>
      </c>
      <c r="S563">
        <v>2.9965820000000001</v>
      </c>
      <c r="T563">
        <v>-0.20184530000000001</v>
      </c>
      <c r="U563">
        <v>0.12844849999999999</v>
      </c>
      <c r="V563">
        <v>1.303413E-2</v>
      </c>
      <c r="W563">
        <v>-8.6009899999999903E-2</v>
      </c>
      <c r="X563">
        <v>0.99620900000000001</v>
      </c>
      <c r="Y563">
        <v>-4.3119659999999997E-2</v>
      </c>
      <c r="Z563">
        <v>1.6823579999999999E-3</v>
      </c>
      <c r="AA563">
        <v>0.99906850000000003</v>
      </c>
      <c r="AB563">
        <v>25</v>
      </c>
      <c r="AC563">
        <v>16.401399999999899</v>
      </c>
      <c r="AD563">
        <v>-1.120509279742</v>
      </c>
      <c r="AE563">
        <v>0.71309999999999696</v>
      </c>
      <c r="AF563">
        <v>-0.71643168448793704</v>
      </c>
      <c r="AG563">
        <v>-1.120509279742</v>
      </c>
      <c r="AH563">
        <v>16.325057907603501</v>
      </c>
      <c r="AI563">
        <v>93.922710387005296</v>
      </c>
      <c r="AJ563">
        <v>92.512835807949998</v>
      </c>
      <c r="AK563">
        <v>16.37914317329</v>
      </c>
      <c r="AL563">
        <v>94.934100659050799</v>
      </c>
      <c r="AM563">
        <v>89.250400237740706</v>
      </c>
      <c r="AN563">
        <v>0.99999998156193304</v>
      </c>
    </row>
    <row r="564" spans="1:40" x14ac:dyDescent="0.25">
      <c r="A564" t="str">
        <f>"20190303154426851"</f>
        <v>20190303154426851</v>
      </c>
      <c r="B564" t="str">
        <f>"1551599066840341"</f>
        <v>1551599066840341</v>
      </c>
      <c r="C564" t="s">
        <v>40</v>
      </c>
      <c r="D564">
        <v>4.9207960000000002</v>
      </c>
      <c r="E564">
        <v>0.47816039999999999</v>
      </c>
      <c r="F564" t="s">
        <v>41</v>
      </c>
      <c r="G564">
        <v>-354.97489999999999</v>
      </c>
      <c r="H564" s="1">
        <v>-2.3876799999999999E-6</v>
      </c>
      <c r="I564">
        <v>368.209</v>
      </c>
      <c r="J564">
        <v>-371.387</v>
      </c>
      <c r="K564">
        <v>1.1205020000000001</v>
      </c>
      <c r="L564">
        <v>367.46820000000002</v>
      </c>
      <c r="M564">
        <v>0.99995319999999999</v>
      </c>
      <c r="N564">
        <v>-9.6699449999999992E-3</v>
      </c>
      <c r="O564">
        <v>-4.0621599999999999E-4</v>
      </c>
      <c r="P564">
        <v>0.99533660000000002</v>
      </c>
      <c r="Q564">
        <v>-9.556837E-2</v>
      </c>
      <c r="R564">
        <v>-1.311004E-2</v>
      </c>
      <c r="S564">
        <v>2.996521</v>
      </c>
      <c r="T564">
        <v>-0.20148360000000001</v>
      </c>
      <c r="U564">
        <v>0.1332092</v>
      </c>
      <c r="V564">
        <v>1.2702379999999999E-2</v>
      </c>
      <c r="W564">
        <v>-8.5939509999999997E-2</v>
      </c>
      <c r="X564">
        <v>0.99621939999999998</v>
      </c>
      <c r="Y564">
        <v>-4.4700650000000001E-2</v>
      </c>
      <c r="Z564">
        <v>1.74024799999999E-3</v>
      </c>
      <c r="AA564">
        <v>0.99899890000000002</v>
      </c>
      <c r="AB564">
        <v>25</v>
      </c>
      <c r="AC564">
        <v>16.412099999999899</v>
      </c>
      <c r="AD564">
        <v>-1.1205043876799901</v>
      </c>
      <c r="AE564">
        <v>0.74079999999997803</v>
      </c>
      <c r="AF564">
        <v>-0.74400618895231696</v>
      </c>
      <c r="AG564">
        <v>-1.1205043876799901</v>
      </c>
      <c r="AH564">
        <v>16.335807871308301</v>
      </c>
      <c r="AI564">
        <v>93.919830668132903</v>
      </c>
      <c r="AJ564">
        <v>92.607705526214602</v>
      </c>
      <c r="AK564">
        <v>16.391085812120799</v>
      </c>
      <c r="AL564">
        <v>94.930052423640802</v>
      </c>
      <c r="AM564">
        <v>89.269484887837194</v>
      </c>
      <c r="AN564">
        <v>1.0000000213865301</v>
      </c>
    </row>
    <row r="565" spans="1:40" x14ac:dyDescent="0.25">
      <c r="A565" t="str">
        <f>"20190303154426883"</f>
        <v>20190303154426883</v>
      </c>
      <c r="B565" t="str">
        <f>"1551599066880357"</f>
        <v>1551599066880357</v>
      </c>
      <c r="C565" t="s">
        <v>40</v>
      </c>
      <c r="D565">
        <v>4.8735650000000001</v>
      </c>
      <c r="E565">
        <v>0.4777361</v>
      </c>
      <c r="F565" t="s">
        <v>41</v>
      </c>
      <c r="G565">
        <v>-354.68950000000001</v>
      </c>
      <c r="H565" s="1">
        <v>-2.5071370000000001E-6</v>
      </c>
      <c r="I565">
        <v>368.22590000000002</v>
      </c>
      <c r="J565">
        <v>-371.01659999999998</v>
      </c>
      <c r="K565">
        <v>1.1205080000000001</v>
      </c>
      <c r="L565">
        <v>367.46800000000002</v>
      </c>
      <c r="M565">
        <v>0.99995319999999999</v>
      </c>
      <c r="N565">
        <v>-9.6629109999999997E-3</v>
      </c>
      <c r="O565">
        <v>-4.058256E-4</v>
      </c>
      <c r="P565">
        <v>0.99536599999999997</v>
      </c>
      <c r="Q565">
        <v>-9.5207990000000006E-2</v>
      </c>
      <c r="R565">
        <v>-1.3490149999999999E-2</v>
      </c>
      <c r="S565">
        <v>2.9965519999999999</v>
      </c>
      <c r="T565">
        <v>-0.2010863</v>
      </c>
      <c r="U565">
        <v>0.13598629999999901</v>
      </c>
      <c r="V565">
        <v>1.3082979999999999E-2</v>
      </c>
      <c r="W565">
        <v>-8.5585869999999994E-2</v>
      </c>
      <c r="X565">
        <v>0.99624489999999999</v>
      </c>
      <c r="Y565">
        <v>-4.5621830000000002E-2</v>
      </c>
      <c r="Z565">
        <v>1.7723379999999901E-3</v>
      </c>
      <c r="AA565">
        <v>0.99895719999999999</v>
      </c>
      <c r="AB565">
        <v>25</v>
      </c>
      <c r="AC565">
        <v>16.327099999999898</v>
      </c>
      <c r="AD565">
        <v>-1.1205105071370001</v>
      </c>
      <c r="AE565">
        <v>0.75790000000000601</v>
      </c>
      <c r="AF565">
        <v>-0.76094989348248399</v>
      </c>
      <c r="AG565">
        <v>-1.1205105071370001</v>
      </c>
      <c r="AH565">
        <v>16.2504174285204</v>
      </c>
      <c r="AI565">
        <v>93.940152718546898</v>
      </c>
      <c r="AJ565">
        <v>92.681001421496802</v>
      </c>
      <c r="AK565">
        <v>16.306767157783199</v>
      </c>
      <c r="AL565">
        <v>94.909715504477006</v>
      </c>
      <c r="AM565">
        <v>89.247618280753102</v>
      </c>
      <c r="AN565">
        <v>1.0000000031426699</v>
      </c>
    </row>
    <row r="566" spans="1:40" x14ac:dyDescent="0.25">
      <c r="A566" t="str">
        <f>"20190303154426916"</f>
        <v>20190303154426916</v>
      </c>
      <c r="B566" t="str">
        <f>"1551599066910614"</f>
        <v>1551599066910614</v>
      </c>
      <c r="C566" t="s">
        <v>40</v>
      </c>
      <c r="D566">
        <v>4.8552019999999896</v>
      </c>
      <c r="E566">
        <v>0.47743859999999999</v>
      </c>
      <c r="F566" t="s">
        <v>41</v>
      </c>
      <c r="G566">
        <v>-354.32159999999999</v>
      </c>
      <c r="H566" s="1">
        <v>-2.6630569999999998E-6</v>
      </c>
      <c r="I566">
        <v>368.23669999999998</v>
      </c>
      <c r="J566">
        <v>-370.63369999999998</v>
      </c>
      <c r="K566">
        <v>1.120509</v>
      </c>
      <c r="L566">
        <v>367.46789999999999</v>
      </c>
      <c r="M566">
        <v>0.99995330000000004</v>
      </c>
      <c r="N566">
        <v>-9.6595829999999994E-3</v>
      </c>
      <c r="O566">
        <v>-4.0557240000000001E-4</v>
      </c>
      <c r="P566">
        <v>0.99540550000000005</v>
      </c>
      <c r="Q566">
        <v>-9.4761799999999993E-2</v>
      </c>
      <c r="R566">
        <v>-1.372749E-2</v>
      </c>
      <c r="S566">
        <v>2.996613</v>
      </c>
      <c r="T566">
        <v>-0.20112160000000001</v>
      </c>
      <c r="U566">
        <v>0.13797000000000001</v>
      </c>
      <c r="V566">
        <v>1.332037E-2</v>
      </c>
      <c r="W566">
        <v>-8.5142659999999995E-2</v>
      </c>
      <c r="X566">
        <v>0.99627969999999999</v>
      </c>
      <c r="Y566">
        <v>-4.627883E-2</v>
      </c>
      <c r="Z566">
        <v>1.79766E-3</v>
      </c>
      <c r="AA566">
        <v>0.99892689999999995</v>
      </c>
      <c r="AB566">
        <v>25</v>
      </c>
      <c r="AC566">
        <v>16.312099999999901</v>
      </c>
      <c r="AD566">
        <v>-1.120511663057</v>
      </c>
      <c r="AE566">
        <v>0.76879999999999804</v>
      </c>
      <c r="AF566">
        <v>-0.77178232337500996</v>
      </c>
      <c r="AG566">
        <v>-1.120511663057</v>
      </c>
      <c r="AH566">
        <v>16.235348543014599</v>
      </c>
      <c r="AI566">
        <v>93.943670776269997</v>
      </c>
      <c r="AJ566">
        <v>92.721629642007102</v>
      </c>
      <c r="AK566">
        <v>16.292260022933799</v>
      </c>
      <c r="AL566">
        <v>94.884228558094193</v>
      </c>
      <c r="AM566">
        <v>89.233994719693797</v>
      </c>
      <c r="AN566">
        <v>0.99999997272045005</v>
      </c>
    </row>
    <row r="567" spans="1:40" x14ac:dyDescent="0.25">
      <c r="A567" t="str">
        <f>"20190303154426938"</f>
        <v>20190303154426938</v>
      </c>
      <c r="B567" t="str">
        <f>"1551599066931112"</f>
        <v>1551599066931112</v>
      </c>
      <c r="C567" t="s">
        <v>40</v>
      </c>
      <c r="D567">
        <v>4.8640499999999998</v>
      </c>
      <c r="E567">
        <v>0.47729100000000002</v>
      </c>
      <c r="F567" t="s">
        <v>41</v>
      </c>
      <c r="G567">
        <v>-353.82279999999997</v>
      </c>
      <c r="H567" s="1">
        <v>-2.8746439999999999E-6</v>
      </c>
      <c r="I567">
        <v>368.25029999999998</v>
      </c>
      <c r="J567">
        <v>-370.38580000000002</v>
      </c>
      <c r="K567">
        <v>1.120506</v>
      </c>
      <c r="L567">
        <v>367.46780000000001</v>
      </c>
      <c r="M567">
        <v>0.99995339999999999</v>
      </c>
      <c r="N567">
        <v>-9.6588809999999994E-3</v>
      </c>
      <c r="O567">
        <v>-4.0521189999999998E-4</v>
      </c>
      <c r="P567">
        <v>0.99542189999999997</v>
      </c>
      <c r="Q567">
        <v>-9.4475920000000005E-2</v>
      </c>
      <c r="R567">
        <v>-1.449601E-2</v>
      </c>
      <c r="S567">
        <v>2.9967959999999998</v>
      </c>
      <c r="T567">
        <v>-0.19974600000000001</v>
      </c>
      <c r="U567">
        <v>0.139495799999999</v>
      </c>
      <c r="V567">
        <v>1.408922E-2</v>
      </c>
      <c r="W567">
        <v>-8.4857329999999995E-2</v>
      </c>
      <c r="X567">
        <v>0.99629350000000005</v>
      </c>
      <c r="Y567">
        <v>-4.6783470000000001E-2</v>
      </c>
      <c r="Z567">
        <v>1.8059739999999999E-3</v>
      </c>
      <c r="AA567">
        <v>0.9989034</v>
      </c>
      <c r="AB567">
        <v>25</v>
      </c>
      <c r="AC567">
        <v>16.562999999999999</v>
      </c>
      <c r="AD567">
        <v>-1.120508874644</v>
      </c>
      <c r="AE567">
        <v>0.78249999999997</v>
      </c>
      <c r="AF567">
        <v>-0.78562421245200198</v>
      </c>
      <c r="AG567">
        <v>-1.120508874644</v>
      </c>
      <c r="AH567">
        <v>16.487391720487199</v>
      </c>
      <c r="AI567">
        <v>93.883539305073597</v>
      </c>
      <c r="AJ567">
        <v>92.728080409285496</v>
      </c>
      <c r="AK567">
        <v>16.544087502371902</v>
      </c>
      <c r="AL567">
        <v>94.867820813715895</v>
      </c>
      <c r="AM567">
        <v>89.189797950067899</v>
      </c>
      <c r="AN567">
        <v>1.00000000535859</v>
      </c>
    </row>
    <row r="568" spans="1:40" x14ac:dyDescent="0.25">
      <c r="A568" t="str">
        <f>"20190303154426961"</f>
        <v>20190303154426961</v>
      </c>
      <c r="B568" t="str">
        <f>"1551599066950633"</f>
        <v>1551599066950633</v>
      </c>
      <c r="C568" t="s">
        <v>40</v>
      </c>
      <c r="D568">
        <v>4.8468799999999996</v>
      </c>
      <c r="E568">
        <v>0.47708430000000002</v>
      </c>
      <c r="F568" t="s">
        <v>41</v>
      </c>
      <c r="G568">
        <v>-353.44690000000003</v>
      </c>
      <c r="H568" s="1">
        <v>-3.035525E-6</v>
      </c>
      <c r="I568">
        <v>368.25229999999999</v>
      </c>
      <c r="J568">
        <v>-370.13</v>
      </c>
      <c r="K568">
        <v>1.1205000000000001</v>
      </c>
      <c r="L568">
        <v>367.46769999999998</v>
      </c>
      <c r="M568">
        <v>0.99995339999999999</v>
      </c>
      <c r="N568">
        <v>-9.6593070000000007E-3</v>
      </c>
      <c r="O568">
        <v>-4.0497599999999998E-4</v>
      </c>
      <c r="P568">
        <v>0.99538649999999995</v>
      </c>
      <c r="Q568">
        <v>-9.481299E-2</v>
      </c>
      <c r="R568">
        <v>-1.4724589999999999E-2</v>
      </c>
      <c r="S568">
        <v>2.9970400000000001</v>
      </c>
      <c r="T568">
        <v>-0.19825280000000001</v>
      </c>
      <c r="U568">
        <v>0.13882449999999999</v>
      </c>
      <c r="V568">
        <v>1.4317969999999999E-2</v>
      </c>
      <c r="W568">
        <v>-8.5194320000000004E-2</v>
      </c>
      <c r="X568">
        <v>0.99626150000000002</v>
      </c>
      <c r="Y568">
        <v>-4.6558410000000001E-2</v>
      </c>
      <c r="Z568">
        <v>1.7855130000000001E-3</v>
      </c>
      <c r="AA568">
        <v>0.99891390000000002</v>
      </c>
      <c r="AB568">
        <v>25</v>
      </c>
      <c r="AC568">
        <v>16.6830999999999</v>
      </c>
      <c r="AD568">
        <v>-1.1205030355249901</v>
      </c>
      <c r="AE568">
        <v>0.78460000000001096</v>
      </c>
      <c r="AF568">
        <v>-0.78781053676748303</v>
      </c>
      <c r="AG568">
        <v>-1.1205030355249901</v>
      </c>
      <c r="AH568">
        <v>16.608027444202602</v>
      </c>
      <c r="AI568">
        <v>93.855434900618903</v>
      </c>
      <c r="AJ568">
        <v>92.715819743795805</v>
      </c>
      <c r="AK568">
        <v>16.664415623772999</v>
      </c>
      <c r="AL568">
        <v>94.887198988974902</v>
      </c>
      <c r="AM568">
        <v>89.176619011545498</v>
      </c>
      <c r="AN568">
        <v>1.0000000264037101</v>
      </c>
    </row>
    <row r="569" spans="1:40" x14ac:dyDescent="0.25">
      <c r="A569" t="str">
        <f>"20190303154426984"</f>
        <v>20190303154426984</v>
      </c>
      <c r="B569" t="str">
        <f>"1551599066980886"</f>
        <v>1551599066980886</v>
      </c>
      <c r="C569" t="s">
        <v>40</v>
      </c>
      <c r="D569">
        <v>4.8800089999999896</v>
      </c>
      <c r="E569">
        <v>0.47712900000000003</v>
      </c>
      <c r="F569" t="s">
        <v>41</v>
      </c>
      <c r="G569">
        <v>-353.32900000000001</v>
      </c>
      <c r="H569" s="1">
        <v>-3.0865119999999999E-6</v>
      </c>
      <c r="I569">
        <v>368.25020000000001</v>
      </c>
      <c r="J569">
        <v>-369.86540000000002</v>
      </c>
      <c r="K569">
        <v>1.1204970000000001</v>
      </c>
      <c r="L569">
        <v>367.4676</v>
      </c>
      <c r="M569">
        <v>0.99995330000000004</v>
      </c>
      <c r="N569">
        <v>-9.660989E-3</v>
      </c>
      <c r="O569">
        <v>-4.0474599999999999E-4</v>
      </c>
      <c r="P569">
        <v>0.99543769999999998</v>
      </c>
      <c r="Q569">
        <v>-9.4296770000000002E-2</v>
      </c>
      <c r="R569">
        <v>-1.456677E-2</v>
      </c>
      <c r="S569">
        <v>2.9969790000000001</v>
      </c>
      <c r="T569">
        <v>-0.19987489999999999</v>
      </c>
      <c r="U569">
        <v>0.1395874</v>
      </c>
      <c r="V569">
        <v>1.416044E-2</v>
      </c>
      <c r="W569">
        <v>-8.4675959999999995E-2</v>
      </c>
      <c r="X569">
        <v>0.99630790000000002</v>
      </c>
      <c r="Y569">
        <v>-4.6810409999999997E-2</v>
      </c>
      <c r="Z569">
        <v>1.8079459999999999E-3</v>
      </c>
      <c r="AA569">
        <v>0.99890210000000002</v>
      </c>
      <c r="AB569">
        <v>25</v>
      </c>
      <c r="AC569">
        <v>16.5364</v>
      </c>
      <c r="AD569">
        <v>-1.1205000865119901</v>
      </c>
      <c r="AE569">
        <v>0.78260000000000196</v>
      </c>
      <c r="AF569">
        <v>-0.78569394334447495</v>
      </c>
      <c r="AG569">
        <v>-1.1205000865119901</v>
      </c>
      <c r="AH569">
        <v>16.460673803834101</v>
      </c>
      <c r="AI569">
        <v>93.889778016196004</v>
      </c>
      <c r="AJ569">
        <v>92.732743915135998</v>
      </c>
      <c r="AK569">
        <v>16.517464015178302</v>
      </c>
      <c r="AL569">
        <v>94.857391645837396</v>
      </c>
      <c r="AM569">
        <v>89.185714754445698</v>
      </c>
      <c r="AN569">
        <v>0.99999998393266198</v>
      </c>
    </row>
    <row r="570" spans="1:40" x14ac:dyDescent="0.25">
      <c r="A570" t="str">
        <f>"20190303154427008"</f>
        <v>20190303154427008</v>
      </c>
      <c r="B570" t="str">
        <f>"1551599067000406"</f>
        <v>1551599067000406</v>
      </c>
      <c r="C570" t="s">
        <v>40</v>
      </c>
      <c r="D570">
        <v>4.9132829999999998</v>
      </c>
      <c r="E570">
        <v>0.50152209999999997</v>
      </c>
      <c r="F570" t="s">
        <v>41</v>
      </c>
      <c r="G570">
        <v>-352.89789999999999</v>
      </c>
      <c r="H570" s="1">
        <v>-3.2698130000000002E-6</v>
      </c>
      <c r="I570">
        <v>368.25920000000002</v>
      </c>
      <c r="J570">
        <v>-369.6003</v>
      </c>
      <c r="K570">
        <v>1.120498</v>
      </c>
      <c r="L570">
        <v>367.46749999999997</v>
      </c>
      <c r="M570">
        <v>0.99995330000000004</v>
      </c>
      <c r="N570">
        <v>-9.6636050000000005E-3</v>
      </c>
      <c r="O570">
        <v>-4.0440140000000001E-4</v>
      </c>
      <c r="P570">
        <v>0.99546250000000003</v>
      </c>
      <c r="Q570">
        <v>-9.4092880000000004E-2</v>
      </c>
      <c r="R570">
        <v>-1.416805E-2</v>
      </c>
      <c r="S570">
        <v>2.9970400000000001</v>
      </c>
      <c r="T570">
        <v>-0.1979185</v>
      </c>
      <c r="U570">
        <v>0.1398315</v>
      </c>
      <c r="V570">
        <v>1.3762480000000001E-2</v>
      </c>
      <c r="W570">
        <v>-8.4469240000000001E-2</v>
      </c>
      <c r="X570">
        <v>0.99633099999999997</v>
      </c>
      <c r="Y570">
        <v>-4.6892299999999998E-2</v>
      </c>
      <c r="Z570">
        <v>1.7955600000000001E-3</v>
      </c>
      <c r="AA570">
        <v>0.99889830000000002</v>
      </c>
      <c r="AB570">
        <v>26</v>
      </c>
      <c r="AC570">
        <v>16.702400000000001</v>
      </c>
      <c r="AD570">
        <v>-1.1205012698129999</v>
      </c>
      <c r="AE570">
        <v>0.79170000000004803</v>
      </c>
      <c r="AF570">
        <v>-0.79488531158825304</v>
      </c>
      <c r="AG570">
        <v>-1.1205012698129999</v>
      </c>
      <c r="AH570">
        <v>16.627413472421999</v>
      </c>
      <c r="AI570">
        <v>93.850879774739496</v>
      </c>
      <c r="AJ570">
        <v>92.736981686464304</v>
      </c>
      <c r="AK570">
        <v>16.6840715815148</v>
      </c>
      <c r="AL570">
        <v>94.845504992017695</v>
      </c>
      <c r="AM570">
        <v>89.208614532878002</v>
      </c>
      <c r="AN570">
        <v>0.99999995996146296</v>
      </c>
    </row>
    <row r="571" spans="1:40" x14ac:dyDescent="0.25">
      <c r="A571" t="str">
        <f>"20190303154427029"</f>
        <v>20190303154427029</v>
      </c>
      <c r="B571" t="str">
        <f>"1551599067020902"</f>
        <v>1551599067020902</v>
      </c>
      <c r="C571" t="s">
        <v>40</v>
      </c>
      <c r="D571">
        <v>4.8946959999999997</v>
      </c>
      <c r="E571">
        <v>0.50298160000000003</v>
      </c>
      <c r="F571" t="s">
        <v>41</v>
      </c>
      <c r="G571">
        <v>-351.64400000000001</v>
      </c>
      <c r="H571" s="1">
        <v>-4.0049770000000002E-6</v>
      </c>
      <c r="I571">
        <v>367.1474</v>
      </c>
      <c r="J571">
        <v>-369.35669999999999</v>
      </c>
      <c r="K571">
        <v>1.120495</v>
      </c>
      <c r="L571">
        <v>367.4674</v>
      </c>
      <c r="M571">
        <v>0.99995330000000004</v>
      </c>
      <c r="N571">
        <v>-9.6667090000000008E-3</v>
      </c>
      <c r="O571">
        <v>-4.0417820000000001E-4</v>
      </c>
      <c r="P571">
        <v>0.9954923</v>
      </c>
      <c r="Q571">
        <v>-9.3826129999999994E-2</v>
      </c>
      <c r="R571">
        <v>-1.385541E-2</v>
      </c>
      <c r="S571">
        <v>2.9952700000000001</v>
      </c>
      <c r="T571">
        <v>-0.18690760000000001</v>
      </c>
      <c r="U571">
        <v>-5.3375239999999997E-2</v>
      </c>
      <c r="V571">
        <v>1.344968E-2</v>
      </c>
      <c r="W571">
        <v>-8.4199120000000002E-2</v>
      </c>
      <c r="X571">
        <v>0.99635819999999997</v>
      </c>
      <c r="Y571">
        <v>1.7374420000000002E-2</v>
      </c>
      <c r="Z571">
        <v>-6.0430900000000003E-4</v>
      </c>
      <c r="AA571">
        <v>0.99984879999999998</v>
      </c>
      <c r="AB571">
        <v>26</v>
      </c>
      <c r="AC571">
        <v>17.712699999999899</v>
      </c>
      <c r="AD571">
        <v>-1.1204990049770001</v>
      </c>
      <c r="AE571">
        <v>-0.31999999999999301</v>
      </c>
      <c r="AF571">
        <v>0.31159402839864803</v>
      </c>
      <c r="AG571">
        <v>-1.1204990049770001</v>
      </c>
      <c r="AH571">
        <v>17.642250492745301</v>
      </c>
      <c r="AI571">
        <v>93.633537475690005</v>
      </c>
      <c r="AJ571">
        <v>88.988158185971002</v>
      </c>
      <c r="AK571">
        <v>17.680543297858801</v>
      </c>
      <c r="AL571">
        <v>94.829972611785607</v>
      </c>
      <c r="AM571">
        <v>89.226620407789895</v>
      </c>
      <c r="AN571">
        <v>1.0000000242040501</v>
      </c>
    </row>
    <row r="572" spans="1:40" x14ac:dyDescent="0.25">
      <c r="A572" t="str">
        <f>"20190303154427051"</f>
        <v>20190303154427051</v>
      </c>
      <c r="B572" t="str">
        <f>"1551599067040421"</f>
        <v>1551599067040421</v>
      </c>
      <c r="C572" t="s">
        <v>40</v>
      </c>
      <c r="D572">
        <v>4.8325849999999999</v>
      </c>
      <c r="E572">
        <v>0.50451789999999996</v>
      </c>
      <c r="F572" t="s">
        <v>41</v>
      </c>
      <c r="G572">
        <v>-351.98239999999998</v>
      </c>
      <c r="H572" s="1">
        <v>-3.8691269999999996E-6</v>
      </c>
      <c r="I572">
        <v>367.09480000000002</v>
      </c>
      <c r="J572">
        <v>-369.10860000000002</v>
      </c>
      <c r="K572">
        <v>1.1204970000000001</v>
      </c>
      <c r="L572">
        <v>367.46730000000002</v>
      </c>
      <c r="M572">
        <v>0.99995330000000004</v>
      </c>
      <c r="N572">
        <v>-9.6704970000000001E-3</v>
      </c>
      <c r="O572">
        <v>-4.0407760000000002E-4</v>
      </c>
      <c r="P572">
        <v>0.99548599999999998</v>
      </c>
      <c r="Q572">
        <v>-9.3929929999999995E-2</v>
      </c>
      <c r="R572">
        <v>-1.361045E-2</v>
      </c>
      <c r="S572">
        <v>2.9944459999999999</v>
      </c>
      <c r="T572">
        <v>-0.19311619999999999</v>
      </c>
      <c r="U572">
        <v>-6.4208979999999999E-2</v>
      </c>
      <c r="V572">
        <v>1.3204840000000001E-2</v>
      </c>
      <c r="W572">
        <v>-8.4299180000000001E-2</v>
      </c>
      <c r="X572">
        <v>0.99635300000000004</v>
      </c>
      <c r="Y572">
        <v>2.0984249999999999E-2</v>
      </c>
      <c r="Z572">
        <v>-7.5534619999999904E-4</v>
      </c>
      <c r="AA572">
        <v>0.99977950000000004</v>
      </c>
      <c r="AB572">
        <v>26</v>
      </c>
      <c r="AC572">
        <v>17.126200000000001</v>
      </c>
      <c r="AD572">
        <v>-1.12050086912699</v>
      </c>
      <c r="AE572">
        <v>-0.372500000000002</v>
      </c>
      <c r="AF572">
        <v>0.36402184621960998</v>
      </c>
      <c r="AG572">
        <v>-1.12050086912699</v>
      </c>
      <c r="AH572">
        <v>17.053385306192101</v>
      </c>
      <c r="AI572">
        <v>93.758389393969495</v>
      </c>
      <c r="AJ572">
        <v>88.777149047207303</v>
      </c>
      <c r="AK572">
        <v>17.0940335937334</v>
      </c>
      <c r="AL572">
        <v>94.835726151013603</v>
      </c>
      <c r="AM572">
        <v>89.240693500385305</v>
      </c>
      <c r="AN572">
        <v>1.00000001007854</v>
      </c>
    </row>
    <row r="573" spans="1:40" x14ac:dyDescent="0.25">
      <c r="A573" t="str">
        <f>"20190303154427072"</f>
        <v>20190303154427072</v>
      </c>
      <c r="B573" t="str">
        <f>"1551599067060924"</f>
        <v>1551599067060924</v>
      </c>
      <c r="C573" t="s">
        <v>40</v>
      </c>
      <c r="D573">
        <v>4.8765090000000004</v>
      </c>
      <c r="E573">
        <v>0.50551880000000005</v>
      </c>
      <c r="F573" t="s">
        <v>41</v>
      </c>
      <c r="G573">
        <v>-350.80549999999999</v>
      </c>
      <c r="H573" s="1">
        <v>-4.3901739999999996E-6</v>
      </c>
      <c r="I573">
        <v>367.00380000000001</v>
      </c>
      <c r="J573">
        <v>-368.85669999999999</v>
      </c>
      <c r="K573">
        <v>1.1204970000000001</v>
      </c>
      <c r="L573">
        <v>367.46719999999999</v>
      </c>
      <c r="M573">
        <v>0.99995319999999999</v>
      </c>
      <c r="N573">
        <v>-9.6749009999999996E-3</v>
      </c>
      <c r="O573">
        <v>-4.0374140000000002E-4</v>
      </c>
      <c r="P573">
        <v>0.99548599999999998</v>
      </c>
      <c r="Q573">
        <v>-9.3897960000000003E-2</v>
      </c>
      <c r="R573">
        <v>-1.382163E-2</v>
      </c>
      <c r="S573">
        <v>2.9952700000000001</v>
      </c>
      <c r="T573">
        <v>-0.1833661</v>
      </c>
      <c r="U573">
        <v>-7.5836180000000003E-2</v>
      </c>
      <c r="V573">
        <v>1.3416330000000001E-2</v>
      </c>
      <c r="W573">
        <v>-8.4262829999999997E-2</v>
      </c>
      <c r="X573">
        <v>0.9963533</v>
      </c>
      <c r="Y573">
        <v>2.485358E-2</v>
      </c>
      <c r="Z573">
        <v>-8.5951050000000002E-4</v>
      </c>
      <c r="AA573">
        <v>0.99969070000000004</v>
      </c>
      <c r="AB573">
        <v>26</v>
      </c>
      <c r="AC573">
        <v>18.051199999999898</v>
      </c>
      <c r="AD573">
        <v>-1.12050139017399</v>
      </c>
      <c r="AE573">
        <v>-0.463399999999978</v>
      </c>
      <c r="AF573">
        <v>0.454362046040242</v>
      </c>
      <c r="AG573">
        <v>-1.12050139017399</v>
      </c>
      <c r="AH573">
        <v>17.982143887385799</v>
      </c>
      <c r="AI573">
        <v>93.564463600996902</v>
      </c>
      <c r="AJ573">
        <v>88.5525925215413</v>
      </c>
      <c r="AK573">
        <v>18.022748597839101</v>
      </c>
      <c r="AL573">
        <v>94.833635768854805</v>
      </c>
      <c r="AM573">
        <v>89.228534064204098</v>
      </c>
      <c r="AN573">
        <v>1.0000000604255801</v>
      </c>
    </row>
    <row r="574" spans="1:40" x14ac:dyDescent="0.25">
      <c r="A574" t="str">
        <f>"20190303154427095"</f>
        <v>20190303154427095</v>
      </c>
      <c r="B574" t="str">
        <f>"1551599067091174"</f>
        <v>1551599067091174</v>
      </c>
      <c r="C574" t="s">
        <v>40</v>
      </c>
      <c r="D574">
        <v>4.8429270000000004</v>
      </c>
      <c r="E574">
        <v>0.50594129999999904</v>
      </c>
      <c r="F574" t="s">
        <v>41</v>
      </c>
      <c r="G574">
        <v>-349.93110000000001</v>
      </c>
      <c r="H574" s="1">
        <v>-7.2417089999999999E-7</v>
      </c>
      <c r="I574">
        <v>366.93490000000003</v>
      </c>
      <c r="J574">
        <v>-368.59890000000001</v>
      </c>
      <c r="K574">
        <v>1.1205020000000001</v>
      </c>
      <c r="L574">
        <v>367.46710000000002</v>
      </c>
      <c r="M574">
        <v>0.99995319999999999</v>
      </c>
      <c r="N574">
        <v>-9.6799959999999997E-3</v>
      </c>
      <c r="O574">
        <v>-4.0340869999999998E-4</v>
      </c>
      <c r="P574">
        <v>0.99547140000000001</v>
      </c>
      <c r="Q574">
        <v>-9.4000490000000006E-2</v>
      </c>
      <c r="R574">
        <v>-1.416769E-2</v>
      </c>
      <c r="S574">
        <v>2.9956670000000001</v>
      </c>
      <c r="T574">
        <v>-0.17735899999999999</v>
      </c>
      <c r="U574">
        <v>-8.4259029999999999E-2</v>
      </c>
      <c r="V574">
        <v>1.376278E-2</v>
      </c>
      <c r="W574">
        <v>-8.4360420000000005E-2</v>
      </c>
      <c r="X574">
        <v>0.99634029999999996</v>
      </c>
      <c r="Y574">
        <v>2.7656759999999999E-2</v>
      </c>
      <c r="Z574">
        <v>-9.3190169999999998E-4</v>
      </c>
      <c r="AA574">
        <v>0.99961699999999998</v>
      </c>
      <c r="AB574">
        <v>26</v>
      </c>
      <c r="AC574">
        <v>18.6678</v>
      </c>
      <c r="AD574">
        <v>-1.12050272417089</v>
      </c>
      <c r="AE574">
        <v>-0.53219999999998802</v>
      </c>
      <c r="AF574">
        <v>0.52278688750884705</v>
      </c>
      <c r="AG574">
        <v>-1.12050272417089</v>
      </c>
      <c r="AH574">
        <v>18.6010518316107</v>
      </c>
      <c r="AI574">
        <v>93.445898794139495</v>
      </c>
      <c r="AJ574">
        <v>88.390112588625399</v>
      </c>
      <c r="AK574">
        <v>18.6421018591492</v>
      </c>
      <c r="AL574">
        <v>94.839247323379396</v>
      </c>
      <c r="AM574">
        <v>89.208604670277893</v>
      </c>
      <c r="AN574">
        <v>1.0000000439899901</v>
      </c>
    </row>
    <row r="575" spans="1:40" x14ac:dyDescent="0.25">
      <c r="A575" t="str">
        <f>"20190303154427117"</f>
        <v>20190303154427117</v>
      </c>
      <c r="B575" t="str">
        <f>"1551599067110694"</f>
        <v>1551599067110694</v>
      </c>
      <c r="C575" t="s">
        <v>40</v>
      </c>
      <c r="D575">
        <v>4.8414020000000004</v>
      </c>
      <c r="E575">
        <v>0.50615159999999904</v>
      </c>
      <c r="F575" t="s">
        <v>41</v>
      </c>
      <c r="G575">
        <v>-349.65679999999998</v>
      </c>
      <c r="H575" s="1">
        <v>-8.3717119999999898E-7</v>
      </c>
      <c r="I575">
        <v>366.90589999999997</v>
      </c>
      <c r="J575">
        <v>-368.33629999999999</v>
      </c>
      <c r="K575">
        <v>1.1204970000000001</v>
      </c>
      <c r="L575">
        <v>367.46699999999998</v>
      </c>
      <c r="M575">
        <v>0.99995319999999999</v>
      </c>
      <c r="N575">
        <v>-9.6857060000000005E-3</v>
      </c>
      <c r="O575">
        <v>-4.0331740000000002E-4</v>
      </c>
      <c r="P575">
        <v>0.99549100000000001</v>
      </c>
      <c r="Q575">
        <v>-9.3695459999999994E-2</v>
      </c>
      <c r="R575">
        <v>-1.480251E-2</v>
      </c>
      <c r="S575">
        <v>2.9956049999999999</v>
      </c>
      <c r="T575">
        <v>-0.1772029</v>
      </c>
      <c r="U575">
        <v>-8.8745119999999997E-2</v>
      </c>
      <c r="V575">
        <v>1.4397800000000001E-2</v>
      </c>
      <c r="W575">
        <v>-8.4049550000000001E-2</v>
      </c>
      <c r="X575">
        <v>0.99635759999999995</v>
      </c>
      <c r="Y575">
        <v>2.915017E-2</v>
      </c>
      <c r="Z575">
        <v>-9.8265609999999997E-4</v>
      </c>
      <c r="AA575">
        <v>0.99957450000000003</v>
      </c>
      <c r="AB575">
        <v>26</v>
      </c>
      <c r="AC575">
        <v>18.679500000000001</v>
      </c>
      <c r="AD575">
        <v>-1.12049783717119</v>
      </c>
      <c r="AE575">
        <v>-0.56110000000001004</v>
      </c>
      <c r="AF575">
        <v>0.55158289008527295</v>
      </c>
      <c r="AG575">
        <v>-1.12049783717119</v>
      </c>
      <c r="AH575">
        <v>18.6128115855152</v>
      </c>
      <c r="AI575">
        <v>93.443560348089903</v>
      </c>
      <c r="AJ575">
        <v>88.302560312781793</v>
      </c>
      <c r="AK575">
        <v>18.654664676847698</v>
      </c>
      <c r="AL575">
        <v>94.8213722948677</v>
      </c>
      <c r="AM575">
        <v>89.172108726847696</v>
      </c>
      <c r="AN575">
        <v>1.0000000452889</v>
      </c>
    </row>
    <row r="576" spans="1:40" x14ac:dyDescent="0.25">
      <c r="A576" t="str">
        <f>"20190303154427139"</f>
        <v>20190303154427139</v>
      </c>
      <c r="B576" t="str">
        <f>"1551599067131190"</f>
        <v>1551599067131190</v>
      </c>
      <c r="C576" t="s">
        <v>40</v>
      </c>
      <c r="D576">
        <v>4.8029849999999996</v>
      </c>
      <c r="E576">
        <v>0.50638709999999998</v>
      </c>
      <c r="F576" t="s">
        <v>41</v>
      </c>
      <c r="G576">
        <v>-349.28710000000001</v>
      </c>
      <c r="H576" s="1">
        <v>-9.857045999999999E-7</v>
      </c>
      <c r="I576">
        <v>366.88130000000001</v>
      </c>
      <c r="J576">
        <v>-368.08449999999999</v>
      </c>
      <c r="K576">
        <v>1.1204959999999999</v>
      </c>
      <c r="L576">
        <v>367.46690000000001</v>
      </c>
      <c r="M576">
        <v>0.99995310000000004</v>
      </c>
      <c r="N576">
        <v>-9.6914879999999998E-3</v>
      </c>
      <c r="O576">
        <v>-4.0298759999999998E-4</v>
      </c>
      <c r="P576">
        <v>0.99548720000000002</v>
      </c>
      <c r="Q576">
        <v>-9.3692940000000002E-2</v>
      </c>
      <c r="R576">
        <v>-1.506917E-2</v>
      </c>
      <c r="S576">
        <v>2.9956049999999999</v>
      </c>
      <c r="T576">
        <v>-0.17620529999999901</v>
      </c>
      <c r="U576">
        <v>-9.2102050000000005E-2</v>
      </c>
      <c r="V576">
        <v>1.466463E-2</v>
      </c>
      <c r="W576">
        <v>-8.4041309999999994E-2</v>
      </c>
      <c r="X576">
        <v>0.99635430000000003</v>
      </c>
      <c r="Y576">
        <v>3.0267970000000002E-2</v>
      </c>
      <c r="Z576">
        <v>-1.016302E-3</v>
      </c>
      <c r="AA576">
        <v>0.99954129999999997</v>
      </c>
      <c r="AB576">
        <v>26</v>
      </c>
      <c r="AC576">
        <v>18.7973999999999</v>
      </c>
      <c r="AD576">
        <v>-1.1204969857046001</v>
      </c>
      <c r="AE576">
        <v>-0.58559999999999901</v>
      </c>
      <c r="AF576">
        <v>0.57597986230773801</v>
      </c>
      <c r="AG576">
        <v>-1.1204969857046001</v>
      </c>
      <c r="AH576">
        <v>18.7311425655151</v>
      </c>
      <c r="AI576">
        <v>93.421740628756993</v>
      </c>
      <c r="AJ576">
        <v>88.238718246574507</v>
      </c>
      <c r="AK576">
        <v>18.773464467338201</v>
      </c>
      <c r="AL576">
        <v>94.820898999776304</v>
      </c>
      <c r="AM576">
        <v>89.156765075261106</v>
      </c>
      <c r="AN576">
        <v>0.99999994214401899</v>
      </c>
    </row>
    <row r="577" spans="1:40" x14ac:dyDescent="0.25">
      <c r="A577" t="str">
        <f>"20190303154427162"</f>
        <v>20190303154427162</v>
      </c>
      <c r="B577" t="str">
        <f>"1551599067150709"</f>
        <v>1551599067150709</v>
      </c>
      <c r="C577" t="s">
        <v>40</v>
      </c>
      <c r="D577">
        <v>4.802117</v>
      </c>
      <c r="E577">
        <v>0.50650790000000001</v>
      </c>
      <c r="F577" t="s">
        <v>41</v>
      </c>
      <c r="G577">
        <v>-348.97399999999999</v>
      </c>
      <c r="H577" s="1">
        <v>-1.111092E-6</v>
      </c>
      <c r="I577">
        <v>366.86200000000002</v>
      </c>
      <c r="J577">
        <v>-367.82889999999998</v>
      </c>
      <c r="K577">
        <v>1.1204989999999999</v>
      </c>
      <c r="L577">
        <v>367.46679999999998</v>
      </c>
      <c r="M577">
        <v>0.99995299999999998</v>
      </c>
      <c r="N577">
        <v>-9.697631E-3</v>
      </c>
      <c r="O577">
        <v>-4.0289779999999999E-4</v>
      </c>
      <c r="P577">
        <v>0.99545910000000004</v>
      </c>
      <c r="Q577">
        <v>-9.4026879999999993E-2</v>
      </c>
      <c r="R577">
        <v>-1.483959E-2</v>
      </c>
      <c r="S577">
        <v>2.9956049999999999</v>
      </c>
      <c r="T577">
        <v>-0.17563999999999999</v>
      </c>
      <c r="U577">
        <v>-9.4818120000000006E-2</v>
      </c>
      <c r="V577">
        <v>1.443525E-2</v>
      </c>
      <c r="W577">
        <v>-8.4369390000000002E-2</v>
      </c>
      <c r="X577">
        <v>0.99633000000000005</v>
      </c>
      <c r="Y577">
        <v>3.117197E-2</v>
      </c>
      <c r="Z577">
        <v>-1.04448E-3</v>
      </c>
      <c r="AA577">
        <v>0.99951350000000005</v>
      </c>
      <c r="AB577">
        <v>26</v>
      </c>
      <c r="AC577">
        <v>18.854899999999901</v>
      </c>
      <c r="AD577">
        <v>-1.1205001110920001</v>
      </c>
      <c r="AE577">
        <v>-0.604800000000011</v>
      </c>
      <c r="AF577">
        <v>0.59510347098331795</v>
      </c>
      <c r="AG577">
        <v>-1.1205001110920001</v>
      </c>
      <c r="AH577">
        <v>18.788855050535901</v>
      </c>
      <c r="AI577">
        <v>93.411166662293894</v>
      </c>
      <c r="AJ577">
        <v>88.185864859677594</v>
      </c>
      <c r="AK577">
        <v>18.831642061970602</v>
      </c>
      <c r="AL577">
        <v>94.839763223352094</v>
      </c>
      <c r="AM577">
        <v>89.169932616117293</v>
      </c>
      <c r="AN577">
        <v>1.0000000196557599</v>
      </c>
    </row>
    <row r="578" spans="1:40" x14ac:dyDescent="0.25">
      <c r="A578" t="str">
        <f>"20190303154427186"</f>
        <v>20190303154427186</v>
      </c>
      <c r="B578" t="str">
        <f>"1551599067180965"</f>
        <v>1551599067180965</v>
      </c>
      <c r="C578" t="s">
        <v>40</v>
      </c>
      <c r="D578">
        <v>4.7912589999999904</v>
      </c>
      <c r="E578">
        <v>0.50675029999999999</v>
      </c>
      <c r="F578" t="s">
        <v>41</v>
      </c>
      <c r="G578">
        <v>-348.71409999999997</v>
      </c>
      <c r="H578" s="1">
        <v>-1.211523E-6</v>
      </c>
      <c r="I578">
        <v>366.8596</v>
      </c>
      <c r="J578">
        <v>-367.5471</v>
      </c>
      <c r="K578">
        <v>1.12049</v>
      </c>
      <c r="L578">
        <v>367.4667</v>
      </c>
      <c r="M578">
        <v>0.99995290000000003</v>
      </c>
      <c r="N578">
        <v>-9.7047920000000003E-3</v>
      </c>
      <c r="O578">
        <v>-4.0257440000000003E-4</v>
      </c>
      <c r="P578">
        <v>0.99544860000000002</v>
      </c>
      <c r="Q578">
        <v>-9.4212799999999999E-2</v>
      </c>
      <c r="R578">
        <v>-1.435869E-2</v>
      </c>
      <c r="S578">
        <v>2.9956360000000002</v>
      </c>
      <c r="T578">
        <v>-0.17560329999999999</v>
      </c>
      <c r="U578">
        <v>-9.5153810000000005E-2</v>
      </c>
      <c r="V578">
        <v>1.3954670000000001E-2</v>
      </c>
      <c r="W578">
        <v>-8.4548230000000002E-2</v>
      </c>
      <c r="X578">
        <v>0.99632169999999998</v>
      </c>
      <c r="Y578">
        <v>3.128367E-2</v>
      </c>
      <c r="Z578">
        <v>-1.048228E-3</v>
      </c>
      <c r="AA578">
        <v>0.99951000000000001</v>
      </c>
      <c r="AB578">
        <v>26</v>
      </c>
      <c r="AC578">
        <v>18.832999999999998</v>
      </c>
      <c r="AD578">
        <v>-1.1204912115229999</v>
      </c>
      <c r="AE578">
        <v>-0.60710000000000197</v>
      </c>
      <c r="AF578">
        <v>0.59740541419204696</v>
      </c>
      <c r="AG578">
        <v>-1.1204912115229999</v>
      </c>
      <c r="AH578">
        <v>18.766880970164401</v>
      </c>
      <c r="AI578">
        <v>93.415107013111097</v>
      </c>
      <c r="AJ578">
        <v>88.1767213106979</v>
      </c>
      <c r="AK578">
        <v>18.80979040639</v>
      </c>
      <c r="AL578">
        <v>94.850046679046699</v>
      </c>
      <c r="AM578">
        <v>89.197556955146794</v>
      </c>
      <c r="AN578">
        <v>1.00000003295091</v>
      </c>
    </row>
    <row r="579" spans="1:40" x14ac:dyDescent="0.25">
      <c r="A579" t="str">
        <f>"20190303154427208"</f>
        <v>20190303154427208</v>
      </c>
      <c r="B579" t="str">
        <f>"1551599067200486"</f>
        <v>1551599067200486</v>
      </c>
      <c r="C579" t="s">
        <v>40</v>
      </c>
      <c r="D579">
        <v>4.7690769999999896</v>
      </c>
      <c r="E579">
        <v>0.50691339999999996</v>
      </c>
      <c r="F579" t="s">
        <v>41</v>
      </c>
      <c r="G579">
        <v>-348.12950000000001</v>
      </c>
      <c r="H579" s="1">
        <v>-1.43912E-6</v>
      </c>
      <c r="I579">
        <v>366.84800000000001</v>
      </c>
      <c r="J579">
        <v>-367.29390000000001</v>
      </c>
      <c r="K579">
        <v>1.1204909999999999</v>
      </c>
      <c r="L579">
        <v>367.46660000000003</v>
      </c>
      <c r="M579">
        <v>0.99995279999999998</v>
      </c>
      <c r="N579">
        <v>-9.7115020000000003E-3</v>
      </c>
      <c r="O579">
        <v>-4.022489E-4</v>
      </c>
      <c r="P579">
        <v>0.99545439999999996</v>
      </c>
      <c r="Q579">
        <v>-9.4212560000000001E-2</v>
      </c>
      <c r="R579">
        <v>-1.395616E-2</v>
      </c>
      <c r="S579">
        <v>2.9959410000000002</v>
      </c>
      <c r="T579">
        <v>-0.17288039999999999</v>
      </c>
      <c r="U579">
        <v>-9.5458979999999999E-2</v>
      </c>
      <c r="V579">
        <v>1.355222E-2</v>
      </c>
      <c r="W579">
        <v>-8.4541249999999998E-2</v>
      </c>
      <c r="X579">
        <v>0.99632779999999999</v>
      </c>
      <c r="Y579">
        <v>3.1384049999999997E-2</v>
      </c>
      <c r="Z579">
        <v>-1.0378239999999999E-3</v>
      </c>
      <c r="AA579">
        <v>0.99950680000000003</v>
      </c>
      <c r="AB579">
        <v>26</v>
      </c>
      <c r="AC579">
        <v>19.164400000000001</v>
      </c>
      <c r="AD579">
        <v>-1.12049243912</v>
      </c>
      <c r="AE579">
        <v>-0.61860000000001403</v>
      </c>
      <c r="AF579">
        <v>0.60881171037859805</v>
      </c>
      <c r="AG579">
        <v>-1.12049243912</v>
      </c>
      <c r="AH579">
        <v>19.0994250925228</v>
      </c>
      <c r="AI579">
        <v>93.355782044588295</v>
      </c>
      <c r="AJ579">
        <v>88.174262617713893</v>
      </c>
      <c r="AK579">
        <v>19.1419485389996</v>
      </c>
      <c r="AL579">
        <v>94.849645548987993</v>
      </c>
      <c r="AM579">
        <v>89.220701132517206</v>
      </c>
      <c r="AN579">
        <v>0.99999998533566503</v>
      </c>
    </row>
    <row r="580" spans="1:40" x14ac:dyDescent="0.25">
      <c r="A580" t="str">
        <f>"20190303154427229"</f>
        <v>20190303154427229</v>
      </c>
      <c r="B580" t="str">
        <f>"1551599067220985"</f>
        <v>1551599067220985</v>
      </c>
      <c r="C580" t="s">
        <v>40</v>
      </c>
      <c r="D580">
        <v>4.782</v>
      </c>
      <c r="E580">
        <v>0.5070424</v>
      </c>
      <c r="F580" t="s">
        <v>41</v>
      </c>
      <c r="G580">
        <v>-347.62299999999999</v>
      </c>
      <c r="H580" s="1">
        <v>-1.6363769999999999E-6</v>
      </c>
      <c r="I580">
        <v>366.83769999999998</v>
      </c>
      <c r="J580">
        <v>-367.04020000000003</v>
      </c>
      <c r="K580">
        <v>1.12049</v>
      </c>
      <c r="L580">
        <v>367.4665</v>
      </c>
      <c r="M580">
        <v>0.99995270000000003</v>
      </c>
      <c r="N580">
        <v>-9.7184390000000006E-3</v>
      </c>
      <c r="O580">
        <v>-4.0216310000000001E-4</v>
      </c>
      <c r="P580">
        <v>0.99549219999999905</v>
      </c>
      <c r="Q580">
        <v>-9.3934619999999996E-2</v>
      </c>
      <c r="R580">
        <v>-1.3104009999999999E-2</v>
      </c>
      <c r="S580">
        <v>2.996216</v>
      </c>
      <c r="T580">
        <v>-0.1706704</v>
      </c>
      <c r="U580">
        <v>-9.5794679999999993E-2</v>
      </c>
      <c r="V580">
        <v>1.2700349999999999E-2</v>
      </c>
      <c r="W580">
        <v>-8.4255999999999998E-2</v>
      </c>
      <c r="X580">
        <v>0.9963632</v>
      </c>
      <c r="Y580">
        <v>3.1494300000000003E-2</v>
      </c>
      <c r="Z580">
        <v>-1.0302810000000001E-3</v>
      </c>
      <c r="AA580">
        <v>0.99950340000000004</v>
      </c>
      <c r="AB580">
        <v>26</v>
      </c>
      <c r="AC580">
        <v>19.417199999999902</v>
      </c>
      <c r="AD580">
        <v>-1.1204916363770001</v>
      </c>
      <c r="AE580">
        <v>-0.62880000000001202</v>
      </c>
      <c r="AF580">
        <v>0.61893181622293103</v>
      </c>
      <c r="AG580">
        <v>-1.1204916363770001</v>
      </c>
      <c r="AH580">
        <v>19.3530731318174</v>
      </c>
      <c r="AI580">
        <v>93.311885112449502</v>
      </c>
      <c r="AJ580">
        <v>88.168244498044501</v>
      </c>
      <c r="AK580">
        <v>19.395360727395499</v>
      </c>
      <c r="AL580">
        <v>94.833243337907803</v>
      </c>
      <c r="AM580">
        <v>89.269707023927793</v>
      </c>
      <c r="AN580">
        <v>0.99999999937018103</v>
      </c>
    </row>
    <row r="581" spans="1:40" x14ac:dyDescent="0.25">
      <c r="A581" t="str">
        <f>"20190303154427252"</f>
        <v>20190303154427252</v>
      </c>
      <c r="B581" t="str">
        <f>"1551599067240505"</f>
        <v>1551599067240505</v>
      </c>
      <c r="C581" t="s">
        <v>40</v>
      </c>
      <c r="D581">
        <v>4.7469659999999996</v>
      </c>
      <c r="E581">
        <v>0.50716470000000002</v>
      </c>
      <c r="F581" t="s">
        <v>41</v>
      </c>
      <c r="G581">
        <v>-347.01799999999997</v>
      </c>
      <c r="H581" s="1">
        <v>-1.882975E-6</v>
      </c>
      <c r="I581">
        <v>366.83760000000001</v>
      </c>
      <c r="J581">
        <v>-366.79169999999999</v>
      </c>
      <c r="K581">
        <v>1.120492</v>
      </c>
      <c r="L581">
        <v>367.46640000000002</v>
      </c>
      <c r="M581">
        <v>0.99995270000000003</v>
      </c>
      <c r="N581">
        <v>-9.7253830000000006E-3</v>
      </c>
      <c r="O581">
        <v>-4.0183900000000003E-4</v>
      </c>
      <c r="P581">
        <v>0.99547050000000004</v>
      </c>
      <c r="Q581">
        <v>-9.4194539999999993E-2</v>
      </c>
      <c r="R581">
        <v>-1.2889070000000001E-2</v>
      </c>
      <c r="S581">
        <v>2.996521</v>
      </c>
      <c r="T581">
        <v>-0.16769310000000001</v>
      </c>
      <c r="U581">
        <v>-9.4116210000000006E-2</v>
      </c>
      <c r="V581">
        <v>1.2485710000000001E-2</v>
      </c>
      <c r="W581">
        <v>-8.4509180000000003E-2</v>
      </c>
      <c r="X581">
        <v>0.99634440000000002</v>
      </c>
      <c r="Y581">
        <v>3.0935000000000001E-2</v>
      </c>
      <c r="Z581">
        <v>-9.9675809999999997E-4</v>
      </c>
      <c r="AA581">
        <v>0.99952090000000005</v>
      </c>
      <c r="AB581">
        <v>26</v>
      </c>
      <c r="AC581">
        <v>19.773699999999899</v>
      </c>
      <c r="AD581">
        <v>-1.120493882975</v>
      </c>
      <c r="AE581">
        <v>-0.62880000000001202</v>
      </c>
      <c r="AF581">
        <v>0.61886853800763497</v>
      </c>
      <c r="AG581">
        <v>-1.120493882975</v>
      </c>
      <c r="AH581">
        <v>19.7107234891103</v>
      </c>
      <c r="AI581">
        <v>93.251987686047102</v>
      </c>
      <c r="AJ581">
        <v>88.201643361812202</v>
      </c>
      <c r="AK581">
        <v>19.752243550373901</v>
      </c>
      <c r="AL581">
        <v>94.8478017480695</v>
      </c>
      <c r="AM581">
        <v>89.282034361500095</v>
      </c>
      <c r="AN581">
        <v>0.99999992893491496</v>
      </c>
    </row>
    <row r="582" spans="1:40" x14ac:dyDescent="0.25">
      <c r="A582" t="str">
        <f>"20190303154427274"</f>
        <v>20190303154427274</v>
      </c>
      <c r="B582" t="str">
        <f>"1551599067270758"</f>
        <v>1551599067270758</v>
      </c>
      <c r="C582" t="s">
        <v>40</v>
      </c>
      <c r="D582">
        <v>4.7618479999999996</v>
      </c>
      <c r="E582">
        <v>0.50698469999999995</v>
      </c>
      <c r="F582" t="s">
        <v>41</v>
      </c>
      <c r="G582">
        <v>-346.59960000000001</v>
      </c>
      <c r="H582" s="1">
        <v>-2.0821119999999998E-6</v>
      </c>
      <c r="I582">
        <v>366.83</v>
      </c>
      <c r="J582">
        <v>-366.524</v>
      </c>
      <c r="K582">
        <v>1.1204909999999999</v>
      </c>
      <c r="L582">
        <v>367.46629999999999</v>
      </c>
      <c r="M582">
        <v>0.99995259999999997</v>
      </c>
      <c r="N582">
        <v>-9.7330009999999998E-3</v>
      </c>
      <c r="O582">
        <v>-4.0163740000000002E-4</v>
      </c>
      <c r="P582">
        <v>0.99549149999999997</v>
      </c>
      <c r="Q582">
        <v>-9.3933050000000004E-2</v>
      </c>
      <c r="R582">
        <v>-1.316171E-2</v>
      </c>
      <c r="S582">
        <v>2.9967350000000001</v>
      </c>
      <c r="T582">
        <v>-0.1662942</v>
      </c>
      <c r="U582">
        <v>-9.4451900000000005E-2</v>
      </c>
      <c r="V582">
        <v>1.275855E-2</v>
      </c>
      <c r="W582">
        <v>-8.4239919999999996E-2</v>
      </c>
      <c r="X582">
        <v>0.99636380000000002</v>
      </c>
      <c r="Y582">
        <v>3.104548E-2</v>
      </c>
      <c r="Z582">
        <v>-9.9341110000000007E-4</v>
      </c>
      <c r="AA582">
        <v>0.99951749999999995</v>
      </c>
      <c r="AB582">
        <v>26</v>
      </c>
      <c r="AC582">
        <v>19.924399999999899</v>
      </c>
      <c r="AD582">
        <v>-1.1204930821119901</v>
      </c>
      <c r="AE582">
        <v>-0.63630000000000497</v>
      </c>
      <c r="AF582">
        <v>0.626318393009619</v>
      </c>
      <c r="AG582">
        <v>-1.1204930821119901</v>
      </c>
      <c r="AH582">
        <v>19.861902195773201</v>
      </c>
      <c r="AI582">
        <v>93.227271650255602</v>
      </c>
      <c r="AJ582">
        <v>88.193853095440403</v>
      </c>
      <c r="AK582">
        <v>19.903339878295402</v>
      </c>
      <c r="AL582">
        <v>94.832318812313503</v>
      </c>
      <c r="AM582">
        <v>89.266361225898194</v>
      </c>
      <c r="AN582">
        <v>0.99999998333507401</v>
      </c>
    </row>
    <row r="583" spans="1:40" x14ac:dyDescent="0.25">
      <c r="A583" t="str">
        <f>"20190303154427296"</f>
        <v>20190303154427296</v>
      </c>
      <c r="B583" t="str">
        <f>"1551599067291254"</f>
        <v>1551599067291254</v>
      </c>
      <c r="C583" t="s">
        <v>40</v>
      </c>
      <c r="D583">
        <v>4.7745610000000003</v>
      </c>
      <c r="E583">
        <v>0.50698480000000001</v>
      </c>
      <c r="F583" t="s">
        <v>41</v>
      </c>
      <c r="G583">
        <v>-346.48570000000001</v>
      </c>
      <c r="H583" s="1">
        <v>-2.134512E-6</v>
      </c>
      <c r="I583">
        <v>366.8383</v>
      </c>
      <c r="J583">
        <v>-366.27350000000001</v>
      </c>
      <c r="K583">
        <v>1.1204940000000001</v>
      </c>
      <c r="L583">
        <v>367.46620000000001</v>
      </c>
      <c r="M583">
        <v>0.99995250000000002</v>
      </c>
      <c r="N583">
        <v>-9.7402400000000007E-3</v>
      </c>
      <c r="O583">
        <v>-4.0131489999999998E-4</v>
      </c>
      <c r="P583">
        <v>0.9955039</v>
      </c>
      <c r="Q583">
        <v>-9.376719E-2</v>
      </c>
      <c r="R583">
        <v>-1.3420049999999999E-2</v>
      </c>
      <c r="S583">
        <v>2.996521</v>
      </c>
      <c r="T583">
        <v>-0.16755809999999999</v>
      </c>
      <c r="U583">
        <v>-9.3902589999999994E-2</v>
      </c>
      <c r="V583">
        <v>1.301711E-2</v>
      </c>
      <c r="W583">
        <v>-8.4066749999999996E-2</v>
      </c>
      <c r="X583">
        <v>0.99637509999999996</v>
      </c>
      <c r="Y583">
        <v>3.0864539999999999E-2</v>
      </c>
      <c r="Z583">
        <v>-9.9402999999999991E-4</v>
      </c>
      <c r="AA583">
        <v>0.9995231</v>
      </c>
      <c r="AB583">
        <v>26</v>
      </c>
      <c r="AC583">
        <v>19.787800000000001</v>
      </c>
      <c r="AD583">
        <v>-1.1204961345119999</v>
      </c>
      <c r="AE583">
        <v>-0.627900000000011</v>
      </c>
      <c r="AF583">
        <v>0.61797890299952196</v>
      </c>
      <c r="AG583">
        <v>-1.1204961345119999</v>
      </c>
      <c r="AH583">
        <v>19.724867044356898</v>
      </c>
      <c r="AI583">
        <v>93.249674259959207</v>
      </c>
      <c r="AJ583">
        <v>88.205513641300698</v>
      </c>
      <c r="AK583">
        <v>19.766329690399498</v>
      </c>
      <c r="AL583">
        <v>94.822361492842106</v>
      </c>
      <c r="AM583">
        <v>89.251503739676807</v>
      </c>
      <c r="AN583">
        <v>1.0000000017541599</v>
      </c>
    </row>
    <row r="584" spans="1:40" x14ac:dyDescent="0.25">
      <c r="A584" t="str">
        <f>"20190303154427319"</f>
        <v>20190303154427319</v>
      </c>
      <c r="B584" t="str">
        <f>"1551599067310778"</f>
        <v>1551599067310778</v>
      </c>
      <c r="C584" t="s">
        <v>40</v>
      </c>
      <c r="D584">
        <v>4.7979890000000003</v>
      </c>
      <c r="E584">
        <v>0.50703419999999999</v>
      </c>
      <c r="F584" t="s">
        <v>41</v>
      </c>
      <c r="G584">
        <v>-346.2602</v>
      </c>
      <c r="H584" s="1">
        <v>-2.241783E-6</v>
      </c>
      <c r="I584">
        <v>366.83429999999998</v>
      </c>
      <c r="J584">
        <v>-366.00020000000001</v>
      </c>
      <c r="K584">
        <v>1.120493</v>
      </c>
      <c r="L584">
        <v>367.46609999999998</v>
      </c>
      <c r="M584">
        <v>0.99995239999999996</v>
      </c>
      <c r="N584">
        <v>-9.7482320000000008E-3</v>
      </c>
      <c r="O584">
        <v>-4.011153E-4</v>
      </c>
      <c r="P584">
        <v>0.99547609999999997</v>
      </c>
      <c r="Q584">
        <v>-9.3989630000000005E-2</v>
      </c>
      <c r="R584">
        <v>-1.3911099999999999E-2</v>
      </c>
      <c r="S584">
        <v>2.9964599999999999</v>
      </c>
      <c r="T584">
        <v>-0.167765</v>
      </c>
      <c r="U584">
        <v>-9.4604489999999999E-2</v>
      </c>
      <c r="V584">
        <v>1.3508300000000001E-2</v>
      </c>
      <c r="W584">
        <v>-8.4281510000000004E-2</v>
      </c>
      <c r="X584">
        <v>0.99635039999999997</v>
      </c>
      <c r="Y584">
        <v>3.1098710000000002E-2</v>
      </c>
      <c r="Z584">
        <v>-1.0029080000000001E-3</v>
      </c>
      <c r="AA584">
        <v>0.99951579999999995</v>
      </c>
      <c r="AB584">
        <v>26</v>
      </c>
      <c r="AC584">
        <v>19.739999999999998</v>
      </c>
      <c r="AD584">
        <v>-1.1204952417830001</v>
      </c>
      <c r="AE584">
        <v>-0.63179999999999803</v>
      </c>
      <c r="AF584">
        <v>0.62187990934138904</v>
      </c>
      <c r="AG584">
        <v>-1.1204952417830001</v>
      </c>
      <c r="AH584">
        <v>19.676917669361</v>
      </c>
      <c r="AI584">
        <v>93.257545492207598</v>
      </c>
      <c r="AJ584">
        <v>88.189795854372406</v>
      </c>
      <c r="AK584">
        <v>19.718603732904398</v>
      </c>
      <c r="AL584">
        <v>94.834710248369703</v>
      </c>
      <c r="AM584">
        <v>89.223243989573305</v>
      </c>
      <c r="AN584">
        <v>0.99999998333846396</v>
      </c>
    </row>
    <row r="585" spans="1:40" x14ac:dyDescent="0.25">
      <c r="A585" t="str">
        <f>"20190303154427341"</f>
        <v>20190303154427341</v>
      </c>
      <c r="B585" t="str">
        <f>"1551599067331270"</f>
        <v>1551599067331270</v>
      </c>
      <c r="C585" t="s">
        <v>40</v>
      </c>
      <c r="D585">
        <v>4.7866710000000001</v>
      </c>
      <c r="E585">
        <v>0.50707570000000002</v>
      </c>
      <c r="F585" t="s">
        <v>41</v>
      </c>
      <c r="G585">
        <v>-346.09160000000003</v>
      </c>
      <c r="H585" s="1">
        <v>-2.323067E-6</v>
      </c>
      <c r="I585">
        <v>366.82560000000001</v>
      </c>
      <c r="J585">
        <v>-365.74959999999999</v>
      </c>
      <c r="K585">
        <v>1.1204879999999999</v>
      </c>
      <c r="L585">
        <v>367.46600000000001</v>
      </c>
      <c r="M585">
        <v>0.99995239999999996</v>
      </c>
      <c r="N585">
        <v>-9.7556120000000003E-3</v>
      </c>
      <c r="O585">
        <v>-4.0091289999999999E-4</v>
      </c>
      <c r="P585">
        <v>0.99545340000000004</v>
      </c>
      <c r="Q585">
        <v>-9.4171489999999997E-2</v>
      </c>
      <c r="R585">
        <v>-1.429362E-2</v>
      </c>
      <c r="S585">
        <v>2.9963679999999999</v>
      </c>
      <c r="T585">
        <v>-0.16864089999999901</v>
      </c>
      <c r="U585">
        <v>-9.6405030000000003E-2</v>
      </c>
      <c r="V585">
        <v>1.3891199999999999E-2</v>
      </c>
      <c r="W585">
        <v>-8.4456249999999997E-2</v>
      </c>
      <c r="X585">
        <v>0.99633039999999995</v>
      </c>
      <c r="Y585">
        <v>3.1698200000000003E-2</v>
      </c>
      <c r="Z585">
        <v>-1.027252E-3</v>
      </c>
      <c r="AA585">
        <v>0.99949690000000002</v>
      </c>
      <c r="AB585">
        <v>26</v>
      </c>
      <c r="AC585">
        <v>19.657999999999902</v>
      </c>
      <c r="AD585">
        <v>-1.120490323067</v>
      </c>
      <c r="AE585">
        <v>-0.64039999999999897</v>
      </c>
      <c r="AF585">
        <v>0.63047225271773799</v>
      </c>
      <c r="AG585">
        <v>-1.120490323067</v>
      </c>
      <c r="AH585">
        <v>19.594661393257301</v>
      </c>
      <c r="AI585">
        <v>93.271116959374794</v>
      </c>
      <c r="AJ585">
        <v>88.157103085908602</v>
      </c>
      <c r="AK585">
        <v>19.6367957911147</v>
      </c>
      <c r="AL585">
        <v>94.844757638798896</v>
      </c>
      <c r="AM585">
        <v>89.201213205584907</v>
      </c>
      <c r="AN585">
        <v>1.0000000447828301</v>
      </c>
    </row>
    <row r="586" spans="1:40" x14ac:dyDescent="0.25">
      <c r="A586" t="str">
        <f>"20190303154427364"</f>
        <v>20190303154427364</v>
      </c>
      <c r="B586" t="str">
        <f>"1551599067360550"</f>
        <v>1551599067360550</v>
      </c>
      <c r="C586" t="s">
        <v>40</v>
      </c>
      <c r="D586">
        <v>4.7972479999999997</v>
      </c>
      <c r="E586">
        <v>0.50710820000000001</v>
      </c>
      <c r="F586" t="s">
        <v>41</v>
      </c>
      <c r="G586">
        <v>-345.93299999999999</v>
      </c>
      <c r="H586" s="1">
        <v>-2.399335E-6</v>
      </c>
      <c r="I586">
        <v>366.81810000000002</v>
      </c>
      <c r="J586">
        <v>-365.47280000000001</v>
      </c>
      <c r="K586">
        <v>1.12049</v>
      </c>
      <c r="L586">
        <v>367.46589999999998</v>
      </c>
      <c r="M586">
        <v>0.99995230000000002</v>
      </c>
      <c r="N586">
        <v>-9.7638099999999995E-3</v>
      </c>
      <c r="O586">
        <v>-4.0059550000000002E-4</v>
      </c>
      <c r="P586">
        <v>0.99542030000000004</v>
      </c>
      <c r="Q586">
        <v>-9.4427349999999993E-2</v>
      </c>
      <c r="R586">
        <v>-1.4895179999999999E-2</v>
      </c>
      <c r="S586">
        <v>2.9963069999999998</v>
      </c>
      <c r="T586">
        <v>-0.16942019999999999</v>
      </c>
      <c r="U586">
        <v>-9.7961430000000002E-2</v>
      </c>
      <c r="V586">
        <v>1.449308E-2</v>
      </c>
      <c r="W586">
        <v>-8.4704260000000003E-2</v>
      </c>
      <c r="X586">
        <v>0.99630070000000004</v>
      </c>
      <c r="Y586">
        <v>3.221632E-2</v>
      </c>
      <c r="Z586">
        <v>-1.048586E-3</v>
      </c>
      <c r="AA586">
        <v>0.99948040000000005</v>
      </c>
      <c r="AB586">
        <v>26</v>
      </c>
      <c r="AC586">
        <v>19.5397999999999</v>
      </c>
      <c r="AD586">
        <v>-1.120492399335</v>
      </c>
      <c r="AE586">
        <v>-0.64779999999996096</v>
      </c>
      <c r="AF586">
        <v>0.637876762269872</v>
      </c>
      <c r="AG586">
        <v>-1.120492399335</v>
      </c>
      <c r="AH586">
        <v>19.476084147237401</v>
      </c>
      <c r="AI586">
        <v>93.290933764096295</v>
      </c>
      <c r="AJ586">
        <v>88.124130781306405</v>
      </c>
      <c r="AK586">
        <v>19.518715216199102</v>
      </c>
      <c r="AL586">
        <v>94.859019016435894</v>
      </c>
      <c r="AM586">
        <v>89.166583191306998</v>
      </c>
      <c r="AN586">
        <v>0.99999997292526099</v>
      </c>
    </row>
    <row r="587" spans="1:40" x14ac:dyDescent="0.25">
      <c r="A587" t="str">
        <f>"20190303154427388"</f>
        <v>20190303154427388</v>
      </c>
      <c r="B587" t="str">
        <f>"1551599067381046"</f>
        <v>1551599067381046</v>
      </c>
      <c r="C587" t="s">
        <v>40</v>
      </c>
      <c r="D587">
        <v>4.8275880000000004</v>
      </c>
      <c r="E587">
        <v>0.50715109999999997</v>
      </c>
      <c r="F587" t="s">
        <v>41</v>
      </c>
      <c r="G587">
        <v>-345.73259999999999</v>
      </c>
      <c r="H587" s="1">
        <v>-2.4958490000000002E-6</v>
      </c>
      <c r="I587">
        <v>366.80799999999999</v>
      </c>
      <c r="J587">
        <v>-365.19580000000002</v>
      </c>
      <c r="K587">
        <v>1.120487</v>
      </c>
      <c r="L587">
        <v>367.4658</v>
      </c>
      <c r="M587">
        <v>0.99995219999999996</v>
      </c>
      <c r="N587">
        <v>-9.7720719999999997E-3</v>
      </c>
      <c r="O587">
        <v>-4.0039729999999998E-4</v>
      </c>
      <c r="P587">
        <v>0.99538800000000005</v>
      </c>
      <c r="Q587">
        <v>-9.4791310000000004E-2</v>
      </c>
      <c r="R587">
        <v>-1.474754E-2</v>
      </c>
      <c r="S587">
        <v>2.9961549999999999</v>
      </c>
      <c r="T587">
        <v>-0.17006779999999999</v>
      </c>
      <c r="U587">
        <v>-9.9853520000000001E-2</v>
      </c>
      <c r="V587">
        <v>1.434568E-2</v>
      </c>
      <c r="W587">
        <v>-8.506031E-2</v>
      </c>
      <c r="X587">
        <v>0.99627250000000001</v>
      </c>
      <c r="Y587">
        <v>3.2847040000000001E-2</v>
      </c>
      <c r="Z587">
        <v>-1.0731219999999999E-3</v>
      </c>
      <c r="AA587">
        <v>0.99945980000000001</v>
      </c>
      <c r="AB587">
        <v>26</v>
      </c>
      <c r="AC587">
        <v>19.463200000000001</v>
      </c>
      <c r="AD587">
        <v>-1.1204894958489999</v>
      </c>
      <c r="AE587">
        <v>-0.65779999999995198</v>
      </c>
      <c r="AF587">
        <v>0.64786182737476194</v>
      </c>
      <c r="AG587">
        <v>-1.1204894958489999</v>
      </c>
      <c r="AH587">
        <v>19.3992409851834</v>
      </c>
      <c r="AI587">
        <v>93.303862069816404</v>
      </c>
      <c r="AJ587">
        <v>88.087246935471796</v>
      </c>
      <c r="AK587">
        <v>19.442370546281001</v>
      </c>
      <c r="AL587">
        <v>94.879493062523196</v>
      </c>
      <c r="AM587">
        <v>89.175034824868803</v>
      </c>
      <c r="AN587">
        <v>0.99999997456410294</v>
      </c>
    </row>
    <row r="588" spans="1:40" x14ac:dyDescent="0.25">
      <c r="A588" t="str">
        <f>"20190303154427411"</f>
        <v>20190303154427411</v>
      </c>
      <c r="B588" t="str">
        <f>"1551599067400566"</f>
        <v>1551599067400566</v>
      </c>
      <c r="C588" t="s">
        <v>40</v>
      </c>
      <c r="D588">
        <v>4.8402849999999997</v>
      </c>
      <c r="E588">
        <v>0.50716090000000003</v>
      </c>
      <c r="F588" t="s">
        <v>41</v>
      </c>
      <c r="G588">
        <v>-345.58120000000002</v>
      </c>
      <c r="H588" s="1">
        <v>-2.5668659999999998E-6</v>
      </c>
      <c r="I588">
        <v>366.81119999999999</v>
      </c>
      <c r="J588">
        <v>-364.93340000000001</v>
      </c>
      <c r="K588">
        <v>1.120485</v>
      </c>
      <c r="L588">
        <v>367.46570000000003</v>
      </c>
      <c r="M588">
        <v>0.99995219999999996</v>
      </c>
      <c r="N588">
        <v>-9.7799340000000005E-3</v>
      </c>
      <c r="O588">
        <v>-4.0019699999999998E-4</v>
      </c>
      <c r="P588">
        <v>0.99535819999999997</v>
      </c>
      <c r="Q588">
        <v>-9.5071409999999995E-2</v>
      </c>
      <c r="R588">
        <v>-1.4964760000000001E-2</v>
      </c>
      <c r="S588">
        <v>2.9960939999999998</v>
      </c>
      <c r="T588">
        <v>-0.17115279999999899</v>
      </c>
      <c r="U588">
        <v>-9.9975590000000003E-2</v>
      </c>
      <c r="V588">
        <v>1.456285E-2</v>
      </c>
      <c r="W588">
        <v>-8.5332829999999998E-2</v>
      </c>
      <c r="X588">
        <v>0.99624610000000002</v>
      </c>
      <c r="Y588">
        <v>3.2887779999999998E-2</v>
      </c>
      <c r="Z588">
        <v>-1.080433E-3</v>
      </c>
      <c r="AA588">
        <v>0.99945850000000003</v>
      </c>
      <c r="AB588">
        <v>26</v>
      </c>
      <c r="AC588">
        <v>19.3521999999999</v>
      </c>
      <c r="AD588">
        <v>-1.1204875668659999</v>
      </c>
      <c r="AE588">
        <v>-0.65450000000004105</v>
      </c>
      <c r="AF588">
        <v>0.64459642158117902</v>
      </c>
      <c r="AG588">
        <v>-1.1204875668659999</v>
      </c>
      <c r="AH588">
        <v>19.287873960957601</v>
      </c>
      <c r="AI588">
        <v>93.322887435620999</v>
      </c>
      <c r="AJ588">
        <v>88.085900295232506</v>
      </c>
      <c r="AK588">
        <v>19.3311427201809</v>
      </c>
      <c r="AL588">
        <v>94.895164014208106</v>
      </c>
      <c r="AM588">
        <v>89.162525785452004</v>
      </c>
      <c r="AN588">
        <v>1.00000003012057</v>
      </c>
    </row>
    <row r="589" spans="1:40" x14ac:dyDescent="0.25">
      <c r="A589" t="str">
        <f>"20190303154427432"</f>
        <v>20190303154427432</v>
      </c>
      <c r="B589" t="str">
        <f>"1551599067421063"</f>
        <v>1551599067421063</v>
      </c>
      <c r="C589" t="s">
        <v>40</v>
      </c>
      <c r="D589">
        <v>4.8642010000000004</v>
      </c>
      <c r="E589">
        <v>0.5071774</v>
      </c>
      <c r="F589" t="s">
        <v>41</v>
      </c>
      <c r="G589">
        <v>-345.39</v>
      </c>
      <c r="H589" s="1">
        <v>-2.6578490000000001E-6</v>
      </c>
      <c r="I589">
        <v>366.80799999999999</v>
      </c>
      <c r="J589">
        <v>-364.66969999999998</v>
      </c>
      <c r="K589">
        <v>1.120485</v>
      </c>
      <c r="L589">
        <v>367.46559999999999</v>
      </c>
      <c r="M589">
        <v>0.99995210000000001</v>
      </c>
      <c r="N589">
        <v>-9.7878889999999993E-3</v>
      </c>
      <c r="O589">
        <v>-4.0011659999999999E-4</v>
      </c>
      <c r="P589">
        <v>0.99533249999999995</v>
      </c>
      <c r="Q589">
        <v>-9.5366960000000001E-2</v>
      </c>
      <c r="R589">
        <v>-1.478488E-2</v>
      </c>
      <c r="S589">
        <v>2.9960939999999998</v>
      </c>
      <c r="T589">
        <v>-0.1717755</v>
      </c>
      <c r="U589">
        <v>-0.10083010000000001</v>
      </c>
      <c r="V589">
        <v>1.43833E-2</v>
      </c>
      <c r="W589">
        <v>-8.5620689999999999E-2</v>
      </c>
      <c r="X589">
        <v>0.996224</v>
      </c>
      <c r="Y589">
        <v>3.3171609999999997E-2</v>
      </c>
      <c r="Z589">
        <v>-1.093412E-3</v>
      </c>
      <c r="AA589">
        <v>0.99944909999999998</v>
      </c>
      <c r="AB589">
        <v>26</v>
      </c>
      <c r="AC589">
        <v>19.279699999999899</v>
      </c>
      <c r="AD589">
        <v>-1.120487657849</v>
      </c>
      <c r="AE589">
        <v>-0.65759999999994501</v>
      </c>
      <c r="AF589">
        <v>0.64770029292921805</v>
      </c>
      <c r="AG589">
        <v>-1.120487657849</v>
      </c>
      <c r="AH589">
        <v>19.215135157165399</v>
      </c>
      <c r="AI589">
        <v>93.335405997059695</v>
      </c>
      <c r="AJ589">
        <v>88.069415216012302</v>
      </c>
      <c r="AK589">
        <v>19.258671485047699</v>
      </c>
      <c r="AL589">
        <v>94.911717810551707</v>
      </c>
      <c r="AM589">
        <v>89.172831480575496</v>
      </c>
      <c r="AN589">
        <v>1.0000000200254799</v>
      </c>
    </row>
    <row r="590" spans="1:40" x14ac:dyDescent="0.25">
      <c r="A590" t="str">
        <f>"20190303154427453"</f>
        <v>20190303154427453</v>
      </c>
      <c r="B590" t="str">
        <f>"1551599067440582"</f>
        <v>1551599067440582</v>
      </c>
      <c r="C590" t="s">
        <v>40</v>
      </c>
      <c r="D590">
        <v>4.9887459999999999</v>
      </c>
      <c r="E590">
        <v>0.49586439999999998</v>
      </c>
      <c r="F590" t="s">
        <v>41</v>
      </c>
      <c r="G590">
        <v>-345.21640000000002</v>
      </c>
      <c r="H590" s="1">
        <v>-2.7389979999999999E-6</v>
      </c>
      <c r="I590">
        <v>366.81290000000001</v>
      </c>
      <c r="J590">
        <v>-364.42720000000003</v>
      </c>
      <c r="K590">
        <v>1.1204809999999901</v>
      </c>
      <c r="L590">
        <v>367.46550000000002</v>
      </c>
      <c r="M590">
        <v>0.99995210000000001</v>
      </c>
      <c r="N590">
        <v>-9.795237E-3</v>
      </c>
      <c r="O590">
        <v>-3.999141E-4</v>
      </c>
      <c r="P590">
        <v>0.99535220000000002</v>
      </c>
      <c r="Q590">
        <v>-9.5203540000000003E-2</v>
      </c>
      <c r="R590">
        <v>-1.452121E-2</v>
      </c>
      <c r="S590">
        <v>2.9960330000000002</v>
      </c>
      <c r="T590">
        <v>-0.17256859999999999</v>
      </c>
      <c r="U590">
        <v>-0.1005249</v>
      </c>
      <c r="V590">
        <v>1.411958E-2</v>
      </c>
      <c r="W590">
        <v>-8.544976E-2</v>
      </c>
      <c r="X590">
        <v>0.99624239999999997</v>
      </c>
      <c r="Y590">
        <v>3.3070460000000003E-2</v>
      </c>
      <c r="Z590">
        <v>-1.0944349999999999E-3</v>
      </c>
      <c r="AA590">
        <v>0.99945240000000002</v>
      </c>
      <c r="AB590">
        <v>26</v>
      </c>
      <c r="AC590">
        <v>19.210799999999999</v>
      </c>
      <c r="AD590">
        <v>-1.12048373899799</v>
      </c>
      <c r="AE590">
        <v>-0.65260000000000595</v>
      </c>
      <c r="AF590">
        <v>0.64273292446998997</v>
      </c>
      <c r="AG590">
        <v>-1.12048373899799</v>
      </c>
      <c r="AH590">
        <v>19.146001951137301</v>
      </c>
      <c r="AI590">
        <v>93.3474260619722</v>
      </c>
      <c r="AJ590">
        <v>88.077297823570802</v>
      </c>
      <c r="AK590">
        <v>19.1895278768007</v>
      </c>
      <c r="AL590">
        <v>94.901888456158503</v>
      </c>
      <c r="AM590">
        <v>89.188010687168699</v>
      </c>
      <c r="AN590">
        <v>0.99999997179059597</v>
      </c>
    </row>
    <row r="591" spans="1:40" x14ac:dyDescent="0.25">
      <c r="A591" t="str">
        <f>"20190303154427475"</f>
        <v>20190303154427475</v>
      </c>
      <c r="B591" t="str">
        <f>"1551599067470838"</f>
        <v>1551599067470838</v>
      </c>
      <c r="C591" t="s">
        <v>40</v>
      </c>
      <c r="D591">
        <v>4.9344599999999996</v>
      </c>
      <c r="E591">
        <v>0.49572569999999999</v>
      </c>
      <c r="F591" t="s">
        <v>41</v>
      </c>
      <c r="G591">
        <v>-349.5498</v>
      </c>
      <c r="H591" s="1">
        <v>-7.4263229999999995E-7</v>
      </c>
      <c r="I591">
        <v>367.41570000000002</v>
      </c>
      <c r="J591">
        <v>-364.16090000000003</v>
      </c>
      <c r="K591">
        <v>1.1204799999999999</v>
      </c>
      <c r="L591">
        <v>367.46539999999999</v>
      </c>
      <c r="M591">
        <v>0.99995199999999995</v>
      </c>
      <c r="N591">
        <v>-9.8033440000000003E-3</v>
      </c>
      <c r="O591">
        <v>-3.9959620000000001E-4</v>
      </c>
      <c r="P591">
        <v>0.99534999999999996</v>
      </c>
      <c r="Q591">
        <v>-9.5195399999999999E-2</v>
      </c>
      <c r="R591">
        <v>-1.4714069999999999E-2</v>
      </c>
      <c r="S591">
        <v>2.9923099999999998</v>
      </c>
      <c r="T591">
        <v>-0.2253647</v>
      </c>
      <c r="U591">
        <v>-1.0009769999999999E-2</v>
      </c>
      <c r="V591">
        <v>1.4312979999999999E-2</v>
      </c>
      <c r="W591">
        <v>-8.5433549999999997E-2</v>
      </c>
      <c r="X591">
        <v>0.99624100000000004</v>
      </c>
      <c r="Y591">
        <v>2.9369840000000001E-3</v>
      </c>
      <c r="Z591" s="1">
        <v>-9.8721629999999996E-5</v>
      </c>
      <c r="AA591">
        <v>0.99999570000000004</v>
      </c>
      <c r="AB591">
        <v>26</v>
      </c>
      <c r="AC591">
        <v>14.6111</v>
      </c>
      <c r="AD591">
        <v>-1.1204807426323</v>
      </c>
      <c r="AE591">
        <v>-4.9699999999972898E-2</v>
      </c>
      <c r="AF591">
        <v>4.3604744510073699E-2</v>
      </c>
      <c r="AG591">
        <v>-1.1204807426323</v>
      </c>
      <c r="AH591">
        <v>14.5256956815886</v>
      </c>
      <c r="AI591">
        <v>94.410917810221093</v>
      </c>
      <c r="AJ591">
        <v>89.828004084805301</v>
      </c>
      <c r="AK591">
        <v>14.568912571035501</v>
      </c>
      <c r="AL591">
        <v>94.900956431707598</v>
      </c>
      <c r="AM591">
        <v>89.176888996349504</v>
      </c>
      <c r="AN591">
        <v>0.99999994147153903</v>
      </c>
    </row>
    <row r="592" spans="1:40" x14ac:dyDescent="0.25">
      <c r="A592" t="str">
        <f>"20190303154427497"</f>
        <v>20190303154427497</v>
      </c>
      <c r="B592" t="str">
        <f>"1551599067490358"</f>
        <v>1551599067490358</v>
      </c>
      <c r="C592" t="s">
        <v>40</v>
      </c>
      <c r="D592">
        <v>4.9571730000000001</v>
      </c>
      <c r="E592">
        <v>0.49555549999999998</v>
      </c>
      <c r="F592" t="s">
        <v>41</v>
      </c>
      <c r="G592">
        <v>-347.72489999999999</v>
      </c>
      <c r="H592" s="1">
        <v>-1.4462260000000001E-6</v>
      </c>
      <c r="I592">
        <v>367.416</v>
      </c>
      <c r="J592">
        <v>-363.91</v>
      </c>
      <c r="K592">
        <v>1.1204769999999999</v>
      </c>
      <c r="L592">
        <v>367.46530000000001</v>
      </c>
      <c r="M592">
        <v>0.99995179999999995</v>
      </c>
      <c r="N592">
        <v>-9.8109919999999993E-3</v>
      </c>
      <c r="O592">
        <v>-3.993949E-4</v>
      </c>
      <c r="P592">
        <v>0.99536820000000004</v>
      </c>
      <c r="Q592">
        <v>-9.5060469999999994E-2</v>
      </c>
      <c r="R592">
        <v>-1.43508E-2</v>
      </c>
      <c r="S592">
        <v>2.9943849999999999</v>
      </c>
      <c r="T592">
        <v>-0.2041355</v>
      </c>
      <c r="U592">
        <v>-9.0026859999999993E-3</v>
      </c>
      <c r="V592">
        <v>1.394984E-2</v>
      </c>
      <c r="W592">
        <v>-8.5290809999999995E-2</v>
      </c>
      <c r="X592">
        <v>0.99625839999999999</v>
      </c>
      <c r="Y592">
        <v>2.6008680000000001E-3</v>
      </c>
      <c r="Z592" s="1">
        <v>-7.8045479999999995E-5</v>
      </c>
      <c r="AA592">
        <v>0.99999660000000001</v>
      </c>
      <c r="AB592">
        <v>26</v>
      </c>
      <c r="AC592">
        <v>16.185099999999998</v>
      </c>
      <c r="AD592">
        <v>-1.120478446226</v>
      </c>
      <c r="AE592">
        <v>-4.9300000000016497E-2</v>
      </c>
      <c r="AF592">
        <v>4.2631124186794898E-2</v>
      </c>
      <c r="AG592">
        <v>-1.120478446226</v>
      </c>
      <c r="AH592">
        <v>16.1079194030855</v>
      </c>
      <c r="AI592">
        <v>93.979112032036099</v>
      </c>
      <c r="AJ592">
        <v>89.848361682988994</v>
      </c>
      <c r="AK592">
        <v>16.1468992954531</v>
      </c>
      <c r="AL592">
        <v>94.892747980459603</v>
      </c>
      <c r="AM592">
        <v>89.197783699881498</v>
      </c>
      <c r="AN592">
        <v>0.99999995993851998</v>
      </c>
    </row>
    <row r="593" spans="1:40" x14ac:dyDescent="0.25">
      <c r="A593" t="str">
        <f>"20190303154427520"</f>
        <v>20190303154427520</v>
      </c>
      <c r="B593" t="str">
        <f>"1551599067510854"</f>
        <v>1551599067510854</v>
      </c>
      <c r="C593" t="s">
        <v>40</v>
      </c>
      <c r="D593">
        <v>4.9840559999999998</v>
      </c>
      <c r="E593">
        <v>0.49546010000000001</v>
      </c>
      <c r="F593" t="s">
        <v>41</v>
      </c>
      <c r="G593">
        <v>-347.0788</v>
      </c>
      <c r="H593" s="1">
        <v>-1.749694E-6</v>
      </c>
      <c r="I593">
        <v>367.42700000000002</v>
      </c>
      <c r="J593">
        <v>-363.63139999999999</v>
      </c>
      <c r="K593">
        <v>1.120468</v>
      </c>
      <c r="L593">
        <v>367.46510000000001</v>
      </c>
      <c r="M593">
        <v>0.9999519</v>
      </c>
      <c r="N593">
        <v>-9.8195039999999997E-3</v>
      </c>
      <c r="O593">
        <v>-3.9919780000000001E-4</v>
      </c>
      <c r="P593">
        <v>0.99533709999999997</v>
      </c>
      <c r="Q593">
        <v>-9.5434889999999994E-2</v>
      </c>
      <c r="R593">
        <v>-1.402396E-2</v>
      </c>
      <c r="S593">
        <v>2.994812</v>
      </c>
      <c r="T593">
        <v>-0.19936909999999999</v>
      </c>
      <c r="U593">
        <v>-6.8054200000000004E-3</v>
      </c>
      <c r="V593">
        <v>1.3623339999999999E-2</v>
      </c>
      <c r="W593">
        <v>-8.5657029999999995E-2</v>
      </c>
      <c r="X593">
        <v>0.99623159999999999</v>
      </c>
      <c r="Y593">
        <v>1.8690740000000001E-3</v>
      </c>
      <c r="Z593" s="1">
        <v>-4.8703779999999998E-5</v>
      </c>
      <c r="AA593">
        <v>0.99999830000000001</v>
      </c>
      <c r="AB593">
        <v>26</v>
      </c>
      <c r="AC593">
        <v>16.552599999999899</v>
      </c>
      <c r="AD593">
        <v>-1.1204697496939999</v>
      </c>
      <c r="AE593">
        <v>-3.81000000000426E-2</v>
      </c>
      <c r="AF593">
        <v>3.13482768781689E-2</v>
      </c>
      <c r="AG593">
        <v>-1.1204697496939999</v>
      </c>
      <c r="AH593">
        <v>16.4771139391639</v>
      </c>
      <c r="AI593">
        <v>93.890207384973607</v>
      </c>
      <c r="AJ593">
        <v>89.890992937254794</v>
      </c>
      <c r="AK593">
        <v>16.515196606115001</v>
      </c>
      <c r="AL593">
        <v>94.913807412226006</v>
      </c>
      <c r="AM593">
        <v>89.216536360746503</v>
      </c>
      <c r="AN593">
        <v>1.0000000615098601</v>
      </c>
    </row>
    <row r="594" spans="1:40" x14ac:dyDescent="0.25">
      <c r="A594" t="str">
        <f>"20190303154427542"</f>
        <v>20190303154427542</v>
      </c>
      <c r="B594" t="str">
        <f>"1551599067530378"</f>
        <v>1551599067530378</v>
      </c>
      <c r="C594" t="s">
        <v>40</v>
      </c>
      <c r="D594">
        <v>4.9849930000000002</v>
      </c>
      <c r="E594">
        <v>0.49545980000000001</v>
      </c>
      <c r="F594" t="s">
        <v>41</v>
      </c>
      <c r="G594">
        <v>-346.65780000000001</v>
      </c>
      <c r="H594" s="1">
        <v>-1.9467719999999998E-6</v>
      </c>
      <c r="I594">
        <v>367.43799999999999</v>
      </c>
      <c r="J594">
        <v>-363.38</v>
      </c>
      <c r="K594">
        <v>1.120465</v>
      </c>
      <c r="L594">
        <v>367.46510000000001</v>
      </c>
      <c r="M594">
        <v>0.99995160000000005</v>
      </c>
      <c r="N594">
        <v>-9.8271460000000001E-3</v>
      </c>
      <c r="O594">
        <v>-3.991159E-4</v>
      </c>
      <c r="P594">
        <v>0.9953632</v>
      </c>
      <c r="Q594">
        <v>-9.5269619999999999E-2</v>
      </c>
      <c r="R594">
        <v>-1.325525E-2</v>
      </c>
      <c r="S594">
        <v>2.9950260000000002</v>
      </c>
      <c r="T594">
        <v>-0.19770860000000001</v>
      </c>
      <c r="U594">
        <v>-4.7912600000000003E-3</v>
      </c>
      <c r="V594">
        <v>1.285477E-2</v>
      </c>
      <c r="W594">
        <v>-8.5483890000000007E-2</v>
      </c>
      <c r="X594">
        <v>0.99625660000000005</v>
      </c>
      <c r="Y594">
        <v>1.198235E-3</v>
      </c>
      <c r="Z594" s="1">
        <v>-2.3001950000000001E-5</v>
      </c>
      <c r="AA594">
        <v>0.99999930000000004</v>
      </c>
      <c r="AB594">
        <v>26</v>
      </c>
      <c r="AC594">
        <v>16.722199999999901</v>
      </c>
      <c r="AD594">
        <v>-1.1204669467720001</v>
      </c>
      <c r="AE594">
        <v>-2.70999999999617E-2</v>
      </c>
      <c r="AF594">
        <v>2.0334286095414399E-2</v>
      </c>
      <c r="AG594">
        <v>-1.1204669467720001</v>
      </c>
      <c r="AH594">
        <v>16.6474685823869</v>
      </c>
      <c r="AI594">
        <v>93.850513486595503</v>
      </c>
      <c r="AJ594">
        <v>89.930015294067303</v>
      </c>
      <c r="AK594">
        <v>16.685145185570299</v>
      </c>
      <c r="AL594">
        <v>94.903851117968202</v>
      </c>
      <c r="AM594">
        <v>89.260749492402496</v>
      </c>
      <c r="AN594">
        <v>0.99999997680242203</v>
      </c>
    </row>
    <row r="595" spans="1:40" x14ac:dyDescent="0.25">
      <c r="A595" t="str">
        <f>"20190303154427565"</f>
        <v>20190303154427565</v>
      </c>
      <c r="B595" t="str">
        <f>"1551599067560630"</f>
        <v>1551599067560630</v>
      </c>
      <c r="C595" t="s">
        <v>40</v>
      </c>
      <c r="D595">
        <v>4.9779980000000004</v>
      </c>
      <c r="E595">
        <v>0.4955714</v>
      </c>
      <c r="F595" t="s">
        <v>41</v>
      </c>
      <c r="G595">
        <v>-346.36160000000001</v>
      </c>
      <c r="H595" s="1">
        <v>-2.084459E-6</v>
      </c>
      <c r="I595">
        <v>367.45119999999997</v>
      </c>
      <c r="J595">
        <v>-363.1035</v>
      </c>
      <c r="K595">
        <v>1.120471</v>
      </c>
      <c r="L595">
        <v>367.46499999999997</v>
      </c>
      <c r="M595">
        <v>0.99995160000000005</v>
      </c>
      <c r="N595">
        <v>-9.8353639999999992E-3</v>
      </c>
      <c r="O595">
        <v>-3.9891759999999998E-4</v>
      </c>
      <c r="P595">
        <v>0.99538890000000002</v>
      </c>
      <c r="Q595">
        <v>-9.506713E-2</v>
      </c>
      <c r="R595">
        <v>-1.2790630000000001E-2</v>
      </c>
      <c r="S595">
        <v>2.9950869999999998</v>
      </c>
      <c r="T595">
        <v>-0.19719210000000001</v>
      </c>
      <c r="U595">
        <v>-2.4414060000000001E-3</v>
      </c>
      <c r="V595">
        <v>1.239023E-2</v>
      </c>
      <c r="W595">
        <v>-8.5272959999999995E-2</v>
      </c>
      <c r="X595">
        <v>0.99628059999999996</v>
      </c>
      <c r="Y595">
        <v>4.1578999999999997E-4</v>
      </c>
      <c r="Z595" s="1">
        <v>6.5957479999999999E-6</v>
      </c>
      <c r="AA595">
        <v>0.99999990000000005</v>
      </c>
      <c r="AB595">
        <v>27</v>
      </c>
      <c r="AC595">
        <v>16.741899999999902</v>
      </c>
      <c r="AD595">
        <v>-1.1204730844589901</v>
      </c>
      <c r="AE595">
        <v>-1.3800000000003299E-2</v>
      </c>
      <c r="AF595">
        <v>7.08928382361468E-3</v>
      </c>
      <c r="AG595">
        <v>-1.1204730844589901</v>
      </c>
      <c r="AH595">
        <v>16.667249497681301</v>
      </c>
      <c r="AI595">
        <v>93.845980885932093</v>
      </c>
      <c r="AJ595">
        <v>89.975629691124198</v>
      </c>
      <c r="AK595">
        <v>16.7048710264073</v>
      </c>
      <c r="AL595">
        <v>94.891721242550602</v>
      </c>
      <c r="AM595">
        <v>89.287478557737998</v>
      </c>
      <c r="AN595">
        <v>1.00000001472148</v>
      </c>
    </row>
    <row r="596" spans="1:40" x14ac:dyDescent="0.25">
      <c r="A596" t="str">
        <f>"20190303154427586"</f>
        <v>20190303154427586</v>
      </c>
      <c r="B596" t="str">
        <f>"1551599067581127"</f>
        <v>1551599067581127</v>
      </c>
      <c r="C596" t="s">
        <v>40</v>
      </c>
      <c r="D596">
        <v>5.0210540000000004</v>
      </c>
      <c r="E596">
        <v>0.4955214</v>
      </c>
      <c r="F596" t="s">
        <v>41</v>
      </c>
      <c r="G596">
        <v>-346.07900000000001</v>
      </c>
      <c r="H596" s="1">
        <v>-2.21761E-6</v>
      </c>
      <c r="I596">
        <v>367.45350000000002</v>
      </c>
      <c r="J596">
        <v>-362.84789999999998</v>
      </c>
      <c r="K596">
        <v>1.1204730000000001</v>
      </c>
      <c r="L596">
        <v>367.4649</v>
      </c>
      <c r="M596">
        <v>0.99995149999999999</v>
      </c>
      <c r="N596">
        <v>-9.8430870000000004E-3</v>
      </c>
      <c r="O596">
        <v>-3.987172E-4</v>
      </c>
      <c r="P596">
        <v>0.99538499999999996</v>
      </c>
      <c r="Q596">
        <v>-9.5128149999999995E-2</v>
      </c>
      <c r="R596">
        <v>-1.262655E-2</v>
      </c>
      <c r="S596">
        <v>2.9950559999999999</v>
      </c>
      <c r="T596">
        <v>-0.19712089999999999</v>
      </c>
      <c r="U596">
        <v>-2.0141600000000001E-3</v>
      </c>
      <c r="V596">
        <v>1.222643E-2</v>
      </c>
      <c r="W596">
        <v>-8.5326310000000002E-2</v>
      </c>
      <c r="X596">
        <v>0.996278</v>
      </c>
      <c r="Y596">
        <v>2.7370129999999999E-4</v>
      </c>
      <c r="Z596" s="1">
        <v>1.19464E-5</v>
      </c>
      <c r="AA596">
        <v>0.99999990000000005</v>
      </c>
      <c r="AB596">
        <v>27</v>
      </c>
      <c r="AC596">
        <v>16.768899999999899</v>
      </c>
      <c r="AD596">
        <v>-1.1204752176099999</v>
      </c>
      <c r="AE596">
        <v>-1.13999999999805E-2</v>
      </c>
      <c r="AF596">
        <v>4.6926749563730597E-3</v>
      </c>
      <c r="AG596">
        <v>-1.1204752176099999</v>
      </c>
      <c r="AH596">
        <v>16.694367376588701</v>
      </c>
      <c r="AI596">
        <v>93.839759765428198</v>
      </c>
      <c r="AJ596">
        <v>89.983894540207402</v>
      </c>
      <c r="AK596">
        <v>16.731927230268099</v>
      </c>
      <c r="AL596">
        <v>94.894789427103703</v>
      </c>
      <c r="AM596">
        <v>89.296895371203703</v>
      </c>
      <c r="AN596">
        <v>0.99999995902637895</v>
      </c>
    </row>
    <row r="597" spans="1:40" x14ac:dyDescent="0.25">
      <c r="A597" t="str">
        <f>"20190303154427610"</f>
        <v>20190303154427610</v>
      </c>
      <c r="B597" t="str">
        <f>"1551599067600646"</f>
        <v>1551599067600646</v>
      </c>
      <c r="C597" t="s">
        <v>40</v>
      </c>
      <c r="D597">
        <v>5.0188490000000003</v>
      </c>
      <c r="E597">
        <v>0.49571369999999998</v>
      </c>
      <c r="F597" t="s">
        <v>41</v>
      </c>
      <c r="G597">
        <v>-345.89159999999998</v>
      </c>
      <c r="H597" s="1">
        <v>-2.3052949999999998E-6</v>
      </c>
      <c r="I597">
        <v>367.45859999999999</v>
      </c>
      <c r="J597">
        <v>-362.56439999999998</v>
      </c>
      <c r="K597">
        <v>1.120471</v>
      </c>
      <c r="L597">
        <v>367.46480000000003</v>
      </c>
      <c r="M597">
        <v>0.99995149999999999</v>
      </c>
      <c r="N597">
        <v>-9.8516660000000002E-3</v>
      </c>
      <c r="O597">
        <v>-3.9852099999999999E-4</v>
      </c>
      <c r="P597">
        <v>0.99539109999999997</v>
      </c>
      <c r="Q597">
        <v>-9.5083089999999995E-2</v>
      </c>
      <c r="R597">
        <v>-1.249602E-2</v>
      </c>
      <c r="S597">
        <v>2.9949949999999999</v>
      </c>
      <c r="T597">
        <v>-0.19791010000000001</v>
      </c>
      <c r="U597">
        <v>-1.0986329999999999E-3</v>
      </c>
      <c r="V597">
        <v>1.209593E-2</v>
      </c>
      <c r="W597">
        <v>-8.5272630000000002E-2</v>
      </c>
      <c r="X597">
        <v>0.99628419999999895</v>
      </c>
      <c r="Y597" s="1">
        <v>-3.101035E-5</v>
      </c>
      <c r="Z597" s="1">
        <v>2.355955E-5</v>
      </c>
      <c r="AA597">
        <v>1</v>
      </c>
      <c r="AB597">
        <v>27</v>
      </c>
      <c r="AC597">
        <v>16.672799999999899</v>
      </c>
      <c r="AD597">
        <v>-1.120473305295</v>
      </c>
      <c r="AE597">
        <v>-6.2000000000352797E-3</v>
      </c>
      <c r="AF597">
        <v>-4.4278340842458498E-4</v>
      </c>
      <c r="AG597">
        <v>-1.120473305295</v>
      </c>
      <c r="AH597">
        <v>16.597839787180799</v>
      </c>
      <c r="AI597">
        <v>93.8620167443989</v>
      </c>
      <c r="AJ597">
        <v>90.001528489300995</v>
      </c>
      <c r="AK597">
        <v>16.635616797247302</v>
      </c>
      <c r="AL597">
        <v>94.8917024848284</v>
      </c>
      <c r="AM597">
        <v>89.304403614442293</v>
      </c>
      <c r="AN597">
        <v>0.99999997005966001</v>
      </c>
    </row>
    <row r="598" spans="1:40" x14ac:dyDescent="0.25">
      <c r="A598" t="str">
        <f>"20190303154427630"</f>
        <v>20190303154427630</v>
      </c>
      <c r="B598" t="str">
        <f>"1551599067621142"</f>
        <v>1551599067621142</v>
      </c>
      <c r="C598" t="s">
        <v>40</v>
      </c>
      <c r="D598">
        <v>5.075393</v>
      </c>
      <c r="E598">
        <v>0.49593999999999999</v>
      </c>
      <c r="F598" t="s">
        <v>41</v>
      </c>
      <c r="G598">
        <v>-345.7131</v>
      </c>
      <c r="H598" s="1">
        <v>-2.3908870000000001E-6</v>
      </c>
      <c r="I598">
        <v>367.45170000000002</v>
      </c>
      <c r="J598">
        <v>-362.31790000000001</v>
      </c>
      <c r="K598">
        <v>1.1204769999999999</v>
      </c>
      <c r="L598">
        <v>367.46469999999999</v>
      </c>
      <c r="M598">
        <v>0.99995129999999999</v>
      </c>
      <c r="N598">
        <v>-9.8591370000000005E-3</v>
      </c>
      <c r="O598">
        <v>-3.9843849999999999E-4</v>
      </c>
      <c r="P598">
        <v>0.99539460000000002</v>
      </c>
      <c r="Q598">
        <v>-9.5076620000000001E-2</v>
      </c>
      <c r="R598">
        <v>-1.2256980000000001E-2</v>
      </c>
      <c r="S598">
        <v>2.9948429999999999</v>
      </c>
      <c r="T598">
        <v>-0.1991327</v>
      </c>
      <c r="U598">
        <v>-2.319336E-3</v>
      </c>
      <c r="V598">
        <v>1.185713E-2</v>
      </c>
      <c r="W598">
        <v>-8.5258650000000005E-2</v>
      </c>
      <c r="X598">
        <v>0.99628830000000002</v>
      </c>
      <c r="Y598">
        <v>3.7567070000000001E-4</v>
      </c>
      <c r="Z598" s="1">
        <v>8.2090049999999992E-6</v>
      </c>
      <c r="AA598">
        <v>0.99999990000000005</v>
      </c>
      <c r="AB598">
        <v>27</v>
      </c>
      <c r="AC598">
        <v>16.604800000000001</v>
      </c>
      <c r="AD598">
        <v>-1.1204793908870001</v>
      </c>
      <c r="AE598">
        <v>-1.2999999999976799E-2</v>
      </c>
      <c r="AF598">
        <v>6.3547496650838298E-3</v>
      </c>
      <c r="AG598">
        <v>-1.1204793908870001</v>
      </c>
      <c r="AH598">
        <v>16.5295375069046</v>
      </c>
      <c r="AI598">
        <v>93.877947240555997</v>
      </c>
      <c r="AJ598">
        <v>89.977972746207698</v>
      </c>
      <c r="AK598">
        <v>16.567471884400799</v>
      </c>
      <c r="AL598">
        <v>94.8908984014857</v>
      </c>
      <c r="AM598">
        <v>89.318137698081202</v>
      </c>
      <c r="AN598">
        <v>1.0000000028242699</v>
      </c>
    </row>
    <row r="599" spans="1:40" x14ac:dyDescent="0.25">
      <c r="A599" t="str">
        <f>"20190303154427655"</f>
        <v>20190303154427655</v>
      </c>
      <c r="B599" t="str">
        <f>"1551599067650422"</f>
        <v>1551599067650422</v>
      </c>
      <c r="C599" t="s">
        <v>40</v>
      </c>
      <c r="D599">
        <v>5.0806559999999896</v>
      </c>
      <c r="E599">
        <v>0.495919</v>
      </c>
      <c r="F599" t="s">
        <v>41</v>
      </c>
      <c r="G599">
        <v>-345.73809999999997</v>
      </c>
      <c r="H599" s="1">
        <v>-2.379975E-6</v>
      </c>
      <c r="I599">
        <v>367.44659999999999</v>
      </c>
      <c r="J599">
        <v>-362.0394</v>
      </c>
      <c r="K599">
        <v>1.1204780000000001</v>
      </c>
      <c r="L599">
        <v>367.46449999999999</v>
      </c>
      <c r="M599">
        <v>0.99995120000000004</v>
      </c>
      <c r="N599">
        <v>-9.8675849999999999E-3</v>
      </c>
      <c r="O599">
        <v>-3.9812259999999998E-4</v>
      </c>
      <c r="P599">
        <v>0.99541710000000005</v>
      </c>
      <c r="Q599">
        <v>-9.4847379999999995E-2</v>
      </c>
      <c r="R599">
        <v>-1.2200259999999999E-2</v>
      </c>
      <c r="S599">
        <v>2.9944760000000001</v>
      </c>
      <c r="T599">
        <v>-0.2023702</v>
      </c>
      <c r="U599">
        <v>-3.2653809999999999E-3</v>
      </c>
      <c r="V599">
        <v>1.180079E-2</v>
      </c>
      <c r="W599">
        <v>-8.5020819999999997E-2</v>
      </c>
      <c r="X599">
        <v>0.99630929999999995</v>
      </c>
      <c r="Y599">
        <v>6.9118049999999996E-4</v>
      </c>
      <c r="Z599" s="1">
        <v>-3.7933109999999998E-6</v>
      </c>
      <c r="AA599">
        <v>0.99999979999999999</v>
      </c>
      <c r="AB599">
        <v>27</v>
      </c>
      <c r="AC599">
        <v>16.301300000000001</v>
      </c>
      <c r="AD599">
        <v>-1.1204803799750001</v>
      </c>
      <c r="AE599">
        <v>-1.78999999999973E-2</v>
      </c>
      <c r="AF599">
        <v>1.13561135288116E-2</v>
      </c>
      <c r="AG599">
        <v>-1.1204803799750001</v>
      </c>
      <c r="AH599">
        <v>16.224651119284999</v>
      </c>
      <c r="AI599">
        <v>93.950594062215501</v>
      </c>
      <c r="AJ599">
        <v>89.959896994651103</v>
      </c>
      <c r="AK599">
        <v>16.263299455698998</v>
      </c>
      <c r="AL599">
        <v>94.877222053380805</v>
      </c>
      <c r="AM599">
        <v>89.321391614312901</v>
      </c>
      <c r="AN599">
        <v>1.0000000098722901</v>
      </c>
    </row>
    <row r="600" spans="1:40" x14ac:dyDescent="0.25">
      <c r="A600" t="str">
        <f>"20190303154427675"</f>
        <v>20190303154427675</v>
      </c>
      <c r="B600" t="str">
        <f>"1551599067670918"</f>
        <v>1551599067670918</v>
      </c>
      <c r="C600" t="s">
        <v>40</v>
      </c>
      <c r="D600">
        <v>5.1315160000000004</v>
      </c>
      <c r="E600">
        <v>0.49586219999999998</v>
      </c>
      <c r="F600" t="s">
        <v>41</v>
      </c>
      <c r="G600">
        <v>-345.91320000000002</v>
      </c>
      <c r="H600" s="1">
        <v>-2.2970260000000001E-6</v>
      </c>
      <c r="I600">
        <v>367.44760000000002</v>
      </c>
      <c r="J600">
        <v>-361.78210000000001</v>
      </c>
      <c r="K600">
        <v>1.120476</v>
      </c>
      <c r="L600">
        <v>367.46440000000001</v>
      </c>
      <c r="M600">
        <v>0.99995120000000004</v>
      </c>
      <c r="N600">
        <v>-9.875511E-3</v>
      </c>
      <c r="O600">
        <v>-3.979233E-4</v>
      </c>
      <c r="P600">
        <v>0.99541950000000001</v>
      </c>
      <c r="Q600">
        <v>-9.4738379999999997E-2</v>
      </c>
      <c r="R600">
        <v>-1.28418E-2</v>
      </c>
      <c r="S600">
        <v>2.9939269999999998</v>
      </c>
      <c r="T600">
        <v>-0.20802470000000001</v>
      </c>
      <c r="U600">
        <v>-3.1433110000000002E-3</v>
      </c>
      <c r="V600">
        <v>1.244229E-2</v>
      </c>
      <c r="W600">
        <v>-8.4903900000000004E-2</v>
      </c>
      <c r="X600">
        <v>0.99631139999999996</v>
      </c>
      <c r="Y600">
        <v>6.5086549999999999E-4</v>
      </c>
      <c r="Z600" s="1">
        <v>-2.1133090000000002E-6</v>
      </c>
      <c r="AA600">
        <v>0.99999979999999999</v>
      </c>
      <c r="AB600">
        <v>27</v>
      </c>
      <c r="AC600">
        <v>15.868899999999901</v>
      </c>
      <c r="AD600">
        <v>-1.1204782970260001</v>
      </c>
      <c r="AE600">
        <v>-1.6799999999989199E-2</v>
      </c>
      <c r="AF600">
        <v>1.04330713849532E-2</v>
      </c>
      <c r="AG600">
        <v>-1.1204782970260001</v>
      </c>
      <c r="AH600">
        <v>15.790182739909399</v>
      </c>
      <c r="AI600">
        <v>94.058929143445695</v>
      </c>
      <c r="AJ600">
        <v>89.962142878231703</v>
      </c>
      <c r="AK600">
        <v>15.829891074256199</v>
      </c>
      <c r="AL600">
        <v>94.870499040593302</v>
      </c>
      <c r="AM600">
        <v>89.284507185833803</v>
      </c>
      <c r="AN600">
        <v>0.99999994429280503</v>
      </c>
    </row>
    <row r="601" spans="1:40" x14ac:dyDescent="0.25">
      <c r="A601" t="str">
        <f>"20190303154427699"</f>
        <v>20190303154427699</v>
      </c>
      <c r="B601" t="str">
        <f>"1551599067690442"</f>
        <v>1551599067690442</v>
      </c>
      <c r="C601" t="s">
        <v>40</v>
      </c>
      <c r="D601">
        <v>5.0393629999999998</v>
      </c>
      <c r="E601">
        <v>0.49573339999999999</v>
      </c>
      <c r="F601" t="s">
        <v>41</v>
      </c>
      <c r="G601">
        <v>-345.9796</v>
      </c>
      <c r="H601" s="1">
        <v>-2.2670519999999998E-6</v>
      </c>
      <c r="I601">
        <v>367.43979999999999</v>
      </c>
      <c r="J601">
        <v>-361.50839999999999</v>
      </c>
      <c r="K601">
        <v>1.120474</v>
      </c>
      <c r="L601">
        <v>367.46440000000001</v>
      </c>
      <c r="M601">
        <v>0.99995109999999998</v>
      </c>
      <c r="N601">
        <v>-9.8838580000000006E-3</v>
      </c>
      <c r="O601">
        <v>-3.9772629999999999E-4</v>
      </c>
      <c r="P601">
        <v>0.99542359999999996</v>
      </c>
      <c r="Q601">
        <v>-9.4689289999999995E-2</v>
      </c>
      <c r="R601">
        <v>-1.287613E-2</v>
      </c>
      <c r="S601">
        <v>2.9934690000000002</v>
      </c>
      <c r="T601">
        <v>-0.21225179999999999</v>
      </c>
      <c r="U601">
        <v>-4.6691889999999998E-3</v>
      </c>
      <c r="V601">
        <v>1.2476889999999999E-2</v>
      </c>
      <c r="W601">
        <v>-8.4846469999999993E-2</v>
      </c>
      <c r="X601">
        <v>0.99631590000000003</v>
      </c>
      <c r="Y601">
        <v>1.1594660000000001E-3</v>
      </c>
      <c r="Z601" s="1">
        <v>-2.2554259999999999E-5</v>
      </c>
      <c r="AA601">
        <v>0.99999930000000004</v>
      </c>
      <c r="AB601">
        <v>27</v>
      </c>
      <c r="AC601">
        <v>15.528799999999899</v>
      </c>
      <c r="AD601">
        <v>-1.1204762670520001</v>
      </c>
      <c r="AE601">
        <v>-2.46000000000208E-2</v>
      </c>
      <c r="AF601">
        <v>1.8328063113178601E-2</v>
      </c>
      <c r="AG601">
        <v>-1.1204762670520001</v>
      </c>
      <c r="AH601">
        <v>15.448379795080999</v>
      </c>
      <c r="AI601">
        <v>94.148415280851793</v>
      </c>
      <c r="AJ601">
        <v>89.932023928446696</v>
      </c>
      <c r="AK601">
        <v>15.4889716016264</v>
      </c>
      <c r="AL601">
        <v>94.867196431535206</v>
      </c>
      <c r="AM601">
        <v>89.282520963792706</v>
      </c>
      <c r="AN601">
        <v>0.99999998442417104</v>
      </c>
    </row>
    <row r="602" spans="1:40" x14ac:dyDescent="0.25">
      <c r="A602" t="str">
        <f>"20190303154427720"</f>
        <v>20190303154427720</v>
      </c>
      <c r="B602" t="str">
        <f>"1551599067710935"</f>
        <v>1551599067710935</v>
      </c>
      <c r="C602" t="s">
        <v>40</v>
      </c>
      <c r="D602">
        <v>4.9810089999999896</v>
      </c>
      <c r="E602">
        <v>0.49591390000000002</v>
      </c>
      <c r="F602" t="s">
        <v>41</v>
      </c>
      <c r="G602">
        <v>-346.03640000000001</v>
      </c>
      <c r="H602" s="1">
        <v>-2.2392239999999999E-6</v>
      </c>
      <c r="I602">
        <v>367.44529999999997</v>
      </c>
      <c r="J602">
        <v>-361.23820000000001</v>
      </c>
      <c r="K602">
        <v>1.1204730000000001</v>
      </c>
      <c r="L602">
        <v>367.46420000000001</v>
      </c>
      <c r="M602">
        <v>0.99995109999999998</v>
      </c>
      <c r="N602">
        <v>-9.8921949999999995E-3</v>
      </c>
      <c r="O602">
        <v>-3.9752910000000002E-4</v>
      </c>
      <c r="P602">
        <v>0.99541489999999999</v>
      </c>
      <c r="Q602">
        <v>-9.4713080000000005E-2</v>
      </c>
      <c r="R602">
        <v>-1.338277E-2</v>
      </c>
      <c r="S602">
        <v>2.9931640000000002</v>
      </c>
      <c r="T602">
        <v>-0.2167636</v>
      </c>
      <c r="U602">
        <v>-3.692627E-3</v>
      </c>
      <c r="V602">
        <v>1.2983659999999999E-2</v>
      </c>
      <c r="W602">
        <v>-8.4862049999999994E-2</v>
      </c>
      <c r="X602">
        <v>0.99630810000000003</v>
      </c>
      <c r="Y602">
        <v>8.3442909999999996E-4</v>
      </c>
      <c r="Z602" s="1">
        <v>-9.4852479999999999E-6</v>
      </c>
      <c r="AA602">
        <v>0.99999959999999999</v>
      </c>
      <c r="AB602">
        <v>27</v>
      </c>
      <c r="AC602">
        <v>15.201799999999899</v>
      </c>
      <c r="AD602">
        <v>-1.1204752392240001</v>
      </c>
      <c r="AE602">
        <v>-1.89000000000305E-2</v>
      </c>
      <c r="AF602">
        <v>1.27870775340294E-2</v>
      </c>
      <c r="AG602">
        <v>-1.1204752392240001</v>
      </c>
      <c r="AH602">
        <v>15.119666061229299</v>
      </c>
      <c r="AI602">
        <v>94.238277595559396</v>
      </c>
      <c r="AJ602">
        <v>89.951543546175898</v>
      </c>
      <c r="AK602">
        <v>15.161132216102899</v>
      </c>
      <c r="AL602">
        <v>94.868092320637004</v>
      </c>
      <c r="AM602">
        <v>89.253376728581102</v>
      </c>
      <c r="AN602">
        <v>0.99999998654140398</v>
      </c>
    </row>
    <row r="603" spans="1:40" x14ac:dyDescent="0.25">
      <c r="A603" t="str">
        <f>"20190303154427743"</f>
        <v>20190303154427743</v>
      </c>
      <c r="B603" t="str">
        <f>"1551599067740739"</f>
        <v>1551599067740739</v>
      </c>
      <c r="C603" t="s">
        <v>40</v>
      </c>
      <c r="D603">
        <v>5.1290979999999999</v>
      </c>
      <c r="E603">
        <v>0.49560920000000003</v>
      </c>
      <c r="F603" t="s">
        <v>41</v>
      </c>
      <c r="G603">
        <v>-345.80689999999998</v>
      </c>
      <c r="H603" s="1">
        <v>-2.3506969999999999E-6</v>
      </c>
      <c r="I603">
        <v>367.42849999999999</v>
      </c>
      <c r="J603">
        <v>-360.97230000000002</v>
      </c>
      <c r="K603">
        <v>1.120471</v>
      </c>
      <c r="L603">
        <v>367.46409999999997</v>
      </c>
      <c r="M603">
        <v>0.99995100000000003</v>
      </c>
      <c r="N603">
        <v>-9.900374E-3</v>
      </c>
      <c r="O603">
        <v>-3.9721199999999998E-4</v>
      </c>
      <c r="P603">
        <v>0.99548040000000004</v>
      </c>
      <c r="Q603">
        <v>-9.4015290000000001E-2</v>
      </c>
      <c r="R603">
        <v>-1.342849E-2</v>
      </c>
      <c r="S603">
        <v>2.993042</v>
      </c>
      <c r="T603">
        <v>-0.2173264</v>
      </c>
      <c r="U603">
        <v>-6.9274899999999997E-3</v>
      </c>
      <c r="V603">
        <v>1.302966E-2</v>
      </c>
      <c r="W603">
        <v>-8.4155480000000005E-2</v>
      </c>
      <c r="X603">
        <v>0.99636749999999996</v>
      </c>
      <c r="Y603">
        <v>1.912352E-3</v>
      </c>
      <c r="Z603" s="1">
        <v>-5.3942369999999897E-5</v>
      </c>
      <c r="AA603">
        <v>0.99999819999999995</v>
      </c>
      <c r="AB603">
        <v>27</v>
      </c>
      <c r="AC603">
        <v>15.1654</v>
      </c>
      <c r="AD603">
        <v>-1.1204733506969999</v>
      </c>
      <c r="AE603">
        <v>-3.5599999999988002E-2</v>
      </c>
      <c r="AF603">
        <v>2.94152532050918E-2</v>
      </c>
      <c r="AG603">
        <v>-1.1204733506969999</v>
      </c>
      <c r="AH603">
        <v>15.083078243520401</v>
      </c>
      <c r="AI603">
        <v>94.248507339614306</v>
      </c>
      <c r="AJ603">
        <v>89.888261023507496</v>
      </c>
      <c r="AK603">
        <v>15.124667767819</v>
      </c>
      <c r="AL603">
        <v>94.827463164384397</v>
      </c>
      <c r="AM603">
        <v>89.2507764707441</v>
      </c>
      <c r="AN603">
        <v>1.00000005595499</v>
      </c>
    </row>
    <row r="604" spans="1:40" x14ac:dyDescent="0.25">
      <c r="A604" t="str">
        <f>"20190303154427766"</f>
        <v>20190303154427766</v>
      </c>
      <c r="B604" t="str">
        <f>"1551599067761218"</f>
        <v>1551599067761218</v>
      </c>
      <c r="C604" t="s">
        <v>40</v>
      </c>
      <c r="D604">
        <v>5.1053449999999998</v>
      </c>
      <c r="E604">
        <v>0.49552600000000002</v>
      </c>
      <c r="F604" t="s">
        <v>41</v>
      </c>
      <c r="G604">
        <v>-345.84359999999998</v>
      </c>
      <c r="H604" s="1">
        <v>-2.3311250000000001E-6</v>
      </c>
      <c r="I604">
        <v>367.44099999999997</v>
      </c>
      <c r="J604">
        <v>-360.70330000000001</v>
      </c>
      <c r="K604">
        <v>1.1204670000000001</v>
      </c>
      <c r="L604">
        <v>367.464</v>
      </c>
      <c r="M604">
        <v>0.99995089999999998</v>
      </c>
      <c r="N604">
        <v>-9.9084819999999997E-3</v>
      </c>
      <c r="O604">
        <v>-3.9701370000000001E-4</v>
      </c>
      <c r="P604">
        <v>0.99547479999999999</v>
      </c>
      <c r="Q604">
        <v>-9.4057109999999999E-2</v>
      </c>
      <c r="R604">
        <v>-1.3551179999999999E-2</v>
      </c>
      <c r="S604">
        <v>2.9926149999999998</v>
      </c>
      <c r="T604">
        <v>-0.22164139999999999</v>
      </c>
      <c r="U604">
        <v>-4.5776369999999999E-3</v>
      </c>
      <c r="V604">
        <v>1.3152799999999999E-2</v>
      </c>
      <c r="W604">
        <v>-8.4189280000000005E-2</v>
      </c>
      <c r="X604">
        <v>0.996363</v>
      </c>
      <c r="Y604">
        <v>1.1299159999999999E-3</v>
      </c>
      <c r="Z604" s="1">
        <v>-2.1957350000000001E-5</v>
      </c>
      <c r="AA604">
        <v>0.99999930000000004</v>
      </c>
      <c r="AB604">
        <v>27</v>
      </c>
      <c r="AC604">
        <v>14.8597</v>
      </c>
      <c r="AD604">
        <v>-1.120469331125</v>
      </c>
      <c r="AE604">
        <v>-2.3000000000024501E-2</v>
      </c>
      <c r="AF604">
        <v>1.7003528670557301E-2</v>
      </c>
      <c r="AG604">
        <v>-1.120469331125</v>
      </c>
      <c r="AH604">
        <v>14.775698759949201</v>
      </c>
      <c r="AI604">
        <v>94.336545342045099</v>
      </c>
      <c r="AJ604">
        <v>89.934065385642498</v>
      </c>
      <c r="AK604">
        <v>14.8181312751218</v>
      </c>
      <c r="AL604">
        <v>94.829406787268098</v>
      </c>
      <c r="AM604">
        <v>89.243693153106406</v>
      </c>
      <c r="AN604">
        <v>1.00000002939187</v>
      </c>
    </row>
    <row r="605" spans="1:40" x14ac:dyDescent="0.25">
      <c r="A605" t="str">
        <f>"20190303154427787"</f>
        <v>20190303154427787</v>
      </c>
      <c r="B605" t="str">
        <f>"1551599067780737"</f>
        <v>1551599067780737</v>
      </c>
      <c r="C605" t="s">
        <v>40</v>
      </c>
      <c r="D605">
        <v>5.0309169999999996</v>
      </c>
      <c r="E605">
        <v>0.49548639999999999</v>
      </c>
      <c r="F605" t="s">
        <v>41</v>
      </c>
      <c r="G605">
        <v>-345.78570000000002</v>
      </c>
      <c r="H605" s="1">
        <v>-2.3583910000000001E-6</v>
      </c>
      <c r="I605">
        <v>367.44150000000002</v>
      </c>
      <c r="J605">
        <v>-360.44049999999999</v>
      </c>
      <c r="K605">
        <v>1.12046</v>
      </c>
      <c r="L605">
        <v>367.46390000000002</v>
      </c>
      <c r="M605">
        <v>0.99995080000000003</v>
      </c>
      <c r="N605">
        <v>-9.9161800000000001E-3</v>
      </c>
      <c r="O605">
        <v>-3.9681349999999999E-4</v>
      </c>
      <c r="P605">
        <v>0.99544270000000001</v>
      </c>
      <c r="Q605">
        <v>-9.4380560000000002E-2</v>
      </c>
      <c r="R605">
        <v>-1.3643270000000001E-2</v>
      </c>
      <c r="S605">
        <v>2.99234</v>
      </c>
      <c r="T605">
        <v>-0.22475590000000001</v>
      </c>
      <c r="U605">
        <v>-4.5166019999999998E-3</v>
      </c>
      <c r="V605">
        <v>1.3245140000000001E-2</v>
      </c>
      <c r="W605">
        <v>-8.450539E-2</v>
      </c>
      <c r="X605">
        <v>0.99633499999999997</v>
      </c>
      <c r="Y605">
        <v>1.1098550000000001E-3</v>
      </c>
      <c r="Z605" s="1">
        <v>-2.1301140000000001E-5</v>
      </c>
      <c r="AA605">
        <v>0.99999939999999998</v>
      </c>
      <c r="AB605">
        <v>27</v>
      </c>
      <c r="AC605">
        <v>14.6547999999999</v>
      </c>
      <c r="AD605">
        <v>-1.1204623583910001</v>
      </c>
      <c r="AE605">
        <v>-2.24000000000046E-2</v>
      </c>
      <c r="AF605">
        <v>1.6488106187703098E-2</v>
      </c>
      <c r="AG605">
        <v>-1.1204623583910001</v>
      </c>
      <c r="AH605">
        <v>14.5696385458271</v>
      </c>
      <c r="AI605">
        <v>94.397611555349897</v>
      </c>
      <c r="AJ605">
        <v>89.935159785161503</v>
      </c>
      <c r="AK605">
        <v>14.6126683090484</v>
      </c>
      <c r="AL605">
        <v>94.847583406813001</v>
      </c>
      <c r="AM605">
        <v>89.238362678846897</v>
      </c>
      <c r="AN605">
        <v>1.00000001344883</v>
      </c>
    </row>
    <row r="606" spans="1:40" x14ac:dyDescent="0.25">
      <c r="A606" t="str">
        <f>"20190303154427812"</f>
        <v>20190303154427812</v>
      </c>
      <c r="B606" t="str">
        <f>"1551599067801233"</f>
        <v>1551599067801233</v>
      </c>
      <c r="C606" t="s">
        <v>40</v>
      </c>
      <c r="D606">
        <v>5.0429469999999998</v>
      </c>
      <c r="E606">
        <v>0.50937189999999999</v>
      </c>
      <c r="F606" t="s">
        <v>41</v>
      </c>
      <c r="G606">
        <v>-345.80500000000001</v>
      </c>
      <c r="H606" s="1">
        <v>-2.3490179999999999E-6</v>
      </c>
      <c r="I606">
        <v>367.44279999999998</v>
      </c>
      <c r="J606">
        <v>-360.13699999999898</v>
      </c>
      <c r="K606">
        <v>1.1204590000000001</v>
      </c>
      <c r="L606">
        <v>367.46379999999999</v>
      </c>
      <c r="M606">
        <v>0.99995089999999998</v>
      </c>
      <c r="N606">
        <v>-9.9248860000000008E-3</v>
      </c>
      <c r="O606">
        <v>-3.9649910000000001E-4</v>
      </c>
      <c r="P606">
        <v>0.99542149999999996</v>
      </c>
      <c r="Q606">
        <v>-9.4569440000000005E-2</v>
      </c>
      <c r="R606">
        <v>-1.389963E-2</v>
      </c>
      <c r="S606">
        <v>2.9918819999999999</v>
      </c>
      <c r="T606">
        <v>-0.22905210000000001</v>
      </c>
      <c r="U606">
        <v>-4.3029790000000002E-3</v>
      </c>
      <c r="V606">
        <v>1.350168E-2</v>
      </c>
      <c r="W606">
        <v>-8.4685789999999997E-2</v>
      </c>
      <c r="X606">
        <v>0.99631630000000004</v>
      </c>
      <c r="Y606">
        <v>1.0391409999999999E-3</v>
      </c>
      <c r="Z606" s="1">
        <v>-1.850394E-5</v>
      </c>
      <c r="AA606">
        <v>0.99999950000000004</v>
      </c>
      <c r="AB606">
        <v>27</v>
      </c>
      <c r="AC606">
        <v>14.331999999999899</v>
      </c>
      <c r="AD606">
        <v>-1.120461349018</v>
      </c>
      <c r="AE606">
        <v>-2.1000000000015E-2</v>
      </c>
      <c r="AF606">
        <v>1.5224046175988101E-2</v>
      </c>
      <c r="AG606">
        <v>-1.120461349018</v>
      </c>
      <c r="AH606">
        <v>14.244942934377701</v>
      </c>
      <c r="AI606">
        <v>94.497439187521195</v>
      </c>
      <c r="AJ606">
        <v>89.938766110547803</v>
      </c>
      <c r="AK606">
        <v>14.288949037977</v>
      </c>
      <c r="AL606">
        <v>94.857956454975806</v>
      </c>
      <c r="AM606">
        <v>89.223598038029607</v>
      </c>
      <c r="AN606">
        <v>1.00000007401821</v>
      </c>
    </row>
    <row r="607" spans="1:40" x14ac:dyDescent="0.25">
      <c r="A607" t="str">
        <f>"20190303154427835"</f>
        <v>20190303154427835</v>
      </c>
      <c r="B607" t="str">
        <f>"1551599067830512"</f>
        <v>1551599067830512</v>
      </c>
      <c r="C607" t="s">
        <v>40</v>
      </c>
      <c r="D607">
        <v>4.9270659999999999</v>
      </c>
      <c r="E607">
        <v>0.52647359999999999</v>
      </c>
      <c r="F607" t="s">
        <v>42</v>
      </c>
      <c r="G607">
        <v>-359.31380000000001</v>
      </c>
      <c r="H607">
        <v>1.020491</v>
      </c>
      <c r="I607">
        <v>367.43119999999999</v>
      </c>
      <c r="J607">
        <v>-359.86689999999999</v>
      </c>
      <c r="K607">
        <v>1.120463</v>
      </c>
      <c r="L607">
        <v>367.46370000000002</v>
      </c>
      <c r="M607">
        <v>0.99995049999999996</v>
      </c>
      <c r="N607">
        <v>-9.932527E-3</v>
      </c>
      <c r="O607">
        <v>-3.9629869999999997E-4</v>
      </c>
      <c r="P607">
        <v>0.99536179999999996</v>
      </c>
      <c r="Q607">
        <v>-9.5170119999999997E-2</v>
      </c>
      <c r="R607">
        <v>-1.4052200000000001E-2</v>
      </c>
      <c r="S607">
        <v>2.9777830000000001</v>
      </c>
      <c r="T607">
        <v>-0.36179420000000001</v>
      </c>
      <c r="U607">
        <v>-0.117218</v>
      </c>
      <c r="V607">
        <v>1.365449E-2</v>
      </c>
      <c r="W607">
        <v>-8.5279430000000003E-2</v>
      </c>
      <c r="X607">
        <v>0.99626349999999997</v>
      </c>
      <c r="Y607">
        <v>3.8633109999999998E-2</v>
      </c>
      <c r="Z607">
        <v>-2.4860939999999999E-3</v>
      </c>
      <c r="AA607">
        <v>0.99925039999999998</v>
      </c>
      <c r="AB607">
        <v>27</v>
      </c>
      <c r="AC607">
        <v>0.55309999999997195</v>
      </c>
      <c r="AD607">
        <v>-9.9971999999999894E-2</v>
      </c>
      <c r="AE607">
        <v>-3.2500000000027202E-2</v>
      </c>
      <c r="AF607">
        <v>3.1262946923634398E-2</v>
      </c>
      <c r="AG607">
        <v>-9.9971999999999894E-2</v>
      </c>
      <c r="AH607">
        <v>0.53567261599439198</v>
      </c>
      <c r="AI607">
        <v>100.55387913944701</v>
      </c>
      <c r="AJ607">
        <v>86.659890235869995</v>
      </c>
      <c r="AK607">
        <v>0.54581766567291101</v>
      </c>
      <c r="AL607">
        <v>94.892093403847099</v>
      </c>
      <c r="AM607">
        <v>89.2147703222209</v>
      </c>
      <c r="AN607">
        <v>0.99999999385526706</v>
      </c>
    </row>
    <row r="608" spans="1:40" x14ac:dyDescent="0.25">
      <c r="A608" t="str">
        <f>"20190303154427854"</f>
        <v>20190303154427854</v>
      </c>
      <c r="B608" t="str">
        <f>"1551599067851009"</f>
        <v>1551599067851009</v>
      </c>
      <c r="C608" t="s">
        <v>40</v>
      </c>
      <c r="D608">
        <v>4.943155</v>
      </c>
      <c r="E608">
        <v>0.52648280000000003</v>
      </c>
      <c r="F608" t="s">
        <v>42</v>
      </c>
      <c r="G608">
        <v>-359.1275</v>
      </c>
      <c r="H608">
        <v>0.90674330000000003</v>
      </c>
      <c r="I608">
        <v>367.39789999999999</v>
      </c>
      <c r="J608">
        <v>-359.6275</v>
      </c>
      <c r="K608">
        <v>1.1204609999999999</v>
      </c>
      <c r="L608">
        <v>367.46359999999999</v>
      </c>
      <c r="M608">
        <v>0.99995060000000002</v>
      </c>
      <c r="N608">
        <v>-9.9392839999999996E-3</v>
      </c>
      <c r="O608">
        <v>-3.9609379999999998E-4</v>
      </c>
      <c r="P608">
        <v>0.99536880000000005</v>
      </c>
      <c r="Q608">
        <v>-9.5050350000000006E-2</v>
      </c>
      <c r="R608">
        <v>-1.437686E-2</v>
      </c>
      <c r="S608">
        <v>2.9293520000000002</v>
      </c>
      <c r="T608">
        <v>-0.8467015</v>
      </c>
      <c r="U608">
        <v>-0.25912479999999999</v>
      </c>
      <c r="V608">
        <v>1.39793E-2</v>
      </c>
      <c r="W608">
        <v>-8.515288E-2</v>
      </c>
      <c r="X608">
        <v>0.99626979999999998</v>
      </c>
      <c r="Y608">
        <v>8.4191160000000001E-2</v>
      </c>
      <c r="Z608">
        <v>-1.222114E-2</v>
      </c>
      <c r="AA608">
        <v>0.99637469999999995</v>
      </c>
      <c r="AB608">
        <v>27</v>
      </c>
      <c r="AC608">
        <v>0.5</v>
      </c>
      <c r="AD608">
        <v>-0.21371770000000001</v>
      </c>
      <c r="AE608">
        <v>-6.5699999999992501E-2</v>
      </c>
      <c r="AF608">
        <v>5.5528937935042801E-2</v>
      </c>
      <c r="AG608">
        <v>-0.21371770000000001</v>
      </c>
      <c r="AH608">
        <v>0.42389450881866098</v>
      </c>
      <c r="AI608">
        <v>116.560724730167</v>
      </c>
      <c r="AJ608">
        <v>82.536916657171702</v>
      </c>
      <c r="AK608">
        <v>0.47795948871018101</v>
      </c>
      <c r="AL608">
        <v>94.884816248559105</v>
      </c>
      <c r="AM608">
        <v>89.196098957428504</v>
      </c>
      <c r="AN608">
        <v>0.99999997409641095</v>
      </c>
    </row>
    <row r="609" spans="1:40" x14ac:dyDescent="0.25">
      <c r="A609" t="str">
        <f>"20190303154427876"</f>
        <v>20190303154427876</v>
      </c>
      <c r="B609" t="str">
        <f>"1551599067870529"</f>
        <v>1551599067870529</v>
      </c>
      <c r="C609" t="s">
        <v>40</v>
      </c>
      <c r="D609">
        <v>4.9775689999999999</v>
      </c>
      <c r="E609">
        <v>0.52848359999999905</v>
      </c>
      <c r="F609" t="s">
        <v>42</v>
      </c>
      <c r="G609">
        <v>-358.88619999999997</v>
      </c>
      <c r="H609">
        <v>0.90504649999999998</v>
      </c>
      <c r="I609">
        <v>367.39769999999999</v>
      </c>
      <c r="J609">
        <v>-359.36329999999998</v>
      </c>
      <c r="K609">
        <v>1.12046</v>
      </c>
      <c r="L609">
        <v>367.46350000000001</v>
      </c>
      <c r="M609">
        <v>0.99995049999999996</v>
      </c>
      <c r="N609">
        <v>-9.9467429999999992E-3</v>
      </c>
      <c r="O609">
        <v>-3.9577329999999997E-4</v>
      </c>
      <c r="P609">
        <v>0.99538550000000003</v>
      </c>
      <c r="Q609">
        <v>-9.4872849999999995E-2</v>
      </c>
      <c r="R609">
        <v>-1.4403880000000001E-2</v>
      </c>
      <c r="S609">
        <v>2.9289550000000002</v>
      </c>
      <c r="T609">
        <v>-0.851151199999999</v>
      </c>
      <c r="U609">
        <v>-0.26040649999999999</v>
      </c>
      <c r="V609">
        <v>1.400653E-2</v>
      </c>
      <c r="W609">
        <v>-8.4967769999999998E-2</v>
      </c>
      <c r="X609">
        <v>0.99628530000000004</v>
      </c>
      <c r="Y609">
        <v>8.4582580000000004E-2</v>
      </c>
      <c r="Z609">
        <v>-1.234009E-2</v>
      </c>
      <c r="AA609">
        <v>0.99634</v>
      </c>
      <c r="AB609">
        <v>27</v>
      </c>
      <c r="AC609">
        <v>0.47710000000000702</v>
      </c>
      <c r="AD609">
        <v>-0.21541350000000001</v>
      </c>
      <c r="AE609">
        <v>-6.58000000000242E-2</v>
      </c>
      <c r="AF609">
        <v>5.4673578704097503E-2</v>
      </c>
      <c r="AG609">
        <v>-0.21541350000000001</v>
      </c>
      <c r="AH609">
        <v>0.39758762695252597</v>
      </c>
      <c r="AI609">
        <v>118.224685577088</v>
      </c>
      <c r="AJ609">
        <v>82.170176717063796</v>
      </c>
      <c r="AK609">
        <v>0.45548665984450498</v>
      </c>
      <c r="AL609">
        <v>94.874171268206496</v>
      </c>
      <c r="AM609">
        <v>89.194545790337898</v>
      </c>
      <c r="AN609">
        <v>1.00000005190875</v>
      </c>
    </row>
    <row r="610" spans="1:40" x14ac:dyDescent="0.25">
      <c r="A610" t="str">
        <f>"20190303154427976"</f>
        <v>20190303154427976</v>
      </c>
      <c r="B610" t="str">
        <f>"1551599067971057"</f>
        <v>1551599067971057</v>
      </c>
      <c r="C610" t="s">
        <v>40</v>
      </c>
      <c r="D610">
        <v>4.8457670000000004</v>
      </c>
      <c r="E610">
        <v>0.53156890000000001</v>
      </c>
      <c r="F610" t="s">
        <v>42</v>
      </c>
      <c r="G610">
        <v>-357.66969999999998</v>
      </c>
      <c r="H610">
        <v>0.90965039999999997</v>
      </c>
      <c r="I610">
        <v>367.3886</v>
      </c>
      <c r="J610">
        <v>-358.1404</v>
      </c>
      <c r="K610">
        <v>1.120471</v>
      </c>
      <c r="L610">
        <v>367.46300000000002</v>
      </c>
      <c r="M610">
        <v>0.99995020000000001</v>
      </c>
      <c r="N610">
        <v>-9.9816430000000001E-3</v>
      </c>
      <c r="O610">
        <v>-3.9475619999999997E-4</v>
      </c>
      <c r="P610">
        <v>0.99538450000000001</v>
      </c>
      <c r="Q610">
        <v>-9.5021960000000003E-2</v>
      </c>
      <c r="R610">
        <v>-1.34418E-2</v>
      </c>
      <c r="S610">
        <v>2.9301759999999999</v>
      </c>
      <c r="T610">
        <v>-0.83433840000000004</v>
      </c>
      <c r="U610">
        <v>-0.29333500000000001</v>
      </c>
      <c r="V610">
        <v>1.304552E-2</v>
      </c>
      <c r="W610">
        <v>-8.5082099999999994E-2</v>
      </c>
      <c r="X610">
        <v>0.99628850000000002</v>
      </c>
      <c r="Y610">
        <v>9.5341469999999998E-2</v>
      </c>
      <c r="Z610">
        <v>-1.3658409999999999E-2</v>
      </c>
      <c r="AA610">
        <v>0.99535090000000004</v>
      </c>
      <c r="AB610">
        <v>27</v>
      </c>
      <c r="AC610">
        <v>0.47070000000002199</v>
      </c>
      <c r="AD610">
        <v>-0.210820599999999</v>
      </c>
      <c r="AE610">
        <v>-7.4400000000025501E-2</v>
      </c>
      <c r="AF610">
        <v>6.2066853879116798E-2</v>
      </c>
      <c r="AG610">
        <v>-0.210820599999999</v>
      </c>
      <c r="AH610">
        <v>0.39368071572243102</v>
      </c>
      <c r="AI610">
        <v>117.877848333459</v>
      </c>
      <c r="AJ610">
        <v>81.040616531150803</v>
      </c>
      <c r="AK610">
        <v>0.450868191012115</v>
      </c>
      <c r="AL610">
        <v>94.880746140026005</v>
      </c>
      <c r="AM610">
        <v>89.249805128220203</v>
      </c>
      <c r="AN610">
        <v>0.99999996228236399</v>
      </c>
    </row>
    <row r="611" spans="1:40" x14ac:dyDescent="0.25">
      <c r="A611" t="str">
        <f>"20190303154428001"</f>
        <v>20190303154428001</v>
      </c>
      <c r="B611" t="str">
        <f>"1551599067990577"</f>
        <v>1551599067990577</v>
      </c>
      <c r="C611" t="s">
        <v>40</v>
      </c>
      <c r="D611">
        <v>4.908798</v>
      </c>
      <c r="E611">
        <v>0.53213239999999995</v>
      </c>
      <c r="F611" t="s">
        <v>42</v>
      </c>
      <c r="G611">
        <v>-357.42230000000001</v>
      </c>
      <c r="H611">
        <v>0.91789140000000002</v>
      </c>
      <c r="I611">
        <v>367.39010000000002</v>
      </c>
      <c r="J611">
        <v>-357.84949999999998</v>
      </c>
      <c r="K611">
        <v>1.1204689999999999</v>
      </c>
      <c r="L611">
        <v>367.46289999999999</v>
      </c>
      <c r="M611">
        <v>0.99995000000000001</v>
      </c>
      <c r="N611">
        <v>-9.9898859999999999E-3</v>
      </c>
      <c r="O611">
        <v>-3.9455909999999998E-4</v>
      </c>
      <c r="P611">
        <v>0.99541599999999997</v>
      </c>
      <c r="Q611">
        <v>-9.4711859999999995E-2</v>
      </c>
      <c r="R611">
        <v>-1.3288049999999999E-2</v>
      </c>
      <c r="S611">
        <v>2.9309690000000002</v>
      </c>
      <c r="T611">
        <v>-0.82686000000000004</v>
      </c>
      <c r="U611">
        <v>-0.2970276</v>
      </c>
      <c r="V611">
        <v>1.289207E-2</v>
      </c>
      <c r="W611">
        <v>-8.4763500000000006E-2</v>
      </c>
      <c r="X611">
        <v>0.99631769999999997</v>
      </c>
      <c r="Y611">
        <v>9.6575980000000006E-2</v>
      </c>
      <c r="Z611">
        <v>-1.371766E-2</v>
      </c>
      <c r="AA611">
        <v>0.99523110000000004</v>
      </c>
      <c r="AB611">
        <v>27</v>
      </c>
      <c r="AC611">
        <v>0.42719999999996999</v>
      </c>
      <c r="AD611">
        <v>-0.2025776</v>
      </c>
      <c r="AE611">
        <v>-7.2799999999972401E-2</v>
      </c>
      <c r="AF611">
        <v>5.9606347158334197E-2</v>
      </c>
      <c r="AG611">
        <v>-0.2025776</v>
      </c>
      <c r="AH611">
        <v>0.35061324885703199</v>
      </c>
      <c r="AI611">
        <v>119.666185478049</v>
      </c>
      <c r="AJ611">
        <v>80.351621967514603</v>
      </c>
      <c r="AK611">
        <v>0.40929237827914999</v>
      </c>
      <c r="AL611">
        <v>94.862425299102398</v>
      </c>
      <c r="AM611">
        <v>89.258650149349293</v>
      </c>
      <c r="AN611">
        <v>1.00000000786721</v>
      </c>
    </row>
    <row r="612" spans="1:40" x14ac:dyDescent="0.25">
      <c r="A612" t="str">
        <f>"20190303154428024"</f>
        <v>20190303154428024</v>
      </c>
      <c r="B612" t="str">
        <f>"1551599068020833"</f>
        <v>1551599068020833</v>
      </c>
      <c r="C612" t="s">
        <v>40</v>
      </c>
      <c r="D612">
        <v>4.8055089999999998</v>
      </c>
      <c r="E612">
        <v>0.53272159999999902</v>
      </c>
      <c r="F612" t="s">
        <v>42</v>
      </c>
      <c r="G612">
        <v>-357.17200000000003</v>
      </c>
      <c r="H612">
        <v>0.93087509999999996</v>
      </c>
      <c r="I612">
        <v>367.3931</v>
      </c>
      <c r="J612">
        <v>-357.56990000000002</v>
      </c>
      <c r="K612">
        <v>1.1204750000000001</v>
      </c>
      <c r="L612">
        <v>367.46280000000002</v>
      </c>
      <c r="M612">
        <v>0.99995000000000001</v>
      </c>
      <c r="N612">
        <v>-9.9977750000000004E-3</v>
      </c>
      <c r="O612">
        <v>-3.9424080000000002E-4</v>
      </c>
      <c r="P612">
        <v>0.99538380000000004</v>
      </c>
      <c r="Q612">
        <v>-9.5016539999999997E-2</v>
      </c>
      <c r="R612">
        <v>-1.352942E-2</v>
      </c>
      <c r="S612">
        <v>2.9317319999999998</v>
      </c>
      <c r="T612">
        <v>-0.82054340000000003</v>
      </c>
      <c r="U612">
        <v>-0.30139159999999998</v>
      </c>
      <c r="V612">
        <v>1.3133789999999999E-2</v>
      </c>
      <c r="W612">
        <v>-8.5060629999999998E-2</v>
      </c>
      <c r="X612">
        <v>0.99628919999999999</v>
      </c>
      <c r="Y612">
        <v>9.8018560000000005E-2</v>
      </c>
      <c r="Z612">
        <v>-1.38215E-2</v>
      </c>
      <c r="AA612">
        <v>0.99508859999999999</v>
      </c>
      <c r="AB612">
        <v>27</v>
      </c>
      <c r="AC612">
        <v>0.39790000000004899</v>
      </c>
      <c r="AD612">
        <v>-0.18959989999999999</v>
      </c>
      <c r="AE612">
        <v>-6.97000000000116E-2</v>
      </c>
      <c r="AF612">
        <v>5.6988823664994498E-2</v>
      </c>
      <c r="AG612">
        <v>-0.18959989999999999</v>
      </c>
      <c r="AH612">
        <v>0.32609146334786798</v>
      </c>
      <c r="AI612">
        <v>119.801963080937</v>
      </c>
      <c r="AJ612">
        <v>80.086913356580993</v>
      </c>
      <c r="AK612">
        <v>0.38148589825979601</v>
      </c>
      <c r="AL612">
        <v>94.879511395080897</v>
      </c>
      <c r="AM612">
        <v>89.244730195646</v>
      </c>
      <c r="AN612">
        <v>0.99999998862619999</v>
      </c>
    </row>
    <row r="613" spans="1:40" x14ac:dyDescent="0.25">
      <c r="A613" t="str">
        <f>"20190303154428044"</f>
        <v>20190303154428044</v>
      </c>
      <c r="B613" t="str">
        <f>"1551599068040353"</f>
        <v>1551599068040353</v>
      </c>
      <c r="C613" t="s">
        <v>40</v>
      </c>
      <c r="D613">
        <v>4.9549539999999999</v>
      </c>
      <c r="E613">
        <v>0.53310100000000005</v>
      </c>
      <c r="F613" t="s">
        <v>42</v>
      </c>
      <c r="G613">
        <v>-356.70569999999998</v>
      </c>
      <c r="H613">
        <v>0.87793199999999905</v>
      </c>
      <c r="I613">
        <v>367.37189999999998</v>
      </c>
      <c r="J613">
        <v>-357.31950000000001</v>
      </c>
      <c r="K613">
        <v>1.120471</v>
      </c>
      <c r="L613">
        <v>367.46269999999998</v>
      </c>
      <c r="M613">
        <v>0.99995009999999995</v>
      </c>
      <c r="N613">
        <v>-1.0004890000000001E-2</v>
      </c>
      <c r="O613">
        <v>-3.9403799999999998E-4</v>
      </c>
      <c r="P613">
        <v>0.99541559999999996</v>
      </c>
      <c r="Q613">
        <v>-9.4617279999999998E-2</v>
      </c>
      <c r="R613">
        <v>-1.3994059999999999E-2</v>
      </c>
      <c r="S613">
        <v>2.9312130000000001</v>
      </c>
      <c r="T613">
        <v>-0.82280469999999895</v>
      </c>
      <c r="U613">
        <v>-0.30664059999999999</v>
      </c>
      <c r="V613">
        <v>1.3598509999999999E-2</v>
      </c>
      <c r="W613">
        <v>-8.4653980000000004E-2</v>
      </c>
      <c r="X613">
        <v>0.99631760000000003</v>
      </c>
      <c r="Y613">
        <v>9.9711250000000001E-2</v>
      </c>
      <c r="Z613">
        <v>-1.409958E-2</v>
      </c>
      <c r="AA613">
        <v>0.99491649999999998</v>
      </c>
      <c r="AB613">
        <v>27</v>
      </c>
      <c r="AC613">
        <v>0.61380000000002599</v>
      </c>
      <c r="AD613">
        <v>-0.242539</v>
      </c>
      <c r="AE613">
        <v>-9.0800000000001505E-2</v>
      </c>
      <c r="AF613">
        <v>7.8555295914909701E-2</v>
      </c>
      <c r="AG613">
        <v>-0.242539</v>
      </c>
      <c r="AH613">
        <v>0.53247624212710598</v>
      </c>
      <c r="AI613">
        <v>114.257055413136</v>
      </c>
      <c r="AJ613">
        <v>81.607788036526301</v>
      </c>
      <c r="AK613">
        <v>0.59036179539929901</v>
      </c>
      <c r="AL613">
        <v>94.85612772703</v>
      </c>
      <c r="AM613">
        <v>89.218031625129498</v>
      </c>
      <c r="AN613">
        <v>0.99999998793691003</v>
      </c>
    </row>
    <row r="614" spans="1:40" x14ac:dyDescent="0.25">
      <c r="A614" t="str">
        <f>"20190303154428067"</f>
        <v>20190303154428067</v>
      </c>
      <c r="B614" t="str">
        <f>"1551599068060850"</f>
        <v>1551599068060850</v>
      </c>
      <c r="C614" t="s">
        <v>40</v>
      </c>
      <c r="D614">
        <v>4.8529150000000003</v>
      </c>
      <c r="E614">
        <v>0.53308699999999998</v>
      </c>
      <c r="F614" t="s">
        <v>42</v>
      </c>
      <c r="G614">
        <v>-356.46019999999999</v>
      </c>
      <c r="H614">
        <v>0.87938939999999999</v>
      </c>
      <c r="I614">
        <v>367.3716</v>
      </c>
      <c r="J614">
        <v>-357.03160000000003</v>
      </c>
      <c r="K614">
        <v>1.1204700000000001</v>
      </c>
      <c r="L614">
        <v>367.46260000000001</v>
      </c>
      <c r="M614">
        <v>0.99994989999999995</v>
      </c>
      <c r="N614">
        <v>-1.001315E-2</v>
      </c>
      <c r="O614">
        <v>-3.9396009999999998E-4</v>
      </c>
      <c r="P614">
        <v>0.9953284</v>
      </c>
      <c r="Q614">
        <v>-9.5368729999999999E-2</v>
      </c>
      <c r="R614">
        <v>-1.505798E-2</v>
      </c>
      <c r="S614">
        <v>2.9312740000000002</v>
      </c>
      <c r="T614">
        <v>-0.82232359999999904</v>
      </c>
      <c r="U614">
        <v>-0.31051640000000003</v>
      </c>
      <c r="V614">
        <v>1.46626E-2</v>
      </c>
      <c r="W614">
        <v>-8.5398080000000001E-2</v>
      </c>
      <c r="X614">
        <v>0.99623899999999999</v>
      </c>
      <c r="Y614">
        <v>0.1009656</v>
      </c>
      <c r="Z614">
        <v>-1.4269810000000001E-2</v>
      </c>
      <c r="AA614">
        <v>0.99478759999999999</v>
      </c>
      <c r="AB614">
        <v>27</v>
      </c>
      <c r="AC614">
        <v>0.57140000000003899</v>
      </c>
      <c r="AD614">
        <v>-0.24108060000000001</v>
      </c>
      <c r="AE614">
        <v>-9.1000000000008199E-2</v>
      </c>
      <c r="AF614">
        <v>7.7346930866838096E-2</v>
      </c>
      <c r="AG614">
        <v>-0.24108060000000001</v>
      </c>
      <c r="AH614">
        <v>0.48690573197172698</v>
      </c>
      <c r="AI614">
        <v>116.058471314428</v>
      </c>
      <c r="AJ614">
        <v>80.973755614637895</v>
      </c>
      <c r="AK614">
        <v>0.54879831927385003</v>
      </c>
      <c r="AL614">
        <v>94.898916484476302</v>
      </c>
      <c r="AM614">
        <v>89.156784221563896</v>
      </c>
      <c r="AN614">
        <v>0.99999998451372296</v>
      </c>
    </row>
    <row r="615" spans="1:40" x14ac:dyDescent="0.25">
      <c r="A615" t="str">
        <f>"20190303154428089"</f>
        <v>20190303154428089</v>
      </c>
      <c r="B615" t="str">
        <f>"1551599068080369"</f>
        <v>1551599068080369</v>
      </c>
      <c r="C615" t="s">
        <v>40</v>
      </c>
      <c r="D615">
        <v>4.8550309999999897</v>
      </c>
      <c r="E615">
        <v>0.53298250000000003</v>
      </c>
      <c r="F615" t="s">
        <v>42</v>
      </c>
      <c r="G615">
        <v>-356.21069999999997</v>
      </c>
      <c r="H615">
        <v>0.89024230000000004</v>
      </c>
      <c r="I615">
        <v>367.37439999999998</v>
      </c>
      <c r="J615">
        <v>-356.774</v>
      </c>
      <c r="K615">
        <v>1.1204609999999999</v>
      </c>
      <c r="L615">
        <v>367.46249999999998</v>
      </c>
      <c r="M615">
        <v>0.9999498</v>
      </c>
      <c r="N615">
        <v>-1.0020579999999999E-2</v>
      </c>
      <c r="O615">
        <v>-3.9363979999999999E-4</v>
      </c>
      <c r="P615">
        <v>0.99528830000000001</v>
      </c>
      <c r="Q615">
        <v>-9.5709409999999995E-2</v>
      </c>
      <c r="R615">
        <v>-1.55418E-2</v>
      </c>
      <c r="S615">
        <v>2.9306030000000001</v>
      </c>
      <c r="T615">
        <v>-0.82194330000000004</v>
      </c>
      <c r="U615">
        <v>-0.31359860000000001</v>
      </c>
      <c r="V615">
        <v>1.514659E-2</v>
      </c>
      <c r="W615">
        <v>-8.5731740000000001E-2</v>
      </c>
      <c r="X615">
        <v>0.99620310000000001</v>
      </c>
      <c r="Y615">
        <v>0.10198599999999999</v>
      </c>
      <c r="Z615">
        <v>-1.4411719999999999E-2</v>
      </c>
      <c r="AA615">
        <v>0.99468140000000005</v>
      </c>
      <c r="AB615">
        <v>27</v>
      </c>
      <c r="AC615">
        <v>0.563300000000026</v>
      </c>
      <c r="AD615">
        <v>-0.2302187</v>
      </c>
      <c r="AE615">
        <v>-8.8099999999997097E-2</v>
      </c>
      <c r="AF615">
        <v>7.5558794520919306E-2</v>
      </c>
      <c r="AG615">
        <v>-0.2302187</v>
      </c>
      <c r="AH615">
        <v>0.48436204270182298</v>
      </c>
      <c r="AI615">
        <v>115.155837211768</v>
      </c>
      <c r="AJ615">
        <v>81.133518441997396</v>
      </c>
      <c r="AK615">
        <v>0.54158689946252103</v>
      </c>
      <c r="AL615">
        <v>94.918104168877306</v>
      </c>
      <c r="AM615">
        <v>89.128923793370006</v>
      </c>
      <c r="AN615">
        <v>0.99999998344083196</v>
      </c>
    </row>
    <row r="616" spans="1:40" x14ac:dyDescent="0.25">
      <c r="A616" t="str">
        <f>"20190303154428381"</f>
        <v>20190303154428381</v>
      </c>
      <c r="B616" t="str">
        <f>"1551599068370335"</f>
        <v>1551599068370335</v>
      </c>
      <c r="C616" t="s">
        <v>40</v>
      </c>
      <c r="D616">
        <v>4.338133</v>
      </c>
      <c r="E616">
        <v>0.53141930000000004</v>
      </c>
      <c r="F616" t="s">
        <v>42</v>
      </c>
      <c r="G616">
        <v>-352.73649999999998</v>
      </c>
      <c r="H616">
        <v>0.91788009999999998</v>
      </c>
      <c r="I616">
        <v>367.38560000000001</v>
      </c>
      <c r="J616">
        <v>-353.16019999999997</v>
      </c>
      <c r="K616">
        <v>1.1204590000000001</v>
      </c>
      <c r="L616">
        <v>367.46120000000002</v>
      </c>
      <c r="M616">
        <v>0.99994890000000003</v>
      </c>
      <c r="N616">
        <v>-1.0122910000000001E-2</v>
      </c>
      <c r="O616">
        <v>-3.9058050000000003E-4</v>
      </c>
      <c r="P616">
        <v>0.99521369999999998</v>
      </c>
      <c r="Q616">
        <v>-9.6622780000000005E-2</v>
      </c>
      <c r="R616">
        <v>-1.463304E-2</v>
      </c>
      <c r="S616">
        <v>2.9300839999999999</v>
      </c>
      <c r="T616">
        <v>-0.82110869999999903</v>
      </c>
      <c r="U616">
        <v>-0.30557250000000002</v>
      </c>
      <c r="V616">
        <v>1.424109E-2</v>
      </c>
      <c r="W616">
        <v>-8.6543850000000005E-2</v>
      </c>
      <c r="X616">
        <v>0.99614630000000004</v>
      </c>
      <c r="Y616">
        <v>9.9417950000000005E-2</v>
      </c>
      <c r="Z616">
        <v>-1.404306E-2</v>
      </c>
      <c r="AA616">
        <v>0.99494669999999996</v>
      </c>
      <c r="AB616">
        <v>28</v>
      </c>
      <c r="AC616">
        <v>0.42369999999999602</v>
      </c>
      <c r="AD616">
        <v>-0.20257890000000001</v>
      </c>
      <c r="AE616">
        <v>-7.5600000000008494E-2</v>
      </c>
      <c r="AF616">
        <v>6.1753386633526398E-2</v>
      </c>
      <c r="AG616">
        <v>-0.20257890000000001</v>
      </c>
      <c r="AH616">
        <v>0.34688017498607898</v>
      </c>
      <c r="AI616">
        <v>119.89728585490001</v>
      </c>
      <c r="AJ616">
        <v>79.9056648082896</v>
      </c>
      <c r="AK616">
        <v>0.406420407071658</v>
      </c>
      <c r="AL616">
        <v>94.964807909240903</v>
      </c>
      <c r="AM616">
        <v>89.1809448361157</v>
      </c>
      <c r="AN616">
        <v>1.0000000488104399</v>
      </c>
    </row>
    <row r="617" spans="1:40" x14ac:dyDescent="0.25">
      <c r="A617" t="str">
        <f>"20190303154428404"</f>
        <v>20190303154428404</v>
      </c>
      <c r="B617" t="str">
        <f>"1551599068400590"</f>
        <v>1551599068400590</v>
      </c>
      <c r="C617" t="s">
        <v>40</v>
      </c>
      <c r="D617">
        <v>4.3142239999999896</v>
      </c>
      <c r="E617">
        <v>0.53082309999999999</v>
      </c>
      <c r="F617" t="s">
        <v>42</v>
      </c>
      <c r="G617">
        <v>-352.48099999999999</v>
      </c>
      <c r="H617">
        <v>0.93067739999999999</v>
      </c>
      <c r="I617">
        <v>367.39159999999998</v>
      </c>
      <c r="J617">
        <v>-352.87869999999998</v>
      </c>
      <c r="K617">
        <v>1.12046</v>
      </c>
      <c r="L617">
        <v>367.46109999999999</v>
      </c>
      <c r="M617">
        <v>0.99994870000000002</v>
      </c>
      <c r="N617">
        <v>-1.0130689999999999E-2</v>
      </c>
      <c r="O617">
        <v>-3.9050089999999999E-4</v>
      </c>
      <c r="P617">
        <v>0.99523499999999998</v>
      </c>
      <c r="Q617">
        <v>-9.6431230000000007E-2</v>
      </c>
      <c r="R617">
        <v>-1.444556E-2</v>
      </c>
      <c r="S617">
        <v>2.930542</v>
      </c>
      <c r="T617">
        <v>-0.81878339999999905</v>
      </c>
      <c r="U617">
        <v>-0.29949949999999997</v>
      </c>
      <c r="V617">
        <v>1.405356E-2</v>
      </c>
      <c r="W617">
        <v>-8.634435E-2</v>
      </c>
      <c r="X617">
        <v>0.9961662</v>
      </c>
      <c r="Y617">
        <v>9.7460190000000002E-2</v>
      </c>
      <c r="Z617">
        <v>-1.3727980000000001E-2</v>
      </c>
      <c r="AA617">
        <v>0.99514469999999999</v>
      </c>
      <c r="AB617">
        <v>28</v>
      </c>
      <c r="AC617">
        <v>0.39769999999998601</v>
      </c>
      <c r="AD617">
        <v>-0.1897826</v>
      </c>
      <c r="AE617">
        <v>-6.9500000000005002E-2</v>
      </c>
      <c r="AF617">
        <v>5.67946601838323E-2</v>
      </c>
      <c r="AG617">
        <v>-0.1897826</v>
      </c>
      <c r="AH617">
        <v>0.32574632445157098</v>
      </c>
      <c r="AI617">
        <v>119.853677192034</v>
      </c>
      <c r="AJ617">
        <v>80.109759480091498</v>
      </c>
      <c r="AK617">
        <v>0.38125285124424402</v>
      </c>
      <c r="AL617">
        <v>94.953334826318994</v>
      </c>
      <c r="AM617">
        <v>89.191745049792203</v>
      </c>
      <c r="AN617">
        <v>0.99999997367401705</v>
      </c>
    </row>
    <row r="618" spans="1:40" x14ac:dyDescent="0.25">
      <c r="A618" t="str">
        <f>"20190303154428447"</f>
        <v>20190303154428447</v>
      </c>
      <c r="B618" t="str">
        <f>"1551599068440607"</f>
        <v>1551599068440607</v>
      </c>
      <c r="C618" t="s">
        <v>40</v>
      </c>
      <c r="D618">
        <v>4.2792949999999896</v>
      </c>
      <c r="E618">
        <v>0.53012250000000005</v>
      </c>
      <c r="F618" t="s">
        <v>42</v>
      </c>
      <c r="G618">
        <v>-352.00450000000001</v>
      </c>
      <c r="H618">
        <v>0.87677490000000002</v>
      </c>
      <c r="I618">
        <v>367.3734</v>
      </c>
      <c r="J618">
        <v>-352.33260000000001</v>
      </c>
      <c r="K618">
        <v>1.1204540000000001</v>
      </c>
      <c r="L618">
        <v>367.46080000000001</v>
      </c>
      <c r="M618">
        <v>0.99994839999999996</v>
      </c>
      <c r="N618">
        <v>-1.014558E-2</v>
      </c>
      <c r="O618">
        <v>-3.8950399999999999E-4</v>
      </c>
      <c r="P618">
        <v>0.99519389999999996</v>
      </c>
      <c r="Q618">
        <v>-9.6801940000000003E-2</v>
      </c>
      <c r="R618">
        <v>-1.4788529999999999E-2</v>
      </c>
      <c r="S618">
        <v>2.9309080000000001</v>
      </c>
      <c r="T618">
        <v>-0.81696009999999997</v>
      </c>
      <c r="U618">
        <v>-0.29364010000000001</v>
      </c>
      <c r="V618">
        <v>1.439754E-2</v>
      </c>
      <c r="W618">
        <v>-8.6700639999999995E-2</v>
      </c>
      <c r="X618">
        <v>0.99613030000000002</v>
      </c>
      <c r="Y618">
        <v>9.5569390000000004E-2</v>
      </c>
      <c r="Z618">
        <v>-1.343243E-2</v>
      </c>
      <c r="AA618">
        <v>0.99533210000000005</v>
      </c>
      <c r="AB618">
        <v>28</v>
      </c>
      <c r="AC618">
        <v>0.328100000000006</v>
      </c>
      <c r="AD618">
        <v>-0.24367910000000001</v>
      </c>
      <c r="AE618">
        <v>-8.7400000000002295E-2</v>
      </c>
      <c r="AF618">
        <v>5.76034297210287E-2</v>
      </c>
      <c r="AG618">
        <v>-0.24367910000000001</v>
      </c>
      <c r="AH618">
        <v>0.21658268022138999</v>
      </c>
      <c r="AI618">
        <v>137.39520568400101</v>
      </c>
      <c r="AJ618">
        <v>75.106118621112799</v>
      </c>
      <c r="AK618">
        <v>0.33106754033628299</v>
      </c>
      <c r="AL618">
        <v>94.973825788720404</v>
      </c>
      <c r="AM618">
        <v>89.171934794085601</v>
      </c>
      <c r="AN618">
        <v>0.99999993235627305</v>
      </c>
    </row>
    <row r="619" spans="1:40" x14ac:dyDescent="0.25">
      <c r="A619" t="str">
        <f>"20190303154428468"</f>
        <v>20190303154428468</v>
      </c>
      <c r="B619" t="str">
        <f>"1551599068461106"</f>
        <v>1551599068461106</v>
      </c>
      <c r="C619" t="s">
        <v>40</v>
      </c>
      <c r="D619">
        <v>4.2354370000000001</v>
      </c>
      <c r="E619">
        <v>0.52975719999999904</v>
      </c>
      <c r="F619" t="s">
        <v>42</v>
      </c>
      <c r="G619">
        <v>-351.49900000000002</v>
      </c>
      <c r="H619">
        <v>0.88898049999999995</v>
      </c>
      <c r="I619">
        <v>367.37869999999998</v>
      </c>
      <c r="J619">
        <v>-352.05720000000002</v>
      </c>
      <c r="K619">
        <v>1.1204559999999999</v>
      </c>
      <c r="L619">
        <v>367.46080000000001</v>
      </c>
      <c r="M619">
        <v>0.99994859999999997</v>
      </c>
      <c r="N619">
        <v>-1.015306E-2</v>
      </c>
      <c r="O619">
        <v>-3.8954199999999999E-4</v>
      </c>
      <c r="P619">
        <v>0.99522140000000003</v>
      </c>
      <c r="Q619">
        <v>-9.6466120000000002E-2</v>
      </c>
      <c r="R619">
        <v>-1.5131850000000001E-2</v>
      </c>
      <c r="S619">
        <v>2.9310610000000001</v>
      </c>
      <c r="T619">
        <v>-0.81386849999999999</v>
      </c>
      <c r="U619">
        <v>-0.28912349999999998</v>
      </c>
      <c r="V619">
        <v>1.474088E-2</v>
      </c>
      <c r="W619">
        <v>-8.6357100000000006E-2</v>
      </c>
      <c r="X619">
        <v>0.99615520000000002</v>
      </c>
      <c r="Y619">
        <v>9.4128240000000002E-2</v>
      </c>
      <c r="Z619">
        <v>-1.318241E-2</v>
      </c>
      <c r="AA619">
        <v>0.99547280000000005</v>
      </c>
      <c r="AB619">
        <v>28</v>
      </c>
      <c r="AC619">
        <v>0.55819999999999903</v>
      </c>
      <c r="AD619">
        <v>-0.231475499999999</v>
      </c>
      <c r="AE619">
        <v>-8.2100000000025306E-2</v>
      </c>
      <c r="AF619">
        <v>7.0085713601006294E-2</v>
      </c>
      <c r="AG619">
        <v>-0.231475499999999</v>
      </c>
      <c r="AH619">
        <v>0.47780740303036801</v>
      </c>
      <c r="AI619">
        <v>115.609543170444</v>
      </c>
      <c r="AJ619">
        <v>81.655252126429303</v>
      </c>
      <c r="AK619">
        <v>0.53553041812938795</v>
      </c>
      <c r="AL619">
        <v>94.954067894191894</v>
      </c>
      <c r="AM619">
        <v>89.152211853529394</v>
      </c>
      <c r="AN619">
        <v>1.0000000123753101</v>
      </c>
    </row>
    <row r="620" spans="1:40" x14ac:dyDescent="0.25">
      <c r="A620" t="str">
        <f>"20190303154428490"</f>
        <v>20190303154428490</v>
      </c>
      <c r="B620" t="str">
        <f>"1551599068480627"</f>
        <v>1551599068480627</v>
      </c>
      <c r="C620" t="s">
        <v>40</v>
      </c>
      <c r="D620">
        <v>4.2693289999999999</v>
      </c>
      <c r="E620">
        <v>0.52948149999999905</v>
      </c>
      <c r="F620" t="s">
        <v>42</v>
      </c>
      <c r="G620">
        <v>-351.24540000000002</v>
      </c>
      <c r="H620">
        <v>0.89616739999999995</v>
      </c>
      <c r="I620">
        <v>367.38099999999997</v>
      </c>
      <c r="J620">
        <v>-351.78879999999998</v>
      </c>
      <c r="K620">
        <v>1.1204609999999999</v>
      </c>
      <c r="L620">
        <v>367.4606</v>
      </c>
      <c r="M620">
        <v>0.99994830000000001</v>
      </c>
      <c r="N620">
        <v>-1.016035E-2</v>
      </c>
      <c r="O620">
        <v>-3.8910220000000002E-4</v>
      </c>
      <c r="P620">
        <v>0.99520180000000003</v>
      </c>
      <c r="Q620">
        <v>-9.6630240000000006E-2</v>
      </c>
      <c r="R620">
        <v>-1.535621E-2</v>
      </c>
      <c r="S620">
        <v>2.931549</v>
      </c>
      <c r="T620">
        <v>-0.80996469999999998</v>
      </c>
      <c r="U620">
        <v>-0.28695680000000001</v>
      </c>
      <c r="V620">
        <v>1.496577E-2</v>
      </c>
      <c r="W620">
        <v>-8.6514170000000001E-2</v>
      </c>
      <c r="X620">
        <v>0.99613819999999997</v>
      </c>
      <c r="Y620">
        <v>9.3444509999999995E-2</v>
      </c>
      <c r="Z620">
        <v>-1.302645E-2</v>
      </c>
      <c r="AA620">
        <v>0.99553919999999996</v>
      </c>
      <c r="AB620">
        <v>28</v>
      </c>
      <c r="AC620">
        <v>0.54339999999996202</v>
      </c>
      <c r="AD620">
        <v>-0.22429360000000001</v>
      </c>
      <c r="AE620">
        <v>-7.9600000000027593E-2</v>
      </c>
      <c r="AF620">
        <v>6.8040041329663695E-2</v>
      </c>
      <c r="AG620">
        <v>-0.22429360000000001</v>
      </c>
      <c r="AH620">
        <v>0.46574808968915699</v>
      </c>
      <c r="AI620">
        <v>115.478690258726</v>
      </c>
      <c r="AJ620">
        <v>81.688588027429802</v>
      </c>
      <c r="AK620">
        <v>0.52140037329695299</v>
      </c>
      <c r="AL620">
        <v>94.963101237694104</v>
      </c>
      <c r="AM620">
        <v>89.139265061720906</v>
      </c>
      <c r="AN620">
        <v>0.99999999469085998</v>
      </c>
    </row>
    <row r="621" spans="1:40" x14ac:dyDescent="0.25">
      <c r="A621" t="str">
        <f>"20190303154428513"</f>
        <v>20190303154428513</v>
      </c>
      <c r="B621" t="str">
        <f>"1551599068510879"</f>
        <v>1551599068510879</v>
      </c>
      <c r="C621" t="s">
        <v>40</v>
      </c>
      <c r="D621">
        <v>4.2766609999999998</v>
      </c>
      <c r="E621">
        <v>0.52902660000000001</v>
      </c>
      <c r="F621" t="s">
        <v>42</v>
      </c>
      <c r="G621">
        <v>-350.99239999999998</v>
      </c>
      <c r="H621">
        <v>0.90102360000000004</v>
      </c>
      <c r="I621">
        <v>367.38299999999998</v>
      </c>
      <c r="J621">
        <v>-351.49590000000001</v>
      </c>
      <c r="K621">
        <v>1.1204620000000001</v>
      </c>
      <c r="L621">
        <v>367.46050000000002</v>
      </c>
      <c r="M621">
        <v>0.99994830000000001</v>
      </c>
      <c r="N621">
        <v>-1.0168389999999999E-2</v>
      </c>
      <c r="O621">
        <v>-3.8902389999999999E-4</v>
      </c>
      <c r="P621">
        <v>0.99522239999999995</v>
      </c>
      <c r="Q621">
        <v>-9.6403900000000001E-2</v>
      </c>
      <c r="R621">
        <v>-1.5465049999999999E-2</v>
      </c>
      <c r="S621">
        <v>2.9316710000000001</v>
      </c>
      <c r="T621">
        <v>-0.80774499999999905</v>
      </c>
      <c r="U621">
        <v>-0.28564450000000002</v>
      </c>
      <c r="V621">
        <v>1.507469E-2</v>
      </c>
      <c r="W621">
        <v>-8.6279620000000001E-2</v>
      </c>
      <c r="X621">
        <v>0.99615690000000001</v>
      </c>
      <c r="Y621">
        <v>9.3033840000000007E-2</v>
      </c>
      <c r="Z621">
        <v>-1.293588E-2</v>
      </c>
      <c r="AA621">
        <v>0.99557890000000004</v>
      </c>
      <c r="AB621">
        <v>28</v>
      </c>
      <c r="AC621">
        <v>0.50350000000003003</v>
      </c>
      <c r="AD621">
        <v>-0.21943840000000001</v>
      </c>
      <c r="AE621">
        <v>-7.7499999999986302E-2</v>
      </c>
      <c r="AF621">
        <v>6.5205366808006898E-2</v>
      </c>
      <c r="AG621">
        <v>-0.21943840000000001</v>
      </c>
      <c r="AH621">
        <v>0.42472341375720302</v>
      </c>
      <c r="AI621">
        <v>117.052431350278</v>
      </c>
      <c r="AJ621">
        <v>81.271852830977593</v>
      </c>
      <c r="AK621">
        <v>0.48248826871614098</v>
      </c>
      <c r="AL621">
        <v>94.949612075918694</v>
      </c>
      <c r="AM621">
        <v>89.133017908810601</v>
      </c>
      <c r="AN621">
        <v>0.99999999426177499</v>
      </c>
    </row>
    <row r="622" spans="1:40" x14ac:dyDescent="0.25">
      <c r="A622" t="str">
        <f>"20190303154428536"</f>
        <v>20190303154428536</v>
      </c>
      <c r="B622" t="str">
        <f>"1551599068530399"</f>
        <v>1551599068530399</v>
      </c>
      <c r="C622" t="s">
        <v>40</v>
      </c>
      <c r="D622">
        <v>4.2680920000000002</v>
      </c>
      <c r="E622">
        <v>0.528868</v>
      </c>
      <c r="F622" t="s">
        <v>42</v>
      </c>
      <c r="G622">
        <v>-350.73630000000003</v>
      </c>
      <c r="H622">
        <v>0.9121513</v>
      </c>
      <c r="I622">
        <v>367.38720000000001</v>
      </c>
      <c r="J622">
        <v>-351.21850000000001</v>
      </c>
      <c r="K622">
        <v>1.120463</v>
      </c>
      <c r="L622">
        <v>367.46039999999999</v>
      </c>
      <c r="M622">
        <v>0.99994819999999995</v>
      </c>
      <c r="N622">
        <v>-1.017596E-2</v>
      </c>
      <c r="O622">
        <v>-3.8870480000000003E-4</v>
      </c>
      <c r="P622">
        <v>0.99522759999999999</v>
      </c>
      <c r="Q622">
        <v>-9.6370499999999998E-2</v>
      </c>
      <c r="R622">
        <v>-1.5329570000000001E-2</v>
      </c>
      <c r="S622">
        <v>2.9320979999999999</v>
      </c>
      <c r="T622">
        <v>-0.80416869999999996</v>
      </c>
      <c r="U622">
        <v>-0.28228760000000003</v>
      </c>
      <c r="V622">
        <v>1.4939350000000001E-2</v>
      </c>
      <c r="W622">
        <v>-8.6238599999999999E-2</v>
      </c>
      <c r="X622">
        <v>0.99616249999999995</v>
      </c>
      <c r="Y622">
        <v>9.1962290000000002E-2</v>
      </c>
      <c r="Z622">
        <v>-1.2732449999999999E-2</v>
      </c>
      <c r="AA622">
        <v>0.99568109999999999</v>
      </c>
      <c r="AB622">
        <v>28</v>
      </c>
      <c r="AC622">
        <v>0.48219999999997698</v>
      </c>
      <c r="AD622">
        <v>-0.20831169999999899</v>
      </c>
      <c r="AE622">
        <v>-7.3199999999985693E-2</v>
      </c>
      <c r="AF622">
        <v>6.1748276905122697E-2</v>
      </c>
      <c r="AG622">
        <v>-0.20831169999999899</v>
      </c>
      <c r="AH622">
        <v>0.40783089157032298</v>
      </c>
      <c r="AI622">
        <v>116.79486351850601</v>
      </c>
      <c r="AJ622">
        <v>81.390433495884693</v>
      </c>
      <c r="AK622">
        <v>0.46209593178980302</v>
      </c>
      <c r="AL622">
        <v>94.947252965060102</v>
      </c>
      <c r="AM622">
        <v>89.140805298607404</v>
      </c>
      <c r="AN622">
        <v>1.00000000335731</v>
      </c>
    </row>
    <row r="623" spans="1:40" x14ac:dyDescent="0.25">
      <c r="A623" t="str">
        <f>"20190303154428557"</f>
        <v>20190303154428557</v>
      </c>
      <c r="B623" t="str">
        <f>"1551599068550895"</f>
        <v>1551599068550895</v>
      </c>
      <c r="C623" t="s">
        <v>40</v>
      </c>
      <c r="D623">
        <v>4.283849</v>
      </c>
      <c r="E623">
        <v>0.52855940000000001</v>
      </c>
      <c r="F623" t="s">
        <v>42</v>
      </c>
      <c r="G623">
        <v>-350.4819</v>
      </c>
      <c r="H623">
        <v>0.91856720000000003</v>
      </c>
      <c r="I623">
        <v>367.39</v>
      </c>
      <c r="J623">
        <v>-350.93770000000001</v>
      </c>
      <c r="K623">
        <v>1.1204609999999999</v>
      </c>
      <c r="L623">
        <v>367.46030000000002</v>
      </c>
      <c r="M623">
        <v>0.99994799999999995</v>
      </c>
      <c r="N623">
        <v>-1.018372E-2</v>
      </c>
      <c r="O623">
        <v>-3.8838680000000001E-4</v>
      </c>
      <c r="P623">
        <v>0.9952202</v>
      </c>
      <c r="Q623">
        <v>-9.6400280000000005E-2</v>
      </c>
      <c r="R623">
        <v>-1.5608179999999999E-2</v>
      </c>
      <c r="S623">
        <v>2.9322509999999999</v>
      </c>
      <c r="T623">
        <v>-0.80373300000000003</v>
      </c>
      <c r="U623">
        <v>-0.27993770000000001</v>
      </c>
      <c r="V623">
        <v>1.521835E-2</v>
      </c>
      <c r="W623">
        <v>-8.6260749999999997E-2</v>
      </c>
      <c r="X623">
        <v>0.99615629999999999</v>
      </c>
      <c r="Y623">
        <v>9.1199530000000001E-2</v>
      </c>
      <c r="Z623">
        <v>-1.261991E-2</v>
      </c>
      <c r="AA623">
        <v>0.99575270000000005</v>
      </c>
      <c r="AB623">
        <v>28</v>
      </c>
      <c r="AC623">
        <v>0.45580000000000997</v>
      </c>
      <c r="AD623">
        <v>-0.20189380000000001</v>
      </c>
      <c r="AE623">
        <v>-7.0300000000031504E-2</v>
      </c>
      <c r="AF623">
        <v>5.8845735310366701E-2</v>
      </c>
      <c r="AG623">
        <v>-0.20189380000000001</v>
      </c>
      <c r="AH623">
        <v>0.38252080877905797</v>
      </c>
      <c r="AI623">
        <v>117.54931795252899</v>
      </c>
      <c r="AJ623">
        <v>81.254367405436795</v>
      </c>
      <c r="AK623">
        <v>0.43651586018338701</v>
      </c>
      <c r="AL623">
        <v>94.948527104994795</v>
      </c>
      <c r="AM623">
        <v>89.124756424882705</v>
      </c>
      <c r="AN623">
        <v>0.99999994459848596</v>
      </c>
    </row>
    <row r="624" spans="1:40" x14ac:dyDescent="0.25">
      <c r="A624" t="str">
        <f>"20190303154430067"</f>
        <v>20190303154430067</v>
      </c>
      <c r="B624" t="str">
        <f>"1551599070060758"</f>
        <v>1551599070060758</v>
      </c>
      <c r="C624" t="s">
        <v>40</v>
      </c>
      <c r="D624">
        <v>4.7734699999999997</v>
      </c>
      <c r="E624">
        <v>0.55130480000000004</v>
      </c>
      <c r="F624" t="s">
        <v>42</v>
      </c>
      <c r="G624">
        <v>-329.65019999999998</v>
      </c>
      <c r="H624">
        <v>0.86962019999999995</v>
      </c>
      <c r="I624">
        <v>367.36869999999999</v>
      </c>
      <c r="J624">
        <v>-330.21620000000001</v>
      </c>
      <c r="K624">
        <v>1.1204689999999999</v>
      </c>
      <c r="L624">
        <v>367.45350000000002</v>
      </c>
      <c r="M624">
        <v>0.99994050000000001</v>
      </c>
      <c r="N624">
        <v>-1.09044E-2</v>
      </c>
      <c r="O624">
        <v>-3.5811129999999998E-4</v>
      </c>
      <c r="P624">
        <v>0.99492820000000004</v>
      </c>
      <c r="Q624">
        <v>-9.9434610000000007E-2</v>
      </c>
      <c r="R624">
        <v>-1.519361E-2</v>
      </c>
      <c r="S624">
        <v>2.9300229999999998</v>
      </c>
      <c r="T624">
        <v>-0.81189509999999998</v>
      </c>
      <c r="U624">
        <v>-0.27462769999999997</v>
      </c>
      <c r="V624">
        <v>1.483378E-2</v>
      </c>
      <c r="W624">
        <v>-8.8580119999999998E-2</v>
      </c>
      <c r="X624">
        <v>0.99595860000000003</v>
      </c>
      <c r="Y624">
        <v>8.9494729999999995E-2</v>
      </c>
      <c r="Z624">
        <v>-1.254979E-2</v>
      </c>
      <c r="AA624">
        <v>0.99590820000000002</v>
      </c>
      <c r="AB624">
        <v>32</v>
      </c>
      <c r="AC624">
        <v>0.56600000000003003</v>
      </c>
      <c r="AD624">
        <v>-0.25084879999999998</v>
      </c>
      <c r="AE624">
        <v>-8.4800000000029699E-2</v>
      </c>
      <c r="AF624">
        <v>7.0964322772880895E-2</v>
      </c>
      <c r="AG624">
        <v>-0.25084879999999998</v>
      </c>
      <c r="AH624">
        <v>0.47481377422301202</v>
      </c>
      <c r="AI624">
        <v>117.587354112029</v>
      </c>
      <c r="AJ624">
        <v>81.499654307972705</v>
      </c>
      <c r="AK624">
        <v>0.541672572464174</v>
      </c>
      <c r="AL624">
        <v>95.081927667977894</v>
      </c>
      <c r="AM624">
        <v>89.146701327674194</v>
      </c>
      <c r="AN624">
        <v>1.00000000580113</v>
      </c>
    </row>
    <row r="625" spans="1:40" x14ac:dyDescent="0.25">
      <c r="A625" t="str">
        <f>"20190303154430088"</f>
        <v>20190303154430088</v>
      </c>
      <c r="B625" t="str">
        <f>"1551599070081254"</f>
        <v>1551599070081254</v>
      </c>
      <c r="C625" t="s">
        <v>40</v>
      </c>
      <c r="D625">
        <v>4.6618559999999896</v>
      </c>
      <c r="E625">
        <v>0.55290090000000003</v>
      </c>
      <c r="F625" t="s">
        <v>42</v>
      </c>
      <c r="G625">
        <v>-329.34800000000001</v>
      </c>
      <c r="H625">
        <v>0.89417669999999905</v>
      </c>
      <c r="I625">
        <v>367.3168</v>
      </c>
      <c r="J625">
        <v>-329.91289999999998</v>
      </c>
      <c r="K625">
        <v>1.120487</v>
      </c>
      <c r="L625">
        <v>367.45339999999999</v>
      </c>
      <c r="M625">
        <v>0.99993909999999997</v>
      </c>
      <c r="N625">
        <v>-1.103844E-2</v>
      </c>
      <c r="O625">
        <v>-3.5789600000000002E-4</v>
      </c>
      <c r="P625">
        <v>0.99487890000000001</v>
      </c>
      <c r="Q625">
        <v>-9.9976400000000007E-2</v>
      </c>
      <c r="R625">
        <v>-1.4863980000000001E-2</v>
      </c>
      <c r="S625">
        <v>2.9319459999999999</v>
      </c>
      <c r="T625">
        <v>-0.76430940000000003</v>
      </c>
      <c r="U625">
        <v>-0.46060180000000001</v>
      </c>
      <c r="V625">
        <v>1.450445E-2</v>
      </c>
      <c r="W625">
        <v>-8.8988899999999996E-2</v>
      </c>
      <c r="X625">
        <v>0.99592700000000001</v>
      </c>
      <c r="Y625">
        <v>0.14974779999999999</v>
      </c>
      <c r="Z625">
        <v>-1.9844199999999999E-2</v>
      </c>
      <c r="AA625">
        <v>0.98852510000000005</v>
      </c>
      <c r="AB625">
        <v>32</v>
      </c>
      <c r="AC625">
        <v>0.56489999999996598</v>
      </c>
      <c r="AD625">
        <v>-0.22631029999999999</v>
      </c>
      <c r="AE625">
        <v>-0.13659999999998701</v>
      </c>
      <c r="AF625">
        <v>0.118438896532482</v>
      </c>
      <c r="AG625">
        <v>-0.22631029999999999</v>
      </c>
      <c r="AH625">
        <v>0.49056449086572901</v>
      </c>
      <c r="AI625">
        <v>114.153443917093</v>
      </c>
      <c r="AJ625">
        <v>76.426610284615904</v>
      </c>
      <c r="AK625">
        <v>0.55308014229067604</v>
      </c>
      <c r="AL625">
        <v>95.105441946126206</v>
      </c>
      <c r="AM625">
        <v>89.165616535234307</v>
      </c>
      <c r="AN625">
        <v>0.999999996361006</v>
      </c>
    </row>
    <row r="626" spans="1:40" x14ac:dyDescent="0.25">
      <c r="A626" t="str">
        <f>"20190303154430109"</f>
        <v>20190303154430109</v>
      </c>
      <c r="B626" t="str">
        <f>"1551599070100778"</f>
        <v>1551599070100778</v>
      </c>
      <c r="C626" t="s">
        <v>40</v>
      </c>
      <c r="D626">
        <v>4.6737719999999996</v>
      </c>
      <c r="E626">
        <v>0.55325849999999999</v>
      </c>
      <c r="F626" t="s">
        <v>42</v>
      </c>
      <c r="G626">
        <v>-329.05610000000001</v>
      </c>
      <c r="H626">
        <v>0.89908359999999998</v>
      </c>
      <c r="I626">
        <v>367.31529999999998</v>
      </c>
      <c r="J626">
        <v>-329.5967</v>
      </c>
      <c r="K626">
        <v>1.1204959999999999</v>
      </c>
      <c r="L626">
        <v>367.45330000000001</v>
      </c>
      <c r="M626">
        <v>0.99993770000000004</v>
      </c>
      <c r="N626">
        <v>-1.11634E-2</v>
      </c>
      <c r="O626">
        <v>-3.5751899999999999E-4</v>
      </c>
      <c r="P626">
        <v>0.99490940000000005</v>
      </c>
      <c r="Q626">
        <v>-9.9701509999999993E-2</v>
      </c>
      <c r="R626">
        <v>-1.46655E-2</v>
      </c>
      <c r="S626">
        <v>2.9322810000000001</v>
      </c>
      <c r="T626">
        <v>-0.7577258</v>
      </c>
      <c r="U626">
        <v>-0.47238160000000001</v>
      </c>
      <c r="V626">
        <v>1.430615E-2</v>
      </c>
      <c r="W626">
        <v>-8.858924E-2</v>
      </c>
      <c r="X626">
        <v>0.99596549999999995</v>
      </c>
      <c r="Y626">
        <v>0.15356159999999999</v>
      </c>
      <c r="Z626">
        <v>-2.019137E-2</v>
      </c>
      <c r="AA626">
        <v>0.9879327</v>
      </c>
      <c r="AB626">
        <v>32</v>
      </c>
      <c r="AC626">
        <v>0.54059999999998298</v>
      </c>
      <c r="AD626">
        <v>-0.22141239999999901</v>
      </c>
      <c r="AE626">
        <v>-0.13800000000003301</v>
      </c>
      <c r="AF626">
        <v>0.119057151907362</v>
      </c>
      <c r="AG626">
        <v>-0.22141239999999901</v>
      </c>
      <c r="AH626">
        <v>0.46709023962109503</v>
      </c>
      <c r="AI626">
        <v>114.67112636905</v>
      </c>
      <c r="AJ626">
        <v>75.700306065458307</v>
      </c>
      <c r="AK626">
        <v>0.53044448177292303</v>
      </c>
      <c r="AL626">
        <v>95.082452306191698</v>
      </c>
      <c r="AM626">
        <v>89.177054176308602</v>
      </c>
      <c r="AN626">
        <v>0.99999999828092501</v>
      </c>
    </row>
    <row r="627" spans="1:40" x14ac:dyDescent="0.25">
      <c r="A627" t="str">
        <f>"20190303154430132"</f>
        <v>20190303154430132</v>
      </c>
      <c r="B627" t="str">
        <f>"1551599070121270"</f>
        <v>1551599070121270</v>
      </c>
      <c r="C627" t="s">
        <v>40</v>
      </c>
      <c r="D627">
        <v>5.991676</v>
      </c>
      <c r="E627">
        <v>0.55336980000000002</v>
      </c>
      <c r="F627" t="s">
        <v>42</v>
      </c>
      <c r="G627">
        <v>-328.76319999999998</v>
      </c>
      <c r="H627">
        <v>0.90669690000000003</v>
      </c>
      <c r="I627">
        <v>367.31819999999999</v>
      </c>
      <c r="J627">
        <v>-329.25729999999999</v>
      </c>
      <c r="K627">
        <v>1.1204989999999999</v>
      </c>
      <c r="L627">
        <v>367.45319999999998</v>
      </c>
      <c r="M627">
        <v>0.9999363</v>
      </c>
      <c r="N627">
        <v>-1.128209E-2</v>
      </c>
      <c r="O627">
        <v>-3.5735239999999999E-4</v>
      </c>
      <c r="P627">
        <v>0.99490310000000004</v>
      </c>
      <c r="Q627">
        <v>-9.9875060000000002E-2</v>
      </c>
      <c r="R627">
        <v>-1.388266E-2</v>
      </c>
      <c r="S627">
        <v>2.9329830000000001</v>
      </c>
      <c r="T627">
        <v>-0.75232519999999903</v>
      </c>
      <c r="U627">
        <v>-0.47442630000000002</v>
      </c>
      <c r="V627">
        <v>1.352363E-2</v>
      </c>
      <c r="W627">
        <v>-8.8644589999999995E-2</v>
      </c>
      <c r="X627">
        <v>0.99597150000000001</v>
      </c>
      <c r="Y627">
        <v>0.1542442</v>
      </c>
      <c r="Z627">
        <v>-2.0151390000000002E-2</v>
      </c>
      <c r="AA627">
        <v>0.98782720000000002</v>
      </c>
      <c r="AB627">
        <v>32</v>
      </c>
      <c r="AC627">
        <v>0.49410000000000298</v>
      </c>
      <c r="AD627">
        <v>-0.213802099999999</v>
      </c>
      <c r="AE627">
        <v>-0.13499999999998999</v>
      </c>
      <c r="AF627">
        <v>0.114818427736348</v>
      </c>
      <c r="AG627">
        <v>-0.213802099999999</v>
      </c>
      <c r="AH627">
        <v>0.420826917475282</v>
      </c>
      <c r="AI627">
        <v>116.111159623734</v>
      </c>
      <c r="AJ627">
        <v>74.738868353080207</v>
      </c>
      <c r="AK627">
        <v>0.48578792058263898</v>
      </c>
      <c r="AL627">
        <v>95.085636193939706</v>
      </c>
      <c r="AM627">
        <v>89.222066787872507</v>
      </c>
      <c r="AN627">
        <v>0.999999990358447</v>
      </c>
    </row>
    <row r="628" spans="1:40" x14ac:dyDescent="0.25">
      <c r="A628" t="str">
        <f>"20190303154430154"</f>
        <v>20190303154430154</v>
      </c>
      <c r="B628" t="str">
        <f>"1551599070150550"</f>
        <v>1551599070150550</v>
      </c>
      <c r="C628" t="s">
        <v>40</v>
      </c>
      <c r="D628">
        <v>4.8272019999999998</v>
      </c>
      <c r="E628">
        <v>0.55311489999999996</v>
      </c>
      <c r="F628" t="s">
        <v>42</v>
      </c>
      <c r="G628">
        <v>-328.46850000000001</v>
      </c>
      <c r="H628">
        <v>0.9196107</v>
      </c>
      <c r="I628">
        <v>367.32589999999999</v>
      </c>
      <c r="J628">
        <v>-328.9545</v>
      </c>
      <c r="K628">
        <v>1.1205080000000001</v>
      </c>
      <c r="L628">
        <v>367.45310000000001</v>
      </c>
      <c r="M628">
        <v>0.99993529999999997</v>
      </c>
      <c r="N628">
        <v>-1.137555E-2</v>
      </c>
      <c r="O628">
        <v>-3.5728730000000002E-4</v>
      </c>
      <c r="P628">
        <v>0.99489030000000001</v>
      </c>
      <c r="Q628">
        <v>-0.1000554</v>
      </c>
      <c r="R628">
        <v>-1.3509989999999999E-2</v>
      </c>
      <c r="S628">
        <v>2.9337460000000002</v>
      </c>
      <c r="T628">
        <v>-0.74713600000000002</v>
      </c>
      <c r="U628">
        <v>-0.4732056</v>
      </c>
      <c r="V628">
        <v>1.3151100000000001E-2</v>
      </c>
      <c r="W628">
        <v>-8.8732000000000005E-2</v>
      </c>
      <c r="X628">
        <v>0.99596870000000004</v>
      </c>
      <c r="Y628">
        <v>0.15388250000000001</v>
      </c>
      <c r="Z628">
        <v>-1.99785E-2</v>
      </c>
      <c r="AA628">
        <v>0.98788710000000002</v>
      </c>
      <c r="AB628">
        <v>32</v>
      </c>
      <c r="AC628">
        <v>0.48599999999999</v>
      </c>
      <c r="AD628">
        <v>-0.2008973</v>
      </c>
      <c r="AE628">
        <v>-0.12720000000001599</v>
      </c>
      <c r="AF628">
        <v>0.109513099299062</v>
      </c>
      <c r="AG628">
        <v>-0.2008973</v>
      </c>
      <c r="AH628">
        <v>0.41903388404749498</v>
      </c>
      <c r="AI628">
        <v>114.884246120684</v>
      </c>
      <c r="AJ628">
        <v>75.353536070322505</v>
      </c>
      <c r="AK628">
        <v>0.477432969164579</v>
      </c>
      <c r="AL628">
        <v>95.090664257145093</v>
      </c>
      <c r="AM628">
        <v>89.243491549093704</v>
      </c>
      <c r="AN628">
        <v>0.99999998531745005</v>
      </c>
    </row>
    <row r="629" spans="1:40" x14ac:dyDescent="0.25">
      <c r="A629" t="str">
        <f>"20190303154430176"</f>
        <v>20190303154430176</v>
      </c>
      <c r="B629" t="str">
        <f>"1551599070171046"</f>
        <v>1551599070171046</v>
      </c>
      <c r="C629" t="s">
        <v>40</v>
      </c>
      <c r="D629">
        <v>4.837879</v>
      </c>
      <c r="E629">
        <v>0.55277419999999899</v>
      </c>
      <c r="F629" t="s">
        <v>42</v>
      </c>
      <c r="G629">
        <v>-328.178</v>
      </c>
      <c r="H629">
        <v>0.92198429999999998</v>
      </c>
      <c r="I629">
        <v>367.32859999999999</v>
      </c>
      <c r="J629">
        <v>-328.62329999999997</v>
      </c>
      <c r="K629">
        <v>1.120514</v>
      </c>
      <c r="L629">
        <v>367.45299999999997</v>
      </c>
      <c r="M629">
        <v>0.9999342</v>
      </c>
      <c r="N629">
        <v>-1.1465940000000001E-2</v>
      </c>
      <c r="O629">
        <v>-3.5673209999999999E-4</v>
      </c>
      <c r="P629">
        <v>0.99482879999999996</v>
      </c>
      <c r="Q629">
        <v>-0.1006807</v>
      </c>
      <c r="R629">
        <v>-1.338201E-2</v>
      </c>
      <c r="S629">
        <v>2.933624</v>
      </c>
      <c r="T629">
        <v>-0.75013419999999997</v>
      </c>
      <c r="U629">
        <v>-0.46994019999999997</v>
      </c>
      <c r="V629">
        <v>1.302361E-2</v>
      </c>
      <c r="W629">
        <v>-8.9267910000000006E-2</v>
      </c>
      <c r="X629">
        <v>0.99592250000000004</v>
      </c>
      <c r="Y629">
        <v>0.15281069999999999</v>
      </c>
      <c r="Z629">
        <v>-1.9922080000000002E-2</v>
      </c>
      <c r="AA629">
        <v>0.98805460000000001</v>
      </c>
      <c r="AB629">
        <v>32</v>
      </c>
      <c r="AC629">
        <v>0.44529999999991698</v>
      </c>
      <c r="AD629">
        <v>-0.198529699999999</v>
      </c>
      <c r="AE629">
        <v>-0.124400000000036</v>
      </c>
      <c r="AF629">
        <v>0.104899884701378</v>
      </c>
      <c r="AG629">
        <v>-0.198529699999999</v>
      </c>
      <c r="AH629">
        <v>0.37601534709409801</v>
      </c>
      <c r="AI629">
        <v>116.95622112818999</v>
      </c>
      <c r="AJ629">
        <v>74.412084809642707</v>
      </c>
      <c r="AK629">
        <v>0.43795612661857702</v>
      </c>
      <c r="AL629">
        <v>95.121491899109202</v>
      </c>
      <c r="AM629">
        <v>89.250789738574994</v>
      </c>
      <c r="AN629">
        <v>1.00000000008972</v>
      </c>
    </row>
    <row r="630" spans="1:40" x14ac:dyDescent="0.25">
      <c r="A630" t="str">
        <f>"20190303154430199"</f>
        <v>20190303154430199</v>
      </c>
      <c r="B630" t="str">
        <f>"1551599070190570"</f>
        <v>1551599070190570</v>
      </c>
      <c r="C630" t="s">
        <v>40</v>
      </c>
      <c r="D630">
        <v>4.6923579999999996</v>
      </c>
      <c r="E630">
        <v>0.55317559999999999</v>
      </c>
      <c r="F630" t="s">
        <v>42</v>
      </c>
      <c r="G630">
        <v>-327.88499999999999</v>
      </c>
      <c r="H630">
        <v>0.92990419999999996</v>
      </c>
      <c r="I630">
        <v>367.33519999999999</v>
      </c>
      <c r="J630">
        <v>-328.30130000000003</v>
      </c>
      <c r="K630">
        <v>1.1205229999999999</v>
      </c>
      <c r="L630">
        <v>367.4529</v>
      </c>
      <c r="M630">
        <v>0.99993319999999997</v>
      </c>
      <c r="N630">
        <v>-1.1558270000000001E-2</v>
      </c>
      <c r="O630">
        <v>-3.5666920000000001E-4</v>
      </c>
      <c r="P630">
        <v>0.9947743</v>
      </c>
      <c r="Q630">
        <v>-0.1011895</v>
      </c>
      <c r="R630">
        <v>-1.359674E-2</v>
      </c>
      <c r="S630">
        <v>2.932709</v>
      </c>
      <c r="T630">
        <v>-0.75721190000000005</v>
      </c>
      <c r="U630">
        <v>-0.46713260000000001</v>
      </c>
      <c r="V630">
        <v>1.323848E-2</v>
      </c>
      <c r="W630">
        <v>-8.9685310000000004E-2</v>
      </c>
      <c r="X630">
        <v>0.99588220000000005</v>
      </c>
      <c r="Y630">
        <v>0.151870799999999</v>
      </c>
      <c r="Z630">
        <v>-1.9986339999999998E-2</v>
      </c>
      <c r="AA630">
        <v>0.98819829999999997</v>
      </c>
      <c r="AB630">
        <v>32</v>
      </c>
      <c r="AC630">
        <v>0.41630000000003498</v>
      </c>
      <c r="AD630">
        <v>-0.1906188</v>
      </c>
      <c r="AE630">
        <v>-0.117700000000013</v>
      </c>
      <c r="AF630">
        <v>9.8440088611897902E-2</v>
      </c>
      <c r="AG630">
        <v>-0.1906188</v>
      </c>
      <c r="AH630">
        <v>0.34865347227282201</v>
      </c>
      <c r="AI630">
        <v>117.75148243064601</v>
      </c>
      <c r="AJ630">
        <v>74.233311309275607</v>
      </c>
      <c r="AK630">
        <v>0.40937174021572897</v>
      </c>
      <c r="AL630">
        <v>95.145503293754999</v>
      </c>
      <c r="AM630">
        <v>89.238399524282201</v>
      </c>
      <c r="AN630">
        <v>1.00000003422967</v>
      </c>
    </row>
    <row r="631" spans="1:40" x14ac:dyDescent="0.25">
      <c r="A631" t="str">
        <f>"20190303154430221"</f>
        <v>20190303154430221</v>
      </c>
      <c r="B631" t="str">
        <f>"1551599070211066"</f>
        <v>1551599070211066</v>
      </c>
      <c r="C631" t="s">
        <v>40</v>
      </c>
      <c r="D631">
        <v>4.7095880000000001</v>
      </c>
      <c r="E631">
        <v>0.55318769999999995</v>
      </c>
      <c r="F631" t="s">
        <v>42</v>
      </c>
      <c r="G631">
        <v>-327.59210000000002</v>
      </c>
      <c r="H631">
        <v>0.93748500000000001</v>
      </c>
      <c r="I631">
        <v>367.33850000000001</v>
      </c>
      <c r="J631">
        <v>-327.9787</v>
      </c>
      <c r="K631">
        <v>1.120268</v>
      </c>
      <c r="L631">
        <v>367.45280000000002</v>
      </c>
      <c r="M631">
        <v>0.99994249999999996</v>
      </c>
      <c r="N631">
        <v>-1.0715570000000001E-2</v>
      </c>
      <c r="O631">
        <v>-3.564924E-4</v>
      </c>
      <c r="P631">
        <v>0.9948553</v>
      </c>
      <c r="Q631">
        <v>-0.10034949999999999</v>
      </c>
      <c r="R631">
        <v>-1.3883599999999999E-2</v>
      </c>
      <c r="S631">
        <v>2.9323429999999999</v>
      </c>
      <c r="T631">
        <v>-0.75687649999999995</v>
      </c>
      <c r="U631">
        <v>-0.47116089999999999</v>
      </c>
      <c r="V631">
        <v>1.35256E-2</v>
      </c>
      <c r="W631">
        <v>-8.9683760000000001E-2</v>
      </c>
      <c r="X631">
        <v>0.9958785</v>
      </c>
      <c r="Y631">
        <v>0.15319079999999999</v>
      </c>
      <c r="Z631">
        <v>-2.0086619999999999E-2</v>
      </c>
      <c r="AA631">
        <v>0.98799250000000005</v>
      </c>
      <c r="AB631">
        <v>32</v>
      </c>
      <c r="AC631">
        <v>0.38659999999998701</v>
      </c>
      <c r="AD631">
        <v>-0.182783</v>
      </c>
      <c r="AE631">
        <v>-0.114300000000014</v>
      </c>
      <c r="AF631">
        <v>9.4695806532792207E-2</v>
      </c>
      <c r="AG631">
        <v>-0.182783</v>
      </c>
      <c r="AH631">
        <v>0.320712692545158</v>
      </c>
      <c r="AI631">
        <v>118.66094976527</v>
      </c>
      <c r="AJ631">
        <v>73.549879730111499</v>
      </c>
      <c r="AK631">
        <v>0.38109520073527697</v>
      </c>
      <c r="AL631">
        <v>95.145414030614305</v>
      </c>
      <c r="AM631">
        <v>89.221880830681499</v>
      </c>
      <c r="AN631">
        <v>1.00000005271267</v>
      </c>
    </row>
    <row r="632" spans="1:40" x14ac:dyDescent="0.25">
      <c r="A632" t="str">
        <f>"20190303154430245"</f>
        <v>20190303154430245</v>
      </c>
      <c r="B632" t="str">
        <f>"1551599070241320"</f>
        <v>1551599070241320</v>
      </c>
      <c r="C632" t="s">
        <v>40</v>
      </c>
      <c r="D632">
        <v>4.7953130000000002</v>
      </c>
      <c r="E632">
        <v>0.5529984</v>
      </c>
      <c r="F632" t="s">
        <v>42</v>
      </c>
      <c r="G632">
        <v>-327.29610000000002</v>
      </c>
      <c r="H632">
        <v>0.94452449999999999</v>
      </c>
      <c r="I632">
        <v>367.34309999999999</v>
      </c>
      <c r="J632">
        <v>-327.63240000000002</v>
      </c>
      <c r="K632">
        <v>1.119942</v>
      </c>
      <c r="L632">
        <v>367.45269999999999</v>
      </c>
      <c r="M632">
        <v>0.99995590000000001</v>
      </c>
      <c r="N632">
        <v>-9.3905829999999992E-3</v>
      </c>
      <c r="O632">
        <v>-3.563657E-4</v>
      </c>
      <c r="P632">
        <v>0.99493719999999997</v>
      </c>
      <c r="Q632">
        <v>-9.9407200000000001E-2</v>
      </c>
      <c r="R632">
        <v>-1.477909E-2</v>
      </c>
      <c r="S632">
        <v>2.9327700000000001</v>
      </c>
      <c r="T632">
        <v>-0.75512480000000004</v>
      </c>
      <c r="U632">
        <v>-0.47189330000000002</v>
      </c>
      <c r="V632">
        <v>1.442089E-2</v>
      </c>
      <c r="W632">
        <v>-9.0060299999999996E-2</v>
      </c>
      <c r="X632">
        <v>0.99583189999999999</v>
      </c>
      <c r="Y632">
        <v>0.15345120000000001</v>
      </c>
      <c r="Z632">
        <v>-1.9970120000000001E-2</v>
      </c>
      <c r="AA632">
        <v>0.98795440000000001</v>
      </c>
      <c r="AB632">
        <v>32</v>
      </c>
      <c r="AC632">
        <v>0.33629999999999399</v>
      </c>
      <c r="AD632">
        <v>-0.175417499999999</v>
      </c>
      <c r="AE632">
        <v>-0.1096</v>
      </c>
      <c r="AF632">
        <v>8.7868508807580598E-2</v>
      </c>
      <c r="AG632">
        <v>-0.175417499999999</v>
      </c>
      <c r="AH632">
        <v>0.269944934240954</v>
      </c>
      <c r="AI632">
        <v>121.712571800986</v>
      </c>
      <c r="AJ632">
        <v>71.969656206677897</v>
      </c>
      <c r="AK632">
        <v>0.33371011622165497</v>
      </c>
      <c r="AL632">
        <v>95.167076132664505</v>
      </c>
      <c r="AM632">
        <v>89.1703435248738</v>
      </c>
      <c r="AN632">
        <v>0.99999999638104597</v>
      </c>
    </row>
    <row r="633" spans="1:40" x14ac:dyDescent="0.25">
      <c r="A633" t="str">
        <f>"20190303154430267"</f>
        <v>20190303154430267</v>
      </c>
      <c r="B633" t="str">
        <f>"1551599070260838"</f>
        <v>1551599070260838</v>
      </c>
      <c r="C633" t="s">
        <v>40</v>
      </c>
      <c r="D633">
        <v>4.8062079999999998</v>
      </c>
      <c r="E633">
        <v>0.55270209999999997</v>
      </c>
      <c r="F633" t="s">
        <v>42</v>
      </c>
      <c r="G633">
        <v>-326.72710000000001</v>
      </c>
      <c r="H633">
        <v>0.88682759999999905</v>
      </c>
      <c r="I633">
        <v>367.30650000000003</v>
      </c>
      <c r="J633">
        <v>-327.28829999999999</v>
      </c>
      <c r="K633">
        <v>1.119664</v>
      </c>
      <c r="L633">
        <v>367.45260000000002</v>
      </c>
      <c r="M633">
        <v>0.99996750000000001</v>
      </c>
      <c r="N633">
        <v>-8.0676930000000008E-3</v>
      </c>
      <c r="O633">
        <v>-3.5640930000000002E-4</v>
      </c>
      <c r="P633">
        <v>0.99502630000000003</v>
      </c>
      <c r="Q633">
        <v>-9.8472980000000002E-2</v>
      </c>
      <c r="R633">
        <v>-1.503723E-2</v>
      </c>
      <c r="S633">
        <v>2.9327390000000002</v>
      </c>
      <c r="T633">
        <v>-0.75517330000000005</v>
      </c>
      <c r="U633">
        <v>-0.47311399999999998</v>
      </c>
      <c r="V633">
        <v>1.467897E-2</v>
      </c>
      <c r="W633">
        <v>-9.0442739999999994E-2</v>
      </c>
      <c r="X633">
        <v>0.9957935</v>
      </c>
      <c r="Y633">
        <v>0.15386610000000001</v>
      </c>
      <c r="Z633">
        <v>-1.9920549999999999E-2</v>
      </c>
      <c r="AA633">
        <v>0.98789090000000002</v>
      </c>
      <c r="AB633">
        <v>33</v>
      </c>
      <c r="AC633">
        <v>0.56119999999998504</v>
      </c>
      <c r="AD633">
        <v>-0.2328364</v>
      </c>
      <c r="AE633">
        <v>-0.14609999999998899</v>
      </c>
      <c r="AF633">
        <v>0.125644974994961</v>
      </c>
      <c r="AG633">
        <v>-0.2328364</v>
      </c>
      <c r="AH633">
        <v>0.48333457162026</v>
      </c>
      <c r="AI633">
        <v>114.996513604396</v>
      </c>
      <c r="AJ633">
        <v>75.428228147584505</v>
      </c>
      <c r="AK633">
        <v>0.55100976128357704</v>
      </c>
      <c r="AL633">
        <v>95.1890779562398</v>
      </c>
      <c r="AM633">
        <v>89.155465346990994</v>
      </c>
      <c r="AN633">
        <v>1.0000000280106001</v>
      </c>
    </row>
    <row r="634" spans="1:40" x14ac:dyDescent="0.25">
      <c r="A634" t="str">
        <f>"20190303154430289"</f>
        <v>20190303154430289</v>
      </c>
      <c r="B634" t="str">
        <f>"1551599070281335"</f>
        <v>1551599070281335</v>
      </c>
      <c r="C634" t="s">
        <v>40</v>
      </c>
      <c r="D634">
        <v>4.7076019999999996</v>
      </c>
      <c r="E634">
        <v>0.55292269999999999</v>
      </c>
      <c r="F634" t="s">
        <v>42</v>
      </c>
      <c r="G634">
        <v>-326.42360000000002</v>
      </c>
      <c r="H634">
        <v>0.89627429999999997</v>
      </c>
      <c r="I634">
        <v>367.31319999999999</v>
      </c>
      <c r="J634">
        <v>-326.96420000000001</v>
      </c>
      <c r="K634">
        <v>1.119451</v>
      </c>
      <c r="L634">
        <v>367.45249999999999</v>
      </c>
      <c r="M634">
        <v>0.99997659999999999</v>
      </c>
      <c r="N634">
        <v>-6.8547740000000001E-3</v>
      </c>
      <c r="O634">
        <v>-3.5663060000000002E-4</v>
      </c>
      <c r="P634">
        <v>0.99513189999999996</v>
      </c>
      <c r="Q634">
        <v>-9.7356719999999994E-2</v>
      </c>
      <c r="R634">
        <v>-1.5310600000000001E-2</v>
      </c>
      <c r="S634">
        <v>2.9328919999999998</v>
      </c>
      <c r="T634">
        <v>-0.75765609999999906</v>
      </c>
      <c r="U634">
        <v>-0.47167969999999998</v>
      </c>
      <c r="V634">
        <v>1.4952129999999999E-2</v>
      </c>
      <c r="W634">
        <v>-9.0533589999999997E-2</v>
      </c>
      <c r="X634">
        <v>0.99578109999999997</v>
      </c>
      <c r="Y634">
        <v>0.15339469999999999</v>
      </c>
      <c r="Z634">
        <v>-1.9824620000000001E-2</v>
      </c>
      <c r="AA634">
        <v>0.98796609999999996</v>
      </c>
      <c r="AB634">
        <v>33</v>
      </c>
      <c r="AC634">
        <v>0.54059999999998298</v>
      </c>
      <c r="AD634">
        <v>-0.22317669999999901</v>
      </c>
      <c r="AE634">
        <v>-0.13929999999999099</v>
      </c>
      <c r="AF634">
        <v>0.11993877662048499</v>
      </c>
      <c r="AG634">
        <v>-0.22317669999999901</v>
      </c>
      <c r="AH634">
        <v>0.46615028349639898</v>
      </c>
      <c r="AI634">
        <v>114.875451781404</v>
      </c>
      <c r="AJ634">
        <v>75.5709769648725</v>
      </c>
      <c r="AK634">
        <v>0.53055559215211601</v>
      </c>
      <c r="AL634">
        <v>95.194305136452201</v>
      </c>
      <c r="AM634">
        <v>89.139741085948202</v>
      </c>
      <c r="AN634">
        <v>0.999999948113516</v>
      </c>
    </row>
    <row r="635" spans="1:40" x14ac:dyDescent="0.25">
      <c r="A635" t="str">
        <f>"20190303154430311"</f>
        <v>20190303154430311</v>
      </c>
      <c r="B635" t="str">
        <f>"1551599070300854"</f>
        <v>1551599070300854</v>
      </c>
      <c r="C635" t="s">
        <v>40</v>
      </c>
      <c r="D635">
        <v>4.8104230000000001</v>
      </c>
      <c r="E635">
        <v>0.55306040000000001</v>
      </c>
      <c r="F635" t="s">
        <v>42</v>
      </c>
      <c r="G635">
        <v>-326.11869999999999</v>
      </c>
      <c r="H635">
        <v>0.90228439999999999</v>
      </c>
      <c r="I635">
        <v>367.31549999999999</v>
      </c>
      <c r="J635">
        <v>-326.63889999999998</v>
      </c>
      <c r="K635">
        <v>1.1192799999999901</v>
      </c>
      <c r="L635">
        <v>367.45229999999998</v>
      </c>
      <c r="M635">
        <v>0.99998379999999998</v>
      </c>
      <c r="N635">
        <v>-5.6953459999999996E-3</v>
      </c>
      <c r="O635">
        <v>-3.5702459999999999E-4</v>
      </c>
      <c r="P635">
        <v>0.99515670000000001</v>
      </c>
      <c r="Q635">
        <v>-9.707826E-2</v>
      </c>
      <c r="R635">
        <v>-1.545996E-2</v>
      </c>
      <c r="S635">
        <v>2.9336850000000001</v>
      </c>
      <c r="T635">
        <v>-0.75366309999999903</v>
      </c>
      <c r="U635">
        <v>-0.47460940000000001</v>
      </c>
      <c r="V635">
        <v>1.510119E-2</v>
      </c>
      <c r="W635">
        <v>-9.1409500000000005E-2</v>
      </c>
      <c r="X635">
        <v>0.99569890000000005</v>
      </c>
      <c r="Y635">
        <v>0.15436079999999999</v>
      </c>
      <c r="Z635">
        <v>-1.975238E-2</v>
      </c>
      <c r="AA635">
        <v>0.9878171</v>
      </c>
      <c r="AB635">
        <v>34</v>
      </c>
      <c r="AC635">
        <v>0.52019999999998801</v>
      </c>
      <c r="AD635">
        <v>-0.21699559999999901</v>
      </c>
      <c r="AE635">
        <v>-0.13679999999999301</v>
      </c>
      <c r="AF635">
        <v>0.11749241799341099</v>
      </c>
      <c r="AG635">
        <v>-0.21699559999999901</v>
      </c>
      <c r="AH635">
        <v>0.44742978259879901</v>
      </c>
      <c r="AI635">
        <v>115.130297769956</v>
      </c>
      <c r="AJ635">
        <v>75.286652614335196</v>
      </c>
      <c r="AK635">
        <v>0.51096474346250897</v>
      </c>
      <c r="AL635">
        <v>95.244699666291098</v>
      </c>
      <c r="AM635">
        <v>89.131094629847894</v>
      </c>
      <c r="AN635">
        <v>1.0000000210454301</v>
      </c>
    </row>
    <row r="636" spans="1:40" x14ac:dyDescent="0.25">
      <c r="A636" t="str">
        <f>"20190303154430333"</f>
        <v>20190303154430333</v>
      </c>
      <c r="B636" t="str">
        <f>"1551599070331111"</f>
        <v>1551599070331111</v>
      </c>
      <c r="C636" t="s">
        <v>40</v>
      </c>
      <c r="D636">
        <v>4.810467</v>
      </c>
      <c r="E636">
        <v>0.55321659999999995</v>
      </c>
      <c r="F636" t="s">
        <v>42</v>
      </c>
      <c r="G636">
        <v>-325.81180000000001</v>
      </c>
      <c r="H636">
        <v>0.90765150000000006</v>
      </c>
      <c r="I636">
        <v>367.31779999999998</v>
      </c>
      <c r="J636">
        <v>-326.29610000000002</v>
      </c>
      <c r="K636">
        <v>1.119154</v>
      </c>
      <c r="L636">
        <v>367.45209999999997</v>
      </c>
      <c r="M636">
        <v>0.99998929999999997</v>
      </c>
      <c r="N636">
        <v>-4.6164500000000002E-3</v>
      </c>
      <c r="O636">
        <v>-3.5696529999999999E-4</v>
      </c>
      <c r="P636">
        <v>0.99525520000000001</v>
      </c>
      <c r="Q636">
        <v>-9.6160620000000002E-2</v>
      </c>
      <c r="R636">
        <v>-1.4847920000000001E-2</v>
      </c>
      <c r="S636">
        <v>2.9339599999999999</v>
      </c>
      <c r="T636">
        <v>-0.75082309999999997</v>
      </c>
      <c r="U636">
        <v>-0.47616579999999997</v>
      </c>
      <c r="V636">
        <v>1.4488930000000001E-2</v>
      </c>
      <c r="W636">
        <v>-9.1565590000000002E-2</v>
      </c>
      <c r="X636">
        <v>0.99569359999999996</v>
      </c>
      <c r="Y636">
        <v>0.15489919999999999</v>
      </c>
      <c r="Z636">
        <v>-1.966248E-2</v>
      </c>
      <c r="AA636">
        <v>0.98773460000000002</v>
      </c>
      <c r="AB636">
        <v>34</v>
      </c>
      <c r="AC636">
        <v>0.48430000000001799</v>
      </c>
      <c r="AD636">
        <v>-0.21150250000000001</v>
      </c>
      <c r="AE636">
        <v>-0.13429999999999601</v>
      </c>
      <c r="AF636">
        <v>0.113946752657067</v>
      </c>
      <c r="AG636">
        <v>-0.21150250000000001</v>
      </c>
      <c r="AH636">
        <v>0.411474391511647</v>
      </c>
      <c r="AI636">
        <v>116.352349829848</v>
      </c>
      <c r="AJ636">
        <v>74.521362082293905</v>
      </c>
      <c r="AK636">
        <v>0.47647491520249102</v>
      </c>
      <c r="AL636">
        <v>95.253680919973604</v>
      </c>
      <c r="AM636">
        <v>89.166313862689194</v>
      </c>
      <c r="AN636">
        <v>0.99999996572277505</v>
      </c>
    </row>
    <row r="637" spans="1:40" x14ac:dyDescent="0.25">
      <c r="A637" t="str">
        <f>"20190303154430355"</f>
        <v>20190303154430355</v>
      </c>
      <c r="B637" t="str">
        <f>"1551599070350630"</f>
        <v>1551599070350630</v>
      </c>
      <c r="C637" t="s">
        <v>40</v>
      </c>
      <c r="D637">
        <v>4.7727339999999998</v>
      </c>
      <c r="E637">
        <v>0.55354190000000003</v>
      </c>
      <c r="F637" t="s">
        <v>42</v>
      </c>
      <c r="G637">
        <v>-325.50130000000001</v>
      </c>
      <c r="H637">
        <v>0.9168944</v>
      </c>
      <c r="I637">
        <v>367.32330000000002</v>
      </c>
      <c r="J637">
        <v>-325.95800000000003</v>
      </c>
      <c r="K637">
        <v>1.119124</v>
      </c>
      <c r="L637">
        <v>367.452</v>
      </c>
      <c r="M637">
        <v>0.99999249999999995</v>
      </c>
      <c r="N637">
        <v>-3.8667390000000001E-3</v>
      </c>
      <c r="O637">
        <v>-3.5619599999999998E-4</v>
      </c>
      <c r="P637">
        <v>0.99529679999999998</v>
      </c>
      <c r="Q637">
        <v>-9.5750150000000006E-2</v>
      </c>
      <c r="R637">
        <v>-1.4706820000000001E-2</v>
      </c>
      <c r="S637">
        <v>2.9349980000000002</v>
      </c>
      <c r="T637">
        <v>-0.74686339999999996</v>
      </c>
      <c r="U637">
        <v>-0.4749756</v>
      </c>
      <c r="V637">
        <v>1.4348690000000001E-2</v>
      </c>
      <c r="W637">
        <v>-9.1901440000000001E-2</v>
      </c>
      <c r="X637">
        <v>0.99566469999999896</v>
      </c>
      <c r="Y637">
        <v>0.1545347</v>
      </c>
      <c r="Z637">
        <v>-1.945231E-2</v>
      </c>
      <c r="AA637">
        <v>0.9877958</v>
      </c>
      <c r="AB637">
        <v>34</v>
      </c>
      <c r="AC637">
        <v>0.45669999999995498</v>
      </c>
      <c r="AD637">
        <v>-0.20222960000000001</v>
      </c>
      <c r="AE637">
        <v>-0.12869999999998</v>
      </c>
      <c r="AF637">
        <v>0.10877766548326299</v>
      </c>
      <c r="AG637">
        <v>-0.20222960000000001</v>
      </c>
      <c r="AH637">
        <v>0.38653166974138198</v>
      </c>
      <c r="AI637">
        <v>116.731072513743</v>
      </c>
      <c r="AJ637">
        <v>74.282346860274302</v>
      </c>
      <c r="AK637">
        <v>0.44959551080633597</v>
      </c>
      <c r="AL637">
        <v>95.273005126572002</v>
      </c>
      <c r="AM637">
        <v>89.174358122192004</v>
      </c>
      <c r="AN637">
        <v>0.99999997720243905</v>
      </c>
    </row>
    <row r="638" spans="1:40" x14ac:dyDescent="0.25">
      <c r="A638" t="str">
        <f>"20190303154430579"</f>
        <v>20190303154430579</v>
      </c>
      <c r="B638" t="str">
        <f>"1551599070571207"</f>
        <v>1551599070571207</v>
      </c>
      <c r="C638" t="s">
        <v>40</v>
      </c>
      <c r="D638">
        <v>4.663208</v>
      </c>
      <c r="E638">
        <v>0.52374200000000004</v>
      </c>
      <c r="F638" t="s">
        <v>42</v>
      </c>
      <c r="G638">
        <v>-322.10500000000002</v>
      </c>
      <c r="H638">
        <v>0.93178150000000004</v>
      </c>
      <c r="I638">
        <v>367.3716</v>
      </c>
      <c r="J638">
        <v>-322.50720000000001</v>
      </c>
      <c r="K638">
        <v>1.120566</v>
      </c>
      <c r="L638">
        <v>367.45069999999998</v>
      </c>
      <c r="M638">
        <v>0.99995239999999996</v>
      </c>
      <c r="N638">
        <v>-9.7456609999999992E-3</v>
      </c>
      <c r="O638">
        <v>-3.466187E-4</v>
      </c>
      <c r="P638">
        <v>0.99486719999999895</v>
      </c>
      <c r="Q638">
        <v>-0.1004428</v>
      </c>
      <c r="R638">
        <v>-1.22579E-2</v>
      </c>
      <c r="S638">
        <v>2.9349370000000001</v>
      </c>
      <c r="T638">
        <v>-0.75789059999999997</v>
      </c>
      <c r="U638">
        <v>-0.31741329999999901</v>
      </c>
      <c r="V638">
        <v>1.190983E-2</v>
      </c>
      <c r="W638">
        <v>-9.0742799999999998E-2</v>
      </c>
      <c r="X638">
        <v>0.99580310000000005</v>
      </c>
      <c r="Y638">
        <v>0.1036937</v>
      </c>
      <c r="Z638">
        <v>-1.356655E-2</v>
      </c>
      <c r="AA638">
        <v>0.99451670000000003</v>
      </c>
      <c r="AB638">
        <v>34</v>
      </c>
      <c r="AC638">
        <v>0.40219999999999301</v>
      </c>
      <c r="AD638">
        <v>-0.18878449999999899</v>
      </c>
      <c r="AE638">
        <v>-7.9099999999982601E-2</v>
      </c>
      <c r="AF638">
        <v>6.5142915090357495E-2</v>
      </c>
      <c r="AG638">
        <v>-0.18878449999999899</v>
      </c>
      <c r="AH638">
        <v>0.331839830586528</v>
      </c>
      <c r="AI638">
        <v>119.172333016956</v>
      </c>
      <c r="AJ638">
        <v>78.893594307609902</v>
      </c>
      <c r="AK638">
        <v>0.38729944486200202</v>
      </c>
      <c r="AL638">
        <v>95.206341484484696</v>
      </c>
      <c r="AM638">
        <v>89.314773713810197</v>
      </c>
      <c r="AN638">
        <v>0.99999995688603804</v>
      </c>
    </row>
    <row r="639" spans="1:40" x14ac:dyDescent="0.25">
      <c r="A639" t="str">
        <f>"20190303154430592"</f>
        <v>20190303154430592</v>
      </c>
      <c r="B639" t="str">
        <f>"1551599070580967"</f>
        <v>1551599070580967</v>
      </c>
      <c r="C639" t="s">
        <v>40</v>
      </c>
      <c r="D639">
        <v>4.7338930000000001</v>
      </c>
      <c r="E639">
        <v>0.52055959999999901</v>
      </c>
      <c r="F639" t="s">
        <v>42</v>
      </c>
      <c r="G639">
        <v>-321.78219999999999</v>
      </c>
      <c r="H639">
        <v>0.96473609999999999</v>
      </c>
      <c r="I639">
        <v>367.39389999999997</v>
      </c>
      <c r="J639">
        <v>-322.29730000000001</v>
      </c>
      <c r="K639">
        <v>1.1205889999999901</v>
      </c>
      <c r="L639">
        <v>367.45069999999998</v>
      </c>
      <c r="M639">
        <v>0.99994870000000002</v>
      </c>
      <c r="N639">
        <v>-1.012325E-2</v>
      </c>
      <c r="O639">
        <v>-3.465942E-4</v>
      </c>
      <c r="P639">
        <v>0.99487110000000001</v>
      </c>
      <c r="Q639">
        <v>-0.1004082</v>
      </c>
      <c r="R639">
        <v>-1.223744E-2</v>
      </c>
      <c r="S639">
        <v>2.948639</v>
      </c>
      <c r="T639">
        <v>-0.63376759999999999</v>
      </c>
      <c r="U639">
        <v>-0.2307739</v>
      </c>
      <c r="V639">
        <v>1.188911E-2</v>
      </c>
      <c r="W639">
        <v>-9.0332140000000005E-2</v>
      </c>
      <c r="X639">
        <v>0.99584070000000002</v>
      </c>
      <c r="Y639">
        <v>7.5881610000000002E-2</v>
      </c>
      <c r="Z639">
        <v>-8.3699819999999998E-3</v>
      </c>
      <c r="AA639">
        <v>0.99708169999999996</v>
      </c>
      <c r="AB639">
        <v>34</v>
      </c>
      <c r="AC639">
        <v>0.51510000000001799</v>
      </c>
      <c r="AD639">
        <v>-0.15585289999999899</v>
      </c>
      <c r="AE639">
        <v>-5.6800000000009697E-2</v>
      </c>
      <c r="AF639">
        <v>5.1924961103817599E-2</v>
      </c>
      <c r="AG639">
        <v>-0.15585289999999899</v>
      </c>
      <c r="AH639">
        <v>0.47239279348847202</v>
      </c>
      <c r="AI639">
        <v>108.15675142194701</v>
      </c>
      <c r="AJ639">
        <v>83.727284911117493</v>
      </c>
      <c r="AK639">
        <v>0.50014125940966403</v>
      </c>
      <c r="AL639">
        <v>95.182715282847298</v>
      </c>
      <c r="AM639">
        <v>89.315991540236098</v>
      </c>
      <c r="AN639">
        <v>0.99999997311502997</v>
      </c>
    </row>
    <row r="640" spans="1:40" x14ac:dyDescent="0.25">
      <c r="A640" t="str">
        <f>"20190303154430612"</f>
        <v>20190303154430612</v>
      </c>
      <c r="B640" t="str">
        <f>"1551599070600487"</f>
        <v>1551599070600487</v>
      </c>
      <c r="C640" t="s">
        <v>40</v>
      </c>
      <c r="D640">
        <v>4.7139139999999999</v>
      </c>
      <c r="E640">
        <v>0.5094419</v>
      </c>
      <c r="F640" t="s">
        <v>42</v>
      </c>
      <c r="G640">
        <v>-321.47640000000001</v>
      </c>
      <c r="H640">
        <v>0.96350550000000001</v>
      </c>
      <c r="I640">
        <v>367.39359999999999</v>
      </c>
      <c r="J640">
        <v>-321.99770000000001</v>
      </c>
      <c r="K640">
        <v>1.1206149999999999</v>
      </c>
      <c r="L640">
        <v>367.45060000000001</v>
      </c>
      <c r="M640">
        <v>0.99994360000000004</v>
      </c>
      <c r="N640">
        <v>-1.0625000000000001E-2</v>
      </c>
      <c r="O640">
        <v>-3.4658349999999998E-4</v>
      </c>
      <c r="P640">
        <v>0.99486830000000004</v>
      </c>
      <c r="Q640">
        <v>-0.10042769999999999</v>
      </c>
      <c r="R640">
        <v>-1.231582E-2</v>
      </c>
      <c r="S640">
        <v>2.9558719999999998</v>
      </c>
      <c r="T640">
        <v>-0.5656388</v>
      </c>
      <c r="U640">
        <v>-0.20434569999999999</v>
      </c>
      <c r="V640">
        <v>1.1967459999999999E-2</v>
      </c>
      <c r="W640">
        <v>-8.9851920000000002E-2</v>
      </c>
      <c r="X640">
        <v>0.99588319999999997</v>
      </c>
      <c r="Y640">
        <v>6.7342150000000003E-2</v>
      </c>
      <c r="Z640">
        <v>-6.6775649999999999E-3</v>
      </c>
      <c r="AA640">
        <v>0.99770760000000003</v>
      </c>
      <c r="AB640">
        <v>34</v>
      </c>
      <c r="AC640">
        <v>0.52129999999999599</v>
      </c>
      <c r="AD640">
        <v>-0.15710949999999901</v>
      </c>
      <c r="AE640">
        <v>-5.7000000000016302E-2</v>
      </c>
      <c r="AF640">
        <v>5.2139437035882301E-2</v>
      </c>
      <c r="AG640">
        <v>-0.15710949999999901</v>
      </c>
      <c r="AH640">
        <v>0.47838165974956798</v>
      </c>
      <c r="AI640">
        <v>108.081098507638</v>
      </c>
      <c r="AJ640">
        <v>83.779811286833393</v>
      </c>
      <c r="AK640">
        <v>0.50621233516126496</v>
      </c>
      <c r="AL640">
        <v>95.1550883834594</v>
      </c>
      <c r="AM640">
        <v>89.311513693039799</v>
      </c>
      <c r="AN640">
        <v>0.99999996783438805</v>
      </c>
    </row>
    <row r="641" spans="1:40" x14ac:dyDescent="0.25">
      <c r="A641" t="str">
        <f>"20190303154430634"</f>
        <v>20190303154430634</v>
      </c>
      <c r="B641" t="str">
        <f>"1551599070630743"</f>
        <v>1551599070630743</v>
      </c>
      <c r="C641" t="s">
        <v>40</v>
      </c>
      <c r="D641">
        <v>4.7424179999999998</v>
      </c>
      <c r="E641">
        <v>0.5089515</v>
      </c>
      <c r="F641" t="s">
        <v>43</v>
      </c>
      <c r="G641">
        <v>-281.82429999999999</v>
      </c>
      <c r="H641">
        <v>-0.05</v>
      </c>
      <c r="I641">
        <v>365.99340000000001</v>
      </c>
      <c r="J641">
        <v>-321.65589999999997</v>
      </c>
      <c r="K641">
        <v>1.1206309999999999</v>
      </c>
      <c r="L641">
        <v>367.45049999999998</v>
      </c>
      <c r="M641">
        <v>0.99993799999999999</v>
      </c>
      <c r="N641">
        <v>-1.113869E-2</v>
      </c>
      <c r="O641">
        <v>-3.4652689999999998E-4</v>
      </c>
      <c r="P641">
        <v>0.99481600000000003</v>
      </c>
      <c r="Q641">
        <v>-0.1009229</v>
      </c>
      <c r="R641">
        <v>-1.2488620000000001E-2</v>
      </c>
      <c r="S641">
        <v>3.00528</v>
      </c>
      <c r="T641">
        <v>-8.7571019999999999E-2</v>
      </c>
      <c r="U641">
        <v>-0.1090088</v>
      </c>
      <c r="V641">
        <v>1.214054E-2</v>
      </c>
      <c r="W641">
        <v>-8.9836089999999993E-2</v>
      </c>
      <c r="X641">
        <v>0.99588259999999995</v>
      </c>
      <c r="Y641">
        <v>3.5881290000000003E-2</v>
      </c>
      <c r="Z641">
        <v>-7.1622289999999996E-4</v>
      </c>
      <c r="AA641">
        <v>0.99935580000000002</v>
      </c>
      <c r="AB641">
        <v>34</v>
      </c>
      <c r="AC641">
        <v>39.831599999999902</v>
      </c>
      <c r="AD641">
        <v>-1.170631</v>
      </c>
      <c r="AE641">
        <v>-1.4570999999999601</v>
      </c>
      <c r="AF641">
        <v>1.4420524385443401</v>
      </c>
      <c r="AG641">
        <v>-1.170631</v>
      </c>
      <c r="AH641">
        <v>39.797773455293402</v>
      </c>
      <c r="AI641">
        <v>91.683735707753797</v>
      </c>
      <c r="AJ641">
        <v>87.924823929254103</v>
      </c>
      <c r="AK641">
        <v>39.841092657864301</v>
      </c>
      <c r="AL641">
        <v>95.154177364415304</v>
      </c>
      <c r="AM641">
        <v>89.301556983357997</v>
      </c>
      <c r="AN641">
        <v>1.0000000343803599</v>
      </c>
    </row>
    <row r="642" spans="1:40" x14ac:dyDescent="0.25">
      <c r="A642" t="str">
        <f>"20190303154430658"</f>
        <v>20190303154430658</v>
      </c>
      <c r="B642" t="str">
        <f>"1551599070651239"</f>
        <v>1551599070651239</v>
      </c>
      <c r="C642" t="s">
        <v>40</v>
      </c>
      <c r="D642">
        <v>4.6991620000000003</v>
      </c>
      <c r="E642">
        <v>0.5094495</v>
      </c>
      <c r="F642" t="s">
        <v>43</v>
      </c>
      <c r="G642">
        <v>-285.53050000000002</v>
      </c>
      <c r="H642">
        <v>-0.05</v>
      </c>
      <c r="I642">
        <v>366.18049999999999</v>
      </c>
      <c r="J642">
        <v>-321.30020000000002</v>
      </c>
      <c r="K642">
        <v>1.1206449999999999</v>
      </c>
      <c r="L642">
        <v>367.4504</v>
      </c>
      <c r="M642">
        <v>0.99993259999999995</v>
      </c>
      <c r="N642">
        <v>-1.161099E-2</v>
      </c>
      <c r="O642">
        <v>-3.4624189999999999E-4</v>
      </c>
      <c r="P642">
        <v>0.99473029999999996</v>
      </c>
      <c r="Q642">
        <v>-0.1017391</v>
      </c>
      <c r="R642">
        <v>-1.269265E-2</v>
      </c>
      <c r="S642">
        <v>3.0044559999999998</v>
      </c>
      <c r="T642">
        <v>-9.7358470000000003E-2</v>
      </c>
      <c r="U642">
        <v>-0.1056213</v>
      </c>
      <c r="V642">
        <v>1.2344590000000001E-2</v>
      </c>
      <c r="W642">
        <v>-9.0182860000000004E-2</v>
      </c>
      <c r="X642">
        <v>0.99584870000000003</v>
      </c>
      <c r="Y642">
        <v>3.476245E-2</v>
      </c>
      <c r="Z642">
        <v>-7.5767100000000002E-4</v>
      </c>
      <c r="AA642">
        <v>0.99939529999999999</v>
      </c>
      <c r="AB642">
        <v>34</v>
      </c>
      <c r="AC642">
        <v>35.7697</v>
      </c>
      <c r="AD642">
        <v>-1.1706449999999999</v>
      </c>
      <c r="AE642">
        <v>-1.2699</v>
      </c>
      <c r="AF642">
        <v>1.2561703620736999</v>
      </c>
      <c r="AG642">
        <v>-1.1706449999999999</v>
      </c>
      <c r="AH642">
        <v>35.731914198881199</v>
      </c>
      <c r="AI642">
        <v>91.875289141508205</v>
      </c>
      <c r="AJ642">
        <v>87.986572143924704</v>
      </c>
      <c r="AK642">
        <v>35.773147275726103</v>
      </c>
      <c r="AL642">
        <v>95.174127052932207</v>
      </c>
      <c r="AM642">
        <v>89.2897950440328</v>
      </c>
      <c r="AN642">
        <v>0.99999998521586797</v>
      </c>
    </row>
    <row r="643" spans="1:40" x14ac:dyDescent="0.25">
      <c r="A643" t="str">
        <f>"20190303154430680"</f>
        <v>20190303154430680</v>
      </c>
      <c r="B643" t="str">
        <f>"1551599070670759"</f>
        <v>1551599070670759</v>
      </c>
      <c r="C643" t="s">
        <v>40</v>
      </c>
      <c r="D643">
        <v>4.6613610000000003</v>
      </c>
      <c r="E643">
        <v>0.50937120000000002</v>
      </c>
      <c r="F643" t="s">
        <v>43</v>
      </c>
      <c r="G643">
        <v>-284.77749999999997</v>
      </c>
      <c r="H643">
        <v>-0.05</v>
      </c>
      <c r="I643">
        <v>366.10860000000002</v>
      </c>
      <c r="J643">
        <v>-320.96030000000002</v>
      </c>
      <c r="K643">
        <v>1.1204289999999999</v>
      </c>
      <c r="L643">
        <v>367.45030000000003</v>
      </c>
      <c r="M643">
        <v>0.99993690000000002</v>
      </c>
      <c r="N643">
        <v>-1.1224110000000001E-2</v>
      </c>
      <c r="O643">
        <v>-3.4665059999999998E-4</v>
      </c>
      <c r="P643">
        <v>0.99473180000000005</v>
      </c>
      <c r="Q643">
        <v>-0.101684</v>
      </c>
      <c r="R643">
        <v>-1.3009969999999999E-2</v>
      </c>
      <c r="S643">
        <v>3.0046080000000002</v>
      </c>
      <c r="T643">
        <v>-9.6305249999999995E-2</v>
      </c>
      <c r="U643">
        <v>-0.1103821</v>
      </c>
      <c r="V643">
        <v>1.266171E-2</v>
      </c>
      <c r="W643">
        <v>-9.0512999999999996E-2</v>
      </c>
      <c r="X643">
        <v>0.9958148</v>
      </c>
      <c r="Y643">
        <v>3.6341289999999998E-2</v>
      </c>
      <c r="Z643">
        <v>-7.7894879999999996E-4</v>
      </c>
      <c r="AA643">
        <v>0.99933919999999998</v>
      </c>
      <c r="AB643">
        <v>34</v>
      </c>
      <c r="AC643">
        <v>36.1828</v>
      </c>
      <c r="AD643">
        <v>-1.1704289999999999</v>
      </c>
      <c r="AE643">
        <v>-1.3416999999999999</v>
      </c>
      <c r="AF643">
        <v>1.3277689078043</v>
      </c>
      <c r="AG643">
        <v>-1.1704289999999999</v>
      </c>
      <c r="AH643">
        <v>36.145493284418201</v>
      </c>
      <c r="AI643">
        <v>91.853400238991895</v>
      </c>
      <c r="AJ643">
        <v>87.896242189912499</v>
      </c>
      <c r="AK643">
        <v>36.188804333529603</v>
      </c>
      <c r="AL643">
        <v>95.193120183740007</v>
      </c>
      <c r="AM643">
        <v>89.2715277447152</v>
      </c>
      <c r="AN643">
        <v>1.0000000189840801</v>
      </c>
    </row>
    <row r="644" spans="1:40" x14ac:dyDescent="0.25">
      <c r="A644" t="str">
        <f>"20190303154430702"</f>
        <v>20190303154430702</v>
      </c>
      <c r="B644" t="str">
        <f>"1551599070691255"</f>
        <v>1551599070691255</v>
      </c>
      <c r="C644" t="s">
        <v>40</v>
      </c>
      <c r="D644">
        <v>4.6879169999999997</v>
      </c>
      <c r="E644">
        <v>0.50881670000000001</v>
      </c>
      <c r="F644" t="s">
        <v>43</v>
      </c>
      <c r="G644">
        <v>-284.22280000000001</v>
      </c>
      <c r="H644">
        <v>-0.05</v>
      </c>
      <c r="I644">
        <v>366.09879999999998</v>
      </c>
      <c r="J644">
        <v>-320.62349999999998</v>
      </c>
      <c r="K644">
        <v>1.12016</v>
      </c>
      <c r="L644">
        <v>367.4502</v>
      </c>
      <c r="M644">
        <v>0.99994050000000001</v>
      </c>
      <c r="N644">
        <v>-1.091435E-2</v>
      </c>
      <c r="O644">
        <v>-3.4719660000000002E-4</v>
      </c>
      <c r="P644">
        <v>0.99478040000000001</v>
      </c>
      <c r="Q644">
        <v>-0.10122009999999999</v>
      </c>
      <c r="R644">
        <v>-1.292316E-2</v>
      </c>
      <c r="S644">
        <v>3.0046689999999998</v>
      </c>
      <c r="T644">
        <v>-9.5726489999999997E-2</v>
      </c>
      <c r="U644">
        <v>-0.1105347</v>
      </c>
      <c r="V644">
        <v>1.2574119999999999E-2</v>
      </c>
      <c r="W644">
        <v>-9.0357140000000002E-2</v>
      </c>
      <c r="X644">
        <v>0.99583010000000005</v>
      </c>
      <c r="Y644">
        <v>3.6391090000000001E-2</v>
      </c>
      <c r="Z644">
        <v>-7.7081950000000002E-4</v>
      </c>
      <c r="AA644">
        <v>0.99933729999999998</v>
      </c>
      <c r="AB644">
        <v>34</v>
      </c>
      <c r="AC644">
        <v>36.400699999999901</v>
      </c>
      <c r="AD644">
        <v>-1.1701600000000001</v>
      </c>
      <c r="AE644">
        <v>-1.3514000000000099</v>
      </c>
      <c r="AF644">
        <v>1.3373808127859199</v>
      </c>
      <c r="AG644">
        <v>-1.1701600000000001</v>
      </c>
      <c r="AH644">
        <v>36.363640350514501</v>
      </c>
      <c r="AI644">
        <v>91.841863203055496</v>
      </c>
      <c r="AJ644">
        <v>87.893726955552694</v>
      </c>
      <c r="AK644">
        <v>36.4070350537582</v>
      </c>
      <c r="AL644">
        <v>95.184153135246902</v>
      </c>
      <c r="AM644">
        <v>89.276577678596794</v>
      </c>
      <c r="AN644">
        <v>1.0000000546543799</v>
      </c>
    </row>
    <row r="645" spans="1:40" x14ac:dyDescent="0.25">
      <c r="A645" t="str">
        <f>"20190303154430724"</f>
        <v>20190303154430724</v>
      </c>
      <c r="B645" t="str">
        <f>"1551599070720535"</f>
        <v>1551599070720535</v>
      </c>
      <c r="C645" t="s">
        <v>40</v>
      </c>
      <c r="D645">
        <v>4.615723</v>
      </c>
      <c r="E645">
        <v>0.50879549999999996</v>
      </c>
      <c r="F645" t="s">
        <v>43</v>
      </c>
      <c r="G645">
        <v>-285.62700000000001</v>
      </c>
      <c r="H645">
        <v>-0.05</v>
      </c>
      <c r="I645">
        <v>366.21440000000001</v>
      </c>
      <c r="J645">
        <v>-320.28469999999999</v>
      </c>
      <c r="K645">
        <v>1.119883</v>
      </c>
      <c r="L645">
        <v>367.45010000000002</v>
      </c>
      <c r="M645">
        <v>0.99993600000000005</v>
      </c>
      <c r="N645">
        <v>-1.1315E-2</v>
      </c>
      <c r="O645">
        <v>-3.475242E-4</v>
      </c>
      <c r="P645">
        <v>0.99470689999999995</v>
      </c>
      <c r="Q645">
        <v>-0.1019224</v>
      </c>
      <c r="R645">
        <v>-1.3057869999999999E-2</v>
      </c>
      <c r="S645">
        <v>3.0041199999999999</v>
      </c>
      <c r="T645">
        <v>-0.1004472</v>
      </c>
      <c r="U645">
        <v>-0.1060791</v>
      </c>
      <c r="V645">
        <v>1.270864E-2</v>
      </c>
      <c r="W645">
        <v>-9.0661259999999994E-2</v>
      </c>
      <c r="X645">
        <v>0.99580069999999998</v>
      </c>
      <c r="Y645">
        <v>3.4915880000000003E-2</v>
      </c>
      <c r="Z645">
        <v>-7.7338259999999996E-4</v>
      </c>
      <c r="AA645">
        <v>0.99938990000000005</v>
      </c>
      <c r="AB645">
        <v>35</v>
      </c>
      <c r="AC645">
        <v>34.657699999999899</v>
      </c>
      <c r="AD645">
        <v>-1.169883</v>
      </c>
      <c r="AE645">
        <v>-1.2357</v>
      </c>
      <c r="AF645">
        <v>1.2222638570757001</v>
      </c>
      <c r="AG645">
        <v>-1.169883</v>
      </c>
      <c r="AH645">
        <v>34.618732034754899</v>
      </c>
      <c r="AI645">
        <v>91.934275618977907</v>
      </c>
      <c r="AJ645">
        <v>87.977930462326796</v>
      </c>
      <c r="AK645">
        <v>34.660051397309999</v>
      </c>
      <c r="AL645">
        <v>95.201650004498504</v>
      </c>
      <c r="AM645">
        <v>89.268817639150399</v>
      </c>
      <c r="AN645">
        <v>1.00000000385796</v>
      </c>
    </row>
    <row r="646" spans="1:40" x14ac:dyDescent="0.25">
      <c r="A646" t="str">
        <f>"20190303154430738"</f>
        <v>20190303154430738</v>
      </c>
      <c r="B646" t="str">
        <f>"1551599070731273"</f>
        <v>1551599070731273</v>
      </c>
      <c r="C646" t="s">
        <v>40</v>
      </c>
      <c r="D646">
        <v>4.6203409999999998</v>
      </c>
      <c r="E646">
        <v>0.50883909999999999</v>
      </c>
      <c r="F646" t="s">
        <v>43</v>
      </c>
      <c r="G646">
        <v>-284.83300000000003</v>
      </c>
      <c r="H646">
        <v>-0.05</v>
      </c>
      <c r="I646">
        <v>366.19330000000002</v>
      </c>
      <c r="J646">
        <v>-320.06549999999999</v>
      </c>
      <c r="K646">
        <v>1.119621</v>
      </c>
      <c r="L646">
        <v>367.45</v>
      </c>
      <c r="M646">
        <v>0.99992999999999999</v>
      </c>
      <c r="N646">
        <v>-1.1825230000000001E-2</v>
      </c>
      <c r="O646">
        <v>-3.4786410000000001E-4</v>
      </c>
      <c r="P646">
        <v>0.99462260000000002</v>
      </c>
      <c r="Q646">
        <v>-0.10270170000000001</v>
      </c>
      <c r="R646">
        <v>-1.334698E-2</v>
      </c>
      <c r="S646">
        <v>3.0043950000000001</v>
      </c>
      <c r="T646">
        <v>-9.9143029999999993E-2</v>
      </c>
      <c r="U646">
        <v>-0.1065063</v>
      </c>
      <c r="V646">
        <v>1.2997399999999999E-2</v>
      </c>
      <c r="W646">
        <v>-9.0933379999999994E-2</v>
      </c>
      <c r="X646">
        <v>0.9957722</v>
      </c>
      <c r="Y646">
        <v>3.5054439999999999E-2</v>
      </c>
      <c r="Z646">
        <v>-7.7809940000000001E-4</v>
      </c>
      <c r="AA646">
        <v>0.99938510000000003</v>
      </c>
      <c r="AB646">
        <v>34</v>
      </c>
      <c r="AC646">
        <v>35.232500000000002</v>
      </c>
      <c r="AD646">
        <v>-1.169621</v>
      </c>
      <c r="AE646">
        <v>-1.25669999999996</v>
      </c>
      <c r="AF646">
        <v>1.24307474837333</v>
      </c>
      <c r="AG646">
        <v>-1.169621</v>
      </c>
      <c r="AH646">
        <v>35.194198389147402</v>
      </c>
      <c r="AI646">
        <v>91.902244650040402</v>
      </c>
      <c r="AJ646">
        <v>87.977128491772106</v>
      </c>
      <c r="AK646">
        <v>35.235562268372398</v>
      </c>
      <c r="AL646">
        <v>95.217305795224902</v>
      </c>
      <c r="AM646">
        <v>89.252184507977603</v>
      </c>
      <c r="AN646">
        <v>1.00000004314891</v>
      </c>
    </row>
    <row r="647" spans="1:40" x14ac:dyDescent="0.25">
      <c r="A647" t="str">
        <f>"20190303154430758"</f>
        <v>20190303154430758</v>
      </c>
      <c r="B647" t="str">
        <f>"1551599070750794"</f>
        <v>1551599070750794</v>
      </c>
      <c r="C647" t="s">
        <v>40</v>
      </c>
      <c r="D647">
        <v>4.5853299999999999</v>
      </c>
      <c r="E647">
        <v>0.50897230000000004</v>
      </c>
      <c r="F647" t="s">
        <v>43</v>
      </c>
      <c r="G647">
        <v>-285.17419999999998</v>
      </c>
      <c r="H647">
        <v>-0.05</v>
      </c>
      <c r="I647">
        <v>366.19709999999998</v>
      </c>
      <c r="J647">
        <v>-319.76429999999999</v>
      </c>
      <c r="K647">
        <v>1.1190850000000001</v>
      </c>
      <c r="L647">
        <v>367.44990000000001</v>
      </c>
      <c r="M647">
        <v>0.99991920000000001</v>
      </c>
      <c r="N647">
        <v>-1.2710050000000001E-2</v>
      </c>
      <c r="O647">
        <v>-3.483041E-4</v>
      </c>
      <c r="P647">
        <v>0.99454169999999997</v>
      </c>
      <c r="Q647">
        <v>-0.1034713</v>
      </c>
      <c r="R647">
        <v>-1.3424159999999999E-2</v>
      </c>
      <c r="S647">
        <v>3.0043639999999998</v>
      </c>
      <c r="T647">
        <v>-0.10071189999999999</v>
      </c>
      <c r="U647">
        <v>-0.10787960000000001</v>
      </c>
      <c r="V647">
        <v>1.3074219999999999E-2</v>
      </c>
      <c r="W647">
        <v>-9.082279E-2</v>
      </c>
      <c r="X647">
        <v>0.99578120000000003</v>
      </c>
      <c r="Y647">
        <v>3.5508989999999997E-2</v>
      </c>
      <c r="Z647">
        <v>-8.1339149999999996E-4</v>
      </c>
      <c r="AA647">
        <v>0.99936899999999995</v>
      </c>
      <c r="AB647">
        <v>34</v>
      </c>
      <c r="AC647">
        <v>34.5901</v>
      </c>
      <c r="AD647">
        <v>-1.1690849999999999</v>
      </c>
      <c r="AE647">
        <v>-1.2528000000000299</v>
      </c>
      <c r="AF647">
        <v>1.2393372100462401</v>
      </c>
      <c r="AG647">
        <v>-1.1690849999999999</v>
      </c>
      <c r="AH647">
        <v>34.5511174964468</v>
      </c>
      <c r="AI647">
        <v>91.936698278475703</v>
      </c>
      <c r="AJ647">
        <v>87.9456999926755</v>
      </c>
      <c r="AK647">
        <v>34.593098108014303</v>
      </c>
      <c r="AL647">
        <v>95.210943580273707</v>
      </c>
      <c r="AM647">
        <v>89.247771914094102</v>
      </c>
      <c r="AN647">
        <v>0.99999995634271499</v>
      </c>
    </row>
    <row r="648" spans="1:40" x14ac:dyDescent="0.25">
      <c r="A648" t="str">
        <f>"20190303154430780"</f>
        <v>20190303154430780</v>
      </c>
      <c r="B648" t="str">
        <f>"1551599070771287"</f>
        <v>1551599070771287</v>
      </c>
      <c r="C648" t="s">
        <v>40</v>
      </c>
      <c r="D648">
        <v>4.5679100000000004</v>
      </c>
      <c r="E648">
        <v>0.5088066</v>
      </c>
      <c r="F648" t="s">
        <v>43</v>
      </c>
      <c r="G648">
        <v>-285.08150000000001</v>
      </c>
      <c r="H648">
        <v>-0.05</v>
      </c>
      <c r="I648">
        <v>366.19009999999997</v>
      </c>
      <c r="J648">
        <v>-319.43079999999998</v>
      </c>
      <c r="K648">
        <v>1.118279</v>
      </c>
      <c r="L648">
        <v>367.44979999999998</v>
      </c>
      <c r="M648">
        <v>0.99990140000000005</v>
      </c>
      <c r="N648">
        <v>-1.404681E-2</v>
      </c>
      <c r="O648">
        <v>-3.4678829999999999E-4</v>
      </c>
      <c r="P648">
        <v>0.99439730000000004</v>
      </c>
      <c r="Q648">
        <v>-0.1047984</v>
      </c>
      <c r="R648">
        <v>-1.383382E-2</v>
      </c>
      <c r="S648">
        <v>3.0044559999999998</v>
      </c>
      <c r="T648">
        <v>-0.101274</v>
      </c>
      <c r="U648">
        <v>-0.1091309</v>
      </c>
      <c r="V648">
        <v>1.348537E-2</v>
      </c>
      <c r="W648">
        <v>-9.0820429999999994E-2</v>
      </c>
      <c r="X648">
        <v>0.99577599999999999</v>
      </c>
      <c r="Y648">
        <v>3.5923650000000001E-2</v>
      </c>
      <c r="Z648">
        <v>-8.5077519999999997E-4</v>
      </c>
      <c r="AA648">
        <v>0.99935419999999997</v>
      </c>
      <c r="AB648">
        <v>34</v>
      </c>
      <c r="AC648">
        <v>34.3492999999999</v>
      </c>
      <c r="AD648">
        <v>-1.1682790000000001</v>
      </c>
      <c r="AE648">
        <v>-1.2597</v>
      </c>
      <c r="AF648">
        <v>1.2463469803126399</v>
      </c>
      <c r="AG648">
        <v>-1.1682790000000001</v>
      </c>
      <c r="AH648">
        <v>34.3100982971253</v>
      </c>
      <c r="AI648">
        <v>91.948917009415695</v>
      </c>
      <c r="AJ648">
        <v>87.919591032808896</v>
      </c>
      <c r="AK648">
        <v>34.352599636353197</v>
      </c>
      <c r="AL648">
        <v>95.210807447851707</v>
      </c>
      <c r="AM648">
        <v>89.224115106137802</v>
      </c>
      <c r="AN648">
        <v>1.00000002394271</v>
      </c>
    </row>
    <row r="649" spans="1:40" x14ac:dyDescent="0.25">
      <c r="A649" t="str">
        <f>"20190303154430793"</f>
        <v>20190303154430793</v>
      </c>
      <c r="B649" t="str">
        <f>"1551599070781048"</f>
        <v>1551599070781048</v>
      </c>
      <c r="C649" t="s">
        <v>40</v>
      </c>
      <c r="D649">
        <v>4.562182</v>
      </c>
      <c r="E649">
        <v>0.50887749999999998</v>
      </c>
      <c r="F649" t="s">
        <v>43</v>
      </c>
      <c r="G649">
        <v>-286.24299999999999</v>
      </c>
      <c r="H649">
        <v>-0.05</v>
      </c>
      <c r="I649">
        <v>366.2466</v>
      </c>
      <c r="J649">
        <v>-319.2199</v>
      </c>
      <c r="K649">
        <v>1.117658</v>
      </c>
      <c r="L649">
        <v>367.44970000000001</v>
      </c>
      <c r="M649">
        <v>0.99988440000000001</v>
      </c>
      <c r="N649">
        <v>-1.5202179999999999E-2</v>
      </c>
      <c r="O649">
        <v>-3.4548629999999999E-4</v>
      </c>
      <c r="P649">
        <v>0.99425949999999996</v>
      </c>
      <c r="Q649">
        <v>-0.10608960000000001</v>
      </c>
      <c r="R649">
        <v>-1.390629E-2</v>
      </c>
      <c r="S649">
        <v>3.0042420000000001</v>
      </c>
      <c r="T649">
        <v>-0.10575569999999999</v>
      </c>
      <c r="U649">
        <v>-0.10891720000000001</v>
      </c>
      <c r="V649">
        <v>1.3558840000000001E-2</v>
      </c>
      <c r="W649">
        <v>-9.0962959999999995E-2</v>
      </c>
      <c r="X649">
        <v>0.99576200000000004</v>
      </c>
      <c r="Y649">
        <v>3.5853679999999999E-2</v>
      </c>
      <c r="Z649">
        <v>-8.9650899999999998E-4</v>
      </c>
      <c r="AA649">
        <v>0.99935660000000004</v>
      </c>
      <c r="AB649">
        <v>34</v>
      </c>
      <c r="AC649">
        <v>32.976900000000001</v>
      </c>
      <c r="AD649">
        <v>-1.1676580000000001</v>
      </c>
      <c r="AE649">
        <v>-1.2031000000000001</v>
      </c>
      <c r="AF649">
        <v>1.19021529316569</v>
      </c>
      <c r="AG649">
        <v>-1.1676580000000001</v>
      </c>
      <c r="AH649">
        <v>32.936074951401899</v>
      </c>
      <c r="AI649">
        <v>92.029090651557198</v>
      </c>
      <c r="AJ649">
        <v>87.930395423909999</v>
      </c>
      <c r="AK649">
        <v>32.978251482657697</v>
      </c>
      <c r="AL649">
        <v>95.219007718744095</v>
      </c>
      <c r="AM649">
        <v>89.219877541481495</v>
      </c>
      <c r="AN649">
        <v>1.00000003143905</v>
      </c>
    </row>
    <row r="650" spans="1:40" x14ac:dyDescent="0.25">
      <c r="A650" t="str">
        <f>"20190303154430815"</f>
        <v>20190303154430815</v>
      </c>
      <c r="B650" t="str">
        <f>"1551599070811304"</f>
        <v>1551599070811304</v>
      </c>
      <c r="C650" t="s">
        <v>40</v>
      </c>
      <c r="D650">
        <v>4.5171869999999998</v>
      </c>
      <c r="E650">
        <v>0.50893459999999902</v>
      </c>
      <c r="F650" t="s">
        <v>43</v>
      </c>
      <c r="G650">
        <v>-286.82470000000001</v>
      </c>
      <c r="H650">
        <v>-0.05</v>
      </c>
      <c r="I650">
        <v>366.26510000000002</v>
      </c>
      <c r="J650">
        <v>-318.88929999999999</v>
      </c>
      <c r="K650">
        <v>1.116549</v>
      </c>
      <c r="L650">
        <v>367.44959999999998</v>
      </c>
      <c r="M650">
        <v>0.9998513</v>
      </c>
      <c r="N650">
        <v>-1.7244599999999999E-2</v>
      </c>
      <c r="O650">
        <v>-3.437329E-4</v>
      </c>
      <c r="P650">
        <v>0.99404329999999996</v>
      </c>
      <c r="Q650">
        <v>-0.10804370000000001</v>
      </c>
      <c r="R650">
        <v>-1.430614E-2</v>
      </c>
      <c r="S650">
        <v>3.0042110000000002</v>
      </c>
      <c r="T650">
        <v>-0.10828409999999999</v>
      </c>
      <c r="U650">
        <v>-0.1098633</v>
      </c>
      <c r="V650">
        <v>1.3960749999999999E-2</v>
      </c>
      <c r="W650">
        <v>-9.0886270000000005E-2</v>
      </c>
      <c r="X650">
        <v>0.99576339999999997</v>
      </c>
      <c r="Y650">
        <v>3.616714E-2</v>
      </c>
      <c r="Z650">
        <v>-9.5704139999999997E-4</v>
      </c>
      <c r="AA650">
        <v>0.99934529999999999</v>
      </c>
      <c r="AB650">
        <v>34</v>
      </c>
      <c r="AC650">
        <v>32.064599999999899</v>
      </c>
      <c r="AD650">
        <v>-1.1665490000000001</v>
      </c>
      <c r="AE650">
        <v>-1.1844999999999499</v>
      </c>
      <c r="AF650">
        <v>1.1719275927836099</v>
      </c>
      <c r="AG650">
        <v>-1.1665490000000001</v>
      </c>
      <c r="AH650">
        <v>32.022678100207898</v>
      </c>
      <c r="AI650">
        <v>92.084901719122101</v>
      </c>
      <c r="AJ650">
        <v>87.904093099254396</v>
      </c>
      <c r="AK650">
        <v>32.065342093320403</v>
      </c>
      <c r="AL650">
        <v>95.214595683740598</v>
      </c>
      <c r="AM650">
        <v>89.196757332234796</v>
      </c>
      <c r="AN650">
        <v>0.99999998269731705</v>
      </c>
    </row>
    <row r="651" spans="1:40" x14ac:dyDescent="0.25">
      <c r="A651" t="str">
        <f>"20190303154430835"</f>
        <v>20190303154430835</v>
      </c>
      <c r="B651" t="str">
        <f>"1551599070830823"</f>
        <v>1551599070830823</v>
      </c>
      <c r="C651" t="s">
        <v>40</v>
      </c>
      <c r="D651">
        <v>4.5289440000000001</v>
      </c>
      <c r="E651">
        <v>0.50911049999999902</v>
      </c>
      <c r="F651" t="s">
        <v>43</v>
      </c>
      <c r="G651">
        <v>-287.69299999999998</v>
      </c>
      <c r="H651">
        <v>-0.05</v>
      </c>
      <c r="I651">
        <v>366.29039999999998</v>
      </c>
      <c r="J651">
        <v>-318.57299999999998</v>
      </c>
      <c r="K651">
        <v>1.1152550000000001</v>
      </c>
      <c r="L651">
        <v>367.44959999999998</v>
      </c>
      <c r="M651">
        <v>0.9998184</v>
      </c>
      <c r="N651">
        <v>-1.9058189999999999E-2</v>
      </c>
      <c r="O651">
        <v>-3.4364870000000002E-4</v>
      </c>
      <c r="P651">
        <v>0.99385369999999995</v>
      </c>
      <c r="Q651">
        <v>-0.1097434</v>
      </c>
      <c r="R651">
        <v>-1.454536E-2</v>
      </c>
      <c r="S651">
        <v>3.0041500000000001</v>
      </c>
      <c r="T651">
        <v>-0.11233659999999999</v>
      </c>
      <c r="U651">
        <v>-0.1116333</v>
      </c>
      <c r="V651">
        <v>1.420015E-2</v>
      </c>
      <c r="W651">
        <v>-9.0782849999999998E-2</v>
      </c>
      <c r="X651">
        <v>0.99576940000000003</v>
      </c>
      <c r="Y651">
        <v>3.6751890000000002E-2</v>
      </c>
      <c r="Z651">
        <v>-1.0309239999999999E-3</v>
      </c>
      <c r="AA651">
        <v>0.99932390000000004</v>
      </c>
      <c r="AB651">
        <v>34</v>
      </c>
      <c r="AC651">
        <v>30.8799999999999</v>
      </c>
      <c r="AD651">
        <v>-1.1652549999999999</v>
      </c>
      <c r="AE651">
        <v>-1.15919999999999</v>
      </c>
      <c r="AF651">
        <v>1.1469552518105599</v>
      </c>
      <c r="AG651">
        <v>-1.1652549999999999</v>
      </c>
      <c r="AH651">
        <v>30.836549434687701</v>
      </c>
      <c r="AI651">
        <v>92.162575738328101</v>
      </c>
      <c r="AJ651">
        <v>87.869884377309702</v>
      </c>
      <c r="AK651">
        <v>30.879865715424</v>
      </c>
      <c r="AL651">
        <v>95.208645810380403</v>
      </c>
      <c r="AM651">
        <v>89.182990039652594</v>
      </c>
      <c r="AN651">
        <v>0.99999993404525001</v>
      </c>
    </row>
    <row r="652" spans="1:40" x14ac:dyDescent="0.25">
      <c r="A652" t="str">
        <f>"20190303154430860"</f>
        <v>20190303154430860</v>
      </c>
      <c r="B652" t="str">
        <f>"1551599070851319"</f>
        <v>1551599070851319</v>
      </c>
      <c r="C652" t="s">
        <v>40</v>
      </c>
      <c r="D652">
        <v>4.487247</v>
      </c>
      <c r="E652">
        <v>0.50914539999999997</v>
      </c>
      <c r="F652" t="s">
        <v>43</v>
      </c>
      <c r="G652">
        <v>-288.11590000000001</v>
      </c>
      <c r="H652">
        <v>-0.05</v>
      </c>
      <c r="I652">
        <v>366.30079999999998</v>
      </c>
      <c r="J652">
        <v>-318.21899999999999</v>
      </c>
      <c r="K652">
        <v>1.1135109999999999</v>
      </c>
      <c r="L652">
        <v>367.4495</v>
      </c>
      <c r="M652">
        <v>0.99978659999999997</v>
      </c>
      <c r="N652">
        <v>-2.0663049999999999E-2</v>
      </c>
      <c r="O652">
        <v>-3.4458360000000002E-4</v>
      </c>
      <c r="P652">
        <v>0.99368860000000003</v>
      </c>
      <c r="Q652">
        <v>-0.1112451</v>
      </c>
      <c r="R652">
        <v>-1.441307E-2</v>
      </c>
      <c r="S652">
        <v>3.004181</v>
      </c>
      <c r="T652">
        <v>-0.1149367</v>
      </c>
      <c r="U652">
        <v>-0.1133118</v>
      </c>
      <c r="V652">
        <v>1.406697E-2</v>
      </c>
      <c r="W652">
        <v>-9.0689130000000007E-2</v>
      </c>
      <c r="X652">
        <v>0.99577990000000005</v>
      </c>
      <c r="Y652">
        <v>3.7304860000000002E-2</v>
      </c>
      <c r="Z652">
        <v>-1.092862E-3</v>
      </c>
      <c r="AA652">
        <v>0.99930330000000001</v>
      </c>
      <c r="AB652">
        <v>34</v>
      </c>
      <c r="AC652">
        <v>30.103099999999898</v>
      </c>
      <c r="AD652">
        <v>-1.163511</v>
      </c>
      <c r="AE652">
        <v>-1.14870000000001</v>
      </c>
      <c r="AF652">
        <v>1.13662915397048</v>
      </c>
      <c r="AG652">
        <v>-1.163511</v>
      </c>
      <c r="AH652">
        <v>30.058655093305699</v>
      </c>
      <c r="AI652">
        <v>92.215117948815205</v>
      </c>
      <c r="AJ652">
        <v>87.834465979508195</v>
      </c>
      <c r="AK652">
        <v>30.102631607536999</v>
      </c>
      <c r="AL652">
        <v>95.203253444576205</v>
      </c>
      <c r="AM652">
        <v>89.1906601005048</v>
      </c>
      <c r="AN652">
        <v>1.00000000359457</v>
      </c>
    </row>
    <row r="653" spans="1:40" x14ac:dyDescent="0.25">
      <c r="A653" t="str">
        <f>"20190303154430883"</f>
        <v>20190303154430883</v>
      </c>
      <c r="B653" t="str">
        <f>"1551599070871347"</f>
        <v>1551599070871347</v>
      </c>
      <c r="C653" t="s">
        <v>40</v>
      </c>
      <c r="D653">
        <v>4.4687479999999997</v>
      </c>
      <c r="E653">
        <v>0.50908419999999999</v>
      </c>
      <c r="F653" t="s">
        <v>43</v>
      </c>
      <c r="G653">
        <v>-288.77870000000001</v>
      </c>
      <c r="H653">
        <v>-0.05</v>
      </c>
      <c r="I653">
        <v>366.3417</v>
      </c>
      <c r="J653">
        <v>-317.86810000000003</v>
      </c>
      <c r="K653">
        <v>1.11149599999999</v>
      </c>
      <c r="L653">
        <v>367.44940000000003</v>
      </c>
      <c r="M653">
        <v>0.99976019999999999</v>
      </c>
      <c r="N653">
        <v>-2.1894299999999998E-2</v>
      </c>
      <c r="O653">
        <v>-3.4566149999999999E-4</v>
      </c>
      <c r="P653">
        <v>0.99354149999999997</v>
      </c>
      <c r="Q653">
        <v>-0.11261640000000001</v>
      </c>
      <c r="R653">
        <v>-1.3872270000000001E-2</v>
      </c>
      <c r="S653">
        <v>3.0041199999999999</v>
      </c>
      <c r="T653">
        <v>-0.1187261</v>
      </c>
      <c r="U653">
        <v>-0.1130371</v>
      </c>
      <c r="V653">
        <v>1.352545E-2</v>
      </c>
      <c r="W653">
        <v>-9.0836970000000003E-2</v>
      </c>
      <c r="X653">
        <v>0.99577389999999999</v>
      </c>
      <c r="Y653">
        <v>3.7210189999999997E-2</v>
      </c>
      <c r="Z653">
        <v>-1.1364470000000001E-3</v>
      </c>
      <c r="AA653">
        <v>0.99930680000000005</v>
      </c>
      <c r="AB653">
        <v>34</v>
      </c>
      <c r="AC653">
        <v>29.089400000000001</v>
      </c>
      <c r="AD653">
        <v>-1.1614960000000001</v>
      </c>
      <c r="AE653">
        <v>-1.1077000000000199</v>
      </c>
      <c r="AF653">
        <v>1.09589779352873</v>
      </c>
      <c r="AG653">
        <v>-1.1614960000000001</v>
      </c>
      <c r="AH653">
        <v>29.043544604403198</v>
      </c>
      <c r="AI653">
        <v>92.288499106035999</v>
      </c>
      <c r="AJ653">
        <v>87.839088000282203</v>
      </c>
      <c r="AK653">
        <v>29.087412193590399</v>
      </c>
      <c r="AL653">
        <v>95.211759301822795</v>
      </c>
      <c r="AM653">
        <v>89.221807733290007</v>
      </c>
      <c r="AN653">
        <v>0.99999997641884597</v>
      </c>
    </row>
    <row r="654" spans="1:40" x14ac:dyDescent="0.25">
      <c r="A654" t="str">
        <f>"20190303154430903"</f>
        <v>20190303154430903</v>
      </c>
      <c r="B654" t="str">
        <f>"1551599070890868"</f>
        <v>1551599070890868</v>
      </c>
      <c r="C654" t="s">
        <v>40</v>
      </c>
      <c r="D654">
        <v>4.4549050000000001</v>
      </c>
      <c r="E654">
        <v>0.50907840000000004</v>
      </c>
      <c r="F654" t="s">
        <v>43</v>
      </c>
      <c r="G654">
        <v>-289.32350000000002</v>
      </c>
      <c r="H654">
        <v>-0.05</v>
      </c>
      <c r="I654">
        <v>366.39269999999999</v>
      </c>
      <c r="J654">
        <v>-317.5514</v>
      </c>
      <c r="K654">
        <v>1.109475</v>
      </c>
      <c r="L654">
        <v>367.44920000000002</v>
      </c>
      <c r="M654">
        <v>0.99974050000000003</v>
      </c>
      <c r="N654">
        <v>-2.278473E-2</v>
      </c>
      <c r="O654">
        <v>-3.4609400000000002E-4</v>
      </c>
      <c r="P654">
        <v>0.99346230000000002</v>
      </c>
      <c r="Q654">
        <v>-0.1133802</v>
      </c>
      <c r="R654">
        <v>-1.333293E-2</v>
      </c>
      <c r="S654">
        <v>3.004089</v>
      </c>
      <c r="T654">
        <v>-0.122238</v>
      </c>
      <c r="U654">
        <v>-0.1112061</v>
      </c>
      <c r="V654">
        <v>1.298532E-2</v>
      </c>
      <c r="W654">
        <v>-9.0715359999999995E-2</v>
      </c>
      <c r="X654">
        <v>0.99579220000000002</v>
      </c>
      <c r="Y654">
        <v>3.6599769999999997E-2</v>
      </c>
      <c r="Z654">
        <v>-1.155304E-3</v>
      </c>
      <c r="AA654">
        <v>0.99932929999999998</v>
      </c>
      <c r="AB654">
        <v>34</v>
      </c>
      <c r="AC654">
        <v>28.227899999999899</v>
      </c>
      <c r="AD654">
        <v>-1.159475</v>
      </c>
      <c r="AE654">
        <v>-1.05650000000002</v>
      </c>
      <c r="AF654">
        <v>1.04496729584033</v>
      </c>
      <c r="AG654">
        <v>-1.159475</v>
      </c>
      <c r="AH654">
        <v>28.180784045486501</v>
      </c>
      <c r="AI654">
        <v>92.354442188021594</v>
      </c>
      <c r="AJ654">
        <v>87.876397012720105</v>
      </c>
      <c r="AK654">
        <v>28.223977897230299</v>
      </c>
      <c r="AL654">
        <v>95.204762550294106</v>
      </c>
      <c r="AM654">
        <v>89.252894465179097</v>
      </c>
      <c r="AN654">
        <v>1.00000000032813</v>
      </c>
    </row>
    <row r="655" spans="1:40" x14ac:dyDescent="0.25">
      <c r="A655" t="str">
        <f>"20190303154430925"</f>
        <v>20190303154430925</v>
      </c>
      <c r="B655" t="str">
        <f>"1551599070921124"</f>
        <v>1551599070921124</v>
      </c>
      <c r="C655" t="s">
        <v>40</v>
      </c>
      <c r="D655">
        <v>4.5043989999999896</v>
      </c>
      <c r="E655">
        <v>0.50917389999999996</v>
      </c>
      <c r="F655" t="s">
        <v>43</v>
      </c>
      <c r="G655">
        <v>-289.32600000000002</v>
      </c>
      <c r="H655">
        <v>-0.05</v>
      </c>
      <c r="I655">
        <v>366.42020000000002</v>
      </c>
      <c r="J655">
        <v>-317.21969999999999</v>
      </c>
      <c r="K655">
        <v>1.107175</v>
      </c>
      <c r="L655">
        <v>367.44909999999999</v>
      </c>
      <c r="M655">
        <v>0.99972459999999996</v>
      </c>
      <c r="N655">
        <v>-2.346591E-2</v>
      </c>
      <c r="O655">
        <v>-3.4565680000000001E-4</v>
      </c>
      <c r="P655">
        <v>0.99334769999999994</v>
      </c>
      <c r="Q655">
        <v>-0.1144791</v>
      </c>
      <c r="R655">
        <v>-1.245073E-2</v>
      </c>
      <c r="S655">
        <v>3.004181</v>
      </c>
      <c r="T655">
        <v>-0.1234088</v>
      </c>
      <c r="U655">
        <v>-0.1095276</v>
      </c>
      <c r="V655">
        <v>1.2103579999999999E-2</v>
      </c>
      <c r="W655">
        <v>-9.1138200000000003E-2</v>
      </c>
      <c r="X655">
        <v>0.99576469999999995</v>
      </c>
      <c r="Y655">
        <v>3.6040969999999999E-2</v>
      </c>
      <c r="Z655">
        <v>-1.156972E-3</v>
      </c>
      <c r="AA655">
        <v>0.99934970000000001</v>
      </c>
      <c r="AB655">
        <v>34</v>
      </c>
      <c r="AC655">
        <v>27.893699999999999</v>
      </c>
      <c r="AD655">
        <v>-1.1571750000000001</v>
      </c>
      <c r="AE655">
        <v>-1.02889999999996</v>
      </c>
      <c r="AF655">
        <v>1.0175068660212301</v>
      </c>
      <c r="AG655">
        <v>-1.1571750000000001</v>
      </c>
      <c r="AH655">
        <v>27.8461953442383</v>
      </c>
      <c r="AI655">
        <v>92.378025984770005</v>
      </c>
      <c r="AJ655">
        <v>87.907329083171305</v>
      </c>
      <c r="AK655">
        <v>27.888796484475701</v>
      </c>
      <c r="AL655">
        <v>95.229090259731294</v>
      </c>
      <c r="AM655">
        <v>89.3036006388066</v>
      </c>
      <c r="AN655">
        <v>1.0000000029570699</v>
      </c>
    </row>
    <row r="656" spans="1:40" x14ac:dyDescent="0.25">
      <c r="A656" t="str">
        <f>"20190303154430948"</f>
        <v>20190303154430948</v>
      </c>
      <c r="B656" t="str">
        <f>"1551599070940643"</f>
        <v>1551599070940643</v>
      </c>
      <c r="C656" t="s">
        <v>40</v>
      </c>
      <c r="D656">
        <v>4.4916359999999997</v>
      </c>
      <c r="E656">
        <v>0.50926800000000005</v>
      </c>
      <c r="F656" t="s">
        <v>43</v>
      </c>
      <c r="G656">
        <v>-289.16399999999999</v>
      </c>
      <c r="H656">
        <v>-0.05</v>
      </c>
      <c r="I656">
        <v>366.4452</v>
      </c>
      <c r="J656">
        <v>-316.86649999999997</v>
      </c>
      <c r="K656">
        <v>1.104536</v>
      </c>
      <c r="L656">
        <v>367.44900000000001</v>
      </c>
      <c r="M656">
        <v>0.99971509999999997</v>
      </c>
      <c r="N656">
        <v>-2.386456E-2</v>
      </c>
      <c r="O656">
        <v>-3.4514339999999999E-4</v>
      </c>
      <c r="P656">
        <v>0.99330989999999997</v>
      </c>
      <c r="Q656">
        <v>-0.1148055</v>
      </c>
      <c r="R656">
        <v>-1.2456170000000001E-2</v>
      </c>
      <c r="S656">
        <v>3.0044249999999999</v>
      </c>
      <c r="T656">
        <v>-0.1239194</v>
      </c>
      <c r="U656">
        <v>-0.1075134</v>
      </c>
      <c r="V656">
        <v>1.210935E-2</v>
      </c>
      <c r="W656">
        <v>-9.1068339999999998E-2</v>
      </c>
      <c r="X656">
        <v>0.99577099999999996</v>
      </c>
      <c r="Y656">
        <v>3.536972E-2</v>
      </c>
      <c r="Z656">
        <v>-1.1454080000000001E-3</v>
      </c>
      <c r="AA656">
        <v>0.99937359999999997</v>
      </c>
      <c r="AB656">
        <v>34</v>
      </c>
      <c r="AC656">
        <v>27.702499999999901</v>
      </c>
      <c r="AD656">
        <v>-1.154536</v>
      </c>
      <c r="AE656">
        <v>-1.00380000000001</v>
      </c>
      <c r="AF656">
        <v>0.99251423461484101</v>
      </c>
      <c r="AG656">
        <v>-1.154536</v>
      </c>
      <c r="AH656">
        <v>27.654873891832398</v>
      </c>
      <c r="AI656">
        <v>92.389060340357901</v>
      </c>
      <c r="AJ656">
        <v>87.944576418006406</v>
      </c>
      <c r="AK656">
        <v>27.6967522979566</v>
      </c>
      <c r="AL656">
        <v>95.225070973232206</v>
      </c>
      <c r="AM656">
        <v>89.303273092709901</v>
      </c>
      <c r="AN656">
        <v>0.99999998167438797</v>
      </c>
    </row>
    <row r="657" spans="1:40" x14ac:dyDescent="0.25">
      <c r="A657" t="str">
        <f>"20190303154430969"</f>
        <v>20190303154430969</v>
      </c>
      <c r="B657" t="str">
        <f>"1551599070961144"</f>
        <v>1551599070961144</v>
      </c>
      <c r="C657" t="s">
        <v>40</v>
      </c>
      <c r="D657">
        <v>4.5792539999999997</v>
      </c>
      <c r="E657">
        <v>0.50935940000000002</v>
      </c>
      <c r="F657" t="s">
        <v>43</v>
      </c>
      <c r="G657">
        <v>-288.90370000000001</v>
      </c>
      <c r="H657">
        <v>-0.05</v>
      </c>
      <c r="I657">
        <v>366.44209999999998</v>
      </c>
      <c r="J657">
        <v>-316.54140000000001</v>
      </c>
      <c r="K657">
        <v>1.101958</v>
      </c>
      <c r="L657">
        <v>367.44889999999998</v>
      </c>
      <c r="M657">
        <v>0.99971290000000002</v>
      </c>
      <c r="N657">
        <v>-2.3962870000000001E-2</v>
      </c>
      <c r="O657">
        <v>-3.4430730000000002E-4</v>
      </c>
      <c r="P657">
        <v>0.99334460000000002</v>
      </c>
      <c r="Q657">
        <v>-0.11449040000000001</v>
      </c>
      <c r="R657">
        <v>-1.2595220000000001E-2</v>
      </c>
      <c r="S657">
        <v>3.0045169999999999</v>
      </c>
      <c r="T657">
        <v>-0.1240512</v>
      </c>
      <c r="U657">
        <v>-0.1081848</v>
      </c>
      <c r="V657">
        <v>1.2249299999999999E-2</v>
      </c>
      <c r="W657">
        <v>-9.0654540000000006E-2</v>
      </c>
      <c r="X657">
        <v>0.99580709999999995</v>
      </c>
      <c r="Y657">
        <v>3.5592039999999998E-2</v>
      </c>
      <c r="Z657">
        <v>-1.155189E-3</v>
      </c>
      <c r="AA657">
        <v>0.99936570000000002</v>
      </c>
      <c r="AB657">
        <v>34</v>
      </c>
      <c r="AC657">
        <v>27.637699999999899</v>
      </c>
      <c r="AD657">
        <v>-1.151958</v>
      </c>
      <c r="AE657">
        <v>-1.0067999999999899</v>
      </c>
      <c r="AF657">
        <v>0.99555408344095597</v>
      </c>
      <c r="AG657">
        <v>-1.151958</v>
      </c>
      <c r="AH657">
        <v>27.5901768056032</v>
      </c>
      <c r="AI657">
        <v>92.389298442180703</v>
      </c>
      <c r="AJ657">
        <v>87.933456149595301</v>
      </c>
      <c r="AK657">
        <v>27.632155025101898</v>
      </c>
      <c r="AL657">
        <v>95.201263218765803</v>
      </c>
      <c r="AM657">
        <v>89.295247245463898</v>
      </c>
      <c r="AN657">
        <v>1.00000003569175</v>
      </c>
    </row>
    <row r="658" spans="1:40" x14ac:dyDescent="0.25">
      <c r="A658" t="str">
        <f>"20190303154430993"</f>
        <v>20190303154430993</v>
      </c>
      <c r="B658" t="str">
        <f>"1551599070980659"</f>
        <v>1551599070980659</v>
      </c>
      <c r="C658" t="s">
        <v>40</v>
      </c>
      <c r="D658">
        <v>4.5232519999999896</v>
      </c>
      <c r="E658">
        <v>0.50943260000000001</v>
      </c>
      <c r="F658" t="s">
        <v>43</v>
      </c>
      <c r="G658">
        <v>-288.2192</v>
      </c>
      <c r="H658">
        <v>-0.05</v>
      </c>
      <c r="I658">
        <v>366.41559999999998</v>
      </c>
      <c r="J658">
        <v>-316.19529999999997</v>
      </c>
      <c r="K658">
        <v>1.0991150000000001</v>
      </c>
      <c r="L658">
        <v>367.44880000000001</v>
      </c>
      <c r="M658">
        <v>0.99971410000000005</v>
      </c>
      <c r="N658">
        <v>-2.3908240000000001E-2</v>
      </c>
      <c r="O658">
        <v>-3.4199499999999999E-4</v>
      </c>
      <c r="P658">
        <v>0.99333320000000003</v>
      </c>
      <c r="Q658">
        <v>-0.1145207</v>
      </c>
      <c r="R658">
        <v>-1.319361E-2</v>
      </c>
      <c r="S658">
        <v>3.0046390000000001</v>
      </c>
      <c r="T658">
        <v>-0.1222085</v>
      </c>
      <c r="U658">
        <v>-0.1096191</v>
      </c>
      <c r="V658">
        <v>1.284971E-2</v>
      </c>
      <c r="W658">
        <v>-9.0739559999999997E-2</v>
      </c>
      <c r="X658">
        <v>0.99579169999999995</v>
      </c>
      <c r="Y658">
        <v>3.6069900000000002E-2</v>
      </c>
      <c r="Z658">
        <v>-1.15894E-3</v>
      </c>
      <c r="AA658">
        <v>0.99934860000000003</v>
      </c>
      <c r="AB658">
        <v>34</v>
      </c>
      <c r="AC658">
        <v>27.976099999999899</v>
      </c>
      <c r="AD658">
        <v>-1.1491149999999899</v>
      </c>
      <c r="AE658">
        <v>-1.0332000000000201</v>
      </c>
      <c r="AF658">
        <v>1.0219077584741501</v>
      </c>
      <c r="AG658">
        <v>-1.1491149999999899</v>
      </c>
      <c r="AH658">
        <v>27.929395031113099</v>
      </c>
      <c r="AI658">
        <v>92.354450342683293</v>
      </c>
      <c r="AJ658">
        <v>87.904541287807902</v>
      </c>
      <c r="AK658">
        <v>27.9716976165913</v>
      </c>
      <c r="AL658">
        <v>95.206155132433196</v>
      </c>
      <c r="AM658">
        <v>89.260695494125798</v>
      </c>
      <c r="AN658">
        <v>0.99999994629248201</v>
      </c>
    </row>
    <row r="659" spans="1:40" x14ac:dyDescent="0.25">
      <c r="A659" t="str">
        <f>"20190303154431025"</f>
        <v>20190303154431025</v>
      </c>
      <c r="B659" t="str">
        <f>"1551599071020676"</f>
        <v>1551599071020676</v>
      </c>
      <c r="C659" t="s">
        <v>40</v>
      </c>
      <c r="D659">
        <v>4.5223000000000004</v>
      </c>
      <c r="E659">
        <v>0.50942270000000001</v>
      </c>
      <c r="F659" t="s">
        <v>43</v>
      </c>
      <c r="G659">
        <v>-287.714</v>
      </c>
      <c r="H659">
        <v>-0.05</v>
      </c>
      <c r="I659">
        <v>366.38510000000002</v>
      </c>
      <c r="J659">
        <v>-315.70499999999998</v>
      </c>
      <c r="K659">
        <v>1.0950580000000001</v>
      </c>
      <c r="L659">
        <v>367.44869999999997</v>
      </c>
      <c r="M659">
        <v>0.9997201</v>
      </c>
      <c r="N659">
        <v>-2.3654069999999999E-2</v>
      </c>
      <c r="O659">
        <v>-3.409854E-4</v>
      </c>
      <c r="P659">
        <v>0.99326150000000002</v>
      </c>
      <c r="Q659">
        <v>-0.1149772</v>
      </c>
      <c r="R659">
        <v>-1.4546389999999999E-2</v>
      </c>
      <c r="S659">
        <v>3.0046689999999998</v>
      </c>
      <c r="T659">
        <v>-0.121227</v>
      </c>
      <c r="U659">
        <v>-0.1122131</v>
      </c>
      <c r="V659">
        <v>1.4203830000000001E-2</v>
      </c>
      <c r="W659">
        <v>-9.1450809999999993E-2</v>
      </c>
      <c r="X659">
        <v>0.99570829999999999</v>
      </c>
      <c r="Y659">
        <v>3.6931800000000001E-2</v>
      </c>
      <c r="Z659">
        <v>-1.1760710000000001E-3</v>
      </c>
      <c r="AA659">
        <v>0.99931709999999996</v>
      </c>
      <c r="AB659">
        <v>34</v>
      </c>
      <c r="AC659">
        <v>27.9909999999999</v>
      </c>
      <c r="AD659">
        <v>-1.1450579999999999</v>
      </c>
      <c r="AE659">
        <v>-1.0635999999999499</v>
      </c>
      <c r="AF659">
        <v>1.05229429921801</v>
      </c>
      <c r="AG659">
        <v>-1.1450579999999999</v>
      </c>
      <c r="AH659">
        <v>27.944663989193302</v>
      </c>
      <c r="AI659">
        <v>92.344773976030694</v>
      </c>
      <c r="AJ659">
        <v>87.843468494053596</v>
      </c>
      <c r="AK659">
        <v>27.987903218791601</v>
      </c>
      <c r="AL659">
        <v>95.247076573375196</v>
      </c>
      <c r="AM659">
        <v>89.182728197781898</v>
      </c>
      <c r="AN659">
        <v>1.0000000090626</v>
      </c>
    </row>
    <row r="660" spans="1:40" x14ac:dyDescent="0.25">
      <c r="A660" t="str">
        <f>"20190303154431048"</f>
        <v>20190303154431048</v>
      </c>
      <c r="B660" t="str">
        <f>"1551599071041184"</f>
        <v>1551599071041184</v>
      </c>
      <c r="C660" t="s">
        <v>40</v>
      </c>
      <c r="D660">
        <v>4.5318740000000002</v>
      </c>
      <c r="E660">
        <v>0.50943669999999996</v>
      </c>
      <c r="F660" t="s">
        <v>43</v>
      </c>
      <c r="G660">
        <v>-286.94279999999998</v>
      </c>
      <c r="H660">
        <v>-0.05</v>
      </c>
      <c r="I660">
        <v>366.34050000000002</v>
      </c>
      <c r="J660">
        <v>-315.36540000000002</v>
      </c>
      <c r="K660">
        <v>1.0922989999999999</v>
      </c>
      <c r="L660">
        <v>367.4486</v>
      </c>
      <c r="M660">
        <v>0.99972870000000003</v>
      </c>
      <c r="N660">
        <v>-2.3292730000000001E-2</v>
      </c>
      <c r="O660">
        <v>-3.4197109999999998E-4</v>
      </c>
      <c r="P660">
        <v>0.99330189999999996</v>
      </c>
      <c r="Q660">
        <v>-0.1145833</v>
      </c>
      <c r="R660">
        <v>-1.4899280000000001E-2</v>
      </c>
      <c r="S660">
        <v>3.0048520000000001</v>
      </c>
      <c r="T660">
        <v>-0.1196266</v>
      </c>
      <c r="U660">
        <v>-0.1157837</v>
      </c>
      <c r="V660">
        <v>1.4555739999999999E-2</v>
      </c>
      <c r="W660">
        <v>-9.1416020000000001E-2</v>
      </c>
      <c r="X660">
        <v>0.99570639999999999</v>
      </c>
      <c r="Y660">
        <v>3.811407E-2</v>
      </c>
      <c r="Z660">
        <v>-1.196854E-3</v>
      </c>
      <c r="AA660">
        <v>0.99927270000000001</v>
      </c>
      <c r="AB660">
        <v>34</v>
      </c>
      <c r="AC660">
        <v>28.422599999999999</v>
      </c>
      <c r="AD660">
        <v>-1.142299</v>
      </c>
      <c r="AE660">
        <v>-1.1080999999999701</v>
      </c>
      <c r="AF660">
        <v>1.09660901239118</v>
      </c>
      <c r="AG660">
        <v>-1.142299</v>
      </c>
      <c r="AH660">
        <v>28.377211468680201</v>
      </c>
      <c r="AI660">
        <v>92.303427850762205</v>
      </c>
      <c r="AJ660">
        <v>87.786962971850102</v>
      </c>
      <c r="AK660">
        <v>28.421356918163699</v>
      </c>
      <c r="AL660">
        <v>95.245074933805697</v>
      </c>
      <c r="AM660">
        <v>89.162480958488402</v>
      </c>
      <c r="AN660">
        <v>0.99999999664027395</v>
      </c>
    </row>
    <row r="661" spans="1:40" x14ac:dyDescent="0.25">
      <c r="A661" t="str">
        <f>"20190303154431072"</f>
        <v>20190303154431072</v>
      </c>
      <c r="B661" t="str">
        <f>"1551599071060691"</f>
        <v>1551599071060691</v>
      </c>
      <c r="C661" t="s">
        <v>40</v>
      </c>
      <c r="D661">
        <v>4.5335640000000001</v>
      </c>
      <c r="E661">
        <v>0.50950829999999903</v>
      </c>
      <c r="F661" t="s">
        <v>43</v>
      </c>
      <c r="G661">
        <v>-286.08019999999999</v>
      </c>
      <c r="H661">
        <v>-0.05</v>
      </c>
      <c r="I661">
        <v>366.30770000000001</v>
      </c>
      <c r="J661">
        <v>-315.02870000000001</v>
      </c>
      <c r="K661">
        <v>1.089688</v>
      </c>
      <c r="L661">
        <v>367.44850000000002</v>
      </c>
      <c r="M661">
        <v>0.99973990000000001</v>
      </c>
      <c r="N661">
        <v>-2.2800750000000002E-2</v>
      </c>
      <c r="O661">
        <v>-3.4284680000000001E-4</v>
      </c>
      <c r="P661">
        <v>0.99334259999999996</v>
      </c>
      <c r="Q661">
        <v>-0.11421679999999999</v>
      </c>
      <c r="R661">
        <v>-1.5002110000000001E-2</v>
      </c>
      <c r="S661">
        <v>3.0049440000000001</v>
      </c>
      <c r="T661">
        <v>-0.11721090000000001</v>
      </c>
      <c r="U661">
        <v>-0.1170654</v>
      </c>
      <c r="V661">
        <v>1.4657679999999999E-2</v>
      </c>
      <c r="W661">
        <v>-9.1538679999999997E-2</v>
      </c>
      <c r="X661">
        <v>0.99569359999999996</v>
      </c>
      <c r="Y661">
        <v>3.8539030000000002E-2</v>
      </c>
      <c r="Z661">
        <v>-1.1853549999999999E-3</v>
      </c>
      <c r="AA661">
        <v>0.99925640000000004</v>
      </c>
      <c r="AB661">
        <v>33</v>
      </c>
      <c r="AC661">
        <v>28.948499999999999</v>
      </c>
      <c r="AD661">
        <v>-1.13968799999999</v>
      </c>
      <c r="AE661">
        <v>-1.14080000000001</v>
      </c>
      <c r="AF661">
        <v>1.12912506843779</v>
      </c>
      <c r="AG661">
        <v>-1.13968799999999</v>
      </c>
      <c r="AH661">
        <v>28.904158764418099</v>
      </c>
      <c r="AI661">
        <v>92.256277843357097</v>
      </c>
      <c r="AJ661">
        <v>87.762909372910798</v>
      </c>
      <c r="AK661">
        <v>28.948647741064001</v>
      </c>
      <c r="AL661">
        <v>95.252132611233606</v>
      </c>
      <c r="AM661">
        <v>89.156605462464299</v>
      </c>
      <c r="AN661">
        <v>0.99999996130004098</v>
      </c>
    </row>
    <row r="662" spans="1:40" x14ac:dyDescent="0.25">
      <c r="A662" t="str">
        <f>"20190303154431093"</f>
        <v>20190303154431093</v>
      </c>
      <c r="B662" t="str">
        <f>"1551599071090947"</f>
        <v>1551599071090947</v>
      </c>
      <c r="C662" t="s">
        <v>40</v>
      </c>
      <c r="D662">
        <v>4.5579159999999996</v>
      </c>
      <c r="E662">
        <v>0.49868370000000001</v>
      </c>
      <c r="F662" t="s">
        <v>43</v>
      </c>
      <c r="G662">
        <v>-285.18009999999998</v>
      </c>
      <c r="H662">
        <v>-0.05</v>
      </c>
      <c r="I662">
        <v>366.27690000000001</v>
      </c>
      <c r="J662">
        <v>-314.68579999999997</v>
      </c>
      <c r="K662">
        <v>1.0872090000000001</v>
      </c>
      <c r="L662">
        <v>367.44839999999999</v>
      </c>
      <c r="M662">
        <v>0.99975349999999996</v>
      </c>
      <c r="N662">
        <v>-2.2207270000000001E-2</v>
      </c>
      <c r="O662">
        <v>-3.4319589999999898E-4</v>
      </c>
      <c r="P662">
        <v>0.99340640000000002</v>
      </c>
      <c r="Q662">
        <v>-0.1136644</v>
      </c>
      <c r="R662">
        <v>-1.4980220000000001E-2</v>
      </c>
      <c r="S662">
        <v>3.0051269999999999</v>
      </c>
      <c r="T662">
        <v>-0.11474280000000001</v>
      </c>
      <c r="U662">
        <v>-0.1179504</v>
      </c>
      <c r="V662">
        <v>1.463542E-2</v>
      </c>
      <c r="W662">
        <v>-9.1576019999999994E-2</v>
      </c>
      <c r="X662">
        <v>0.99569050000000003</v>
      </c>
      <c r="Y662">
        <v>3.8831829999999998E-2</v>
      </c>
      <c r="Z662">
        <v>-1.166956E-3</v>
      </c>
      <c r="AA662">
        <v>0.9992451</v>
      </c>
      <c r="AB662">
        <v>33</v>
      </c>
      <c r="AC662">
        <v>29.505699999999901</v>
      </c>
      <c r="AD662">
        <v>-1.1372089999999999</v>
      </c>
      <c r="AE662">
        <v>-1.17149999999998</v>
      </c>
      <c r="AF662">
        <v>1.1596512645314001</v>
      </c>
      <c r="AG662">
        <v>-1.1372089999999999</v>
      </c>
      <c r="AH662">
        <v>29.4624032951711</v>
      </c>
      <c r="AI662">
        <v>92.208733872046807</v>
      </c>
      <c r="AJ662">
        <v>87.745980113634303</v>
      </c>
      <c r="AK662">
        <v>29.507138853035599</v>
      </c>
      <c r="AL662">
        <v>95.254281027622696</v>
      </c>
      <c r="AM662">
        <v>89.157883484089695</v>
      </c>
      <c r="AN662">
        <v>0.99999996737393204</v>
      </c>
    </row>
    <row r="663" spans="1:40" x14ac:dyDescent="0.25">
      <c r="A663" t="str">
        <f>"20190303154431127"</f>
        <v>20190303154431127</v>
      </c>
      <c r="B663" t="str">
        <f>"1551599071121204"</f>
        <v>1551599071121204</v>
      </c>
      <c r="C663" t="s">
        <v>40</v>
      </c>
      <c r="D663">
        <v>4.5286819999999999</v>
      </c>
      <c r="E663">
        <v>0.49593140000000002</v>
      </c>
      <c r="F663" t="s">
        <v>41</v>
      </c>
      <c r="G663">
        <v>-250.5393</v>
      </c>
      <c r="H663" s="1">
        <v>-4.5437229999999998E-6</v>
      </c>
      <c r="I663">
        <v>366.78190000000001</v>
      </c>
      <c r="J663">
        <v>-314.20580000000001</v>
      </c>
      <c r="K663">
        <v>1.0840879999999999</v>
      </c>
      <c r="L663">
        <v>367.44819999999999</v>
      </c>
      <c r="M663">
        <v>0.99977300000000002</v>
      </c>
      <c r="N663">
        <v>-2.1304380000000001E-2</v>
      </c>
      <c r="O663">
        <v>-3.427805E-4</v>
      </c>
      <c r="P663">
        <v>0.99347759999999996</v>
      </c>
      <c r="Q663">
        <v>-0.11303390000000001</v>
      </c>
      <c r="R663">
        <v>-1.5024590000000001E-2</v>
      </c>
      <c r="S663">
        <v>3.0135800000000001</v>
      </c>
      <c r="T663">
        <v>-5.107689E-2</v>
      </c>
      <c r="U663">
        <v>-3.1311039999999998E-2</v>
      </c>
      <c r="V663">
        <v>1.468001E-2</v>
      </c>
      <c r="W663">
        <v>-9.1843309999999997E-2</v>
      </c>
      <c r="X663">
        <v>0.99566529999999998</v>
      </c>
      <c r="Y663">
        <v>1.004333E-2</v>
      </c>
      <c r="Z663">
        <v>-1.9361340000000001E-4</v>
      </c>
      <c r="AA663">
        <v>0.99994959999999999</v>
      </c>
      <c r="AB663">
        <v>33</v>
      </c>
      <c r="AC663">
        <v>63.666499999999999</v>
      </c>
      <c r="AD663">
        <v>-1.084092543723</v>
      </c>
      <c r="AE663">
        <v>-0.66629999999997802</v>
      </c>
      <c r="AF663">
        <v>0.64428458778104902</v>
      </c>
      <c r="AG663">
        <v>-1.084092543723</v>
      </c>
      <c r="AH663">
        <v>63.648272433619397</v>
      </c>
      <c r="AI663">
        <v>90.9757490394462</v>
      </c>
      <c r="AJ663">
        <v>89.420038824193298</v>
      </c>
      <c r="AK663">
        <v>63.6607645497416</v>
      </c>
      <c r="AL663">
        <v>95.269660029712597</v>
      </c>
      <c r="AM663">
        <v>89.1552967880192</v>
      </c>
      <c r="AN663">
        <v>1.00000004295472</v>
      </c>
    </row>
    <row r="664" spans="1:40" x14ac:dyDescent="0.25">
      <c r="A664" t="str">
        <f>"20190303154431148"</f>
        <v>20190303154431148</v>
      </c>
      <c r="B664" t="str">
        <f>"1551599071140727"</f>
        <v>1551599071140727</v>
      </c>
      <c r="C664" t="s">
        <v>40</v>
      </c>
      <c r="D664">
        <v>4.5255479999999997</v>
      </c>
      <c r="E664">
        <v>0.49554150000000002</v>
      </c>
      <c r="F664" t="s">
        <v>50</v>
      </c>
      <c r="G664">
        <v>-185.74260000000001</v>
      </c>
      <c r="H664" s="1">
        <v>-8.3007110000000001E-6</v>
      </c>
      <c r="I664">
        <v>367.06740000000002</v>
      </c>
      <c r="J664">
        <v>-313.88350000000003</v>
      </c>
      <c r="K664">
        <v>1.0822510000000001</v>
      </c>
      <c r="L664">
        <v>367.44810000000001</v>
      </c>
      <c r="M664">
        <v>0.99978590000000001</v>
      </c>
      <c r="N664">
        <v>-2.0693300000000001E-2</v>
      </c>
      <c r="O664">
        <v>-3.4266839999999902E-4</v>
      </c>
      <c r="P664">
        <v>0.99357269999999998</v>
      </c>
      <c r="Q664">
        <v>-0.11218889999999999</v>
      </c>
      <c r="R664">
        <v>-1.5069040000000001E-2</v>
      </c>
      <c r="S664">
        <v>3.0166629999999999</v>
      </c>
      <c r="T664">
        <v>-2.5457500000000001E-2</v>
      </c>
      <c r="U664">
        <v>-8.9416500000000006E-3</v>
      </c>
      <c r="V664">
        <v>1.472467E-2</v>
      </c>
      <c r="W664">
        <v>-9.1605099999999995E-2</v>
      </c>
      <c r="X664">
        <v>0.99568650000000003</v>
      </c>
      <c r="Y664">
        <v>2.6210370000000001E-3</v>
      </c>
      <c r="Z664" s="1">
        <v>-4.238294E-5</v>
      </c>
      <c r="AA664">
        <v>0.99999649999999995</v>
      </c>
      <c r="AB664">
        <v>33</v>
      </c>
      <c r="AC664">
        <v>128.14089999999999</v>
      </c>
      <c r="AD664">
        <v>-1.082259300711</v>
      </c>
      <c r="AE664">
        <v>-0.38069999999998999</v>
      </c>
      <c r="AF664">
        <v>0.33675671846368499</v>
      </c>
      <c r="AG664">
        <v>-1.082259300711</v>
      </c>
      <c r="AH664">
        <v>128.13188307540901</v>
      </c>
      <c r="AI664">
        <v>90.483932648737394</v>
      </c>
      <c r="AJ664">
        <v>89.849415353916001</v>
      </c>
      <c r="AK664">
        <v>128.13689613351701</v>
      </c>
      <c r="AL664">
        <v>95.255954269795595</v>
      </c>
      <c r="AM664">
        <v>89.152745416071795</v>
      </c>
      <c r="AN664">
        <v>0.99999995826743304</v>
      </c>
    </row>
    <row r="665" spans="1:40" x14ac:dyDescent="0.25">
      <c r="A665" t="str">
        <f>"20190303154431170"</f>
        <v>20190303154431170</v>
      </c>
      <c r="B665" t="str">
        <f>"1551599071161219"</f>
        <v>1551599071161219</v>
      </c>
      <c r="C665" t="s">
        <v>40</v>
      </c>
      <c r="D665">
        <v>4.5783300000000002</v>
      </c>
      <c r="E665">
        <v>0.49456270000000002</v>
      </c>
      <c r="F665" t="s">
        <v>48</v>
      </c>
      <c r="G665">
        <v>-158.19499999999999</v>
      </c>
      <c r="H665">
        <v>0.1109744</v>
      </c>
      <c r="I665">
        <v>367.15050000000002</v>
      </c>
      <c r="J665">
        <v>-313.55369999999999</v>
      </c>
      <c r="K665">
        <v>1.0805849999999999</v>
      </c>
      <c r="L665">
        <v>367.44799999999998</v>
      </c>
      <c r="M665">
        <v>0.99979810000000002</v>
      </c>
      <c r="N665">
        <v>-2.008805E-2</v>
      </c>
      <c r="O665">
        <v>-3.4256020000000001E-4</v>
      </c>
      <c r="P665">
        <v>0.99369070000000004</v>
      </c>
      <c r="Q665">
        <v>-0.11113489999999999</v>
      </c>
      <c r="R665">
        <v>-1.509831E-2</v>
      </c>
      <c r="S665">
        <v>3.0171809999999999</v>
      </c>
      <c r="T665">
        <v>-1.8821239999999999E-2</v>
      </c>
      <c r="U665">
        <v>-5.7678219999999997E-3</v>
      </c>
      <c r="V665">
        <v>1.4754E-2</v>
      </c>
      <c r="W665">
        <v>-9.1151670000000004E-2</v>
      </c>
      <c r="X665">
        <v>0.99572769999999999</v>
      </c>
      <c r="Y665">
        <v>1.568931E-3</v>
      </c>
      <c r="Z665" s="1">
        <v>-2.5399430000000002E-5</v>
      </c>
      <c r="AA665">
        <v>0.99999870000000002</v>
      </c>
      <c r="AB665">
        <v>33</v>
      </c>
      <c r="AC665">
        <v>155.3587</v>
      </c>
      <c r="AD665">
        <v>-0.96961059999999999</v>
      </c>
      <c r="AE665">
        <v>-0.29750000000001298</v>
      </c>
      <c r="AF665">
        <v>0.24426001684424001</v>
      </c>
      <c r="AG665">
        <v>-0.96961059999999999</v>
      </c>
      <c r="AH665">
        <v>155.35274162178999</v>
      </c>
      <c r="AI665">
        <v>90.357597841895696</v>
      </c>
      <c r="AJ665">
        <v>89.909914325357505</v>
      </c>
      <c r="AK665">
        <v>155.355959451442</v>
      </c>
      <c r="AL665">
        <v>95.2298653800881</v>
      </c>
      <c r="AM665">
        <v>89.151093141789104</v>
      </c>
      <c r="AN665">
        <v>0.99999998000353896</v>
      </c>
    </row>
    <row r="666" spans="1:40" x14ac:dyDescent="0.25">
      <c r="A666" t="str">
        <f>"20190303154431193"</f>
        <v>20190303154431193</v>
      </c>
      <c r="B666" t="str">
        <f>"1551599071180740"</f>
        <v>1551599071180740</v>
      </c>
      <c r="C666" t="s">
        <v>40</v>
      </c>
      <c r="D666">
        <v>4.5554079999999999</v>
      </c>
      <c r="E666">
        <v>0.49436370000000002</v>
      </c>
      <c r="F666" t="s">
        <v>41</v>
      </c>
      <c r="G666">
        <v>-210.59800000000001</v>
      </c>
      <c r="H666" s="1">
        <v>-4.3902090000000004E-6</v>
      </c>
      <c r="I666">
        <v>367.50529999999998</v>
      </c>
      <c r="J666">
        <v>-313.22140000000002</v>
      </c>
      <c r="K666">
        <v>1.079116</v>
      </c>
      <c r="L666">
        <v>367.4479</v>
      </c>
      <c r="M666">
        <v>0.99980970000000002</v>
      </c>
      <c r="N666">
        <v>-1.951087E-2</v>
      </c>
      <c r="O666">
        <v>-3.4267109999999999E-4</v>
      </c>
      <c r="P666">
        <v>0.99379220000000001</v>
      </c>
      <c r="Q666">
        <v>-0.1102079</v>
      </c>
      <c r="R666">
        <v>-1.519891E-2</v>
      </c>
      <c r="S666">
        <v>3.0155029999999998</v>
      </c>
      <c r="T666">
        <v>-3.1649709999999998E-2</v>
      </c>
      <c r="U666">
        <v>1.6784669999999999E-3</v>
      </c>
      <c r="V666">
        <v>1.485478E-2</v>
      </c>
      <c r="W666">
        <v>-9.0797699999999995E-2</v>
      </c>
      <c r="X666">
        <v>0.99575849999999999</v>
      </c>
      <c r="Y666">
        <v>-8.9919329999999995E-4</v>
      </c>
      <c r="Z666" s="1">
        <v>1.0402089999999899E-5</v>
      </c>
      <c r="AA666">
        <v>0.99999959999999999</v>
      </c>
      <c r="AB666">
        <v>33</v>
      </c>
      <c r="AC666">
        <v>102.6234</v>
      </c>
      <c r="AD666">
        <v>-1.0791203902090001</v>
      </c>
      <c r="AE666">
        <v>5.7399999999972799E-2</v>
      </c>
      <c r="AF666">
        <v>-9.2562526440350901E-2</v>
      </c>
      <c r="AG666">
        <v>-1.0791203902090001</v>
      </c>
      <c r="AH666">
        <v>102.61202823789</v>
      </c>
      <c r="AI666">
        <v>90.602529163852495</v>
      </c>
      <c r="AJ666">
        <v>90.051684395666598</v>
      </c>
      <c r="AK666">
        <v>102.61774411733801</v>
      </c>
      <c r="AL666">
        <v>95.209500157657601</v>
      </c>
      <c r="AM666">
        <v>89.145321812615705</v>
      </c>
      <c r="AN666">
        <v>0.99999993856819203</v>
      </c>
    </row>
    <row r="667" spans="1:40" x14ac:dyDescent="0.25">
      <c r="A667" t="str">
        <f>"20190303154431214"</f>
        <v>20190303154431214</v>
      </c>
      <c r="B667" t="str">
        <f>"1551599071210996"</f>
        <v>1551599071210996</v>
      </c>
      <c r="C667" t="s">
        <v>40</v>
      </c>
      <c r="D667">
        <v>4.5017170000000002</v>
      </c>
      <c r="E667">
        <v>0.49410520000000002</v>
      </c>
      <c r="F667" t="s">
        <v>41</v>
      </c>
      <c r="G667">
        <v>-210.30549999999999</v>
      </c>
      <c r="H667" s="1">
        <v>-4.5072590000000004E-6</v>
      </c>
      <c r="I667">
        <v>367.55309999999997</v>
      </c>
      <c r="J667">
        <v>-312.89120000000003</v>
      </c>
      <c r="K667">
        <v>1.0778380000000001</v>
      </c>
      <c r="L667">
        <v>367.44779999999997</v>
      </c>
      <c r="M667">
        <v>0.99981989999999998</v>
      </c>
      <c r="N667">
        <v>-1.8976590000000002E-2</v>
      </c>
      <c r="O667">
        <v>-3.4276169999999999E-4</v>
      </c>
      <c r="P667">
        <v>0.99385239999999997</v>
      </c>
      <c r="Q667">
        <v>-0.1097481</v>
      </c>
      <c r="R667">
        <v>-1.4594859999999999E-2</v>
      </c>
      <c r="S667">
        <v>3.0152589999999999</v>
      </c>
      <c r="T667">
        <v>-3.1616329999999998E-2</v>
      </c>
      <c r="U667">
        <v>3.0822750000000002E-3</v>
      </c>
      <c r="V667">
        <v>1.42504E-2</v>
      </c>
      <c r="W667">
        <v>-9.0868889999999994E-2</v>
      </c>
      <c r="X667">
        <v>0.99576089999999995</v>
      </c>
      <c r="Y667">
        <v>-1.364826E-3</v>
      </c>
      <c r="Z667" s="1">
        <v>1.7195970000000001E-5</v>
      </c>
      <c r="AA667">
        <v>0.99999899999999997</v>
      </c>
      <c r="AB667">
        <v>33</v>
      </c>
      <c r="AC667">
        <v>102.5857</v>
      </c>
      <c r="AD667">
        <v>-1.0778425072590001</v>
      </c>
      <c r="AE667">
        <v>0.10529999999999901</v>
      </c>
      <c r="AF667">
        <v>-0.14045326969281499</v>
      </c>
      <c r="AG667">
        <v>-1.0778425072590001</v>
      </c>
      <c r="AH667">
        <v>102.57433451503501</v>
      </c>
      <c r="AI667">
        <v>90.602036525517406</v>
      </c>
      <c r="AJ667">
        <v>90.078454075094101</v>
      </c>
      <c r="AK667">
        <v>102.58009345284199</v>
      </c>
      <c r="AL667">
        <v>95.2135956574555</v>
      </c>
      <c r="AM667">
        <v>89.180092286688804</v>
      </c>
      <c r="AN667">
        <v>0.9999999995194</v>
      </c>
    </row>
    <row r="668" spans="1:40" x14ac:dyDescent="0.25">
      <c r="A668" t="str">
        <f>"20190303154431238"</f>
        <v>20190303154431238</v>
      </c>
      <c r="B668" t="str">
        <f>"1551599071231491"</f>
        <v>1551599071231491</v>
      </c>
      <c r="C668" t="s">
        <v>40</v>
      </c>
      <c r="D668">
        <v>4.5034720000000004</v>
      </c>
      <c r="E668">
        <v>0.49415389999999998</v>
      </c>
      <c r="F668" t="s">
        <v>41</v>
      </c>
      <c r="G668">
        <v>-222.90969999999999</v>
      </c>
      <c r="H668" s="1">
        <v>-3.37008E-6</v>
      </c>
      <c r="I668">
        <v>367.66550000000001</v>
      </c>
      <c r="J668">
        <v>-312.55930000000001</v>
      </c>
      <c r="K668">
        <v>1.076732</v>
      </c>
      <c r="L668">
        <v>367.4477</v>
      </c>
      <c r="M668">
        <v>0.99982919999999997</v>
      </c>
      <c r="N668">
        <v>-1.8481729999999998E-2</v>
      </c>
      <c r="O668">
        <v>-3.4264590000000002E-4</v>
      </c>
      <c r="P668">
        <v>0.99387879999999995</v>
      </c>
      <c r="Q668">
        <v>-0.1096075</v>
      </c>
      <c r="R668">
        <v>-1.383359E-2</v>
      </c>
      <c r="S668">
        <v>3.0146480000000002</v>
      </c>
      <c r="T668">
        <v>-3.6110879999999998E-2</v>
      </c>
      <c r="U668">
        <v>7.2937009999999997E-3</v>
      </c>
      <c r="V668">
        <v>1.3489330000000001E-2</v>
      </c>
      <c r="W668">
        <v>-9.1220679999999998E-2</v>
      </c>
      <c r="X668">
        <v>0.99573929999999999</v>
      </c>
      <c r="Y668">
        <v>-2.7616059999999998E-3</v>
      </c>
      <c r="Z668" s="1">
        <v>3.9834330000000001E-5</v>
      </c>
      <c r="AA668">
        <v>0.9999962</v>
      </c>
      <c r="AB668">
        <v>33</v>
      </c>
      <c r="AC668">
        <v>89.649600000000007</v>
      </c>
      <c r="AD668">
        <v>-1.07673537007999</v>
      </c>
      <c r="AE668">
        <v>0.21780000000001101</v>
      </c>
      <c r="AF668">
        <v>-0.24848745627309199</v>
      </c>
      <c r="AG668">
        <v>-1.07673537007999</v>
      </c>
      <c r="AH668">
        <v>89.636589931172495</v>
      </c>
      <c r="AI668">
        <v>90.688214359490701</v>
      </c>
      <c r="AJ668">
        <v>90.158832972637398</v>
      </c>
      <c r="AK668">
        <v>89.643401093233194</v>
      </c>
      <c r="AL668">
        <v>95.233835987528096</v>
      </c>
      <c r="AM668">
        <v>89.223858692474593</v>
      </c>
      <c r="AN668">
        <v>0.99999996402399904</v>
      </c>
    </row>
    <row r="669" spans="1:40" x14ac:dyDescent="0.25">
      <c r="A669" t="str">
        <f>"20190303154431259"</f>
        <v>20190303154431259</v>
      </c>
      <c r="B669" t="str">
        <f>"1551599071251015"</f>
        <v>1551599071251015</v>
      </c>
      <c r="C669" t="s">
        <v>40</v>
      </c>
      <c r="D669">
        <v>4.4955590000000001</v>
      </c>
      <c r="E669">
        <v>0.49428139999999998</v>
      </c>
      <c r="F669" t="s">
        <v>50</v>
      </c>
      <c r="G669">
        <v>-207.51840000000001</v>
      </c>
      <c r="H669" s="1">
        <v>-4.5383740000000002E-6</v>
      </c>
      <c r="I669">
        <v>367.76560000000001</v>
      </c>
      <c r="J669">
        <v>-312.24279999999999</v>
      </c>
      <c r="K669">
        <v>1.0758270000000001</v>
      </c>
      <c r="L669">
        <v>367.44760000000002</v>
      </c>
      <c r="M669">
        <v>0.99983699999999998</v>
      </c>
      <c r="N669">
        <v>-1.8051009999999999E-2</v>
      </c>
      <c r="O669">
        <v>-3.426363E-4</v>
      </c>
      <c r="P669">
        <v>0.99388189999999998</v>
      </c>
      <c r="Q669">
        <v>-0.1096699</v>
      </c>
      <c r="R669">
        <v>-1.3095229999999999E-2</v>
      </c>
      <c r="S669">
        <v>3.0151669999999999</v>
      </c>
      <c r="T669">
        <v>-3.090739E-2</v>
      </c>
      <c r="U669">
        <v>9.1247559999999995E-3</v>
      </c>
      <c r="V669">
        <v>1.2750910000000001E-2</v>
      </c>
      <c r="W669">
        <v>-9.1711890000000004E-2</v>
      </c>
      <c r="X669">
        <v>0.99570389999999998</v>
      </c>
      <c r="Y669">
        <v>-3.3684629999999999E-3</v>
      </c>
      <c r="Z669" s="1">
        <v>4.4997380000000003E-5</v>
      </c>
      <c r="AA669">
        <v>0.9999943</v>
      </c>
      <c r="AB669">
        <v>33</v>
      </c>
      <c r="AC669">
        <v>104.72439999999899</v>
      </c>
      <c r="AD669">
        <v>-1.075831538374</v>
      </c>
      <c r="AE669">
        <v>0.31799999999998302</v>
      </c>
      <c r="AF669">
        <v>-0.35385086695142198</v>
      </c>
      <c r="AG669">
        <v>-1.075831538374</v>
      </c>
      <c r="AH669">
        <v>104.713234160304</v>
      </c>
      <c r="AI669">
        <v>90.588637018858705</v>
      </c>
      <c r="AJ669">
        <v>90.193615298434693</v>
      </c>
      <c r="AK669">
        <v>104.719358440767</v>
      </c>
      <c r="AL669">
        <v>95.262098761007806</v>
      </c>
      <c r="AM669">
        <v>89.266314618346001</v>
      </c>
      <c r="AN669">
        <v>0.99999995647420403</v>
      </c>
    </row>
    <row r="670" spans="1:40" x14ac:dyDescent="0.25">
      <c r="A670" t="str">
        <f>"20190303154431285"</f>
        <v>20190303154431285</v>
      </c>
      <c r="B670" t="str">
        <f>"1551599071281268"</f>
        <v>1551599071281268</v>
      </c>
      <c r="C670" t="s">
        <v>40</v>
      </c>
      <c r="D670">
        <v>4.5027429999999997</v>
      </c>
      <c r="E670">
        <v>0.49459229999999998</v>
      </c>
      <c r="F670" t="s">
        <v>50</v>
      </c>
      <c r="G670">
        <v>-197.01419999999999</v>
      </c>
      <c r="H670" s="1">
        <v>-8.0913619999999995E-6</v>
      </c>
      <c r="I670">
        <v>367.83710000000002</v>
      </c>
      <c r="J670">
        <v>-311.87310000000002</v>
      </c>
      <c r="K670">
        <v>1.0749310000000001</v>
      </c>
      <c r="L670">
        <v>367.44749999999999</v>
      </c>
      <c r="M670">
        <v>0.99984499999999998</v>
      </c>
      <c r="N670">
        <v>-1.759877E-2</v>
      </c>
      <c r="O670">
        <v>-3.4229120000000001E-4</v>
      </c>
      <c r="P670">
        <v>0.9939713</v>
      </c>
      <c r="Q670">
        <v>-0.10887670000000001</v>
      </c>
      <c r="R670">
        <v>-1.2912959999999999E-2</v>
      </c>
      <c r="S670">
        <v>3.015533</v>
      </c>
      <c r="T670">
        <v>-2.815461E-2</v>
      </c>
      <c r="U670">
        <v>1.019287E-2</v>
      </c>
      <c r="V670">
        <v>1.256912E-2</v>
      </c>
      <c r="W670">
        <v>-9.1367599999999993E-2</v>
      </c>
      <c r="X670">
        <v>0.99573789999999995</v>
      </c>
      <c r="Y670">
        <v>-3.7219649999999998E-3</v>
      </c>
      <c r="Z670" s="1">
        <v>4.7301659999999999E-5</v>
      </c>
      <c r="AA670">
        <v>0.99999309999999997</v>
      </c>
      <c r="AB670">
        <v>33</v>
      </c>
      <c r="AC670">
        <v>114.85890000000001</v>
      </c>
      <c r="AD670">
        <v>-1.0749390913619901</v>
      </c>
      <c r="AE670">
        <v>0.38960000000002898</v>
      </c>
      <c r="AF670">
        <v>-0.42888369627968898</v>
      </c>
      <c r="AG670">
        <v>-1.0749390913619901</v>
      </c>
      <c r="AH670">
        <v>114.84870078335101</v>
      </c>
      <c r="AI670">
        <v>90.536246774968902</v>
      </c>
      <c r="AJ670">
        <v>90.213960726637694</v>
      </c>
      <c r="AK670">
        <v>114.854531938878</v>
      </c>
      <c r="AL670">
        <v>95.242289030655698</v>
      </c>
      <c r="AM670">
        <v>89.276798359954</v>
      </c>
      <c r="AN670">
        <v>0.99999999330187195</v>
      </c>
    </row>
    <row r="671" spans="1:40" x14ac:dyDescent="0.25">
      <c r="A671" t="str">
        <f>"20190303154431305"</f>
        <v>20190303154431305</v>
      </c>
      <c r="B671" t="str">
        <f>"1551599071300787"</f>
        <v>1551599071300787</v>
      </c>
      <c r="C671" t="s">
        <v>40</v>
      </c>
      <c r="D671">
        <v>4.4656459999999996</v>
      </c>
      <c r="E671">
        <v>0.49465779999999898</v>
      </c>
      <c r="F671" t="s">
        <v>50</v>
      </c>
      <c r="G671">
        <v>-179.9846</v>
      </c>
      <c r="H671">
        <v>6.5410700000000002E-2</v>
      </c>
      <c r="I671">
        <v>367.80779999999999</v>
      </c>
      <c r="J671">
        <v>-311.56700000000001</v>
      </c>
      <c r="K671">
        <v>1.0743130000000001</v>
      </c>
      <c r="L671">
        <v>367.44740000000002</v>
      </c>
      <c r="M671">
        <v>0.99985109999999999</v>
      </c>
      <c r="N671">
        <v>-1.726219E-2</v>
      </c>
      <c r="O671">
        <v>-3.4233050000000002E-4</v>
      </c>
      <c r="P671">
        <v>0.99399519999999997</v>
      </c>
      <c r="Q671">
        <v>-0.108616</v>
      </c>
      <c r="R671">
        <v>-1.3288319999999999E-2</v>
      </c>
      <c r="S671">
        <v>3.0157780000000001</v>
      </c>
      <c r="T671">
        <v>-2.308381E-2</v>
      </c>
      <c r="U671">
        <v>8.2397459999999992E-3</v>
      </c>
      <c r="V671">
        <v>1.29441E-2</v>
      </c>
      <c r="W671">
        <v>-9.1441739999999994E-2</v>
      </c>
      <c r="X671">
        <v>0.99572629999999995</v>
      </c>
      <c r="Y671">
        <v>-3.0742740000000001E-3</v>
      </c>
      <c r="Z671" s="1">
        <v>3.5013579999999998E-5</v>
      </c>
      <c r="AA671">
        <v>0.99999530000000003</v>
      </c>
      <c r="AB671">
        <v>33</v>
      </c>
      <c r="AC671">
        <v>131.58240000000001</v>
      </c>
      <c r="AD671">
        <v>-1.0089022999999999</v>
      </c>
      <c r="AE671">
        <v>0.36039999999997002</v>
      </c>
      <c r="AF671">
        <v>-0.40542751830992901</v>
      </c>
      <c r="AG671">
        <v>-1.0089022999999999</v>
      </c>
      <c r="AH671">
        <v>131.57453369954899</v>
      </c>
      <c r="AI671">
        <v>90.439328453638694</v>
      </c>
      <c r="AJ671">
        <v>90.1765479346669</v>
      </c>
      <c r="AK671">
        <v>131.57902634378101</v>
      </c>
      <c r="AL671">
        <v>95.246554745838793</v>
      </c>
      <c r="AM671">
        <v>89.255216491866406</v>
      </c>
      <c r="AN671">
        <v>1.00000000302536</v>
      </c>
    </row>
    <row r="672" spans="1:40" x14ac:dyDescent="0.25">
      <c r="A672" t="str">
        <f>"20190303154431327"</f>
        <v>20190303154431327</v>
      </c>
      <c r="B672" t="str">
        <f>"1551599071321283"</f>
        <v>1551599071321283</v>
      </c>
      <c r="C672" t="s">
        <v>40</v>
      </c>
      <c r="D672">
        <v>4.5235459999999996</v>
      </c>
      <c r="E672">
        <v>0.49488680000000002</v>
      </c>
      <c r="F672" t="s">
        <v>43</v>
      </c>
      <c r="G672">
        <v>-147.07409999999999</v>
      </c>
      <c r="H672">
        <v>-0.05</v>
      </c>
      <c r="I672">
        <v>367.79860000000002</v>
      </c>
      <c r="J672">
        <v>-311.2466</v>
      </c>
      <c r="K672">
        <v>1.073766</v>
      </c>
      <c r="L672">
        <v>367.44729999999998</v>
      </c>
      <c r="M672">
        <v>0.99985639999999998</v>
      </c>
      <c r="N672">
        <v>-1.6944310000000001E-2</v>
      </c>
      <c r="O672">
        <v>-3.4246580000000002E-4</v>
      </c>
      <c r="P672">
        <v>0.99408909999999995</v>
      </c>
      <c r="Q672">
        <v>-0.10768759999999999</v>
      </c>
      <c r="R672">
        <v>-1.380383E-2</v>
      </c>
      <c r="S672">
        <v>3.0159609999999999</v>
      </c>
      <c r="T672">
        <v>-2.0614150000000001E-2</v>
      </c>
      <c r="U672">
        <v>6.4392090000000004E-3</v>
      </c>
      <c r="V672">
        <v>1.3459580000000001E-2</v>
      </c>
      <c r="W672">
        <v>-9.0828450000000005E-2</v>
      </c>
      <c r="X672">
        <v>0.99577559999999998</v>
      </c>
      <c r="Y672">
        <v>-2.4773350000000002E-3</v>
      </c>
      <c r="Z672" s="1">
        <v>2.5994330000000002E-5</v>
      </c>
      <c r="AA672">
        <v>0.99999700000000002</v>
      </c>
      <c r="AB672">
        <v>33</v>
      </c>
      <c r="AC672">
        <v>164.17250000000001</v>
      </c>
      <c r="AD672">
        <v>-1.123766</v>
      </c>
      <c r="AE672">
        <v>0.35130000000003703</v>
      </c>
      <c r="AF672">
        <v>-0.40751242380694902</v>
      </c>
      <c r="AG672">
        <v>-1.123766</v>
      </c>
      <c r="AH672">
        <v>164.16467823200401</v>
      </c>
      <c r="AI672">
        <v>90.392202790592705</v>
      </c>
      <c r="AJ672">
        <v>90.142227270059095</v>
      </c>
      <c r="AK672">
        <v>164.16903025667099</v>
      </c>
      <c r="AL672">
        <v>95.211268957758904</v>
      </c>
      <c r="AM672">
        <v>89.225598449775106</v>
      </c>
      <c r="AN672">
        <v>1.00000000658926</v>
      </c>
    </row>
    <row r="673" spans="1:40" x14ac:dyDescent="0.25">
      <c r="A673" t="str">
        <f>"20190303154431349"</f>
        <v>20190303154431349</v>
      </c>
      <c r="B673" t="str">
        <f>"1551599071340804"</f>
        <v>1551599071340804</v>
      </c>
      <c r="C673" t="s">
        <v>40</v>
      </c>
      <c r="D673">
        <v>4.5005169999999897</v>
      </c>
      <c r="E673">
        <v>0.49506359999999999</v>
      </c>
      <c r="F673" t="s">
        <v>48</v>
      </c>
      <c r="G673">
        <v>-158.78319999999999</v>
      </c>
      <c r="H673">
        <v>0.24644820000000001</v>
      </c>
      <c r="I673">
        <v>367.60469999999998</v>
      </c>
      <c r="J673">
        <v>-310.92630000000003</v>
      </c>
      <c r="K673">
        <v>1.0733010000000001</v>
      </c>
      <c r="L673">
        <v>367.44720000000001</v>
      </c>
      <c r="M673">
        <v>0.99986120000000001</v>
      </c>
      <c r="N673">
        <v>-1.6658780000000002E-2</v>
      </c>
      <c r="O673">
        <v>-3.4232570000000001E-4</v>
      </c>
      <c r="P673">
        <v>0.99413929999999995</v>
      </c>
      <c r="Q673">
        <v>-0.1071433</v>
      </c>
      <c r="R673">
        <v>-1.440965E-2</v>
      </c>
      <c r="S673">
        <v>3.0161129999999998</v>
      </c>
      <c r="T673">
        <v>-1.6364690000000001E-2</v>
      </c>
      <c r="U673">
        <v>3.112793E-3</v>
      </c>
      <c r="V673">
        <v>1.4065619999999999E-2</v>
      </c>
      <c r="W673">
        <v>-9.0567830000000002E-2</v>
      </c>
      <c r="X673">
        <v>0.99579099999999998</v>
      </c>
      <c r="Y673">
        <v>-1.37432299999999E-3</v>
      </c>
      <c r="Z673" s="1">
        <v>1.1330909999999999E-5</v>
      </c>
      <c r="AA673">
        <v>0.99999899999999997</v>
      </c>
      <c r="AB673">
        <v>33</v>
      </c>
      <c r="AC673">
        <v>152.1431</v>
      </c>
      <c r="AD673">
        <v>-0.82685280000000005</v>
      </c>
      <c r="AE673">
        <v>0.15749999999997</v>
      </c>
      <c r="AF673">
        <v>-0.20958352072213099</v>
      </c>
      <c r="AG673">
        <v>-0.82685280000000005</v>
      </c>
      <c r="AH673">
        <v>152.13854359786501</v>
      </c>
      <c r="AI673">
        <v>90.311391598753005</v>
      </c>
      <c r="AJ673">
        <v>90.078929660510298</v>
      </c>
      <c r="AK673">
        <v>152.14093485608899</v>
      </c>
      <c r="AL673">
        <v>95.196274534007202</v>
      </c>
      <c r="AM673">
        <v>89.190746781695196</v>
      </c>
      <c r="AN673">
        <v>1.0000000445889401</v>
      </c>
    </row>
    <row r="674" spans="1:40" x14ac:dyDescent="0.25">
      <c r="A674" t="str">
        <f>"20190303154431372"</f>
        <v>20190303154431372</v>
      </c>
      <c r="B674" t="str">
        <f>"1551599071361299"</f>
        <v>1551599071361299</v>
      </c>
      <c r="C674" t="s">
        <v>40</v>
      </c>
      <c r="D674">
        <v>4.5726889999999996</v>
      </c>
      <c r="E674">
        <v>0.49497819999999998</v>
      </c>
      <c r="F674" t="s">
        <v>48</v>
      </c>
      <c r="G674">
        <v>-158.78319999999999</v>
      </c>
      <c r="H674">
        <v>0.4152383</v>
      </c>
      <c r="I674">
        <v>367.43490000000003</v>
      </c>
      <c r="J674">
        <v>-310.58449999999999</v>
      </c>
      <c r="K674">
        <v>1.0728789999999999</v>
      </c>
      <c r="L674">
        <v>367.44709999999998</v>
      </c>
      <c r="M674">
        <v>0.99986569999999997</v>
      </c>
      <c r="N674">
        <v>-1.6386520000000002E-2</v>
      </c>
      <c r="O674">
        <v>-3.4233540000000001E-4</v>
      </c>
      <c r="P674">
        <v>0.9942088</v>
      </c>
      <c r="Q674">
        <v>-0.106461</v>
      </c>
      <c r="R674">
        <v>-1.465851E-2</v>
      </c>
      <c r="S674">
        <v>3.0162960000000001</v>
      </c>
      <c r="T674">
        <v>-1.30446E-2</v>
      </c>
      <c r="U674">
        <v>-2.4414059999999999E-4</v>
      </c>
      <c r="V674">
        <v>1.4314540000000001E-2</v>
      </c>
      <c r="W674">
        <v>-9.0155559999999996E-2</v>
      </c>
      <c r="X674">
        <v>0.99582479999999995</v>
      </c>
      <c r="Y674">
        <v>-2.6140430000000001E-4</v>
      </c>
      <c r="Z674" s="1">
        <v>-1.4224529999999999E-6</v>
      </c>
      <c r="AA674">
        <v>0.99999990000000005</v>
      </c>
      <c r="AB674">
        <v>33</v>
      </c>
      <c r="AC674">
        <v>151.8013</v>
      </c>
      <c r="AD674">
        <v>-0.65764069999999997</v>
      </c>
      <c r="AE674">
        <v>-1.21999999999502E-2</v>
      </c>
      <c r="AF674">
        <v>-3.9773190047162101E-2</v>
      </c>
      <c r="AG674">
        <v>-0.65764069999999997</v>
      </c>
      <c r="AH674">
        <v>151.79844627134199</v>
      </c>
      <c r="AI674">
        <v>90.248222563808298</v>
      </c>
      <c r="AJ674">
        <v>90.015012247696205</v>
      </c>
      <c r="AK674">
        <v>151.79987603285599</v>
      </c>
      <c r="AL674">
        <v>95.172556498704594</v>
      </c>
      <c r="AM674">
        <v>89.176455290952106</v>
      </c>
      <c r="AN674">
        <v>0.99999998167468196</v>
      </c>
    </row>
    <row r="675" spans="1:40" x14ac:dyDescent="0.25">
      <c r="A675" t="str">
        <f>"20190303154431395"</f>
        <v>20190303154431395</v>
      </c>
      <c r="B675" t="str">
        <f>"1551599071391391"</f>
        <v>1551599071391391</v>
      </c>
      <c r="C675" t="s">
        <v>40</v>
      </c>
      <c r="D675">
        <v>4.499606</v>
      </c>
      <c r="E675">
        <v>0.49501270000000003</v>
      </c>
      <c r="F675" t="s">
        <v>48</v>
      </c>
      <c r="G675">
        <v>-158.78319999999999</v>
      </c>
      <c r="H675">
        <v>0.38734039999999997</v>
      </c>
      <c r="I675">
        <v>367.43639999999999</v>
      </c>
      <c r="J675">
        <v>-310.26249999999999</v>
      </c>
      <c r="K675">
        <v>1.0725469999999999</v>
      </c>
      <c r="L675">
        <v>367.447</v>
      </c>
      <c r="M675">
        <v>0.99986929999999996</v>
      </c>
      <c r="N675">
        <v>-1.6157950000000001E-2</v>
      </c>
      <c r="O675">
        <v>-3.422589E-4</v>
      </c>
      <c r="P675">
        <v>0.99425249999999998</v>
      </c>
      <c r="Q675">
        <v>-0.1060224</v>
      </c>
      <c r="R675">
        <v>-1.4868330000000001E-2</v>
      </c>
      <c r="S675">
        <v>3.0160520000000002</v>
      </c>
      <c r="T675">
        <v>-1.361883E-2</v>
      </c>
      <c r="U675">
        <v>-2.13623E-4</v>
      </c>
      <c r="V675">
        <v>1.4524489999999999E-2</v>
      </c>
      <c r="W675">
        <v>-8.9943980000000007E-2</v>
      </c>
      <c r="X675">
        <v>0.99584090000000003</v>
      </c>
      <c r="Y675">
        <v>-2.7143909999999998E-4</v>
      </c>
      <c r="Z675" s="1">
        <v>-1.179219E-6</v>
      </c>
      <c r="AA675">
        <v>0.99999990000000005</v>
      </c>
      <c r="AB675">
        <v>33</v>
      </c>
      <c r="AC675">
        <v>151.47929999999999</v>
      </c>
      <c r="AD675">
        <v>-0.685206599999999</v>
      </c>
      <c r="AE675">
        <v>-1.05999999999539E-2</v>
      </c>
      <c r="AF675">
        <v>-4.12510691625513E-2</v>
      </c>
      <c r="AG675">
        <v>-0.685206599999999</v>
      </c>
      <c r="AH675">
        <v>151.476195330651</v>
      </c>
      <c r="AI675">
        <v>90.259177205744507</v>
      </c>
      <c r="AJ675">
        <v>90.015603191642299</v>
      </c>
      <c r="AK675">
        <v>151.47775071469999</v>
      </c>
      <c r="AL675">
        <v>95.160384366361498</v>
      </c>
      <c r="AM675">
        <v>89.164391646987298</v>
      </c>
      <c r="AN675">
        <v>0.99999998923040501</v>
      </c>
    </row>
    <row r="676" spans="1:40" x14ac:dyDescent="0.25">
      <c r="A676" t="str">
        <f>"20190303154431418"</f>
        <v>20190303154431418</v>
      </c>
      <c r="B676" t="str">
        <f>"1551599071410913"</f>
        <v>1551599071410913</v>
      </c>
      <c r="C676" t="s">
        <v>40</v>
      </c>
      <c r="D676">
        <v>4.5022159999999998</v>
      </c>
      <c r="E676">
        <v>0.49509140000000001</v>
      </c>
      <c r="F676" t="s">
        <v>48</v>
      </c>
      <c r="G676">
        <v>-158.19499999999999</v>
      </c>
      <c r="H676">
        <v>0.34829700000000002</v>
      </c>
      <c r="I676">
        <v>367.39929999999998</v>
      </c>
      <c r="J676">
        <v>-309.9332</v>
      </c>
      <c r="K676">
        <v>1.0722590000000001</v>
      </c>
      <c r="L676">
        <v>367.44690000000003</v>
      </c>
      <c r="M676">
        <v>0.99987289999999995</v>
      </c>
      <c r="N676">
        <v>-1.594947E-2</v>
      </c>
      <c r="O676">
        <v>-3.4224979999999998E-4</v>
      </c>
      <c r="P676">
        <v>0.99427109999999996</v>
      </c>
      <c r="Q676">
        <v>-0.1058796</v>
      </c>
      <c r="R676">
        <v>-1.4660670000000001E-2</v>
      </c>
      <c r="S676">
        <v>3.0158079999999998</v>
      </c>
      <c r="T676">
        <v>-1.436162E-2</v>
      </c>
      <c r="U676">
        <v>-9.4604490000000003E-4</v>
      </c>
      <c r="V676">
        <v>1.431662E-2</v>
      </c>
      <c r="W676">
        <v>-9.0008569999999996E-2</v>
      </c>
      <c r="X676">
        <v>0.99583809999999995</v>
      </c>
      <c r="Y676" s="1">
        <v>-2.857515E-5</v>
      </c>
      <c r="Z676" s="1">
        <v>-3.5333600000000001E-6</v>
      </c>
      <c r="AA676">
        <v>1</v>
      </c>
      <c r="AB676">
        <v>33</v>
      </c>
      <c r="AC676">
        <v>151.73820000000001</v>
      </c>
      <c r="AD676">
        <v>-0.72396199999999999</v>
      </c>
      <c r="AE676">
        <v>-4.7600000000045301E-2</v>
      </c>
      <c r="AF676">
        <v>-4.33887102273719E-3</v>
      </c>
      <c r="AG676">
        <v>-0.72396199999999999</v>
      </c>
      <c r="AH676">
        <v>151.734753369196</v>
      </c>
      <c r="AI676">
        <v>90.273369491397702</v>
      </c>
      <c r="AJ676">
        <v>90.001638378761996</v>
      </c>
      <c r="AK676">
        <v>151.736480517422</v>
      </c>
      <c r="AL676">
        <v>95.164100039804396</v>
      </c>
      <c r="AM676">
        <v>89.176346639794303</v>
      </c>
      <c r="AN676">
        <v>1.0000000148466299</v>
      </c>
    </row>
    <row r="677" spans="1:40" x14ac:dyDescent="0.25">
      <c r="A677" t="str">
        <f>"20190303154431449"</f>
        <v>20190303154431449</v>
      </c>
      <c r="B677" t="str">
        <f>"1551599071441180"</f>
        <v>1551599071441180</v>
      </c>
      <c r="C677" t="s">
        <v>40</v>
      </c>
      <c r="D677">
        <v>4.5061660000000003</v>
      </c>
      <c r="E677">
        <v>0.49520570000000003</v>
      </c>
      <c r="F677" t="s">
        <v>48</v>
      </c>
      <c r="G677">
        <v>-158.78319999999999</v>
      </c>
      <c r="H677">
        <v>0.40788869999999999</v>
      </c>
      <c r="I677">
        <v>367.40260000000001</v>
      </c>
      <c r="J677">
        <v>-309.46039999999999</v>
      </c>
      <c r="K677">
        <v>1.071933</v>
      </c>
      <c r="L677">
        <v>367.44670000000002</v>
      </c>
      <c r="M677">
        <v>0.99987689999999996</v>
      </c>
      <c r="N677">
        <v>-1.5691690000000001E-2</v>
      </c>
      <c r="O677">
        <v>-3.4163530000000001E-4</v>
      </c>
      <c r="P677">
        <v>0.99427739999999998</v>
      </c>
      <c r="Q677">
        <v>-0.10586</v>
      </c>
      <c r="R677">
        <v>-1.4362349999999999E-2</v>
      </c>
      <c r="S677">
        <v>3.0158390000000002</v>
      </c>
      <c r="T677">
        <v>-1.3254169999999999E-2</v>
      </c>
      <c r="U677">
        <v>-8.8500979999999905E-4</v>
      </c>
      <c r="V677">
        <v>1.4018950000000001E-2</v>
      </c>
      <c r="W677">
        <v>-9.0245510000000001E-2</v>
      </c>
      <c r="X677">
        <v>0.99582090000000001</v>
      </c>
      <c r="Y677" s="1">
        <v>-4.819952E-5</v>
      </c>
      <c r="Z677" s="1">
        <v>-3.3756919999999999E-6</v>
      </c>
      <c r="AA677">
        <v>1</v>
      </c>
      <c r="AB677">
        <v>33</v>
      </c>
      <c r="AC677">
        <v>150.6772</v>
      </c>
      <c r="AD677">
        <v>-0.66404430000000003</v>
      </c>
      <c r="AE677">
        <v>-4.4100000000014399E-2</v>
      </c>
      <c r="AF677">
        <v>-7.3828441587461199E-3</v>
      </c>
      <c r="AG677">
        <v>-0.66404430000000003</v>
      </c>
      <c r="AH677">
        <v>150.67427984288199</v>
      </c>
      <c r="AI677">
        <v>90.252509515680401</v>
      </c>
      <c r="AJ677">
        <v>90.002807418832205</v>
      </c>
      <c r="AK677">
        <v>150.67574328839299</v>
      </c>
      <c r="AL677">
        <v>95.177731129290393</v>
      </c>
      <c r="AM677">
        <v>89.193455758661003</v>
      </c>
      <c r="AN677">
        <v>1.00000002395553</v>
      </c>
    </row>
    <row r="678" spans="1:40" x14ac:dyDescent="0.25">
      <c r="A678" t="str">
        <f>"20190303154431472"</f>
        <v>20190303154431472</v>
      </c>
      <c r="B678" t="str">
        <f>"1551599071460687"</f>
        <v>1551599071460687</v>
      </c>
      <c r="C678" t="s">
        <v>40</v>
      </c>
      <c r="D678">
        <v>4.554513</v>
      </c>
      <c r="E678">
        <v>0.4952685</v>
      </c>
      <c r="F678" t="s">
        <v>48</v>
      </c>
      <c r="G678">
        <v>-158.19499999999999</v>
      </c>
      <c r="H678">
        <v>0.41267510000000002</v>
      </c>
      <c r="I678">
        <v>367.39170000000001</v>
      </c>
      <c r="J678">
        <v>-309.13560000000001</v>
      </c>
      <c r="K678">
        <v>1.071753</v>
      </c>
      <c r="L678">
        <v>367.44659999999999</v>
      </c>
      <c r="M678">
        <v>0.99987919999999997</v>
      </c>
      <c r="N678">
        <v>-1.553827E-2</v>
      </c>
      <c r="O678">
        <v>-3.4150640000000002E-4</v>
      </c>
      <c r="P678">
        <v>0.99426239999999999</v>
      </c>
      <c r="Q678">
        <v>-0.1060908</v>
      </c>
      <c r="R678">
        <v>-1.367759E-2</v>
      </c>
      <c r="S678">
        <v>3.0158390000000002</v>
      </c>
      <c r="T678">
        <v>-1.314211E-2</v>
      </c>
      <c r="U678">
        <v>-1.0986329999999999E-3</v>
      </c>
      <c r="V678">
        <v>1.333427E-2</v>
      </c>
      <c r="W678">
        <v>-9.0629379999999995E-2</v>
      </c>
      <c r="X678">
        <v>0.9957954</v>
      </c>
      <c r="Y678" s="1">
        <v>2.2760339999999999E-5</v>
      </c>
      <c r="Z678" s="1">
        <v>-4.0450630000000001E-6</v>
      </c>
      <c r="AA678">
        <v>1</v>
      </c>
      <c r="AB678">
        <v>33</v>
      </c>
      <c r="AC678">
        <v>150.94059999999999</v>
      </c>
      <c r="AD678">
        <v>-0.65907789999999999</v>
      </c>
      <c r="AE678">
        <v>-5.4899999999974997E-2</v>
      </c>
      <c r="AF678">
        <v>3.3465274280387101E-3</v>
      </c>
      <c r="AG678">
        <v>-0.65907789999999999</v>
      </c>
      <c r="AH678">
        <v>150.93773215687099</v>
      </c>
      <c r="AI678">
        <v>90.250183578960403</v>
      </c>
      <c r="AJ678">
        <v>89.998729662259507</v>
      </c>
      <c r="AK678">
        <v>150.939171137041</v>
      </c>
      <c r="AL678">
        <v>95.199815973259405</v>
      </c>
      <c r="AM678">
        <v>89.232822590530901</v>
      </c>
      <c r="AN678">
        <v>0.99999998296838799</v>
      </c>
    </row>
    <row r="679" spans="1:40" x14ac:dyDescent="0.25">
      <c r="A679" t="str">
        <f>"20190303154431495"</f>
        <v>20190303154431495</v>
      </c>
      <c r="B679" t="str">
        <f>"1551599071490805"</f>
        <v>1551599071490805</v>
      </c>
      <c r="C679" t="s">
        <v>40</v>
      </c>
      <c r="D679">
        <v>4.5765580000000003</v>
      </c>
      <c r="E679">
        <v>0.49538270000000001</v>
      </c>
      <c r="F679" t="s">
        <v>48</v>
      </c>
      <c r="G679">
        <v>-158.78319999999999</v>
      </c>
      <c r="H679">
        <v>0.37836890000000001</v>
      </c>
      <c r="I679">
        <v>367.45119999999997</v>
      </c>
      <c r="J679">
        <v>-308.79770000000002</v>
      </c>
      <c r="K679">
        <v>1.0715920000000001</v>
      </c>
      <c r="L679">
        <v>367.44650000000001</v>
      </c>
      <c r="M679">
        <v>0.99988149999999998</v>
      </c>
      <c r="N679">
        <v>-1.539687E-2</v>
      </c>
      <c r="O679">
        <v>-3.4136270000000002E-4</v>
      </c>
      <c r="P679">
        <v>0.99423870000000003</v>
      </c>
      <c r="Q679">
        <v>-0.1063214</v>
      </c>
      <c r="R679">
        <v>-1.36158999999999E-2</v>
      </c>
      <c r="S679">
        <v>3.0158689999999999</v>
      </c>
      <c r="T679">
        <v>-1.39066E-2</v>
      </c>
      <c r="U679" s="1">
        <v>9.1552730000000004E-5</v>
      </c>
      <c r="V679">
        <v>1.3272799999999901E-2</v>
      </c>
      <c r="W679">
        <v>-9.1001079999999998E-2</v>
      </c>
      <c r="X679">
        <v>0.99576229999999999</v>
      </c>
      <c r="Y679">
        <v>-3.7172319999999998E-4</v>
      </c>
      <c r="Z679" s="1">
        <v>3.6720389999999999E-8</v>
      </c>
      <c r="AA679">
        <v>0.99999990000000005</v>
      </c>
      <c r="AB679">
        <v>33</v>
      </c>
      <c r="AC679">
        <v>150.0145</v>
      </c>
      <c r="AD679">
        <v>-0.69322309999999998</v>
      </c>
      <c r="AE679">
        <v>4.6999999999570701E-3</v>
      </c>
      <c r="AF679">
        <v>-5.5914226534867301E-2</v>
      </c>
      <c r="AG679">
        <v>-0.69322309999999998</v>
      </c>
      <c r="AH679">
        <v>150.01128630936799</v>
      </c>
      <c r="AI679">
        <v>90.264769894201294</v>
      </c>
      <c r="AJ679">
        <v>90.021356053438595</v>
      </c>
      <c r="AK679">
        <v>150.01289846162601</v>
      </c>
      <c r="AL679">
        <v>95.221201299162502</v>
      </c>
      <c r="AM679">
        <v>89.236333420867794</v>
      </c>
      <c r="AN679">
        <v>0.99999996094114696</v>
      </c>
    </row>
    <row r="680" spans="1:40" x14ac:dyDescent="0.25">
      <c r="A680" t="str">
        <f>"20190303154431518"</f>
        <v>20190303154431518</v>
      </c>
      <c r="B680" t="str">
        <f>"1551599071511301"</f>
        <v>1551599071511301</v>
      </c>
      <c r="C680" t="s">
        <v>40</v>
      </c>
      <c r="D680">
        <v>4.6087470000000001</v>
      </c>
      <c r="E680">
        <v>0.49541550000000001</v>
      </c>
      <c r="F680" t="s">
        <v>48</v>
      </c>
      <c r="G680">
        <v>-158.78319999999999</v>
      </c>
      <c r="H680">
        <v>0.32960509999999998</v>
      </c>
      <c r="I680">
        <v>367.42380000000003</v>
      </c>
      <c r="J680">
        <v>-308.47370000000001</v>
      </c>
      <c r="K680">
        <v>1.071469</v>
      </c>
      <c r="L680">
        <v>367.44639999999998</v>
      </c>
      <c r="M680">
        <v>0.99988339999999998</v>
      </c>
      <c r="N680">
        <v>-1.5276949999999999E-2</v>
      </c>
      <c r="O680">
        <v>-3.4139359999999999E-4</v>
      </c>
      <c r="P680">
        <v>0.99419139999999995</v>
      </c>
      <c r="Q680">
        <v>-0.1067462</v>
      </c>
      <c r="R680">
        <v>-1.3742910000000001E-2</v>
      </c>
      <c r="S680">
        <v>3.015717</v>
      </c>
      <c r="T680">
        <v>-1.491427E-2</v>
      </c>
      <c r="U680">
        <v>-4.577637E-4</v>
      </c>
      <c r="V680">
        <v>1.339983E-2</v>
      </c>
      <c r="W680">
        <v>-9.1546000000000002E-2</v>
      </c>
      <c r="X680">
        <v>0.99571069999999995</v>
      </c>
      <c r="Y680">
        <v>-1.896131E-4</v>
      </c>
      <c r="Z680" s="1">
        <v>-1.6101269999999999E-6</v>
      </c>
      <c r="AA680">
        <v>1</v>
      </c>
      <c r="AB680">
        <v>33</v>
      </c>
      <c r="AC680">
        <v>149.69049999999999</v>
      </c>
      <c r="AD680">
        <v>-0.74186390000000002</v>
      </c>
      <c r="AE680">
        <v>-2.25999999999544E-2</v>
      </c>
      <c r="AF680">
        <v>-2.85086361448031E-2</v>
      </c>
      <c r="AG680">
        <v>-0.74186390000000002</v>
      </c>
      <c r="AH680">
        <v>149.68682241509299</v>
      </c>
      <c r="AI680">
        <v>90.283961680589897</v>
      </c>
      <c r="AJ680">
        <v>90.010912279950006</v>
      </c>
      <c r="AK680">
        <v>149.688663496993</v>
      </c>
      <c r="AL680">
        <v>95.252553518642898</v>
      </c>
      <c r="AM680">
        <v>89.228985525588797</v>
      </c>
      <c r="AN680">
        <v>1.0000000118272501</v>
      </c>
    </row>
    <row r="681" spans="1:40" x14ac:dyDescent="0.25">
      <c r="A681" t="str">
        <f>"20190303154431539"</f>
        <v>20190303154431539</v>
      </c>
      <c r="B681" t="str">
        <f>"1551599071530821"</f>
        <v>1551599071530821</v>
      </c>
      <c r="C681" t="s">
        <v>40</v>
      </c>
      <c r="D681">
        <v>4.6329190000000002</v>
      </c>
      <c r="E681">
        <v>0.49550830000000001</v>
      </c>
      <c r="F681" t="s">
        <v>48</v>
      </c>
      <c r="G681">
        <v>-158.19499999999999</v>
      </c>
      <c r="H681">
        <v>0.2292352</v>
      </c>
      <c r="I681">
        <v>367.38869999999997</v>
      </c>
      <c r="J681">
        <v>-308.1619</v>
      </c>
      <c r="K681">
        <v>1.0713699999999999</v>
      </c>
      <c r="L681">
        <v>367.44639999999998</v>
      </c>
      <c r="M681">
        <v>0.99988480000000002</v>
      </c>
      <c r="N681">
        <v>-1.5174689999999999E-2</v>
      </c>
      <c r="O681">
        <v>-3.412086E-4</v>
      </c>
      <c r="P681">
        <v>0.99419219999999997</v>
      </c>
      <c r="Q681">
        <v>-0.10668080000000001</v>
      </c>
      <c r="R681">
        <v>-1.418968E-2</v>
      </c>
      <c r="S681">
        <v>3.0156860000000001</v>
      </c>
      <c r="T681">
        <v>-1.6899589999999999E-2</v>
      </c>
      <c r="U681">
        <v>-1.159668E-3</v>
      </c>
      <c r="V681">
        <v>1.3846819999999999E-2</v>
      </c>
      <c r="W681">
        <v>-9.1582430000000006E-2</v>
      </c>
      <c r="X681">
        <v>0.99570119999999895</v>
      </c>
      <c r="Y681" s="1">
        <v>4.3310489999999997E-5</v>
      </c>
      <c r="Z681" s="1">
        <v>-3.7160149999999999E-6</v>
      </c>
      <c r="AA681">
        <v>1</v>
      </c>
      <c r="AB681">
        <v>32</v>
      </c>
      <c r="AC681">
        <v>149.96690000000001</v>
      </c>
      <c r="AD681">
        <v>-0.84213479999999996</v>
      </c>
      <c r="AE681">
        <v>-5.7700000000011097E-2</v>
      </c>
      <c r="AF681">
        <v>6.5239024405556898E-3</v>
      </c>
      <c r="AG681">
        <v>-0.84213479999999996</v>
      </c>
      <c r="AH681">
        <v>149.96218212397</v>
      </c>
      <c r="AI681">
        <v>90.3217495364337</v>
      </c>
      <c r="AJ681">
        <v>89.997507424403494</v>
      </c>
      <c r="AK681">
        <v>149.96454681345699</v>
      </c>
      <c r="AL681">
        <v>95.254649788507805</v>
      </c>
      <c r="AM681">
        <v>89.203261773957394</v>
      </c>
      <c r="AN681">
        <v>0.99999997779512795</v>
      </c>
    </row>
    <row r="682" spans="1:40" x14ac:dyDescent="0.25">
      <c r="A682" t="str">
        <f>"20190303154431561"</f>
        <v>20190303154431561</v>
      </c>
      <c r="B682" t="str">
        <f>"1551599071551317"</f>
        <v>1551599071551317</v>
      </c>
      <c r="C682" t="s">
        <v>40</v>
      </c>
      <c r="D682">
        <v>4.6396759999999997</v>
      </c>
      <c r="E682">
        <v>0.49562729999999999</v>
      </c>
      <c r="F682" t="s">
        <v>48</v>
      </c>
      <c r="G682">
        <v>-158.19499999999999</v>
      </c>
      <c r="H682">
        <v>0.2327794</v>
      </c>
      <c r="I682">
        <v>367.29770000000002</v>
      </c>
      <c r="J682">
        <v>-307.84019999999998</v>
      </c>
      <c r="K682">
        <v>1.0712900000000001</v>
      </c>
      <c r="L682">
        <v>367.44619999999998</v>
      </c>
      <c r="M682">
        <v>0.99988619999999995</v>
      </c>
      <c r="N682">
        <v>-1.508075E-2</v>
      </c>
      <c r="O682">
        <v>-3.4097259999999998E-4</v>
      </c>
      <c r="P682">
        <v>0.99421669999999995</v>
      </c>
      <c r="Q682">
        <v>-0.106396</v>
      </c>
      <c r="R682">
        <v>-1.459392E-2</v>
      </c>
      <c r="S682">
        <v>3.0156860000000001</v>
      </c>
      <c r="T682">
        <v>-1.6861439999999998E-2</v>
      </c>
      <c r="U682">
        <v>-2.9907229999999998E-3</v>
      </c>
      <c r="V682">
        <v>1.425127E-2</v>
      </c>
      <c r="W682">
        <v>-9.1390849999999996E-2</v>
      </c>
      <c r="X682">
        <v>0.99571310000000002</v>
      </c>
      <c r="Y682">
        <v>6.5068809999999999E-4</v>
      </c>
      <c r="Z682" s="1">
        <v>-9.961959E-6</v>
      </c>
      <c r="AA682">
        <v>0.99999979999999999</v>
      </c>
      <c r="AB682">
        <v>32</v>
      </c>
      <c r="AC682">
        <v>149.64519999999999</v>
      </c>
      <c r="AD682">
        <v>-0.838510599999999</v>
      </c>
      <c r="AE682">
        <v>-0.148499999999955</v>
      </c>
      <c r="AF682">
        <v>9.7466213947667593E-2</v>
      </c>
      <c r="AG682">
        <v>-0.838510599999999</v>
      </c>
      <c r="AH682">
        <v>149.64054364308399</v>
      </c>
      <c r="AI682">
        <v>90.321053400821896</v>
      </c>
      <c r="AJ682">
        <v>89.962681224094297</v>
      </c>
      <c r="AK682">
        <v>149.6429246623</v>
      </c>
      <c r="AL682">
        <v>95.243626814643093</v>
      </c>
      <c r="AM682">
        <v>89.180002880053806</v>
      </c>
      <c r="AN682">
        <v>0.99999998183597205</v>
      </c>
    </row>
    <row r="683" spans="1:40" x14ac:dyDescent="0.25">
      <c r="A683" t="str">
        <f>"20190303154431584"</f>
        <v>20190303154431584</v>
      </c>
      <c r="B683" t="str">
        <f>"1551599071580597"</f>
        <v>1551599071580597</v>
      </c>
      <c r="C683" t="s">
        <v>40</v>
      </c>
      <c r="D683">
        <v>4.6667339999999999</v>
      </c>
      <c r="E683">
        <v>0.49567860000000002</v>
      </c>
      <c r="F683" t="s">
        <v>48</v>
      </c>
      <c r="G683">
        <v>-158.19499999999999</v>
      </c>
      <c r="H683">
        <v>0.26183519999999999</v>
      </c>
      <c r="I683">
        <v>367.1918</v>
      </c>
      <c r="J683">
        <v>-307.5127</v>
      </c>
      <c r="K683">
        <v>1.0712170000000001</v>
      </c>
      <c r="L683">
        <v>367.4461</v>
      </c>
      <c r="M683">
        <v>0.99988759999999999</v>
      </c>
      <c r="N683">
        <v>-1.499732E-2</v>
      </c>
      <c r="O683">
        <v>-3.4105870000000001E-4</v>
      </c>
      <c r="P683">
        <v>0.99424610000000002</v>
      </c>
      <c r="Q683">
        <v>-0.1061047</v>
      </c>
      <c r="R683">
        <v>-1.4721969999999999E-2</v>
      </c>
      <c r="S683">
        <v>3.015625</v>
      </c>
      <c r="T683">
        <v>-1.6310209999999999E-2</v>
      </c>
      <c r="U683">
        <v>-5.1269530000000001E-3</v>
      </c>
      <c r="V683">
        <v>1.437926E-2</v>
      </c>
      <c r="W683">
        <v>-9.1182219999999994E-2</v>
      </c>
      <c r="X683">
        <v>0.99573040000000002</v>
      </c>
      <c r="Y683">
        <v>1.3589710000000001E-3</v>
      </c>
      <c r="Z683" s="1">
        <v>-1.7137030000000001E-5</v>
      </c>
      <c r="AA683">
        <v>0.99999910000000003</v>
      </c>
      <c r="AB683">
        <v>32</v>
      </c>
      <c r="AC683">
        <v>149.3177</v>
      </c>
      <c r="AD683">
        <v>-0.80938180000000004</v>
      </c>
      <c r="AE683">
        <v>-0.25430000000000003</v>
      </c>
      <c r="AF683">
        <v>0.203362187572387</v>
      </c>
      <c r="AG683">
        <v>-0.80938180000000004</v>
      </c>
      <c r="AH683">
        <v>149.313390911688</v>
      </c>
      <c r="AI683">
        <v>90.310579403837295</v>
      </c>
      <c r="AJ683">
        <v>89.9219642137612</v>
      </c>
      <c r="AK683">
        <v>149.31572308576199</v>
      </c>
      <c r="AL683">
        <v>95.231623007665505</v>
      </c>
      <c r="AM683">
        <v>89.172653915507297</v>
      </c>
      <c r="AN683">
        <v>0.99999999492321801</v>
      </c>
    </row>
    <row r="684" spans="1:40" x14ac:dyDescent="0.25">
      <c r="A684" t="str">
        <f>"20190303154431606"</f>
        <v>20190303154431606</v>
      </c>
      <c r="B684" t="str">
        <f>"1551599071601093"</f>
        <v>1551599071601093</v>
      </c>
      <c r="C684" t="s">
        <v>40</v>
      </c>
      <c r="D684">
        <v>4.6824810000000001</v>
      </c>
      <c r="E684">
        <v>0.4956913</v>
      </c>
      <c r="F684" t="s">
        <v>48</v>
      </c>
      <c r="G684">
        <v>-158.19499999999999</v>
      </c>
      <c r="H684">
        <v>0.27734239999999999</v>
      </c>
      <c r="I684">
        <v>367.15750000000003</v>
      </c>
      <c r="J684">
        <v>-307.18740000000003</v>
      </c>
      <c r="K684">
        <v>1.0711599999999999</v>
      </c>
      <c r="L684">
        <v>367.44600000000003</v>
      </c>
      <c r="M684">
        <v>0.99988869999999996</v>
      </c>
      <c r="N684">
        <v>-1.4923850000000001E-2</v>
      </c>
      <c r="O684">
        <v>-3.4098450000000002E-4</v>
      </c>
      <c r="P684">
        <v>0.9942936</v>
      </c>
      <c r="Q684">
        <v>-0.1057039</v>
      </c>
      <c r="R684">
        <v>-1.439622E-2</v>
      </c>
      <c r="S684">
        <v>3.0155639999999999</v>
      </c>
      <c r="T684">
        <v>-1.6031030000000002E-2</v>
      </c>
      <c r="U684">
        <v>-5.8288569999999998E-3</v>
      </c>
      <c r="V684">
        <v>1.405358E-2</v>
      </c>
      <c r="W684">
        <v>-9.0853879999999998E-2</v>
      </c>
      <c r="X684">
        <v>0.99576509999999996</v>
      </c>
      <c r="Y684">
        <v>1.5918289999999999E-3</v>
      </c>
      <c r="Z684" s="1">
        <v>-1.938667E-5</v>
      </c>
      <c r="AA684">
        <v>0.99999870000000002</v>
      </c>
      <c r="AB684">
        <v>32</v>
      </c>
      <c r="AC684">
        <v>148.9924</v>
      </c>
      <c r="AD684">
        <v>-0.79381760000000001</v>
      </c>
      <c r="AE684">
        <v>-0.28849999999994203</v>
      </c>
      <c r="AF684">
        <v>0.23768348503706699</v>
      </c>
      <c r="AG684">
        <v>-0.79381760000000001</v>
      </c>
      <c r="AH684">
        <v>148.988260468627</v>
      </c>
      <c r="AI684">
        <v>90.305271769633094</v>
      </c>
      <c r="AJ684">
        <v>89.908595154029001</v>
      </c>
      <c r="AK684">
        <v>148.99056479283701</v>
      </c>
      <c r="AL684">
        <v>95.212731903246294</v>
      </c>
      <c r="AM684">
        <v>89.191418372632697</v>
      </c>
      <c r="AN684">
        <v>1.0000000324999301</v>
      </c>
    </row>
    <row r="685" spans="1:40" x14ac:dyDescent="0.25">
      <c r="A685" t="str">
        <f>"20190303154431619"</f>
        <v>20190303154431619</v>
      </c>
      <c r="B685" t="str">
        <f>"1551599071610853"</f>
        <v>1551599071610853</v>
      </c>
      <c r="C685" t="s">
        <v>40</v>
      </c>
      <c r="D685">
        <v>4.7092299999999998</v>
      </c>
      <c r="E685">
        <v>0.49569730000000001</v>
      </c>
      <c r="F685" t="s">
        <v>48</v>
      </c>
      <c r="G685">
        <v>-158.19499999999999</v>
      </c>
      <c r="H685">
        <v>0.31203969999999998</v>
      </c>
      <c r="I685">
        <v>367.20330000000001</v>
      </c>
      <c r="J685">
        <v>-306.99439999999998</v>
      </c>
      <c r="K685">
        <v>1.0711360000000001</v>
      </c>
      <c r="L685">
        <v>367.44600000000003</v>
      </c>
      <c r="M685">
        <v>0.99988940000000004</v>
      </c>
      <c r="N685">
        <v>-1.4883840000000001E-2</v>
      </c>
      <c r="O685">
        <v>-3.4104339999999902E-4</v>
      </c>
      <c r="P685">
        <v>0.99431729999999996</v>
      </c>
      <c r="Q685">
        <v>-0.105545899999999</v>
      </c>
      <c r="R685">
        <v>-1.39057E-2</v>
      </c>
      <c r="S685">
        <v>3.0154719999999999</v>
      </c>
      <c r="T685">
        <v>-1.536214E-2</v>
      </c>
      <c r="U685">
        <v>-4.9133299999999996E-3</v>
      </c>
      <c r="V685">
        <v>1.3563E-2</v>
      </c>
      <c r="W685">
        <v>-9.0735430000000006E-2</v>
      </c>
      <c r="X685">
        <v>0.99578270000000002</v>
      </c>
      <c r="Y685">
        <v>1.2882410000000001E-3</v>
      </c>
      <c r="Z685" s="1">
        <v>-1.6208150000000002E-5</v>
      </c>
      <c r="AA685">
        <v>0.99999919999999998</v>
      </c>
      <c r="AB685">
        <v>32</v>
      </c>
      <c r="AC685">
        <v>148.79939999999999</v>
      </c>
      <c r="AD685">
        <v>-0.75909629999999995</v>
      </c>
      <c r="AE685">
        <v>-0.24269999999995601</v>
      </c>
      <c r="AF685">
        <v>0.191942327002595</v>
      </c>
      <c r="AG685">
        <v>-0.75909629999999995</v>
      </c>
      <c r="AH685">
        <v>148.79560172395901</v>
      </c>
      <c r="AI685">
        <v>90.292297623238696</v>
      </c>
      <c r="AJ685">
        <v>89.926090025378997</v>
      </c>
      <c r="AK685">
        <v>148.79766181444</v>
      </c>
      <c r="AL685">
        <v>95.205917086701206</v>
      </c>
      <c r="AM685">
        <v>89.219654440891901</v>
      </c>
      <c r="AN685">
        <v>1.00000002942278</v>
      </c>
    </row>
    <row r="686" spans="1:40" x14ac:dyDescent="0.25">
      <c r="A686" t="str">
        <f>"20190303154431639"</f>
        <v>20190303154431639</v>
      </c>
      <c r="B686" t="str">
        <f>"1551599071631349"</f>
        <v>1551599071631349</v>
      </c>
      <c r="C686" t="s">
        <v>40</v>
      </c>
      <c r="D686">
        <v>4.6934649999999998</v>
      </c>
      <c r="E686">
        <v>0.49575989999999998</v>
      </c>
      <c r="F686" t="s">
        <v>48</v>
      </c>
      <c r="G686">
        <v>-158.19499999999999</v>
      </c>
      <c r="H686">
        <v>0.32647739999999997</v>
      </c>
      <c r="I686">
        <v>367.26830000000001</v>
      </c>
      <c r="J686">
        <v>-306.7158</v>
      </c>
      <c r="K686">
        <v>1.0710999999999999</v>
      </c>
      <c r="L686">
        <v>367.44589999999999</v>
      </c>
      <c r="M686">
        <v>0.99988999999999995</v>
      </c>
      <c r="N686">
        <v>-1.4831850000000001E-2</v>
      </c>
      <c r="O686">
        <v>-3.4089480000000001E-4</v>
      </c>
      <c r="P686">
        <v>0.99428309999999998</v>
      </c>
      <c r="Q686">
        <v>-0.105897699999999</v>
      </c>
      <c r="R686">
        <v>-1.3680909999999999E-2</v>
      </c>
      <c r="S686">
        <v>3.015533</v>
      </c>
      <c r="T686">
        <v>-1.508927E-2</v>
      </c>
      <c r="U686">
        <v>-3.6010740000000001E-3</v>
      </c>
      <c r="V686">
        <v>1.3338269999999999E-2</v>
      </c>
      <c r="W686">
        <v>-9.1139490000000004E-2</v>
      </c>
      <c r="X686">
        <v>0.99574879999999999</v>
      </c>
      <c r="Y686">
        <v>8.5321609999999999E-4</v>
      </c>
      <c r="Z686" s="1">
        <v>-1.1813229999999999E-5</v>
      </c>
      <c r="AA686">
        <v>0.99999959999999999</v>
      </c>
      <c r="AB686">
        <v>32</v>
      </c>
      <c r="AC686">
        <v>148.52080000000001</v>
      </c>
      <c r="AD686">
        <v>-0.74462259999999902</v>
      </c>
      <c r="AE686">
        <v>-0.17759999999998399</v>
      </c>
      <c r="AF686">
        <v>0.12696126299385299</v>
      </c>
      <c r="AG686">
        <v>-0.74462259999999902</v>
      </c>
      <c r="AH686">
        <v>148.51711878236199</v>
      </c>
      <c r="AI686">
        <v>90.287262233419995</v>
      </c>
      <c r="AJ686">
        <v>89.951020173170306</v>
      </c>
      <c r="AK686">
        <v>148.519039699942</v>
      </c>
      <c r="AL686">
        <v>95.229164525086702</v>
      </c>
      <c r="AM686">
        <v>89.232556571421398</v>
      </c>
      <c r="AN686">
        <v>0.99999999439274601</v>
      </c>
    </row>
    <row r="687" spans="1:40" x14ac:dyDescent="0.25">
      <c r="A687" t="str">
        <f>"20190303154431662"</f>
        <v>20190303154431662</v>
      </c>
      <c r="B687" t="str">
        <f>"1551599071650869"</f>
        <v>1551599071650869</v>
      </c>
      <c r="C687" t="s">
        <v>40</v>
      </c>
      <c r="D687">
        <v>4.8500800000000002</v>
      </c>
      <c r="E687">
        <v>0.51621070000000002</v>
      </c>
      <c r="F687" t="s">
        <v>48</v>
      </c>
      <c r="G687">
        <v>-158.19499999999999</v>
      </c>
      <c r="H687">
        <v>0.2276291</v>
      </c>
      <c r="I687">
        <v>367.29860000000002</v>
      </c>
      <c r="J687">
        <v>-306.38819999999998</v>
      </c>
      <c r="K687">
        <v>1.0710679999999999</v>
      </c>
      <c r="L687">
        <v>367.44580000000002</v>
      </c>
      <c r="M687">
        <v>0.99989090000000003</v>
      </c>
      <c r="N687">
        <v>-1.477699E-2</v>
      </c>
      <c r="O687">
        <v>-3.4072600000000002E-4</v>
      </c>
      <c r="P687">
        <v>0.99429639999999997</v>
      </c>
      <c r="Q687">
        <v>-0.1058601</v>
      </c>
      <c r="R687">
        <v>-1.29897E-2</v>
      </c>
      <c r="S687">
        <v>3.0153810000000001</v>
      </c>
      <c r="T687">
        <v>-1.7122979999999999E-2</v>
      </c>
      <c r="U687">
        <v>-2.9907229999999998E-3</v>
      </c>
      <c r="V687">
        <v>1.264712E-2</v>
      </c>
      <c r="W687">
        <v>-9.1156269999999998E-2</v>
      </c>
      <c r="X687">
        <v>0.99575630000000004</v>
      </c>
      <c r="Y687">
        <v>6.510353E-4</v>
      </c>
      <c r="Z687" s="1">
        <v>-9.759456E-6</v>
      </c>
      <c r="AA687">
        <v>0.99999979999999999</v>
      </c>
      <c r="AB687">
        <v>32</v>
      </c>
      <c r="AC687">
        <v>148.19319999999999</v>
      </c>
      <c r="AD687">
        <v>-0.84343889999999999</v>
      </c>
      <c r="AE687">
        <v>-0.147199999999998</v>
      </c>
      <c r="AF687">
        <v>9.6698076370514696E-2</v>
      </c>
      <c r="AG687">
        <v>-0.84343889999999999</v>
      </c>
      <c r="AH687">
        <v>148.188441298013</v>
      </c>
      <c r="AI687">
        <v>90.326104767081304</v>
      </c>
      <c r="AJ687">
        <v>89.962612530179996</v>
      </c>
      <c r="AK687">
        <v>148.190873113127</v>
      </c>
      <c r="AL687">
        <v>95.230129874197402</v>
      </c>
      <c r="AM687">
        <v>89.272324324565005</v>
      </c>
      <c r="AN687">
        <v>1.00000001209714</v>
      </c>
    </row>
    <row r="688" spans="1:40" x14ac:dyDescent="0.25">
      <c r="A688" t="str">
        <f>"20190303154431676"</f>
        <v>20190303154431676</v>
      </c>
      <c r="B688" t="str">
        <f>"1551599071671365"</f>
        <v>1551599071671365</v>
      </c>
      <c r="C688" t="s">
        <v>40</v>
      </c>
      <c r="D688">
        <v>4.842009</v>
      </c>
      <c r="E688">
        <v>0.52319989999999905</v>
      </c>
      <c r="F688" t="s">
        <v>41</v>
      </c>
      <c r="G688">
        <v>-259.51589999999999</v>
      </c>
      <c r="H688" s="1">
        <v>-1.412567E-6</v>
      </c>
      <c r="I688">
        <v>364.87430000000001</v>
      </c>
      <c r="J688">
        <v>-306.18430000000001</v>
      </c>
      <c r="K688">
        <v>1.071048</v>
      </c>
      <c r="L688">
        <v>367.44569999999999</v>
      </c>
      <c r="M688">
        <v>0.99989130000000004</v>
      </c>
      <c r="N688">
        <v>-1.474661E-2</v>
      </c>
      <c r="O688">
        <v>-3.4073950000000001E-4</v>
      </c>
      <c r="P688">
        <v>0.99431570000000002</v>
      </c>
      <c r="Q688">
        <v>-0.105699</v>
      </c>
      <c r="R688">
        <v>-1.2815399999999999E-2</v>
      </c>
      <c r="S688">
        <v>3.0076900000000002</v>
      </c>
      <c r="T688">
        <v>-6.8727969999999999E-2</v>
      </c>
      <c r="U688">
        <v>-0.1650085</v>
      </c>
      <c r="V688">
        <v>1.247303E-2</v>
      </c>
      <c r="W688">
        <v>-9.1025170000000002E-2</v>
      </c>
      <c r="X688">
        <v>0.9957705</v>
      </c>
      <c r="Y688">
        <v>5.4416249999999999E-2</v>
      </c>
      <c r="Z688">
        <v>-1.020057E-3</v>
      </c>
      <c r="AA688">
        <v>0.99851780000000001</v>
      </c>
      <c r="AB688">
        <v>32</v>
      </c>
      <c r="AC688">
        <v>46.668399999999998</v>
      </c>
      <c r="AD688">
        <v>-1.071049412567</v>
      </c>
      <c r="AE688">
        <v>-2.5713999999999801</v>
      </c>
      <c r="AF688">
        <v>2.55415512344099</v>
      </c>
      <c r="AG688">
        <v>-1.071049412567</v>
      </c>
      <c r="AH688">
        <v>46.644779561426901</v>
      </c>
      <c r="AI688">
        <v>91.313417792402205</v>
      </c>
      <c r="AJ688">
        <v>86.865751990716902</v>
      </c>
      <c r="AK688">
        <v>46.726933513476702</v>
      </c>
      <c r="AL688">
        <v>95.222586980006199</v>
      </c>
      <c r="AM688">
        <v>89.282350095984299</v>
      </c>
      <c r="AN688">
        <v>1.0000000233605699</v>
      </c>
    </row>
    <row r="689" spans="1:40" x14ac:dyDescent="0.25">
      <c r="A689" t="str">
        <f>"20190303154431697"</f>
        <v>20190303154431697</v>
      </c>
      <c r="B689" t="str">
        <f>"1551599071690885"</f>
        <v>1551599071690885</v>
      </c>
      <c r="C689" t="s">
        <v>40</v>
      </c>
      <c r="D689">
        <v>4.808961</v>
      </c>
      <c r="E689">
        <v>0.52571610000000002</v>
      </c>
      <c r="F689" t="s">
        <v>41</v>
      </c>
      <c r="G689">
        <v>-271.7876</v>
      </c>
      <c r="H689" s="1">
        <v>-4.33720899999999E-6</v>
      </c>
      <c r="I689">
        <v>364.92689999999999</v>
      </c>
      <c r="J689">
        <v>-305.89139999999998</v>
      </c>
      <c r="K689">
        <v>1.071027</v>
      </c>
      <c r="L689">
        <v>367.44560000000001</v>
      </c>
      <c r="M689">
        <v>0.9998918</v>
      </c>
      <c r="N689">
        <v>-1.470643E-2</v>
      </c>
      <c r="O689">
        <v>-3.4056199999999998E-4</v>
      </c>
      <c r="P689">
        <v>0.99432739999999997</v>
      </c>
      <c r="Q689">
        <v>-0.1056539</v>
      </c>
      <c r="R689">
        <v>-1.2250830000000001E-2</v>
      </c>
      <c r="S689">
        <v>3.0043950000000001</v>
      </c>
      <c r="T689">
        <v>-9.3551400000000007E-2</v>
      </c>
      <c r="U689">
        <v>-0.22000120000000001</v>
      </c>
      <c r="V689">
        <v>1.1908739999999999E-2</v>
      </c>
      <c r="W689">
        <v>-9.1019820000000001E-2</v>
      </c>
      <c r="X689">
        <v>0.99577780000000005</v>
      </c>
      <c r="Y689">
        <v>7.263965E-2</v>
      </c>
      <c r="Z689">
        <v>-1.6586299999999999E-3</v>
      </c>
      <c r="AA689">
        <v>0.99735689999999999</v>
      </c>
      <c r="AB689">
        <v>32</v>
      </c>
      <c r="AC689">
        <v>34.1037999999999</v>
      </c>
      <c r="AD689">
        <v>-1.0710313372089999</v>
      </c>
      <c r="AE689">
        <v>-2.5187000000000199</v>
      </c>
      <c r="AF689">
        <v>2.5046272843609798</v>
      </c>
      <c r="AG689">
        <v>-1.0710313372089999</v>
      </c>
      <c r="AH689">
        <v>34.071234514208399</v>
      </c>
      <c r="AI689">
        <v>91.795661319280896</v>
      </c>
      <c r="AJ689">
        <v>85.795664203721103</v>
      </c>
      <c r="AK689">
        <v>34.1799544657543</v>
      </c>
      <c r="AL689">
        <v>95.222279677862204</v>
      </c>
      <c r="AM689">
        <v>89.314819013972595</v>
      </c>
      <c r="AN689">
        <v>0.99999992634702695</v>
      </c>
    </row>
    <row r="690" spans="1:40" x14ac:dyDescent="0.25">
      <c r="A690" t="str">
        <f>"20190303154431719"</f>
        <v>20190303154431719</v>
      </c>
      <c r="B690" t="str">
        <f>"1551599071711382"</f>
        <v>1551599071711382</v>
      </c>
      <c r="C690" t="s">
        <v>40</v>
      </c>
      <c r="D690">
        <v>4.8107230000000003</v>
      </c>
      <c r="E690">
        <v>0.52713619999999906</v>
      </c>
      <c r="F690" t="s">
        <v>41</v>
      </c>
      <c r="G690">
        <v>-274.17239999999998</v>
      </c>
      <c r="H690" s="1">
        <v>-3.3147510000000001E-6</v>
      </c>
      <c r="I690">
        <v>364.92360000000002</v>
      </c>
      <c r="J690">
        <v>-305.5718</v>
      </c>
      <c r="K690">
        <v>1.0710040000000001</v>
      </c>
      <c r="L690">
        <v>367.44549999999998</v>
      </c>
      <c r="M690">
        <v>0.99989240000000001</v>
      </c>
      <c r="N690">
        <v>-1.4667599999999999E-2</v>
      </c>
      <c r="O690">
        <v>-3.4051459999999997E-4</v>
      </c>
      <c r="P690">
        <v>0.99428559999999999</v>
      </c>
      <c r="Q690">
        <v>-0.1060498</v>
      </c>
      <c r="R690">
        <v>-1.2239160000000001E-2</v>
      </c>
      <c r="S690">
        <v>3.0034179999999999</v>
      </c>
      <c r="T690">
        <v>-0.1014135</v>
      </c>
      <c r="U690">
        <v>-0.23880000000000001</v>
      </c>
      <c r="V690">
        <v>1.189698E-2</v>
      </c>
      <c r="W690">
        <v>-9.1455010000000003E-2</v>
      </c>
      <c r="X690">
        <v>0.99573809999999996</v>
      </c>
      <c r="Y690">
        <v>7.8855700000000001E-2</v>
      </c>
      <c r="Z690">
        <v>-1.9018469999999999E-3</v>
      </c>
      <c r="AA690">
        <v>0.9968842</v>
      </c>
      <c r="AB690">
        <v>32</v>
      </c>
      <c r="AC690">
        <v>31.3994</v>
      </c>
      <c r="AD690">
        <v>-1.071007314751</v>
      </c>
      <c r="AE690">
        <v>-2.5218999999999601</v>
      </c>
      <c r="AF690">
        <v>2.5083072013262102</v>
      </c>
      <c r="AG690">
        <v>-1.071007314751</v>
      </c>
      <c r="AH690">
        <v>31.364000915258099</v>
      </c>
      <c r="AI690">
        <v>91.949537278824707</v>
      </c>
      <c r="AJ690">
        <v>85.427554254827399</v>
      </c>
      <c r="AK690">
        <v>31.482363556391199</v>
      </c>
      <c r="AL690">
        <v>95.247318484445898</v>
      </c>
      <c r="AM690">
        <v>89.315468284104696</v>
      </c>
      <c r="AN690">
        <v>0.99999996038941397</v>
      </c>
    </row>
    <row r="691" spans="1:40" x14ac:dyDescent="0.25">
      <c r="A691" t="str">
        <f>"20190303154431740"</f>
        <v>20190303154431740</v>
      </c>
      <c r="B691" t="str">
        <f>"1551599071730901"</f>
        <v>1551599071730901</v>
      </c>
      <c r="C691" t="s">
        <v>40</v>
      </c>
      <c r="D691">
        <v>4.7844379999999997</v>
      </c>
      <c r="E691">
        <v>0.52814510000000003</v>
      </c>
      <c r="F691" t="s">
        <v>41</v>
      </c>
      <c r="G691">
        <v>-275.9846</v>
      </c>
      <c r="H691" s="1">
        <v>-2.5864820000000001E-6</v>
      </c>
      <c r="I691">
        <v>364.97859999999997</v>
      </c>
      <c r="J691">
        <v>-305.27089999999998</v>
      </c>
      <c r="K691">
        <v>1.0709839999999999</v>
      </c>
      <c r="L691">
        <v>367.44540000000001</v>
      </c>
      <c r="M691">
        <v>0.99989300000000003</v>
      </c>
      <c r="N691">
        <v>-1.463502E-2</v>
      </c>
      <c r="O691">
        <v>-3.4039459999999998E-4</v>
      </c>
      <c r="P691">
        <v>0.99425889999999995</v>
      </c>
      <c r="Q691">
        <v>-0.1062953</v>
      </c>
      <c r="R691">
        <v>-1.2280869999999999E-2</v>
      </c>
      <c r="S691">
        <v>3.0025330000000001</v>
      </c>
      <c r="T691">
        <v>-0.1086864</v>
      </c>
      <c r="U691">
        <v>-0.25033569999999999</v>
      </c>
      <c r="V691">
        <v>1.19387E-2</v>
      </c>
      <c r="W691">
        <v>-9.1733350000000005E-2</v>
      </c>
      <c r="X691">
        <v>0.99571200000000004</v>
      </c>
      <c r="Y691">
        <v>8.2671739999999994E-2</v>
      </c>
      <c r="Z691">
        <v>-2.092193E-3</v>
      </c>
      <c r="AA691">
        <v>0.99657459999999998</v>
      </c>
      <c r="AB691">
        <v>32</v>
      </c>
      <c r="AC691">
        <v>29.286299999999901</v>
      </c>
      <c r="AD691">
        <v>-1.0709865864819901</v>
      </c>
      <c r="AE691">
        <v>-2.4668000000000299</v>
      </c>
      <c r="AF691">
        <v>2.4535717695094199</v>
      </c>
      <c r="AG691">
        <v>-1.0709865864819901</v>
      </c>
      <c r="AH691">
        <v>29.248298963802299</v>
      </c>
      <c r="AI691">
        <v>92.089732379403699</v>
      </c>
      <c r="AJ691">
        <v>85.204817420930993</v>
      </c>
      <c r="AK691">
        <v>29.3705638177499</v>
      </c>
      <c r="AL691">
        <v>95.263333496461797</v>
      </c>
      <c r="AM691">
        <v>89.313050012456202</v>
      </c>
      <c r="AN691">
        <v>0.99999996350195497</v>
      </c>
    </row>
    <row r="692" spans="1:40" x14ac:dyDescent="0.25">
      <c r="A692" t="str">
        <f>"20190303154431764"</f>
        <v>20190303154431764</v>
      </c>
      <c r="B692" t="str">
        <f>"1551599071751396"</f>
        <v>1551599071751396</v>
      </c>
      <c r="C692" t="s">
        <v>40</v>
      </c>
      <c r="D692">
        <v>4.8191240000000004</v>
      </c>
      <c r="E692">
        <v>0.52884589999999998</v>
      </c>
      <c r="F692" t="s">
        <v>41</v>
      </c>
      <c r="G692">
        <v>-276.67399999999998</v>
      </c>
      <c r="H692" s="1">
        <v>-2.350384E-6</v>
      </c>
      <c r="I692">
        <v>364.98430000000002</v>
      </c>
      <c r="J692">
        <v>-304.94479999999999</v>
      </c>
      <c r="K692">
        <v>1.0709690000000001</v>
      </c>
      <c r="L692">
        <v>367.44529999999997</v>
      </c>
      <c r="M692">
        <v>0.99989340000000004</v>
      </c>
      <c r="N692">
        <v>-1.460376E-2</v>
      </c>
      <c r="O692">
        <v>-3.4016549999999997E-4</v>
      </c>
      <c r="P692">
        <v>0.99420439999999999</v>
      </c>
      <c r="Q692">
        <v>-0.10676720000000001</v>
      </c>
      <c r="R692">
        <v>-1.259565E-2</v>
      </c>
      <c r="S692">
        <v>3.0021059999999999</v>
      </c>
      <c r="T692">
        <v>-0.1124318</v>
      </c>
      <c r="U692">
        <v>-0.25836179999999997</v>
      </c>
      <c r="V692">
        <v>1.225384E-2</v>
      </c>
      <c r="W692">
        <v>-9.2237079999999999E-2</v>
      </c>
      <c r="X692">
        <v>0.99566169999999998</v>
      </c>
      <c r="Y692">
        <v>8.5321720000000004E-2</v>
      </c>
      <c r="Z692">
        <v>-2.2109270000000001E-3</v>
      </c>
      <c r="AA692">
        <v>0.99635099999999999</v>
      </c>
      <c r="AB692">
        <v>32</v>
      </c>
      <c r="AC692">
        <v>28.270799999999898</v>
      </c>
      <c r="AD692">
        <v>-1.0709713503839999</v>
      </c>
      <c r="AE692">
        <v>-2.4609999999999501</v>
      </c>
      <c r="AF692">
        <v>2.4478955491257102</v>
      </c>
      <c r="AG692">
        <v>-1.0709713503839999</v>
      </c>
      <c r="AH692">
        <v>28.231425635024902</v>
      </c>
      <c r="AI692">
        <v>92.164385193129803</v>
      </c>
      <c r="AJ692">
        <v>85.044381696867504</v>
      </c>
      <c r="AK692">
        <v>28.357583917511601</v>
      </c>
      <c r="AL692">
        <v>95.292317640977899</v>
      </c>
      <c r="AM692">
        <v>89.294883121613296</v>
      </c>
      <c r="AN692">
        <v>1.00000002818428</v>
      </c>
    </row>
    <row r="693" spans="1:40" x14ac:dyDescent="0.25">
      <c r="A693" t="str">
        <f>"20190303154431784"</f>
        <v>20190303154431784</v>
      </c>
      <c r="B693" t="str">
        <f>"1551599071780677"</f>
        <v>1551599071780677</v>
      </c>
      <c r="C693" t="s">
        <v>40</v>
      </c>
      <c r="D693">
        <v>4.8089890000000004</v>
      </c>
      <c r="E693">
        <v>0.52947860000000002</v>
      </c>
      <c r="F693" t="s">
        <v>41</v>
      </c>
      <c r="G693">
        <v>-276.6748</v>
      </c>
      <c r="H693" s="1">
        <v>-2.3577549999999999E-6</v>
      </c>
      <c r="I693">
        <v>364.9556</v>
      </c>
      <c r="J693">
        <v>-304.63420000000002</v>
      </c>
      <c r="K693">
        <v>1.070959</v>
      </c>
      <c r="L693">
        <v>367.44529999999997</v>
      </c>
      <c r="M693">
        <v>0.99989380000000005</v>
      </c>
      <c r="N693">
        <v>-1.4577410000000001E-2</v>
      </c>
      <c r="O693">
        <v>-3.4009170000000002E-4</v>
      </c>
      <c r="P693">
        <v>0.99418740000000005</v>
      </c>
      <c r="Q693">
        <v>-0.1068699</v>
      </c>
      <c r="R693">
        <v>-1.305196E-2</v>
      </c>
      <c r="S693">
        <v>3.0019230000000001</v>
      </c>
      <c r="T693">
        <v>-0.1137234</v>
      </c>
      <c r="U693">
        <v>-0.26437379999999999</v>
      </c>
      <c r="V693">
        <v>1.271006E-2</v>
      </c>
      <c r="W693">
        <v>-9.2366359999999995E-2</v>
      </c>
      <c r="X693">
        <v>0.99564399999999997</v>
      </c>
      <c r="Y693">
        <v>8.7303649999999997E-2</v>
      </c>
      <c r="Z693">
        <v>-2.2799029999999998E-3</v>
      </c>
      <c r="AA693">
        <v>0.99617920000000004</v>
      </c>
      <c r="AB693">
        <v>32</v>
      </c>
      <c r="AC693">
        <v>27.959399999999999</v>
      </c>
      <c r="AD693">
        <v>-1.0709613577549999</v>
      </c>
      <c r="AE693">
        <v>-2.4896999999999698</v>
      </c>
      <c r="AF693">
        <v>2.4765850055417</v>
      </c>
      <c r="AG693">
        <v>-1.0709613577549999</v>
      </c>
      <c r="AH693">
        <v>27.919603574585999</v>
      </c>
      <c r="AI693">
        <v>92.188134712035506</v>
      </c>
      <c r="AJ693">
        <v>84.930893477412795</v>
      </c>
      <c r="AK693">
        <v>28.0496826235435</v>
      </c>
      <c r="AL693">
        <v>95.299756572955005</v>
      </c>
      <c r="AM693">
        <v>89.268620871444597</v>
      </c>
      <c r="AN693">
        <v>1.0000000324104199</v>
      </c>
    </row>
    <row r="694" spans="1:40" x14ac:dyDescent="0.25">
      <c r="A694" t="str">
        <f>"20190303154431798"</f>
        <v>20190303154431798</v>
      </c>
      <c r="B694" t="str">
        <f>"1551599071791413"</f>
        <v>1551599071791413</v>
      </c>
      <c r="C694" t="s">
        <v>40</v>
      </c>
      <c r="D694">
        <v>4.8190030000000004</v>
      </c>
      <c r="E694">
        <v>0.52972269999999999</v>
      </c>
      <c r="F694" t="s">
        <v>41</v>
      </c>
      <c r="G694">
        <v>-276.67520000000002</v>
      </c>
      <c r="H694" s="1">
        <v>-2.3677199999999999E-6</v>
      </c>
      <c r="I694">
        <v>364.91750000000002</v>
      </c>
      <c r="J694">
        <v>-304.44119999999998</v>
      </c>
      <c r="K694">
        <v>1.070954</v>
      </c>
      <c r="L694">
        <v>367.4452</v>
      </c>
      <c r="M694">
        <v>0.99989380000000005</v>
      </c>
      <c r="N694">
        <v>-1.4562459999999999E-2</v>
      </c>
      <c r="O694">
        <v>-3.3998239999999999E-4</v>
      </c>
      <c r="P694">
        <v>0.99416689999999996</v>
      </c>
      <c r="Q694">
        <v>-0.1069976</v>
      </c>
      <c r="R694">
        <v>-1.356246E-2</v>
      </c>
      <c r="S694">
        <v>3.001617</v>
      </c>
      <c r="T694">
        <v>-0.1149757</v>
      </c>
      <c r="U694">
        <v>-0.2713623</v>
      </c>
      <c r="V694">
        <v>1.322075E-2</v>
      </c>
      <c r="W694">
        <v>-9.2509190000000005E-2</v>
      </c>
      <c r="X694">
        <v>0.99562410000000001</v>
      </c>
      <c r="Y694">
        <v>8.9609460000000002E-2</v>
      </c>
      <c r="Z694">
        <v>-2.3582159999999998E-3</v>
      </c>
      <c r="AA694">
        <v>0.99597420000000003</v>
      </c>
      <c r="AB694">
        <v>32</v>
      </c>
      <c r="AC694">
        <v>27.765999999999899</v>
      </c>
      <c r="AD694">
        <v>-1.07095636772</v>
      </c>
      <c r="AE694">
        <v>-2.5276999999999799</v>
      </c>
      <c r="AF694">
        <v>2.5145487409496399</v>
      </c>
      <c r="AG694">
        <v>-1.07095636772</v>
      </c>
      <c r="AH694">
        <v>27.725948852149099</v>
      </c>
      <c r="AI694">
        <v>92.203003179482494</v>
      </c>
      <c r="AJ694">
        <v>84.817852457262205</v>
      </c>
      <c r="AK694">
        <v>27.860332780930001</v>
      </c>
      <c r="AL694">
        <v>95.307975258800397</v>
      </c>
      <c r="AM694">
        <v>89.239222253380703</v>
      </c>
      <c r="AN694">
        <v>1.0000000434829099</v>
      </c>
    </row>
    <row r="695" spans="1:40" x14ac:dyDescent="0.25">
      <c r="A695" t="str">
        <f>"20190303154431820"</f>
        <v>20190303154431820</v>
      </c>
      <c r="B695" t="str">
        <f>"1551599071810933"</f>
        <v>1551599071810933</v>
      </c>
      <c r="C695" t="s">
        <v>40</v>
      </c>
      <c r="D695">
        <v>4.7726749999999996</v>
      </c>
      <c r="E695">
        <v>0.5300222</v>
      </c>
      <c r="F695" t="s">
        <v>41</v>
      </c>
      <c r="G695">
        <v>-276.57029999999997</v>
      </c>
      <c r="H695" s="1">
        <v>-2.4092639999999998E-6</v>
      </c>
      <c r="I695">
        <v>364.8956</v>
      </c>
      <c r="J695">
        <v>-304.1275</v>
      </c>
      <c r="K695">
        <v>1.07094</v>
      </c>
      <c r="L695">
        <v>367.44510000000002</v>
      </c>
      <c r="M695">
        <v>0.99989430000000001</v>
      </c>
      <c r="N695">
        <v>-1.454022E-2</v>
      </c>
      <c r="O695">
        <v>-3.4005850000000002E-4</v>
      </c>
      <c r="P695">
        <v>0.99415920000000002</v>
      </c>
      <c r="Q695">
        <v>-0.1070792</v>
      </c>
      <c r="R695">
        <v>-1.3489900000000001E-2</v>
      </c>
      <c r="S695">
        <v>3.0014340000000002</v>
      </c>
      <c r="T695">
        <v>-0.1153318</v>
      </c>
      <c r="U695">
        <v>-0.2745667</v>
      </c>
      <c r="V695">
        <v>1.314826E-2</v>
      </c>
      <c r="W695">
        <v>-9.2613029999999999E-2</v>
      </c>
      <c r="X695">
        <v>0.99561540000000004</v>
      </c>
      <c r="Y695">
        <v>9.0667869999999998E-2</v>
      </c>
      <c r="Z695">
        <v>-2.3905210000000001E-3</v>
      </c>
      <c r="AA695">
        <v>0.99587829999999999</v>
      </c>
      <c r="AB695">
        <v>32</v>
      </c>
      <c r="AC695">
        <v>27.557200000000002</v>
      </c>
      <c r="AD695">
        <v>-1.0709424092640001</v>
      </c>
      <c r="AE695">
        <v>-2.5495000000000201</v>
      </c>
      <c r="AF695">
        <v>2.5363297030926502</v>
      </c>
      <c r="AG695">
        <v>-1.0709424092640001</v>
      </c>
      <c r="AH695">
        <v>27.516859570535701</v>
      </c>
      <c r="AI695">
        <v>92.219399606918699</v>
      </c>
      <c r="AJ695">
        <v>84.733718647301004</v>
      </c>
      <c r="AK695">
        <v>27.654248256485499</v>
      </c>
      <c r="AL695">
        <v>95.313950536441297</v>
      </c>
      <c r="AM695">
        <v>89.243386536934295</v>
      </c>
      <c r="AN695">
        <v>1.00000003739198</v>
      </c>
    </row>
    <row r="696" spans="1:40" x14ac:dyDescent="0.25">
      <c r="A696" t="str">
        <f>"20190303154431841"</f>
        <v>20190303154431841</v>
      </c>
      <c r="B696" t="str">
        <f>"1551599071831429"</f>
        <v>1551599071831429</v>
      </c>
      <c r="C696" t="s">
        <v>40</v>
      </c>
      <c r="D696">
        <v>4.8035899999999998</v>
      </c>
      <c r="E696">
        <v>0.53034340000000002</v>
      </c>
      <c r="F696" t="s">
        <v>41</v>
      </c>
      <c r="G696">
        <v>-276.29669999999999</v>
      </c>
      <c r="H696" s="1">
        <v>-2.5078200000000001E-6</v>
      </c>
      <c r="I696">
        <v>364.87509999999997</v>
      </c>
      <c r="J696">
        <v>-303.83600000000001</v>
      </c>
      <c r="K696">
        <v>1.070935</v>
      </c>
      <c r="L696">
        <v>367.44499999999999</v>
      </c>
      <c r="M696">
        <v>0.99989459999999997</v>
      </c>
      <c r="N696">
        <v>-1.452173E-2</v>
      </c>
      <c r="O696">
        <v>-3.4004320000000001E-4</v>
      </c>
      <c r="P696">
        <v>0.99411680000000002</v>
      </c>
      <c r="Q696">
        <v>-0.10741240000000001</v>
      </c>
      <c r="R696">
        <v>-1.395711E-2</v>
      </c>
      <c r="S696">
        <v>3.0014949999999998</v>
      </c>
      <c r="T696">
        <v>-0.1154988</v>
      </c>
      <c r="U696">
        <v>-0.27716059999999998</v>
      </c>
      <c r="V696">
        <v>1.3615240000000001E-2</v>
      </c>
      <c r="W696">
        <v>-9.2965249999999999E-2</v>
      </c>
      <c r="X696">
        <v>0.99557629999999997</v>
      </c>
      <c r="Y696">
        <v>9.1518429999999998E-2</v>
      </c>
      <c r="Z696">
        <v>-2.4146100000000002E-3</v>
      </c>
      <c r="AA696">
        <v>0.99580040000000003</v>
      </c>
      <c r="AB696">
        <v>32</v>
      </c>
      <c r="AC696">
        <v>27.539300000000001</v>
      </c>
      <c r="AD696">
        <v>-1.0709375078200001</v>
      </c>
      <c r="AE696">
        <v>-2.5699000000000098</v>
      </c>
      <c r="AF696">
        <v>2.5567013298209198</v>
      </c>
      <c r="AG696">
        <v>-1.0709375078200001</v>
      </c>
      <c r="AH696">
        <v>27.4989462075403</v>
      </c>
      <c r="AI696">
        <v>92.220670685561004</v>
      </c>
      <c r="AJ696">
        <v>84.688222731363197</v>
      </c>
      <c r="AK696">
        <v>27.6383008045132</v>
      </c>
      <c r="AL696">
        <v>95.334218678315494</v>
      </c>
      <c r="AM696">
        <v>89.216486810868602</v>
      </c>
      <c r="AN696">
        <v>1.00000004079475</v>
      </c>
    </row>
    <row r="697" spans="1:40" x14ac:dyDescent="0.25">
      <c r="A697" t="str">
        <f>"20190303154431863"</f>
        <v>20190303154431863</v>
      </c>
      <c r="B697" t="str">
        <f>"1551599071860710"</f>
        <v>1551599071860710</v>
      </c>
      <c r="C697" t="s">
        <v>40</v>
      </c>
      <c r="D697">
        <v>4.7913730000000001</v>
      </c>
      <c r="E697">
        <v>0.53067799999999998</v>
      </c>
      <c r="F697" t="s">
        <v>41</v>
      </c>
      <c r="G697">
        <v>-276.1413</v>
      </c>
      <c r="H697" s="1">
        <v>-2.566189E-6</v>
      </c>
      <c r="I697">
        <v>364.85449999999997</v>
      </c>
      <c r="J697">
        <v>-303.51440000000002</v>
      </c>
      <c r="K697">
        <v>1.070929</v>
      </c>
      <c r="L697">
        <v>367.44490000000002</v>
      </c>
      <c r="M697">
        <v>0.99989470000000003</v>
      </c>
      <c r="N697">
        <v>-1.4503479999999999E-2</v>
      </c>
      <c r="O697">
        <v>-3.3991050000000002E-4</v>
      </c>
      <c r="P697">
        <v>0.99410030000000005</v>
      </c>
      <c r="Q697">
        <v>-0.10756599999999999</v>
      </c>
      <c r="R697">
        <v>-1.3929510000000001E-2</v>
      </c>
      <c r="S697">
        <v>3.0012819999999998</v>
      </c>
      <c r="T697">
        <v>-0.11605739999999901</v>
      </c>
      <c r="U697">
        <v>-0.28073120000000001</v>
      </c>
      <c r="V697">
        <v>1.3588050000000001E-2</v>
      </c>
      <c r="W697">
        <v>-9.3137230000000001E-2</v>
      </c>
      <c r="X697">
        <v>0.99556060000000002</v>
      </c>
      <c r="Y697">
        <v>9.2697580000000002E-2</v>
      </c>
      <c r="Z697">
        <v>-2.4535770000000002E-3</v>
      </c>
      <c r="AA697">
        <v>0.99569129999999995</v>
      </c>
      <c r="AB697">
        <v>32</v>
      </c>
      <c r="AC697">
        <v>27.373100000000001</v>
      </c>
      <c r="AD697">
        <v>-1.070931566189</v>
      </c>
      <c r="AE697">
        <v>-2.5904000000000398</v>
      </c>
      <c r="AF697">
        <v>2.5771847163992798</v>
      </c>
      <c r="AG697">
        <v>-1.070931566189</v>
      </c>
      <c r="AH697">
        <v>27.332513881131199</v>
      </c>
      <c r="AI697">
        <v>92.233894167167705</v>
      </c>
      <c r="AJ697">
        <v>84.613502220860994</v>
      </c>
      <c r="AK697">
        <v>27.474626303994299</v>
      </c>
      <c r="AL697">
        <v>95.344115330073095</v>
      </c>
      <c r="AM697">
        <v>89.218038983469299</v>
      </c>
      <c r="AN697">
        <v>1.00000004349361</v>
      </c>
    </row>
    <row r="698" spans="1:40" x14ac:dyDescent="0.25">
      <c r="A698" t="str">
        <f>"20190303154431886"</f>
        <v>20190303154431886</v>
      </c>
      <c r="B698" t="str">
        <f>"1551599071881205"</f>
        <v>1551599071881205</v>
      </c>
      <c r="C698" t="s">
        <v>40</v>
      </c>
      <c r="D698">
        <v>4.7690000000000001</v>
      </c>
      <c r="E698">
        <v>0.53086199999999995</v>
      </c>
      <c r="F698" t="s">
        <v>41</v>
      </c>
      <c r="G698">
        <v>-275.7774</v>
      </c>
      <c r="H698" s="1">
        <v>-2.6969610000000002E-6</v>
      </c>
      <c r="I698">
        <v>364.82839999999999</v>
      </c>
      <c r="J698">
        <v>-303.19459999999998</v>
      </c>
      <c r="K698">
        <v>1.070916</v>
      </c>
      <c r="L698">
        <v>367.44479999999999</v>
      </c>
      <c r="M698">
        <v>0.99989499999999998</v>
      </c>
      <c r="N698">
        <v>-1.448726E-2</v>
      </c>
      <c r="O698">
        <v>-3.4003130000000002E-4</v>
      </c>
      <c r="P698">
        <v>0.99416689999999996</v>
      </c>
      <c r="Q698">
        <v>-0.10697909999999999</v>
      </c>
      <c r="R698">
        <v>-1.3707540000000001E-2</v>
      </c>
      <c r="S698">
        <v>3.0012819999999998</v>
      </c>
      <c r="T698">
        <v>-0.11588</v>
      </c>
      <c r="U698">
        <v>-0.28311160000000002</v>
      </c>
      <c r="V698">
        <v>1.3365760000000001E-2</v>
      </c>
      <c r="W698">
        <v>-9.2565620000000001E-2</v>
      </c>
      <c r="X698">
        <v>0.99561690000000003</v>
      </c>
      <c r="Y698">
        <v>9.3479690000000004E-2</v>
      </c>
      <c r="Z698">
        <v>-2.4708030000000001E-3</v>
      </c>
      <c r="AA698">
        <v>0.99561809999999995</v>
      </c>
      <c r="AB698">
        <v>32</v>
      </c>
      <c r="AC698">
        <v>27.417199999999902</v>
      </c>
      <c r="AD698">
        <v>-1.0709186969610001</v>
      </c>
      <c r="AE698">
        <v>-2.6163999999999898</v>
      </c>
      <c r="AF698">
        <v>2.6031404159794702</v>
      </c>
      <c r="AG698">
        <v>-1.0709186969610001</v>
      </c>
      <c r="AH698">
        <v>27.3766967057825</v>
      </c>
      <c r="AI698">
        <v>92.230099375586406</v>
      </c>
      <c r="AJ698">
        <v>84.568304522656106</v>
      </c>
      <c r="AK698">
        <v>27.521023407591599</v>
      </c>
      <c r="AL698">
        <v>95.311222493082496</v>
      </c>
      <c r="AM698">
        <v>89.230873201608404</v>
      </c>
      <c r="AN698">
        <v>1.0000000245559799</v>
      </c>
    </row>
    <row r="699" spans="1:40" x14ac:dyDescent="0.25">
      <c r="A699" t="str">
        <f>"20190303154431909"</f>
        <v>20190303154431909</v>
      </c>
      <c r="B699" t="str">
        <f>"1551599071900725"</f>
        <v>1551599071900725</v>
      </c>
      <c r="C699" t="s">
        <v>40</v>
      </c>
      <c r="D699">
        <v>4.8348089999999999</v>
      </c>
      <c r="E699">
        <v>0.53091580000000005</v>
      </c>
      <c r="F699" t="s">
        <v>41</v>
      </c>
      <c r="G699">
        <v>-275.17099999999999</v>
      </c>
      <c r="H699" s="1">
        <v>-2.9123009999999999E-6</v>
      </c>
      <c r="I699">
        <v>364.79469999999998</v>
      </c>
      <c r="J699">
        <v>-302.86410000000001</v>
      </c>
      <c r="K699">
        <v>1.070913</v>
      </c>
      <c r="L699">
        <v>367.44470000000001</v>
      </c>
      <c r="M699">
        <v>0.99989530000000004</v>
      </c>
      <c r="N699">
        <v>-1.447239E-2</v>
      </c>
      <c r="O699">
        <v>-3.3992339999999998E-4</v>
      </c>
      <c r="P699">
        <v>0.99416769999999999</v>
      </c>
      <c r="Q699">
        <v>-0.1070552</v>
      </c>
      <c r="R699">
        <v>-1.3044409999999999E-2</v>
      </c>
      <c r="S699">
        <v>3.0012819999999998</v>
      </c>
      <c r="T699">
        <v>-0.1146934</v>
      </c>
      <c r="U699">
        <v>-0.2838135</v>
      </c>
      <c r="V699">
        <v>1.27027999999999E-2</v>
      </c>
      <c r="W699">
        <v>-9.2656459999999996E-2</v>
      </c>
      <c r="X699">
        <v>0.99561710000000003</v>
      </c>
      <c r="Y699">
        <v>9.371206E-2</v>
      </c>
      <c r="Z699">
        <v>-2.4579150000000002E-3</v>
      </c>
      <c r="AA699">
        <v>0.99559629999999999</v>
      </c>
      <c r="AB699">
        <v>32</v>
      </c>
      <c r="AC699">
        <v>27.693100000000001</v>
      </c>
      <c r="AD699">
        <v>-1.0709159123009999</v>
      </c>
      <c r="AE699">
        <v>-2.6500000000000301</v>
      </c>
      <c r="AF699">
        <v>2.6366781256361</v>
      </c>
      <c r="AG699">
        <v>-1.0709159123009999</v>
      </c>
      <c r="AH699">
        <v>27.6530212222169</v>
      </c>
      <c r="AI699">
        <v>92.207776734546201</v>
      </c>
      <c r="AJ699">
        <v>84.553390889822197</v>
      </c>
      <c r="AK699">
        <v>27.799073997991499</v>
      </c>
      <c r="AL699">
        <v>95.316449862431298</v>
      </c>
      <c r="AM699">
        <v>89.269018843372805</v>
      </c>
      <c r="AN699">
        <v>0.99999999525998995</v>
      </c>
    </row>
    <row r="700" spans="1:40" x14ac:dyDescent="0.25">
      <c r="A700" t="str">
        <f>"20190303154431930"</f>
        <v>20190303154431930</v>
      </c>
      <c r="B700" t="str">
        <f>"1551599071921221"</f>
        <v>1551599071921221</v>
      </c>
      <c r="C700" t="s">
        <v>40</v>
      </c>
      <c r="D700">
        <v>4.7427640000000002</v>
      </c>
      <c r="E700">
        <v>0.52989030000000004</v>
      </c>
      <c r="F700" t="s">
        <v>41</v>
      </c>
      <c r="G700">
        <v>-274.92</v>
      </c>
      <c r="H700" s="1">
        <v>-3.0127770000000002E-6</v>
      </c>
      <c r="I700">
        <v>364.8177</v>
      </c>
      <c r="J700">
        <v>-302.56420000000003</v>
      </c>
      <c r="K700">
        <v>1.07091</v>
      </c>
      <c r="L700">
        <v>367.44459999999998</v>
      </c>
      <c r="M700">
        <v>0.99989550000000005</v>
      </c>
      <c r="N700">
        <v>-1.4460300000000001E-2</v>
      </c>
      <c r="O700">
        <v>-3.3983590000000001E-4</v>
      </c>
      <c r="P700">
        <v>0.99417670000000002</v>
      </c>
      <c r="Q700">
        <v>-0.1070459</v>
      </c>
      <c r="R700">
        <v>-1.2411770000000001E-2</v>
      </c>
      <c r="S700">
        <v>3.0015559999999999</v>
      </c>
      <c r="T700">
        <v>-0.1150299</v>
      </c>
      <c r="U700">
        <v>-0.28216550000000001</v>
      </c>
      <c r="V700">
        <v>1.2070279999999999E-2</v>
      </c>
      <c r="W700">
        <v>-9.2658989999999997E-2</v>
      </c>
      <c r="X700">
        <v>0.99562470000000003</v>
      </c>
      <c r="Y700">
        <v>9.3161889999999997E-2</v>
      </c>
      <c r="Z700">
        <v>-2.4479079999999999E-3</v>
      </c>
      <c r="AA700">
        <v>0.99564799999999998</v>
      </c>
      <c r="AB700">
        <v>32</v>
      </c>
      <c r="AC700">
        <v>27.644200000000001</v>
      </c>
      <c r="AD700">
        <v>-1.0709130127769999</v>
      </c>
      <c r="AE700">
        <v>-2.6268999999999698</v>
      </c>
      <c r="AF700">
        <v>2.6136171626497902</v>
      </c>
      <c r="AG700">
        <v>-1.0709130127769999</v>
      </c>
      <c r="AH700">
        <v>27.604035940619699</v>
      </c>
      <c r="AI700">
        <v>92.211823334101595</v>
      </c>
      <c r="AJ700">
        <v>84.591220794018099</v>
      </c>
      <c r="AK700">
        <v>27.748164796340301</v>
      </c>
      <c r="AL700">
        <v>95.316595626162595</v>
      </c>
      <c r="AM700">
        <v>89.3054187756983</v>
      </c>
      <c r="AN700">
        <v>0.99999996166859295</v>
      </c>
    </row>
    <row r="701" spans="1:40" x14ac:dyDescent="0.25">
      <c r="A701" t="str">
        <f>"20190303154431953"</f>
        <v>20190303154431953</v>
      </c>
      <c r="B701" t="str">
        <f>"1551599071940741"</f>
        <v>1551599071940741</v>
      </c>
      <c r="C701" t="s">
        <v>40</v>
      </c>
      <c r="D701">
        <v>4.7328279999999996</v>
      </c>
      <c r="E701">
        <v>0.50155590000000005</v>
      </c>
      <c r="F701" t="s">
        <v>41</v>
      </c>
      <c r="G701">
        <v>-274.51799999999997</v>
      </c>
      <c r="H701" s="1">
        <v>-3.170456E-6</v>
      </c>
      <c r="I701">
        <v>364.90120000000002</v>
      </c>
      <c r="J701">
        <v>-302.24540000000002</v>
      </c>
      <c r="K701">
        <v>1.0709109999999999</v>
      </c>
      <c r="L701">
        <v>367.44450000000001</v>
      </c>
      <c r="M701">
        <v>0.9998956</v>
      </c>
      <c r="N701">
        <v>-1.4448590000000001E-2</v>
      </c>
      <c r="O701">
        <v>-3.3975139999999998E-4</v>
      </c>
      <c r="P701">
        <v>0.99421939999999998</v>
      </c>
      <c r="Q701">
        <v>-0.1067335</v>
      </c>
      <c r="R701">
        <v>-1.1668420000000001E-2</v>
      </c>
      <c r="S701">
        <v>3.0018009999999999</v>
      </c>
      <c r="T701">
        <v>-0.11462</v>
      </c>
      <c r="U701">
        <v>-0.27221679999999998</v>
      </c>
      <c r="V701">
        <v>1.1326960000000001E-2</v>
      </c>
      <c r="W701">
        <v>-9.2357700000000001E-2</v>
      </c>
      <c r="X701">
        <v>0.99566140000000003</v>
      </c>
      <c r="Y701">
        <v>8.9885850000000003E-2</v>
      </c>
      <c r="Z701">
        <v>-2.3549619999999999E-3</v>
      </c>
      <c r="AA701">
        <v>0.99594930000000004</v>
      </c>
      <c r="AB701">
        <v>32</v>
      </c>
      <c r="AC701">
        <v>27.727399999999999</v>
      </c>
      <c r="AD701">
        <v>-1.0709141704559999</v>
      </c>
      <c r="AE701">
        <v>-2.5432999999999799</v>
      </c>
      <c r="AF701">
        <v>2.5301356508872299</v>
      </c>
      <c r="AG701">
        <v>-1.0709141704559999</v>
      </c>
      <c r="AH701">
        <v>27.6873051142402</v>
      </c>
      <c r="AI701">
        <v>92.2058508817302</v>
      </c>
      <c r="AJ701">
        <v>84.778669222036896</v>
      </c>
      <c r="AK701">
        <v>27.823287154134199</v>
      </c>
      <c r="AL701">
        <v>95.299258783888604</v>
      </c>
      <c r="AM701">
        <v>89.348213150113693</v>
      </c>
      <c r="AN701">
        <v>0.99999993411104304</v>
      </c>
    </row>
    <row r="702" spans="1:40" x14ac:dyDescent="0.25">
      <c r="A702" t="str">
        <f>"20190303154431974"</f>
        <v>20190303154431974</v>
      </c>
      <c r="B702" t="str">
        <f>"1551599071970998"</f>
        <v>1551599071970998</v>
      </c>
      <c r="C702" t="s">
        <v>40</v>
      </c>
      <c r="D702">
        <v>4.6942389999999996</v>
      </c>
      <c r="E702">
        <v>0.50156650000000003</v>
      </c>
      <c r="F702" t="s">
        <v>41</v>
      </c>
      <c r="G702">
        <v>-253.40129999999999</v>
      </c>
      <c r="H702" s="1">
        <v>-3.3226070000000002E-6</v>
      </c>
      <c r="I702">
        <v>366.74419999999998</v>
      </c>
      <c r="J702">
        <v>-301.93770000000001</v>
      </c>
      <c r="K702">
        <v>1.0709109999999999</v>
      </c>
      <c r="L702">
        <v>367.44439999999997</v>
      </c>
      <c r="M702">
        <v>0.9998958</v>
      </c>
      <c r="N702">
        <v>-1.4438350000000001E-2</v>
      </c>
      <c r="O702">
        <v>-3.3967710000000001E-4</v>
      </c>
      <c r="P702">
        <v>0.99423930000000005</v>
      </c>
      <c r="Q702">
        <v>-0.1066001</v>
      </c>
      <c r="R702">
        <v>-1.117903E-2</v>
      </c>
      <c r="S702">
        <v>3.0098569999999998</v>
      </c>
      <c r="T702">
        <v>-6.5991400000000006E-2</v>
      </c>
      <c r="U702">
        <v>-4.315186E-2</v>
      </c>
      <c r="V702">
        <v>1.083771E-2</v>
      </c>
      <c r="W702">
        <v>-9.2234170000000004E-2</v>
      </c>
      <c r="X702">
        <v>0.99567839999999996</v>
      </c>
      <c r="Y702">
        <v>1.399013E-2</v>
      </c>
      <c r="Z702">
        <v>-2.5182690000000001E-4</v>
      </c>
      <c r="AA702">
        <v>0.99990210000000002</v>
      </c>
      <c r="AB702">
        <v>32</v>
      </c>
      <c r="AC702">
        <v>48.5364</v>
      </c>
      <c r="AD702">
        <v>-1.0709143226069999</v>
      </c>
      <c r="AE702">
        <v>-0.70019999999999505</v>
      </c>
      <c r="AF702">
        <v>0.68337892102092801</v>
      </c>
      <c r="AG702">
        <v>-1.0709143226069999</v>
      </c>
      <c r="AH702">
        <v>48.513022548644201</v>
      </c>
      <c r="AI702">
        <v>91.264460965627293</v>
      </c>
      <c r="AJ702">
        <v>89.192956109206705</v>
      </c>
      <c r="AK702">
        <v>48.529653007633598</v>
      </c>
      <c r="AL702">
        <v>95.292150148899594</v>
      </c>
      <c r="AM702">
        <v>89.376374418480395</v>
      </c>
      <c r="AN702">
        <v>1.0000000371500899</v>
      </c>
    </row>
    <row r="703" spans="1:40" x14ac:dyDescent="0.25">
      <c r="A703" t="str">
        <f>"20190303154431997"</f>
        <v>20190303154431997</v>
      </c>
      <c r="B703" t="str">
        <f>"1551599071991493"</f>
        <v>1551599071991493</v>
      </c>
      <c r="C703" t="s">
        <v>40</v>
      </c>
      <c r="D703">
        <v>4.7046469999999996</v>
      </c>
      <c r="E703">
        <v>0.50190319999999999</v>
      </c>
      <c r="F703" t="s">
        <v>41</v>
      </c>
      <c r="G703">
        <v>-252.2388</v>
      </c>
      <c r="H703" s="1">
        <v>-3.8186689999999997E-6</v>
      </c>
      <c r="I703">
        <v>366.75909999999999</v>
      </c>
      <c r="J703">
        <v>-301.61829999999998</v>
      </c>
      <c r="K703">
        <v>1.0709120000000001</v>
      </c>
      <c r="L703">
        <v>367.4443</v>
      </c>
      <c r="M703">
        <v>0.99989589999999995</v>
      </c>
      <c r="N703">
        <v>-1.442864E-2</v>
      </c>
      <c r="O703">
        <v>-3.396068E-4</v>
      </c>
      <c r="P703">
        <v>0.99427370000000004</v>
      </c>
      <c r="Q703">
        <v>-0.1062752</v>
      </c>
      <c r="R703">
        <v>-1.1212410000000001E-2</v>
      </c>
      <c r="S703">
        <v>3.009979</v>
      </c>
      <c r="T703">
        <v>-6.4859150000000004E-2</v>
      </c>
      <c r="U703">
        <v>-4.1503909999999998E-2</v>
      </c>
      <c r="V703">
        <v>1.08711E-2</v>
      </c>
      <c r="W703">
        <v>-9.1918509999999995E-2</v>
      </c>
      <c r="X703">
        <v>0.99570720000000001</v>
      </c>
      <c r="Y703">
        <v>1.344265E-2</v>
      </c>
      <c r="Z703">
        <v>-2.393989E-4</v>
      </c>
      <c r="AA703">
        <v>0.99990959999999995</v>
      </c>
      <c r="AB703">
        <v>32</v>
      </c>
      <c r="AC703">
        <v>49.379499999999901</v>
      </c>
      <c r="AD703">
        <v>-1.070915818669</v>
      </c>
      <c r="AE703">
        <v>-0.68520000000000802</v>
      </c>
      <c r="AF703">
        <v>0.66811441723773102</v>
      </c>
      <c r="AG703">
        <v>-1.070915818669</v>
      </c>
      <c r="AH703">
        <v>49.356519710896599</v>
      </c>
      <c r="AI703">
        <v>91.242869484598401</v>
      </c>
      <c r="AJ703">
        <v>89.224463177078206</v>
      </c>
      <c r="AK703">
        <v>49.372657165047499</v>
      </c>
      <c r="AL703">
        <v>95.273987145633399</v>
      </c>
      <c r="AM703">
        <v>89.374471329138302</v>
      </c>
      <c r="AN703">
        <v>1.00000001071383</v>
      </c>
    </row>
    <row r="704" spans="1:40" x14ac:dyDescent="0.25">
      <c r="A704" t="str">
        <f>"20190303154432019"</f>
        <v>20190303154432019</v>
      </c>
      <c r="B704" t="str">
        <f>"1551599072011016"</f>
        <v>1551599072011016</v>
      </c>
      <c r="C704" t="s">
        <v>40</v>
      </c>
      <c r="D704">
        <v>4.6931599999999998</v>
      </c>
      <c r="E704">
        <v>0.50193140000000003</v>
      </c>
      <c r="F704" t="s">
        <v>41</v>
      </c>
      <c r="G704">
        <v>-250.50530000000001</v>
      </c>
      <c r="H704" s="1">
        <v>-4.5740039999999999E-6</v>
      </c>
      <c r="I704">
        <v>366.6934</v>
      </c>
      <c r="J704">
        <v>-301.30939999999998</v>
      </c>
      <c r="K704">
        <v>1.0709109999999999</v>
      </c>
      <c r="L704">
        <v>367.44420000000002</v>
      </c>
      <c r="M704">
        <v>0.99989600000000001</v>
      </c>
      <c r="N704">
        <v>-1.442003E-2</v>
      </c>
      <c r="O704">
        <v>-3.3954449999999898E-4</v>
      </c>
      <c r="P704">
        <v>0.99426309999999996</v>
      </c>
      <c r="Q704">
        <v>-0.1063629</v>
      </c>
      <c r="R704">
        <v>-1.13262E-2</v>
      </c>
      <c r="S704">
        <v>3.0100099999999999</v>
      </c>
      <c r="T704">
        <v>-6.3065410000000002E-2</v>
      </c>
      <c r="U704">
        <v>-4.4219969999999997E-2</v>
      </c>
      <c r="V704">
        <v>1.0984880000000001E-2</v>
      </c>
      <c r="W704">
        <v>-9.2014890000000002E-2</v>
      </c>
      <c r="X704">
        <v>0.99569700000000005</v>
      </c>
      <c r="Y704">
        <v>1.4344539999999999E-2</v>
      </c>
      <c r="Z704">
        <v>-2.5148560000000001E-4</v>
      </c>
      <c r="AA704">
        <v>0.99989709999999998</v>
      </c>
      <c r="AB704">
        <v>32</v>
      </c>
      <c r="AC704">
        <v>50.804099999999899</v>
      </c>
      <c r="AD704">
        <v>-1.0709155740039999</v>
      </c>
      <c r="AE704">
        <v>-0.750800000000026</v>
      </c>
      <c r="AF704">
        <v>0.73322218380382198</v>
      </c>
      <c r="AG704">
        <v>-1.0709155740039999</v>
      </c>
      <c r="AH704">
        <v>50.781792700594004</v>
      </c>
      <c r="AI704">
        <v>91.207981319286304</v>
      </c>
      <c r="AJ704">
        <v>89.172781910237703</v>
      </c>
      <c r="AK704">
        <v>50.7983754151997</v>
      </c>
      <c r="AL704">
        <v>95.279533074450796</v>
      </c>
      <c r="AM704">
        <v>89.367918423481598</v>
      </c>
      <c r="AN704">
        <v>0.99999996168966199</v>
      </c>
    </row>
    <row r="705" spans="1:40" x14ac:dyDescent="0.25">
      <c r="A705" t="str">
        <f>"20190303154432033"</f>
        <v>20190303154432033</v>
      </c>
      <c r="B705" t="str">
        <f>"1551599072020773"</f>
        <v>1551599072020773</v>
      </c>
      <c r="C705" t="s">
        <v>40</v>
      </c>
      <c r="D705">
        <v>4.6998850000000001</v>
      </c>
      <c r="E705">
        <v>0.50210619999999995</v>
      </c>
      <c r="F705" t="s">
        <v>41</v>
      </c>
      <c r="G705">
        <v>-251.49619999999999</v>
      </c>
      <c r="H705" s="1">
        <v>-4.1474950000000002E-6</v>
      </c>
      <c r="I705">
        <v>366.7013</v>
      </c>
      <c r="J705">
        <v>-301.11470000000003</v>
      </c>
      <c r="K705">
        <v>1.0709109999999999</v>
      </c>
      <c r="L705">
        <v>367.44420000000002</v>
      </c>
      <c r="M705">
        <v>0.99989609999999995</v>
      </c>
      <c r="N705">
        <v>-1.4415020000000001E-2</v>
      </c>
      <c r="O705">
        <v>-3.3962759999999999E-4</v>
      </c>
      <c r="P705">
        <v>0.99425600000000003</v>
      </c>
      <c r="Q705">
        <v>-0.1064243</v>
      </c>
      <c r="R705">
        <v>-1.135513E-2</v>
      </c>
      <c r="S705">
        <v>3.0098569999999998</v>
      </c>
      <c r="T705">
        <v>-6.4707760000000003E-2</v>
      </c>
      <c r="U705">
        <v>-4.4891359999999998E-2</v>
      </c>
      <c r="V705">
        <v>1.1013749999999999E-2</v>
      </c>
      <c r="W705">
        <v>-9.2081419999999997E-2</v>
      </c>
      <c r="X705">
        <v>0.99569059999999998</v>
      </c>
      <c r="Y705">
        <v>1.456788E-2</v>
      </c>
      <c r="Z705">
        <v>-2.591928E-4</v>
      </c>
      <c r="AA705">
        <v>0.99989380000000005</v>
      </c>
      <c r="AB705">
        <v>32</v>
      </c>
      <c r="AC705">
        <v>49.618499999999997</v>
      </c>
      <c r="AD705">
        <v>-1.0709151474950001</v>
      </c>
      <c r="AE705">
        <v>-0.74290000000001999</v>
      </c>
      <c r="AF705">
        <v>0.72570841754903204</v>
      </c>
      <c r="AG705">
        <v>-1.0709151474950001</v>
      </c>
      <c r="AH705">
        <v>49.595651752953103</v>
      </c>
      <c r="AI705">
        <v>91.236858831620907</v>
      </c>
      <c r="AJ705">
        <v>89.161679283838893</v>
      </c>
      <c r="AK705">
        <v>49.612520443539701</v>
      </c>
      <c r="AL705">
        <v>95.283360848984401</v>
      </c>
      <c r="AM705">
        <v>89.366253275380203</v>
      </c>
      <c r="AN705">
        <v>1.0000000307633099</v>
      </c>
    </row>
    <row r="706" spans="1:40" x14ac:dyDescent="0.25">
      <c r="A706" t="str">
        <f>"20190303154432052"</f>
        <v>20190303154432052</v>
      </c>
      <c r="B706" t="str">
        <f>"1551599072041269"</f>
        <v>1551599072041269</v>
      </c>
      <c r="C706" t="s">
        <v>40</v>
      </c>
      <c r="D706">
        <v>4.683935</v>
      </c>
      <c r="E706">
        <v>0.50220699999999996</v>
      </c>
      <c r="F706" t="s">
        <v>41</v>
      </c>
      <c r="G706">
        <v>-250.2123</v>
      </c>
      <c r="H706" s="1">
        <v>-4.7055780000000001E-6</v>
      </c>
      <c r="I706">
        <v>366.66019999999997</v>
      </c>
      <c r="J706">
        <v>-300.83150000000001</v>
      </c>
      <c r="K706">
        <v>1.070902</v>
      </c>
      <c r="L706">
        <v>367.44409999999999</v>
      </c>
      <c r="M706">
        <v>0.99989620000000001</v>
      </c>
      <c r="N706">
        <v>-1.440812E-2</v>
      </c>
      <c r="O706">
        <v>-3.3945859999999999E-4</v>
      </c>
      <c r="P706">
        <v>0.99424049999999997</v>
      </c>
      <c r="Q706">
        <v>-0.10654420000000001</v>
      </c>
      <c r="R706">
        <v>-1.157411E-2</v>
      </c>
      <c r="S706">
        <v>3.01004</v>
      </c>
      <c r="T706">
        <v>-6.3326950000000007E-2</v>
      </c>
      <c r="U706">
        <v>-4.6356199999999903E-2</v>
      </c>
      <c r="V706">
        <v>1.1233190000000001E-2</v>
      </c>
      <c r="W706">
        <v>-9.2208360000000003E-2</v>
      </c>
      <c r="X706">
        <v>0.99567640000000002</v>
      </c>
      <c r="Y706">
        <v>1.505364E-2</v>
      </c>
      <c r="Z706">
        <v>-2.6455659999999998E-4</v>
      </c>
      <c r="AA706">
        <v>0.99988659999999996</v>
      </c>
      <c r="AB706">
        <v>31</v>
      </c>
      <c r="AC706">
        <v>50.619199999999999</v>
      </c>
      <c r="AD706">
        <v>-1.0709067055779999</v>
      </c>
      <c r="AE706">
        <v>-0.78390000000001603</v>
      </c>
      <c r="AF706">
        <v>0.76637211704936203</v>
      </c>
      <c r="AG706">
        <v>-1.0709067055779999</v>
      </c>
      <c r="AH706">
        <v>50.596822409254401</v>
      </c>
      <c r="AI706">
        <v>91.212373376831195</v>
      </c>
      <c r="AJ706">
        <v>89.132227514163503</v>
      </c>
      <c r="AK706">
        <v>50.613956625692403</v>
      </c>
      <c r="AL706">
        <v>95.290665054707304</v>
      </c>
      <c r="AM706">
        <v>89.353618231248007</v>
      </c>
      <c r="AN706">
        <v>1.00000002986421</v>
      </c>
    </row>
    <row r="707" spans="1:40" x14ac:dyDescent="0.25">
      <c r="A707" t="str">
        <f>"20190303154432074"</f>
        <v>20190303154432074</v>
      </c>
      <c r="B707" t="str">
        <f>"1551599072071525"</f>
        <v>1551599072071525</v>
      </c>
      <c r="C707" t="s">
        <v>40</v>
      </c>
      <c r="D707">
        <v>4.7611400000000001</v>
      </c>
      <c r="E707">
        <v>0.50216779999999905</v>
      </c>
      <c r="F707" t="s">
        <v>41</v>
      </c>
      <c r="G707">
        <v>-250.37200000000001</v>
      </c>
      <c r="H707" s="1">
        <v>-4.6407960000000004E-6</v>
      </c>
      <c r="I707">
        <v>366.63929999999999</v>
      </c>
      <c r="J707">
        <v>-300.52859999999998</v>
      </c>
      <c r="K707">
        <v>1.070902</v>
      </c>
      <c r="L707">
        <v>367.44400000000002</v>
      </c>
      <c r="M707">
        <v>0.99989629999999996</v>
      </c>
      <c r="N707">
        <v>-1.4401270000000001E-2</v>
      </c>
      <c r="O707">
        <v>-3.394092E-4</v>
      </c>
      <c r="P707">
        <v>0.99419869999999999</v>
      </c>
      <c r="Q707">
        <v>-0.1068664</v>
      </c>
      <c r="R707">
        <v>-1.220605E-2</v>
      </c>
      <c r="S707">
        <v>3.009979</v>
      </c>
      <c r="T707">
        <v>-6.3880919999999994E-2</v>
      </c>
      <c r="U707">
        <v>-4.8004150000000002E-2</v>
      </c>
      <c r="V707">
        <v>1.186481E-2</v>
      </c>
      <c r="W707">
        <v>-9.2537980000000006E-2</v>
      </c>
      <c r="X707">
        <v>0.99563849999999998</v>
      </c>
      <c r="Y707">
        <v>1.560101E-2</v>
      </c>
      <c r="Z707">
        <v>-2.7557839999999998E-4</v>
      </c>
      <c r="AA707">
        <v>0.9998783</v>
      </c>
      <c r="AB707">
        <v>31</v>
      </c>
      <c r="AC707">
        <v>50.156599999999898</v>
      </c>
      <c r="AD707">
        <v>-1.070906640796</v>
      </c>
      <c r="AE707">
        <v>-0.80470000000002495</v>
      </c>
      <c r="AF707">
        <v>0.78731575135444298</v>
      </c>
      <c r="AG707">
        <v>-1.070906640796</v>
      </c>
      <c r="AH707">
        <v>50.134021228983499</v>
      </c>
      <c r="AI707">
        <v>91.223551156089499</v>
      </c>
      <c r="AJ707">
        <v>89.100288371664604</v>
      </c>
      <c r="AK707">
        <v>50.151637976379199</v>
      </c>
      <c r="AL707">
        <v>95.309631944583998</v>
      </c>
      <c r="AM707">
        <v>89.317250828603207</v>
      </c>
      <c r="AN707">
        <v>1.00000003707053</v>
      </c>
    </row>
    <row r="708" spans="1:40" x14ac:dyDescent="0.25">
      <c r="A708" t="str">
        <f>"20190303154432099"</f>
        <v>20190303154432099</v>
      </c>
      <c r="B708" t="str">
        <f>"1551599072091044"</f>
        <v>1551599072091044</v>
      </c>
      <c r="C708" t="s">
        <v>40</v>
      </c>
      <c r="D708">
        <v>4.7821040000000004</v>
      </c>
      <c r="E708">
        <v>0.50205569999999999</v>
      </c>
      <c r="F708" t="s">
        <v>41</v>
      </c>
      <c r="G708">
        <v>-251.81020000000001</v>
      </c>
      <c r="H708" s="1">
        <v>-4.0229330000000003E-6</v>
      </c>
      <c r="I708">
        <v>366.64420000000001</v>
      </c>
      <c r="J708">
        <v>-300.18709999999999</v>
      </c>
      <c r="K708">
        <v>1.070905</v>
      </c>
      <c r="L708">
        <v>367.44389999999999</v>
      </c>
      <c r="M708">
        <v>0.99989649999999997</v>
      </c>
      <c r="N708">
        <v>-1.439404E-2</v>
      </c>
      <c r="O708">
        <v>-3.3911869999999998E-4</v>
      </c>
      <c r="P708">
        <v>0.99418720000000005</v>
      </c>
      <c r="Q708">
        <v>-0.10694720000000001</v>
      </c>
      <c r="R708">
        <v>-1.243347E-2</v>
      </c>
      <c r="S708">
        <v>3.0097960000000001</v>
      </c>
      <c r="T708">
        <v>-6.6159839999999998E-2</v>
      </c>
      <c r="U708">
        <v>-4.9407960000000001E-2</v>
      </c>
      <c r="V708">
        <v>1.2092459999999999E-2</v>
      </c>
      <c r="W708">
        <v>-9.2626109999999998E-2</v>
      </c>
      <c r="X708">
        <v>0.9956275</v>
      </c>
      <c r="Y708">
        <v>1.6067990000000001E-2</v>
      </c>
      <c r="Z708">
        <v>-2.8967259999999997E-4</v>
      </c>
      <c r="AA708">
        <v>0.99987079999999995</v>
      </c>
      <c r="AB708">
        <v>31</v>
      </c>
      <c r="AC708">
        <v>48.3768999999999</v>
      </c>
      <c r="AD708">
        <v>-1.0709090229330001</v>
      </c>
      <c r="AE708">
        <v>-0.79969999999997299</v>
      </c>
      <c r="AF708">
        <v>0.78290919551468297</v>
      </c>
      <c r="AG708">
        <v>-1.0709090229330001</v>
      </c>
      <c r="AH708">
        <v>48.353479906329397</v>
      </c>
      <c r="AI708">
        <v>91.268585023872205</v>
      </c>
      <c r="AJ708">
        <v>89.072383758060596</v>
      </c>
      <c r="AK708">
        <v>48.371673653034001</v>
      </c>
      <c r="AL708">
        <v>95.314703552756498</v>
      </c>
      <c r="AM708">
        <v>89.304144515335807</v>
      </c>
      <c r="AN708">
        <v>0.99999997129941598</v>
      </c>
    </row>
    <row r="709" spans="1:40" x14ac:dyDescent="0.25">
      <c r="A709" t="str">
        <f>"20190303154432122"</f>
        <v>20190303154432122</v>
      </c>
      <c r="B709" t="str">
        <f>"1551599072111543"</f>
        <v>1551599072111543</v>
      </c>
      <c r="C709" t="s">
        <v>40</v>
      </c>
      <c r="D709">
        <v>4.8165040000000001</v>
      </c>
      <c r="E709">
        <v>0.50193149999999997</v>
      </c>
      <c r="F709" t="s">
        <v>41</v>
      </c>
      <c r="G709">
        <v>-253.21950000000001</v>
      </c>
      <c r="H709" s="1">
        <v>-3.4117650000000002E-6</v>
      </c>
      <c r="I709">
        <v>366.6814</v>
      </c>
      <c r="J709">
        <v>-299.87459999999999</v>
      </c>
      <c r="K709">
        <v>1.0709090000000001</v>
      </c>
      <c r="L709">
        <v>367.44380000000001</v>
      </c>
      <c r="M709">
        <v>0.99989660000000002</v>
      </c>
      <c r="N709">
        <v>-1.438791E-2</v>
      </c>
      <c r="O709">
        <v>-3.3907419999999999E-4</v>
      </c>
      <c r="P709">
        <v>0.99420489999999995</v>
      </c>
      <c r="Q709">
        <v>-0.1067516</v>
      </c>
      <c r="R709">
        <v>-1.2690420000000001E-2</v>
      </c>
      <c r="S709">
        <v>3.0095519999999998</v>
      </c>
      <c r="T709">
        <v>-6.8620680000000003E-2</v>
      </c>
      <c r="U709">
        <v>-4.8858640000000002E-2</v>
      </c>
      <c r="V709">
        <v>1.234966E-2</v>
      </c>
      <c r="W709">
        <v>-9.2436480000000001E-2</v>
      </c>
      <c r="X709">
        <v>0.99564200000000003</v>
      </c>
      <c r="Y709">
        <v>1.5886600000000001E-2</v>
      </c>
      <c r="Z709">
        <v>-2.9255310000000001E-4</v>
      </c>
      <c r="AA709">
        <v>0.99987380000000003</v>
      </c>
      <c r="AB709">
        <v>31</v>
      </c>
      <c r="AC709">
        <v>46.655099999999898</v>
      </c>
      <c r="AD709">
        <v>-1.070912411765</v>
      </c>
      <c r="AE709">
        <v>-0.76240000000001296</v>
      </c>
      <c r="AF709">
        <v>0.74618573693416901</v>
      </c>
      <c r="AG709">
        <v>-1.070912411765</v>
      </c>
      <c r="AH709">
        <v>46.630793697153699</v>
      </c>
      <c r="AI709">
        <v>91.3154424859313</v>
      </c>
      <c r="AJ709">
        <v>89.083231456311907</v>
      </c>
      <c r="AK709">
        <v>46.649057518605801</v>
      </c>
      <c r="AL709">
        <v>95.303791562779395</v>
      </c>
      <c r="AM709">
        <v>89.289355900989094</v>
      </c>
      <c r="AN709">
        <v>1.00000000455045</v>
      </c>
    </row>
    <row r="710" spans="1:40" x14ac:dyDescent="0.25">
      <c r="A710" t="str">
        <f>"20190303154432142"</f>
        <v>20190303154432142</v>
      </c>
      <c r="B710" t="str">
        <f>"1551599072131062"</f>
        <v>1551599072131062</v>
      </c>
      <c r="C710" t="s">
        <v>40</v>
      </c>
      <c r="D710">
        <v>4.8649659999999999</v>
      </c>
      <c r="E710">
        <v>0.50196249999999998</v>
      </c>
      <c r="F710" t="s">
        <v>41</v>
      </c>
      <c r="G710">
        <v>-253.7841</v>
      </c>
      <c r="H710" s="1">
        <v>-3.1679549999999998E-6</v>
      </c>
      <c r="I710">
        <v>366.69029999999998</v>
      </c>
      <c r="J710">
        <v>-299.5795</v>
      </c>
      <c r="K710">
        <v>1.0709090000000001</v>
      </c>
      <c r="L710">
        <v>367.44369999999998</v>
      </c>
      <c r="M710">
        <v>0.99989649999999997</v>
      </c>
      <c r="N710">
        <v>-1.438243E-2</v>
      </c>
      <c r="O710">
        <v>-3.3903449999999903E-4</v>
      </c>
      <c r="P710">
        <v>0.9942993</v>
      </c>
      <c r="Q710">
        <v>-0.1059055</v>
      </c>
      <c r="R710">
        <v>-1.237279E-2</v>
      </c>
      <c r="S710">
        <v>3.0093380000000001</v>
      </c>
      <c r="T710">
        <v>-6.9921730000000001E-2</v>
      </c>
      <c r="U710">
        <v>-4.9194340000000003E-2</v>
      </c>
      <c r="V710">
        <v>1.2031989999999999E-2</v>
      </c>
      <c r="W710">
        <v>-9.1594480000000006E-2</v>
      </c>
      <c r="X710">
        <v>0.99572369999999999</v>
      </c>
      <c r="Y710">
        <v>1.5999039999999999E-2</v>
      </c>
      <c r="Z710">
        <v>-2.97922E-4</v>
      </c>
      <c r="AA710">
        <v>0.99987199999999998</v>
      </c>
      <c r="AB710">
        <v>31</v>
      </c>
      <c r="AC710">
        <v>45.795400000000001</v>
      </c>
      <c r="AD710">
        <v>-1.070912167955</v>
      </c>
      <c r="AE710">
        <v>-0.75339999999999896</v>
      </c>
      <c r="AF710">
        <v>0.73746895805323898</v>
      </c>
      <c r="AG710">
        <v>-1.070912167955</v>
      </c>
      <c r="AH710">
        <v>45.770630169191698</v>
      </c>
      <c r="AI710">
        <v>91.340151874713598</v>
      </c>
      <c r="AJ710">
        <v>89.076914545671499</v>
      </c>
      <c r="AK710">
        <v>45.789095857207002</v>
      </c>
      <c r="AL710">
        <v>95.255342988432503</v>
      </c>
      <c r="AM710">
        <v>89.307690782374394</v>
      </c>
      <c r="AN710">
        <v>1.00000000214576</v>
      </c>
    </row>
    <row r="711" spans="1:40" x14ac:dyDescent="0.25">
      <c r="A711" t="str">
        <f>"20190303154432164"</f>
        <v>20190303154432164</v>
      </c>
      <c r="B711" t="str">
        <f>"1551599072161317"</f>
        <v>1551599072161317</v>
      </c>
      <c r="C711" t="s">
        <v>40</v>
      </c>
      <c r="D711">
        <v>4.8574260000000002</v>
      </c>
      <c r="E711">
        <v>0.5019808</v>
      </c>
      <c r="F711" t="s">
        <v>41</v>
      </c>
      <c r="G711">
        <v>-252.95679999999999</v>
      </c>
      <c r="H711" s="1">
        <v>-3.5233499999999999E-6</v>
      </c>
      <c r="I711">
        <v>366.68759999999997</v>
      </c>
      <c r="J711">
        <v>-299.27760000000001</v>
      </c>
      <c r="K711">
        <v>1.0709090000000001</v>
      </c>
      <c r="L711">
        <v>367.4436</v>
      </c>
      <c r="M711">
        <v>0.99989680000000003</v>
      </c>
      <c r="N711">
        <v>-1.43771E-2</v>
      </c>
      <c r="O711">
        <v>-3.3899590000000001E-4</v>
      </c>
      <c r="P711">
        <v>0.9943478</v>
      </c>
      <c r="Q711">
        <v>-0.10545359999999999</v>
      </c>
      <c r="R711">
        <v>-1.2357150000000001E-2</v>
      </c>
      <c r="S711">
        <v>3.0092469999999998</v>
      </c>
      <c r="T711">
        <v>-6.9121479999999999E-2</v>
      </c>
      <c r="U711">
        <v>-4.8797609999999998E-2</v>
      </c>
      <c r="V711">
        <v>1.2016229999999999E-2</v>
      </c>
      <c r="W711">
        <v>-9.1147279999999997E-2</v>
      </c>
      <c r="X711">
        <v>0.99576489999999995</v>
      </c>
      <c r="Y711">
        <v>1.586798E-2</v>
      </c>
      <c r="Z711">
        <v>-2.9339930000000001E-4</v>
      </c>
      <c r="AA711">
        <v>0.99987409999999999</v>
      </c>
      <c r="AB711">
        <v>31</v>
      </c>
      <c r="AC711">
        <v>46.320799999999998</v>
      </c>
      <c r="AD711">
        <v>-1.0709125233499901</v>
      </c>
      <c r="AE711">
        <v>-0.75600000000002798</v>
      </c>
      <c r="AF711">
        <v>0.73990039660390206</v>
      </c>
      <c r="AG711">
        <v>-1.0709125233499901</v>
      </c>
      <c r="AH711">
        <v>46.296314388873597</v>
      </c>
      <c r="AI711">
        <v>91.324943418526203</v>
      </c>
      <c r="AJ711">
        <v>89.084385836028602</v>
      </c>
      <c r="AK711">
        <v>46.3146092742127</v>
      </c>
      <c r="AL711">
        <v>95.229612819843297</v>
      </c>
      <c r="AM711">
        <v>89.308626113799306</v>
      </c>
      <c r="AN711">
        <v>0.99999997625340997</v>
      </c>
    </row>
    <row r="712" spans="1:40" x14ac:dyDescent="0.25">
      <c r="A712" t="str">
        <f>"20190303154432187"</f>
        <v>20190303154432187</v>
      </c>
      <c r="B712" t="str">
        <f>"1551599072180841"</f>
        <v>1551599072180841</v>
      </c>
      <c r="C712" t="s">
        <v>40</v>
      </c>
      <c r="D712">
        <v>4.8493219999999999</v>
      </c>
      <c r="E712">
        <v>0.50200929999999999</v>
      </c>
      <c r="F712" t="s">
        <v>41</v>
      </c>
      <c r="G712">
        <v>-253.58789999999999</v>
      </c>
      <c r="H712" s="1">
        <v>-3.2498389999999998E-6</v>
      </c>
      <c r="I712">
        <v>366.70310000000001</v>
      </c>
      <c r="J712">
        <v>-298.95510000000002</v>
      </c>
      <c r="K712">
        <v>1.0709120000000001</v>
      </c>
      <c r="L712">
        <v>367.44349999999997</v>
      </c>
      <c r="M712">
        <v>0.99989660000000002</v>
      </c>
      <c r="N712">
        <v>-1.4371709999999999E-2</v>
      </c>
      <c r="O712">
        <v>-3.3883790000000002E-4</v>
      </c>
      <c r="P712">
        <v>0.99439849999999996</v>
      </c>
      <c r="Q712">
        <v>-0.1050007</v>
      </c>
      <c r="R712">
        <v>-1.2098650000000001E-2</v>
      </c>
      <c r="S712">
        <v>3.0090029999999999</v>
      </c>
      <c r="T712">
        <v>-7.0527320000000004E-2</v>
      </c>
      <c r="U712">
        <v>-4.8767089999999999E-2</v>
      </c>
      <c r="V712">
        <v>1.175822E-2</v>
      </c>
      <c r="W712">
        <v>-9.0699080000000001E-2</v>
      </c>
      <c r="X712">
        <v>0.9958089</v>
      </c>
      <c r="Y712">
        <v>1.5859089999999999E-2</v>
      </c>
      <c r="Z712">
        <v>-2.9674980000000002E-4</v>
      </c>
      <c r="AA712">
        <v>0.99987420000000005</v>
      </c>
      <c r="AB712">
        <v>31</v>
      </c>
      <c r="AC712">
        <v>45.367199999999997</v>
      </c>
      <c r="AD712">
        <v>-1.070915249839</v>
      </c>
      <c r="AE712">
        <v>-0.74039999999996498</v>
      </c>
      <c r="AF712">
        <v>0.72462257568662103</v>
      </c>
      <c r="AG712">
        <v>-1.070915249839</v>
      </c>
      <c r="AH712">
        <v>45.342189475169398</v>
      </c>
      <c r="AI712">
        <v>91.352817090654497</v>
      </c>
      <c r="AJ712">
        <v>89.084422657655907</v>
      </c>
      <c r="AK712">
        <v>45.360622612037602</v>
      </c>
      <c r="AL712">
        <v>95.2038260611954</v>
      </c>
      <c r="AM712">
        <v>89.323499645513706</v>
      </c>
      <c r="AN712">
        <v>0.99999997208481195</v>
      </c>
    </row>
    <row r="713" spans="1:40" x14ac:dyDescent="0.25">
      <c r="A713" t="str">
        <f>"20190303154432209"</f>
        <v>20190303154432209</v>
      </c>
      <c r="B713" t="str">
        <f>"1551599072201333"</f>
        <v>1551599072201333</v>
      </c>
      <c r="C713" t="s">
        <v>40</v>
      </c>
      <c r="D713">
        <v>4.9066689999999999</v>
      </c>
      <c r="E713">
        <v>0.50195559999999995</v>
      </c>
      <c r="F713" t="s">
        <v>41</v>
      </c>
      <c r="G713">
        <v>-253.88409999999999</v>
      </c>
      <c r="H713" s="1">
        <v>-3.1190920000000001E-6</v>
      </c>
      <c r="I713">
        <v>366.72390000000001</v>
      </c>
      <c r="J713">
        <v>-298.6549</v>
      </c>
      <c r="K713">
        <v>1.0709109999999999</v>
      </c>
      <c r="L713">
        <v>367.4434</v>
      </c>
      <c r="M713">
        <v>0.99989669999999997</v>
      </c>
      <c r="N713">
        <v>-1.436689E-2</v>
      </c>
      <c r="O713">
        <v>-3.3880329999999998E-4</v>
      </c>
      <c r="P713">
        <v>0.99433760000000004</v>
      </c>
      <c r="Q713">
        <v>-0.1055849</v>
      </c>
      <c r="R713">
        <v>-1.2031989999999999E-2</v>
      </c>
      <c r="S713">
        <v>3.008759</v>
      </c>
      <c r="T713">
        <v>-7.1489929999999993E-2</v>
      </c>
      <c r="U713">
        <v>-4.8034670000000002E-2</v>
      </c>
      <c r="V713">
        <v>1.1691450000000001E-2</v>
      </c>
      <c r="W713">
        <v>-9.1288830000000001E-2</v>
      </c>
      <c r="X713">
        <v>0.99575590000000003</v>
      </c>
      <c r="Y713">
        <v>1.561706E-2</v>
      </c>
      <c r="Z713">
        <v>-2.9453880000000001E-4</v>
      </c>
      <c r="AA713">
        <v>0.99987800000000004</v>
      </c>
      <c r="AB713">
        <v>31</v>
      </c>
      <c r="AC713">
        <v>44.770800000000001</v>
      </c>
      <c r="AD713">
        <v>-1.070914119092</v>
      </c>
      <c r="AE713">
        <v>-0.71949999999998204</v>
      </c>
      <c r="AF713">
        <v>0.70392724076504798</v>
      </c>
      <c r="AG713">
        <v>-1.070914119092</v>
      </c>
      <c r="AH713">
        <v>44.745446156979902</v>
      </c>
      <c r="AI713">
        <v>91.370855936271198</v>
      </c>
      <c r="AJ713">
        <v>89.098707540638401</v>
      </c>
      <c r="AK713">
        <v>44.7637947720917</v>
      </c>
      <c r="AL713">
        <v>95.237756464956206</v>
      </c>
      <c r="AM713">
        <v>89.327305053720593</v>
      </c>
      <c r="AN713">
        <v>1.0000000764353301</v>
      </c>
    </row>
    <row r="714" spans="1:40" x14ac:dyDescent="0.25">
      <c r="A714" t="str">
        <f>"20190303154432231"</f>
        <v>20190303154432231</v>
      </c>
      <c r="B714" t="str">
        <f>"1551599072220854"</f>
        <v>1551599072220854</v>
      </c>
      <c r="C714" t="s">
        <v>40</v>
      </c>
      <c r="D714">
        <v>4.9141079999999997</v>
      </c>
      <c r="E714">
        <v>0.50188259999999996</v>
      </c>
      <c r="F714" t="s">
        <v>41</v>
      </c>
      <c r="G714">
        <v>-255.92240000000001</v>
      </c>
      <c r="H714" s="1">
        <v>-2.2370739999999999E-6</v>
      </c>
      <c r="I714">
        <v>366.76670000000001</v>
      </c>
      <c r="J714">
        <v>-298.3365</v>
      </c>
      <c r="K714">
        <v>1.070908</v>
      </c>
      <c r="L714">
        <v>367.44319999999999</v>
      </c>
      <c r="M714">
        <v>0.99989689999999998</v>
      </c>
      <c r="N714">
        <v>-1.436191E-2</v>
      </c>
      <c r="O714">
        <v>-3.3876750000000003E-4</v>
      </c>
      <c r="P714">
        <v>0.99426519999999996</v>
      </c>
      <c r="Q714">
        <v>-0.106227</v>
      </c>
      <c r="R714">
        <v>-1.235283E-2</v>
      </c>
      <c r="S714">
        <v>3.0085139999999999</v>
      </c>
      <c r="T714">
        <v>-7.5395820000000002E-2</v>
      </c>
      <c r="U714">
        <v>-4.7637939999999997E-2</v>
      </c>
      <c r="V714">
        <v>1.2012460000000001E-2</v>
      </c>
      <c r="W714">
        <v>-9.193693E-2</v>
      </c>
      <c r="X714">
        <v>0.99569240000000003</v>
      </c>
      <c r="Y714">
        <v>1.5486E-2</v>
      </c>
      <c r="Z714">
        <v>-3.0162469999999998E-4</v>
      </c>
      <c r="AA714">
        <v>0.99987999999999999</v>
      </c>
      <c r="AB714">
        <v>31</v>
      </c>
      <c r="AC714">
        <v>42.414099999999898</v>
      </c>
      <c r="AD714">
        <v>-1.070910237074</v>
      </c>
      <c r="AE714">
        <v>-0.67649999999997501</v>
      </c>
      <c r="AF714">
        <v>0.66170822484210301</v>
      </c>
      <c r="AG714">
        <v>-1.070910237074</v>
      </c>
      <c r="AH714">
        <v>42.387311388778798</v>
      </c>
      <c r="AI714">
        <v>91.447086732667998</v>
      </c>
      <c r="AJ714">
        <v>89.105628361104607</v>
      </c>
      <c r="AK714">
        <v>42.406000439560302</v>
      </c>
      <c r="AL714">
        <v>95.275046936343699</v>
      </c>
      <c r="AM714">
        <v>89.308792685225498</v>
      </c>
      <c r="AN714">
        <v>1.0000000268554099</v>
      </c>
    </row>
    <row r="715" spans="1:40" x14ac:dyDescent="0.25">
      <c r="A715" t="str">
        <f>"20190303154432254"</f>
        <v>20190303154432254</v>
      </c>
      <c r="B715" t="str">
        <f>"1551599072251109"</f>
        <v>1551599072251109</v>
      </c>
      <c r="C715" t="s">
        <v>40</v>
      </c>
      <c r="D715">
        <v>5.0228400000000004</v>
      </c>
      <c r="E715">
        <v>0.50062910000000005</v>
      </c>
      <c r="F715" t="s">
        <v>41</v>
      </c>
      <c r="G715">
        <v>-257.66410000000002</v>
      </c>
      <c r="H715" s="1">
        <v>-1.5317699999999999E-6</v>
      </c>
      <c r="I715">
        <v>366.7946</v>
      </c>
      <c r="J715">
        <v>-298.02539999999999</v>
      </c>
      <c r="K715">
        <v>1.0709029999999999</v>
      </c>
      <c r="L715">
        <v>367.44310000000002</v>
      </c>
      <c r="M715">
        <v>0.99989689999999998</v>
      </c>
      <c r="N715">
        <v>-1.435723E-2</v>
      </c>
      <c r="O715">
        <v>-3.3849550000000003E-4</v>
      </c>
      <c r="P715">
        <v>0.99423660000000003</v>
      </c>
      <c r="Q715">
        <v>-0.10647330000000001</v>
      </c>
      <c r="R715">
        <v>-1.254019E-2</v>
      </c>
      <c r="S715">
        <v>3.0083009999999999</v>
      </c>
      <c r="T715">
        <v>-7.9208730000000005E-2</v>
      </c>
      <c r="U715">
        <v>-4.7973630000000003E-2</v>
      </c>
      <c r="V715">
        <v>1.219991E-2</v>
      </c>
      <c r="W715">
        <v>-9.2188229999999996E-2</v>
      </c>
      <c r="X715">
        <v>0.99566690000000002</v>
      </c>
      <c r="Y715">
        <v>1.5598239999999999E-2</v>
      </c>
      <c r="Z715">
        <v>-3.132683E-4</v>
      </c>
      <c r="AA715">
        <v>0.9998783</v>
      </c>
      <c r="AB715">
        <v>31</v>
      </c>
      <c r="AC715">
        <v>40.3612999999999</v>
      </c>
      <c r="AD715">
        <v>-1.0709045317699999</v>
      </c>
      <c r="AE715">
        <v>-0.64850000000001196</v>
      </c>
      <c r="AF715">
        <v>0.63438994271572602</v>
      </c>
      <c r="AG715">
        <v>-1.0709045317699999</v>
      </c>
      <c r="AH715">
        <v>40.333130123056797</v>
      </c>
      <c r="AI715">
        <v>91.520742722925604</v>
      </c>
      <c r="AJ715">
        <v>89.098882997538993</v>
      </c>
      <c r="AK715">
        <v>40.352331687760199</v>
      </c>
      <c r="AL715">
        <v>95.289506694578805</v>
      </c>
      <c r="AM715">
        <v>89.297989744649996</v>
      </c>
      <c r="AN715">
        <v>1.0000000416550701</v>
      </c>
    </row>
    <row r="716" spans="1:40" x14ac:dyDescent="0.25">
      <c r="A716" t="str">
        <f>"20190303154432276"</f>
        <v>20190303154432276</v>
      </c>
      <c r="B716" t="str">
        <f>"1551599072270629"</f>
        <v>1551599072270629</v>
      </c>
      <c r="C716" t="s">
        <v>40</v>
      </c>
      <c r="D716">
        <v>4.9125550000000002</v>
      </c>
      <c r="E716">
        <v>0.50035149999999995</v>
      </c>
      <c r="F716" t="s">
        <v>41</v>
      </c>
      <c r="G716">
        <v>-269.29039999999998</v>
      </c>
      <c r="H716" s="1">
        <v>-9.0541129999999996E-7</v>
      </c>
      <c r="I716">
        <v>367.06869999999998</v>
      </c>
      <c r="J716">
        <v>-297.7201</v>
      </c>
      <c r="K716">
        <v>1.070902</v>
      </c>
      <c r="L716">
        <v>367.44310000000002</v>
      </c>
      <c r="M716">
        <v>0.99989700000000004</v>
      </c>
      <c r="N716">
        <v>-1.435287E-2</v>
      </c>
      <c r="O716">
        <v>-3.3870249999999998E-4</v>
      </c>
      <c r="P716">
        <v>0.99421110000000001</v>
      </c>
      <c r="Q716">
        <v>-0.1066719</v>
      </c>
      <c r="R716">
        <v>-1.2868610000000001E-2</v>
      </c>
      <c r="S716">
        <v>3.0049440000000001</v>
      </c>
      <c r="T716">
        <v>-0.1119888</v>
      </c>
      <c r="U716">
        <v>-3.9154050000000003E-2</v>
      </c>
      <c r="V716">
        <v>1.252813E-2</v>
      </c>
      <c r="W716">
        <v>-9.2391529999999999E-2</v>
      </c>
      <c r="X716">
        <v>0.99564390000000003</v>
      </c>
      <c r="Y716">
        <v>1.267796E-2</v>
      </c>
      <c r="Z716">
        <v>-3.1942759999999999E-4</v>
      </c>
      <c r="AA716">
        <v>0.99991960000000002</v>
      </c>
      <c r="AB716">
        <v>31</v>
      </c>
      <c r="AC716">
        <v>28.4297</v>
      </c>
      <c r="AD716">
        <v>-1.0709029054113</v>
      </c>
      <c r="AE716">
        <v>-0.37440000000003598</v>
      </c>
      <c r="AF716">
        <v>0.36425302312104701</v>
      </c>
      <c r="AG716">
        <v>-1.0709029054113</v>
      </c>
      <c r="AH716">
        <v>28.389549887666</v>
      </c>
      <c r="AI716">
        <v>92.160093990425494</v>
      </c>
      <c r="AJ716">
        <v>89.264905013908802</v>
      </c>
      <c r="AK716">
        <v>28.412075885474302</v>
      </c>
      <c r="AL716">
        <v>95.301205273934897</v>
      </c>
      <c r="AM716">
        <v>89.279088543485599</v>
      </c>
      <c r="AN716">
        <v>0.99999996223212295</v>
      </c>
    </row>
    <row r="717" spans="1:40" x14ac:dyDescent="0.25">
      <c r="A717" t="str">
        <f>"20190303154432300"</f>
        <v>20190303154432300</v>
      </c>
      <c r="B717" t="str">
        <f>"1551599072291125"</f>
        <v>1551599072291125</v>
      </c>
      <c r="C717" t="s">
        <v>40</v>
      </c>
      <c r="D717">
        <v>4.9364439999999998</v>
      </c>
      <c r="E717">
        <v>0.50015370000000003</v>
      </c>
      <c r="F717" t="s">
        <v>41</v>
      </c>
      <c r="G717">
        <v>-269.1771</v>
      </c>
      <c r="H717" s="1">
        <v>-9.4091759999999996E-7</v>
      </c>
      <c r="I717">
        <v>367.08010000000002</v>
      </c>
      <c r="J717">
        <v>-297.39440000000002</v>
      </c>
      <c r="K717">
        <v>1.0709059999999999</v>
      </c>
      <c r="L717">
        <v>367.44290000000001</v>
      </c>
      <c r="M717">
        <v>0.99989700000000004</v>
      </c>
      <c r="N717">
        <v>-1.4348369999999999E-2</v>
      </c>
      <c r="O717">
        <v>-3.3843170000000001E-4</v>
      </c>
      <c r="P717">
        <v>0.9941797</v>
      </c>
      <c r="Q717">
        <v>-0.106948</v>
      </c>
      <c r="R717">
        <v>-1.299783E-2</v>
      </c>
      <c r="S717">
        <v>3.0048520000000001</v>
      </c>
      <c r="T717">
        <v>-0.1127388</v>
      </c>
      <c r="U717">
        <v>-3.8208010000000001E-2</v>
      </c>
      <c r="V717">
        <v>1.2657710000000001E-2</v>
      </c>
      <c r="W717">
        <v>-9.267251E-2</v>
      </c>
      <c r="X717">
        <v>0.99561619999999995</v>
      </c>
      <c r="Y717">
        <v>1.236403E-2</v>
      </c>
      <c r="Z717">
        <v>-3.1276729999999998E-4</v>
      </c>
      <c r="AA717">
        <v>0.99992349999999997</v>
      </c>
      <c r="AB717">
        <v>31</v>
      </c>
      <c r="AC717">
        <v>28.217300000000002</v>
      </c>
      <c r="AD717">
        <v>-1.0709069409176</v>
      </c>
      <c r="AE717">
        <v>-0.36279999999999202</v>
      </c>
      <c r="AF717">
        <v>0.35274137489573598</v>
      </c>
      <c r="AG717">
        <v>-1.0709069409176</v>
      </c>
      <c r="AH717">
        <v>28.176842949414699</v>
      </c>
      <c r="AI717">
        <v>92.176401695786694</v>
      </c>
      <c r="AJ717">
        <v>89.282760798775598</v>
      </c>
      <c r="AK717">
        <v>28.199392666326201</v>
      </c>
      <c r="AL717">
        <v>95.317373329702704</v>
      </c>
      <c r="AM717">
        <v>89.271612603795006</v>
      </c>
      <c r="AN717">
        <v>1.0000000147172901</v>
      </c>
    </row>
    <row r="718" spans="1:40" x14ac:dyDescent="0.25">
      <c r="A718" t="str">
        <f>"20190303154432321"</f>
        <v>20190303154432321</v>
      </c>
      <c r="B718" t="str">
        <f>"1551599072310645"</f>
        <v>1551599072310645</v>
      </c>
      <c r="C718" t="s">
        <v>40</v>
      </c>
      <c r="D718">
        <v>4.9541690000000003</v>
      </c>
      <c r="E718">
        <v>0.50002570000000002</v>
      </c>
      <c r="F718" t="s">
        <v>41</v>
      </c>
      <c r="G718">
        <v>-270.00839999999999</v>
      </c>
      <c r="H718" s="1">
        <v>-4.7141570000000004E-6</v>
      </c>
      <c r="I718">
        <v>367.10489999999999</v>
      </c>
      <c r="J718">
        <v>-297.09320000000002</v>
      </c>
      <c r="K718">
        <v>1.0709029999999999</v>
      </c>
      <c r="L718">
        <v>367.44279999999998</v>
      </c>
      <c r="M718">
        <v>0.99989720000000004</v>
      </c>
      <c r="N718">
        <v>-1.434437E-2</v>
      </c>
      <c r="O718">
        <v>-3.3864129999999998E-4</v>
      </c>
      <c r="P718">
        <v>0.99421110000000001</v>
      </c>
      <c r="Q718">
        <v>-0.1066838</v>
      </c>
      <c r="R718">
        <v>-1.277793E-2</v>
      </c>
      <c r="S718">
        <v>3.0044249999999999</v>
      </c>
      <c r="T718">
        <v>-0.1174856</v>
      </c>
      <c r="U718">
        <v>-3.7078859999999998E-2</v>
      </c>
      <c r="V718">
        <v>1.2437399999999999E-2</v>
      </c>
      <c r="W718">
        <v>-9.2411939999999998E-2</v>
      </c>
      <c r="X718">
        <v>0.99564319999999895</v>
      </c>
      <c r="Y718">
        <v>1.1989400000000001E-2</v>
      </c>
      <c r="Z718">
        <v>-3.1198210000000002E-4</v>
      </c>
      <c r="AA718">
        <v>0.99992809999999999</v>
      </c>
      <c r="AB718">
        <v>31</v>
      </c>
      <c r="AC718">
        <v>27.084800000000001</v>
      </c>
      <c r="AD718">
        <v>-1.070907714157</v>
      </c>
      <c r="AE718">
        <v>-0.33789999999998999</v>
      </c>
      <c r="AF718">
        <v>0.32821397681645997</v>
      </c>
      <c r="AG718">
        <v>-1.070907714157</v>
      </c>
      <c r="AH718">
        <v>27.042642678891301</v>
      </c>
      <c r="AI718">
        <v>92.2676014720371</v>
      </c>
      <c r="AJ718">
        <v>89.3046407266215</v>
      </c>
      <c r="AK718">
        <v>27.065828840163299</v>
      </c>
      <c r="AL718">
        <v>95.3023794053302</v>
      </c>
      <c r="AM718">
        <v>89.284308409891395</v>
      </c>
      <c r="AN718">
        <v>1.0000000186397799</v>
      </c>
    </row>
    <row r="719" spans="1:40" x14ac:dyDescent="0.25">
      <c r="A719" t="str">
        <f>"20190303154432343"</f>
        <v>20190303154432343</v>
      </c>
      <c r="B719" t="str">
        <f>"1551599072340902"</f>
        <v>1551599072340902</v>
      </c>
      <c r="C719" t="s">
        <v>40</v>
      </c>
      <c r="D719">
        <v>4.922898</v>
      </c>
      <c r="E719">
        <v>0.50002590000000002</v>
      </c>
      <c r="F719" t="s">
        <v>41</v>
      </c>
      <c r="G719">
        <v>-269.47739999999999</v>
      </c>
      <c r="H719" s="1">
        <v>-8.2784480000000003E-7</v>
      </c>
      <c r="I719">
        <v>367.12110000000001</v>
      </c>
      <c r="J719">
        <v>-296.78809999999999</v>
      </c>
      <c r="K719">
        <v>1.0709040000000001</v>
      </c>
      <c r="L719">
        <v>367.4427</v>
      </c>
      <c r="M719">
        <v>0.99989720000000004</v>
      </c>
      <c r="N719">
        <v>-1.434042E-2</v>
      </c>
      <c r="O719">
        <v>-3.383746E-4</v>
      </c>
      <c r="P719">
        <v>0.99418589999999996</v>
      </c>
      <c r="Q719">
        <v>-0.1068981</v>
      </c>
      <c r="R719">
        <v>-1.293718E-2</v>
      </c>
      <c r="S719">
        <v>3.0045169999999999</v>
      </c>
      <c r="T719">
        <v>-0.11651069999999999</v>
      </c>
      <c r="U719">
        <v>-3.5003659999999999E-2</v>
      </c>
      <c r="V719">
        <v>1.259712E-2</v>
      </c>
      <c r="W719">
        <v>-9.263043E-2</v>
      </c>
      <c r="X719">
        <v>0.99562079999999997</v>
      </c>
      <c r="Y719">
        <v>1.129964E-2</v>
      </c>
      <c r="Z719">
        <v>-2.9180640000000001E-4</v>
      </c>
      <c r="AA719">
        <v>0.99993609999999999</v>
      </c>
      <c r="AB719">
        <v>31</v>
      </c>
      <c r="AC719">
        <v>27.310700000000001</v>
      </c>
      <c r="AD719">
        <v>-1.0709048278447999</v>
      </c>
      <c r="AE719">
        <v>-0.32159999999998901</v>
      </c>
      <c r="AF719">
        <v>0.31187831525547399</v>
      </c>
      <c r="AG719">
        <v>-1.0709048278447999</v>
      </c>
      <c r="AH719">
        <v>27.268885146863699</v>
      </c>
      <c r="AI719">
        <v>92.248819672097198</v>
      </c>
      <c r="AJ719">
        <v>89.3447281764997</v>
      </c>
      <c r="AK719">
        <v>27.291687422852199</v>
      </c>
      <c r="AL719">
        <v>95.314952355704193</v>
      </c>
      <c r="AM719">
        <v>89.275102228726396</v>
      </c>
      <c r="AN719">
        <v>0.99999993069345705</v>
      </c>
    </row>
    <row r="720" spans="1:40" x14ac:dyDescent="0.25">
      <c r="A720" t="str">
        <f>"20190303154432366"</f>
        <v>20190303154432366</v>
      </c>
      <c r="B720" t="str">
        <f>"1551599072361398"</f>
        <v>1551599072361398</v>
      </c>
      <c r="C720" t="s">
        <v>40</v>
      </c>
      <c r="D720">
        <v>4.9433429999999996</v>
      </c>
      <c r="E720">
        <v>0.50009759999999903</v>
      </c>
      <c r="F720" t="s">
        <v>41</v>
      </c>
      <c r="G720">
        <v>-269.45740000000001</v>
      </c>
      <c r="H720" s="1">
        <v>-8.3465339999999997E-7</v>
      </c>
      <c r="I720">
        <v>367.12090000000001</v>
      </c>
      <c r="J720">
        <v>-296.4735</v>
      </c>
      <c r="K720">
        <v>1.070902</v>
      </c>
      <c r="L720">
        <v>367.44260000000003</v>
      </c>
      <c r="M720">
        <v>0.99989729999999999</v>
      </c>
      <c r="N720">
        <v>-1.4336430000000001E-2</v>
      </c>
      <c r="O720">
        <v>-3.38346E-4</v>
      </c>
      <c r="P720">
        <v>0.99415209999999998</v>
      </c>
      <c r="Q720">
        <v>-0.1072473</v>
      </c>
      <c r="R720">
        <v>-1.264902E-2</v>
      </c>
      <c r="S720">
        <v>3.0043950000000001</v>
      </c>
      <c r="T720">
        <v>-0.1177216</v>
      </c>
      <c r="U720">
        <v>-3.5369869999999998E-2</v>
      </c>
      <c r="V720">
        <v>1.2308950000000001E-2</v>
      </c>
      <c r="W720">
        <v>-9.29841E-2</v>
      </c>
      <c r="X720">
        <v>0.99559149999999996</v>
      </c>
      <c r="Y720">
        <v>1.142167E-2</v>
      </c>
      <c r="Z720">
        <v>-2.9719540000000002E-4</v>
      </c>
      <c r="AA720">
        <v>0.99993469999999995</v>
      </c>
      <c r="AB720">
        <v>31</v>
      </c>
      <c r="AC720">
        <v>27.016099999999899</v>
      </c>
      <c r="AD720">
        <v>-1.0709028346534</v>
      </c>
      <c r="AE720">
        <v>-0.32170000000002102</v>
      </c>
      <c r="AF720">
        <v>0.31206797582523399</v>
      </c>
      <c r="AG720">
        <v>-1.0709028346534</v>
      </c>
      <c r="AH720">
        <v>26.973829758698798</v>
      </c>
      <c r="AI720">
        <v>92.273385216319994</v>
      </c>
      <c r="AJ720">
        <v>89.337158259854803</v>
      </c>
      <c r="AK720">
        <v>26.996883360011498</v>
      </c>
      <c r="AL720">
        <v>95.335303652679599</v>
      </c>
      <c r="AM720">
        <v>89.291662338595302</v>
      </c>
      <c r="AN720">
        <v>0.99999999398758099</v>
      </c>
    </row>
    <row r="721" spans="1:40" x14ac:dyDescent="0.25">
      <c r="A721" t="str">
        <f>"20190303154432388"</f>
        <v>20190303154432388</v>
      </c>
      <c r="B721" t="str">
        <f>"1551599072380918"</f>
        <v>1551599072380918</v>
      </c>
      <c r="C721" t="s">
        <v>40</v>
      </c>
      <c r="D721">
        <v>4.9133279999999999</v>
      </c>
      <c r="E721">
        <v>0.50010370000000004</v>
      </c>
      <c r="F721" t="s">
        <v>41</v>
      </c>
      <c r="G721">
        <v>-269.42989999999998</v>
      </c>
      <c r="H721" s="1">
        <v>-8.431396E-7</v>
      </c>
      <c r="I721">
        <v>367.12419999999997</v>
      </c>
      <c r="J721">
        <v>-296.16390000000001</v>
      </c>
      <c r="K721">
        <v>1.070902</v>
      </c>
      <c r="L721">
        <v>367.4425</v>
      </c>
      <c r="M721">
        <v>0.99989729999999999</v>
      </c>
      <c r="N721">
        <v>-1.4332599999999999E-2</v>
      </c>
      <c r="O721">
        <v>-3.383185E-4</v>
      </c>
      <c r="P721">
        <v>0.99411510000000003</v>
      </c>
      <c r="Q721">
        <v>-0.10760110000000001</v>
      </c>
      <c r="R721">
        <v>-1.2541979999999999E-2</v>
      </c>
      <c r="S721">
        <v>3.0043329999999999</v>
      </c>
      <c r="T721">
        <v>-0.1189687</v>
      </c>
      <c r="U721">
        <v>-3.5369869999999998E-2</v>
      </c>
      <c r="V721">
        <v>1.2202060000000001E-2</v>
      </c>
      <c r="W721">
        <v>-9.3342259999999996E-2</v>
      </c>
      <c r="X721">
        <v>0.99555930000000004</v>
      </c>
      <c r="Y721">
        <v>1.142172E-2</v>
      </c>
      <c r="Z721">
        <v>-2.994068E-4</v>
      </c>
      <c r="AA721">
        <v>0.99993469999999995</v>
      </c>
      <c r="AB721">
        <v>31</v>
      </c>
      <c r="AC721">
        <v>26.734000000000002</v>
      </c>
      <c r="AD721">
        <v>-1.0709028431395999</v>
      </c>
      <c r="AE721">
        <v>-0.31830000000002101</v>
      </c>
      <c r="AF721">
        <v>0.30875907571419298</v>
      </c>
      <c r="AG721">
        <v>-1.0709028431395999</v>
      </c>
      <c r="AH721">
        <v>26.691282866340401</v>
      </c>
      <c r="AI721">
        <v>92.297425079457796</v>
      </c>
      <c r="AJ721">
        <v>89.337244185843403</v>
      </c>
      <c r="AK721">
        <v>26.7145418474149</v>
      </c>
      <c r="AL721">
        <v>95.3559143492879</v>
      </c>
      <c r="AM721">
        <v>89.297790162194602</v>
      </c>
      <c r="AN721">
        <v>0.99999999379332005</v>
      </c>
    </row>
    <row r="722" spans="1:40" x14ac:dyDescent="0.25">
      <c r="A722" t="str">
        <f>"20190303154432411"</f>
        <v>20190303154432411</v>
      </c>
      <c r="B722" t="str">
        <f>"1551599072401413"</f>
        <v>1551599072401413</v>
      </c>
      <c r="C722" t="s">
        <v>40</v>
      </c>
      <c r="D722">
        <v>4.9349689999999997</v>
      </c>
      <c r="E722">
        <v>0.50018039999999997</v>
      </c>
      <c r="F722" t="s">
        <v>41</v>
      </c>
      <c r="G722">
        <v>-269.77080000000001</v>
      </c>
      <c r="H722" s="1">
        <v>-7.2463259999999895E-7</v>
      </c>
      <c r="I722">
        <v>367.1336</v>
      </c>
      <c r="J722">
        <v>-295.85860000000002</v>
      </c>
      <c r="K722">
        <v>1.0708979999999999</v>
      </c>
      <c r="L722">
        <v>367.44240000000002</v>
      </c>
      <c r="M722">
        <v>0.99989740000000005</v>
      </c>
      <c r="N722">
        <v>-1.432889E-2</v>
      </c>
      <c r="O722">
        <v>-3.3817260000000002E-4</v>
      </c>
      <c r="P722">
        <v>0.99417290000000003</v>
      </c>
      <c r="Q722">
        <v>-0.1071105</v>
      </c>
      <c r="R722">
        <v>-1.215575E-2</v>
      </c>
      <c r="S722">
        <v>3.0041199999999999</v>
      </c>
      <c r="T722">
        <v>-0.1218925</v>
      </c>
      <c r="U722">
        <v>-3.515625E-2</v>
      </c>
      <c r="V722">
        <v>1.1815819999999999E-2</v>
      </c>
      <c r="W722">
        <v>-9.2854519999999996E-2</v>
      </c>
      <c r="X722">
        <v>0.99560959999999998</v>
      </c>
      <c r="Y722">
        <v>1.1351170000000001E-2</v>
      </c>
      <c r="Z722">
        <v>-3.0269100000000001E-4</v>
      </c>
      <c r="AA722">
        <v>0.99993549999999998</v>
      </c>
      <c r="AB722">
        <v>31</v>
      </c>
      <c r="AC722">
        <v>26.087800000000001</v>
      </c>
      <c r="AD722">
        <v>-1.0708987246325901</v>
      </c>
      <c r="AE722">
        <v>-0.308800000000019</v>
      </c>
      <c r="AF722">
        <v>0.29947233271173102</v>
      </c>
      <c r="AG722">
        <v>-1.0708987246325901</v>
      </c>
      <c r="AH722">
        <v>26.044022694803299</v>
      </c>
      <c r="AI722">
        <v>92.354451284261899</v>
      </c>
      <c r="AJ722">
        <v>89.341202210817201</v>
      </c>
      <c r="AK722">
        <v>26.067750687082899</v>
      </c>
      <c r="AL722">
        <v>95.327846836752897</v>
      </c>
      <c r="AM722">
        <v>89.320049911418096</v>
      </c>
      <c r="AN722">
        <v>1.0000000255494299</v>
      </c>
    </row>
    <row r="723" spans="1:40" x14ac:dyDescent="0.25">
      <c r="A723" t="str">
        <f>"20190303154432432"</f>
        <v>20190303154432432</v>
      </c>
      <c r="B723" t="str">
        <f>"1551599072420934"</f>
        <v>1551599072420934</v>
      </c>
      <c r="C723" t="s">
        <v>40</v>
      </c>
      <c r="D723">
        <v>4.8899499999999998</v>
      </c>
      <c r="E723">
        <v>0.5001951</v>
      </c>
      <c r="F723" t="s">
        <v>41</v>
      </c>
      <c r="G723">
        <v>-269.0915</v>
      </c>
      <c r="H723" s="1">
        <v>-9.5510949999999991E-7</v>
      </c>
      <c r="I723">
        <v>367.13619999999997</v>
      </c>
      <c r="J723">
        <v>-295.5582</v>
      </c>
      <c r="K723">
        <v>1.0709</v>
      </c>
      <c r="L723">
        <v>367.44229999999999</v>
      </c>
      <c r="M723">
        <v>0.99989740000000005</v>
      </c>
      <c r="N723">
        <v>-1.4325279999999999E-2</v>
      </c>
      <c r="O723">
        <v>-3.3814670000000002E-4</v>
      </c>
      <c r="P723">
        <v>0.99411870000000002</v>
      </c>
      <c r="Q723">
        <v>-0.1075851</v>
      </c>
      <c r="R723">
        <v>-1.2405269999999999E-2</v>
      </c>
      <c r="S723">
        <v>3.0042420000000001</v>
      </c>
      <c r="T723">
        <v>-0.12019349999999999</v>
      </c>
      <c r="U723">
        <v>-3.4362789999999997E-2</v>
      </c>
      <c r="V723">
        <v>1.2065360000000001E-2</v>
      </c>
      <c r="W723">
        <v>-9.33335E-2</v>
      </c>
      <c r="X723">
        <v>0.99556180000000005</v>
      </c>
      <c r="Y723">
        <v>1.108725E-2</v>
      </c>
      <c r="Z723">
        <v>-2.9247700000000003E-4</v>
      </c>
      <c r="AA723">
        <v>0.99993849999999995</v>
      </c>
      <c r="AB723">
        <v>31</v>
      </c>
      <c r="AC723">
        <v>26.466699999999999</v>
      </c>
      <c r="AD723">
        <v>-1.0709009551094999</v>
      </c>
      <c r="AE723">
        <v>-0.30610000000001403</v>
      </c>
      <c r="AF723">
        <v>0.29666380742431397</v>
      </c>
      <c r="AG723">
        <v>-1.0709009551094999</v>
      </c>
      <c r="AH723">
        <v>26.4235474280561</v>
      </c>
      <c r="AI723">
        <v>92.320683224068304</v>
      </c>
      <c r="AJ723">
        <v>89.356752910958804</v>
      </c>
      <c r="AK723">
        <v>26.4469033528128</v>
      </c>
      <c r="AL723">
        <v>95.355410169965893</v>
      </c>
      <c r="AM723">
        <v>89.305658006395106</v>
      </c>
      <c r="AN723">
        <v>1.0000000063767001</v>
      </c>
    </row>
    <row r="724" spans="1:40" x14ac:dyDescent="0.25">
      <c r="A724" t="str">
        <f>"20190303154432455"</f>
        <v>20190303154432455</v>
      </c>
      <c r="B724" t="str">
        <f>"1551599072451190"</f>
        <v>1551599072451190</v>
      </c>
      <c r="C724" t="s">
        <v>40</v>
      </c>
      <c r="D724">
        <v>4.8784349999999996</v>
      </c>
      <c r="E724">
        <v>0.50028119999999998</v>
      </c>
      <c r="F724" t="s">
        <v>41</v>
      </c>
      <c r="G724">
        <v>-269.03309999999999</v>
      </c>
      <c r="H724" s="1">
        <v>-9.7722980000000004E-7</v>
      </c>
      <c r="I724">
        <v>367.12779999999998</v>
      </c>
      <c r="J724">
        <v>-295.2593</v>
      </c>
      <c r="K724">
        <v>1.070897</v>
      </c>
      <c r="L724">
        <v>367.44220000000001</v>
      </c>
      <c r="M724">
        <v>0.99989749999999999</v>
      </c>
      <c r="N724">
        <v>-1.4321739999999999E-2</v>
      </c>
      <c r="O724">
        <v>-3.3812129999999998E-4</v>
      </c>
      <c r="P724">
        <v>0.99416389999999999</v>
      </c>
      <c r="Q724">
        <v>-0.107153</v>
      </c>
      <c r="R724">
        <v>-1.2514249999999999E-2</v>
      </c>
      <c r="S724">
        <v>3.004181</v>
      </c>
      <c r="T724">
        <v>-0.1212879</v>
      </c>
      <c r="U724">
        <v>-3.5614010000000001E-2</v>
      </c>
      <c r="V724">
        <v>1.2174549999999999E-2</v>
      </c>
      <c r="W724">
        <v>-9.2904280000000006E-2</v>
      </c>
      <c r="X724">
        <v>0.99560059999999995</v>
      </c>
      <c r="Y724">
        <v>1.1503269999999999E-2</v>
      </c>
      <c r="Z724">
        <v>-3.0573059999999998E-4</v>
      </c>
      <c r="AA724">
        <v>0.99993379999999998</v>
      </c>
      <c r="AB724">
        <v>31</v>
      </c>
      <c r="AC724">
        <v>26.226199999999999</v>
      </c>
      <c r="AD724">
        <v>-1.0708979772298</v>
      </c>
      <c r="AE724">
        <v>-0.31440000000003399</v>
      </c>
      <c r="AF724">
        <v>0.30502293130126701</v>
      </c>
      <c r="AG724">
        <v>-1.0708979772298</v>
      </c>
      <c r="AH724">
        <v>26.182655571106</v>
      </c>
      <c r="AI724">
        <v>92.341993044574195</v>
      </c>
      <c r="AJ724">
        <v>89.332545317700394</v>
      </c>
      <c r="AK724">
        <v>26.206322027736402</v>
      </c>
      <c r="AL724">
        <v>95.330710443205703</v>
      </c>
      <c r="AM724">
        <v>89.299402223361696</v>
      </c>
      <c r="AN724">
        <v>0.99999998981519</v>
      </c>
    </row>
    <row r="725" spans="1:40" x14ac:dyDescent="0.25">
      <c r="A725" t="str">
        <f>"20190303154432477"</f>
        <v>20190303154432477</v>
      </c>
      <c r="B725" t="str">
        <f>"1551599072470714"</f>
        <v>1551599072470714</v>
      </c>
      <c r="C725" t="s">
        <v>40</v>
      </c>
      <c r="D725">
        <v>4.8226740000000001</v>
      </c>
      <c r="E725">
        <v>0.500251</v>
      </c>
      <c r="F725" t="s">
        <v>41</v>
      </c>
      <c r="G725">
        <v>-268.22859999999997</v>
      </c>
      <c r="H725" s="1">
        <v>-1.2547239999999899E-6</v>
      </c>
      <c r="I725">
        <v>367.11380000000003</v>
      </c>
      <c r="J725">
        <v>-294.94200000000001</v>
      </c>
      <c r="K725">
        <v>1.070899</v>
      </c>
      <c r="L725">
        <v>367.44209999999998</v>
      </c>
      <c r="M725">
        <v>0.99989749999999999</v>
      </c>
      <c r="N725">
        <v>-1.4318000000000001E-2</v>
      </c>
      <c r="O725">
        <v>-3.3797530000000001E-4</v>
      </c>
      <c r="P725">
        <v>0.99416579999999999</v>
      </c>
      <c r="Q725">
        <v>-0.10704959999999999</v>
      </c>
      <c r="R725">
        <v>-1.322489E-2</v>
      </c>
      <c r="S725">
        <v>3.0043639999999998</v>
      </c>
      <c r="T725">
        <v>-0.1190262</v>
      </c>
      <c r="U725">
        <v>-3.649902E-2</v>
      </c>
      <c r="V725">
        <v>1.288516E-2</v>
      </c>
      <c r="W725">
        <v>-9.2804629999999999E-2</v>
      </c>
      <c r="X725">
        <v>0.99560090000000001</v>
      </c>
      <c r="Y725">
        <v>1.179729E-2</v>
      </c>
      <c r="Z725">
        <v>-3.0955419999999998E-4</v>
      </c>
      <c r="AA725">
        <v>0.9999304</v>
      </c>
      <c r="AB725">
        <v>31</v>
      </c>
      <c r="AC725">
        <v>26.7134</v>
      </c>
      <c r="AD725">
        <v>-1.0709002547239901</v>
      </c>
      <c r="AE725">
        <v>-0.32829999999995602</v>
      </c>
      <c r="AF725">
        <v>0.31875839138409401</v>
      </c>
      <c r="AG725">
        <v>-1.0709002547239901</v>
      </c>
      <c r="AH725">
        <v>26.670653822683601</v>
      </c>
      <c r="AI725">
        <v>92.299184252910706</v>
      </c>
      <c r="AJ725">
        <v>89.315253345200105</v>
      </c>
      <c r="AK725">
        <v>26.694048205490901</v>
      </c>
      <c r="AL725">
        <v>95.3249764140769</v>
      </c>
      <c r="AM725">
        <v>89.258514057966494</v>
      </c>
      <c r="AN725">
        <v>0.99999993938923404</v>
      </c>
    </row>
    <row r="726" spans="1:40" x14ac:dyDescent="0.25">
      <c r="A726" t="str">
        <f>"20190303154432501"</f>
        <v>20190303154432501</v>
      </c>
      <c r="B726" t="str">
        <f>"1551599072491206"</f>
        <v>1551599072491206</v>
      </c>
      <c r="C726" t="s">
        <v>40</v>
      </c>
      <c r="D726">
        <v>4.8005469999999999</v>
      </c>
      <c r="E726">
        <v>0.50022609999999901</v>
      </c>
      <c r="F726" t="s">
        <v>41</v>
      </c>
      <c r="G726">
        <v>-267.81319999999999</v>
      </c>
      <c r="H726" s="1">
        <v>-1.4007669999999999E-6</v>
      </c>
      <c r="I726">
        <v>367.09620000000001</v>
      </c>
      <c r="J726">
        <v>-294.61700000000002</v>
      </c>
      <c r="K726">
        <v>1.0708979999999999</v>
      </c>
      <c r="L726">
        <v>367.44200000000001</v>
      </c>
      <c r="M726">
        <v>0.99989749999999999</v>
      </c>
      <c r="N726">
        <v>-1.4314240000000001E-2</v>
      </c>
      <c r="O726">
        <v>-3.3794839999999902E-4</v>
      </c>
      <c r="P726">
        <v>0.99416800000000005</v>
      </c>
      <c r="Q726">
        <v>-0.10697039999999999</v>
      </c>
      <c r="R726">
        <v>-1.3675069999999999E-2</v>
      </c>
      <c r="S726">
        <v>3.0043030000000002</v>
      </c>
      <c r="T726">
        <v>-0.11859359999999999</v>
      </c>
      <c r="U726">
        <v>-3.8299560000000003E-2</v>
      </c>
      <c r="V726">
        <v>1.3335629999999999E-2</v>
      </c>
      <c r="W726">
        <v>-9.2729140000000002E-2</v>
      </c>
      <c r="X726">
        <v>0.99560210000000005</v>
      </c>
      <c r="Y726">
        <v>1.239619E-2</v>
      </c>
      <c r="Z726">
        <v>-3.2484000000000001E-4</v>
      </c>
      <c r="AA726">
        <v>0.99992309999999995</v>
      </c>
      <c r="AB726">
        <v>31</v>
      </c>
      <c r="AC726">
        <v>26.803799999999999</v>
      </c>
      <c r="AD726">
        <v>-1.0708994007670001</v>
      </c>
      <c r="AE726">
        <v>-0.34579999999993999</v>
      </c>
      <c r="AF726">
        <v>0.33620416969783101</v>
      </c>
      <c r="AG726">
        <v>-1.0708994007670001</v>
      </c>
      <c r="AH726">
        <v>26.761204515403399</v>
      </c>
      <c r="AI726">
        <v>92.291393934115305</v>
      </c>
      <c r="AJ726">
        <v>89.280224228314907</v>
      </c>
      <c r="AK726">
        <v>26.784733074748601</v>
      </c>
      <c r="AL726">
        <v>95.3206319027652</v>
      </c>
      <c r="AM726">
        <v>89.232595405446006</v>
      </c>
      <c r="AN726">
        <v>1.00000003697852</v>
      </c>
    </row>
    <row r="727" spans="1:40" x14ac:dyDescent="0.25">
      <c r="A727" t="str">
        <f>"20190303154432523"</f>
        <v>20190303154432523</v>
      </c>
      <c r="B727" t="str">
        <f>"1551599072510725"</f>
        <v>1551599072510725</v>
      </c>
      <c r="C727" t="s">
        <v>40</v>
      </c>
      <c r="D727">
        <v>4.8109900000000003</v>
      </c>
      <c r="E727">
        <v>0.50026789999999999</v>
      </c>
      <c r="F727" t="s">
        <v>41</v>
      </c>
      <c r="G727">
        <v>-267.51940000000002</v>
      </c>
      <c r="H727" s="1">
        <v>-1.503321E-6</v>
      </c>
      <c r="I727">
        <v>367.08659999999998</v>
      </c>
      <c r="J727">
        <v>-294.32679999999999</v>
      </c>
      <c r="K727">
        <v>1.070892</v>
      </c>
      <c r="L727">
        <v>367.44189999999998</v>
      </c>
      <c r="M727">
        <v>0.99989760000000005</v>
      </c>
      <c r="N727">
        <v>-1.4310939999999999E-2</v>
      </c>
      <c r="O727">
        <v>-3.3768630000000001E-4</v>
      </c>
      <c r="P727">
        <v>0.9941818</v>
      </c>
      <c r="Q727">
        <v>-0.10663880000000001</v>
      </c>
      <c r="R727">
        <v>-1.520178E-2</v>
      </c>
      <c r="S727">
        <v>3.0043030000000002</v>
      </c>
      <c r="T727">
        <v>-0.1187299</v>
      </c>
      <c r="U727">
        <v>-3.939819E-2</v>
      </c>
      <c r="V727">
        <v>1.486226E-2</v>
      </c>
      <c r="W727">
        <v>-9.2400759999999998E-2</v>
      </c>
      <c r="X727">
        <v>0.99561100000000002</v>
      </c>
      <c r="Y727">
        <v>1.2761639999999999E-2</v>
      </c>
      <c r="Z727">
        <v>-3.3492500000000002E-4</v>
      </c>
      <c r="AA727">
        <v>0.99991850000000004</v>
      </c>
      <c r="AB727">
        <v>31</v>
      </c>
      <c r="AC727">
        <v>26.807399999999902</v>
      </c>
      <c r="AD727">
        <v>-1.0708935033210001</v>
      </c>
      <c r="AE727">
        <v>-0.35529999999999901</v>
      </c>
      <c r="AF727">
        <v>0.34569499229459599</v>
      </c>
      <c r="AG727">
        <v>-1.0708935033210001</v>
      </c>
      <c r="AH727">
        <v>26.764814210528598</v>
      </c>
      <c r="AI727">
        <v>92.291062338329496</v>
      </c>
      <c r="AJ727">
        <v>89.260007463765206</v>
      </c>
      <c r="AK727">
        <v>26.788460158196202</v>
      </c>
      <c r="AL727">
        <v>95.301736050751003</v>
      </c>
      <c r="AM727">
        <v>89.144764844757802</v>
      </c>
      <c r="AN727">
        <v>1.00000002527094</v>
      </c>
    </row>
    <row r="728" spans="1:40" x14ac:dyDescent="0.25">
      <c r="A728" t="str">
        <f>"20190303154432544"</f>
        <v>20190303154432544</v>
      </c>
      <c r="B728" t="str">
        <f>"1551599072540982"</f>
        <v>1551599072540982</v>
      </c>
      <c r="C728" t="s">
        <v>40</v>
      </c>
      <c r="D728">
        <v>4.7778530000000003</v>
      </c>
      <c r="E728">
        <v>0.50026019999999904</v>
      </c>
      <c r="F728" t="s">
        <v>41</v>
      </c>
      <c r="G728">
        <v>-266.79020000000003</v>
      </c>
      <c r="H728" s="1">
        <v>-1.8171379999999999E-6</v>
      </c>
      <c r="I728">
        <v>367.03539999999998</v>
      </c>
      <c r="J728">
        <v>-294.03050000000002</v>
      </c>
      <c r="K728">
        <v>1.0708899999999999</v>
      </c>
      <c r="L728">
        <v>367.4418</v>
      </c>
      <c r="M728">
        <v>0.99989760000000005</v>
      </c>
      <c r="N728">
        <v>-1.430755E-2</v>
      </c>
      <c r="O728">
        <v>-3.3766200000000002E-4</v>
      </c>
      <c r="P728">
        <v>0.99406989999999995</v>
      </c>
      <c r="Q728">
        <v>-0.1075265</v>
      </c>
      <c r="R728">
        <v>-1.6219620000000001E-2</v>
      </c>
      <c r="S728">
        <v>3.0043030000000002</v>
      </c>
      <c r="T728">
        <v>-0.11683640000000001</v>
      </c>
      <c r="U728">
        <v>-4.4342039999999999E-2</v>
      </c>
      <c r="V728">
        <v>1.588028E-2</v>
      </c>
      <c r="W728">
        <v>-9.3293290000000001E-2</v>
      </c>
      <c r="X728">
        <v>0.99551199999999995</v>
      </c>
      <c r="Y728">
        <v>1.440545E-2</v>
      </c>
      <c r="Z728">
        <v>-3.7481230000000002E-4</v>
      </c>
      <c r="AA728">
        <v>0.99989620000000001</v>
      </c>
      <c r="AB728">
        <v>31</v>
      </c>
      <c r="AC728">
        <v>27.240299999999898</v>
      </c>
      <c r="AD728">
        <v>-1.070891817138</v>
      </c>
      <c r="AE728">
        <v>-0.40640000000001902</v>
      </c>
      <c r="AF728">
        <v>0.396588232712344</v>
      </c>
      <c r="AG728">
        <v>-1.070891817138</v>
      </c>
      <c r="AH728">
        <v>27.198410051020101</v>
      </c>
      <c r="AI728">
        <v>92.254521218559802</v>
      </c>
      <c r="AJ728">
        <v>89.164612133519796</v>
      </c>
      <c r="AK728">
        <v>27.2223731664558</v>
      </c>
      <c r="AL728">
        <v>95.353096342879795</v>
      </c>
      <c r="AM728">
        <v>89.086102571175601</v>
      </c>
      <c r="AN728">
        <v>0.99999998169795101</v>
      </c>
    </row>
    <row r="729" spans="1:40" x14ac:dyDescent="0.25">
      <c r="A729" t="str">
        <f>"20190303154432567"</f>
        <v>20190303154432567</v>
      </c>
      <c r="B729" t="str">
        <f>"1551599072561478"</f>
        <v>1551599072561478</v>
      </c>
      <c r="C729" t="s">
        <v>40</v>
      </c>
      <c r="D729">
        <v>4.6768359999999998</v>
      </c>
      <c r="E729">
        <v>0.50033570000000005</v>
      </c>
      <c r="F729" t="s">
        <v>41</v>
      </c>
      <c r="G729">
        <v>-266.8261</v>
      </c>
      <c r="H729" s="1">
        <v>-1.806346E-6</v>
      </c>
      <c r="I729">
        <v>367.0093</v>
      </c>
      <c r="J729">
        <v>-293.71910000000003</v>
      </c>
      <c r="K729">
        <v>1.070891</v>
      </c>
      <c r="L729">
        <v>367.44170000000003</v>
      </c>
      <c r="M729">
        <v>0.9998977</v>
      </c>
      <c r="N729">
        <v>-1.4304020000000001E-2</v>
      </c>
      <c r="O729">
        <v>-3.376365E-4</v>
      </c>
      <c r="P729">
        <v>0.99396079999999998</v>
      </c>
      <c r="Q729">
        <v>-0.10848869999999999</v>
      </c>
      <c r="R729">
        <v>-1.6499340000000001E-2</v>
      </c>
      <c r="S729">
        <v>3.0043329999999999</v>
      </c>
      <c r="T729">
        <v>-0.1182642</v>
      </c>
      <c r="U729">
        <v>-4.7760009999999999E-2</v>
      </c>
      <c r="V729">
        <v>1.616012E-2</v>
      </c>
      <c r="W729">
        <v>-9.4260510000000006E-2</v>
      </c>
      <c r="X729">
        <v>0.99541639999999998</v>
      </c>
      <c r="Y729">
        <v>1.55411E-2</v>
      </c>
      <c r="Z729">
        <v>-4.0851130000000001E-4</v>
      </c>
      <c r="AA729">
        <v>0.99987910000000002</v>
      </c>
      <c r="AB729">
        <v>31</v>
      </c>
      <c r="AC729">
        <v>26.893000000000001</v>
      </c>
      <c r="AD729">
        <v>-1.0708928063459999</v>
      </c>
      <c r="AE729">
        <v>-0.43240000000002898</v>
      </c>
      <c r="AF729">
        <v>0.42264897882751001</v>
      </c>
      <c r="AG729">
        <v>-1.0708928063459999</v>
      </c>
      <c r="AH729">
        <v>26.850579254126298</v>
      </c>
      <c r="AI729">
        <v>92.283658280905399</v>
      </c>
      <c r="AJ729">
        <v>89.098194390737206</v>
      </c>
      <c r="AK729">
        <v>26.8752497633809</v>
      </c>
      <c r="AL729">
        <v>95.408759156940505</v>
      </c>
      <c r="AM729">
        <v>89.069911505091397</v>
      </c>
      <c r="AN729">
        <v>1.0000000013064101</v>
      </c>
    </row>
    <row r="730" spans="1:40" x14ac:dyDescent="0.25">
      <c r="A730" t="str">
        <f>"20190303154432588"</f>
        <v>20190303154432588</v>
      </c>
      <c r="B730" t="str">
        <f>"1551599072581001"</f>
        <v>1551599072581001</v>
      </c>
      <c r="C730" t="s">
        <v>40</v>
      </c>
      <c r="D730">
        <v>4.7050320000000001</v>
      </c>
      <c r="E730">
        <v>0.50041780000000002</v>
      </c>
      <c r="F730" t="s">
        <v>41</v>
      </c>
      <c r="G730">
        <v>-266.84109999999998</v>
      </c>
      <c r="H730" s="1">
        <v>-1.8001689999999999E-6</v>
      </c>
      <c r="I730">
        <v>367.00779999999997</v>
      </c>
      <c r="J730">
        <v>-293.428</v>
      </c>
      <c r="K730">
        <v>1.070891</v>
      </c>
      <c r="L730">
        <v>367.44170000000003</v>
      </c>
      <c r="M730">
        <v>0.9998977</v>
      </c>
      <c r="N730">
        <v>-1.4300719999999999E-2</v>
      </c>
      <c r="O730">
        <v>-3.3749369999999998E-4</v>
      </c>
      <c r="P730">
        <v>0.9939095</v>
      </c>
      <c r="Q730">
        <v>-0.1092596</v>
      </c>
      <c r="R730">
        <v>-1.4361000000000001E-2</v>
      </c>
      <c r="S730">
        <v>3.0043950000000001</v>
      </c>
      <c r="T730">
        <v>-0.1197029</v>
      </c>
      <c r="U730">
        <v>-4.8492430000000003E-2</v>
      </c>
      <c r="V730">
        <v>1.4021809999999999E-2</v>
      </c>
      <c r="W730">
        <v>-9.5035339999999996E-2</v>
      </c>
      <c r="X730">
        <v>0.99537520000000002</v>
      </c>
      <c r="Y730">
        <v>1.5784010000000001E-2</v>
      </c>
      <c r="Z730">
        <v>-4.1861300000000003E-4</v>
      </c>
      <c r="AA730">
        <v>0.99987539999999997</v>
      </c>
      <c r="AB730">
        <v>31</v>
      </c>
      <c r="AC730">
        <v>26.5869</v>
      </c>
      <c r="AD730">
        <v>-1.0708928001689999</v>
      </c>
      <c r="AE730">
        <v>-0.43390000000005102</v>
      </c>
      <c r="AF730">
        <v>0.424238048112481</v>
      </c>
      <c r="AG730">
        <v>-1.0708928001689999</v>
      </c>
      <c r="AH730">
        <v>26.5439915674514</v>
      </c>
      <c r="AI730">
        <v>92.3099976609424</v>
      </c>
      <c r="AJ730">
        <v>89.084350962551497</v>
      </c>
      <c r="AK730">
        <v>26.568972084818199</v>
      </c>
      <c r="AL730">
        <v>95.4533535314348</v>
      </c>
      <c r="AM730">
        <v>89.192930064757704</v>
      </c>
      <c r="AN730">
        <v>1.0000000578898101</v>
      </c>
    </row>
    <row r="731" spans="1:40" x14ac:dyDescent="0.25">
      <c r="A731" t="str">
        <f>"20190303154432611"</f>
        <v>20190303154432611</v>
      </c>
      <c r="B731" t="str">
        <f>"1551599072601494"</f>
        <v>1551599072601494</v>
      </c>
      <c r="C731" t="s">
        <v>40</v>
      </c>
      <c r="D731">
        <v>4.6595839999999997</v>
      </c>
      <c r="E731">
        <v>0.50051009999999996</v>
      </c>
      <c r="F731" t="s">
        <v>41</v>
      </c>
      <c r="G731">
        <v>-266.80309999999997</v>
      </c>
      <c r="H731" s="1">
        <v>-1.8060139999999999E-6</v>
      </c>
      <c r="I731">
        <v>367.06670000000003</v>
      </c>
      <c r="J731">
        <v>-293.11930000000001</v>
      </c>
      <c r="K731">
        <v>1.070889</v>
      </c>
      <c r="L731">
        <v>367.44150000000002</v>
      </c>
      <c r="M731">
        <v>0.99989779999999995</v>
      </c>
      <c r="N731">
        <v>-1.4297209999999999E-2</v>
      </c>
      <c r="O731">
        <v>-3.3746850000000001E-4</v>
      </c>
      <c r="P731">
        <v>0.99392340000000001</v>
      </c>
      <c r="Q731">
        <v>-0.1094107</v>
      </c>
      <c r="R731">
        <v>-1.207798E-2</v>
      </c>
      <c r="S731">
        <v>3.0044559999999998</v>
      </c>
      <c r="T731">
        <v>-0.1208433</v>
      </c>
      <c r="U731">
        <v>-4.2297359999999999E-2</v>
      </c>
      <c r="V731">
        <v>1.1738780000000001E-2</v>
      </c>
      <c r="W731">
        <v>-9.5189529999999994E-2</v>
      </c>
      <c r="X731">
        <v>0.99538990000000005</v>
      </c>
      <c r="Y731">
        <v>1.3724419999999999E-2</v>
      </c>
      <c r="Z731">
        <v>-3.653126E-4</v>
      </c>
      <c r="AA731">
        <v>0.99990579999999996</v>
      </c>
      <c r="AB731">
        <v>30</v>
      </c>
      <c r="AC731">
        <v>26.316199999999998</v>
      </c>
      <c r="AD731">
        <v>-1.0708908060140001</v>
      </c>
      <c r="AE731">
        <v>-0.37479999999999303</v>
      </c>
      <c r="AF731">
        <v>0.36531336935828701</v>
      </c>
      <c r="AG731">
        <v>-1.0708908060140001</v>
      </c>
      <c r="AH731">
        <v>26.272827651512898</v>
      </c>
      <c r="AI731">
        <v>92.333881129055897</v>
      </c>
      <c r="AJ731">
        <v>89.203375982842701</v>
      </c>
      <c r="AK731">
        <v>26.2971810995463</v>
      </c>
      <c r="AL731">
        <v>95.462228795107507</v>
      </c>
      <c r="AM731">
        <v>89.324333738285205</v>
      </c>
      <c r="AN731">
        <v>0.999999949299758</v>
      </c>
    </row>
    <row r="732" spans="1:40" x14ac:dyDescent="0.25">
      <c r="A732" t="str">
        <f>"20190303154432633"</f>
        <v>20190303154432633</v>
      </c>
      <c r="B732" t="str">
        <f>"1551599072630774"</f>
        <v>1551599072630774</v>
      </c>
      <c r="C732" t="s">
        <v>40</v>
      </c>
      <c r="D732">
        <v>4.6641779999999997</v>
      </c>
      <c r="E732">
        <v>0.50060870000000002</v>
      </c>
      <c r="F732" t="s">
        <v>41</v>
      </c>
      <c r="G732">
        <v>-266.29390000000001</v>
      </c>
      <c r="H732" s="1">
        <v>-2.0155980000000002E-6</v>
      </c>
      <c r="I732">
        <v>367.11669999999998</v>
      </c>
      <c r="J732">
        <v>-292.81529999999998</v>
      </c>
      <c r="K732">
        <v>1.0708959999999901</v>
      </c>
      <c r="L732">
        <v>367.44139999999999</v>
      </c>
      <c r="M732">
        <v>0.99989799999999995</v>
      </c>
      <c r="N732">
        <v>-1.4293790000000001E-2</v>
      </c>
      <c r="O732">
        <v>-3.3756299999999998E-4</v>
      </c>
      <c r="P732">
        <v>0.99399029999999999</v>
      </c>
      <c r="Q732">
        <v>-0.1090222</v>
      </c>
      <c r="R732">
        <v>-9.8766070000000008E-3</v>
      </c>
      <c r="S732">
        <v>3.0047299999999999</v>
      </c>
      <c r="T732">
        <v>-0.1199511</v>
      </c>
      <c r="U732">
        <v>-3.6376949999999998E-2</v>
      </c>
      <c r="V732">
        <v>9.5373699999999999E-3</v>
      </c>
      <c r="W732">
        <v>-9.4803529999999997E-2</v>
      </c>
      <c r="X732">
        <v>0.99545030000000001</v>
      </c>
      <c r="Y732">
        <v>1.17555E-2</v>
      </c>
      <c r="Z732">
        <v>-3.099644E-4</v>
      </c>
      <c r="AA732">
        <v>0.99993089999999996</v>
      </c>
      <c r="AB732">
        <v>30</v>
      </c>
      <c r="AC732">
        <v>26.5213999999999</v>
      </c>
      <c r="AD732">
        <v>-1.0708980155979999</v>
      </c>
      <c r="AE732">
        <v>-0.32470000000000698</v>
      </c>
      <c r="AF732">
        <v>0.31523253644349097</v>
      </c>
      <c r="AG732">
        <v>-1.0708980155979999</v>
      </c>
      <c r="AH732">
        <v>26.478343373945901</v>
      </c>
      <c r="AI732">
        <v>92.315861401209503</v>
      </c>
      <c r="AJ732">
        <v>89.317908964354004</v>
      </c>
      <c r="AK732">
        <v>26.501865253986001</v>
      </c>
      <c r="AL732">
        <v>95.440011954316503</v>
      </c>
      <c r="AM732">
        <v>89.451068195850695</v>
      </c>
      <c r="AN732">
        <v>0.99999998524853295</v>
      </c>
    </row>
    <row r="733" spans="1:40" x14ac:dyDescent="0.25">
      <c r="A733" t="str">
        <f>"20190303154432646"</f>
        <v>20190303154432646</v>
      </c>
      <c r="B733" t="str">
        <f>"1551599072641510"</f>
        <v>1551599072641510</v>
      </c>
      <c r="C733" t="s">
        <v>40</v>
      </c>
      <c r="D733">
        <v>4.6235520000000001</v>
      </c>
      <c r="E733">
        <v>0.50193379999999999</v>
      </c>
      <c r="F733" t="s">
        <v>41</v>
      </c>
      <c r="G733">
        <v>-265.36799999999999</v>
      </c>
      <c r="H733" s="1">
        <v>-2.404967E-6</v>
      </c>
      <c r="I733">
        <v>367.16090000000003</v>
      </c>
      <c r="J733">
        <v>-292.6422</v>
      </c>
      <c r="K733">
        <v>1.070897</v>
      </c>
      <c r="L733">
        <v>367.44139999999999</v>
      </c>
      <c r="M733">
        <v>0.99989799999999995</v>
      </c>
      <c r="N733">
        <v>-1.429185E-2</v>
      </c>
      <c r="O733">
        <v>-3.3778999999999998E-4</v>
      </c>
      <c r="P733">
        <v>0.99407699999999999</v>
      </c>
      <c r="Q733">
        <v>-0.1082679</v>
      </c>
      <c r="R733">
        <v>-9.4458019999999997E-3</v>
      </c>
      <c r="S733">
        <v>3.0050050000000001</v>
      </c>
      <c r="T733">
        <v>-0.1172446</v>
      </c>
      <c r="U733">
        <v>-3.0700680000000001E-2</v>
      </c>
      <c r="V733">
        <v>9.1062590000000002E-3</v>
      </c>
      <c r="W733">
        <v>-9.4049949999999993E-2</v>
      </c>
      <c r="X733">
        <v>0.99552580000000002</v>
      </c>
      <c r="Y733">
        <v>9.8680190000000004E-3</v>
      </c>
      <c r="Z733">
        <v>-2.5464010000000002E-4</v>
      </c>
      <c r="AA733">
        <v>0.99995129999999999</v>
      </c>
      <c r="AB733">
        <v>30</v>
      </c>
      <c r="AC733">
        <v>27.2742</v>
      </c>
      <c r="AD733">
        <v>-1.070899404967</v>
      </c>
      <c r="AE733">
        <v>-0.28049999999996</v>
      </c>
      <c r="AF733">
        <v>0.27086854511991698</v>
      </c>
      <c r="AG733">
        <v>-1.070899404967</v>
      </c>
      <c r="AH733">
        <v>27.2323142188134</v>
      </c>
      <c r="AI733">
        <v>92.251861014333997</v>
      </c>
      <c r="AJ733">
        <v>89.430121416240894</v>
      </c>
      <c r="AK733">
        <v>27.254708455906801</v>
      </c>
      <c r="AL733">
        <v>95.396641305174398</v>
      </c>
      <c r="AM733">
        <v>89.475919502240501</v>
      </c>
      <c r="AN733">
        <v>0.99999996775680799</v>
      </c>
    </row>
    <row r="734" spans="1:40" x14ac:dyDescent="0.25">
      <c r="A734" t="str">
        <f>"20190303154432660"</f>
        <v>20190303154432660</v>
      </c>
      <c r="B734" t="str">
        <f>"1551599072651270"</f>
        <v>1551599072651270</v>
      </c>
      <c r="C734" t="s">
        <v>40</v>
      </c>
      <c r="D734">
        <v>4.7124180000000004</v>
      </c>
      <c r="E734">
        <v>0.50193379999999999</v>
      </c>
      <c r="F734" t="s">
        <v>41</v>
      </c>
      <c r="G734">
        <v>-249.45689999999999</v>
      </c>
      <c r="H734" s="1">
        <v>-9.2120010000000001E-7</v>
      </c>
      <c r="I734">
        <v>366.87869999999998</v>
      </c>
      <c r="J734">
        <v>-292.45589999999999</v>
      </c>
      <c r="K734">
        <v>1.0709</v>
      </c>
      <c r="L734">
        <v>367.44130000000001</v>
      </c>
      <c r="M734">
        <v>0.99989799999999995</v>
      </c>
      <c r="N734">
        <v>-1.428975E-2</v>
      </c>
      <c r="O734">
        <v>-3.3861679999999997E-4</v>
      </c>
      <c r="P734">
        <v>0.99411550000000004</v>
      </c>
      <c r="Q734">
        <v>-0.1079642</v>
      </c>
      <c r="R734">
        <v>-8.8612099999999996E-3</v>
      </c>
      <c r="S734">
        <v>3.0093079999999999</v>
      </c>
      <c r="T734">
        <v>-7.4624179999999998E-2</v>
      </c>
      <c r="U734">
        <v>-3.9215090000000001E-2</v>
      </c>
      <c r="V734">
        <v>8.5207249999999998E-3</v>
      </c>
      <c r="W734">
        <v>-9.3747810000000001E-2</v>
      </c>
      <c r="X734">
        <v>0.99555950000000004</v>
      </c>
      <c r="Y734">
        <v>1.2685409999999999E-2</v>
      </c>
      <c r="Z734">
        <v>-2.443635E-4</v>
      </c>
      <c r="AA734">
        <v>0.99991949999999996</v>
      </c>
      <c r="AB734">
        <v>30</v>
      </c>
      <c r="AC734">
        <v>42.999000000000002</v>
      </c>
      <c r="AD734">
        <v>-1.0709009212000999</v>
      </c>
      <c r="AE734">
        <v>-0.56260000000003096</v>
      </c>
      <c r="AF734">
        <v>0.54769863575782796</v>
      </c>
      <c r="AG734">
        <v>-1.0709009212000999</v>
      </c>
      <c r="AH734">
        <v>42.972537978411097</v>
      </c>
      <c r="AI734">
        <v>91.427433168228703</v>
      </c>
      <c r="AJ734">
        <v>89.269786642437694</v>
      </c>
      <c r="AK734">
        <v>42.989368719307997</v>
      </c>
      <c r="AL734">
        <v>95.379253032002296</v>
      </c>
      <c r="AM734">
        <v>89.509632863874401</v>
      </c>
      <c r="AN734">
        <v>0.99999998633728504</v>
      </c>
    </row>
    <row r="735" spans="1:40" x14ac:dyDescent="0.25">
      <c r="A735" t="str">
        <f>"20190303154432673"</f>
        <v>20190303154432673</v>
      </c>
      <c r="B735" t="str">
        <f>"1551599072670790"</f>
        <v>1551599072670790</v>
      </c>
      <c r="C735" t="s">
        <v>40</v>
      </c>
      <c r="D735">
        <v>4.7189230000000002</v>
      </c>
      <c r="E735">
        <v>0.51205679999999998</v>
      </c>
      <c r="F735" t="s">
        <v>41</v>
      </c>
      <c r="G735">
        <v>-248.73269999999999</v>
      </c>
      <c r="H735" s="1">
        <v>-1.1929400000000001E-6</v>
      </c>
      <c r="I735">
        <v>366.90260000000001</v>
      </c>
      <c r="J735">
        <v>-292.2783</v>
      </c>
      <c r="K735">
        <v>1.070899</v>
      </c>
      <c r="L735">
        <v>367.44130000000001</v>
      </c>
      <c r="M735">
        <v>0.99989790000000001</v>
      </c>
      <c r="N735">
        <v>-1.428775E-2</v>
      </c>
      <c r="O735">
        <v>-3.4280699999999999E-4</v>
      </c>
      <c r="P735">
        <v>0.99417</v>
      </c>
      <c r="Q735">
        <v>-0.1074683</v>
      </c>
      <c r="R735">
        <v>-8.771516E-3</v>
      </c>
      <c r="S735">
        <v>3.0094599999999998</v>
      </c>
      <c r="T735">
        <v>-7.3709849999999993E-2</v>
      </c>
      <c r="U735">
        <v>-3.7078859999999998E-2</v>
      </c>
      <c r="V735">
        <v>8.4263649999999999E-3</v>
      </c>
      <c r="W735">
        <v>-9.3253269999999999E-2</v>
      </c>
      <c r="X735">
        <v>0.99560680000000001</v>
      </c>
      <c r="Y735">
        <v>1.197135E-2</v>
      </c>
      <c r="Z735">
        <v>-2.286306E-4</v>
      </c>
      <c r="AA735">
        <v>0.99992829999999999</v>
      </c>
      <c r="AB735">
        <v>30</v>
      </c>
      <c r="AC735">
        <v>43.5456</v>
      </c>
      <c r="AD735">
        <v>-1.0709001929399999</v>
      </c>
      <c r="AE735">
        <v>-0.53870000000000495</v>
      </c>
      <c r="AF735">
        <v>0.52345417351019297</v>
      </c>
      <c r="AG735">
        <v>-1.0709001929399999</v>
      </c>
      <c r="AH735">
        <v>43.519465726606398</v>
      </c>
      <c r="AI735">
        <v>91.409512845365796</v>
      </c>
      <c r="AJ735">
        <v>89.310876910001298</v>
      </c>
      <c r="AK735">
        <v>43.535786757841798</v>
      </c>
      <c r="AL735">
        <v>95.350793023168904</v>
      </c>
      <c r="AM735">
        <v>89.515086052213405</v>
      </c>
      <c r="AN735">
        <v>1.00000003809952</v>
      </c>
    </row>
    <row r="736" spans="1:40" x14ac:dyDescent="0.25">
      <c r="A736" t="str">
        <f>"20190303154432689"</f>
        <v>20190303154432689</v>
      </c>
      <c r="B736" t="str">
        <f>"1551599072681526"</f>
        <v>1551599072681526</v>
      </c>
      <c r="C736" t="s">
        <v>40</v>
      </c>
      <c r="D736">
        <v>4.66256</v>
      </c>
      <c r="E736">
        <v>0.51483420000000002</v>
      </c>
      <c r="F736" t="s">
        <v>41</v>
      </c>
      <c r="G736">
        <v>-262.48140000000001</v>
      </c>
      <c r="H736" s="1">
        <v>-3.80164E-6</v>
      </c>
      <c r="I736">
        <v>366.26830000000001</v>
      </c>
      <c r="J736">
        <v>-292.05930000000001</v>
      </c>
      <c r="K736">
        <v>1.0708979999999999</v>
      </c>
      <c r="L736">
        <v>367.44119999999998</v>
      </c>
      <c r="M736">
        <v>0.99989799999999995</v>
      </c>
      <c r="N736">
        <v>-1.42852999999999E-2</v>
      </c>
      <c r="O736">
        <v>-3.5251390000000003E-4</v>
      </c>
      <c r="P736">
        <v>0.99418030000000002</v>
      </c>
      <c r="Q736">
        <v>-0.1073202</v>
      </c>
      <c r="R736">
        <v>-9.3973129999999992E-3</v>
      </c>
      <c r="S736">
        <v>3.004883</v>
      </c>
      <c r="T736">
        <v>-0.1079957</v>
      </c>
      <c r="U736">
        <v>-0.11828610000000001</v>
      </c>
      <c r="V736">
        <v>9.0416660000000003E-3</v>
      </c>
      <c r="W736">
        <v>-9.3107570000000001E-2</v>
      </c>
      <c r="X736">
        <v>0.99561500000000003</v>
      </c>
      <c r="Y736">
        <v>3.8946889999999998E-2</v>
      </c>
      <c r="Z736">
        <v>-9.7018470000000004E-4</v>
      </c>
      <c r="AA736">
        <v>0.99924080000000004</v>
      </c>
      <c r="AB736">
        <v>30</v>
      </c>
      <c r="AC736">
        <v>29.5779</v>
      </c>
      <c r="AD736">
        <v>-1.07090180163999</v>
      </c>
      <c r="AE736">
        <v>-1.1728999999999601</v>
      </c>
      <c r="AF736">
        <v>1.1609527569581899</v>
      </c>
      <c r="AG736">
        <v>-1.07090180163999</v>
      </c>
      <c r="AH736">
        <v>29.539649377438199</v>
      </c>
      <c r="AI736">
        <v>92.074636127168603</v>
      </c>
      <c r="AJ736">
        <v>87.749347796531296</v>
      </c>
      <c r="AK736">
        <v>29.581844555649901</v>
      </c>
      <c r="AL736">
        <v>95.342408754942099</v>
      </c>
      <c r="AM736">
        <v>89.479683350990101</v>
      </c>
      <c r="AN736">
        <v>0.99999999977017995</v>
      </c>
    </row>
    <row r="737" spans="1:40" x14ac:dyDescent="0.25">
      <c r="A737" t="str">
        <f>"20190303154432712"</f>
        <v>20190303154432712</v>
      </c>
      <c r="B737" t="str">
        <f>"1551599072701046"</f>
        <v>1551599072701046</v>
      </c>
      <c r="C737" t="s">
        <v>40</v>
      </c>
      <c r="D737">
        <v>4.6384740000000004</v>
      </c>
      <c r="E737">
        <v>0.51836280000000001</v>
      </c>
      <c r="F737" t="s">
        <v>41</v>
      </c>
      <c r="G737">
        <v>-262.87779999999998</v>
      </c>
      <c r="H737" s="1">
        <v>-3.6689280000000001E-6</v>
      </c>
      <c r="I737">
        <v>366.05770000000001</v>
      </c>
      <c r="J737">
        <v>-291.7448</v>
      </c>
      <c r="K737">
        <v>1.070891</v>
      </c>
      <c r="L737">
        <v>367.44110000000001</v>
      </c>
      <c r="M737">
        <v>0.99989799999999995</v>
      </c>
      <c r="N737">
        <v>-1.4281800000000001E-2</v>
      </c>
      <c r="O737">
        <v>-3.7792389999999999E-4</v>
      </c>
      <c r="P737">
        <v>0.99413229999999997</v>
      </c>
      <c r="Q737">
        <v>-0.1076216</v>
      </c>
      <c r="R737">
        <v>-1.088912E-2</v>
      </c>
      <c r="S737">
        <v>3.0043030000000002</v>
      </c>
      <c r="T737">
        <v>-0.11025169999999999</v>
      </c>
      <c r="U737">
        <v>-0.14242550000000001</v>
      </c>
      <c r="V737">
        <v>1.050616E-2</v>
      </c>
      <c r="W737">
        <v>-9.3413350000000006E-2</v>
      </c>
      <c r="X737">
        <v>0.99557200000000001</v>
      </c>
      <c r="Y737">
        <v>4.6932740000000001E-2</v>
      </c>
      <c r="Z737">
        <v>-1.1874349999999999E-3</v>
      </c>
      <c r="AA737">
        <v>0.99889740000000005</v>
      </c>
      <c r="AB737">
        <v>30</v>
      </c>
      <c r="AC737">
        <v>28.867000000000001</v>
      </c>
      <c r="AD737">
        <v>-1.0708946689279999</v>
      </c>
      <c r="AE737">
        <v>-1.38339999999999</v>
      </c>
      <c r="AF737">
        <v>1.37060731462495</v>
      </c>
      <c r="AG737">
        <v>-1.0708946689279999</v>
      </c>
      <c r="AH737">
        <v>28.8279379199872</v>
      </c>
      <c r="AI737">
        <v>92.125036086841106</v>
      </c>
      <c r="AJ737">
        <v>87.277955737465504</v>
      </c>
      <c r="AK737">
        <v>28.880363303142101</v>
      </c>
      <c r="AL737">
        <v>95.360005238699202</v>
      </c>
      <c r="AM737">
        <v>89.395386488384702</v>
      </c>
      <c r="AN737">
        <v>1.0000000202700801</v>
      </c>
    </row>
    <row r="738" spans="1:40" x14ac:dyDescent="0.25">
      <c r="A738" t="str">
        <f>"20190303154432735"</f>
        <v>20190303154432735</v>
      </c>
      <c r="B738" t="str">
        <f>"1551599072731302"</f>
        <v>1551599072731302</v>
      </c>
      <c r="C738" t="s">
        <v>40</v>
      </c>
      <c r="D738">
        <v>4.6317339999999998</v>
      </c>
      <c r="E738">
        <v>0.52155659999999904</v>
      </c>
      <c r="F738" t="s">
        <v>41</v>
      </c>
      <c r="G738">
        <v>-263.89159999999998</v>
      </c>
      <c r="H738" s="1">
        <v>-3.2763470000000001E-6</v>
      </c>
      <c r="I738">
        <v>365.8193</v>
      </c>
      <c r="J738">
        <v>-291.44470000000001</v>
      </c>
      <c r="K738">
        <v>1.0708789999999999</v>
      </c>
      <c r="L738">
        <v>367.4409</v>
      </c>
      <c r="M738">
        <v>0.99989810000000001</v>
      </c>
      <c r="N738">
        <v>-1.42785E-2</v>
      </c>
      <c r="O738">
        <v>-4.1480260000000002E-4</v>
      </c>
      <c r="P738">
        <v>0.99403330000000001</v>
      </c>
      <c r="Q738">
        <v>-0.1083696</v>
      </c>
      <c r="R738">
        <v>-1.242739E-2</v>
      </c>
      <c r="S738">
        <v>3.0032960000000002</v>
      </c>
      <c r="T738">
        <v>-0.1154699</v>
      </c>
      <c r="U738">
        <v>-0.17486570000000001</v>
      </c>
      <c r="V738">
        <v>1.200503E-2</v>
      </c>
      <c r="W738">
        <v>-9.4166379999999994E-2</v>
      </c>
      <c r="X738">
        <v>0.99548409999999998</v>
      </c>
      <c r="Y738">
        <v>5.7653870000000003E-2</v>
      </c>
      <c r="Z738">
        <v>-1.5091550000000001E-3</v>
      </c>
      <c r="AA738">
        <v>0.99833550000000004</v>
      </c>
      <c r="AB738">
        <v>30</v>
      </c>
      <c r="AC738">
        <v>27.553100000000001</v>
      </c>
      <c r="AD738">
        <v>-1.0708822763470001</v>
      </c>
      <c r="AE738">
        <v>-1.6215999999999999</v>
      </c>
      <c r="AF738">
        <v>1.6077493550276001</v>
      </c>
      <c r="AG738">
        <v>-1.0708822763470001</v>
      </c>
      <c r="AH738">
        <v>27.512354299515302</v>
      </c>
      <c r="AI738">
        <v>92.225245298899296</v>
      </c>
      <c r="AJ738">
        <v>86.655589411044502</v>
      </c>
      <c r="AK738">
        <v>27.580088577458302</v>
      </c>
      <c r="AL738">
        <v>95.403341758549601</v>
      </c>
      <c r="AM738">
        <v>89.309075644231001</v>
      </c>
      <c r="AN738">
        <v>1.0000000106102001</v>
      </c>
    </row>
    <row r="739" spans="1:40" x14ac:dyDescent="0.25">
      <c r="A739" t="str">
        <f>"20190303154432756"</f>
        <v>20190303154432756</v>
      </c>
      <c r="B739" t="str">
        <f>"1551599072750823"</f>
        <v>1551599072750823</v>
      </c>
      <c r="C739" t="s">
        <v>40</v>
      </c>
      <c r="D739">
        <v>4.5972939999999998</v>
      </c>
      <c r="E739">
        <v>0.52287329999999999</v>
      </c>
      <c r="F739" t="s">
        <v>41</v>
      </c>
      <c r="G739">
        <v>-264.91489999999999</v>
      </c>
      <c r="H739" s="1">
        <v>-2.8710300000000001E-6</v>
      </c>
      <c r="I739">
        <v>365.62920000000003</v>
      </c>
      <c r="J739">
        <v>-291.15300000000002</v>
      </c>
      <c r="K739">
        <v>1.0708709999999999</v>
      </c>
      <c r="L739">
        <v>367.44080000000002</v>
      </c>
      <c r="M739">
        <v>0.99989799999999995</v>
      </c>
      <c r="N739">
        <v>-1.4275349999999999E-2</v>
      </c>
      <c r="O739">
        <v>-4.6215779999999999E-4</v>
      </c>
      <c r="P739">
        <v>0.99402740000000001</v>
      </c>
      <c r="Q739">
        <v>-0.108290899999999</v>
      </c>
      <c r="R739">
        <v>-1.351523E-2</v>
      </c>
      <c r="S739">
        <v>3.0022280000000001</v>
      </c>
      <c r="T739">
        <v>-0.1211858</v>
      </c>
      <c r="U739">
        <v>-0.20501710000000001</v>
      </c>
      <c r="V739">
        <v>1.30437E-2</v>
      </c>
      <c r="W739">
        <v>-9.4091389999999997E-2</v>
      </c>
      <c r="X739">
        <v>0.99547810000000003</v>
      </c>
      <c r="Y739">
        <v>6.7594420000000002E-2</v>
      </c>
      <c r="Z739">
        <v>-1.8333749999999999E-3</v>
      </c>
      <c r="AA739">
        <v>0.99771120000000002</v>
      </c>
      <c r="AB739">
        <v>30</v>
      </c>
      <c r="AC739">
        <v>26.238099999999999</v>
      </c>
      <c r="AD739">
        <v>-1.0708738710300001</v>
      </c>
      <c r="AE739">
        <v>-1.8115999999999901</v>
      </c>
      <c r="AF739">
        <v>1.79649410216287</v>
      </c>
      <c r="AG739">
        <v>-1.0708738710300001</v>
      </c>
      <c r="AH739">
        <v>26.195506186600198</v>
      </c>
      <c r="AI739">
        <v>92.335471834170704</v>
      </c>
      <c r="AJ739">
        <v>86.076784612775299</v>
      </c>
      <c r="AK739">
        <v>26.278864250171999</v>
      </c>
      <c r="AL739">
        <v>95.399026110309407</v>
      </c>
      <c r="AM739">
        <v>89.249299212578705</v>
      </c>
      <c r="AN739">
        <v>0.99999998768071596</v>
      </c>
    </row>
    <row r="740" spans="1:40" x14ac:dyDescent="0.25">
      <c r="A740" t="str">
        <f>"20190303154432779"</f>
        <v>20190303154432779</v>
      </c>
      <c r="B740" t="str">
        <f>"1551599072771321"</f>
        <v>1551599072771321</v>
      </c>
      <c r="C740" t="s">
        <v>40</v>
      </c>
      <c r="D740">
        <v>4.604419</v>
      </c>
      <c r="E740">
        <v>0.52415140000000005</v>
      </c>
      <c r="F740" t="s">
        <v>41</v>
      </c>
      <c r="G740">
        <v>-264.77690000000001</v>
      </c>
      <c r="H740" s="1">
        <v>-2.9500889999999998E-6</v>
      </c>
      <c r="I740">
        <v>365.5172</v>
      </c>
      <c r="J740">
        <v>-290.85160000000002</v>
      </c>
      <c r="K740">
        <v>1.0708709999999999</v>
      </c>
      <c r="L740">
        <v>367.44060000000002</v>
      </c>
      <c r="M740">
        <v>0.99989810000000001</v>
      </c>
      <c r="N740">
        <v>-1.427207E-2</v>
      </c>
      <c r="O740">
        <v>-5.2116110000000005E-4</v>
      </c>
      <c r="P740">
        <v>0.99407520000000005</v>
      </c>
      <c r="Q740">
        <v>-0.1078626</v>
      </c>
      <c r="R740">
        <v>-1.343082E-2</v>
      </c>
      <c r="S740">
        <v>3.00177</v>
      </c>
      <c r="T740">
        <v>-0.1218722</v>
      </c>
      <c r="U740">
        <v>-0.2189026</v>
      </c>
      <c r="V740">
        <v>1.289882E-2</v>
      </c>
      <c r="W740">
        <v>-9.3665940000000003E-2</v>
      </c>
      <c r="X740">
        <v>0.99552010000000002</v>
      </c>
      <c r="Y740">
        <v>7.2131719999999996E-2</v>
      </c>
      <c r="Z740">
        <v>-1.9637690000000002E-3</v>
      </c>
      <c r="AA740">
        <v>0.99739319999999998</v>
      </c>
      <c r="AB740">
        <v>30</v>
      </c>
      <c r="AC740">
        <v>26.0747</v>
      </c>
      <c r="AD740">
        <v>-1.0708739500890001</v>
      </c>
      <c r="AE740">
        <v>-1.92340000000001</v>
      </c>
      <c r="AF740">
        <v>1.9066107581623799</v>
      </c>
      <c r="AG740">
        <v>-1.0708739500890001</v>
      </c>
      <c r="AH740">
        <v>26.032028340605201</v>
      </c>
      <c r="AI740">
        <v>92.349350262583499</v>
      </c>
      <c r="AJ740">
        <v>85.811081513289807</v>
      </c>
      <c r="AK740">
        <v>26.1237140377511</v>
      </c>
      <c r="AL740">
        <v>95.3745415361319</v>
      </c>
      <c r="AM740">
        <v>89.257667832470801</v>
      </c>
      <c r="AN740">
        <v>0.99999997868874202</v>
      </c>
    </row>
    <row r="741" spans="1:40" x14ac:dyDescent="0.25">
      <c r="A741" t="str">
        <f>"20190303154432801"</f>
        <v>20190303154432801</v>
      </c>
      <c r="B741" t="str">
        <f>"1551599072790841"</f>
        <v>1551599072790841</v>
      </c>
      <c r="C741" t="s">
        <v>40</v>
      </c>
      <c r="D741">
        <v>4.5650849999999998</v>
      </c>
      <c r="E741">
        <v>0.52479359999999997</v>
      </c>
      <c r="F741" t="s">
        <v>41</v>
      </c>
      <c r="G741">
        <v>-263.9753</v>
      </c>
      <c r="H741" s="1">
        <v>-3.3164160000000001E-6</v>
      </c>
      <c r="I741">
        <v>365.39100000000002</v>
      </c>
      <c r="J741">
        <v>-290.54739999999998</v>
      </c>
      <c r="K741">
        <v>1.0708709999999999</v>
      </c>
      <c r="L741">
        <v>367.44029999999998</v>
      </c>
      <c r="M741">
        <v>0.99989810000000001</v>
      </c>
      <c r="N741">
        <v>-1.4268909999999999E-2</v>
      </c>
      <c r="O741">
        <v>-5.8846069999999998E-4</v>
      </c>
      <c r="P741">
        <v>0.99414349999999996</v>
      </c>
      <c r="Q741">
        <v>-0.1072554</v>
      </c>
      <c r="R741">
        <v>-1.32421E-2</v>
      </c>
      <c r="S741">
        <v>3.0018009999999999</v>
      </c>
      <c r="T741">
        <v>-0.11960519999999999</v>
      </c>
      <c r="U741">
        <v>-0.22891239999999999</v>
      </c>
      <c r="V741">
        <v>1.264211E-2</v>
      </c>
      <c r="W741">
        <v>-9.3061019999999994E-2</v>
      </c>
      <c r="X741">
        <v>0.99558009999999997</v>
      </c>
      <c r="Y741">
        <v>7.5370069999999997E-2</v>
      </c>
      <c r="Z741">
        <v>-2.0225709999999999E-3</v>
      </c>
      <c r="AA741">
        <v>0.99715359999999997</v>
      </c>
      <c r="AB741">
        <v>30</v>
      </c>
      <c r="AC741">
        <v>26.572099999999899</v>
      </c>
      <c r="AD741">
        <v>-1.0708743164159999</v>
      </c>
      <c r="AE741">
        <v>-2.0493000000000099</v>
      </c>
      <c r="AF741">
        <v>2.0303832753222801</v>
      </c>
      <c r="AG741">
        <v>-1.0708743164159999</v>
      </c>
      <c r="AH741">
        <v>26.530466857147299</v>
      </c>
      <c r="AI741">
        <v>92.304696951999702</v>
      </c>
      <c r="AJ741">
        <v>85.623670214433105</v>
      </c>
      <c r="AK741">
        <v>26.629586923278801</v>
      </c>
      <c r="AL741">
        <v>95.339730240551901</v>
      </c>
      <c r="AM741">
        <v>89.272483832469405</v>
      </c>
      <c r="AN741">
        <v>0.99999995595235003</v>
      </c>
    </row>
    <row r="742" spans="1:40" x14ac:dyDescent="0.25">
      <c r="A742" t="str">
        <f>"20190303154432824"</f>
        <v>20190303154432824</v>
      </c>
      <c r="B742" t="str">
        <f>"1551599072821098"</f>
        <v>1551599072821098</v>
      </c>
      <c r="C742" t="s">
        <v>40</v>
      </c>
      <c r="D742">
        <v>4.6230379999999904</v>
      </c>
      <c r="E742">
        <v>0.52505859999999904</v>
      </c>
      <c r="F742" t="s">
        <v>41</v>
      </c>
      <c r="G742">
        <v>-263.21960000000001</v>
      </c>
      <c r="H742" s="1">
        <v>-3.653761E-6</v>
      </c>
      <c r="I742">
        <v>365.31659999999999</v>
      </c>
      <c r="J742">
        <v>-290.25080000000003</v>
      </c>
      <c r="K742">
        <v>1.0708679999999999</v>
      </c>
      <c r="L742">
        <v>367.44009999999997</v>
      </c>
      <c r="M742">
        <v>0.99989799999999995</v>
      </c>
      <c r="N742">
        <v>-1.4265709999999999E-2</v>
      </c>
      <c r="O742">
        <v>-6.5846470000000001E-4</v>
      </c>
      <c r="P742">
        <v>0.99418070000000003</v>
      </c>
      <c r="Q742">
        <v>-0.1070412</v>
      </c>
      <c r="R742">
        <v>-1.212623E-2</v>
      </c>
      <c r="S742">
        <v>3.001862</v>
      </c>
      <c r="T742">
        <v>-0.1176316</v>
      </c>
      <c r="U742">
        <v>-0.23327639999999999</v>
      </c>
      <c r="V742">
        <v>1.145587E-2</v>
      </c>
      <c r="W742">
        <v>-9.2849440000000005E-2</v>
      </c>
      <c r="X742">
        <v>0.9956142</v>
      </c>
      <c r="Y742">
        <v>7.6740639999999999E-2</v>
      </c>
      <c r="Z742">
        <v>-2.0328910000000002E-3</v>
      </c>
      <c r="AA742">
        <v>0.99704899999999996</v>
      </c>
      <c r="AB742">
        <v>30</v>
      </c>
      <c r="AC742">
        <v>27.031199999999998</v>
      </c>
      <c r="AD742">
        <v>-1.0708716537609999</v>
      </c>
      <c r="AE742">
        <v>-2.1234999999999702</v>
      </c>
      <c r="AF742">
        <v>2.1024192577229202</v>
      </c>
      <c r="AG742">
        <v>-1.0708716537609999</v>
      </c>
      <c r="AH742">
        <v>26.990492434139501</v>
      </c>
      <c r="AI742">
        <v>92.265214368834293</v>
      </c>
      <c r="AJ742">
        <v>85.545950124708696</v>
      </c>
      <c r="AK742">
        <v>27.0934238270363</v>
      </c>
      <c r="AL742">
        <v>95.327554939815002</v>
      </c>
      <c r="AM742">
        <v>89.340764688815696</v>
      </c>
      <c r="AN742">
        <v>0.99999994535370296</v>
      </c>
    </row>
    <row r="743" spans="1:40" x14ac:dyDescent="0.25">
      <c r="A743" t="str">
        <f>"20190303154432845"</f>
        <v>20190303154432845</v>
      </c>
      <c r="B743" t="str">
        <f>"1551599072840618"</f>
        <v>1551599072840618</v>
      </c>
      <c r="C743" t="s">
        <v>40</v>
      </c>
      <c r="D743">
        <v>4.6426819999999998</v>
      </c>
      <c r="E743">
        <v>0.52501790000000004</v>
      </c>
      <c r="F743" t="s">
        <v>41</v>
      </c>
      <c r="G743">
        <v>-264.0138</v>
      </c>
      <c r="H743" s="1">
        <v>-3.2960120000000002E-6</v>
      </c>
      <c r="I743">
        <v>365.41269999999997</v>
      </c>
      <c r="J743">
        <v>-289.95729999999998</v>
      </c>
      <c r="K743">
        <v>1.070862</v>
      </c>
      <c r="L743">
        <v>367.43990000000002</v>
      </c>
      <c r="M743">
        <v>0.99989799999999995</v>
      </c>
      <c r="N743">
        <v>-1.4262540000000001E-2</v>
      </c>
      <c r="O743">
        <v>-7.2915969999999997E-4</v>
      </c>
      <c r="P743">
        <v>0.99426179999999997</v>
      </c>
      <c r="Q743">
        <v>-0.1064325</v>
      </c>
      <c r="R743">
        <v>-1.075011E-2</v>
      </c>
      <c r="S743">
        <v>3.0015559999999999</v>
      </c>
      <c r="T743">
        <v>-0.122509199999999</v>
      </c>
      <c r="U743">
        <v>-0.23193359999999999</v>
      </c>
      <c r="V743">
        <v>1.000917E-2</v>
      </c>
      <c r="W743">
        <v>-9.2242550000000006E-2</v>
      </c>
      <c r="X743">
        <v>0.99568619999999997</v>
      </c>
      <c r="Y743">
        <v>7.6229350000000001E-2</v>
      </c>
      <c r="Z743">
        <v>-2.0781319999999999E-3</v>
      </c>
      <c r="AA743">
        <v>0.99708810000000003</v>
      </c>
      <c r="AB743">
        <v>30</v>
      </c>
      <c r="AC743">
        <v>25.943499999999901</v>
      </c>
      <c r="AD743">
        <v>-1.070865296012</v>
      </c>
      <c r="AE743">
        <v>-2.0272000000000499</v>
      </c>
      <c r="AF743">
        <v>2.0048854352194598</v>
      </c>
      <c r="AG743">
        <v>-1.070865296012</v>
      </c>
      <c r="AH743">
        <v>25.901109517714399</v>
      </c>
      <c r="AI743">
        <v>92.360457213034096</v>
      </c>
      <c r="AJ743">
        <v>85.573823819004005</v>
      </c>
      <c r="AK743">
        <v>26.000649844555699</v>
      </c>
      <c r="AL743">
        <v>95.292632857754697</v>
      </c>
      <c r="AM743">
        <v>89.424051592645796</v>
      </c>
      <c r="AN743">
        <v>0.99999994019251304</v>
      </c>
    </row>
    <row r="744" spans="1:40" x14ac:dyDescent="0.25">
      <c r="A744" t="str">
        <f>"20190303154432867"</f>
        <v>20190303154432867</v>
      </c>
      <c r="B744" t="str">
        <f>"1551599072861113"</f>
        <v>1551599072861113</v>
      </c>
      <c r="C744" t="s">
        <v>40</v>
      </c>
      <c r="D744">
        <v>4.6019329999999998</v>
      </c>
      <c r="E744">
        <v>0.52506419999999998</v>
      </c>
      <c r="F744" t="s">
        <v>41</v>
      </c>
      <c r="G744">
        <v>-264.73340000000002</v>
      </c>
      <c r="H744" s="1">
        <v>-2.9673590000000001E-6</v>
      </c>
      <c r="I744">
        <v>365.52519999999998</v>
      </c>
      <c r="J744">
        <v>-289.65280000000001</v>
      </c>
      <c r="K744">
        <v>1.0708660000000001</v>
      </c>
      <c r="L744">
        <v>367.43950000000001</v>
      </c>
      <c r="M744">
        <v>0.99989810000000001</v>
      </c>
      <c r="N744">
        <v>-1.4259229999999999E-2</v>
      </c>
      <c r="O744">
        <v>-8.023428E-4</v>
      </c>
      <c r="P744">
        <v>0.99430879999999999</v>
      </c>
      <c r="Q744">
        <v>-0.1060768</v>
      </c>
      <c r="R744">
        <v>-9.909134E-3</v>
      </c>
      <c r="S744">
        <v>3.0012509999999999</v>
      </c>
      <c r="T744">
        <v>-0.12741630000000001</v>
      </c>
      <c r="U744">
        <v>-0.22781370000000001</v>
      </c>
      <c r="V744">
        <v>9.0952680000000001E-3</v>
      </c>
      <c r="W744">
        <v>-9.1889380000000007E-2</v>
      </c>
      <c r="X744">
        <v>0.99572769999999999</v>
      </c>
      <c r="Y744">
        <v>7.4799069999999995E-2</v>
      </c>
      <c r="Z744">
        <v>-2.0966069999999999E-3</v>
      </c>
      <c r="AA744">
        <v>0.99719639999999998</v>
      </c>
      <c r="AB744">
        <v>30</v>
      </c>
      <c r="AC744">
        <v>24.9194</v>
      </c>
      <c r="AD744">
        <v>-1.0708689673589999</v>
      </c>
      <c r="AE744">
        <v>-1.9143000000000201</v>
      </c>
      <c r="AF744">
        <v>1.89083212759964</v>
      </c>
      <c r="AG744">
        <v>-1.0708689673589999</v>
      </c>
      <c r="AH744">
        <v>24.875260290334701</v>
      </c>
      <c r="AI744">
        <v>92.457954007405306</v>
      </c>
      <c r="AJ744">
        <v>85.653160344748301</v>
      </c>
      <c r="AK744">
        <v>24.9699936121721</v>
      </c>
      <c r="AL744">
        <v>95.2723109912166</v>
      </c>
      <c r="AM744">
        <v>89.476658149225599</v>
      </c>
      <c r="AN744">
        <v>1.00000001730203</v>
      </c>
    </row>
    <row r="745" spans="1:40" x14ac:dyDescent="0.25">
      <c r="A745" t="str">
        <f>"20190303154432890"</f>
        <v>20190303154432890</v>
      </c>
      <c r="B745" t="str">
        <f>"1551599072880633"</f>
        <v>1551599072880633</v>
      </c>
      <c r="C745" t="s">
        <v>40</v>
      </c>
      <c r="D745">
        <v>4.6322049999999999</v>
      </c>
      <c r="E745">
        <v>0.52536269999999996</v>
      </c>
      <c r="F745" t="s">
        <v>41</v>
      </c>
      <c r="G745">
        <v>-265.25099999999998</v>
      </c>
      <c r="H745" s="1">
        <v>-2.731321E-6</v>
      </c>
      <c r="I745">
        <v>365.60410000000002</v>
      </c>
      <c r="J745">
        <v>-289.3569</v>
      </c>
      <c r="K745">
        <v>1.070865</v>
      </c>
      <c r="L745">
        <v>367.43920000000003</v>
      </c>
      <c r="M745">
        <v>0.99989810000000001</v>
      </c>
      <c r="N745">
        <v>-1.4256019999999999E-2</v>
      </c>
      <c r="O745">
        <v>-8.7194629999999996E-4</v>
      </c>
      <c r="P745">
        <v>0.99438059999999995</v>
      </c>
      <c r="Q745">
        <v>-0.1054655</v>
      </c>
      <c r="R745">
        <v>-9.2027649999999999E-3</v>
      </c>
      <c r="S745">
        <v>3.0008539999999999</v>
      </c>
      <c r="T745">
        <v>-0.13169149999999999</v>
      </c>
      <c r="U745">
        <v>-0.22570799999999999</v>
      </c>
      <c r="V745">
        <v>8.3195070000000003E-3</v>
      </c>
      <c r="W745">
        <v>-9.1280219999999995E-2</v>
      </c>
      <c r="X745">
        <v>0.99579050000000002</v>
      </c>
      <c r="Y745">
        <v>7.4039489999999999E-2</v>
      </c>
      <c r="Z745">
        <v>-2.1246080000000001E-3</v>
      </c>
      <c r="AA745">
        <v>0.9972531</v>
      </c>
      <c r="AB745">
        <v>30</v>
      </c>
      <c r="AC745">
        <v>24.105899999999998</v>
      </c>
      <c r="AD745">
        <v>-1.070867731321</v>
      </c>
      <c r="AE745">
        <v>-1.8351000000000099</v>
      </c>
      <c r="AF745">
        <v>1.8105257324376001</v>
      </c>
      <c r="AG745">
        <v>-1.070867731321</v>
      </c>
      <c r="AH745">
        <v>24.0602830500995</v>
      </c>
      <c r="AI745">
        <v>92.541245912834995</v>
      </c>
      <c r="AJ745">
        <v>85.696628135831304</v>
      </c>
      <c r="AK745">
        <v>24.152059572150499</v>
      </c>
      <c r="AL745">
        <v>95.237261448238797</v>
      </c>
      <c r="AM745">
        <v>89.521323462602297</v>
      </c>
      <c r="AN745">
        <v>1.00000000632511</v>
      </c>
    </row>
    <row r="746" spans="1:40" x14ac:dyDescent="0.25">
      <c r="A746" t="str">
        <f>"20190303154432914"</f>
        <v>20190303154432914</v>
      </c>
      <c r="B746" t="str">
        <f>"1551599072910889"</f>
        <v>1551599072910889</v>
      </c>
      <c r="C746" t="s">
        <v>40</v>
      </c>
      <c r="D746">
        <v>4.6513580000000001</v>
      </c>
      <c r="E746">
        <v>0.525926</v>
      </c>
      <c r="F746" t="s">
        <v>41</v>
      </c>
      <c r="G746">
        <v>-264.79930000000002</v>
      </c>
      <c r="H746" s="1">
        <v>-2.927932E-6</v>
      </c>
      <c r="I746">
        <v>365.58819999999997</v>
      </c>
      <c r="J746">
        <v>-289.0369</v>
      </c>
      <c r="K746">
        <v>1.07087</v>
      </c>
      <c r="L746">
        <v>367.43880000000001</v>
      </c>
      <c r="M746">
        <v>0.99989810000000001</v>
      </c>
      <c r="N746">
        <v>-1.4252580000000001E-2</v>
      </c>
      <c r="O746">
        <v>-9.4607339999999999E-4</v>
      </c>
      <c r="P746">
        <v>0.99439509999999998</v>
      </c>
      <c r="Q746">
        <v>-0.105282399999999</v>
      </c>
      <c r="R746">
        <v>-9.7041349999999992E-3</v>
      </c>
      <c r="S746">
        <v>3.0009769999999998</v>
      </c>
      <c r="T746">
        <v>-0.13086120000000001</v>
      </c>
      <c r="U746">
        <v>-0.22619629999999999</v>
      </c>
      <c r="V746">
        <v>8.7472490000000003E-3</v>
      </c>
      <c r="W746">
        <v>-9.1100479999999998E-2</v>
      </c>
      <c r="X746">
        <v>0.99580329999999995</v>
      </c>
      <c r="Y746">
        <v>7.4124839999999997E-2</v>
      </c>
      <c r="Z746">
        <v>-2.1147259999999999E-3</v>
      </c>
      <c r="AA746">
        <v>0.99724669999999904</v>
      </c>
      <c r="AB746">
        <v>30</v>
      </c>
      <c r="AC746">
        <v>24.237599999999901</v>
      </c>
      <c r="AD746">
        <v>-1.070872927932</v>
      </c>
      <c r="AE746">
        <v>-1.85060000000004</v>
      </c>
      <c r="AF746">
        <v>1.8241261024492601</v>
      </c>
      <c r="AG746">
        <v>-1.070872927932</v>
      </c>
      <c r="AH746">
        <v>24.192388472533601</v>
      </c>
      <c r="AI746">
        <v>92.527370830632407</v>
      </c>
      <c r="AJ746">
        <v>85.688010108468106</v>
      </c>
      <c r="AK746">
        <v>24.2846837506975</v>
      </c>
      <c r="AL746">
        <v>95.226919987062999</v>
      </c>
      <c r="AM746">
        <v>89.496720326014497</v>
      </c>
      <c r="AN746">
        <v>1.0000000120560899</v>
      </c>
    </row>
    <row r="747" spans="1:40" x14ac:dyDescent="0.25">
      <c r="A747" t="str">
        <f>"20190303154432935"</f>
        <v>20190303154432935</v>
      </c>
      <c r="B747" t="str">
        <f>"1551599072931385"</f>
        <v>1551599072931385</v>
      </c>
      <c r="C747" t="s">
        <v>40</v>
      </c>
      <c r="D747">
        <v>4.6195339999999998</v>
      </c>
      <c r="E747">
        <v>0.52589129999999995</v>
      </c>
      <c r="F747" t="s">
        <v>41</v>
      </c>
      <c r="G747">
        <v>-264.61489999999998</v>
      </c>
      <c r="H747" s="1">
        <v>-3.0139250000000001E-6</v>
      </c>
      <c r="I747">
        <v>365.54939999999999</v>
      </c>
      <c r="J747">
        <v>-288.75310000000002</v>
      </c>
      <c r="K747">
        <v>1.0708709999999999</v>
      </c>
      <c r="L747">
        <v>367.43849999999998</v>
      </c>
      <c r="M747">
        <v>0.99989799999999995</v>
      </c>
      <c r="N747">
        <v>-1.424952E-2</v>
      </c>
      <c r="O747">
        <v>-1.010541E-3</v>
      </c>
      <c r="P747">
        <v>0.99439509999999998</v>
      </c>
      <c r="Q747">
        <v>-0.1051754</v>
      </c>
      <c r="R747">
        <v>-1.0802559999999999E-2</v>
      </c>
      <c r="S747">
        <v>3.000702</v>
      </c>
      <c r="T747">
        <v>-0.13157669999999999</v>
      </c>
      <c r="U747">
        <v>-0.2321472</v>
      </c>
      <c r="V747">
        <v>9.781461E-3</v>
      </c>
      <c r="W747">
        <v>-9.0996629999999995E-2</v>
      </c>
      <c r="X747">
        <v>0.9958032</v>
      </c>
      <c r="Y747">
        <v>7.6030219999999996E-2</v>
      </c>
      <c r="Z747">
        <v>-2.176655E-3</v>
      </c>
      <c r="AA747">
        <v>0.99710319999999997</v>
      </c>
      <c r="AB747">
        <v>30</v>
      </c>
      <c r="AC747">
        <v>24.138200000000001</v>
      </c>
      <c r="AD747">
        <v>-1.0708740139249999</v>
      </c>
      <c r="AE747">
        <v>-1.88909999999998</v>
      </c>
      <c r="AF747">
        <v>1.8610632912024201</v>
      </c>
      <c r="AG747">
        <v>-1.0708740139249999</v>
      </c>
      <c r="AH747">
        <v>24.092966019724798</v>
      </c>
      <c r="AI747">
        <v>92.537434626197793</v>
      </c>
      <c r="AJ747">
        <v>85.582953724683307</v>
      </c>
      <c r="AK747">
        <v>24.188454670672499</v>
      </c>
      <c r="AL747">
        <v>95.220944865189296</v>
      </c>
      <c r="AM747">
        <v>89.437219714477905</v>
      </c>
      <c r="AN747">
        <v>1.0000000383904399</v>
      </c>
    </row>
    <row r="748" spans="1:40" x14ac:dyDescent="0.25">
      <c r="A748" t="str">
        <f>"20190303154432957"</f>
        <v>20190303154432957</v>
      </c>
      <c r="B748" t="str">
        <f>"1551599072950909"</f>
        <v>1551599072950909</v>
      </c>
      <c r="C748" t="s">
        <v>40</v>
      </c>
      <c r="D748">
        <v>4.6383559999999999</v>
      </c>
      <c r="E748">
        <v>0.52587399999999995</v>
      </c>
      <c r="F748" t="s">
        <v>41</v>
      </c>
      <c r="G748">
        <v>-265.1497</v>
      </c>
      <c r="H748" s="1">
        <v>-2.7778380000000001E-6</v>
      </c>
      <c r="I748">
        <v>365.58670000000001</v>
      </c>
      <c r="J748">
        <v>-288.4579</v>
      </c>
      <c r="K748">
        <v>1.070865</v>
      </c>
      <c r="L748">
        <v>367.43810000000002</v>
      </c>
      <c r="M748">
        <v>0.99989799999999995</v>
      </c>
      <c r="N748">
        <v>-1.424633E-2</v>
      </c>
      <c r="O748">
        <v>-1.0766669999999999E-3</v>
      </c>
      <c r="P748">
        <v>0.99436250000000004</v>
      </c>
      <c r="Q748">
        <v>-0.1053866</v>
      </c>
      <c r="R748">
        <v>-1.172043E-2</v>
      </c>
      <c r="S748">
        <v>2.9999690000000001</v>
      </c>
      <c r="T748">
        <v>-0.13610710000000001</v>
      </c>
      <c r="U748">
        <v>-0.23535159999999999</v>
      </c>
      <c r="V748">
        <v>1.063359E-2</v>
      </c>
      <c r="W748">
        <v>-9.1211539999999994E-2</v>
      </c>
      <c r="X748">
        <v>0.99577470000000001</v>
      </c>
      <c r="Y748">
        <v>7.7034359999999996E-2</v>
      </c>
      <c r="Z748">
        <v>-2.260462E-3</v>
      </c>
      <c r="AA748">
        <v>0.99702579999999996</v>
      </c>
      <c r="AB748">
        <v>30</v>
      </c>
      <c r="AC748">
        <v>23.308199999999999</v>
      </c>
      <c r="AD748">
        <v>-1.070867777838</v>
      </c>
      <c r="AE748">
        <v>-1.8514000000000099</v>
      </c>
      <c r="AF748">
        <v>1.8224783803542599</v>
      </c>
      <c r="AG748">
        <v>-1.070867777838</v>
      </c>
      <c r="AH748">
        <v>23.261386939443799</v>
      </c>
      <c r="AI748">
        <v>92.627782187787105</v>
      </c>
      <c r="AJ748">
        <v>85.520153372883598</v>
      </c>
      <c r="AK748">
        <v>23.3572324471671</v>
      </c>
      <c r="AL748">
        <v>95.233310260346698</v>
      </c>
      <c r="AM748">
        <v>89.388178198639494</v>
      </c>
      <c r="AN748">
        <v>0.99999993571277201</v>
      </c>
    </row>
    <row r="749" spans="1:40" x14ac:dyDescent="0.25">
      <c r="A749" t="str">
        <f>"20190303154432980"</f>
        <v>20190303154432980</v>
      </c>
      <c r="B749" t="str">
        <f>"1551599072971401"</f>
        <v>1551599072971401</v>
      </c>
      <c r="C749" t="s">
        <v>40</v>
      </c>
      <c r="D749">
        <v>4.6279079999999997</v>
      </c>
      <c r="E749">
        <v>0.52595729999999996</v>
      </c>
      <c r="F749" t="s">
        <v>41</v>
      </c>
      <c r="G749">
        <v>-265.75909999999999</v>
      </c>
      <c r="H749" s="1">
        <v>-2.5075609999999999E-6</v>
      </c>
      <c r="I749">
        <v>365.63670000000002</v>
      </c>
      <c r="J749">
        <v>-288.16640000000001</v>
      </c>
      <c r="K749">
        <v>1.0708660000000001</v>
      </c>
      <c r="L749">
        <v>367.43779999999998</v>
      </c>
      <c r="M749">
        <v>0.99989799999999995</v>
      </c>
      <c r="N749">
        <v>-1.4243199999999999E-2</v>
      </c>
      <c r="O749">
        <v>-1.141118E-3</v>
      </c>
      <c r="P749">
        <v>0.99435989999999996</v>
      </c>
      <c r="Q749">
        <v>-0.1053013</v>
      </c>
      <c r="R749">
        <v>-1.2658050000000001E-2</v>
      </c>
      <c r="S749">
        <v>2.9992070000000002</v>
      </c>
      <c r="T749">
        <v>-0.14149400000000001</v>
      </c>
      <c r="U749">
        <v>-0.23800660000000001</v>
      </c>
      <c r="V749">
        <v>1.1507430000000001E-2</v>
      </c>
      <c r="W749">
        <v>-9.1129569999999993E-2</v>
      </c>
      <c r="X749">
        <v>0.99577249999999995</v>
      </c>
      <c r="Y749">
        <v>7.7858520000000001E-2</v>
      </c>
      <c r="Z749">
        <v>-2.3509519999999999E-3</v>
      </c>
      <c r="AA749">
        <v>0.99696169999999995</v>
      </c>
      <c r="AB749">
        <v>30</v>
      </c>
      <c r="AC749">
        <v>22.407299999999999</v>
      </c>
      <c r="AD749">
        <v>-1.070868507561</v>
      </c>
      <c r="AE749">
        <v>-1.80109999999996</v>
      </c>
      <c r="AF749">
        <v>1.7715067411516801</v>
      </c>
      <c r="AG749">
        <v>-1.070868507561</v>
      </c>
      <c r="AH749">
        <v>22.3586019954619</v>
      </c>
      <c r="AI749">
        <v>92.733540657485193</v>
      </c>
      <c r="AJ749">
        <v>85.469830227323101</v>
      </c>
      <c r="AK749">
        <v>22.4542218454772</v>
      </c>
      <c r="AL749">
        <v>95.228594031578893</v>
      </c>
      <c r="AM749">
        <v>89.337903161765894</v>
      </c>
      <c r="AN749">
        <v>0.99999994561491801</v>
      </c>
    </row>
    <row r="750" spans="1:40" x14ac:dyDescent="0.25">
      <c r="A750" t="str">
        <f>"20190303154433003"</f>
        <v>20190303154433003</v>
      </c>
      <c r="B750" t="str">
        <f>"1551599072990922"</f>
        <v>1551599072990922</v>
      </c>
      <c r="C750" t="s">
        <v>40</v>
      </c>
      <c r="D750">
        <v>4.662712</v>
      </c>
      <c r="E750">
        <v>0.52566069999999998</v>
      </c>
      <c r="F750" t="s">
        <v>41</v>
      </c>
      <c r="G750">
        <v>-265.62560000000002</v>
      </c>
      <c r="H750" s="1">
        <v>-2.5677250000000001E-6</v>
      </c>
      <c r="I750">
        <v>365.62029999999999</v>
      </c>
      <c r="J750">
        <v>-287.85930000000002</v>
      </c>
      <c r="K750">
        <v>1.070867</v>
      </c>
      <c r="L750">
        <v>367.43729999999999</v>
      </c>
      <c r="M750">
        <v>0.99989799999999995</v>
      </c>
      <c r="N750">
        <v>-1.423989E-2</v>
      </c>
      <c r="O750">
        <v>-1.207947E-3</v>
      </c>
      <c r="P750">
        <v>0.99438459999999995</v>
      </c>
      <c r="Q750">
        <v>-0.1050517</v>
      </c>
      <c r="R750">
        <v>-1.2782170000000001E-2</v>
      </c>
      <c r="S750">
        <v>2.99884</v>
      </c>
      <c r="T750">
        <v>-0.14246919999999999</v>
      </c>
      <c r="U750">
        <v>-0.2417908</v>
      </c>
      <c r="V750">
        <v>1.156532E-2</v>
      </c>
      <c r="W750">
        <v>-9.0882889999999994E-2</v>
      </c>
      <c r="X750">
        <v>0.99579439999999997</v>
      </c>
      <c r="Y750">
        <v>7.9048430000000003E-2</v>
      </c>
      <c r="Z750">
        <v>-2.3977030000000002E-3</v>
      </c>
      <c r="AA750">
        <v>0.99686790000000003</v>
      </c>
      <c r="AB750">
        <v>30</v>
      </c>
      <c r="AC750">
        <v>22.233699999999999</v>
      </c>
      <c r="AD750">
        <v>-1.070869567725</v>
      </c>
      <c r="AE750">
        <v>-1.8169999999999999</v>
      </c>
      <c r="AF750">
        <v>1.7860231020361299</v>
      </c>
      <c r="AG750">
        <v>-1.070869567725</v>
      </c>
      <c r="AH750">
        <v>22.184756172389001</v>
      </c>
      <c r="AI750">
        <v>92.754652911793798</v>
      </c>
      <c r="AJ750">
        <v>85.397228668805198</v>
      </c>
      <c r="AK750">
        <v>22.282281000392199</v>
      </c>
      <c r="AL750">
        <v>95.214401276719897</v>
      </c>
      <c r="AM750">
        <v>89.334587307674795</v>
      </c>
      <c r="AN750">
        <v>0.99999997169640598</v>
      </c>
    </row>
    <row r="751" spans="1:40" x14ac:dyDescent="0.25">
      <c r="A751" t="str">
        <f>"20190303154433024"</f>
        <v>20190303154433024</v>
      </c>
      <c r="B751" t="str">
        <f>"1551599073021177"</f>
        <v>1551599073021177</v>
      </c>
      <c r="C751" t="s">
        <v>40</v>
      </c>
      <c r="D751">
        <v>4.6641529999999998</v>
      </c>
      <c r="E751">
        <v>0.50754929999999998</v>
      </c>
      <c r="F751" t="s">
        <v>41</v>
      </c>
      <c r="G751">
        <v>-265.0634</v>
      </c>
      <c r="H751" s="1">
        <v>-2.809647E-6</v>
      </c>
      <c r="I751">
        <v>365.61619999999999</v>
      </c>
      <c r="J751">
        <v>-287.5745</v>
      </c>
      <c r="K751">
        <v>1.070867</v>
      </c>
      <c r="L751">
        <v>367.43689999999998</v>
      </c>
      <c r="M751">
        <v>0.99989779999999995</v>
      </c>
      <c r="N751">
        <v>-1.4236769999999999E-2</v>
      </c>
      <c r="O751">
        <v>-1.267858E-3</v>
      </c>
      <c r="P751">
        <v>0.99443009999999998</v>
      </c>
      <c r="Q751">
        <v>-0.1046236</v>
      </c>
      <c r="R751">
        <v>-1.275394E-2</v>
      </c>
      <c r="S751">
        <v>2.9989620000000001</v>
      </c>
      <c r="T751">
        <v>-0.14088049999999999</v>
      </c>
      <c r="U751">
        <v>-0.239563</v>
      </c>
      <c r="V751">
        <v>1.147798E-2</v>
      </c>
      <c r="W751">
        <v>-9.0457250000000003E-2</v>
      </c>
      <c r="X751">
        <v>0.9958342</v>
      </c>
      <c r="Y751">
        <v>7.8253050000000005E-2</v>
      </c>
      <c r="Z751">
        <v>-2.3510269999999999E-3</v>
      </c>
      <c r="AA751">
        <v>0.99693080000000001</v>
      </c>
      <c r="AB751">
        <v>30</v>
      </c>
      <c r="AC751">
        <v>22.511099999999999</v>
      </c>
      <c r="AD751">
        <v>-1.070869809647</v>
      </c>
      <c r="AE751">
        <v>-1.82069999999998</v>
      </c>
      <c r="AF751">
        <v>1.7881345571565801</v>
      </c>
      <c r="AG751">
        <v>-1.070869809647</v>
      </c>
      <c r="AH751">
        <v>22.462887921497799</v>
      </c>
      <c r="AI751">
        <v>92.720792530299207</v>
      </c>
      <c r="AJ751">
        <v>85.4486272633157</v>
      </c>
      <c r="AK751">
        <v>22.559377675757801</v>
      </c>
      <c r="AL751">
        <v>95.189912854323296</v>
      </c>
      <c r="AM751">
        <v>89.339638374049301</v>
      </c>
      <c r="AN751">
        <v>1.0000000059960401</v>
      </c>
    </row>
    <row r="752" spans="1:40" x14ac:dyDescent="0.25">
      <c r="A752" t="str">
        <f>"20190303154433047"</f>
        <v>20190303154433047</v>
      </c>
      <c r="B752" t="str">
        <f>"1551599073040701"</f>
        <v>1551599073040701</v>
      </c>
      <c r="C752" t="s">
        <v>40</v>
      </c>
      <c r="D752">
        <v>4.6425599999999996</v>
      </c>
      <c r="E752">
        <v>0.50714139999999996</v>
      </c>
      <c r="F752" t="s">
        <v>41</v>
      </c>
      <c r="G752">
        <v>-251.18430000000001</v>
      </c>
      <c r="H752" s="1">
        <v>-4.353044E-6</v>
      </c>
      <c r="I752">
        <v>366.29689999999999</v>
      </c>
      <c r="J752">
        <v>-287.26620000000003</v>
      </c>
      <c r="K752">
        <v>1.0708799999999901</v>
      </c>
      <c r="L752">
        <v>367.43639999999999</v>
      </c>
      <c r="M752">
        <v>0.99989779999999995</v>
      </c>
      <c r="N752">
        <v>-1.423342E-2</v>
      </c>
      <c r="O752">
        <v>-1.329544E-3</v>
      </c>
      <c r="P752">
        <v>0.99445059999999996</v>
      </c>
      <c r="Q752">
        <v>-0.1044383</v>
      </c>
      <c r="R752">
        <v>-1.268733E-2</v>
      </c>
      <c r="S752">
        <v>3.0062869999999999</v>
      </c>
      <c r="T752">
        <v>-8.8467240000000003E-2</v>
      </c>
      <c r="U752">
        <v>-9.4177250000000004E-2</v>
      </c>
      <c r="V752">
        <v>1.135039E-2</v>
      </c>
      <c r="W752">
        <v>-9.027491E-2</v>
      </c>
      <c r="X752">
        <v>0.99585219999999997</v>
      </c>
      <c r="Y752">
        <v>2.9963279999999998E-2</v>
      </c>
      <c r="Z752">
        <v>-6.3385030000000003E-4</v>
      </c>
      <c r="AA752">
        <v>0.99955079999999996</v>
      </c>
      <c r="AB752">
        <v>30</v>
      </c>
      <c r="AC752">
        <v>36.081899999999997</v>
      </c>
      <c r="AD752">
        <v>-1.07088435304399</v>
      </c>
      <c r="AE752">
        <v>-1.13949999999999</v>
      </c>
      <c r="AF752">
        <v>1.0905619840285401</v>
      </c>
      <c r="AG752">
        <v>-1.07088435304399</v>
      </c>
      <c r="AH752">
        <v>36.051658488138202</v>
      </c>
      <c r="AI752">
        <v>91.700645440004493</v>
      </c>
      <c r="AJ752">
        <v>88.267332128989196</v>
      </c>
      <c r="AK752">
        <v>36.084043543981501</v>
      </c>
      <c r="AL752">
        <v>95.179422666562502</v>
      </c>
      <c r="AM752">
        <v>89.346990161502603</v>
      </c>
      <c r="AN752">
        <v>0.99999999748674995</v>
      </c>
    </row>
    <row r="753" spans="1:40" x14ac:dyDescent="0.25">
      <c r="A753" t="str">
        <f>"20190303154433069"</f>
        <v>20190303154433069</v>
      </c>
      <c r="B753" t="str">
        <f>"1551599073061193"</f>
        <v>1551599073061193</v>
      </c>
      <c r="C753" t="s">
        <v>40</v>
      </c>
      <c r="D753">
        <v>4.6711859999999996</v>
      </c>
      <c r="E753">
        <v>0.50694609999999996</v>
      </c>
      <c r="F753" t="s">
        <v>41</v>
      </c>
      <c r="G753">
        <v>-251.2911</v>
      </c>
      <c r="H753" s="1">
        <v>-4.297702E-6</v>
      </c>
      <c r="I753">
        <v>366.35059999999999</v>
      </c>
      <c r="J753">
        <v>-286.98129999999998</v>
      </c>
      <c r="K753">
        <v>1.070889</v>
      </c>
      <c r="L753">
        <v>367.4359</v>
      </c>
      <c r="M753">
        <v>0.99989790000000001</v>
      </c>
      <c r="N753">
        <v>-1.423029E-2</v>
      </c>
      <c r="O753">
        <v>-1.3804749999999999E-3</v>
      </c>
      <c r="P753">
        <v>0.99447140000000001</v>
      </c>
      <c r="Q753">
        <v>-0.1042254</v>
      </c>
      <c r="R753">
        <v>-1.2816900000000001E-2</v>
      </c>
      <c r="S753">
        <v>3.006195</v>
      </c>
      <c r="T753">
        <v>-8.9486239999999995E-2</v>
      </c>
      <c r="U753">
        <v>-9.0728760000000006E-2</v>
      </c>
      <c r="V753">
        <v>1.1429979999999999E-2</v>
      </c>
      <c r="W753">
        <v>-9.0064699999999998E-2</v>
      </c>
      <c r="X753">
        <v>0.99587040000000004</v>
      </c>
      <c r="Y753">
        <v>2.8768189999999999E-2</v>
      </c>
      <c r="Z753">
        <v>-6.113615E-4</v>
      </c>
      <c r="AA753">
        <v>0.99958590000000003</v>
      </c>
      <c r="AB753">
        <v>30</v>
      </c>
      <c r="AC753">
        <v>35.690199999999898</v>
      </c>
      <c r="AD753">
        <v>-1.070893297702</v>
      </c>
      <c r="AE753">
        <v>-1.0853000000000099</v>
      </c>
      <c r="AF753">
        <v>1.0350935036881399</v>
      </c>
      <c r="AG753">
        <v>-1.070893297702</v>
      </c>
      <c r="AH753">
        <v>35.659589167104599</v>
      </c>
      <c r="AI753">
        <v>91.719409079081302</v>
      </c>
      <c r="AJ753">
        <v>88.337338081537595</v>
      </c>
      <c r="AK753">
        <v>35.690678483087403</v>
      </c>
      <c r="AL753">
        <v>95.167328860030196</v>
      </c>
      <c r="AM753">
        <v>89.342423612601706</v>
      </c>
      <c r="AN753">
        <v>1.0000000741125199</v>
      </c>
    </row>
    <row r="754" spans="1:40" x14ac:dyDescent="0.25">
      <c r="A754" t="str">
        <f>"20190303154433083"</f>
        <v>20190303154433083</v>
      </c>
      <c r="B754" t="str">
        <f>"1551599073071536"</f>
        <v>1551599073071536</v>
      </c>
      <c r="C754" t="s">
        <v>40</v>
      </c>
      <c r="D754">
        <v>4.6818359999999997</v>
      </c>
      <c r="E754">
        <v>0.50693849999999996</v>
      </c>
      <c r="F754" t="s">
        <v>41</v>
      </c>
      <c r="G754">
        <v>-251.81440000000001</v>
      </c>
      <c r="H754" s="1">
        <v>-4.0672730000000003E-6</v>
      </c>
      <c r="I754">
        <v>366.38409999999999</v>
      </c>
      <c r="J754">
        <v>-286.7885</v>
      </c>
      <c r="K754">
        <v>1.070894</v>
      </c>
      <c r="L754">
        <v>367.43560000000002</v>
      </c>
      <c r="M754">
        <v>0.99989790000000001</v>
      </c>
      <c r="N754">
        <v>-1.422819E-2</v>
      </c>
      <c r="O754">
        <v>-1.41006799999999E-3</v>
      </c>
      <c r="P754">
        <v>0.9944558</v>
      </c>
      <c r="Q754">
        <v>-0.1043448</v>
      </c>
      <c r="R754">
        <v>-1.30422E-2</v>
      </c>
      <c r="S754">
        <v>3.00589</v>
      </c>
      <c r="T754">
        <v>-9.1534260000000006E-2</v>
      </c>
      <c r="U754">
        <v>-8.9904789999999998E-2</v>
      </c>
      <c r="V754">
        <v>1.1626859999999999E-2</v>
      </c>
      <c r="W754">
        <v>-9.0186299999999997E-2</v>
      </c>
      <c r="X754">
        <v>0.99585710000000005</v>
      </c>
      <c r="Y754">
        <v>2.84674E-2</v>
      </c>
      <c r="Z754">
        <v>-6.1302410000000002E-4</v>
      </c>
      <c r="AA754">
        <v>0.99959450000000005</v>
      </c>
      <c r="AB754">
        <v>30</v>
      </c>
      <c r="AC754">
        <v>34.9740999999999</v>
      </c>
      <c r="AD754">
        <v>-1.070898067273</v>
      </c>
      <c r="AE754">
        <v>-1.0515000000000301</v>
      </c>
      <c r="AF754">
        <v>1.00124022469041</v>
      </c>
      <c r="AG754">
        <v>-1.070898067273</v>
      </c>
      <c r="AH754">
        <v>34.942816350054898</v>
      </c>
      <c r="AI754">
        <v>91.754683717782399</v>
      </c>
      <c r="AJ754">
        <v>88.3587142409949</v>
      </c>
      <c r="AK754">
        <v>34.973557427457798</v>
      </c>
      <c r="AL754">
        <v>95.174324578702894</v>
      </c>
      <c r="AM754">
        <v>89.3310890280314</v>
      </c>
      <c r="AN754">
        <v>1.00000005810077</v>
      </c>
    </row>
    <row r="755" spans="1:40" x14ac:dyDescent="0.25">
      <c r="A755" t="str">
        <f>"20190303154433103"</f>
        <v>20190303154433103</v>
      </c>
      <c r="B755" t="str">
        <f>"1551599073091039"</f>
        <v>1551599073091039</v>
      </c>
      <c r="C755" t="s">
        <v>40</v>
      </c>
      <c r="D755">
        <v>4.7239979999999999</v>
      </c>
      <c r="E755">
        <v>0.50674470000000005</v>
      </c>
      <c r="F755" t="s">
        <v>41</v>
      </c>
      <c r="G755">
        <v>-252.0308</v>
      </c>
      <c r="H755" s="1">
        <v>-3.973924E-6</v>
      </c>
      <c r="I755">
        <v>366.38679999999999</v>
      </c>
      <c r="J755">
        <v>-286.52350000000001</v>
      </c>
      <c r="K755">
        <v>1.0709059999999999</v>
      </c>
      <c r="L755">
        <v>367.43520000000001</v>
      </c>
      <c r="M755">
        <v>0.99989779999999995</v>
      </c>
      <c r="N755">
        <v>-1.422534E-2</v>
      </c>
      <c r="O755">
        <v>-1.4402869999999999E-3</v>
      </c>
      <c r="P755">
        <v>0.99452719999999994</v>
      </c>
      <c r="Q755">
        <v>-0.1036198</v>
      </c>
      <c r="R755">
        <v>-1.33744E-2</v>
      </c>
      <c r="S755">
        <v>3.0058289999999999</v>
      </c>
      <c r="T755">
        <v>-9.2610719999999994E-2</v>
      </c>
      <c r="U755">
        <v>-9.0698239999999999E-2</v>
      </c>
      <c r="V755">
        <v>1.1931020000000001E-2</v>
      </c>
      <c r="W755">
        <v>-8.9463029999999999E-2</v>
      </c>
      <c r="X755">
        <v>0.99591870000000005</v>
      </c>
      <c r="Y755">
        <v>2.870089E-2</v>
      </c>
      <c r="Z755">
        <v>-6.223321E-4</v>
      </c>
      <c r="AA755">
        <v>0.99958780000000003</v>
      </c>
      <c r="AB755">
        <v>30</v>
      </c>
      <c r="AC755">
        <v>34.492699999999999</v>
      </c>
      <c r="AD755">
        <v>-1.070909973924</v>
      </c>
      <c r="AE755">
        <v>-1.04840000000001</v>
      </c>
      <c r="AF755">
        <v>0.99775360843776595</v>
      </c>
      <c r="AG755">
        <v>-1.070909973924</v>
      </c>
      <c r="AH755">
        <v>34.460986585150799</v>
      </c>
      <c r="AI755">
        <v>91.779206299859595</v>
      </c>
      <c r="AJ755">
        <v>88.341570849552497</v>
      </c>
      <c r="AK755">
        <v>34.492056431261702</v>
      </c>
      <c r="AL755">
        <v>95.132716259371705</v>
      </c>
      <c r="AM755">
        <v>89.313634344653195</v>
      </c>
      <c r="AN755">
        <v>1.00000001999235</v>
      </c>
    </row>
    <row r="756" spans="1:40" x14ac:dyDescent="0.25">
      <c r="A756" t="str">
        <f>"20190303154433126"</f>
        <v>20190303154433126</v>
      </c>
      <c r="B756" t="str">
        <f>"1551599073121295"</f>
        <v>1551599073121295</v>
      </c>
      <c r="C756" t="s">
        <v>40</v>
      </c>
      <c r="D756">
        <v>4.7379819999999997</v>
      </c>
      <c r="E756">
        <v>0.50631539999999997</v>
      </c>
      <c r="F756" t="s">
        <v>41</v>
      </c>
      <c r="G756">
        <v>-251.6713</v>
      </c>
      <c r="H756" s="1">
        <v>-4.1278090000000001E-6</v>
      </c>
      <c r="I756">
        <v>366.38889999999998</v>
      </c>
      <c r="J756">
        <v>-286.2319</v>
      </c>
      <c r="K756">
        <v>1.070924</v>
      </c>
      <c r="L756">
        <v>367.4348</v>
      </c>
      <c r="M756">
        <v>0.99989799999999995</v>
      </c>
      <c r="N756">
        <v>-1.4222230000000001E-2</v>
      </c>
      <c r="O756">
        <v>-1.4611769999999999E-3</v>
      </c>
      <c r="P756">
        <v>0.99455760000000004</v>
      </c>
      <c r="Q756">
        <v>-0.1032909</v>
      </c>
      <c r="R756">
        <v>-1.3659869999999999E-2</v>
      </c>
      <c r="S756">
        <v>3.0056759999999998</v>
      </c>
      <c r="T756">
        <v>-9.2355729999999997E-2</v>
      </c>
      <c r="U756">
        <v>-9.0240479999999998E-2</v>
      </c>
      <c r="V756">
        <v>1.2197940000000001E-2</v>
      </c>
      <c r="W756">
        <v>-8.9136469999999995E-2</v>
      </c>
      <c r="X756">
        <v>0.99594470000000002</v>
      </c>
      <c r="Y756">
        <v>2.8529639999999998E-2</v>
      </c>
      <c r="Z756">
        <v>-6.1701629999999996E-4</v>
      </c>
      <c r="AA756">
        <v>0.99959279999999995</v>
      </c>
      <c r="AB756">
        <v>30</v>
      </c>
      <c r="AC756">
        <v>34.560599999999901</v>
      </c>
      <c r="AD756">
        <v>-1.0709281278089999</v>
      </c>
      <c r="AE756">
        <v>-1.04590000000001</v>
      </c>
      <c r="AF756">
        <v>0.99444065160225403</v>
      </c>
      <c r="AG756">
        <v>-1.0709281278089999</v>
      </c>
      <c r="AH756">
        <v>34.528967394151799</v>
      </c>
      <c r="AI756">
        <v>91.775743547665101</v>
      </c>
      <c r="AJ756">
        <v>88.350326952296797</v>
      </c>
      <c r="AK756">
        <v>34.559881200184797</v>
      </c>
      <c r="AL756">
        <v>95.113930940046501</v>
      </c>
      <c r="AM756">
        <v>89.298298852870801</v>
      </c>
      <c r="AN756">
        <v>0.99999997274119601</v>
      </c>
    </row>
    <row r="757" spans="1:40" x14ac:dyDescent="0.25">
      <c r="A757" t="str">
        <f>"20190303154433147"</f>
        <v>20190303154433147</v>
      </c>
      <c r="B757" t="str">
        <f>"1551599073140815"</f>
        <v>1551599073140815</v>
      </c>
      <c r="C757" t="s">
        <v>40</v>
      </c>
      <c r="D757">
        <v>4.7427429999999999</v>
      </c>
      <c r="E757">
        <v>0.50608920000000002</v>
      </c>
      <c r="F757" t="s">
        <v>41</v>
      </c>
      <c r="G757">
        <v>-252.21109999999999</v>
      </c>
      <c r="H757" s="1">
        <v>-3.8873099999999999E-6</v>
      </c>
      <c r="I757">
        <v>366.4391</v>
      </c>
      <c r="J757">
        <v>-285.94040000000001</v>
      </c>
      <c r="K757">
        <v>1.070932</v>
      </c>
      <c r="L757">
        <v>367.43430000000001</v>
      </c>
      <c r="M757">
        <v>0.99989790000000001</v>
      </c>
      <c r="N757">
        <v>-1.421908E-2</v>
      </c>
      <c r="O757">
        <v>-1.4707539999999999E-3</v>
      </c>
      <c r="P757">
        <v>0.99452479999999999</v>
      </c>
      <c r="Q757">
        <v>-0.1036091</v>
      </c>
      <c r="R757">
        <v>-1.3631310000000001E-2</v>
      </c>
      <c r="S757">
        <v>3.005341</v>
      </c>
      <c r="T757">
        <v>-9.4603900000000005E-2</v>
      </c>
      <c r="U757">
        <v>-8.7951660000000001E-2</v>
      </c>
      <c r="V757">
        <v>1.216216E-2</v>
      </c>
      <c r="W757">
        <v>-8.9457999999999996E-2</v>
      </c>
      <c r="X757">
        <v>0.99591640000000003</v>
      </c>
      <c r="Y757">
        <v>2.7762559999999999E-2</v>
      </c>
      <c r="Z757">
        <v>-6.0889470000000004E-4</v>
      </c>
      <c r="AA757">
        <v>0.99961440000000001</v>
      </c>
      <c r="AB757">
        <v>30</v>
      </c>
      <c r="AC757">
        <v>33.729300000000002</v>
      </c>
      <c r="AD757">
        <v>-1.0709358873099999</v>
      </c>
      <c r="AE757">
        <v>-0.99520000000001096</v>
      </c>
      <c r="AF757">
        <v>0.94463493158855505</v>
      </c>
      <c r="AG757">
        <v>-1.0709358873099999</v>
      </c>
      <c r="AH757">
        <v>33.696786493834502</v>
      </c>
      <c r="AI757">
        <v>91.819621217790896</v>
      </c>
      <c r="AJ757">
        <v>88.394226007125198</v>
      </c>
      <c r="AK757">
        <v>33.727031574684602</v>
      </c>
      <c r="AL757">
        <v>95.132426675716601</v>
      </c>
      <c r="AM757">
        <v>89.300337056327805</v>
      </c>
      <c r="AN757">
        <v>1.00000006384441</v>
      </c>
    </row>
    <row r="758" spans="1:40" x14ac:dyDescent="0.25">
      <c r="A758" t="str">
        <f>"20190303154433169"</f>
        <v>20190303154433169</v>
      </c>
      <c r="B758" t="str">
        <f>"1551599073161311"</f>
        <v>1551599073161311</v>
      </c>
      <c r="C758" t="s">
        <v>40</v>
      </c>
      <c r="D758">
        <v>4.7983070000000003</v>
      </c>
      <c r="E758">
        <v>0.50580009999999997</v>
      </c>
      <c r="F758" t="s">
        <v>41</v>
      </c>
      <c r="G758">
        <v>-253.16200000000001</v>
      </c>
      <c r="H758" s="1">
        <v>-3.469178E-6</v>
      </c>
      <c r="I758">
        <v>366.4966</v>
      </c>
      <c r="J758">
        <v>-285.65780000000001</v>
      </c>
      <c r="K758">
        <v>1.0709420000000001</v>
      </c>
      <c r="L758">
        <v>367.43389999999999</v>
      </c>
      <c r="M758">
        <v>0.99989790000000001</v>
      </c>
      <c r="N758">
        <v>-1.4216060000000001E-2</v>
      </c>
      <c r="O758">
        <v>-1.4611050000000001E-3</v>
      </c>
      <c r="P758">
        <v>0.9944617</v>
      </c>
      <c r="Q758">
        <v>-0.10419970000000001</v>
      </c>
      <c r="R758">
        <v>-1.3724409999999999E-2</v>
      </c>
      <c r="S758">
        <v>3.0051269999999999</v>
      </c>
      <c r="T758">
        <v>-9.8183389999999995E-2</v>
      </c>
      <c r="U758">
        <v>-8.5968020000000006E-2</v>
      </c>
      <c r="V758">
        <v>1.226762E-2</v>
      </c>
      <c r="W758">
        <v>-9.0052060000000003E-2</v>
      </c>
      <c r="X758">
        <v>0.99586149999999996</v>
      </c>
      <c r="Y758">
        <v>2.711423E-2</v>
      </c>
      <c r="Z758">
        <v>-6.0863089999999996E-4</v>
      </c>
      <c r="AA758">
        <v>0.99963219999999997</v>
      </c>
      <c r="AB758">
        <v>29</v>
      </c>
      <c r="AC758">
        <v>32.495800000000003</v>
      </c>
      <c r="AD758">
        <v>-1.070945469178</v>
      </c>
      <c r="AE758">
        <v>-0.93729999999999303</v>
      </c>
      <c r="AF758">
        <v>0.88884982548388802</v>
      </c>
      <c r="AG758">
        <v>-1.070945469178</v>
      </c>
      <c r="AH758">
        <v>32.461906523378097</v>
      </c>
      <c r="AI758">
        <v>91.888842978135699</v>
      </c>
      <c r="AJ758">
        <v>88.431557864861603</v>
      </c>
      <c r="AK758">
        <v>32.4917274601206</v>
      </c>
      <c r="AL758">
        <v>95.166602082956103</v>
      </c>
      <c r="AM758">
        <v>89.294231878391599</v>
      </c>
      <c r="AN758">
        <v>0.99999999759647895</v>
      </c>
    </row>
    <row r="759" spans="1:40" x14ac:dyDescent="0.25">
      <c r="A759" t="str">
        <f>"20190303154433192"</f>
        <v>20190303154433192</v>
      </c>
      <c r="B759" t="str">
        <f>"1551599073181517"</f>
        <v>1551599073181517</v>
      </c>
      <c r="C759" t="s">
        <v>40</v>
      </c>
      <c r="D759">
        <v>4.7554280000000002</v>
      </c>
      <c r="E759">
        <v>0.50533640000000002</v>
      </c>
      <c r="F759" t="s">
        <v>41</v>
      </c>
      <c r="G759">
        <v>-254.59819999999999</v>
      </c>
      <c r="H759" s="1">
        <v>-2.8406169999999998E-6</v>
      </c>
      <c r="I759">
        <v>366.56670000000003</v>
      </c>
      <c r="J759">
        <v>-285.35849999999999</v>
      </c>
      <c r="K759">
        <v>1.0709649999999999</v>
      </c>
      <c r="L759">
        <v>367.43349999999998</v>
      </c>
      <c r="M759">
        <v>0.99989810000000001</v>
      </c>
      <c r="N759">
        <v>-1.4212870000000001E-2</v>
      </c>
      <c r="O759">
        <v>-1.4151820000000001E-3</v>
      </c>
      <c r="P759">
        <v>0.99435929999999995</v>
      </c>
      <c r="Q759">
        <v>-0.105228</v>
      </c>
      <c r="R759">
        <v>-1.3301E-2</v>
      </c>
      <c r="S759">
        <v>3.0047299999999999</v>
      </c>
      <c r="T759">
        <v>-0.1036038</v>
      </c>
      <c r="U759">
        <v>-8.3892820000000007E-2</v>
      </c>
      <c r="V759">
        <v>1.189456E-2</v>
      </c>
      <c r="W759">
        <v>-9.1084269999999995E-2</v>
      </c>
      <c r="X759">
        <v>0.99577210000000005</v>
      </c>
      <c r="Y759">
        <v>2.6472659999999999E-2</v>
      </c>
      <c r="Z759">
        <v>-6.1575469999999995E-4</v>
      </c>
      <c r="AA759">
        <v>0.99964929999999996</v>
      </c>
      <c r="AB759">
        <v>29</v>
      </c>
      <c r="AC759">
        <v>30.760300000000001</v>
      </c>
      <c r="AD759">
        <v>-1.070967840617</v>
      </c>
      <c r="AE759">
        <v>-0.86679999999995505</v>
      </c>
      <c r="AF759">
        <v>0.82226736048314297</v>
      </c>
      <c r="AG759">
        <v>-1.070967840617</v>
      </c>
      <c r="AH759">
        <v>30.724281789991299</v>
      </c>
      <c r="AI759">
        <v>91.995658246742195</v>
      </c>
      <c r="AJ759">
        <v>88.466971286907494</v>
      </c>
      <c r="AK759">
        <v>30.7539361259423</v>
      </c>
      <c r="AL759">
        <v>95.225987670350094</v>
      </c>
      <c r="AM759">
        <v>89.315630879406399</v>
      </c>
      <c r="AN759">
        <v>0.99999994996871699</v>
      </c>
    </row>
    <row r="760" spans="1:40" x14ac:dyDescent="0.25">
      <c r="A760" t="str">
        <f>"20190303154433213"</f>
        <v>20190303154433213</v>
      </c>
      <c r="B760" t="str">
        <f>"1551599073201038"</f>
        <v>1551599073201038</v>
      </c>
      <c r="C760" t="s">
        <v>40</v>
      </c>
      <c r="D760">
        <v>4.7959699999999996</v>
      </c>
      <c r="E760">
        <v>0.50497239999999999</v>
      </c>
      <c r="F760" t="s">
        <v>41</v>
      </c>
      <c r="G760">
        <v>-256.73340000000002</v>
      </c>
      <c r="H760" s="1">
        <v>-1.9051110000000001E-6</v>
      </c>
      <c r="I760">
        <v>366.67689999999999</v>
      </c>
      <c r="J760">
        <v>-285.06909999999999</v>
      </c>
      <c r="K760">
        <v>1.070994</v>
      </c>
      <c r="L760">
        <v>367.4332</v>
      </c>
      <c r="M760">
        <v>0.99989819999999996</v>
      </c>
      <c r="N760">
        <v>-1.420978E-2</v>
      </c>
      <c r="O760">
        <v>-1.3252079999999901E-3</v>
      </c>
      <c r="P760">
        <v>0.99431899999999995</v>
      </c>
      <c r="Q760">
        <v>-0.1055716</v>
      </c>
      <c r="R760">
        <v>-1.358618E-2</v>
      </c>
      <c r="S760">
        <v>3.0040589999999998</v>
      </c>
      <c r="T760">
        <v>-0.1123922</v>
      </c>
      <c r="U760">
        <v>-7.9406740000000003E-2</v>
      </c>
      <c r="V760">
        <v>1.227632E-2</v>
      </c>
      <c r="W760">
        <v>-9.1430540000000005E-2</v>
      </c>
      <c r="X760">
        <v>0.99573579999999995</v>
      </c>
      <c r="Y760">
        <v>2.5075170000000001E-2</v>
      </c>
      <c r="Z760">
        <v>-6.1638099999999896E-4</v>
      </c>
      <c r="AA760">
        <v>0.99968539999999995</v>
      </c>
      <c r="AB760">
        <v>29</v>
      </c>
      <c r="AC760">
        <v>28.3356999999999</v>
      </c>
      <c r="AD760">
        <v>-1.0709959051109901</v>
      </c>
      <c r="AE760">
        <v>-0.75630000000000996</v>
      </c>
      <c r="AF760">
        <v>0.71772025102828896</v>
      </c>
      <c r="AG760">
        <v>-1.0709959051109901</v>
      </c>
      <c r="AH760">
        <v>28.296282449255902</v>
      </c>
      <c r="AI760">
        <v>92.166877091940407</v>
      </c>
      <c r="AJ760">
        <v>88.547034369009907</v>
      </c>
      <c r="AK760">
        <v>28.325637769264201</v>
      </c>
      <c r="AL760">
        <v>95.245910257276606</v>
      </c>
      <c r="AM760">
        <v>89.293642260487204</v>
      </c>
      <c r="AN760">
        <v>1.0000000175395301</v>
      </c>
    </row>
    <row r="761" spans="1:40" x14ac:dyDescent="0.25">
      <c r="A761" t="str">
        <f>"20190303154433237"</f>
        <v>20190303154433237</v>
      </c>
      <c r="B761" t="str">
        <f>"1551599073231290"</f>
        <v>1551599073231290</v>
      </c>
      <c r="C761" t="s">
        <v>40</v>
      </c>
      <c r="D761">
        <v>4.8092410000000001</v>
      </c>
      <c r="E761">
        <v>0.50450119999999998</v>
      </c>
      <c r="F761" t="s">
        <v>41</v>
      </c>
      <c r="G761">
        <v>-258.02530000000002</v>
      </c>
      <c r="H761" s="1">
        <v>-1.423193E-6</v>
      </c>
      <c r="I761">
        <v>366.7407</v>
      </c>
      <c r="J761">
        <v>-284.77100000000002</v>
      </c>
      <c r="K761">
        <v>1.0710379999999999</v>
      </c>
      <c r="L761">
        <v>367.43290000000002</v>
      </c>
      <c r="M761">
        <v>0.99989859999999997</v>
      </c>
      <c r="N761">
        <v>-1.4206679999999999E-2</v>
      </c>
      <c r="O761">
        <v>-1.1781840000000001E-3</v>
      </c>
      <c r="P761">
        <v>0.99426040000000004</v>
      </c>
      <c r="Q761">
        <v>-0.1062106</v>
      </c>
      <c r="R761">
        <v>-1.288415E-2</v>
      </c>
      <c r="S761">
        <v>3.0034480000000001</v>
      </c>
      <c r="T761">
        <v>-0.1189431</v>
      </c>
      <c r="U761">
        <v>-7.6904299999999995E-2</v>
      </c>
      <c r="V761">
        <v>1.17304E-2</v>
      </c>
      <c r="W761">
        <v>-9.2072260000000003E-2</v>
      </c>
      <c r="X761">
        <v>0.99568330000000005</v>
      </c>
      <c r="Y761">
        <v>2.4393419999999999E-2</v>
      </c>
      <c r="Z761">
        <v>-6.2625150000000004E-4</v>
      </c>
      <c r="AA761">
        <v>0.99970219999999999</v>
      </c>
      <c r="AB761">
        <v>29</v>
      </c>
      <c r="AC761">
        <v>26.7456999999999</v>
      </c>
      <c r="AD761">
        <v>-1.0710394231929901</v>
      </c>
      <c r="AE761">
        <v>-0.69220000000001303</v>
      </c>
      <c r="AF761">
        <v>0.65962790184481601</v>
      </c>
      <c r="AG761">
        <v>-1.0710394231929901</v>
      </c>
      <c r="AH761">
        <v>26.7037029771835</v>
      </c>
      <c r="AI761">
        <v>92.296104065156598</v>
      </c>
      <c r="AJ761">
        <v>88.584982363856</v>
      </c>
      <c r="AK761">
        <v>26.733312310833501</v>
      </c>
      <c r="AL761">
        <v>95.282833580052397</v>
      </c>
      <c r="AM761">
        <v>89.325014973033802</v>
      </c>
      <c r="AN761">
        <v>1.0000000686222701</v>
      </c>
    </row>
    <row r="762" spans="1:40" x14ac:dyDescent="0.25">
      <c r="A762" t="str">
        <f>"20190303154433258"</f>
        <v>20190303154433258</v>
      </c>
      <c r="B762" t="str">
        <f>"1551599073250809"</f>
        <v>1551599073250809</v>
      </c>
      <c r="C762" t="s">
        <v>40</v>
      </c>
      <c r="D762">
        <v>4.7897270000000001</v>
      </c>
      <c r="E762">
        <v>0.50424089999999999</v>
      </c>
      <c r="F762" t="s">
        <v>41</v>
      </c>
      <c r="G762">
        <v>-259.35930000000002</v>
      </c>
      <c r="H762" s="1">
        <v>-9.4565430000000003E-7</v>
      </c>
      <c r="I762">
        <v>366.82929999999999</v>
      </c>
      <c r="J762">
        <v>-284.49160000000001</v>
      </c>
      <c r="K762">
        <v>1.0710770000000001</v>
      </c>
      <c r="L762">
        <v>367.43279999999999</v>
      </c>
      <c r="M762">
        <v>0.99989859999999997</v>
      </c>
      <c r="N762">
        <v>-1.4203830000000001E-2</v>
      </c>
      <c r="O762">
        <v>-9.8596039999999897E-4</v>
      </c>
      <c r="P762">
        <v>0.99427390000000004</v>
      </c>
      <c r="Q762">
        <v>-0.1061351</v>
      </c>
      <c r="R762">
        <v>-1.243525E-2</v>
      </c>
      <c r="S762">
        <v>3.0029300000000001</v>
      </c>
      <c r="T762">
        <v>-0.12656529999999999</v>
      </c>
      <c r="U762">
        <v>-7.1319579999999994E-2</v>
      </c>
      <c r="V762">
        <v>1.14827E-2</v>
      </c>
      <c r="W762">
        <v>-9.1998300000000005E-2</v>
      </c>
      <c r="X762">
        <v>0.99569300000000005</v>
      </c>
      <c r="Y762">
        <v>2.2730920000000002E-2</v>
      </c>
      <c r="Z762">
        <v>-6.1277089999999998E-4</v>
      </c>
      <c r="AA762">
        <v>0.9997414</v>
      </c>
      <c r="AB762">
        <v>29</v>
      </c>
      <c r="AC762">
        <v>25.132299999999901</v>
      </c>
      <c r="AD762">
        <v>-1.0710779456543</v>
      </c>
      <c r="AE762">
        <v>-0.60349999999999604</v>
      </c>
      <c r="AF762">
        <v>0.57766916125780099</v>
      </c>
      <c r="AG762">
        <v>-1.0710779456543</v>
      </c>
      <c r="AH762">
        <v>25.087344023223</v>
      </c>
      <c r="AI762">
        <v>92.4440517359251</v>
      </c>
      <c r="AJ762">
        <v>88.680922257896299</v>
      </c>
      <c r="AK762">
        <v>25.1168417553856</v>
      </c>
      <c r="AL762">
        <v>95.278578047843098</v>
      </c>
      <c r="AM762">
        <v>89.339273166164304</v>
      </c>
      <c r="AN762">
        <v>1.0000000449255799</v>
      </c>
    </row>
    <row r="763" spans="1:40" x14ac:dyDescent="0.25">
      <c r="A763" t="str">
        <f>"20190303154433289"</f>
        <v>20190303154433289</v>
      </c>
      <c r="B763" t="str">
        <f>"1551599073281149"</f>
        <v>1551599073281149</v>
      </c>
      <c r="C763" t="s">
        <v>40</v>
      </c>
      <c r="D763">
        <v>4.6599560000000002</v>
      </c>
      <c r="E763">
        <v>0.50433079999999997</v>
      </c>
      <c r="F763" t="s">
        <v>41</v>
      </c>
      <c r="G763">
        <v>-259.63220000000001</v>
      </c>
      <c r="H763" s="1">
        <v>-8.4256090000000003E-7</v>
      </c>
      <c r="I763">
        <v>366.86779999999999</v>
      </c>
      <c r="J763">
        <v>-284.08139999999997</v>
      </c>
      <c r="K763">
        <v>1.071142</v>
      </c>
      <c r="L763">
        <v>367.43279999999999</v>
      </c>
      <c r="M763">
        <v>0.99989910000000004</v>
      </c>
      <c r="N763">
        <v>-1.4199669999999999E-2</v>
      </c>
      <c r="O763">
        <v>-6.1038290000000001E-4</v>
      </c>
      <c r="P763">
        <v>0.99426230000000004</v>
      </c>
      <c r="Q763">
        <v>-0.10627789999999999</v>
      </c>
      <c r="R763">
        <v>-1.215656E-2</v>
      </c>
      <c r="S763">
        <v>3.0026250000000001</v>
      </c>
      <c r="T763">
        <v>-0.1293687</v>
      </c>
      <c r="U763">
        <v>-6.8237300000000001E-2</v>
      </c>
      <c r="V763">
        <v>1.159111E-2</v>
      </c>
      <c r="W763">
        <v>-9.2143719999999998E-2</v>
      </c>
      <c r="X763">
        <v>0.99567819999999996</v>
      </c>
      <c r="Y763">
        <v>2.2082750000000002E-2</v>
      </c>
      <c r="Z763">
        <v>-6.1472769999999896E-4</v>
      </c>
      <c r="AA763">
        <v>0.99975599999999998</v>
      </c>
      <c r="AB763">
        <v>29</v>
      </c>
      <c r="AC763">
        <v>24.449199999999902</v>
      </c>
      <c r="AD763">
        <v>-1.0711428425609</v>
      </c>
      <c r="AE763">
        <v>-0.56499999999999695</v>
      </c>
      <c r="AF763">
        <v>0.54902178806925706</v>
      </c>
      <c r="AG763">
        <v>-1.0711428425609</v>
      </c>
      <c r="AH763">
        <v>24.402726753694701</v>
      </c>
      <c r="AI763">
        <v>92.512714992046298</v>
      </c>
      <c r="AJ763">
        <v>88.711155285868699</v>
      </c>
      <c r="AK763">
        <v>24.432393352441601</v>
      </c>
      <c r="AL763">
        <v>95.286946052585094</v>
      </c>
      <c r="AM763">
        <v>89.333025786722601</v>
      </c>
      <c r="AN763">
        <v>0.99999994846085305</v>
      </c>
    </row>
    <row r="764" spans="1:40" x14ac:dyDescent="0.25">
      <c r="A764" t="str">
        <f>"20190303154433304"</f>
        <v>20190303154433304</v>
      </c>
      <c r="B764" t="str">
        <f>"1551599073290909"</f>
        <v>1551599073290909</v>
      </c>
      <c r="C764" t="s">
        <v>40</v>
      </c>
      <c r="D764">
        <v>4.7652029999999996</v>
      </c>
      <c r="E764">
        <v>0.50435509999999995</v>
      </c>
      <c r="F764" t="s">
        <v>41</v>
      </c>
      <c r="G764">
        <v>-258.8553</v>
      </c>
      <c r="H764" s="1">
        <v>-1.109019E-6</v>
      </c>
      <c r="I764">
        <v>366.86</v>
      </c>
      <c r="J764">
        <v>-283.8877</v>
      </c>
      <c r="K764">
        <v>1.0711619999999999</v>
      </c>
      <c r="L764">
        <v>367.43290000000002</v>
      </c>
      <c r="M764">
        <v>0.99989919999999999</v>
      </c>
      <c r="N764">
        <v>-1.4197670000000001E-2</v>
      </c>
      <c r="O764">
        <v>-4.0423660000000003E-4</v>
      </c>
      <c r="P764">
        <v>0.99427209999999999</v>
      </c>
      <c r="Q764">
        <v>-0.1061853</v>
      </c>
      <c r="R764">
        <v>-1.2160010000000001E-2</v>
      </c>
      <c r="S764">
        <v>3.0028380000000001</v>
      </c>
      <c r="T764">
        <v>-0.1275048</v>
      </c>
      <c r="U764">
        <v>-6.8176269999999997E-2</v>
      </c>
      <c r="V764">
        <v>1.180459E-2</v>
      </c>
      <c r="W764">
        <v>-9.2052209999999995E-2</v>
      </c>
      <c r="X764">
        <v>0.99568420000000002</v>
      </c>
      <c r="Y764">
        <v>2.226732E-2</v>
      </c>
      <c r="Z764">
        <v>-6.1925519999999896E-4</v>
      </c>
      <c r="AA764">
        <v>0.99975190000000003</v>
      </c>
      <c r="AB764">
        <v>29</v>
      </c>
      <c r="AC764">
        <v>25.032399999999999</v>
      </c>
      <c r="AD764">
        <v>-1.0711631090189999</v>
      </c>
      <c r="AE764">
        <v>-0.57290000000000396</v>
      </c>
      <c r="AF764">
        <v>0.56175185012371898</v>
      </c>
      <c r="AG764">
        <v>-1.0711631090189999</v>
      </c>
      <c r="AH764">
        <v>24.9869006172292</v>
      </c>
      <c r="AI764">
        <v>92.454089676384896</v>
      </c>
      <c r="AJ764">
        <v>88.712101606734095</v>
      </c>
      <c r="AK764">
        <v>25.0161579384711</v>
      </c>
      <c r="AL764">
        <v>95.281680306636005</v>
      </c>
      <c r="AM764">
        <v>89.320746980433896</v>
      </c>
      <c r="AN764">
        <v>0.99999999192029598</v>
      </c>
    </row>
    <row r="765" spans="1:40" x14ac:dyDescent="0.25">
      <c r="A765" t="str">
        <f>"20190303154433327"</f>
        <v>20190303154433327</v>
      </c>
      <c r="B765" t="str">
        <f>"1551599073321164"</f>
        <v>1551599073321164</v>
      </c>
      <c r="C765" t="s">
        <v>40</v>
      </c>
      <c r="D765">
        <v>4.793806</v>
      </c>
      <c r="E765">
        <v>0.50411269999999997</v>
      </c>
      <c r="F765" t="s">
        <v>41</v>
      </c>
      <c r="G765">
        <v>-258.5249</v>
      </c>
      <c r="H765" s="1">
        <v>-1.221053E-6</v>
      </c>
      <c r="I765">
        <v>366.8614</v>
      </c>
      <c r="J765">
        <v>-283.5872</v>
      </c>
      <c r="K765">
        <v>1.0711839999999999</v>
      </c>
      <c r="L765">
        <v>367.43310000000002</v>
      </c>
      <c r="M765">
        <v>0.99989930000000005</v>
      </c>
      <c r="N765">
        <v>-1.4194409999999999E-2</v>
      </c>
      <c r="O765" s="1">
        <v>-5.3335460000000002E-5</v>
      </c>
      <c r="P765">
        <v>0.99424780000000001</v>
      </c>
      <c r="Q765">
        <v>-0.1065068</v>
      </c>
      <c r="R765">
        <v>-1.130079E-2</v>
      </c>
      <c r="S765">
        <v>3.0029300000000001</v>
      </c>
      <c r="T765">
        <v>-0.12682460000000001</v>
      </c>
      <c r="U765">
        <v>-6.7657469999999997E-2</v>
      </c>
      <c r="V765">
        <v>1.1300269999999999E-2</v>
      </c>
      <c r="W765">
        <v>-9.2376899999999901E-2</v>
      </c>
      <c r="X765">
        <v>0.99565999999999999</v>
      </c>
      <c r="Y765">
        <v>2.2444740000000001E-2</v>
      </c>
      <c r="Z765">
        <v>-6.3161369999999997E-4</v>
      </c>
      <c r="AA765">
        <v>0.99974790000000002</v>
      </c>
      <c r="AB765">
        <v>29</v>
      </c>
      <c r="AC765">
        <v>25.0623</v>
      </c>
      <c r="AD765">
        <v>-1.071185221053</v>
      </c>
      <c r="AE765">
        <v>-0.57170000000002097</v>
      </c>
      <c r="AF765">
        <v>0.56932366457425199</v>
      </c>
      <c r="AG765">
        <v>-1.071185221053</v>
      </c>
      <c r="AH765">
        <v>25.016654193104099</v>
      </c>
      <c r="AI765">
        <v>92.451209730209001</v>
      </c>
      <c r="AJ765">
        <v>88.696299944853493</v>
      </c>
      <c r="AK765">
        <v>25.046048674994601</v>
      </c>
      <c r="AL765">
        <v>95.300363173644598</v>
      </c>
      <c r="AM765">
        <v>89.349747925549195</v>
      </c>
      <c r="AN765">
        <v>1.00000001167784</v>
      </c>
    </row>
    <row r="766" spans="1:40" x14ac:dyDescent="0.25">
      <c r="A766" t="str">
        <f>"20190303154433349"</f>
        <v>20190303154433349</v>
      </c>
      <c r="B766" t="str">
        <f>"1551599073340685"</f>
        <v>1551599073340685</v>
      </c>
      <c r="C766" t="s">
        <v>40</v>
      </c>
      <c r="D766">
        <v>4.7597060000000004</v>
      </c>
      <c r="E766">
        <v>0.50390849999999998</v>
      </c>
      <c r="F766" t="s">
        <v>41</v>
      </c>
      <c r="G766">
        <v>-258.9581</v>
      </c>
      <c r="H766" s="1">
        <v>-1.059395E-6</v>
      </c>
      <c r="I766">
        <v>366.91489999999999</v>
      </c>
      <c r="J766">
        <v>-283.30840000000001</v>
      </c>
      <c r="K766">
        <v>1.0711889999999999</v>
      </c>
      <c r="L766">
        <v>367.43349999999998</v>
      </c>
      <c r="M766">
        <v>0.99989939999999999</v>
      </c>
      <c r="N766">
        <v>-1.4191469999999999E-2</v>
      </c>
      <c r="O766">
        <v>2.8999009999999999E-4</v>
      </c>
      <c r="P766">
        <v>0.99424140000000005</v>
      </c>
      <c r="Q766">
        <v>-0.1067264</v>
      </c>
      <c r="R766">
        <v>-9.688225E-3</v>
      </c>
      <c r="S766">
        <v>3.0026250000000001</v>
      </c>
      <c r="T766">
        <v>-0.13059180000000001</v>
      </c>
      <c r="U766">
        <v>-6.3171389999999994E-2</v>
      </c>
      <c r="V766">
        <v>1.0032330000000001E-2</v>
      </c>
      <c r="W766">
        <v>-9.2599879999999996E-2</v>
      </c>
      <c r="X766">
        <v>0.99565289999999995</v>
      </c>
      <c r="Y766">
        <v>2.129721E-2</v>
      </c>
      <c r="Z766">
        <v>-6.2259429999999996E-4</v>
      </c>
      <c r="AA766">
        <v>0.99977300000000002</v>
      </c>
      <c r="AB766">
        <v>29</v>
      </c>
      <c r="AC766">
        <v>24.350300000000001</v>
      </c>
      <c r="AD766">
        <v>-1.0711900593949999</v>
      </c>
      <c r="AE766">
        <v>-0.51859999999999196</v>
      </c>
      <c r="AF766">
        <v>0.52464720063604098</v>
      </c>
      <c r="AG766">
        <v>-1.0711900593949999</v>
      </c>
      <c r="AH766">
        <v>24.303138614785201</v>
      </c>
      <c r="AI766">
        <v>92.523159822496396</v>
      </c>
      <c r="AJ766">
        <v>88.763311911203502</v>
      </c>
      <c r="AK766">
        <v>24.332390950293899</v>
      </c>
      <c r="AL766">
        <v>95.313193824218502</v>
      </c>
      <c r="AM766">
        <v>89.422699702200205</v>
      </c>
      <c r="AN766">
        <v>1.00000004134982</v>
      </c>
    </row>
    <row r="767" spans="1:40" x14ac:dyDescent="0.25">
      <c r="A767" t="str">
        <f>"20190303154433370"</f>
        <v>20190303154433370</v>
      </c>
      <c r="B767" t="str">
        <f>"1551599073361182"</f>
        <v>1551599073361182</v>
      </c>
      <c r="C767" t="s">
        <v>40</v>
      </c>
      <c r="D767">
        <v>4.7540050000000003</v>
      </c>
      <c r="E767">
        <v>0.50379319999999905</v>
      </c>
      <c r="F767" t="s">
        <v>41</v>
      </c>
      <c r="G767">
        <v>-259.22329999999999</v>
      </c>
      <c r="H767" s="1">
        <v>-9.5254929999999999E-7</v>
      </c>
      <c r="I767">
        <v>366.97739999999999</v>
      </c>
      <c r="J767">
        <v>-283.01839999999999</v>
      </c>
      <c r="K767">
        <v>1.071194</v>
      </c>
      <c r="L767">
        <v>367.43400000000003</v>
      </c>
      <c r="M767">
        <v>0.99989930000000005</v>
      </c>
      <c r="N767">
        <v>-1.418842E-2</v>
      </c>
      <c r="O767">
        <v>6.5316500000000004E-4</v>
      </c>
      <c r="P767">
        <v>0.99420169999999997</v>
      </c>
      <c r="Q767">
        <v>-0.1072531</v>
      </c>
      <c r="R767">
        <v>-7.7675000000000001E-3</v>
      </c>
      <c r="S767">
        <v>3.0025330000000001</v>
      </c>
      <c r="T767">
        <v>-0.1335375</v>
      </c>
      <c r="U767">
        <v>-5.6854250000000002E-2</v>
      </c>
      <c r="V767">
        <v>8.4746649999999993E-3</v>
      </c>
      <c r="W767">
        <v>-9.3131000000000005E-2</v>
      </c>
      <c r="X767">
        <v>0.9956178</v>
      </c>
      <c r="Y767">
        <v>1.9559340000000001E-2</v>
      </c>
      <c r="Z767">
        <v>-5.9333330000000003E-4</v>
      </c>
      <c r="AA767">
        <v>0.99980849999999999</v>
      </c>
      <c r="AB767">
        <v>29</v>
      </c>
      <c r="AC767">
        <v>23.795099999999898</v>
      </c>
      <c r="AD767">
        <v>-1.0711949525493001</v>
      </c>
      <c r="AE767">
        <v>-0.45660000000003698</v>
      </c>
      <c r="AF767">
        <v>0.47118904411486401</v>
      </c>
      <c r="AG767">
        <v>-1.0711949525493001</v>
      </c>
      <c r="AH767">
        <v>23.746690002327899</v>
      </c>
      <c r="AI767">
        <v>92.582310082468396</v>
      </c>
      <c r="AJ767">
        <v>88.863268887736496</v>
      </c>
      <c r="AK767">
        <v>23.7755076456491</v>
      </c>
      <c r="AL767">
        <v>95.343757034055599</v>
      </c>
      <c r="AM767">
        <v>89.512312042950299</v>
      </c>
      <c r="AN767">
        <v>1.00000000339235</v>
      </c>
    </row>
    <row r="768" spans="1:40" x14ac:dyDescent="0.25">
      <c r="A768" t="str">
        <f>"20190303154433393"</f>
        <v>20190303154433393</v>
      </c>
      <c r="B768" t="str">
        <f>"1551599073380701"</f>
        <v>1551599073380701</v>
      </c>
      <c r="C768" t="s">
        <v>40</v>
      </c>
      <c r="D768">
        <v>4.7368169999999896</v>
      </c>
      <c r="E768">
        <v>0.50366540000000004</v>
      </c>
      <c r="F768" t="s">
        <v>41</v>
      </c>
      <c r="G768">
        <v>-259.43049999999999</v>
      </c>
      <c r="H768" s="1">
        <v>-8.643626E-7</v>
      </c>
      <c r="I768">
        <v>367.04379999999998</v>
      </c>
      <c r="J768">
        <v>-282.7287</v>
      </c>
      <c r="K768">
        <v>1.0711949999999999</v>
      </c>
      <c r="L768">
        <v>367.43459999999999</v>
      </c>
      <c r="M768">
        <v>0.99989890000000003</v>
      </c>
      <c r="N768">
        <v>-1.4185440000000001E-2</v>
      </c>
      <c r="O768">
        <v>1.0072049999999999E-3</v>
      </c>
      <c r="P768">
        <v>0.99412480000000003</v>
      </c>
      <c r="Q768">
        <v>-0.10809149999999999</v>
      </c>
      <c r="R768">
        <v>-5.6691659999999998E-3</v>
      </c>
      <c r="S768">
        <v>3.00238</v>
      </c>
      <c r="T768">
        <v>-0.1363462</v>
      </c>
      <c r="U768">
        <v>-4.9652099999999998E-2</v>
      </c>
      <c r="V768">
        <v>6.7287650000000003E-3</v>
      </c>
      <c r="W768">
        <v>-9.3974459999999996E-2</v>
      </c>
      <c r="X768">
        <v>0.99555190000000005</v>
      </c>
      <c r="Y768">
        <v>1.7518289999999999E-2</v>
      </c>
      <c r="Z768">
        <v>-5.5332660000000002E-4</v>
      </c>
      <c r="AA768">
        <v>0.99984640000000002</v>
      </c>
      <c r="AB768">
        <v>29</v>
      </c>
      <c r="AC768">
        <v>23.298200000000001</v>
      </c>
      <c r="AD768">
        <v>-1.0711958643626001</v>
      </c>
      <c r="AE768">
        <v>-0.39080000000001203</v>
      </c>
      <c r="AF768">
        <v>0.413394579725819</v>
      </c>
      <c r="AG768">
        <v>-1.0711958643626001</v>
      </c>
      <c r="AH768">
        <v>23.2486620291238</v>
      </c>
      <c r="AI768">
        <v>92.637654807147797</v>
      </c>
      <c r="AJ768">
        <v>88.981306157817301</v>
      </c>
      <c r="AK768">
        <v>23.276998126966401</v>
      </c>
      <c r="AL768">
        <v>95.392296465696802</v>
      </c>
      <c r="AM768">
        <v>89.612753523513305</v>
      </c>
      <c r="AN768">
        <v>1.0000000305021599</v>
      </c>
    </row>
    <row r="769" spans="1:40" x14ac:dyDescent="0.25">
      <c r="A769" t="str">
        <f>"20190303154433416"</f>
        <v>20190303154433416</v>
      </c>
      <c r="B769" t="str">
        <f>"1551599073410957"</f>
        <v>1551599073410957</v>
      </c>
      <c r="C769" t="s">
        <v>40</v>
      </c>
      <c r="D769">
        <v>4.7231129999999997</v>
      </c>
      <c r="E769">
        <v>0.50392959999999998</v>
      </c>
      <c r="F769" t="s">
        <v>41</v>
      </c>
      <c r="G769">
        <v>-259.85340000000002</v>
      </c>
      <c r="H769" s="1">
        <v>-7.0295469999999998E-7</v>
      </c>
      <c r="I769">
        <v>367.10950000000003</v>
      </c>
      <c r="J769">
        <v>-282.42779999999999</v>
      </c>
      <c r="K769">
        <v>1.0711790000000001</v>
      </c>
      <c r="L769">
        <v>367.43529999999998</v>
      </c>
      <c r="M769">
        <v>0.99989850000000002</v>
      </c>
      <c r="N769">
        <v>-1.418236E-2</v>
      </c>
      <c r="O769">
        <v>1.3488650000000001E-3</v>
      </c>
      <c r="P769">
        <v>0.99405319999999997</v>
      </c>
      <c r="Q769">
        <v>-0.1087965</v>
      </c>
      <c r="R769">
        <v>-4.6196850000000001E-3</v>
      </c>
      <c r="S769">
        <v>3.0021969999999998</v>
      </c>
      <c r="T769">
        <v>-0.1405855</v>
      </c>
      <c r="U769">
        <v>-4.2663569999999998E-2</v>
      </c>
      <c r="V769">
        <v>6.016693E-3</v>
      </c>
      <c r="W769">
        <v>-9.4684130000000005E-2</v>
      </c>
      <c r="X769">
        <v>0.99548919999999996</v>
      </c>
      <c r="Y769">
        <v>1.55352999999999E-2</v>
      </c>
      <c r="Z769">
        <v>-5.1777959999999999E-4</v>
      </c>
      <c r="AA769">
        <v>0.99987919999999997</v>
      </c>
      <c r="AB769">
        <v>29</v>
      </c>
      <c r="AC769">
        <v>22.574399999999901</v>
      </c>
      <c r="AD769">
        <v>-1.0711797029546899</v>
      </c>
      <c r="AE769">
        <v>-0.32579999999995801</v>
      </c>
      <c r="AF769">
        <v>0.35545241304761999</v>
      </c>
      <c r="AG769">
        <v>-1.0711797029546899</v>
      </c>
      <c r="AH769">
        <v>22.5232370789155</v>
      </c>
      <c r="AI769">
        <v>92.722532354415605</v>
      </c>
      <c r="AJ769">
        <v>89.095856759040402</v>
      </c>
      <c r="AK769">
        <v>22.551496200629298</v>
      </c>
      <c r="AL769">
        <v>95.433139756963996</v>
      </c>
      <c r="AM769">
        <v>89.653711041756694</v>
      </c>
      <c r="AN769">
        <v>1.00000001619257</v>
      </c>
    </row>
    <row r="770" spans="1:40" x14ac:dyDescent="0.25">
      <c r="A770" t="str">
        <f>"20190303154433438"</f>
        <v>20190303154433438</v>
      </c>
      <c r="B770" t="str">
        <f>"1551599073431453"</f>
        <v>1551599073431453</v>
      </c>
      <c r="C770" t="s">
        <v>40</v>
      </c>
      <c r="D770">
        <v>4.7321999999999997</v>
      </c>
      <c r="E770">
        <v>0.50407869999999999</v>
      </c>
      <c r="F770" t="s">
        <v>41</v>
      </c>
      <c r="G770">
        <v>-259.63749999999999</v>
      </c>
      <c r="H770" s="1">
        <v>-7.7370719999999997E-7</v>
      </c>
      <c r="I770">
        <v>367.11970000000002</v>
      </c>
      <c r="J770">
        <v>-282.15159999999997</v>
      </c>
      <c r="K770">
        <v>1.0711580000000001</v>
      </c>
      <c r="L770">
        <v>367.4359</v>
      </c>
      <c r="M770">
        <v>0.99989819999999996</v>
      </c>
      <c r="N770">
        <v>-1.4179550000000001E-2</v>
      </c>
      <c r="O770">
        <v>1.6263339999999999E-3</v>
      </c>
      <c r="P770">
        <v>0.9940369</v>
      </c>
      <c r="Q770">
        <v>-0.108957</v>
      </c>
      <c r="R770">
        <v>-4.401833E-3</v>
      </c>
      <c r="S770">
        <v>3.0023499999999999</v>
      </c>
      <c r="T770">
        <v>-0.14111470000000001</v>
      </c>
      <c r="U770">
        <v>-4.1564940000000002E-2</v>
      </c>
      <c r="V770">
        <v>6.0698219999999999E-3</v>
      </c>
      <c r="W770">
        <v>-9.4847879999999996E-2</v>
      </c>
      <c r="X770">
        <v>0.99547330000000001</v>
      </c>
      <c r="Y770">
        <v>1.5446059999999999E-2</v>
      </c>
      <c r="Z770">
        <v>-5.2571689999999995E-4</v>
      </c>
      <c r="AA770">
        <v>0.99988060000000001</v>
      </c>
      <c r="AB770">
        <v>29</v>
      </c>
      <c r="AC770">
        <v>22.5140999999999</v>
      </c>
      <c r="AD770">
        <v>-1.0711587737071999</v>
      </c>
      <c r="AE770">
        <v>-0.31619999999998</v>
      </c>
      <c r="AF770">
        <v>0.35202202967094098</v>
      </c>
      <c r="AG770">
        <v>-1.0711587737071999</v>
      </c>
      <c r="AH770">
        <v>22.462719473414801</v>
      </c>
      <c r="AI770">
        <v>92.729807610360695</v>
      </c>
      <c r="AJ770">
        <v>89.102169008787698</v>
      </c>
      <c r="AK770">
        <v>22.490999683633301</v>
      </c>
      <c r="AL770">
        <v>95.442564296162999</v>
      </c>
      <c r="AM770">
        <v>89.650647713842403</v>
      </c>
      <c r="AN770">
        <v>1.0000000270462399</v>
      </c>
    </row>
    <row r="771" spans="1:40" x14ac:dyDescent="0.25">
      <c r="A771" t="str">
        <f>"20190303154433459"</f>
        <v>20190303154433459</v>
      </c>
      <c r="B771" t="str">
        <f>"1551599073450973"</f>
        <v>1551599073450973</v>
      </c>
      <c r="C771" t="s">
        <v>40</v>
      </c>
      <c r="D771">
        <v>4.6729180000000001</v>
      </c>
      <c r="E771">
        <v>0.50421819999999995</v>
      </c>
      <c r="F771" t="s">
        <v>41</v>
      </c>
      <c r="G771">
        <v>-259.28620000000001</v>
      </c>
      <c r="H771" s="1">
        <v>-8.9360419999999904E-7</v>
      </c>
      <c r="I771">
        <v>367.11840000000001</v>
      </c>
      <c r="J771">
        <v>-281.87189999999998</v>
      </c>
      <c r="K771">
        <v>1.0711409999999999</v>
      </c>
      <c r="L771">
        <v>367.43669999999997</v>
      </c>
      <c r="M771">
        <v>0.99989790000000001</v>
      </c>
      <c r="N771">
        <v>-1.417671E-2</v>
      </c>
      <c r="O771">
        <v>1.8614289999999999E-3</v>
      </c>
      <c r="P771">
        <v>0.99409230000000004</v>
      </c>
      <c r="Q771">
        <v>-0.1084251</v>
      </c>
      <c r="R771">
        <v>-4.9853120000000004E-3</v>
      </c>
      <c r="S771">
        <v>3.00238</v>
      </c>
      <c r="T771">
        <v>-0.1406502</v>
      </c>
      <c r="U771">
        <v>-4.1687009999999997E-2</v>
      </c>
      <c r="V771">
        <v>6.8795559999999898E-3</v>
      </c>
      <c r="W771">
        <v>-9.4318260000000001E-2</v>
      </c>
      <c r="X771">
        <v>0.99551829999999997</v>
      </c>
      <c r="Y771">
        <v>1.5721269999999999E-2</v>
      </c>
      <c r="Z771">
        <v>-5.4032039999999998E-4</v>
      </c>
      <c r="AA771">
        <v>0.99987630000000005</v>
      </c>
      <c r="AB771">
        <v>29</v>
      </c>
      <c r="AC771">
        <v>22.5856999999999</v>
      </c>
      <c r="AD771">
        <v>-1.0711418936042001</v>
      </c>
      <c r="AE771">
        <v>-0.318299999999965</v>
      </c>
      <c r="AF771">
        <v>0.35953683795881303</v>
      </c>
      <c r="AG771">
        <v>-1.0711418936042001</v>
      </c>
      <c r="AH771">
        <v>22.534394153237098</v>
      </c>
      <c r="AI771">
        <v>92.721083038562298</v>
      </c>
      <c r="AJ771">
        <v>89.085921923261594</v>
      </c>
      <c r="AK771">
        <v>22.5627022217537</v>
      </c>
      <c r="AL771">
        <v>95.412082943540696</v>
      </c>
      <c r="AM771">
        <v>89.604062276573302</v>
      </c>
      <c r="AN771">
        <v>0.99999997404753604</v>
      </c>
    </row>
    <row r="772" spans="1:40" x14ac:dyDescent="0.25">
      <c r="A772" t="str">
        <f>"20190303154433483"</f>
        <v>20190303154433483</v>
      </c>
      <c r="B772" t="str">
        <f>"1551599073481229"</f>
        <v>1551599073481229</v>
      </c>
      <c r="C772" t="s">
        <v>40</v>
      </c>
      <c r="D772">
        <v>4.695119</v>
      </c>
      <c r="E772">
        <v>0.5044149</v>
      </c>
      <c r="F772" t="s">
        <v>41</v>
      </c>
      <c r="G772">
        <v>-258.52390000000003</v>
      </c>
      <c r="H772" s="1">
        <v>-1.160411E-6</v>
      </c>
      <c r="I772">
        <v>367.09070000000003</v>
      </c>
      <c r="J772">
        <v>-281.57060000000001</v>
      </c>
      <c r="K772">
        <v>1.0710959999999901</v>
      </c>
      <c r="L772">
        <v>367.4375</v>
      </c>
      <c r="M772">
        <v>0.99989749999999999</v>
      </c>
      <c r="N772">
        <v>-1.4173679999999999E-2</v>
      </c>
      <c r="O772">
        <v>2.052866E-3</v>
      </c>
      <c r="P772">
        <v>0.99417650000000002</v>
      </c>
      <c r="Q772">
        <v>-0.1076153</v>
      </c>
      <c r="R772">
        <v>-5.6786179999999999E-3</v>
      </c>
      <c r="S772">
        <v>3.0025940000000002</v>
      </c>
      <c r="T772">
        <v>-0.13775009999999999</v>
      </c>
      <c r="U772">
        <v>-4.449463E-2</v>
      </c>
      <c r="V772">
        <v>7.7527780000000001E-3</v>
      </c>
      <c r="W772">
        <v>-9.3510769999999993E-2</v>
      </c>
      <c r="X772">
        <v>0.99558809999999998</v>
      </c>
      <c r="Y772">
        <v>1.6845699999999901E-2</v>
      </c>
      <c r="Z772">
        <v>-5.707078E-4</v>
      </c>
      <c r="AA772">
        <v>0.99985800000000002</v>
      </c>
      <c r="AB772">
        <v>29</v>
      </c>
      <c r="AC772">
        <v>23.046699999999898</v>
      </c>
      <c r="AD772">
        <v>-1.07109716041099</v>
      </c>
      <c r="AE772">
        <v>-0.34679999999997302</v>
      </c>
      <c r="AF772">
        <v>0.39326656911076002</v>
      </c>
      <c r="AG772">
        <v>-1.07109716041099</v>
      </c>
      <c r="AH772">
        <v>22.9962802470287</v>
      </c>
      <c r="AI772">
        <v>92.666347458949403</v>
      </c>
      <c r="AJ772">
        <v>89.020262486120302</v>
      </c>
      <c r="AK772">
        <v>23.024569766258502</v>
      </c>
      <c r="AL772">
        <v>95.365611549223999</v>
      </c>
      <c r="AM772">
        <v>89.553839102218205</v>
      </c>
      <c r="AN772">
        <v>1.0000000172671599</v>
      </c>
    </row>
    <row r="773" spans="1:40" x14ac:dyDescent="0.25">
      <c r="A773" t="str">
        <f>"20190303154433505"</f>
        <v>20190303154433505</v>
      </c>
      <c r="B773" t="str">
        <f>"1551599073500748"</f>
        <v>1551599073500748</v>
      </c>
      <c r="C773" t="s">
        <v>40</v>
      </c>
      <c r="D773">
        <v>4.6727939999999997</v>
      </c>
      <c r="E773">
        <v>0.50453959999999998</v>
      </c>
      <c r="F773" t="s">
        <v>41</v>
      </c>
      <c r="G773">
        <v>-257.4914</v>
      </c>
      <c r="H773" s="1">
        <v>-1.5209980000000001E-6</v>
      </c>
      <c r="I773">
        <v>367.05599999999998</v>
      </c>
      <c r="J773">
        <v>-281.28820000000002</v>
      </c>
      <c r="K773">
        <v>1.0710959999999901</v>
      </c>
      <c r="L773">
        <v>367.43819999999999</v>
      </c>
      <c r="M773">
        <v>0.99989499999999998</v>
      </c>
      <c r="N773">
        <v>-1.433046E-2</v>
      </c>
      <c r="O773">
        <v>2.173098E-3</v>
      </c>
      <c r="P773">
        <v>0.99421230000000005</v>
      </c>
      <c r="Q773">
        <v>-0.10725220000000001</v>
      </c>
      <c r="R773">
        <v>-6.2351560000000004E-3</v>
      </c>
      <c r="S773">
        <v>3.0028380000000001</v>
      </c>
      <c r="T773">
        <v>-0.13357249999999901</v>
      </c>
      <c r="U773">
        <v>-4.7576899999999998E-2</v>
      </c>
      <c r="V773">
        <v>8.4192390000000002E-3</v>
      </c>
      <c r="W773">
        <v>-9.2991749999999998E-2</v>
      </c>
      <c r="X773">
        <v>0.9956313</v>
      </c>
      <c r="Y773">
        <v>1.7990490000000001E-2</v>
      </c>
      <c r="Z773">
        <v>-5.9438929999999996E-4</v>
      </c>
      <c r="AA773">
        <v>0.999838</v>
      </c>
      <c r="AB773">
        <v>29</v>
      </c>
      <c r="AC773">
        <v>23.796800000000001</v>
      </c>
      <c r="AD773">
        <v>-1.07109752099799</v>
      </c>
      <c r="AE773">
        <v>-0.38220000000001098</v>
      </c>
      <c r="AF773">
        <v>0.43304010855556202</v>
      </c>
      <c r="AG773">
        <v>-1.07109752099799</v>
      </c>
      <c r="AH773">
        <v>23.7478145448598</v>
      </c>
      <c r="AI773">
        <v>92.582032297315394</v>
      </c>
      <c r="AJ773">
        <v>88.955330350700706</v>
      </c>
      <c r="AK773">
        <v>23.7759010195652</v>
      </c>
      <c r="AL773">
        <v>95.335743747766102</v>
      </c>
      <c r="AM773">
        <v>89.515508036065299</v>
      </c>
      <c r="AN773">
        <v>1.00000001734654</v>
      </c>
    </row>
    <row r="774" spans="1:40" x14ac:dyDescent="0.25">
      <c r="A774" t="str">
        <f>"20190303154433528"</f>
        <v>20190303154433528</v>
      </c>
      <c r="B774" t="str">
        <f>"1551599073521244"</f>
        <v>1551599073521244</v>
      </c>
      <c r="C774" t="s">
        <v>40</v>
      </c>
      <c r="D774">
        <v>4.6260399999999997</v>
      </c>
      <c r="E774">
        <v>0.50468619999999997</v>
      </c>
      <c r="F774" t="s">
        <v>41</v>
      </c>
      <c r="G774">
        <v>-256.86829999999998</v>
      </c>
      <c r="H774" s="1">
        <v>-1.785058E-6</v>
      </c>
      <c r="I774">
        <v>367.02719999999999</v>
      </c>
      <c r="J774">
        <v>-280.9973</v>
      </c>
      <c r="K774">
        <v>1.0714570000000001</v>
      </c>
      <c r="L774">
        <v>367.43900000000002</v>
      </c>
      <c r="M774">
        <v>0.9998783</v>
      </c>
      <c r="N774">
        <v>-1.5432329999999999E-2</v>
      </c>
      <c r="O774">
        <v>2.2648339999999999E-3</v>
      </c>
      <c r="P774">
        <v>0.99413010000000002</v>
      </c>
      <c r="Q774">
        <v>-0.10799300000000001</v>
      </c>
      <c r="R774">
        <v>-6.5766549999999998E-3</v>
      </c>
      <c r="S774">
        <v>3.0028990000000002</v>
      </c>
      <c r="T774">
        <v>-0.131712</v>
      </c>
      <c r="U774">
        <v>-5.0537110000000003E-2</v>
      </c>
      <c r="V774">
        <v>8.8447390000000008E-3</v>
      </c>
      <c r="W774">
        <v>-9.2637059999999993E-2</v>
      </c>
      <c r="X774">
        <v>0.99566069999999995</v>
      </c>
      <c r="Y774">
        <v>1.9066099999999999E-2</v>
      </c>
      <c r="Z774">
        <v>-6.2948089999999995E-4</v>
      </c>
      <c r="AA774">
        <v>0.99981799999999998</v>
      </c>
      <c r="AB774">
        <v>29</v>
      </c>
      <c r="AC774">
        <v>24.129000000000001</v>
      </c>
      <c r="AD774">
        <v>-1.071458785058</v>
      </c>
      <c r="AE774">
        <v>-0.41180000000002698</v>
      </c>
      <c r="AF774">
        <v>0.465535938058388</v>
      </c>
      <c r="AG774">
        <v>-1.071458785058</v>
      </c>
      <c r="AH774">
        <v>24.080536124937002</v>
      </c>
      <c r="AI774">
        <v>92.547208863348402</v>
      </c>
      <c r="AJ774">
        <v>88.892469748951299</v>
      </c>
      <c r="AK774">
        <v>24.108856623699499</v>
      </c>
      <c r="AL774">
        <v>95.315333274303299</v>
      </c>
      <c r="AM774">
        <v>89.491038577583197</v>
      </c>
      <c r="AN774">
        <v>1.0000000419089501</v>
      </c>
    </row>
    <row r="775" spans="1:40" x14ac:dyDescent="0.25">
      <c r="A775" t="str">
        <f>"20190303154433549"</f>
        <v>20190303154433549</v>
      </c>
      <c r="B775" t="str">
        <f>"1551599073540765"</f>
        <v>1551599073540765</v>
      </c>
      <c r="C775" t="s">
        <v>40</v>
      </c>
      <c r="D775">
        <v>4.6435500000000003</v>
      </c>
      <c r="E775">
        <v>0.50481670000000001</v>
      </c>
      <c r="F775" t="s">
        <v>41</v>
      </c>
      <c r="G775">
        <v>-256.7543</v>
      </c>
      <c r="H775" s="1">
        <v>-1.8362070000000001E-6</v>
      </c>
      <c r="I775">
        <v>367.01479999999998</v>
      </c>
      <c r="J775">
        <v>-280.73149999999998</v>
      </c>
      <c r="K775">
        <v>1.07206</v>
      </c>
      <c r="L775">
        <v>367.43970000000002</v>
      </c>
      <c r="M775">
        <v>0.99986739999999996</v>
      </c>
      <c r="N775">
        <v>-1.6120229999999999E-2</v>
      </c>
      <c r="O775">
        <v>2.3043989999999999E-3</v>
      </c>
      <c r="P775">
        <v>0.99399999999999999</v>
      </c>
      <c r="Q775">
        <v>-0.1092077</v>
      </c>
      <c r="R775">
        <v>-6.1633249999999999E-3</v>
      </c>
      <c r="S775">
        <v>3.0030209999999999</v>
      </c>
      <c r="T775">
        <v>-0.13272249999999999</v>
      </c>
      <c r="U775">
        <v>-5.2551269999999997E-2</v>
      </c>
      <c r="V775">
        <v>8.4644149999999994E-3</v>
      </c>
      <c r="W775">
        <v>-9.3169420000000003E-2</v>
      </c>
      <c r="X775">
        <v>0.99561429999999995</v>
      </c>
      <c r="Y775">
        <v>1.9773829999999999E-2</v>
      </c>
      <c r="Z775">
        <v>-6.6088039999999903E-4</v>
      </c>
      <c r="AA775">
        <v>0.99980429999999998</v>
      </c>
      <c r="AB775">
        <v>28</v>
      </c>
      <c r="AC775">
        <v>23.9771999999999</v>
      </c>
      <c r="AD775">
        <v>-1.072061836207</v>
      </c>
      <c r="AE775">
        <v>-0.42490000000003603</v>
      </c>
      <c r="AF775">
        <v>0.47920139910214798</v>
      </c>
      <c r="AG775">
        <v>-1.072061836207</v>
      </c>
      <c r="AH775">
        <v>23.928336029794298</v>
      </c>
      <c r="AI775">
        <v>92.564795117497098</v>
      </c>
      <c r="AJ775">
        <v>88.852718049067306</v>
      </c>
      <c r="AK775">
        <v>23.9571328776276</v>
      </c>
      <c r="AL775">
        <v>95.345967911342996</v>
      </c>
      <c r="AM775">
        <v>89.512900154649898</v>
      </c>
      <c r="AN775">
        <v>1.00000001075445</v>
      </c>
    </row>
    <row r="776" spans="1:40" x14ac:dyDescent="0.25">
      <c r="A776" t="str">
        <f>"20190303154433571"</f>
        <v>20190303154433571</v>
      </c>
      <c r="B776" t="str">
        <f>"1551599073561261"</f>
        <v>1551599073561261</v>
      </c>
      <c r="C776" t="s">
        <v>40</v>
      </c>
      <c r="D776">
        <v>4.7184339999999896</v>
      </c>
      <c r="E776">
        <v>0.5049536</v>
      </c>
      <c r="F776" t="s">
        <v>41</v>
      </c>
      <c r="G776">
        <v>-256.95159999999998</v>
      </c>
      <c r="H776" s="1">
        <v>-1.7492389999999999E-6</v>
      </c>
      <c r="I776">
        <v>367.02789999999999</v>
      </c>
      <c r="J776">
        <v>-280.44749999999999</v>
      </c>
      <c r="K776">
        <v>1.0727040000000001</v>
      </c>
      <c r="L776">
        <v>367.44040000000001</v>
      </c>
      <c r="M776">
        <v>0.99988239999999995</v>
      </c>
      <c r="N776">
        <v>-1.5164240000000001E-2</v>
      </c>
      <c r="O776">
        <v>2.2977029999999999E-3</v>
      </c>
      <c r="P776">
        <v>0.99408660000000004</v>
      </c>
      <c r="Q776">
        <v>-0.10842880000000001</v>
      </c>
      <c r="R776">
        <v>-5.9167469999999896E-3</v>
      </c>
      <c r="S776">
        <v>3.0028380000000001</v>
      </c>
      <c r="T776">
        <v>-0.13537550000000001</v>
      </c>
      <c r="U776">
        <v>-5.2001949999999998E-2</v>
      </c>
      <c r="V776">
        <v>8.2052700000000006E-3</v>
      </c>
      <c r="W776">
        <v>-9.3341629999999995E-2</v>
      </c>
      <c r="X776">
        <v>0.99560029999999999</v>
      </c>
      <c r="Y776">
        <v>1.958497E-2</v>
      </c>
      <c r="Z776">
        <v>-6.5852469999999998E-4</v>
      </c>
      <c r="AA776">
        <v>0.99980800000000003</v>
      </c>
      <c r="AB776">
        <v>28</v>
      </c>
      <c r="AC776">
        <v>23.495899999999999</v>
      </c>
      <c r="AD776">
        <v>-1.072705749239</v>
      </c>
      <c r="AE776">
        <v>-0.41250000000002202</v>
      </c>
      <c r="AF776">
        <v>0.46552169233879698</v>
      </c>
      <c r="AG776">
        <v>-1.072705749239</v>
      </c>
      <c r="AH776">
        <v>23.446034647473201</v>
      </c>
      <c r="AI776">
        <v>92.619061006472904</v>
      </c>
      <c r="AJ776">
        <v>88.862540104608897</v>
      </c>
      <c r="AK776">
        <v>23.475177289234701</v>
      </c>
      <c r="AL776">
        <v>95.355878212513602</v>
      </c>
      <c r="AM776">
        <v>89.527805790060498</v>
      </c>
      <c r="AN776">
        <v>0.99999997185345901</v>
      </c>
    </row>
    <row r="777" spans="1:40" x14ac:dyDescent="0.25">
      <c r="A777" t="str">
        <f>"20190303154433594"</f>
        <v>20190303154433594</v>
      </c>
      <c r="B777" t="str">
        <f>"1551599073591517"</f>
        <v>1551599073591517</v>
      </c>
      <c r="C777" t="s">
        <v>40</v>
      </c>
      <c r="D777">
        <v>4.617661</v>
      </c>
      <c r="E777">
        <v>0.50514579999999998</v>
      </c>
      <c r="F777" t="s">
        <v>41</v>
      </c>
      <c r="G777">
        <v>-256.11919999999998</v>
      </c>
      <c r="H777" s="1">
        <v>-2.1089549999999999E-6</v>
      </c>
      <c r="I777">
        <v>367.0129</v>
      </c>
      <c r="J777">
        <v>-280.1601</v>
      </c>
      <c r="K777">
        <v>1.0735220000000001</v>
      </c>
      <c r="L777">
        <v>367.44110000000001</v>
      </c>
      <c r="M777">
        <v>0.99991200000000002</v>
      </c>
      <c r="N777">
        <v>-1.307702E-2</v>
      </c>
      <c r="O777">
        <v>2.2826180000000001E-3</v>
      </c>
      <c r="P777">
        <v>0.99429060000000002</v>
      </c>
      <c r="Q777">
        <v>-0.1065458</v>
      </c>
      <c r="R777">
        <v>-5.8621699999999999E-3</v>
      </c>
      <c r="S777">
        <v>3.003082</v>
      </c>
      <c r="T777">
        <v>-0.13241420000000001</v>
      </c>
      <c r="U777">
        <v>-5.2764890000000002E-2</v>
      </c>
      <c r="V777">
        <v>8.1309809999999903E-3</v>
      </c>
      <c r="W777">
        <v>-9.3534660000000006E-2</v>
      </c>
      <c r="X777">
        <v>0.99558279999999999</v>
      </c>
      <c r="Y777">
        <v>1.9823879999999999E-2</v>
      </c>
      <c r="Z777">
        <v>-6.3726699999999996E-4</v>
      </c>
      <c r="AA777">
        <v>0.99980329999999995</v>
      </c>
      <c r="AB777">
        <v>28</v>
      </c>
      <c r="AC777">
        <v>24.040900000000001</v>
      </c>
      <c r="AD777">
        <v>-1.0735241089549901</v>
      </c>
      <c r="AE777">
        <v>-0.42820000000000302</v>
      </c>
      <c r="AF777">
        <v>0.48211872864258498</v>
      </c>
      <c r="AG777">
        <v>-1.0735241089549901</v>
      </c>
      <c r="AH777">
        <v>23.9920352415362</v>
      </c>
      <c r="AI777">
        <v>92.561475509231599</v>
      </c>
      <c r="AJ777">
        <v>88.848799160709007</v>
      </c>
      <c r="AK777">
        <v>24.020879407551501</v>
      </c>
      <c r="AL777">
        <v>95.3669865793415</v>
      </c>
      <c r="AM777">
        <v>89.532072533769593</v>
      </c>
      <c r="AN777">
        <v>0.999999978564588</v>
      </c>
    </row>
    <row r="778" spans="1:40" x14ac:dyDescent="0.25">
      <c r="A778" t="str">
        <f>"20190303154433616"</f>
        <v>20190303154433616</v>
      </c>
      <c r="B778" t="str">
        <f>"1551599073611037"</f>
        <v>1551599073611037</v>
      </c>
      <c r="C778" t="s">
        <v>40</v>
      </c>
      <c r="D778">
        <v>4.6465839999999998</v>
      </c>
      <c r="E778">
        <v>0.51113109999999995</v>
      </c>
      <c r="F778" t="s">
        <v>41</v>
      </c>
      <c r="G778">
        <v>-254.58750000000001</v>
      </c>
      <c r="H778" s="1">
        <v>-2.7719289999999998E-6</v>
      </c>
      <c r="I778">
        <v>366.97989999999999</v>
      </c>
      <c r="J778">
        <v>-279.87619999999998</v>
      </c>
      <c r="K778">
        <v>1.0747230000000001</v>
      </c>
      <c r="L778">
        <v>367.44170000000003</v>
      </c>
      <c r="M778">
        <v>0.99993600000000005</v>
      </c>
      <c r="N778">
        <v>-1.109339E-2</v>
      </c>
      <c r="O778">
        <v>2.2764059999999999E-3</v>
      </c>
      <c r="P778">
        <v>0.99454500000000001</v>
      </c>
      <c r="Q778">
        <v>-0.104115</v>
      </c>
      <c r="R778">
        <v>-6.3543360000000004E-3</v>
      </c>
      <c r="S778">
        <v>3.0033569999999998</v>
      </c>
      <c r="T778">
        <v>-0.1260791</v>
      </c>
      <c r="U778">
        <v>-5.41687E-2</v>
      </c>
      <c r="V778">
        <v>8.6135150000000004E-3</v>
      </c>
      <c r="W778">
        <v>-9.3076400000000004E-2</v>
      </c>
      <c r="X778">
        <v>0.99562169999999905</v>
      </c>
      <c r="Y778">
        <v>2.0285580000000001E-2</v>
      </c>
      <c r="Z778">
        <v>-6.0842839999999997E-4</v>
      </c>
      <c r="AA778">
        <v>0.99979410000000002</v>
      </c>
      <c r="AB778">
        <v>29</v>
      </c>
      <c r="AC778">
        <v>25.288699999999899</v>
      </c>
      <c r="AD778">
        <v>-1.07472577192899</v>
      </c>
      <c r="AE778">
        <v>-0.46180000000003901</v>
      </c>
      <c r="AF778">
        <v>0.51843365507488404</v>
      </c>
      <c r="AG778">
        <v>-1.07472577192899</v>
      </c>
      <c r="AH778">
        <v>25.2420087102571</v>
      </c>
      <c r="AI778">
        <v>92.437489152037301</v>
      </c>
      <c r="AJ778">
        <v>88.823394560525401</v>
      </c>
      <c r="AK778">
        <v>25.2701961343449</v>
      </c>
      <c r="AL778">
        <v>95.3406151130269</v>
      </c>
      <c r="AM778">
        <v>89.504324037826706</v>
      </c>
      <c r="AN778">
        <v>0.99999998919425204</v>
      </c>
    </row>
    <row r="779" spans="1:40" x14ac:dyDescent="0.25">
      <c r="A779" t="str">
        <f>"20190303154433631"</f>
        <v>20190303154433631</v>
      </c>
      <c r="B779" t="str">
        <f>"1551599073620797"</f>
        <v>1551599073620797</v>
      </c>
      <c r="C779" t="s">
        <v>40</v>
      </c>
      <c r="D779">
        <v>4.6052759999999999</v>
      </c>
      <c r="E779">
        <v>0.51072220000000002</v>
      </c>
      <c r="F779" t="s">
        <v>41</v>
      </c>
      <c r="G779">
        <v>-246.06270000000001</v>
      </c>
      <c r="H779" s="1">
        <v>-2.432353E-6</v>
      </c>
      <c r="I779">
        <v>366.28649999999999</v>
      </c>
      <c r="J779">
        <v>-279.68729999999999</v>
      </c>
      <c r="K779">
        <v>1.0757099999999999</v>
      </c>
      <c r="L779">
        <v>367.44209999999998</v>
      </c>
      <c r="M779">
        <v>0.99994839999999996</v>
      </c>
      <c r="N779">
        <v>-9.9152900000000002E-3</v>
      </c>
      <c r="O779">
        <v>2.2717829999999999E-3</v>
      </c>
      <c r="P779">
        <v>0.99472910000000003</v>
      </c>
      <c r="Q779">
        <v>-0.1023438</v>
      </c>
      <c r="R779">
        <v>-6.3290339999999999E-3</v>
      </c>
      <c r="S779">
        <v>3.005798</v>
      </c>
      <c r="T779">
        <v>-9.5535869999999995E-2</v>
      </c>
      <c r="U779">
        <v>-0.1026917</v>
      </c>
      <c r="V779">
        <v>8.5828420000000002E-3</v>
      </c>
      <c r="W779">
        <v>-9.2476489999999995E-2</v>
      </c>
      <c r="X779">
        <v>0.9956779</v>
      </c>
      <c r="Y779">
        <v>3.6390449999999998E-2</v>
      </c>
      <c r="Z779">
        <v>-8.0817979999999996E-4</v>
      </c>
      <c r="AA779">
        <v>0.99933729999999998</v>
      </c>
      <c r="AB779">
        <v>29</v>
      </c>
      <c r="AC779">
        <v>33.624599999999901</v>
      </c>
      <c r="AD779">
        <v>-1.0757124323529901</v>
      </c>
      <c r="AE779">
        <v>-1.15559999999999</v>
      </c>
      <c r="AF779">
        <v>1.23073041866321</v>
      </c>
      <c r="AG779">
        <v>-1.0757124323529901</v>
      </c>
      <c r="AH779">
        <v>33.587552286994203</v>
      </c>
      <c r="AI779">
        <v>91.833162133653801</v>
      </c>
      <c r="AJ779">
        <v>87.901480769964905</v>
      </c>
      <c r="AK779">
        <v>33.627303240553097</v>
      </c>
      <c r="AL779">
        <v>95.306093727496005</v>
      </c>
      <c r="AM779">
        <v>89.506116944949397</v>
      </c>
      <c r="AN779">
        <v>1.0000000234639601</v>
      </c>
    </row>
    <row r="780" spans="1:40" x14ac:dyDescent="0.25">
      <c r="A780" t="str">
        <f>"20190303154433649"</f>
        <v>20190303154433649</v>
      </c>
      <c r="B780" t="str">
        <f>"1551599073641293"</f>
        <v>1551599073641293</v>
      </c>
      <c r="C780" t="s">
        <v>40</v>
      </c>
      <c r="D780">
        <v>4.6186540000000003</v>
      </c>
      <c r="E780">
        <v>0.50973690000000005</v>
      </c>
      <c r="F780" t="s">
        <v>41</v>
      </c>
      <c r="G780">
        <v>-246.26259999999999</v>
      </c>
      <c r="H780" s="1">
        <v>-2.3295479999999999E-6</v>
      </c>
      <c r="I780">
        <v>366.33330000000001</v>
      </c>
      <c r="J780">
        <v>-279.46359999999999</v>
      </c>
      <c r="K780">
        <v>1.0769629999999999</v>
      </c>
      <c r="L780">
        <v>367.44260000000003</v>
      </c>
      <c r="M780">
        <v>0.99996090000000004</v>
      </c>
      <c r="N780">
        <v>-8.5614439999999997E-3</v>
      </c>
      <c r="O780">
        <v>2.262586E-3</v>
      </c>
      <c r="P780">
        <v>0.99497959999999996</v>
      </c>
      <c r="Q780">
        <v>-9.9888130000000006E-2</v>
      </c>
      <c r="R780">
        <v>-6.188921E-3</v>
      </c>
      <c r="S780">
        <v>3.0053100000000001</v>
      </c>
      <c r="T780">
        <v>-9.6720219999999996E-2</v>
      </c>
      <c r="U780">
        <v>-9.9700929999999993E-2</v>
      </c>
      <c r="V780">
        <v>8.4338130000000001E-3</v>
      </c>
      <c r="W780">
        <v>-9.1366729999999993E-2</v>
      </c>
      <c r="X780">
        <v>0.99578160000000004</v>
      </c>
      <c r="Y780">
        <v>3.5394210000000002E-2</v>
      </c>
      <c r="Z780">
        <v>-7.7426729999999905E-4</v>
      </c>
      <c r="AA780">
        <v>0.99937310000000001</v>
      </c>
      <c r="AB780">
        <v>29</v>
      </c>
      <c r="AC780">
        <v>33.200999999999901</v>
      </c>
      <c r="AD780">
        <v>-1.0769653295479999</v>
      </c>
      <c r="AE780">
        <v>-1.1093000000000099</v>
      </c>
      <c r="AF780">
        <v>1.18317646504285</v>
      </c>
      <c r="AG780">
        <v>-1.0769653295479999</v>
      </c>
      <c r="AH780">
        <v>33.163549030817997</v>
      </c>
      <c r="AI780">
        <v>91.858808847021805</v>
      </c>
      <c r="AJ780">
        <v>87.956724198527397</v>
      </c>
      <c r="AK780">
        <v>33.202119588784498</v>
      </c>
      <c r="AL780">
        <v>95.242238929670904</v>
      </c>
      <c r="AM780">
        <v>89.514742654150893</v>
      </c>
      <c r="AN780">
        <v>1.0000000017255799</v>
      </c>
    </row>
    <row r="781" spans="1:40" x14ac:dyDescent="0.25">
      <c r="A781" t="str">
        <f>"20190303154433672"</f>
        <v>20190303154433672</v>
      </c>
      <c r="B781" t="str">
        <f>"1551599073660814"</f>
        <v>1551599073660814</v>
      </c>
      <c r="C781" t="s">
        <v>40</v>
      </c>
      <c r="D781">
        <v>4.5888010000000001</v>
      </c>
      <c r="E781">
        <v>0.50905509999999998</v>
      </c>
      <c r="F781" t="s">
        <v>41</v>
      </c>
      <c r="G781">
        <v>-245.62289999999999</v>
      </c>
      <c r="H781" s="1">
        <v>-2.6180979999999999E-6</v>
      </c>
      <c r="I781">
        <v>366.41129999999998</v>
      </c>
      <c r="J781">
        <v>-279.1653</v>
      </c>
      <c r="K781">
        <v>1.0786830000000001</v>
      </c>
      <c r="L781">
        <v>367.44330000000002</v>
      </c>
      <c r="M781">
        <v>0.99997469999999999</v>
      </c>
      <c r="N781">
        <v>-6.7664269999999898E-3</v>
      </c>
      <c r="O781">
        <v>2.2434709999999999E-3</v>
      </c>
      <c r="P781">
        <v>0.99523399999999995</v>
      </c>
      <c r="Q781">
        <v>-9.7325469999999997E-2</v>
      </c>
      <c r="R781">
        <v>-6.1066339999999997E-3</v>
      </c>
      <c r="S781">
        <v>3.0049739999999998</v>
      </c>
      <c r="T781">
        <v>-9.5631960000000002E-2</v>
      </c>
      <c r="U781">
        <v>-9.1583250000000005E-2</v>
      </c>
      <c r="V781">
        <v>8.334045E-3</v>
      </c>
      <c r="W781">
        <v>-9.0589669999999997E-2</v>
      </c>
      <c r="X781">
        <v>0.9958534</v>
      </c>
      <c r="Y781">
        <v>3.268472E-2</v>
      </c>
      <c r="Z781">
        <v>-6.8666579999999999E-4</v>
      </c>
      <c r="AA781">
        <v>0.99946550000000001</v>
      </c>
      <c r="AB781">
        <v>28</v>
      </c>
      <c r="AC781">
        <v>33.542400000000001</v>
      </c>
      <c r="AD781">
        <v>-1.078685618098</v>
      </c>
      <c r="AE781">
        <v>-1.03200000000003</v>
      </c>
      <c r="AF781">
        <v>1.10610767219676</v>
      </c>
      <c r="AG781">
        <v>-1.078685618098</v>
      </c>
      <c r="AH781">
        <v>33.505382014241803</v>
      </c>
      <c r="AI781">
        <v>91.842962944651006</v>
      </c>
      <c r="AJ781">
        <v>88.109190541801496</v>
      </c>
      <c r="AK781">
        <v>33.5409847912291</v>
      </c>
      <c r="AL781">
        <v>95.197531430485199</v>
      </c>
      <c r="AM781">
        <v>89.520517319391402</v>
      </c>
      <c r="AN781">
        <v>0.99999996945416403</v>
      </c>
    </row>
    <row r="782" spans="1:40" x14ac:dyDescent="0.25">
      <c r="A782" t="str">
        <f>"20190303154433694"</f>
        <v>20190303154433694</v>
      </c>
      <c r="B782" t="str">
        <f>"1551599073691069"</f>
        <v>1551599073691069</v>
      </c>
      <c r="C782" t="s">
        <v>40</v>
      </c>
      <c r="D782">
        <v>4.6173840000000004</v>
      </c>
      <c r="E782">
        <v>0.50845799999999997</v>
      </c>
      <c r="F782" t="s">
        <v>41</v>
      </c>
      <c r="G782">
        <v>-243.36500000000001</v>
      </c>
      <c r="H782" s="1">
        <v>-3.6838260000000001E-6</v>
      </c>
      <c r="I782">
        <v>366.42020000000002</v>
      </c>
      <c r="J782">
        <v>-278.88799999999998</v>
      </c>
      <c r="K782">
        <v>1.0802769999999999</v>
      </c>
      <c r="L782">
        <v>367.44389999999999</v>
      </c>
      <c r="M782">
        <v>0.99998419999999999</v>
      </c>
      <c r="N782">
        <v>-5.1779549999999997E-3</v>
      </c>
      <c r="O782">
        <v>2.2264279999999999E-3</v>
      </c>
      <c r="P782">
        <v>0.99546400000000002</v>
      </c>
      <c r="Q782">
        <v>-9.4972299999999996E-2</v>
      </c>
      <c r="R782">
        <v>-5.6569430000000002E-3</v>
      </c>
      <c r="S782">
        <v>3.0050050000000001</v>
      </c>
      <c r="T782">
        <v>-9.0542910000000004E-2</v>
      </c>
      <c r="U782">
        <v>-8.5876460000000002E-2</v>
      </c>
      <c r="V782">
        <v>7.8689119999999901E-3</v>
      </c>
      <c r="W782">
        <v>-8.9817010000000003E-2</v>
      </c>
      <c r="X782">
        <v>0.99592720000000001</v>
      </c>
      <c r="Y782">
        <v>3.0774579999999999E-2</v>
      </c>
      <c r="Z782">
        <v>-5.9867440000000002E-4</v>
      </c>
      <c r="AA782">
        <v>0.99952609999999997</v>
      </c>
      <c r="AB782">
        <v>28</v>
      </c>
      <c r="AC782">
        <v>35.522999999999897</v>
      </c>
      <c r="AD782">
        <v>-1.080280683826</v>
      </c>
      <c r="AE782">
        <v>-1.0236999999999601</v>
      </c>
      <c r="AF782">
        <v>1.10176983251759</v>
      </c>
      <c r="AG782">
        <v>-1.080280683826</v>
      </c>
      <c r="AH782">
        <v>35.487840344752797</v>
      </c>
      <c r="AI782">
        <v>91.742755679046496</v>
      </c>
      <c r="AJ782">
        <v>88.221743269926293</v>
      </c>
      <c r="AK782">
        <v>35.521369842031099</v>
      </c>
      <c r="AL782">
        <v>95.153079894194605</v>
      </c>
      <c r="AM782">
        <v>89.547310219639499</v>
      </c>
      <c r="AN782">
        <v>1.0000000013806201</v>
      </c>
    </row>
    <row r="783" spans="1:40" x14ac:dyDescent="0.25">
      <c r="A783" t="str">
        <f>"20190303154433711"</f>
        <v>20190303154433711</v>
      </c>
      <c r="B783" t="str">
        <f>"1551599073700830"</f>
        <v>1551599073700830</v>
      </c>
      <c r="C783" t="s">
        <v>40</v>
      </c>
      <c r="D783">
        <v>4.6033650000000002</v>
      </c>
      <c r="E783">
        <v>0.50844619999999996</v>
      </c>
      <c r="F783" t="s">
        <v>41</v>
      </c>
      <c r="G783">
        <v>-240.6275</v>
      </c>
      <c r="H783" s="1">
        <v>-4.9761749999999998E-6</v>
      </c>
      <c r="I783">
        <v>366.4298</v>
      </c>
      <c r="J783">
        <v>-278.68340000000001</v>
      </c>
      <c r="K783">
        <v>1.0815159999999999</v>
      </c>
      <c r="L783">
        <v>367.4443</v>
      </c>
      <c r="M783">
        <v>0.99998779999999998</v>
      </c>
      <c r="N783">
        <v>-4.4188250000000004E-3</v>
      </c>
      <c r="O783">
        <v>2.2166640000000001E-3</v>
      </c>
      <c r="P783">
        <v>0.99554640000000005</v>
      </c>
      <c r="Q783">
        <v>-9.4109129999999999E-2</v>
      </c>
      <c r="R783">
        <v>-5.5760530000000001E-3</v>
      </c>
      <c r="S783">
        <v>3.005096</v>
      </c>
      <c r="T783">
        <v>-8.4848640000000003E-2</v>
      </c>
      <c r="U783">
        <v>-7.9650879999999993E-2</v>
      </c>
      <c r="V783">
        <v>7.7792319999999996E-3</v>
      </c>
      <c r="W783">
        <v>-8.9709449999999996E-2</v>
      </c>
      <c r="X783">
        <v>0.99593759999999998</v>
      </c>
      <c r="Y783">
        <v>2.869795E-2</v>
      </c>
      <c r="Z783">
        <v>-5.2119470000000002E-4</v>
      </c>
      <c r="AA783">
        <v>0.99958800000000003</v>
      </c>
      <c r="AB783">
        <v>28</v>
      </c>
      <c r="AC783">
        <v>38.055900000000001</v>
      </c>
      <c r="AD783">
        <v>-1.081520976175</v>
      </c>
      <c r="AE783">
        <v>-1.01449999999999</v>
      </c>
      <c r="AF783">
        <v>1.09796932226555</v>
      </c>
      <c r="AG783">
        <v>-1.081520976175</v>
      </c>
      <c r="AH783">
        <v>38.022870121001901</v>
      </c>
      <c r="AI783">
        <v>91.628601028613005</v>
      </c>
      <c r="AJ783">
        <v>88.345955182325298</v>
      </c>
      <c r="AK783">
        <v>38.054091455362901</v>
      </c>
      <c r="AL783">
        <v>95.146892175499104</v>
      </c>
      <c r="AM783">
        <v>89.552473872646999</v>
      </c>
      <c r="AN783">
        <v>1.0000000024817799</v>
      </c>
    </row>
    <row r="784" spans="1:40" x14ac:dyDescent="0.25">
      <c r="A784" t="str">
        <f>"20190303154433729"</f>
        <v>20190303154433729</v>
      </c>
      <c r="B784" t="str">
        <f>"1551599073721325"</f>
        <v>1551599073721325</v>
      </c>
      <c r="C784" t="s">
        <v>40</v>
      </c>
      <c r="D784">
        <v>4.6020320000000003</v>
      </c>
      <c r="E784">
        <v>0.50832889999999997</v>
      </c>
      <c r="F784" t="s">
        <v>41</v>
      </c>
      <c r="G784">
        <v>-239.2201</v>
      </c>
      <c r="H784" s="1">
        <v>-1.106772E-6</v>
      </c>
      <c r="I784">
        <v>366.40190000000001</v>
      </c>
      <c r="J784">
        <v>-278.45240000000001</v>
      </c>
      <c r="K784">
        <v>1.083142</v>
      </c>
      <c r="L784">
        <v>367.44490000000002</v>
      </c>
      <c r="M784">
        <v>0.99998880000000001</v>
      </c>
      <c r="N784">
        <v>-4.1973979999999998E-3</v>
      </c>
      <c r="O784">
        <v>2.208574E-3</v>
      </c>
      <c r="P784">
        <v>0.99561259999999996</v>
      </c>
      <c r="Q784">
        <v>-9.3441720000000006E-2</v>
      </c>
      <c r="R784">
        <v>-4.9352040000000003E-3</v>
      </c>
      <c r="S784">
        <v>3.005188</v>
      </c>
      <c r="T784">
        <v>-8.2358719999999996E-2</v>
      </c>
      <c r="U784">
        <v>-7.9376219999999997E-2</v>
      </c>
      <c r="V784">
        <v>7.130951E-3</v>
      </c>
      <c r="W784">
        <v>-8.9262220000000003E-2</v>
      </c>
      <c r="X784">
        <v>0.99598260000000005</v>
      </c>
      <c r="Y784">
        <v>2.8598640000000002E-2</v>
      </c>
      <c r="Z784">
        <v>-5.0302050000000003E-4</v>
      </c>
      <c r="AA784">
        <v>0.99959089999999995</v>
      </c>
      <c r="AB784">
        <v>28</v>
      </c>
      <c r="AC784">
        <v>39.232300000000002</v>
      </c>
      <c r="AD784">
        <v>-1.0831431067720001</v>
      </c>
      <c r="AE784">
        <v>-1.0429999999999999</v>
      </c>
      <c r="AF784">
        <v>1.12878587002806</v>
      </c>
      <c r="AG784">
        <v>-1.0831431067720001</v>
      </c>
      <c r="AH784">
        <v>39.200042536788601</v>
      </c>
      <c r="AI784">
        <v>91.582091353453393</v>
      </c>
      <c r="AJ784">
        <v>88.350593638856296</v>
      </c>
      <c r="AK784">
        <v>39.231246365826301</v>
      </c>
      <c r="AL784">
        <v>95.121164749640599</v>
      </c>
      <c r="AM784">
        <v>89.589785589561302</v>
      </c>
      <c r="AN784">
        <v>0.99999996694212501</v>
      </c>
    </row>
    <row r="785" spans="1:40" x14ac:dyDescent="0.25">
      <c r="A785" t="str">
        <f>"20190303154433750"</f>
        <v>20190303154433750</v>
      </c>
      <c r="B785" t="str">
        <f>"1551599073740845"</f>
        <v>1551599073740845</v>
      </c>
      <c r="C785" t="s">
        <v>40</v>
      </c>
      <c r="D785">
        <v>4.6051289999999998</v>
      </c>
      <c r="E785">
        <v>0.50824460000000005</v>
      </c>
      <c r="F785" t="s">
        <v>41</v>
      </c>
      <c r="G785">
        <v>-237.77789999999999</v>
      </c>
      <c r="H785" s="1">
        <v>-1.5956739999999999E-6</v>
      </c>
      <c r="I785">
        <v>366.40890000000002</v>
      </c>
      <c r="J785">
        <v>-278.19319999999999</v>
      </c>
      <c r="K785">
        <v>1.0853159999999999</v>
      </c>
      <c r="L785">
        <v>367.44540000000001</v>
      </c>
      <c r="M785">
        <v>0.99998770000000003</v>
      </c>
      <c r="N785">
        <v>-4.4387769999999997E-3</v>
      </c>
      <c r="O785">
        <v>2.2046510000000002E-3</v>
      </c>
      <c r="P785">
        <v>0.99560729999999997</v>
      </c>
      <c r="Q785">
        <v>-9.3517329999999996E-2</v>
      </c>
      <c r="R785">
        <v>-4.5626479999999999E-3</v>
      </c>
      <c r="S785">
        <v>3.00528</v>
      </c>
      <c r="T785">
        <v>-8.0029130000000004E-2</v>
      </c>
      <c r="U785">
        <v>-7.6538090000000003E-2</v>
      </c>
      <c r="V785">
        <v>6.7544559999999998E-3</v>
      </c>
      <c r="W785">
        <v>-8.9097430000000005E-2</v>
      </c>
      <c r="X785">
        <v>0.996</v>
      </c>
      <c r="Y785">
        <v>2.7651539999999999E-2</v>
      </c>
      <c r="Z785">
        <v>-4.7834739999999998E-4</v>
      </c>
      <c r="AA785">
        <v>0.99961750000000005</v>
      </c>
      <c r="AB785">
        <v>28</v>
      </c>
      <c r="AC785">
        <v>40.415300000000002</v>
      </c>
      <c r="AD785">
        <v>-1.085317595674</v>
      </c>
      <c r="AE785">
        <v>-1.03649999999998</v>
      </c>
      <c r="AF785">
        <v>1.12478938986597</v>
      </c>
      <c r="AG785">
        <v>-1.085317595674</v>
      </c>
      <c r="AH785">
        <v>40.383813227820902</v>
      </c>
      <c r="AI785">
        <v>91.538860731005997</v>
      </c>
      <c r="AJ785">
        <v>88.404582859483995</v>
      </c>
      <c r="AK785">
        <v>40.4140499860452</v>
      </c>
      <c r="AL785">
        <v>95.1116851023462</v>
      </c>
      <c r="AM785">
        <v>89.611449910491103</v>
      </c>
      <c r="AN785">
        <v>0.99999998735423001</v>
      </c>
    </row>
    <row r="786" spans="1:40" x14ac:dyDescent="0.25">
      <c r="A786" t="str">
        <f>"20190303154433773"</f>
        <v>20190303154433773</v>
      </c>
      <c r="B786" t="str">
        <f>"1551599073761341"</f>
        <v>1551599073761341</v>
      </c>
      <c r="C786" t="s">
        <v>40</v>
      </c>
      <c r="D786">
        <v>4.6654220000000004</v>
      </c>
      <c r="E786">
        <v>0.50824959999999997</v>
      </c>
      <c r="F786" t="s">
        <v>41</v>
      </c>
      <c r="G786">
        <v>-237.98419999999999</v>
      </c>
      <c r="H786" s="1">
        <v>-1.516415E-6</v>
      </c>
      <c r="I786">
        <v>366.44299999999998</v>
      </c>
      <c r="J786">
        <v>-277.91019999999997</v>
      </c>
      <c r="K786">
        <v>1.0879019999999999</v>
      </c>
      <c r="L786">
        <v>367.44600000000003</v>
      </c>
      <c r="M786">
        <v>0.99998719999999996</v>
      </c>
      <c r="N786">
        <v>-4.5468699999999997E-3</v>
      </c>
      <c r="O786">
        <v>2.206422E-3</v>
      </c>
      <c r="P786">
        <v>0.9955406</v>
      </c>
      <c r="Q786">
        <v>-9.4227580000000005E-2</v>
      </c>
      <c r="R786">
        <v>-4.4817930000000004E-3</v>
      </c>
      <c r="S786">
        <v>3.00528</v>
      </c>
      <c r="T786">
        <v>-8.1118109999999993E-2</v>
      </c>
      <c r="U786">
        <v>-7.4920650000000005E-2</v>
      </c>
      <c r="V786">
        <v>6.6749089999999997E-3</v>
      </c>
      <c r="W786">
        <v>-8.9700349999999998E-2</v>
      </c>
      <c r="X786">
        <v>0.99594640000000001</v>
      </c>
      <c r="Y786">
        <v>2.711554E-2</v>
      </c>
      <c r="Z786">
        <v>-4.7700109999999999E-4</v>
      </c>
      <c r="AA786">
        <v>0.99963219999999997</v>
      </c>
      <c r="AB786">
        <v>28</v>
      </c>
      <c r="AC786">
        <v>39.925999999999902</v>
      </c>
      <c r="AD786">
        <v>-1.0879035164149999</v>
      </c>
      <c r="AE786">
        <v>-1.00299999999992</v>
      </c>
      <c r="AF786">
        <v>1.0902831026589701</v>
      </c>
      <c r="AG786">
        <v>-1.0879035164149999</v>
      </c>
      <c r="AH786">
        <v>39.894088929612899</v>
      </c>
      <c r="AI786">
        <v>91.5614741428668</v>
      </c>
      <c r="AJ786">
        <v>88.434528113560603</v>
      </c>
      <c r="AK786">
        <v>39.923809723382298</v>
      </c>
      <c r="AL786">
        <v>95.146368843871002</v>
      </c>
      <c r="AM786">
        <v>89.616005049768006</v>
      </c>
      <c r="AN786">
        <v>0.99999996943661895</v>
      </c>
    </row>
    <row r="787" spans="1:40" x14ac:dyDescent="0.25">
      <c r="A787" t="str">
        <f>"20190303154433794"</f>
        <v>20190303154433794</v>
      </c>
      <c r="B787" t="str">
        <f>"1551599073791597"</f>
        <v>1551599073791597</v>
      </c>
      <c r="C787" t="s">
        <v>40</v>
      </c>
      <c r="D787">
        <v>4.6322150000000004</v>
      </c>
      <c r="E787">
        <v>0.50829239999999998</v>
      </c>
      <c r="F787" t="s">
        <v>41</v>
      </c>
      <c r="G787">
        <v>-238.9897</v>
      </c>
      <c r="H787" s="1">
        <v>-1.165857E-6</v>
      </c>
      <c r="I787">
        <v>366.47449999999998</v>
      </c>
      <c r="J787">
        <v>-277.63650000000001</v>
      </c>
      <c r="K787">
        <v>1.0905320000000001</v>
      </c>
      <c r="L787">
        <v>367.44659999999999</v>
      </c>
      <c r="M787">
        <v>0.99998759999999998</v>
      </c>
      <c r="N787">
        <v>-4.4932339999999996E-3</v>
      </c>
      <c r="O787">
        <v>2.2102300000000001E-3</v>
      </c>
      <c r="P787">
        <v>0.99557470000000003</v>
      </c>
      <c r="Q787">
        <v>-9.3829360000000001E-2</v>
      </c>
      <c r="R787">
        <v>-5.2247329999999996E-3</v>
      </c>
      <c r="S787">
        <v>3.0051570000000001</v>
      </c>
      <c r="T787">
        <v>-8.3999870000000004E-2</v>
      </c>
      <c r="U787">
        <v>-7.5012209999999996E-2</v>
      </c>
      <c r="V787">
        <v>7.4213639999999997E-3</v>
      </c>
      <c r="W787">
        <v>-8.935543E-2</v>
      </c>
      <c r="X787">
        <v>0.99597219999999997</v>
      </c>
      <c r="Y787">
        <v>2.7149980000000001E-2</v>
      </c>
      <c r="Z787">
        <v>-4.9216389999999998E-4</v>
      </c>
      <c r="AA787">
        <v>0.99963120000000005</v>
      </c>
      <c r="AB787">
        <v>28</v>
      </c>
      <c r="AC787">
        <v>38.646799999999999</v>
      </c>
      <c r="AD787">
        <v>-1.0905331658570001</v>
      </c>
      <c r="AE787">
        <v>-0.97210000000001096</v>
      </c>
      <c r="AF787">
        <v>1.0566759442515601</v>
      </c>
      <c r="AG787">
        <v>-1.0905331658570001</v>
      </c>
      <c r="AH787">
        <v>38.6138301063326</v>
      </c>
      <c r="AI787">
        <v>91.617114376359396</v>
      </c>
      <c r="AJ787">
        <v>88.432479609691796</v>
      </c>
      <c r="AK787">
        <v>38.643676094772701</v>
      </c>
      <c r="AL787">
        <v>95.126526307795601</v>
      </c>
      <c r="AM787">
        <v>89.573075467374395</v>
      </c>
      <c r="AN787">
        <v>1.00000004634347</v>
      </c>
    </row>
    <row r="788" spans="1:40" x14ac:dyDescent="0.25">
      <c r="A788" t="str">
        <f>"20190303154433818"</f>
        <v>20190303154433818</v>
      </c>
      <c r="B788" t="str">
        <f>"1551599073811117"</f>
        <v>1551599073811117</v>
      </c>
      <c r="C788" t="s">
        <v>40</v>
      </c>
      <c r="D788">
        <v>4.7045219999999999</v>
      </c>
      <c r="E788">
        <v>0.53047569999999999</v>
      </c>
      <c r="F788" t="s">
        <v>41</v>
      </c>
      <c r="G788">
        <v>-239.2876</v>
      </c>
      <c r="H788" s="1">
        <v>-1.07038E-6</v>
      </c>
      <c r="I788">
        <v>366.45229999999998</v>
      </c>
      <c r="J788">
        <v>-277.33510000000001</v>
      </c>
      <c r="K788">
        <v>1.0935790000000001</v>
      </c>
      <c r="L788">
        <v>367.44729999999998</v>
      </c>
      <c r="M788">
        <v>0.99998710000000002</v>
      </c>
      <c r="N788">
        <v>-4.593916E-3</v>
      </c>
      <c r="O788">
        <v>2.2142260000000001E-3</v>
      </c>
      <c r="P788">
        <v>0.99553689999999995</v>
      </c>
      <c r="Q788">
        <v>-9.4167719999999996E-2</v>
      </c>
      <c r="R788">
        <v>-6.249826E-3</v>
      </c>
      <c r="S788">
        <v>3.004883</v>
      </c>
      <c r="T788">
        <v>-8.5450170000000006E-2</v>
      </c>
      <c r="U788">
        <v>-7.7911380000000002E-2</v>
      </c>
      <c r="V788">
        <v>8.4501279999999995E-3</v>
      </c>
      <c r="W788">
        <v>-8.9593770000000003E-2</v>
      </c>
      <c r="X788">
        <v>0.99594249999999995</v>
      </c>
      <c r="Y788">
        <v>2.8119160000000001E-2</v>
      </c>
      <c r="Z788">
        <v>-5.1705559999999998E-4</v>
      </c>
      <c r="AA788">
        <v>0.99960450000000001</v>
      </c>
      <c r="AB788">
        <v>28</v>
      </c>
      <c r="AC788">
        <v>38.047499999999999</v>
      </c>
      <c r="AD788">
        <v>-1.0935800703799901</v>
      </c>
      <c r="AE788">
        <v>-0.99500000000000399</v>
      </c>
      <c r="AF788">
        <v>1.07835395200679</v>
      </c>
      <c r="AG788">
        <v>-1.0935800703799901</v>
      </c>
      <c r="AH788">
        <v>38.013820617429701</v>
      </c>
      <c r="AI788">
        <v>91.6471659668874</v>
      </c>
      <c r="AJ788">
        <v>88.375102417510703</v>
      </c>
      <c r="AK788">
        <v>38.044833059829102</v>
      </c>
      <c r="AL788">
        <v>95.140237642830101</v>
      </c>
      <c r="AM788">
        <v>89.513882524865807</v>
      </c>
      <c r="AN788">
        <v>0.99999995579613798</v>
      </c>
    </row>
    <row r="789" spans="1:40" x14ac:dyDescent="0.25">
      <c r="A789" t="str">
        <f>"20190303154433839"</f>
        <v>20190303154433839</v>
      </c>
      <c r="B789" t="str">
        <f>"1551599073831613"</f>
        <v>1551599073831613</v>
      </c>
      <c r="C789" t="s">
        <v>40</v>
      </c>
      <c r="D789">
        <v>4.6840060000000001</v>
      </c>
      <c r="E789">
        <v>0.5365164</v>
      </c>
      <c r="F789" t="s">
        <v>42</v>
      </c>
      <c r="G789">
        <v>-276.56180000000001</v>
      </c>
      <c r="H789">
        <v>1.030915</v>
      </c>
      <c r="I789">
        <v>367.37950000000001</v>
      </c>
      <c r="J789">
        <v>-277.07130000000001</v>
      </c>
      <c r="K789">
        <v>1.0962989999999999</v>
      </c>
      <c r="L789">
        <v>367.44779999999997</v>
      </c>
      <c r="M789">
        <v>0.99998540000000002</v>
      </c>
      <c r="N789">
        <v>-4.9358620000000001E-3</v>
      </c>
      <c r="O789">
        <v>2.2169189999999999E-3</v>
      </c>
      <c r="P789">
        <v>0.99555570000000004</v>
      </c>
      <c r="Q789">
        <v>-9.3864740000000002E-2</v>
      </c>
      <c r="R789">
        <v>-7.6486490000000004E-3</v>
      </c>
      <c r="S789">
        <v>2.9889220000000001</v>
      </c>
      <c r="T789">
        <v>-0.2424415</v>
      </c>
      <c r="U789">
        <v>-0.26104739999999999</v>
      </c>
      <c r="V789">
        <v>9.851594E-3</v>
      </c>
      <c r="W789">
        <v>-8.8950199999999993E-2</v>
      </c>
      <c r="X789">
        <v>0.99598739999999997</v>
      </c>
      <c r="Y789">
        <v>8.8901469999999996E-2</v>
      </c>
      <c r="Z789">
        <v>-3.98132E-3</v>
      </c>
      <c r="AA789">
        <v>0.99603249999999999</v>
      </c>
      <c r="AB789">
        <v>28</v>
      </c>
      <c r="AC789">
        <v>0.50950000000000195</v>
      </c>
      <c r="AD789">
        <v>-6.5383999999999803E-2</v>
      </c>
      <c r="AE789">
        <v>-6.8299999999965097E-2</v>
      </c>
      <c r="AF789">
        <v>6.8324033387695701E-2</v>
      </c>
      <c r="AG789">
        <v>-6.5383999999999803E-2</v>
      </c>
      <c r="AH789">
        <v>0.50123839479411003</v>
      </c>
      <c r="AI789">
        <v>97.364632228821804</v>
      </c>
      <c r="AJ789">
        <v>82.237825474891096</v>
      </c>
      <c r="AK789">
        <v>0.51008153212024698</v>
      </c>
      <c r="AL789">
        <v>95.103215514808795</v>
      </c>
      <c r="AM789">
        <v>89.433289667643194</v>
      </c>
      <c r="AN789">
        <v>1.0000000464715599</v>
      </c>
    </row>
    <row r="790" spans="1:40" x14ac:dyDescent="0.25">
      <c r="A790" t="str">
        <f>"20190303154433862"</f>
        <v>20190303154433862</v>
      </c>
      <c r="B790" t="str">
        <f>"1551599073851133"</f>
        <v>1551599073851133</v>
      </c>
      <c r="C790" t="s">
        <v>40</v>
      </c>
      <c r="D790">
        <v>4.5301739999999997</v>
      </c>
      <c r="E790">
        <v>0.54985269999999897</v>
      </c>
      <c r="F790" t="s">
        <v>42</v>
      </c>
      <c r="G790">
        <v>-276.32130000000001</v>
      </c>
      <c r="H790">
        <v>1.015158</v>
      </c>
      <c r="I790">
        <v>367.36829999999998</v>
      </c>
      <c r="J790">
        <v>-276.77999999999997</v>
      </c>
      <c r="K790">
        <v>1.0992459999999999</v>
      </c>
      <c r="L790">
        <v>367.44850000000002</v>
      </c>
      <c r="M790">
        <v>0.99998240000000005</v>
      </c>
      <c r="N790">
        <v>-5.5070309999999999E-3</v>
      </c>
      <c r="O790">
        <v>2.2180979999999999E-3</v>
      </c>
      <c r="P790">
        <v>0.99553119999999995</v>
      </c>
      <c r="Q790">
        <v>-9.402895E-2</v>
      </c>
      <c r="R790">
        <v>-8.7387650000000008E-3</v>
      </c>
      <c r="S790">
        <v>2.9805299999999999</v>
      </c>
      <c r="T790">
        <v>-0.3227334</v>
      </c>
      <c r="U790">
        <v>-0.31503300000000001</v>
      </c>
      <c r="V790">
        <v>1.094325E-2</v>
      </c>
      <c r="W790">
        <v>-8.8545719999999994E-2</v>
      </c>
      <c r="X790">
        <v>0.99601200000000001</v>
      </c>
      <c r="Y790">
        <v>0.1066571</v>
      </c>
      <c r="Z790">
        <v>-6.2638299999999997E-3</v>
      </c>
      <c r="AA790">
        <v>0.9942761</v>
      </c>
      <c r="AB790">
        <v>28</v>
      </c>
      <c r="AC790">
        <v>0.45869999999996403</v>
      </c>
      <c r="AD790">
        <v>-8.4087999999999899E-2</v>
      </c>
      <c r="AE790">
        <v>-8.0200000000047497E-2</v>
      </c>
      <c r="AF790">
        <v>7.8652505426786798E-2</v>
      </c>
      <c r="AG790">
        <v>-8.4087999999999899E-2</v>
      </c>
      <c r="AH790">
        <v>0.44404137514061298</v>
      </c>
      <c r="AI790">
        <v>100.56247729039499</v>
      </c>
      <c r="AJ790">
        <v>79.955451856604199</v>
      </c>
      <c r="AK790">
        <v>0.45872622683979802</v>
      </c>
      <c r="AL790">
        <v>95.079948938743797</v>
      </c>
      <c r="AM790">
        <v>89.370512793685805</v>
      </c>
      <c r="AN790">
        <v>1.00000000169744</v>
      </c>
    </row>
    <row r="791" spans="1:40" x14ac:dyDescent="0.25">
      <c r="A791" t="str">
        <f>"20190303154433884"</f>
        <v>20190303154433884</v>
      </c>
      <c r="B791" t="str">
        <f>"1551599073881389"</f>
        <v>1551599073881389</v>
      </c>
      <c r="C791" t="s">
        <v>40</v>
      </c>
      <c r="D791">
        <v>4.5219129999999996</v>
      </c>
      <c r="E791">
        <v>0.55315409999999998</v>
      </c>
      <c r="F791" t="s">
        <v>42</v>
      </c>
      <c r="G791">
        <v>-275.88940000000002</v>
      </c>
      <c r="H791">
        <v>0.86217160000000004</v>
      </c>
      <c r="I791">
        <v>367.31670000000003</v>
      </c>
      <c r="J791">
        <v>-276.51299999999998</v>
      </c>
      <c r="K791">
        <v>1.1018030000000001</v>
      </c>
      <c r="L791">
        <v>367.44900000000001</v>
      </c>
      <c r="M791">
        <v>0.99997879999999995</v>
      </c>
      <c r="N791">
        <v>-6.1173620000000003E-3</v>
      </c>
      <c r="O791">
        <v>2.2180429999999998E-3</v>
      </c>
      <c r="P791">
        <v>0.99553630000000004</v>
      </c>
      <c r="Q791">
        <v>-9.3903029999999998E-2</v>
      </c>
      <c r="R791">
        <v>-9.4601879999999996E-3</v>
      </c>
      <c r="S791">
        <v>2.9358520000000001</v>
      </c>
      <c r="T791">
        <v>-0.78166459999999904</v>
      </c>
      <c r="U791">
        <v>-0.43307499999999999</v>
      </c>
      <c r="V791">
        <v>1.166478E-2</v>
      </c>
      <c r="W791">
        <v>-8.7811840000000002E-2</v>
      </c>
      <c r="X791">
        <v>0.99606879999999998</v>
      </c>
      <c r="Y791">
        <v>0.1430575</v>
      </c>
      <c r="Z791">
        <v>-1.9634269999999999E-2</v>
      </c>
      <c r="AA791">
        <v>0.98951960000000005</v>
      </c>
      <c r="AB791">
        <v>28</v>
      </c>
      <c r="AC791">
        <v>0.62359999999995297</v>
      </c>
      <c r="AD791">
        <v>-0.23963139999999999</v>
      </c>
      <c r="AE791">
        <v>-0.13229999999998601</v>
      </c>
      <c r="AF791">
        <v>0.117131681657359</v>
      </c>
      <c r="AG791">
        <v>-0.23963139999999999</v>
      </c>
      <c r="AH791">
        <v>0.54613402049918303</v>
      </c>
      <c r="AI791">
        <v>113.220361246545</v>
      </c>
      <c r="AJ791">
        <v>77.894915548356295</v>
      </c>
      <c r="AK791">
        <v>0.60778730412903703</v>
      </c>
      <c r="AL791">
        <v>95.037736184568701</v>
      </c>
      <c r="AM791">
        <v>89.329050249773999</v>
      </c>
      <c r="AN791">
        <v>1.0000000203350301</v>
      </c>
    </row>
    <row r="792" spans="1:40" x14ac:dyDescent="0.25">
      <c r="A792" t="str">
        <f>"20190303154433898"</f>
        <v>20190303154433898</v>
      </c>
      <c r="B792" t="str">
        <f>"1551599073891150"</f>
        <v>1551599073891150</v>
      </c>
      <c r="C792" t="s">
        <v>40</v>
      </c>
      <c r="D792">
        <v>4.4881060000000002</v>
      </c>
      <c r="E792">
        <v>0.55394560000000004</v>
      </c>
      <c r="F792" t="s">
        <v>42</v>
      </c>
      <c r="G792">
        <v>-275.63580000000002</v>
      </c>
      <c r="H792">
        <v>0.86896870000000004</v>
      </c>
      <c r="I792">
        <v>367.31099999999998</v>
      </c>
      <c r="J792">
        <v>-276.31709999999998</v>
      </c>
      <c r="K792">
        <v>1.103569</v>
      </c>
      <c r="L792">
        <v>367.44940000000003</v>
      </c>
      <c r="M792">
        <v>0.99997599999999998</v>
      </c>
      <c r="N792">
        <v>-6.5857919999999896E-3</v>
      </c>
      <c r="O792">
        <v>2.2175010000000002E-3</v>
      </c>
      <c r="P792">
        <v>0.99549080000000001</v>
      </c>
      <c r="Q792">
        <v>-9.4309909999999997E-2</v>
      </c>
      <c r="R792">
        <v>-1.018895E-2</v>
      </c>
      <c r="S792">
        <v>2.9355769999999999</v>
      </c>
      <c r="T792">
        <v>-0.77918469999999995</v>
      </c>
      <c r="U792">
        <v>-0.46130369999999998</v>
      </c>
      <c r="V792">
        <v>1.239316E-2</v>
      </c>
      <c r="W792">
        <v>-8.7752430000000006E-2</v>
      </c>
      <c r="X792">
        <v>0.99606519999999998</v>
      </c>
      <c r="Y792">
        <v>0.15208039999999901</v>
      </c>
      <c r="Z792">
        <v>-2.0798029999999999E-2</v>
      </c>
      <c r="AA792">
        <v>0.98814930000000001</v>
      </c>
      <c r="AB792">
        <v>28</v>
      </c>
      <c r="AC792">
        <v>0.68129999999996405</v>
      </c>
      <c r="AD792">
        <v>-0.23460030000000001</v>
      </c>
      <c r="AE792">
        <v>-0.13840000000004599</v>
      </c>
      <c r="AF792">
        <v>0.12560727197419</v>
      </c>
      <c r="AG792">
        <v>-0.23460030000000001</v>
      </c>
      <c r="AH792">
        <v>0.611372905393199</v>
      </c>
      <c r="AI792">
        <v>110.60004106710799</v>
      </c>
      <c r="AJ792">
        <v>78.390068987389</v>
      </c>
      <c r="AK792">
        <v>0.66677681197069905</v>
      </c>
      <c r="AL792">
        <v>95.034319249651901</v>
      </c>
      <c r="AM792">
        <v>89.287155976499093</v>
      </c>
      <c r="AN792">
        <v>0.99999998101836496</v>
      </c>
    </row>
    <row r="793" spans="1:40" x14ac:dyDescent="0.25">
      <c r="A793" t="str">
        <f>"20190303154433919"</f>
        <v>20190303154433919</v>
      </c>
      <c r="B793" t="str">
        <f>"1551599073910669"</f>
        <v>1551599073910669</v>
      </c>
      <c r="C793" t="s">
        <v>40</v>
      </c>
      <c r="D793">
        <v>4.5309679999999997</v>
      </c>
      <c r="E793">
        <v>0.55500699999999903</v>
      </c>
      <c r="F793" t="s">
        <v>42</v>
      </c>
      <c r="G793">
        <v>-275.61610000000002</v>
      </c>
      <c r="H793">
        <v>0.91750540000000003</v>
      </c>
      <c r="I793">
        <v>367.33699999999999</v>
      </c>
      <c r="J793">
        <v>-276.07040000000001</v>
      </c>
      <c r="K793">
        <v>1.105631</v>
      </c>
      <c r="L793">
        <v>367.45</v>
      </c>
      <c r="M793">
        <v>0.99997170000000002</v>
      </c>
      <c r="N793">
        <v>-7.1809339999999999E-3</v>
      </c>
      <c r="O793">
        <v>2.2174690000000001E-3</v>
      </c>
      <c r="P793">
        <v>0.9954151</v>
      </c>
      <c r="Q793">
        <v>-9.5109869999999999E-2</v>
      </c>
      <c r="R793">
        <v>-1.014958E-2</v>
      </c>
      <c r="S793">
        <v>2.9349370000000001</v>
      </c>
      <c r="T793">
        <v>-0.77904700000000005</v>
      </c>
      <c r="U793">
        <v>-0.46994019999999997</v>
      </c>
      <c r="V793">
        <v>1.235346E-2</v>
      </c>
      <c r="W793">
        <v>-8.7960029999999995E-2</v>
      </c>
      <c r="X793">
        <v>0.99604740000000003</v>
      </c>
      <c r="Y793">
        <v>0.15484389999999901</v>
      </c>
      <c r="Z793">
        <v>-2.1208029999999999E-2</v>
      </c>
      <c r="AA793">
        <v>0.98771129999999996</v>
      </c>
      <c r="AB793">
        <v>28</v>
      </c>
      <c r="AC793">
        <v>0.45429999999998899</v>
      </c>
      <c r="AD793">
        <v>-0.1881256</v>
      </c>
      <c r="AE793">
        <v>-0.112999999999999</v>
      </c>
      <c r="AF793">
        <v>9.8156134843515E-2</v>
      </c>
      <c r="AG793">
        <v>-0.1881256</v>
      </c>
      <c r="AH793">
        <v>0.390919592426891</v>
      </c>
      <c r="AI793">
        <v>115.020815739361</v>
      </c>
      <c r="AJ793">
        <v>75.904974367047103</v>
      </c>
      <c r="AK793">
        <v>0.444796578141048</v>
      </c>
      <c r="AL793">
        <v>95.046259936022395</v>
      </c>
      <c r="AM793">
        <v>89.289426555361004</v>
      </c>
      <c r="AN793">
        <v>0.99999999894916602</v>
      </c>
    </row>
    <row r="794" spans="1:40" x14ac:dyDescent="0.25">
      <c r="A794" t="str">
        <f>"20190303154433940"</f>
        <v>20190303154433940</v>
      </c>
      <c r="B794" t="str">
        <f>"1551599073931166"</f>
        <v>1551599073931166</v>
      </c>
      <c r="C794" t="s">
        <v>40</v>
      </c>
      <c r="D794">
        <v>4.5220570000000002</v>
      </c>
      <c r="E794">
        <v>0.55563050000000003</v>
      </c>
      <c r="F794" t="s">
        <v>42</v>
      </c>
      <c r="G794">
        <v>-275.36579999999998</v>
      </c>
      <c r="H794">
        <v>0.91769610000000001</v>
      </c>
      <c r="I794">
        <v>367.3349</v>
      </c>
      <c r="J794">
        <v>-275.80099999999999</v>
      </c>
      <c r="K794">
        <v>1.107685</v>
      </c>
      <c r="L794">
        <v>367.45060000000001</v>
      </c>
      <c r="M794">
        <v>0.99996700000000005</v>
      </c>
      <c r="N794">
        <v>-7.8190240000000008E-3</v>
      </c>
      <c r="O794">
        <v>2.2172670000000002E-3</v>
      </c>
      <c r="P794">
        <v>0.99532929999999997</v>
      </c>
      <c r="Q794">
        <v>-9.6013139999999997E-2</v>
      </c>
      <c r="R794">
        <v>-1.0050669999999999E-2</v>
      </c>
      <c r="S794">
        <v>2.9341740000000001</v>
      </c>
      <c r="T794">
        <v>-0.78267589999999998</v>
      </c>
      <c r="U794">
        <v>-0.47790529999999998</v>
      </c>
      <c r="V794">
        <v>1.225443E-2</v>
      </c>
      <c r="W794">
        <v>-8.8228349999999997E-2</v>
      </c>
      <c r="X794">
        <v>0.99602489999999999</v>
      </c>
      <c r="Y794">
        <v>0.15734600000000001</v>
      </c>
      <c r="Z794">
        <v>-2.16873E-2</v>
      </c>
      <c r="AA794">
        <v>0.98730530000000005</v>
      </c>
      <c r="AB794">
        <v>28</v>
      </c>
      <c r="AC794">
        <v>0.43520000000000802</v>
      </c>
      <c r="AD794">
        <v>-0.18998889999999999</v>
      </c>
      <c r="AE794">
        <v>-0.11570000000000299</v>
      </c>
      <c r="AF794">
        <v>9.9036265080166705E-2</v>
      </c>
      <c r="AG794">
        <v>-0.18998889999999999</v>
      </c>
      <c r="AH794">
        <v>0.36922110474633002</v>
      </c>
      <c r="AI794">
        <v>116.42730128407599</v>
      </c>
      <c r="AJ794">
        <v>74.984976968517003</v>
      </c>
      <c r="AK794">
        <v>0.42688193697360799</v>
      </c>
      <c r="AL794">
        <v>95.061693501796697</v>
      </c>
      <c r="AM794">
        <v>89.295106281911202</v>
      </c>
      <c r="AN794">
        <v>1.0000000071091699</v>
      </c>
    </row>
    <row r="795" spans="1:40" x14ac:dyDescent="0.25">
      <c r="A795" t="str">
        <f>"20190303154433963"</f>
        <v>20190303154433963</v>
      </c>
      <c r="B795" t="str">
        <f>"1551599073950685"</f>
        <v>1551599073950685</v>
      </c>
      <c r="C795" t="s">
        <v>40</v>
      </c>
      <c r="D795">
        <v>4.520804</v>
      </c>
      <c r="E795">
        <v>0.5562397</v>
      </c>
      <c r="F795" t="s">
        <v>42</v>
      </c>
      <c r="G795">
        <v>-275.11309999999997</v>
      </c>
      <c r="H795">
        <v>0.92378369999999999</v>
      </c>
      <c r="I795">
        <v>367.3372</v>
      </c>
      <c r="J795">
        <v>-275.5206</v>
      </c>
      <c r="K795">
        <v>1.109591</v>
      </c>
      <c r="L795">
        <v>367.45119999999997</v>
      </c>
      <c r="M795">
        <v>0.99996200000000002</v>
      </c>
      <c r="N795">
        <v>-8.4493999999999993E-3</v>
      </c>
      <c r="O795">
        <v>2.2168930000000002E-3</v>
      </c>
      <c r="P795">
        <v>0.99529350000000005</v>
      </c>
      <c r="Q795">
        <v>-9.6456799999999995E-2</v>
      </c>
      <c r="R795">
        <v>-9.3298749999999996E-3</v>
      </c>
      <c r="S795">
        <v>2.9335629999999999</v>
      </c>
      <c r="T795">
        <v>-0.78425419999999901</v>
      </c>
      <c r="U795">
        <v>-0.48281859999999999</v>
      </c>
      <c r="V795">
        <v>1.1533170000000001E-2</v>
      </c>
      <c r="W795">
        <v>-8.8044369999999997E-2</v>
      </c>
      <c r="X795">
        <v>0.99604979999999999</v>
      </c>
      <c r="Y795">
        <v>0.15889819999999999</v>
      </c>
      <c r="Z795">
        <v>-2.198868E-2</v>
      </c>
      <c r="AA795">
        <v>0.98705010000000004</v>
      </c>
      <c r="AB795">
        <v>28</v>
      </c>
      <c r="AC795">
        <v>0.40750000000002701</v>
      </c>
      <c r="AD795">
        <v>-0.18580729999999901</v>
      </c>
      <c r="AE795">
        <v>-0.113999999999975</v>
      </c>
      <c r="AF795">
        <v>9.6329208084634396E-2</v>
      </c>
      <c r="AG795">
        <v>-0.18580729999999901</v>
      </c>
      <c r="AH795">
        <v>0.341415487008004</v>
      </c>
      <c r="AI795">
        <v>117.644531982283</v>
      </c>
      <c r="AJ795">
        <v>74.243769267038701</v>
      </c>
      <c r="AK795">
        <v>0.40045999030167201</v>
      </c>
      <c r="AL795">
        <v>95.051111003957999</v>
      </c>
      <c r="AM795">
        <v>89.3366070287924</v>
      </c>
      <c r="AN795">
        <v>1.0000000145894901</v>
      </c>
    </row>
    <row r="796" spans="1:40" x14ac:dyDescent="0.25">
      <c r="A796" t="str">
        <f>"20190303154433984"</f>
        <v>20190303154433984</v>
      </c>
      <c r="B796" t="str">
        <f>"1551599073980942"</f>
        <v>1551599073980942</v>
      </c>
      <c r="C796" t="s">
        <v>40</v>
      </c>
      <c r="D796">
        <v>4.5096949999999998</v>
      </c>
      <c r="E796">
        <v>0.55667529999999998</v>
      </c>
      <c r="F796" t="s">
        <v>42</v>
      </c>
      <c r="G796">
        <v>-274.63459999999998</v>
      </c>
      <c r="H796">
        <v>0.87203969999999897</v>
      </c>
      <c r="I796">
        <v>367.30419999999998</v>
      </c>
      <c r="J796">
        <v>-275.25060000000002</v>
      </c>
      <c r="K796">
        <v>1.1112059999999999</v>
      </c>
      <c r="L796">
        <v>367.45179999999999</v>
      </c>
      <c r="M796">
        <v>0.99995699999999998</v>
      </c>
      <c r="N796">
        <v>-9.0141409999999998E-3</v>
      </c>
      <c r="O796">
        <v>2.2170929999999998E-3</v>
      </c>
      <c r="P796">
        <v>0.99519159999999995</v>
      </c>
      <c r="Q796">
        <v>-9.7588330000000001E-2</v>
      </c>
      <c r="R796">
        <v>-8.4087399999999996E-3</v>
      </c>
      <c r="S796">
        <v>2.933411</v>
      </c>
      <c r="T796">
        <v>-0.78651979999999999</v>
      </c>
      <c r="U796">
        <v>-0.48556519999999997</v>
      </c>
      <c r="V796">
        <v>1.061192E-2</v>
      </c>
      <c r="W796">
        <v>-8.8614150000000003E-2</v>
      </c>
      <c r="X796">
        <v>0.99600949999999999</v>
      </c>
      <c r="Y796">
        <v>0.15973309999999999</v>
      </c>
      <c r="Z796">
        <v>-2.2205809999999999E-2</v>
      </c>
      <c r="AA796">
        <v>0.98691050000000002</v>
      </c>
      <c r="AB796">
        <v>28</v>
      </c>
      <c r="AC796">
        <v>0.61600000000004196</v>
      </c>
      <c r="AD796">
        <v>-0.2391663</v>
      </c>
      <c r="AE796">
        <v>-0.147600000000011</v>
      </c>
      <c r="AF796">
        <v>0.130378786554702</v>
      </c>
      <c r="AG796">
        <v>-0.2391663</v>
      </c>
      <c r="AH796">
        <v>0.53885302266985102</v>
      </c>
      <c r="AI796">
        <v>113.33514261816801</v>
      </c>
      <c r="AJ796">
        <v>76.398340511731803</v>
      </c>
      <c r="AK796">
        <v>0.60378947248159398</v>
      </c>
      <c r="AL796">
        <v>95.083885159083394</v>
      </c>
      <c r="AM796">
        <v>89.389568851208693</v>
      </c>
      <c r="AN796">
        <v>1.00000000225827</v>
      </c>
    </row>
    <row r="797" spans="1:40" x14ac:dyDescent="0.25">
      <c r="A797" t="str">
        <f>"20190303154433999"</f>
        <v>20190303154433999</v>
      </c>
      <c r="B797" t="str">
        <f>"1551599073990701"</f>
        <v>1551599073990701</v>
      </c>
      <c r="C797" t="s">
        <v>40</v>
      </c>
      <c r="D797">
        <v>4.5148060000000001</v>
      </c>
      <c r="E797">
        <v>0.55672659999999996</v>
      </c>
      <c r="F797" t="s">
        <v>42</v>
      </c>
      <c r="G797">
        <v>-274.38339999999999</v>
      </c>
      <c r="H797">
        <v>0.87684269999999997</v>
      </c>
      <c r="I797">
        <v>367.30770000000001</v>
      </c>
      <c r="J797">
        <v>-275.06509999999997</v>
      </c>
      <c r="K797">
        <v>1.1122080000000001</v>
      </c>
      <c r="L797">
        <v>367.4522</v>
      </c>
      <c r="M797">
        <v>0.9999536</v>
      </c>
      <c r="N797">
        <v>-9.3786589999999993E-3</v>
      </c>
      <c r="O797">
        <v>2.2172540000000001E-3</v>
      </c>
      <c r="P797">
        <v>0.99513660000000004</v>
      </c>
      <c r="Q797">
        <v>-9.8177600000000004E-2</v>
      </c>
      <c r="R797">
        <v>-8.0299180000000005E-3</v>
      </c>
      <c r="S797">
        <v>2.9326479999999999</v>
      </c>
      <c r="T797">
        <v>-0.79256689999999996</v>
      </c>
      <c r="U797">
        <v>-0.48626710000000001</v>
      </c>
      <c r="V797">
        <v>1.023319E-2</v>
      </c>
      <c r="W797">
        <v>-8.8840799999999998E-2</v>
      </c>
      <c r="X797">
        <v>0.99599329999999997</v>
      </c>
      <c r="Y797">
        <v>0.15990199999999999</v>
      </c>
      <c r="Z797">
        <v>-2.2422790000000001E-2</v>
      </c>
      <c r="AA797">
        <v>0.98687820000000004</v>
      </c>
      <c r="AB797">
        <v>28</v>
      </c>
      <c r="AC797">
        <v>0.68169999999997799</v>
      </c>
      <c r="AD797">
        <v>-0.2353653</v>
      </c>
      <c r="AE797">
        <v>-0.144499999999993</v>
      </c>
      <c r="AF797">
        <v>0.131059868162618</v>
      </c>
      <c r="AG797">
        <v>-0.2353653</v>
      </c>
      <c r="AH797">
        <v>0.61160576623073304</v>
      </c>
      <c r="AI797">
        <v>110.62077667614901</v>
      </c>
      <c r="AJ797">
        <v>77.9051094948626</v>
      </c>
      <c r="AK797">
        <v>0.668307658772196</v>
      </c>
      <c r="AL797">
        <v>95.0969225275648</v>
      </c>
      <c r="AM797">
        <v>89.4113434616511</v>
      </c>
      <c r="AN797">
        <v>1.0000000297835501</v>
      </c>
    </row>
    <row r="798" spans="1:40" x14ac:dyDescent="0.25">
      <c r="A798" t="str">
        <f>"20190303154434019"</f>
        <v>20190303154434019</v>
      </c>
      <c r="B798" t="str">
        <f>"1551599074011197"</f>
        <v>1551599074011197</v>
      </c>
      <c r="C798" t="s">
        <v>40</v>
      </c>
      <c r="D798">
        <v>4.627434</v>
      </c>
      <c r="E798">
        <v>0.5567164</v>
      </c>
      <c r="F798" t="s">
        <v>42</v>
      </c>
      <c r="G798">
        <v>-274.36509999999998</v>
      </c>
      <c r="H798">
        <v>0.9224308</v>
      </c>
      <c r="I798">
        <v>367.33609999999999</v>
      </c>
      <c r="J798">
        <v>-274.8254</v>
      </c>
      <c r="K798">
        <v>1.1133660000000001</v>
      </c>
      <c r="L798">
        <v>367.45269999999999</v>
      </c>
      <c r="M798">
        <v>0.99994950000000005</v>
      </c>
      <c r="N798">
        <v>-9.8168370000000001E-3</v>
      </c>
      <c r="O798">
        <v>2.217344E-3</v>
      </c>
      <c r="P798">
        <v>0.99500500000000003</v>
      </c>
      <c r="Q798">
        <v>-9.9506330000000004E-2</v>
      </c>
      <c r="R798">
        <v>-7.9924339999999996E-3</v>
      </c>
      <c r="S798">
        <v>2.932312</v>
      </c>
      <c r="T798">
        <v>-0.79505539999999997</v>
      </c>
      <c r="U798">
        <v>-0.48522949999999998</v>
      </c>
      <c r="V798">
        <v>1.019553E-2</v>
      </c>
      <c r="W798">
        <v>-8.9734309999999998E-2</v>
      </c>
      <c r="X798">
        <v>0.99591359999999995</v>
      </c>
      <c r="Y798">
        <v>0.15954670000000001</v>
      </c>
      <c r="Z798">
        <v>-2.2477750000000001E-2</v>
      </c>
      <c r="AA798">
        <v>0.98693439999999999</v>
      </c>
      <c r="AB798">
        <v>28</v>
      </c>
      <c r="AC798">
        <v>0.46030000000001697</v>
      </c>
      <c r="AD798">
        <v>-0.1909352</v>
      </c>
      <c r="AE798">
        <v>-0.11660000000000501</v>
      </c>
      <c r="AF798">
        <v>0.101249492366144</v>
      </c>
      <c r="AG798">
        <v>-0.1909352</v>
      </c>
      <c r="AH798">
        <v>0.39600992615345498</v>
      </c>
      <c r="AI798">
        <v>115.038288958113</v>
      </c>
      <c r="AJ798">
        <v>75.658187573196898</v>
      </c>
      <c r="AK798">
        <v>0.45114473499699298</v>
      </c>
      <c r="AL798">
        <v>95.148322087010598</v>
      </c>
      <c r="AM798">
        <v>89.413462741354394</v>
      </c>
      <c r="AN798">
        <v>1.00000004694405</v>
      </c>
    </row>
    <row r="799" spans="1:40" x14ac:dyDescent="0.25">
      <c r="A799" t="str">
        <f>"20190303154434033"</f>
        <v>20190303154434033</v>
      </c>
      <c r="B799" t="str">
        <f>"1551599074031694"</f>
        <v>1551599074031694</v>
      </c>
      <c r="C799" t="s">
        <v>40</v>
      </c>
      <c r="D799">
        <v>4.5420439999999997</v>
      </c>
      <c r="E799">
        <v>0.5573977</v>
      </c>
      <c r="F799" t="s">
        <v>42</v>
      </c>
      <c r="G799">
        <v>-274.1173</v>
      </c>
      <c r="H799">
        <v>0.91979029999999995</v>
      </c>
      <c r="I799">
        <v>367.3356</v>
      </c>
      <c r="J799">
        <v>-274.6377</v>
      </c>
      <c r="K799">
        <v>1.114171</v>
      </c>
      <c r="L799">
        <v>367.45310000000001</v>
      </c>
      <c r="M799">
        <v>0.99994620000000001</v>
      </c>
      <c r="N799">
        <v>-1.0134300000000001E-2</v>
      </c>
      <c r="O799">
        <v>2.217419E-3</v>
      </c>
      <c r="P799">
        <v>0.99491759999999996</v>
      </c>
      <c r="Q799">
        <v>-0.1003913</v>
      </c>
      <c r="R799">
        <v>-7.7839559999999999E-3</v>
      </c>
      <c r="S799">
        <v>2.9310299999999998</v>
      </c>
      <c r="T799">
        <v>-0.80144550000000003</v>
      </c>
      <c r="U799">
        <v>-0.48413089999999998</v>
      </c>
      <c r="V799">
        <v>9.9868500000000002E-3</v>
      </c>
      <c r="W799">
        <v>-9.0303939999999999E-2</v>
      </c>
      <c r="X799">
        <v>0.99586419999999998</v>
      </c>
      <c r="Y799">
        <v>0.15916620000000001</v>
      </c>
      <c r="Z799">
        <v>-2.2628619999999999E-2</v>
      </c>
      <c r="AA799">
        <v>0.98699239999999999</v>
      </c>
      <c r="AB799">
        <v>28</v>
      </c>
      <c r="AC799">
        <v>0.52039999999999498</v>
      </c>
      <c r="AD799">
        <v>-0.19438069999999999</v>
      </c>
      <c r="AE799">
        <v>-0.117500000000006</v>
      </c>
      <c r="AF799">
        <v>0.10474829393828999</v>
      </c>
      <c r="AG799">
        <v>-0.19438069999999999</v>
      </c>
      <c r="AH799">
        <v>0.45918144932154498</v>
      </c>
      <c r="AI799">
        <v>112.426800780021</v>
      </c>
      <c r="AJ799">
        <v>77.149602728658394</v>
      </c>
      <c r="AK799">
        <v>0.50951316471363794</v>
      </c>
      <c r="AL799">
        <v>95.18109265823</v>
      </c>
      <c r="AM799">
        <v>89.425438553665998</v>
      </c>
      <c r="AN799">
        <v>1.00000002179704</v>
      </c>
    </row>
    <row r="800" spans="1:40" x14ac:dyDescent="0.25">
      <c r="A800" t="str">
        <f>"20190303154434052"</f>
        <v>20190303154434052</v>
      </c>
      <c r="B800" t="str">
        <f>"1551599074041453"</f>
        <v>1551599074041453</v>
      </c>
      <c r="C800" t="s">
        <v>40</v>
      </c>
      <c r="D800">
        <v>4.5513579999999996</v>
      </c>
      <c r="E800">
        <v>0.55768240000000002</v>
      </c>
      <c r="F800" t="s">
        <v>42</v>
      </c>
      <c r="G800">
        <v>-273.8741</v>
      </c>
      <c r="H800">
        <v>0.90605820000000004</v>
      </c>
      <c r="I800">
        <v>367.32560000000001</v>
      </c>
      <c r="J800">
        <v>-274.4117</v>
      </c>
      <c r="K800">
        <v>1.115048</v>
      </c>
      <c r="L800">
        <v>367.45359999999999</v>
      </c>
      <c r="M800">
        <v>0.99994260000000001</v>
      </c>
      <c r="N800">
        <v>-1.0491510000000001E-2</v>
      </c>
      <c r="O800">
        <v>2.2172339999999998E-3</v>
      </c>
      <c r="P800">
        <v>0.99481399999999998</v>
      </c>
      <c r="Q800">
        <v>-0.10136820000000001</v>
      </c>
      <c r="R800">
        <v>-8.3647440000000003E-3</v>
      </c>
      <c r="S800">
        <v>2.9309080000000001</v>
      </c>
      <c r="T800">
        <v>-0.79876329999999995</v>
      </c>
      <c r="U800">
        <v>-0.48864750000000001</v>
      </c>
      <c r="V800">
        <v>1.056707E-2</v>
      </c>
      <c r="W800">
        <v>-9.0926090000000001E-2</v>
      </c>
      <c r="X800">
        <v>0.99580159999999995</v>
      </c>
      <c r="Y800">
        <v>0.16063069999999999</v>
      </c>
      <c r="Z800">
        <v>-2.278732E-2</v>
      </c>
      <c r="AA800">
        <v>0.9867515</v>
      </c>
      <c r="AB800">
        <v>28</v>
      </c>
      <c r="AC800">
        <v>0.53759999999999697</v>
      </c>
      <c r="AD800">
        <v>-0.208989799999999</v>
      </c>
      <c r="AE800">
        <v>-0.12799999999998499</v>
      </c>
      <c r="AF800">
        <v>0.113027067650369</v>
      </c>
      <c r="AG800">
        <v>-0.208989799999999</v>
      </c>
      <c r="AH800">
        <v>0.470085197689663</v>
      </c>
      <c r="AI800">
        <v>113.37686802451</v>
      </c>
      <c r="AJ800">
        <v>76.480457011662693</v>
      </c>
      <c r="AK800">
        <v>0.526718091214466</v>
      </c>
      <c r="AL800">
        <v>95.216886483743806</v>
      </c>
      <c r="AM800">
        <v>89.392021675262995</v>
      </c>
      <c r="AN800">
        <v>1.0000000216868099</v>
      </c>
    </row>
    <row r="801" spans="1:40" x14ac:dyDescent="0.25">
      <c r="A801" t="str">
        <f>"20190303154434073"</f>
        <v>20190303154434073</v>
      </c>
      <c r="B801" t="str">
        <f>"1551599074070734"</f>
        <v>1551599074070734</v>
      </c>
      <c r="C801" t="s">
        <v>40</v>
      </c>
      <c r="D801">
        <v>4.4613899999999997</v>
      </c>
      <c r="E801">
        <v>0.55922139999999998</v>
      </c>
      <c r="F801" t="s">
        <v>42</v>
      </c>
      <c r="G801">
        <v>-273.62740000000002</v>
      </c>
      <c r="H801">
        <v>0.90128019999999998</v>
      </c>
      <c r="I801">
        <v>367.32130000000001</v>
      </c>
      <c r="J801">
        <v>-274.14</v>
      </c>
      <c r="K801">
        <v>1.1159650000000001</v>
      </c>
      <c r="L801">
        <v>367.45420000000001</v>
      </c>
      <c r="M801">
        <v>0.99993840000000001</v>
      </c>
      <c r="N801">
        <v>-1.088369E-2</v>
      </c>
      <c r="O801">
        <v>2.21733E-3</v>
      </c>
      <c r="P801">
        <v>0.9948108</v>
      </c>
      <c r="Q801">
        <v>-0.1013452</v>
      </c>
      <c r="R801">
        <v>-8.9799619999999993E-3</v>
      </c>
      <c r="S801">
        <v>2.9301149999999998</v>
      </c>
      <c r="T801">
        <v>-0.79854360000000002</v>
      </c>
      <c r="U801">
        <v>-0.4933167</v>
      </c>
      <c r="V801">
        <v>1.118249E-2</v>
      </c>
      <c r="W801">
        <v>-9.0512609999999993E-2</v>
      </c>
      <c r="X801">
        <v>0.99583250000000001</v>
      </c>
      <c r="Y801">
        <v>0.16214110000000001</v>
      </c>
      <c r="Z801">
        <v>-2.3025239999999999E-2</v>
      </c>
      <c r="AA801">
        <v>0.98649889999999996</v>
      </c>
      <c r="AB801">
        <v>28</v>
      </c>
      <c r="AC801">
        <v>0.51259999999996297</v>
      </c>
      <c r="AD801">
        <v>-0.21468479999999901</v>
      </c>
      <c r="AE801">
        <v>-0.13290000000000601</v>
      </c>
      <c r="AF801">
        <v>0.115116057521196</v>
      </c>
      <c r="AG801">
        <v>-0.21468479999999901</v>
      </c>
      <c r="AH801">
        <v>0.43998828638804399</v>
      </c>
      <c r="AI801">
        <v>115.269376336703</v>
      </c>
      <c r="AJ801">
        <v>75.338105743704901</v>
      </c>
      <c r="AK801">
        <v>0.50292242166058798</v>
      </c>
      <c r="AL801">
        <v>95.193097978692705</v>
      </c>
      <c r="AM801">
        <v>89.356636228493002</v>
      </c>
      <c r="AN801">
        <v>0.99999997435392995</v>
      </c>
    </row>
    <row r="802" spans="1:40" x14ac:dyDescent="0.25">
      <c r="A802" t="str">
        <f>"20190303154434096"</f>
        <v>20190303154434096</v>
      </c>
      <c r="B802" t="str">
        <f>"1551599074091627"</f>
        <v>1551599074091627</v>
      </c>
      <c r="C802" t="s">
        <v>40</v>
      </c>
      <c r="D802">
        <v>4.4324089999999998</v>
      </c>
      <c r="E802">
        <v>0.56022640000000001</v>
      </c>
      <c r="F802" t="s">
        <v>42</v>
      </c>
      <c r="G802">
        <v>-273.37509999999997</v>
      </c>
      <c r="H802">
        <v>0.91075240000000002</v>
      </c>
      <c r="I802">
        <v>367.32150000000001</v>
      </c>
      <c r="J802">
        <v>-273.85930000000002</v>
      </c>
      <c r="K802">
        <v>1.116771</v>
      </c>
      <c r="L802">
        <v>367.45479999999998</v>
      </c>
      <c r="M802">
        <v>0.9999344</v>
      </c>
      <c r="N802">
        <v>-1.1248319999999999E-2</v>
      </c>
      <c r="O802">
        <v>2.217147E-3</v>
      </c>
      <c r="P802">
        <v>0.99483080000000002</v>
      </c>
      <c r="Q802">
        <v>-0.1010525</v>
      </c>
      <c r="R802">
        <v>-1.001988E-2</v>
      </c>
      <c r="S802">
        <v>2.931</v>
      </c>
      <c r="T802">
        <v>-0.78646609999999995</v>
      </c>
      <c r="U802">
        <v>-0.50665280000000001</v>
      </c>
      <c r="V802">
        <v>1.2222220000000001E-2</v>
      </c>
      <c r="W802">
        <v>-8.9856649999999996E-2</v>
      </c>
      <c r="X802">
        <v>0.99587969999999904</v>
      </c>
      <c r="Y802">
        <v>0.16647329999999999</v>
      </c>
      <c r="Z802">
        <v>-2.33089E-2</v>
      </c>
      <c r="AA802">
        <v>0.98577040000000005</v>
      </c>
      <c r="AB802">
        <v>28</v>
      </c>
      <c r="AC802">
        <v>0.48420000000004298</v>
      </c>
      <c r="AD802">
        <v>-0.2060186</v>
      </c>
      <c r="AE802">
        <v>-0.133299999999962</v>
      </c>
      <c r="AF802">
        <v>0.115017917377976</v>
      </c>
      <c r="AG802">
        <v>-0.2060186</v>
      </c>
      <c r="AH802">
        <v>0.414200966013687</v>
      </c>
      <c r="AI802">
        <v>115.606237225233</v>
      </c>
      <c r="AJ802">
        <v>74.480757055285494</v>
      </c>
      <c r="AK802">
        <v>0.476691960400633</v>
      </c>
      <c r="AL802">
        <v>95.155360386168596</v>
      </c>
      <c r="AM802">
        <v>89.296856370960597</v>
      </c>
      <c r="AN802">
        <v>0.99999998854151995</v>
      </c>
    </row>
    <row r="803" spans="1:40" x14ac:dyDescent="0.25">
      <c r="A803" t="str">
        <f>"20190303154434119"</f>
        <v>20190303154434119</v>
      </c>
      <c r="B803" t="str">
        <f>"1551599074111147"</f>
        <v>1551599074111147</v>
      </c>
      <c r="C803" t="s">
        <v>40</v>
      </c>
      <c r="D803">
        <v>4.386533</v>
      </c>
      <c r="E803">
        <v>0.56066660000000001</v>
      </c>
      <c r="F803" t="s">
        <v>42</v>
      </c>
      <c r="G803">
        <v>-273.12270000000001</v>
      </c>
      <c r="H803">
        <v>0.92148609999999997</v>
      </c>
      <c r="I803">
        <v>367.32459999999998</v>
      </c>
      <c r="J803">
        <v>-273.57429999999999</v>
      </c>
      <c r="K803">
        <v>1.11748</v>
      </c>
      <c r="L803">
        <v>367.4554</v>
      </c>
      <c r="M803">
        <v>0.9999306</v>
      </c>
      <c r="N803">
        <v>-1.157975E-2</v>
      </c>
      <c r="O803">
        <v>2.2174479999999999E-3</v>
      </c>
      <c r="P803">
        <v>0.99477640000000001</v>
      </c>
      <c r="Q803">
        <v>-0.1015727</v>
      </c>
      <c r="R803">
        <v>-1.0159E-2</v>
      </c>
      <c r="S803">
        <v>2.9314269999999998</v>
      </c>
      <c r="T803">
        <v>-0.77711030000000003</v>
      </c>
      <c r="U803">
        <v>-0.51742549999999998</v>
      </c>
      <c r="V803">
        <v>1.2361469999999999E-2</v>
      </c>
      <c r="W803">
        <v>-9.0047370000000002E-2</v>
      </c>
      <c r="X803">
        <v>0.99586079999999999</v>
      </c>
      <c r="Y803">
        <v>0.1699775</v>
      </c>
      <c r="Z803">
        <v>-2.3543430000000001E-2</v>
      </c>
      <c r="AA803">
        <v>0.98516669999999995</v>
      </c>
      <c r="AB803">
        <v>28</v>
      </c>
      <c r="AC803">
        <v>0.45159999999998401</v>
      </c>
      <c r="AD803">
        <v>-0.1959939</v>
      </c>
      <c r="AE803">
        <v>-0.13080000000002101</v>
      </c>
      <c r="AF803">
        <v>0.112288064728561</v>
      </c>
      <c r="AG803">
        <v>-0.1959939</v>
      </c>
      <c r="AH803">
        <v>0.384492827516632</v>
      </c>
      <c r="AI803">
        <v>116.07284112952701</v>
      </c>
      <c r="AJ803">
        <v>73.719976841858795</v>
      </c>
      <c r="AK803">
        <v>0.44593379859507198</v>
      </c>
      <c r="AL803">
        <v>95.166332081605702</v>
      </c>
      <c r="AM803">
        <v>89.288832649120806</v>
      </c>
      <c r="AN803">
        <v>1.0000000338805499</v>
      </c>
    </row>
    <row r="804" spans="1:40" x14ac:dyDescent="0.25">
      <c r="A804" t="str">
        <f>"20190303154434143"</f>
        <v>20190303154434143</v>
      </c>
      <c r="B804" t="str">
        <f>"1551599074131642"</f>
        <v>1551599074131642</v>
      </c>
      <c r="C804" t="s">
        <v>40</v>
      </c>
      <c r="D804">
        <v>4.354088</v>
      </c>
      <c r="E804">
        <v>0.56109940000000003</v>
      </c>
      <c r="F804" t="s">
        <v>42</v>
      </c>
      <c r="G804">
        <v>-272.87049999999999</v>
      </c>
      <c r="H804">
        <v>0.9315679</v>
      </c>
      <c r="I804">
        <v>367.32990000000001</v>
      </c>
      <c r="J804">
        <v>-273.28730000000002</v>
      </c>
      <c r="K804">
        <v>1.118074</v>
      </c>
      <c r="L804">
        <v>367.45609999999999</v>
      </c>
      <c r="M804">
        <v>0.99992709999999996</v>
      </c>
      <c r="N804">
        <v>-1.187645E-2</v>
      </c>
      <c r="O804">
        <v>2.217545E-3</v>
      </c>
      <c r="P804">
        <v>0.99471730000000003</v>
      </c>
      <c r="Q804">
        <v>-0.1021557</v>
      </c>
      <c r="R804">
        <v>-1.011012E-2</v>
      </c>
      <c r="S804">
        <v>2.9313349999999998</v>
      </c>
      <c r="T804">
        <v>-0.77434019999999903</v>
      </c>
      <c r="U804">
        <v>-0.52166749999999995</v>
      </c>
      <c r="V804">
        <v>1.2312450000000001E-2</v>
      </c>
      <c r="W804">
        <v>-9.0335550000000001E-2</v>
      </c>
      <c r="X804">
        <v>0.99583520000000003</v>
      </c>
      <c r="Y804">
        <v>0.17135310000000001</v>
      </c>
      <c r="Z804">
        <v>-2.3674540000000001E-2</v>
      </c>
      <c r="AA804">
        <v>0.98492519999999995</v>
      </c>
      <c r="AB804">
        <v>28</v>
      </c>
      <c r="AC804">
        <v>0.41680000000002299</v>
      </c>
      <c r="AD804">
        <v>-0.18650610000000001</v>
      </c>
      <c r="AE804">
        <v>-0.12619999999998299</v>
      </c>
      <c r="AF804">
        <v>0.10742128813275099</v>
      </c>
      <c r="AG804">
        <v>-0.18650610000000001</v>
      </c>
      <c r="AH804">
        <v>0.35196350562155398</v>
      </c>
      <c r="AI804">
        <v>116.876892344963</v>
      </c>
      <c r="AJ804">
        <v>73.027509067614702</v>
      </c>
      <c r="AK804">
        <v>0.41255565414950202</v>
      </c>
      <c r="AL804">
        <v>95.182911704298803</v>
      </c>
      <c r="AM804">
        <v>89.291634321629999</v>
      </c>
      <c r="AN804">
        <v>0.99999992678891902</v>
      </c>
    </row>
    <row r="805" spans="1:40" x14ac:dyDescent="0.25">
      <c r="A805" t="str">
        <f>"20190303154434162"</f>
        <v>20190303154434162</v>
      </c>
      <c r="B805" t="str">
        <f>"1551599074160922"</f>
        <v>1551599074160922</v>
      </c>
      <c r="C805" t="s">
        <v>40</v>
      </c>
      <c r="D805">
        <v>4.4467829999999999</v>
      </c>
      <c r="E805">
        <v>0.56142559999999997</v>
      </c>
      <c r="F805" t="s">
        <v>42</v>
      </c>
      <c r="G805">
        <v>-272.3954</v>
      </c>
      <c r="H805">
        <v>0.88324219999999898</v>
      </c>
      <c r="I805">
        <v>367.29610000000002</v>
      </c>
      <c r="J805">
        <v>-273.02870000000001</v>
      </c>
      <c r="K805">
        <v>1.1185259999999999</v>
      </c>
      <c r="L805">
        <v>367.45659999999998</v>
      </c>
      <c r="M805">
        <v>0.99992420000000004</v>
      </c>
      <c r="N805">
        <v>-1.211428E-2</v>
      </c>
      <c r="O805">
        <v>2.21748E-3</v>
      </c>
      <c r="P805">
        <v>0.9946623</v>
      </c>
      <c r="Q805">
        <v>-0.10265150000000001</v>
      </c>
      <c r="R805">
        <v>-1.04852E-2</v>
      </c>
      <c r="S805">
        <v>2.9313349999999998</v>
      </c>
      <c r="T805">
        <v>-0.77179119999999901</v>
      </c>
      <c r="U805">
        <v>-0.52432250000000002</v>
      </c>
      <c r="V805">
        <v>1.2687260000000001E-2</v>
      </c>
      <c r="W805">
        <v>-9.0595149999999999E-2</v>
      </c>
      <c r="X805">
        <v>0.995807</v>
      </c>
      <c r="Y805">
        <v>0.1722215</v>
      </c>
      <c r="Z805">
        <v>-2.3737959999999999E-2</v>
      </c>
      <c r="AA805">
        <v>0.98477219999999999</v>
      </c>
      <c r="AB805">
        <v>28</v>
      </c>
      <c r="AC805">
        <v>0.63330000000001896</v>
      </c>
      <c r="AD805">
        <v>-0.23528379999999999</v>
      </c>
      <c r="AE805">
        <v>-0.16049999999995601</v>
      </c>
      <c r="AF805">
        <v>0.143316336928656</v>
      </c>
      <c r="AG805">
        <v>-0.23528379999999999</v>
      </c>
      <c r="AH805">
        <v>0.56027634060204801</v>
      </c>
      <c r="AI805">
        <v>112.13861157371799</v>
      </c>
      <c r="AJ805">
        <v>75.651643986499707</v>
      </c>
      <c r="AK805">
        <v>0.62434575101582201</v>
      </c>
      <c r="AL805">
        <v>95.197846472935097</v>
      </c>
      <c r="AM805">
        <v>89.270052206256693</v>
      </c>
      <c r="AN805">
        <v>1.0000000145094099</v>
      </c>
    </row>
    <row r="806" spans="1:40" x14ac:dyDescent="0.25">
      <c r="A806" t="str">
        <f>"20190303154434186"</f>
        <v>20190303154434186</v>
      </c>
      <c r="B806" t="str">
        <f>"1551599074181419"</f>
        <v>1551599074181419</v>
      </c>
      <c r="C806" t="s">
        <v>40</v>
      </c>
      <c r="D806">
        <v>4.4333419999999997</v>
      </c>
      <c r="E806">
        <v>0.56128940000000005</v>
      </c>
      <c r="F806" t="s">
        <v>42</v>
      </c>
      <c r="G806">
        <v>-272.14690000000002</v>
      </c>
      <c r="H806">
        <v>0.88722619999999897</v>
      </c>
      <c r="I806">
        <v>367.29750000000001</v>
      </c>
      <c r="J806">
        <v>-272.74400000000003</v>
      </c>
      <c r="K806">
        <v>1.1189480000000001</v>
      </c>
      <c r="L806">
        <v>367.4572</v>
      </c>
      <c r="M806">
        <v>0.99992139999999996</v>
      </c>
      <c r="N806">
        <v>-1.2347260000000001E-2</v>
      </c>
      <c r="O806">
        <v>2.217536E-3</v>
      </c>
      <c r="P806">
        <v>0.9947087</v>
      </c>
      <c r="Q806">
        <v>-0.1021932</v>
      </c>
      <c r="R806">
        <v>-1.0561259999999999E-2</v>
      </c>
      <c r="S806">
        <v>2.9311829999999999</v>
      </c>
      <c r="T806">
        <v>-0.7689551</v>
      </c>
      <c r="U806">
        <v>-0.52795409999999998</v>
      </c>
      <c r="V806">
        <v>1.27636E-2</v>
      </c>
      <c r="W806">
        <v>-8.9904269999999994E-2</v>
      </c>
      <c r="X806">
        <v>0.99586859999999999</v>
      </c>
      <c r="Y806">
        <v>0.1734098</v>
      </c>
      <c r="Z806">
        <v>-2.3835720000000001E-2</v>
      </c>
      <c r="AA806">
        <v>0.98456129999999997</v>
      </c>
      <c r="AB806">
        <v>28</v>
      </c>
      <c r="AC806">
        <v>0.59710000000001096</v>
      </c>
      <c r="AD806">
        <v>-0.23172180000000001</v>
      </c>
      <c r="AE806">
        <v>-0.15969999999998599</v>
      </c>
      <c r="AF806">
        <v>0.14118072758768299</v>
      </c>
      <c r="AG806">
        <v>-0.23172180000000001</v>
      </c>
      <c r="AH806">
        <v>0.52320715399001205</v>
      </c>
      <c r="AI806">
        <v>113.15125118569</v>
      </c>
      <c r="AJ806">
        <v>74.899121836995903</v>
      </c>
      <c r="AK806">
        <v>0.58938333571942503</v>
      </c>
      <c r="AL806">
        <v>95.158099954492201</v>
      </c>
      <c r="AM806">
        <v>89.265705964382903</v>
      </c>
      <c r="AN806">
        <v>0.99999997785757599</v>
      </c>
    </row>
    <row r="807" spans="1:40" x14ac:dyDescent="0.25">
      <c r="A807" t="str">
        <f>"20190303154434208"</f>
        <v>20190303154434208</v>
      </c>
      <c r="B807" t="str">
        <f>"1551599074200938"</f>
        <v>1551599074200938</v>
      </c>
      <c r="C807" t="s">
        <v>40</v>
      </c>
      <c r="D807">
        <v>4.3805199999999997</v>
      </c>
      <c r="E807">
        <v>0.5611081</v>
      </c>
      <c r="F807" t="s">
        <v>42</v>
      </c>
      <c r="G807">
        <v>-271.89659999999998</v>
      </c>
      <c r="H807">
        <v>0.89698519999999904</v>
      </c>
      <c r="I807">
        <v>367.30470000000003</v>
      </c>
      <c r="J807">
        <v>-272.47519999999997</v>
      </c>
      <c r="K807">
        <v>1.119283</v>
      </c>
      <c r="L807">
        <v>367.4579</v>
      </c>
      <c r="M807">
        <v>0.99991890000000005</v>
      </c>
      <c r="N807">
        <v>-1.2543449999999999E-2</v>
      </c>
      <c r="O807">
        <v>2.2174999999999999E-3</v>
      </c>
      <c r="P807">
        <v>0.99472389999999999</v>
      </c>
      <c r="Q807">
        <v>-0.1020181</v>
      </c>
      <c r="R807">
        <v>-1.081611E-2</v>
      </c>
      <c r="S807">
        <v>2.9314879999999999</v>
      </c>
      <c r="T807">
        <v>-0.76781149999999998</v>
      </c>
      <c r="U807">
        <v>-0.52670289999999997</v>
      </c>
      <c r="V807">
        <v>1.301829E-2</v>
      </c>
      <c r="W807">
        <v>-8.953361E-2</v>
      </c>
      <c r="X807">
        <v>0.99589870000000003</v>
      </c>
      <c r="Y807">
        <v>0.173012</v>
      </c>
      <c r="Z807">
        <v>-2.3765020000000001E-2</v>
      </c>
      <c r="AA807">
        <v>0.98463299999999998</v>
      </c>
      <c r="AB807">
        <v>28</v>
      </c>
      <c r="AC807">
        <v>0.57859999999999401</v>
      </c>
      <c r="AD807">
        <v>-0.22229779999999999</v>
      </c>
      <c r="AE807">
        <v>-0.153199999999969</v>
      </c>
      <c r="AF807">
        <v>0.13575666401268199</v>
      </c>
      <c r="AG807">
        <v>-0.22229779999999999</v>
      </c>
      <c r="AH807">
        <v>0.50816340092340595</v>
      </c>
      <c r="AI807">
        <v>112.910459322329</v>
      </c>
      <c r="AJ807">
        <v>75.042646113573397</v>
      </c>
      <c r="AK807">
        <v>0.57103084482953703</v>
      </c>
      <c r="AL807">
        <v>95.136776685274498</v>
      </c>
      <c r="AM807">
        <v>89.251077852494802</v>
      </c>
      <c r="AN807">
        <v>0.99999998192792205</v>
      </c>
    </row>
    <row r="808" spans="1:40" x14ac:dyDescent="0.25">
      <c r="A808" t="str">
        <f>"20190303154434230"</f>
        <v>20190303154434230</v>
      </c>
      <c r="B808" t="str">
        <f>"1551599074221435"</f>
        <v>1551599074221435</v>
      </c>
      <c r="C808" t="s">
        <v>40</v>
      </c>
      <c r="D808">
        <v>4.3247059999999999</v>
      </c>
      <c r="E808">
        <v>0.56120769999999998</v>
      </c>
      <c r="F808" t="s">
        <v>42</v>
      </c>
      <c r="G808">
        <v>-271.64800000000002</v>
      </c>
      <c r="H808">
        <v>0.90312780000000004</v>
      </c>
      <c r="I808">
        <v>367.30930000000001</v>
      </c>
      <c r="J808">
        <v>-272.20609999999999</v>
      </c>
      <c r="K808">
        <v>1.1195679999999999</v>
      </c>
      <c r="L808">
        <v>367.45850000000002</v>
      </c>
      <c r="M808">
        <v>0.99991680000000005</v>
      </c>
      <c r="N808">
        <v>-1.2718470000000001E-2</v>
      </c>
      <c r="O808">
        <v>2.2174009999999999E-3</v>
      </c>
      <c r="P808">
        <v>0.99482440000000005</v>
      </c>
      <c r="Q808">
        <v>-0.10107869999999999</v>
      </c>
      <c r="R808">
        <v>-1.0370559999999999E-2</v>
      </c>
      <c r="S808">
        <v>2.9315799999999999</v>
      </c>
      <c r="T808">
        <v>-0.7660766</v>
      </c>
      <c r="U808">
        <v>-0.52645869999999995</v>
      </c>
      <c r="V808">
        <v>1.2573310000000001E-2</v>
      </c>
      <c r="W808">
        <v>-8.8418679999999999E-2</v>
      </c>
      <c r="X808">
        <v>0.996004</v>
      </c>
      <c r="Y808">
        <v>0.17295160000000001</v>
      </c>
      <c r="Z808">
        <v>-2.3721829999999999E-2</v>
      </c>
      <c r="AA808">
        <v>0.98464459999999998</v>
      </c>
      <c r="AB808">
        <v>28</v>
      </c>
      <c r="AC808">
        <v>0.55810000000002402</v>
      </c>
      <c r="AD808">
        <v>-0.2164402</v>
      </c>
      <c r="AE808">
        <v>-0.14920000000000699</v>
      </c>
      <c r="AF808">
        <v>0.13191976510439599</v>
      </c>
      <c r="AG808">
        <v>-0.2164402</v>
      </c>
      <c r="AH808">
        <v>0.48911147596296001</v>
      </c>
      <c r="AI808">
        <v>113.13458289297699</v>
      </c>
      <c r="AJ808">
        <v>74.905748023937605</v>
      </c>
      <c r="AK808">
        <v>0.55088948122096604</v>
      </c>
      <c r="AL808">
        <v>95.072641635395698</v>
      </c>
      <c r="AM808">
        <v>89.276750561398202</v>
      </c>
      <c r="AN808">
        <v>0.999999959556648</v>
      </c>
    </row>
    <row r="809" spans="1:40" x14ac:dyDescent="0.25">
      <c r="A809" t="str">
        <f>"20190303154434253"</f>
        <v>20190303154434253</v>
      </c>
      <c r="B809" t="str">
        <f>"1551599074250716"</f>
        <v>1551599074250716</v>
      </c>
      <c r="C809" t="s">
        <v>40</v>
      </c>
      <c r="D809">
        <v>4.3995610000000003</v>
      </c>
      <c r="E809">
        <v>0.56096820000000003</v>
      </c>
      <c r="F809" t="s">
        <v>42</v>
      </c>
      <c r="G809">
        <v>-271.39929999999998</v>
      </c>
      <c r="H809">
        <v>0.90989030000000004</v>
      </c>
      <c r="I809">
        <v>367.3134</v>
      </c>
      <c r="J809">
        <v>-271.92329999999998</v>
      </c>
      <c r="K809">
        <v>1.119821</v>
      </c>
      <c r="L809">
        <v>367.45909999999998</v>
      </c>
      <c r="M809">
        <v>0.99991470000000005</v>
      </c>
      <c r="N809">
        <v>-1.2881500000000001E-2</v>
      </c>
      <c r="O809">
        <v>2.2173639999999999E-3</v>
      </c>
      <c r="P809">
        <v>0.99482919999999997</v>
      </c>
      <c r="Q809">
        <v>-0.1010615</v>
      </c>
      <c r="R809">
        <v>-1.0080499999999999E-2</v>
      </c>
      <c r="S809">
        <v>2.9326479999999999</v>
      </c>
      <c r="T809">
        <v>-0.76232869999999997</v>
      </c>
      <c r="U809">
        <v>-0.52584839999999999</v>
      </c>
      <c r="V809">
        <v>1.228302E-2</v>
      </c>
      <c r="W809">
        <v>-8.8239059999999994E-2</v>
      </c>
      <c r="X809">
        <v>0.99602360000000001</v>
      </c>
      <c r="Y809">
        <v>0.17275380000000001</v>
      </c>
      <c r="Z809">
        <v>-2.35947E-2</v>
      </c>
      <c r="AA809">
        <v>0.98468239999999996</v>
      </c>
      <c r="AB809">
        <v>28</v>
      </c>
      <c r="AC809">
        <v>0.52400000000000002</v>
      </c>
      <c r="AD809">
        <v>-0.209930699999999</v>
      </c>
      <c r="AE809">
        <v>-0.14569999999997599</v>
      </c>
      <c r="AF809">
        <v>0.12781840931215899</v>
      </c>
      <c r="AG809">
        <v>-0.209930699999999</v>
      </c>
      <c r="AH809">
        <v>0.45577174251755198</v>
      </c>
      <c r="AI809">
        <v>113.91703712128199</v>
      </c>
      <c r="AJ809">
        <v>74.334171190831398</v>
      </c>
      <c r="AK809">
        <v>0.51781881564797005</v>
      </c>
      <c r="AL809">
        <v>95.062309537630796</v>
      </c>
      <c r="AM809">
        <v>89.293460985451205</v>
      </c>
      <c r="AN809">
        <v>1.0000000080234801</v>
      </c>
    </row>
    <row r="810" spans="1:40" x14ac:dyDescent="0.25">
      <c r="A810" t="str">
        <f>"20190303154434275"</f>
        <v>20190303154434275</v>
      </c>
      <c r="B810" t="str">
        <f>"1551599074271211"</f>
        <v>1551599074271211</v>
      </c>
      <c r="C810" t="s">
        <v>40</v>
      </c>
      <c r="D810">
        <v>4.4069250000000002</v>
      </c>
      <c r="E810">
        <v>0.56104140000000002</v>
      </c>
      <c r="F810" t="s">
        <v>42</v>
      </c>
      <c r="G810">
        <v>-271.15039999999999</v>
      </c>
      <c r="H810">
        <v>0.91864250000000003</v>
      </c>
      <c r="I810">
        <v>367.32119999999998</v>
      </c>
      <c r="J810">
        <v>-271.6558</v>
      </c>
      <c r="K810">
        <v>1.120017</v>
      </c>
      <c r="L810">
        <v>367.4597</v>
      </c>
      <c r="M810">
        <v>0.99991280000000005</v>
      </c>
      <c r="N810">
        <v>-1.3018190000000001E-2</v>
      </c>
      <c r="O810">
        <v>2.2174870000000002E-3</v>
      </c>
      <c r="P810">
        <v>0.99480139999999995</v>
      </c>
      <c r="Q810">
        <v>-0.10137450000000001</v>
      </c>
      <c r="R810">
        <v>-9.6585190000000008E-3</v>
      </c>
      <c r="S810">
        <v>2.932709</v>
      </c>
      <c r="T810">
        <v>-0.76330089999999995</v>
      </c>
      <c r="U810">
        <v>-0.5229492</v>
      </c>
      <c r="V810">
        <v>1.1861150000000001E-2</v>
      </c>
      <c r="W810">
        <v>-8.8416170000000002E-2</v>
      </c>
      <c r="X810">
        <v>0.99601300000000004</v>
      </c>
      <c r="Y810">
        <v>0.17182030000000001</v>
      </c>
      <c r="Z810">
        <v>-2.351083E-2</v>
      </c>
      <c r="AA810">
        <v>0.98484769999999999</v>
      </c>
      <c r="AB810">
        <v>28</v>
      </c>
      <c r="AC810">
        <v>0.50540000000000795</v>
      </c>
      <c r="AD810">
        <v>-0.20137450000000001</v>
      </c>
      <c r="AE810">
        <v>-0.138500000000021</v>
      </c>
      <c r="AF810">
        <v>0.121655659761409</v>
      </c>
      <c r="AG810">
        <v>-0.20137450000000001</v>
      </c>
      <c r="AH810">
        <v>0.44010202754532102</v>
      </c>
      <c r="AI810">
        <v>113.798618152317</v>
      </c>
      <c r="AJ810">
        <v>74.547815104150402</v>
      </c>
      <c r="AK810">
        <v>0.49904066312449602</v>
      </c>
      <c r="AL810">
        <v>95.072497046334902</v>
      </c>
      <c r="AM810">
        <v>89.317718029516598</v>
      </c>
      <c r="AN810">
        <v>1.00000000108289</v>
      </c>
    </row>
    <row r="811" spans="1:40" x14ac:dyDescent="0.25">
      <c r="A811" t="str">
        <f>"20190303154434297"</f>
        <v>20190303154434297</v>
      </c>
      <c r="B811" t="str">
        <f>"1551599074290730"</f>
        <v>1551599074290730</v>
      </c>
      <c r="C811" t="s">
        <v>40</v>
      </c>
      <c r="D811">
        <v>4.3750770000000001</v>
      </c>
      <c r="E811">
        <v>0.56066910000000003</v>
      </c>
      <c r="F811" t="s">
        <v>42</v>
      </c>
      <c r="G811">
        <v>-270.90269999999998</v>
      </c>
      <c r="H811">
        <v>0.92447040000000003</v>
      </c>
      <c r="I811">
        <v>367.3252</v>
      </c>
      <c r="J811">
        <v>-271.37950000000001</v>
      </c>
      <c r="K811">
        <v>1.1201810000000001</v>
      </c>
      <c r="L811">
        <v>367.46030000000002</v>
      </c>
      <c r="M811">
        <v>0.9999112</v>
      </c>
      <c r="N811">
        <v>-1.314329E-2</v>
      </c>
      <c r="O811">
        <v>2.217498E-3</v>
      </c>
      <c r="P811">
        <v>0.99477789999999999</v>
      </c>
      <c r="Q811">
        <v>-0.1016311</v>
      </c>
      <c r="R811">
        <v>-9.3922850000000002E-3</v>
      </c>
      <c r="S811">
        <v>2.9329830000000001</v>
      </c>
      <c r="T811">
        <v>-0.7615904</v>
      </c>
      <c r="U811">
        <v>-0.52252200000000004</v>
      </c>
      <c r="V811">
        <v>1.1594699999999999E-2</v>
      </c>
      <c r="W811">
        <v>-8.8548459999999996E-2</v>
      </c>
      <c r="X811">
        <v>0.99600440000000001</v>
      </c>
      <c r="Y811">
        <v>0.17169319999999999</v>
      </c>
      <c r="Z811">
        <v>-2.345419E-2</v>
      </c>
      <c r="AA811">
        <v>0.98487119999999995</v>
      </c>
      <c r="AB811">
        <v>27</v>
      </c>
      <c r="AC811">
        <v>0.47680000000002498</v>
      </c>
      <c r="AD811">
        <v>-0.19571059999999901</v>
      </c>
      <c r="AE811">
        <v>-0.13510000000002201</v>
      </c>
      <c r="AF811">
        <v>0.117786842245914</v>
      </c>
      <c r="AG811">
        <v>-0.19571059999999901</v>
      </c>
      <c r="AH811">
        <v>0.41221026149245898</v>
      </c>
      <c r="AI811">
        <v>114.537265849279</v>
      </c>
      <c r="AJ811">
        <v>74.053000120852602</v>
      </c>
      <c r="AK811">
        <v>0.47126816022123302</v>
      </c>
      <c r="AL811">
        <v>95.0801064762979</v>
      </c>
      <c r="AM811">
        <v>89.333037717751694</v>
      </c>
      <c r="AN811">
        <v>1.0000000158279101</v>
      </c>
    </row>
    <row r="812" spans="1:40" x14ac:dyDescent="0.25">
      <c r="A812" t="str">
        <f>"20190303154434320"</f>
        <v>20190303154434320</v>
      </c>
      <c r="B812" t="str">
        <f>"1551599074311226"</f>
        <v>1551599074311226</v>
      </c>
      <c r="C812" t="s">
        <v>40</v>
      </c>
      <c r="D812">
        <v>4.1431750000000003</v>
      </c>
      <c r="E812">
        <v>0.56082109999999996</v>
      </c>
      <c r="F812" t="s">
        <v>42</v>
      </c>
      <c r="G812">
        <v>-270.65480000000002</v>
      </c>
      <c r="H812">
        <v>0.93137420000000004</v>
      </c>
      <c r="I812">
        <v>367.33179999999999</v>
      </c>
      <c r="J812">
        <v>-271.10610000000003</v>
      </c>
      <c r="K812">
        <v>1.120322</v>
      </c>
      <c r="L812">
        <v>367.46089999999998</v>
      </c>
      <c r="M812">
        <v>0.99990970000000001</v>
      </c>
      <c r="N812">
        <v>-1.325287E-2</v>
      </c>
      <c r="O812">
        <v>2.2176050000000001E-3</v>
      </c>
      <c r="P812">
        <v>0.9948207</v>
      </c>
      <c r="Q812">
        <v>-0.101206</v>
      </c>
      <c r="R812">
        <v>-9.4462920000000002E-3</v>
      </c>
      <c r="S812">
        <v>2.9327700000000001</v>
      </c>
      <c r="T812">
        <v>-0.76412519999999995</v>
      </c>
      <c r="U812">
        <v>-0.51904300000000003</v>
      </c>
      <c r="V812">
        <v>1.1649E-2</v>
      </c>
      <c r="W812">
        <v>-8.8013659999999994E-2</v>
      </c>
      <c r="X812">
        <v>0.99605109999999997</v>
      </c>
      <c r="Y812">
        <v>0.170569</v>
      </c>
      <c r="Z812">
        <v>-2.3388740000000002E-2</v>
      </c>
      <c r="AA812">
        <v>0.9850681</v>
      </c>
      <c r="AB812">
        <v>27</v>
      </c>
      <c r="AC812">
        <v>0.45130000000000298</v>
      </c>
      <c r="AD812">
        <v>-0.188947799999999</v>
      </c>
      <c r="AE812">
        <v>-0.129099999999994</v>
      </c>
      <c r="AF812">
        <v>0.111959816014275</v>
      </c>
      <c r="AG812">
        <v>-0.188947799999999</v>
      </c>
      <c r="AH812">
        <v>0.38812499008511198</v>
      </c>
      <c r="AI812">
        <v>115.067837031518</v>
      </c>
      <c r="AJ812">
        <v>73.909090399046406</v>
      </c>
      <c r="AK812">
        <v>0.44595658920500197</v>
      </c>
      <c r="AL812">
        <v>95.0493449268982</v>
      </c>
      <c r="AM812">
        <v>89.329945915529606</v>
      </c>
      <c r="AN812">
        <v>0.99999994867940101</v>
      </c>
    </row>
    <row r="813" spans="1:40" x14ac:dyDescent="0.25">
      <c r="A813" t="str">
        <f>"20190303154434343"</f>
        <v>20190303154434343</v>
      </c>
      <c r="B813" t="str">
        <f>"1551599074330747"</f>
        <v>1551599074330747</v>
      </c>
      <c r="C813" t="s">
        <v>40</v>
      </c>
      <c r="D813">
        <v>4.2369000000000003</v>
      </c>
      <c r="E813">
        <v>0.56064250000000004</v>
      </c>
      <c r="F813" t="s">
        <v>42</v>
      </c>
      <c r="G813">
        <v>-270.4067</v>
      </c>
      <c r="H813">
        <v>0.93878329999999999</v>
      </c>
      <c r="I813">
        <v>367.33670000000001</v>
      </c>
      <c r="J813">
        <v>-270.82159999999999</v>
      </c>
      <c r="K813">
        <v>1.120436</v>
      </c>
      <c r="L813">
        <v>367.4615</v>
      </c>
      <c r="M813">
        <v>0.99990840000000003</v>
      </c>
      <c r="N813">
        <v>-1.335249E-2</v>
      </c>
      <c r="O813">
        <v>2.217952E-3</v>
      </c>
      <c r="P813">
        <v>0.99483160000000004</v>
      </c>
      <c r="Q813">
        <v>-0.10107430000000001</v>
      </c>
      <c r="R813">
        <v>-9.7045269999999993E-3</v>
      </c>
      <c r="S813">
        <v>2.9332280000000002</v>
      </c>
      <c r="T813">
        <v>-0.7614419</v>
      </c>
      <c r="U813">
        <v>-0.52005000000000001</v>
      </c>
      <c r="V813">
        <v>1.190772E-2</v>
      </c>
      <c r="W813">
        <v>-8.7782650000000004E-2</v>
      </c>
      <c r="X813">
        <v>0.99606850000000002</v>
      </c>
      <c r="Y813">
        <v>0.1708993</v>
      </c>
      <c r="Z813">
        <v>-2.3361690000000001E-2</v>
      </c>
      <c r="AA813">
        <v>0.98501150000000004</v>
      </c>
      <c r="AB813">
        <v>27</v>
      </c>
      <c r="AC813">
        <v>0.414899999999988</v>
      </c>
      <c r="AD813">
        <v>-0.181652699999999</v>
      </c>
      <c r="AE813">
        <v>-0.124799999999993</v>
      </c>
      <c r="AF813">
        <v>0.106924379908041</v>
      </c>
      <c r="AG813">
        <v>-0.181652699999999</v>
      </c>
      <c r="AH813">
        <v>0.35263454957017298</v>
      </c>
      <c r="AI813">
        <v>116.241765338242</v>
      </c>
      <c r="AJ813">
        <v>73.131865504237894</v>
      </c>
      <c r="AK813">
        <v>0.410830441893694</v>
      </c>
      <c r="AL813">
        <v>95.036057228586898</v>
      </c>
      <c r="AM813">
        <v>89.315077627185303</v>
      </c>
      <c r="AN813">
        <v>1.0000000220644301</v>
      </c>
    </row>
    <row r="814" spans="1:40" x14ac:dyDescent="0.25">
      <c r="A814" t="str">
        <f>"20190303154434364"</f>
        <v>20190303154434364</v>
      </c>
      <c r="B814" t="str">
        <f>"1551599074361003"</f>
        <v>1551599074361003</v>
      </c>
      <c r="C814" t="s">
        <v>40</v>
      </c>
      <c r="D814">
        <v>4.2172989999999997</v>
      </c>
      <c r="E814">
        <v>0.53370640000000003</v>
      </c>
      <c r="F814" t="s">
        <v>42</v>
      </c>
      <c r="G814">
        <v>-269.93759999999997</v>
      </c>
      <c r="H814">
        <v>0.89098069999999896</v>
      </c>
      <c r="I814">
        <v>367.30470000000003</v>
      </c>
      <c r="J814">
        <v>-270.5564</v>
      </c>
      <c r="K814">
        <v>1.120528</v>
      </c>
      <c r="L814">
        <v>367.46210000000002</v>
      </c>
      <c r="M814">
        <v>0.9999074</v>
      </c>
      <c r="N814">
        <v>-1.343359E-2</v>
      </c>
      <c r="O814">
        <v>2.2180609999999999E-3</v>
      </c>
      <c r="P814">
        <v>0.9948148</v>
      </c>
      <c r="Q814">
        <v>-0.1012023</v>
      </c>
      <c r="R814">
        <v>-1.0096269999999999E-2</v>
      </c>
      <c r="S814">
        <v>2.9331670000000001</v>
      </c>
      <c r="T814">
        <v>-0.76141949999999903</v>
      </c>
      <c r="U814">
        <v>-0.51937869999999997</v>
      </c>
      <c r="V814">
        <v>1.229948E-2</v>
      </c>
      <c r="W814">
        <v>-8.7830039999999998E-2</v>
      </c>
      <c r="X814">
        <v>0.99605949999999999</v>
      </c>
      <c r="Y814">
        <v>0.17068939999999999</v>
      </c>
      <c r="Z814">
        <v>-2.3340820000000002E-2</v>
      </c>
      <c r="AA814">
        <v>0.98504840000000005</v>
      </c>
      <c r="AB814">
        <v>27</v>
      </c>
      <c r="AC814">
        <v>0.618800000000021</v>
      </c>
      <c r="AD814">
        <v>-0.22954730000000001</v>
      </c>
      <c r="AE814">
        <v>-0.15739999999999499</v>
      </c>
      <c r="AF814">
        <v>0.140600284819834</v>
      </c>
      <c r="AG814">
        <v>-0.22954730000000001</v>
      </c>
      <c r="AH814">
        <v>0.54766584594897205</v>
      </c>
      <c r="AI814">
        <v>112.095798059576</v>
      </c>
      <c r="AJ814">
        <v>75.601610076474003</v>
      </c>
      <c r="AK814">
        <v>0.610244444339898</v>
      </c>
      <c r="AL814">
        <v>95.038783315483698</v>
      </c>
      <c r="AM814">
        <v>89.292539772645398</v>
      </c>
      <c r="AN814">
        <v>0.99999996033745997</v>
      </c>
    </row>
    <row r="815" spans="1:40" x14ac:dyDescent="0.25">
      <c r="A815" t="str">
        <f>"20190303154434388"</f>
        <v>20190303154434388</v>
      </c>
      <c r="B815" t="str">
        <f>"1551599074381499"</f>
        <v>1551599074381499</v>
      </c>
      <c r="C815" t="s">
        <v>40</v>
      </c>
      <c r="D815">
        <v>4.0782530000000001</v>
      </c>
      <c r="E815">
        <v>0.53170260000000003</v>
      </c>
      <c r="F815" t="s">
        <v>42</v>
      </c>
      <c r="G815">
        <v>-269.6456</v>
      </c>
      <c r="H815">
        <v>0.99971089999999996</v>
      </c>
      <c r="I815">
        <v>367.3698</v>
      </c>
      <c r="J815">
        <v>-270.27460000000002</v>
      </c>
      <c r="K815">
        <v>1.120608</v>
      </c>
      <c r="L815">
        <v>367.46280000000002</v>
      </c>
      <c r="M815">
        <v>0.99990639999999997</v>
      </c>
      <c r="N815">
        <v>-1.3509180000000001E-2</v>
      </c>
      <c r="O815">
        <v>2.218205E-3</v>
      </c>
      <c r="P815">
        <v>0.99482700000000002</v>
      </c>
      <c r="Q815">
        <v>-0.1010935</v>
      </c>
      <c r="R815">
        <v>-9.9921209999999996E-3</v>
      </c>
      <c r="S815">
        <v>2.9724729999999999</v>
      </c>
      <c r="T815">
        <v>-0.3944763</v>
      </c>
      <c r="U815">
        <v>-0.30050660000000001</v>
      </c>
      <c r="V815">
        <v>1.21955E-2</v>
      </c>
      <c r="W815">
        <v>-8.7645810000000005E-2</v>
      </c>
      <c r="X815">
        <v>0.99607710000000005</v>
      </c>
      <c r="Y815">
        <v>0.1018001</v>
      </c>
      <c r="Z815">
        <v>-7.663843E-3</v>
      </c>
      <c r="AA815">
        <v>0.99477539999999998</v>
      </c>
      <c r="AB815">
        <v>27</v>
      </c>
      <c r="AC815">
        <v>0.62900000000001899</v>
      </c>
      <c r="AD815">
        <v>-0.12089709999999899</v>
      </c>
      <c r="AE815">
        <v>-9.3000000000017694E-2</v>
      </c>
      <c r="AF815">
        <v>9.1101595561787096E-2</v>
      </c>
      <c r="AG815">
        <v>-0.12089709999999899</v>
      </c>
      <c r="AH815">
        <v>0.60685287012418898</v>
      </c>
      <c r="AI815">
        <v>101.14523306420401</v>
      </c>
      <c r="AJ815">
        <v>81.462432499846699</v>
      </c>
      <c r="AK815">
        <v>0.62544865135379402</v>
      </c>
      <c r="AL815">
        <v>95.028186378702401</v>
      </c>
      <c r="AM815">
        <v>89.298532445921296</v>
      </c>
      <c r="AN815">
        <v>1.0000000536875999</v>
      </c>
    </row>
    <row r="816" spans="1:40" x14ac:dyDescent="0.25">
      <c r="A816" t="str">
        <f>"20190303154434609"</f>
        <v>20190303154434609</v>
      </c>
      <c r="B816" t="str">
        <f>"1551599074601100"</f>
        <v>1551599074601100</v>
      </c>
      <c r="C816" t="s">
        <v>40</v>
      </c>
      <c r="D816">
        <v>4.2818759999999996</v>
      </c>
      <c r="E816">
        <v>0.52187090000000003</v>
      </c>
      <c r="F816" t="s">
        <v>42</v>
      </c>
      <c r="G816">
        <v>-266.964</v>
      </c>
      <c r="H816">
        <v>1.0383249999999999</v>
      </c>
      <c r="I816">
        <v>367.38440000000003</v>
      </c>
      <c r="J816">
        <v>-267.58580000000001</v>
      </c>
      <c r="K816">
        <v>1.1209129999999901</v>
      </c>
      <c r="L816">
        <v>367.46890000000002</v>
      </c>
      <c r="M816">
        <v>0.99990140000000005</v>
      </c>
      <c r="N816">
        <v>-1.3878679999999999E-2</v>
      </c>
      <c r="O816">
        <v>2.2194150000000002E-3</v>
      </c>
      <c r="P816">
        <v>0.99453959999999997</v>
      </c>
      <c r="Q816">
        <v>-0.1039742</v>
      </c>
      <c r="R816">
        <v>-8.984957E-3</v>
      </c>
      <c r="S816">
        <v>2.9848330000000001</v>
      </c>
      <c r="T816">
        <v>-0.27702359999999998</v>
      </c>
      <c r="U816">
        <v>-0.28082279999999998</v>
      </c>
      <c r="V816">
        <v>1.11888E-2</v>
      </c>
      <c r="W816">
        <v>-9.0162060000000002E-2</v>
      </c>
      <c r="X816">
        <v>0.99586430000000004</v>
      </c>
      <c r="Y816">
        <v>9.5404470000000005E-2</v>
      </c>
      <c r="Z816">
        <v>-5.2476729999999996E-3</v>
      </c>
      <c r="AA816">
        <v>0.99542470000000005</v>
      </c>
      <c r="AB816">
        <v>27</v>
      </c>
      <c r="AC816">
        <v>0.62180000000000701</v>
      </c>
      <c r="AD816">
        <v>-8.25879999999998E-2</v>
      </c>
      <c r="AE816">
        <v>-8.4499999999991304E-2</v>
      </c>
      <c r="AF816">
        <v>8.4417716248824007E-2</v>
      </c>
      <c r="AG816">
        <v>-8.25879999999998E-2</v>
      </c>
      <c r="AH816">
        <v>0.61102701211917998</v>
      </c>
      <c r="AI816">
        <v>97.626025218791895</v>
      </c>
      <c r="AJ816">
        <v>82.133976655933907</v>
      </c>
      <c r="AK816">
        <v>0.62233522967927701</v>
      </c>
      <c r="AL816">
        <v>95.172930114899202</v>
      </c>
      <c r="AM816">
        <v>89.356293778708704</v>
      </c>
      <c r="AN816">
        <v>1.00000004516168</v>
      </c>
    </row>
    <row r="817" spans="1:40" x14ac:dyDescent="0.25">
      <c r="A817" t="str">
        <f>"20190303154434632"</f>
        <v>20190303154434632</v>
      </c>
      <c r="B817" t="str">
        <f>"1551599074621596"</f>
        <v>1551599074621596</v>
      </c>
      <c r="C817" t="s">
        <v>40</v>
      </c>
      <c r="D817">
        <v>4.3758339999999896</v>
      </c>
      <c r="E817">
        <v>0.52001229999999998</v>
      </c>
      <c r="F817" t="s">
        <v>48</v>
      </c>
      <c r="G817">
        <v>-158.19499999999999</v>
      </c>
      <c r="H817">
        <v>2.6853639999999999</v>
      </c>
      <c r="I817">
        <v>360.36709999999999</v>
      </c>
      <c r="J817">
        <v>-267.31560000000002</v>
      </c>
      <c r="K817">
        <v>1.120932</v>
      </c>
      <c r="L817">
        <v>367.46949999999998</v>
      </c>
      <c r="M817">
        <v>0.99990069999999998</v>
      </c>
      <c r="N817">
        <v>-1.3918E-2</v>
      </c>
      <c r="O817">
        <v>2.2197929999999999E-3</v>
      </c>
      <c r="P817">
        <v>0.99449600000000005</v>
      </c>
      <c r="Q817">
        <v>-0.1043634</v>
      </c>
      <c r="R817">
        <v>-9.2965979999999997E-3</v>
      </c>
      <c r="S817">
        <v>3.0192570000000001</v>
      </c>
      <c r="T817">
        <v>4.3182249999999998E-2</v>
      </c>
      <c r="U817">
        <v>-0.19601440000000001</v>
      </c>
      <c r="V817">
        <v>1.150049E-2</v>
      </c>
      <c r="W817">
        <v>-9.0512659999999995E-2</v>
      </c>
      <c r="X817">
        <v>0.99582890000000002</v>
      </c>
      <c r="Y817">
        <v>6.6999169999999997E-2</v>
      </c>
      <c r="Z817" s="1">
        <v>7.4405629999999993E-5</v>
      </c>
      <c r="AA817">
        <v>0.997753</v>
      </c>
      <c r="AB817">
        <v>27</v>
      </c>
      <c r="AC817">
        <v>109.1206</v>
      </c>
      <c r="AD817">
        <v>1.5644319999999901</v>
      </c>
      <c r="AE817">
        <v>-7.1023999999999798</v>
      </c>
      <c r="AF817">
        <v>7.3431281487884901</v>
      </c>
      <c r="AG817">
        <v>1.5644319999999901</v>
      </c>
      <c r="AH817">
        <v>109.082237355704</v>
      </c>
      <c r="AI817">
        <v>89.180188814449906</v>
      </c>
      <c r="AJ817">
        <v>86.148809805162102</v>
      </c>
      <c r="AK817">
        <v>109.340310430409</v>
      </c>
      <c r="AL817">
        <v>95.193100719226294</v>
      </c>
      <c r="AM817">
        <v>89.338339902043003</v>
      </c>
      <c r="AN817">
        <v>1.00000000048286</v>
      </c>
    </row>
    <row r="818" spans="1:40" x14ac:dyDescent="0.25">
      <c r="A818" t="str">
        <f>"20190303154434654"</f>
        <v>20190303154434654</v>
      </c>
      <c r="B818" t="str">
        <f>"1551599074650875"</f>
        <v>1551599074650875</v>
      </c>
      <c r="C818" t="s">
        <v>40</v>
      </c>
      <c r="D818">
        <v>4.3657370000000002</v>
      </c>
      <c r="E818">
        <v>0.51403779999999999</v>
      </c>
      <c r="F818" t="s">
        <v>48</v>
      </c>
      <c r="G818">
        <v>-158.19499999999999</v>
      </c>
      <c r="H818">
        <v>2.636698</v>
      </c>
      <c r="I818">
        <v>360.88380000000001</v>
      </c>
      <c r="J818">
        <v>-267.05669999999998</v>
      </c>
      <c r="K818">
        <v>1.1209720000000001</v>
      </c>
      <c r="L818">
        <v>367.4701</v>
      </c>
      <c r="M818">
        <v>0.99989890000000003</v>
      </c>
      <c r="N818">
        <v>-1.4046680000000001E-2</v>
      </c>
      <c r="O818">
        <v>2.2199030000000001E-3</v>
      </c>
      <c r="P818">
        <v>0.99444849999999996</v>
      </c>
      <c r="Q818">
        <v>-0.10481070000000001</v>
      </c>
      <c r="R818">
        <v>-9.3291940000000007E-3</v>
      </c>
      <c r="S818">
        <v>3.0192570000000001</v>
      </c>
      <c r="T818">
        <v>4.1942119999999999E-2</v>
      </c>
      <c r="U818">
        <v>-0.18222050000000001</v>
      </c>
      <c r="V818">
        <v>1.153328E-2</v>
      </c>
      <c r="W818">
        <v>-9.0832490000000002E-2</v>
      </c>
      <c r="X818">
        <v>0.9957994</v>
      </c>
      <c r="Y818">
        <v>6.2458300000000001E-2</v>
      </c>
      <c r="Z818" s="1">
        <v>5.6280580000000003E-5</v>
      </c>
      <c r="AA818">
        <v>0.99804760000000003</v>
      </c>
      <c r="AB818">
        <v>27</v>
      </c>
      <c r="AC818">
        <v>108.861699999999</v>
      </c>
      <c r="AD818">
        <v>1.5157259999999999</v>
      </c>
      <c r="AE818">
        <v>-6.5862999999999898</v>
      </c>
      <c r="AF818">
        <v>6.8266514245102003</v>
      </c>
      <c r="AG818">
        <v>1.5157259999999999</v>
      </c>
      <c r="AH818">
        <v>108.82578915507101</v>
      </c>
      <c r="AI818">
        <v>89.203600963876994</v>
      </c>
      <c r="AJ818">
        <v>86.410533988646094</v>
      </c>
      <c r="AK818">
        <v>109.050231454146</v>
      </c>
      <c r="AL818">
        <v>95.2115014205569</v>
      </c>
      <c r="AM818">
        <v>89.336433901113097</v>
      </c>
      <c r="AN818">
        <v>1.00000000141375</v>
      </c>
    </row>
    <row r="819" spans="1:40" x14ac:dyDescent="0.25">
      <c r="A819" t="str">
        <f>"20190303154434677"</f>
        <v>20190303154434677</v>
      </c>
      <c r="B819" t="str">
        <f>"1551599074671371"</f>
        <v>1551599074671371</v>
      </c>
      <c r="C819" t="s">
        <v>40</v>
      </c>
      <c r="D819">
        <v>4.42483</v>
      </c>
      <c r="E819">
        <v>0.51221000000000005</v>
      </c>
      <c r="F819" t="s">
        <v>48</v>
      </c>
      <c r="G819">
        <v>-158.19499999999999</v>
      </c>
      <c r="H819">
        <v>1.4675910000000001</v>
      </c>
      <c r="I819">
        <v>362.59339999999997</v>
      </c>
      <c r="J819">
        <v>-266.78199999999998</v>
      </c>
      <c r="K819">
        <v>1.1210389999999999</v>
      </c>
      <c r="L819">
        <v>367.47070000000002</v>
      </c>
      <c r="M819">
        <v>0.99989519999999998</v>
      </c>
      <c r="N819">
        <v>-1.4316399999999899E-2</v>
      </c>
      <c r="O819">
        <v>2.2196500000000001E-3</v>
      </c>
      <c r="P819">
        <v>0.99435779999999996</v>
      </c>
      <c r="Q819">
        <v>-0.10568859999999999</v>
      </c>
      <c r="R819">
        <v>-9.0969299999999996E-3</v>
      </c>
      <c r="S819">
        <v>3.0165099999999998</v>
      </c>
      <c r="T819">
        <v>9.6070770000000003E-3</v>
      </c>
      <c r="U819">
        <v>-0.1351318</v>
      </c>
      <c r="V819">
        <v>1.1300579999999999E-2</v>
      </c>
      <c r="W819">
        <v>-9.1442899999999994E-2</v>
      </c>
      <c r="X819">
        <v>0.99574620000000003</v>
      </c>
      <c r="Y819">
        <v>4.6970560000000001E-2</v>
      </c>
      <c r="Z819">
        <v>-2.2282030000000001E-4</v>
      </c>
      <c r="AA819">
        <v>0.99889620000000001</v>
      </c>
      <c r="AB819">
        <v>27</v>
      </c>
      <c r="AC819">
        <v>108.587</v>
      </c>
      <c r="AD819">
        <v>0.34655200000000003</v>
      </c>
      <c r="AE819">
        <v>-4.8773000000000399</v>
      </c>
      <c r="AF819">
        <v>5.11828575817988</v>
      </c>
      <c r="AG819">
        <v>0.34655200000000003</v>
      </c>
      <c r="AH819">
        <v>108.574801783252</v>
      </c>
      <c r="AI819">
        <v>89.817325256027601</v>
      </c>
      <c r="AJ819">
        <v>87.301038287722207</v>
      </c>
      <c r="AK819">
        <v>108.695926923062</v>
      </c>
      <c r="AL819">
        <v>95.246621499533305</v>
      </c>
      <c r="AM819">
        <v>89.349786376624607</v>
      </c>
      <c r="AN819">
        <v>1.0000000009415899</v>
      </c>
    </row>
    <row r="820" spans="1:40" x14ac:dyDescent="0.25">
      <c r="A820" t="str">
        <f>"20190303154434699"</f>
        <v>20190303154434699</v>
      </c>
      <c r="B820" t="str">
        <f>"1551599074691161"</f>
        <v>1551599074691161</v>
      </c>
      <c r="C820" t="s">
        <v>40</v>
      </c>
      <c r="D820">
        <v>4.4329159999999996</v>
      </c>
      <c r="E820">
        <v>0.51113249999999999</v>
      </c>
      <c r="F820" t="s">
        <v>48</v>
      </c>
      <c r="G820">
        <v>-158.19499999999999</v>
      </c>
      <c r="H820">
        <v>0.89333680000000004</v>
      </c>
      <c r="I820">
        <v>363.16359999999997</v>
      </c>
      <c r="J820">
        <v>-266.52</v>
      </c>
      <c r="K820">
        <v>1.1211139999999999</v>
      </c>
      <c r="L820">
        <v>367.47120000000001</v>
      </c>
      <c r="M820">
        <v>0.99988999999999995</v>
      </c>
      <c r="N820">
        <v>-1.4668749999999999E-2</v>
      </c>
      <c r="O820">
        <v>2.219469E-3</v>
      </c>
      <c r="P820">
        <v>0.99424009999999996</v>
      </c>
      <c r="Q820">
        <v>-0.10678609999999999</v>
      </c>
      <c r="R820">
        <v>-9.1447290000000007E-3</v>
      </c>
      <c r="S820">
        <v>3.015228</v>
      </c>
      <c r="T820">
        <v>-6.3203570000000004E-3</v>
      </c>
      <c r="U820">
        <v>-0.11959839999999999</v>
      </c>
      <c r="V820">
        <v>1.1347970000000001E-2</v>
      </c>
      <c r="W820">
        <v>-9.2191170000000003E-2</v>
      </c>
      <c r="X820">
        <v>0.99567660000000002</v>
      </c>
      <c r="Y820">
        <v>4.1850579999999998E-2</v>
      </c>
      <c r="Z820">
        <v>-3.2303779999999998E-4</v>
      </c>
      <c r="AA820">
        <v>0.99912380000000001</v>
      </c>
      <c r="AB820">
        <v>27</v>
      </c>
      <c r="AC820">
        <v>108.325</v>
      </c>
      <c r="AD820">
        <v>-0.22777719999999901</v>
      </c>
      <c r="AE820">
        <v>-4.3076000000000301</v>
      </c>
      <c r="AF820">
        <v>4.5480191475867802</v>
      </c>
      <c r="AG820">
        <v>-0.22777719999999901</v>
      </c>
      <c r="AH820">
        <v>108.314693372481</v>
      </c>
      <c r="AI820">
        <v>90.120382223271903</v>
      </c>
      <c r="AJ820">
        <v>87.595623324200503</v>
      </c>
      <c r="AK820">
        <v>108.41037386244101</v>
      </c>
      <c r="AL820">
        <v>95.289676403738497</v>
      </c>
      <c r="AM820">
        <v>89.347014244803006</v>
      </c>
      <c r="AN820">
        <v>0.99999994001832304</v>
      </c>
    </row>
    <row r="821" spans="1:40" x14ac:dyDescent="0.25">
      <c r="A821" t="str">
        <f>"20190303154434714"</f>
        <v>20190303154434714</v>
      </c>
      <c r="B821" t="str">
        <f>"1551599074710681"</f>
        <v>1551599074710681</v>
      </c>
      <c r="C821" t="s">
        <v>40</v>
      </c>
      <c r="D821">
        <v>4.5371119999999996</v>
      </c>
      <c r="E821">
        <v>0.50997199999999998</v>
      </c>
      <c r="F821" t="s">
        <v>48</v>
      </c>
      <c r="G821">
        <v>-158.19499999999999</v>
      </c>
      <c r="H821">
        <v>0.4486446</v>
      </c>
      <c r="I821">
        <v>363.45949999999999</v>
      </c>
      <c r="J821">
        <v>-266.34730000000002</v>
      </c>
      <c r="K821">
        <v>1.1211629999999999</v>
      </c>
      <c r="L821">
        <v>367.47160000000002</v>
      </c>
      <c r="M821">
        <v>0.99988619999999995</v>
      </c>
      <c r="N821">
        <v>-1.4925900000000001E-2</v>
      </c>
      <c r="O821">
        <v>2.2192259999999999E-3</v>
      </c>
      <c r="P821">
        <v>0.99421689999999996</v>
      </c>
      <c r="Q821">
        <v>-0.1069808</v>
      </c>
      <c r="R821">
        <v>-9.3732859999999998E-3</v>
      </c>
      <c r="S821">
        <v>3.0143430000000002</v>
      </c>
      <c r="T821">
        <v>-1.8710259999999999E-2</v>
      </c>
      <c r="U821">
        <v>-0.1116333</v>
      </c>
      <c r="V821">
        <v>1.157613E-2</v>
      </c>
      <c r="W821">
        <v>-9.2130149999999994E-2</v>
      </c>
      <c r="X821">
        <v>0.99567969999999895</v>
      </c>
      <c r="Y821">
        <v>3.9223870000000001E-2</v>
      </c>
      <c r="Z821">
        <v>-3.9519760000000001E-4</v>
      </c>
      <c r="AA821">
        <v>0.99923039999999996</v>
      </c>
      <c r="AB821">
        <v>27</v>
      </c>
      <c r="AC821">
        <v>108.1523</v>
      </c>
      <c r="AD821">
        <v>-0.67251839999999996</v>
      </c>
      <c r="AE821">
        <v>-4.0121000000000304</v>
      </c>
      <c r="AF821">
        <v>4.2519670562174596</v>
      </c>
      <c r="AG821">
        <v>-0.67251839999999996</v>
      </c>
      <c r="AH821">
        <v>108.13895324186301</v>
      </c>
      <c r="AI821">
        <v>90.356043938801307</v>
      </c>
      <c r="AJ821">
        <v>87.748319834170104</v>
      </c>
      <c r="AK821">
        <v>108.224603085857</v>
      </c>
      <c r="AL821">
        <v>95.286164857974697</v>
      </c>
      <c r="AM821">
        <v>89.333888689718904</v>
      </c>
      <c r="AN821">
        <v>1.0000000181584401</v>
      </c>
    </row>
    <row r="822" spans="1:40" x14ac:dyDescent="0.25">
      <c r="A822" t="str">
        <f>"20190303154434735"</f>
        <v>20190303154434735</v>
      </c>
      <c r="B822" t="str">
        <f>"1551599074731177"</f>
        <v>1551599074731177</v>
      </c>
      <c r="C822" t="s">
        <v>40</v>
      </c>
      <c r="D822">
        <v>4.4823490000000001</v>
      </c>
      <c r="E822">
        <v>0.5093337</v>
      </c>
      <c r="F822" t="s">
        <v>48</v>
      </c>
      <c r="G822">
        <v>-158.19499999999999</v>
      </c>
      <c r="H822">
        <v>0.16566900000000001</v>
      </c>
      <c r="I822">
        <v>363.76330000000002</v>
      </c>
      <c r="J822">
        <v>-266.10410000000002</v>
      </c>
      <c r="K822">
        <v>1.121238</v>
      </c>
      <c r="L822">
        <v>367.47210000000001</v>
      </c>
      <c r="M822">
        <v>0.99988069999999896</v>
      </c>
      <c r="N822">
        <v>-1.529091E-2</v>
      </c>
      <c r="O822">
        <v>2.218958E-3</v>
      </c>
      <c r="P822">
        <v>0.99409809999999998</v>
      </c>
      <c r="Q822">
        <v>-0.1080903</v>
      </c>
      <c r="R822">
        <v>-9.2433930000000008E-3</v>
      </c>
      <c r="S822">
        <v>3.013611</v>
      </c>
      <c r="T822">
        <v>-2.662194E-2</v>
      </c>
      <c r="U822">
        <v>-0.10333249999999999</v>
      </c>
      <c r="V822">
        <v>1.1445830000000001E-2</v>
      </c>
      <c r="W822">
        <v>-9.2877779999999993E-2</v>
      </c>
      <c r="X822">
        <v>0.99561169999999999</v>
      </c>
      <c r="Y822">
        <v>3.648237E-2</v>
      </c>
      <c r="Z822">
        <v>-4.2580180000000001E-4</v>
      </c>
      <c r="AA822">
        <v>0.99933419999999895</v>
      </c>
      <c r="AB822">
        <v>27</v>
      </c>
      <c r="AC822">
        <v>107.9091</v>
      </c>
      <c r="AD822">
        <v>-0.955569</v>
      </c>
      <c r="AE822">
        <v>-3.7087999999999899</v>
      </c>
      <c r="AF822">
        <v>3.9479553875820002</v>
      </c>
      <c r="AG822">
        <v>-0.955569</v>
      </c>
      <c r="AH822">
        <v>107.892153091935</v>
      </c>
      <c r="AI822">
        <v>90.507099204894004</v>
      </c>
      <c r="AJ822">
        <v>87.904386014043496</v>
      </c>
      <c r="AK822">
        <v>107.96858877779999</v>
      </c>
      <c r="AL822">
        <v>95.329185600942793</v>
      </c>
      <c r="AM822">
        <v>89.341340742310607</v>
      </c>
      <c r="AN822">
        <v>0.99999997310950295</v>
      </c>
    </row>
    <row r="823" spans="1:40" x14ac:dyDescent="0.25">
      <c r="A823" t="str">
        <f>"20190303154434755"</f>
        <v>20190303154434755</v>
      </c>
      <c r="B823" t="str">
        <f>"1551599074751674"</f>
        <v>1551599074751674</v>
      </c>
      <c r="C823" t="s">
        <v>40</v>
      </c>
      <c r="D823">
        <v>4.5081040000000003</v>
      </c>
      <c r="E823">
        <v>0.50870899999999997</v>
      </c>
      <c r="F823" t="s">
        <v>50</v>
      </c>
      <c r="G823">
        <v>-179.49959999999999</v>
      </c>
      <c r="H823">
        <v>7.9987899999999904E-2</v>
      </c>
      <c r="I823">
        <v>364.64229999999998</v>
      </c>
      <c r="J823">
        <v>-265.85820000000001</v>
      </c>
      <c r="K823">
        <v>1.121297</v>
      </c>
      <c r="L823">
        <v>367.47269999999997</v>
      </c>
      <c r="M823">
        <v>0.99987510000000002</v>
      </c>
      <c r="N823">
        <v>-1.5649880000000001E-2</v>
      </c>
      <c r="O823">
        <v>2.2188490000000002E-3</v>
      </c>
      <c r="P823">
        <v>0.99404870000000001</v>
      </c>
      <c r="Q823">
        <v>-0.10848480000000001</v>
      </c>
      <c r="R823">
        <v>-9.9231170000000004E-3</v>
      </c>
      <c r="S823">
        <v>3.0129700000000001</v>
      </c>
      <c r="T823">
        <v>-3.622508E-2</v>
      </c>
      <c r="U823">
        <v>-9.8449709999999996E-2</v>
      </c>
      <c r="V823">
        <v>1.212511E-2</v>
      </c>
      <c r="W823">
        <v>-9.2915650000000002E-2</v>
      </c>
      <c r="X823">
        <v>0.99560020000000005</v>
      </c>
      <c r="Y823">
        <v>3.486993E-2</v>
      </c>
      <c r="Z823">
        <v>-4.7447709999999998E-4</v>
      </c>
      <c r="AA823">
        <v>0.99939169999999999</v>
      </c>
      <c r="AB823">
        <v>26</v>
      </c>
      <c r="AC823">
        <v>86.358599999999996</v>
      </c>
      <c r="AD823">
        <v>-1.0413091000000001</v>
      </c>
      <c r="AE823">
        <v>-2.8303999999999898</v>
      </c>
      <c r="AF823">
        <v>3.02159433619387</v>
      </c>
      <c r="AG823">
        <v>-1.0413091000000001</v>
      </c>
      <c r="AH823">
        <v>86.3395665316297</v>
      </c>
      <c r="AI823">
        <v>90.690566665281906</v>
      </c>
      <c r="AJ823">
        <v>87.995658505660202</v>
      </c>
      <c r="AK823">
        <v>86.398698519387196</v>
      </c>
      <c r="AL823">
        <v>95.331364419098094</v>
      </c>
      <c r="AM823">
        <v>89.302246739992995</v>
      </c>
      <c r="AN823">
        <v>1.00000004727373</v>
      </c>
    </row>
    <row r="824" spans="1:40" x14ac:dyDescent="0.25">
      <c r="A824" t="str">
        <f>"20190303154434778"</f>
        <v>20190303154434778</v>
      </c>
      <c r="B824" t="str">
        <f>"1551599074771193"</f>
        <v>1551599074771193</v>
      </c>
      <c r="C824" t="s">
        <v>40</v>
      </c>
      <c r="D824">
        <v>4.5096280000000002</v>
      </c>
      <c r="E824">
        <v>0.50813560000000002</v>
      </c>
      <c r="F824" t="s">
        <v>50</v>
      </c>
      <c r="G824">
        <v>-186.8494</v>
      </c>
      <c r="H824" s="1">
        <v>-7.425265E-6</v>
      </c>
      <c r="I824">
        <v>364.97770000000003</v>
      </c>
      <c r="J824">
        <v>-265.59739999999999</v>
      </c>
      <c r="K824">
        <v>1.1213409999999999</v>
      </c>
      <c r="L824">
        <v>367.47329999999999</v>
      </c>
      <c r="M824">
        <v>0.99986980000000003</v>
      </c>
      <c r="N824">
        <v>-1.5991660000000001E-2</v>
      </c>
      <c r="O824">
        <v>2.2186950000000001E-3</v>
      </c>
      <c r="P824">
        <v>0.99403730000000001</v>
      </c>
      <c r="Q824">
        <v>-0.1085594</v>
      </c>
      <c r="R824">
        <v>-1.024568E-2</v>
      </c>
      <c r="S824">
        <v>3.0122990000000001</v>
      </c>
      <c r="T824">
        <v>-4.2750950000000003E-2</v>
      </c>
      <c r="U824">
        <v>-9.5123289999999999E-2</v>
      </c>
      <c r="V824">
        <v>1.2447690000000001E-2</v>
      </c>
      <c r="W824">
        <v>-9.2650129999999997E-2</v>
      </c>
      <c r="X824">
        <v>0.99562090000000003</v>
      </c>
      <c r="Y824">
        <v>3.377314E-2</v>
      </c>
      <c r="Z824">
        <v>-5.0574729999999996E-4</v>
      </c>
      <c r="AA824">
        <v>0.99942940000000002</v>
      </c>
      <c r="AB824">
        <v>26</v>
      </c>
      <c r="AC824">
        <v>78.747999999999905</v>
      </c>
      <c r="AD824">
        <v>-1.1213484252649999</v>
      </c>
      <c r="AE824">
        <v>-2.4955999999999601</v>
      </c>
      <c r="AF824">
        <v>2.6697931620649298</v>
      </c>
      <c r="AG824">
        <v>-1.1213484252649999</v>
      </c>
      <c r="AH824">
        <v>78.726321184061703</v>
      </c>
      <c r="AI824">
        <v>90.815575803441803</v>
      </c>
      <c r="AJ824">
        <v>88.057710833654696</v>
      </c>
      <c r="AK824">
        <v>78.779558674792696</v>
      </c>
      <c r="AL824">
        <v>95.316085673088494</v>
      </c>
      <c r="AM824">
        <v>89.283700307181604</v>
      </c>
      <c r="AN824">
        <v>0.99999998404608104</v>
      </c>
    </row>
    <row r="825" spans="1:40" x14ac:dyDescent="0.25">
      <c r="A825" t="str">
        <f>"20190303154434800"</f>
        <v>20190303154434800</v>
      </c>
      <c r="B825" t="str">
        <f>"1551599074791696"</f>
        <v>1551599074791696</v>
      </c>
      <c r="C825" t="s">
        <v>40</v>
      </c>
      <c r="D825">
        <v>4.5686239999999998</v>
      </c>
      <c r="E825">
        <v>0.50768800000000003</v>
      </c>
      <c r="F825" t="s">
        <v>50</v>
      </c>
      <c r="G825">
        <v>-194.5796</v>
      </c>
      <c r="H825" s="1">
        <v>-7.568024E-6</v>
      </c>
      <c r="I825">
        <v>365.31740000000002</v>
      </c>
      <c r="J825">
        <v>-265.33949999999999</v>
      </c>
      <c r="K825">
        <v>1.1213610000000001</v>
      </c>
      <c r="L825">
        <v>367.47379999999998</v>
      </c>
      <c r="M825">
        <v>0.99986549999999996</v>
      </c>
      <c r="N825">
        <v>-1.6254270000000001E-2</v>
      </c>
      <c r="O825">
        <v>2.2184150000000001E-3</v>
      </c>
      <c r="P825">
        <v>0.99405489999999996</v>
      </c>
      <c r="Q825">
        <v>-0.10835350000000001</v>
      </c>
      <c r="R825">
        <v>-1.069519E-2</v>
      </c>
      <c r="S825">
        <v>3.0118710000000002</v>
      </c>
      <c r="T825">
        <v>-4.7556519999999998E-2</v>
      </c>
      <c r="U825">
        <v>-9.1430659999999997E-2</v>
      </c>
      <c r="V825">
        <v>1.2896980000000001E-2</v>
      </c>
      <c r="W825">
        <v>-9.2182479999999997E-2</v>
      </c>
      <c r="X825">
        <v>0.99565859999999995</v>
      </c>
      <c r="Y825">
        <v>3.2552159999999997E-2</v>
      </c>
      <c r="Z825">
        <v>-5.205524E-4</v>
      </c>
      <c r="AA825">
        <v>0.99946990000000002</v>
      </c>
      <c r="AB825">
        <v>26</v>
      </c>
      <c r="AC825">
        <v>70.759899999999902</v>
      </c>
      <c r="AD825">
        <v>-1.121368568024</v>
      </c>
      <c r="AE825">
        <v>-2.1563999999999601</v>
      </c>
      <c r="AF825">
        <v>2.3128099367031298</v>
      </c>
      <c r="AG825">
        <v>-1.121368568024</v>
      </c>
      <c r="AH825">
        <v>70.737192695607803</v>
      </c>
      <c r="AI825">
        <v>90.907726143114303</v>
      </c>
      <c r="AJ825">
        <v>88.127335091342303</v>
      </c>
      <c r="AK825">
        <v>70.783875195726694</v>
      </c>
      <c r="AL825">
        <v>95.289176083901907</v>
      </c>
      <c r="AM825">
        <v>89.257876948375099</v>
      </c>
      <c r="AN825">
        <v>0.99999999473301504</v>
      </c>
    </row>
    <row r="826" spans="1:40" x14ac:dyDescent="0.25">
      <c r="A826" t="str">
        <f>"20190303154434818"</f>
        <v>20190303154434818</v>
      </c>
      <c r="B826" t="str">
        <f>"1551599074811209"</f>
        <v>1551599074811209</v>
      </c>
      <c r="C826" t="s">
        <v>40</v>
      </c>
      <c r="D826">
        <v>4.6099540000000001</v>
      </c>
      <c r="E826">
        <v>0.50734000000000001</v>
      </c>
      <c r="F826" t="s">
        <v>50</v>
      </c>
      <c r="G826">
        <v>-199.16749999999999</v>
      </c>
      <c r="H826" s="1">
        <v>-9.2091199999999993E-6</v>
      </c>
      <c r="I826">
        <v>365.50569999999999</v>
      </c>
      <c r="J826">
        <v>-265.14150000000001</v>
      </c>
      <c r="K826">
        <v>1.1213610000000001</v>
      </c>
      <c r="L826">
        <v>367.47430000000003</v>
      </c>
      <c r="M826">
        <v>0.99986339999999996</v>
      </c>
      <c r="N826">
        <v>-1.6386649999999999E-2</v>
      </c>
      <c r="O826">
        <v>2.2181639999999999E-3</v>
      </c>
      <c r="P826">
        <v>0.99407040000000002</v>
      </c>
      <c r="Q826">
        <v>-0.10819529999999999</v>
      </c>
      <c r="R826">
        <v>-1.087989E-2</v>
      </c>
      <c r="S826">
        <v>3.0113829999999999</v>
      </c>
      <c r="T826">
        <v>-5.103183E-2</v>
      </c>
      <c r="U826">
        <v>-8.9569090000000004E-2</v>
      </c>
      <c r="V826">
        <v>1.308141E-2</v>
      </c>
      <c r="W826">
        <v>-9.1892210000000002E-2</v>
      </c>
      <c r="X826">
        <v>0.99568299999999998</v>
      </c>
      <c r="Y826">
        <v>3.1938750000000002E-2</v>
      </c>
      <c r="Z826">
        <v>-5.3357640000000004E-4</v>
      </c>
      <c r="AA826">
        <v>0.99948970000000004</v>
      </c>
      <c r="AB826">
        <v>26</v>
      </c>
      <c r="AC826">
        <v>65.974000000000004</v>
      </c>
      <c r="AD826">
        <v>-1.12137020912</v>
      </c>
      <c r="AE826">
        <v>-1.9686000000000301</v>
      </c>
      <c r="AF826">
        <v>2.1143456423011302</v>
      </c>
      <c r="AG826">
        <v>-1.12137020912</v>
      </c>
      <c r="AH826">
        <v>65.950434044417506</v>
      </c>
      <c r="AI826">
        <v>90.973619156591994</v>
      </c>
      <c r="AJ826">
        <v>88.163748204559099</v>
      </c>
      <c r="AK826">
        <v>65.993845768284203</v>
      </c>
      <c r="AL826">
        <v>95.272474082513398</v>
      </c>
      <c r="AM826">
        <v>89.247284062130504</v>
      </c>
      <c r="AN826">
        <v>0.99999996901763499</v>
      </c>
    </row>
    <row r="827" spans="1:40" x14ac:dyDescent="0.25">
      <c r="A827" t="str">
        <f>"20190303154434833"</f>
        <v>20190303154434833</v>
      </c>
      <c r="B827" t="str">
        <f>"1551599074830729"</f>
        <v>1551599074830729</v>
      </c>
      <c r="C827" t="s">
        <v>40</v>
      </c>
      <c r="D827">
        <v>4.6506439999999998</v>
      </c>
      <c r="E827">
        <v>0.50688800000000001</v>
      </c>
      <c r="F827" t="s">
        <v>50</v>
      </c>
      <c r="G827">
        <v>-202.67699999999999</v>
      </c>
      <c r="H827" s="1">
        <v>-2.6298490000000001E-6</v>
      </c>
      <c r="I827">
        <v>365.66739999999999</v>
      </c>
      <c r="J827">
        <v>-264.94900000000001</v>
      </c>
      <c r="K827">
        <v>1.121343</v>
      </c>
      <c r="L827">
        <v>367.47469999999998</v>
      </c>
      <c r="M827">
        <v>0.99986220000000003</v>
      </c>
      <c r="N827">
        <v>-1.6449370000000001E-2</v>
      </c>
      <c r="O827">
        <v>2.2181829999999999E-3</v>
      </c>
      <c r="P827">
        <v>0.99410969999999999</v>
      </c>
      <c r="Q827">
        <v>-0.1078561</v>
      </c>
      <c r="R827">
        <v>-1.064056E-2</v>
      </c>
      <c r="S827">
        <v>3.0110169999999998</v>
      </c>
      <c r="T827">
        <v>-5.4053780000000003E-2</v>
      </c>
      <c r="U827">
        <v>-8.7097170000000002E-2</v>
      </c>
      <c r="V827">
        <v>1.28422E-2</v>
      </c>
      <c r="W827">
        <v>-9.149003E-2</v>
      </c>
      <c r="X827">
        <v>0.99572320000000003</v>
      </c>
      <c r="Y827">
        <v>3.1121949999999999E-2</v>
      </c>
      <c r="Z827">
        <v>-5.3867589999999897E-4</v>
      </c>
      <c r="AA827">
        <v>0.9995155</v>
      </c>
      <c r="AB827">
        <v>26</v>
      </c>
      <c r="AC827">
        <v>62.271999999999899</v>
      </c>
      <c r="AD827">
        <v>-1.1213456298490001</v>
      </c>
      <c r="AE827">
        <v>-1.8072999999999899</v>
      </c>
      <c r="AF827">
        <v>1.9448148464755901</v>
      </c>
      <c r="AG827">
        <v>-1.1213456298490001</v>
      </c>
      <c r="AH827">
        <v>62.247669852707602</v>
      </c>
      <c r="AI827">
        <v>91.031526146655594</v>
      </c>
      <c r="AJ827">
        <v>88.210480050416805</v>
      </c>
      <c r="AK827">
        <v>62.288137898803299</v>
      </c>
      <c r="AL827">
        <v>95.2493331197863</v>
      </c>
      <c r="AM827">
        <v>89.261076707460603</v>
      </c>
      <c r="AN827">
        <v>1.00000001935424</v>
      </c>
    </row>
    <row r="828" spans="1:40" x14ac:dyDescent="0.25">
      <c r="A828" t="str">
        <f>"20190303154434856"</f>
        <v>20190303154434856</v>
      </c>
      <c r="B828" t="str">
        <f>"1551599074851225"</f>
        <v>1551599074851225</v>
      </c>
      <c r="C828" t="s">
        <v>40</v>
      </c>
      <c r="D828">
        <v>4.621461</v>
      </c>
      <c r="E828">
        <v>0.50683739999999999</v>
      </c>
      <c r="F828" t="s">
        <v>50</v>
      </c>
      <c r="G828">
        <v>-204.92099999999999</v>
      </c>
      <c r="H828" s="1">
        <v>-3.756125E-6</v>
      </c>
      <c r="I828">
        <v>365.82339999999999</v>
      </c>
      <c r="J828">
        <v>-264.69470000000001</v>
      </c>
      <c r="K828">
        <v>1.1212949999999999</v>
      </c>
      <c r="L828">
        <v>367.4753</v>
      </c>
      <c r="M828">
        <v>0.99986269999999999</v>
      </c>
      <c r="N828">
        <v>-1.6426090000000001E-2</v>
      </c>
      <c r="O828">
        <v>2.2180170000000001E-3</v>
      </c>
      <c r="P828">
        <v>0.99410109999999996</v>
      </c>
      <c r="Q828">
        <v>-0.10799540000000001</v>
      </c>
      <c r="R828">
        <v>-1.001399E-2</v>
      </c>
      <c r="S828">
        <v>3.0108030000000001</v>
      </c>
      <c r="T828">
        <v>-5.6242939999999998E-2</v>
      </c>
      <c r="U828">
        <v>-8.2824709999999996E-2</v>
      </c>
      <c r="V828">
        <v>1.221537E-2</v>
      </c>
      <c r="W828">
        <v>-9.1652529999999996E-2</v>
      </c>
      <c r="X828">
        <v>0.99571609999999999</v>
      </c>
      <c r="Y828">
        <v>2.9706440000000001E-2</v>
      </c>
      <c r="Z828">
        <v>-5.2646400000000003E-4</v>
      </c>
      <c r="AA828">
        <v>0.99955850000000002</v>
      </c>
      <c r="AB828">
        <v>26</v>
      </c>
      <c r="AC828">
        <v>59.773699999999998</v>
      </c>
      <c r="AD828">
        <v>-1.1212987561250001</v>
      </c>
      <c r="AE828">
        <v>-1.6519000000000099</v>
      </c>
      <c r="AF828">
        <v>1.7838656298903</v>
      </c>
      <c r="AG828">
        <v>-1.1212987561250001</v>
      </c>
      <c r="AH828">
        <v>59.748878756271701</v>
      </c>
      <c r="AI828">
        <v>91.074656835548396</v>
      </c>
      <c r="AJ828">
        <v>88.289882231681403</v>
      </c>
      <c r="AK828">
        <v>59.786018433389998</v>
      </c>
      <c r="AL828">
        <v>95.258683192094296</v>
      </c>
      <c r="AM828">
        <v>89.297134958654198</v>
      </c>
      <c r="AN828">
        <v>0.99999997665942297</v>
      </c>
    </row>
    <row r="829" spans="1:40" x14ac:dyDescent="0.25">
      <c r="A829" t="str">
        <f>"20190303154434871"</f>
        <v>20190303154434871</v>
      </c>
      <c r="B829" t="str">
        <f>"1551599074860985"</f>
        <v>1551599074860985</v>
      </c>
      <c r="C829" t="s">
        <v>40</v>
      </c>
      <c r="D829">
        <v>4.6153420000000001</v>
      </c>
      <c r="E829">
        <v>0.51990239999999999</v>
      </c>
      <c r="F829" t="s">
        <v>50</v>
      </c>
      <c r="G829">
        <v>-208.06460000000001</v>
      </c>
      <c r="H829" s="1">
        <v>-5.1942470000000004E-6</v>
      </c>
      <c r="I829">
        <v>365.95519999999999</v>
      </c>
      <c r="J829">
        <v>-264.50940000000003</v>
      </c>
      <c r="K829">
        <v>1.1212530000000001</v>
      </c>
      <c r="L829">
        <v>367.47570000000002</v>
      </c>
      <c r="M829">
        <v>0.99986410000000003</v>
      </c>
      <c r="N829">
        <v>-1.6335680000000002E-2</v>
      </c>
      <c r="O829">
        <v>2.2181060000000001E-3</v>
      </c>
      <c r="P829">
        <v>0.99410390000000004</v>
      </c>
      <c r="Q829">
        <v>-0.10798190000000001</v>
      </c>
      <c r="R829">
        <v>-9.8694690000000005E-3</v>
      </c>
      <c r="S829">
        <v>3.0104980000000001</v>
      </c>
      <c r="T829">
        <v>-5.9609170000000003E-2</v>
      </c>
      <c r="U829">
        <v>-8.0810549999999995E-2</v>
      </c>
      <c r="V829">
        <v>1.207106E-2</v>
      </c>
      <c r="W829">
        <v>-9.172901E-2</v>
      </c>
      <c r="X829">
        <v>0.99571080000000001</v>
      </c>
      <c r="Y829">
        <v>2.9040389999999999E-2</v>
      </c>
      <c r="Z829">
        <v>-5.3240269999999998E-4</v>
      </c>
      <c r="AA829">
        <v>0.99957810000000002</v>
      </c>
      <c r="AB829">
        <v>26</v>
      </c>
      <c r="AC829">
        <v>56.444800000000001</v>
      </c>
      <c r="AD829">
        <v>-1.1212581942469999</v>
      </c>
      <c r="AE829">
        <v>-1.5205000000000199</v>
      </c>
      <c r="AF829">
        <v>1.6450648357795199</v>
      </c>
      <c r="AG829">
        <v>-1.1212581942469999</v>
      </c>
      <c r="AH829">
        <v>56.419040895406503</v>
      </c>
      <c r="AI829">
        <v>91.138048857269197</v>
      </c>
      <c r="AJ829">
        <v>88.329844451608196</v>
      </c>
      <c r="AK829">
        <v>56.454155150968603</v>
      </c>
      <c r="AL829">
        <v>95.263083801034</v>
      </c>
      <c r="AM829">
        <v>89.305433954245999</v>
      </c>
      <c r="AN829">
        <v>0.99999995950087095</v>
      </c>
    </row>
    <row r="830" spans="1:40" x14ac:dyDescent="0.25">
      <c r="A830" t="str">
        <f>"20190303154434889"</f>
        <v>20190303154434889</v>
      </c>
      <c r="B830" t="str">
        <f>"1551599074881485"</f>
        <v>1551599074881485</v>
      </c>
      <c r="C830" t="s">
        <v>40</v>
      </c>
      <c r="D830">
        <v>4.684634</v>
      </c>
      <c r="E830">
        <v>0.51902079999999995</v>
      </c>
      <c r="F830" t="s">
        <v>42</v>
      </c>
      <c r="G830">
        <v>-263.70519999999999</v>
      </c>
      <c r="H830">
        <v>0.9756726</v>
      </c>
      <c r="I830">
        <v>367.42329999999998</v>
      </c>
      <c r="J830">
        <v>-264.31200000000001</v>
      </c>
      <c r="K830">
        <v>1.1212059999999999</v>
      </c>
      <c r="L830">
        <v>367.47609999999997</v>
      </c>
      <c r="M830">
        <v>0.99986640000000004</v>
      </c>
      <c r="N830">
        <v>-1.620127E-2</v>
      </c>
      <c r="O830">
        <v>2.2178340000000001E-3</v>
      </c>
      <c r="P830">
        <v>0.99407800000000002</v>
      </c>
      <c r="Q830">
        <v>-0.10829999999999999</v>
      </c>
      <c r="R830">
        <v>-8.9498259999999993E-3</v>
      </c>
      <c r="S830">
        <v>2.9577330000000002</v>
      </c>
      <c r="T830">
        <v>-0.535547</v>
      </c>
      <c r="U830">
        <v>-0.1914978</v>
      </c>
      <c r="V830">
        <v>1.115123E-2</v>
      </c>
      <c r="W830">
        <v>-9.2181269999999996E-2</v>
      </c>
      <c r="X830">
        <v>0.9956798</v>
      </c>
      <c r="Y830">
        <v>6.5633220000000006E-2</v>
      </c>
      <c r="Z830">
        <v>-6.787286E-3</v>
      </c>
      <c r="AA830">
        <v>0.9978207</v>
      </c>
      <c r="AB830">
        <v>26</v>
      </c>
      <c r="AC830">
        <v>0.60680000000002099</v>
      </c>
      <c r="AD830">
        <v>-0.14553339999999901</v>
      </c>
      <c r="AE830">
        <v>-5.2799999999990598E-2</v>
      </c>
      <c r="AF830">
        <v>5.1221598486671703E-2</v>
      </c>
      <c r="AG830">
        <v>-0.14553339999999901</v>
      </c>
      <c r="AH830">
        <v>0.57391661670113703</v>
      </c>
      <c r="AI830">
        <v>104.175038996925</v>
      </c>
      <c r="AJ830">
        <v>84.899910364174204</v>
      </c>
      <c r="AK830">
        <v>0.59429277767172095</v>
      </c>
      <c r="AL830">
        <v>95.289106430039496</v>
      </c>
      <c r="AM830">
        <v>89.3583361800451</v>
      </c>
      <c r="AN830">
        <v>1.00000000029868</v>
      </c>
    </row>
    <row r="831" spans="1:40" x14ac:dyDescent="0.25">
      <c r="A831" t="str">
        <f>"20190303154434912"</f>
        <v>20190303154434912</v>
      </c>
      <c r="B831" t="str">
        <f>"1551599074901001"</f>
        <v>1551599074901001</v>
      </c>
      <c r="C831" t="s">
        <v>40</v>
      </c>
      <c r="D831">
        <v>4.7486829999999998</v>
      </c>
      <c r="E831">
        <v>0.51906430000000003</v>
      </c>
      <c r="F831" t="s">
        <v>42</v>
      </c>
      <c r="G831">
        <v>-263.49079999999998</v>
      </c>
      <c r="H831">
        <v>0.94360460000000002</v>
      </c>
      <c r="I831">
        <v>367.42469999999997</v>
      </c>
      <c r="J831">
        <v>-264.04610000000002</v>
      </c>
      <c r="K831">
        <v>1.121146</v>
      </c>
      <c r="L831">
        <v>367.47669999999999</v>
      </c>
      <c r="M831">
        <v>0.99986969999999997</v>
      </c>
      <c r="N831">
        <v>-1.5993449999999999E-2</v>
      </c>
      <c r="O831">
        <v>2.2180250000000002E-3</v>
      </c>
      <c r="P831">
        <v>0.99409360000000002</v>
      </c>
      <c r="Q831">
        <v>-0.1081974</v>
      </c>
      <c r="R831">
        <v>-8.4473029999999998E-3</v>
      </c>
      <c r="S831">
        <v>2.9468079999999999</v>
      </c>
      <c r="T831">
        <v>-0.63743309999999997</v>
      </c>
      <c r="U831">
        <v>-0.18356320000000001</v>
      </c>
      <c r="V831">
        <v>1.0648889999999999E-2</v>
      </c>
      <c r="W831">
        <v>-9.2285320000000004E-2</v>
      </c>
      <c r="X831">
        <v>0.99567570000000005</v>
      </c>
      <c r="Y831">
        <v>6.2785309999999997E-2</v>
      </c>
      <c r="Z831">
        <v>-7.6542789999999999E-3</v>
      </c>
      <c r="AA831">
        <v>0.99799769999999999</v>
      </c>
      <c r="AB831">
        <v>26</v>
      </c>
      <c r="AC831">
        <v>0.55530000000004498</v>
      </c>
      <c r="AD831">
        <v>-0.17754139999999899</v>
      </c>
      <c r="AE831">
        <v>-5.2000000000020898E-2</v>
      </c>
      <c r="AF831">
        <v>4.8333868337514803E-2</v>
      </c>
      <c r="AG831">
        <v>-0.17754139999999899</v>
      </c>
      <c r="AH831">
        <v>0.50410105700600305</v>
      </c>
      <c r="AI831">
        <v>109.319964295657</v>
      </c>
      <c r="AJ831">
        <v>84.523148122641402</v>
      </c>
      <c r="AK831">
        <v>0.53663300980930895</v>
      </c>
      <c r="AL831">
        <v>95.2950933691465</v>
      </c>
      <c r="AM831">
        <v>89.387237037715593</v>
      </c>
      <c r="AN831">
        <v>1.0000000393581101</v>
      </c>
    </row>
    <row r="832" spans="1:40" x14ac:dyDescent="0.25">
      <c r="A832" t="str">
        <f>"20190303154434936"</f>
        <v>20190303154434936</v>
      </c>
      <c r="B832" t="str">
        <f>"1551599074931257"</f>
        <v>1551599074931257</v>
      </c>
      <c r="C832" t="s">
        <v>40</v>
      </c>
      <c r="D832">
        <v>4.7552289999999999</v>
      </c>
      <c r="E832">
        <v>0.51934650000000004</v>
      </c>
      <c r="F832" t="s">
        <v>42</v>
      </c>
      <c r="G832">
        <v>-263.26130000000001</v>
      </c>
      <c r="H832">
        <v>0.94288680000000002</v>
      </c>
      <c r="I832">
        <v>367.42779999999999</v>
      </c>
      <c r="J832">
        <v>-263.78039999999999</v>
      </c>
      <c r="K832">
        <v>1.1211059999999999</v>
      </c>
      <c r="L832">
        <v>367.47739999999999</v>
      </c>
      <c r="M832">
        <v>0.99987320000000002</v>
      </c>
      <c r="N832">
        <v>-1.5782029999999999E-2</v>
      </c>
      <c r="O832">
        <v>2.217985E-3</v>
      </c>
      <c r="P832">
        <v>0.99411150000000004</v>
      </c>
      <c r="Q832">
        <v>-0.10805140000000001</v>
      </c>
      <c r="R832">
        <v>-8.2358889999999997E-3</v>
      </c>
      <c r="S832">
        <v>2.9434809999999998</v>
      </c>
      <c r="T832">
        <v>-0.66868950000000005</v>
      </c>
      <c r="U832">
        <v>-0.18276980000000001</v>
      </c>
      <c r="V832">
        <v>1.0437159999999999E-2</v>
      </c>
      <c r="W832">
        <v>-9.2349639999999997E-2</v>
      </c>
      <c r="X832">
        <v>0.99567190000000005</v>
      </c>
      <c r="Y832">
        <v>6.2440469999999998E-2</v>
      </c>
      <c r="Z832">
        <v>-7.9591490000000004E-3</v>
      </c>
      <c r="AA832">
        <v>0.99801700000000004</v>
      </c>
      <c r="AB832">
        <v>26</v>
      </c>
      <c r="AC832">
        <v>0.51909999999998002</v>
      </c>
      <c r="AD832">
        <v>-0.178219199999999</v>
      </c>
      <c r="AE832">
        <v>-4.9599999999998E-2</v>
      </c>
      <c r="AF832">
        <v>4.5443381808577599E-2</v>
      </c>
      <c r="AG832">
        <v>-0.178219199999999</v>
      </c>
      <c r="AH832">
        <v>0.464708601763969</v>
      </c>
      <c r="AI832">
        <v>110.891195045977</v>
      </c>
      <c r="AJ832">
        <v>84.414861760966104</v>
      </c>
      <c r="AK832">
        <v>0.49978122088796301</v>
      </c>
      <c r="AL832">
        <v>95.298794852853703</v>
      </c>
      <c r="AM832">
        <v>89.399417302098598</v>
      </c>
      <c r="AN832">
        <v>0.99999996138330105</v>
      </c>
    </row>
    <row r="833" spans="1:40" x14ac:dyDescent="0.25">
      <c r="A833" t="str">
        <f>"20190303154434956"</f>
        <v>20190303154434956</v>
      </c>
      <c r="B833" t="str">
        <f>"1551599074950777"</f>
        <v>1551599074950777</v>
      </c>
      <c r="C833" t="s">
        <v>40</v>
      </c>
      <c r="D833">
        <v>4.7535170000000004</v>
      </c>
      <c r="E833">
        <v>0.51968309999999995</v>
      </c>
      <c r="F833" t="s">
        <v>42</v>
      </c>
      <c r="G833">
        <v>-263.03050000000002</v>
      </c>
      <c r="H833">
        <v>0.94520510000000002</v>
      </c>
      <c r="I833">
        <v>367.43009999999998</v>
      </c>
      <c r="J833">
        <v>-263.53219999999999</v>
      </c>
      <c r="K833">
        <v>1.1210789999999999</v>
      </c>
      <c r="L833">
        <v>367.47789999999998</v>
      </c>
      <c r="M833">
        <v>0.99987610000000005</v>
      </c>
      <c r="N833">
        <v>-1.5587220000000001E-2</v>
      </c>
      <c r="O833">
        <v>2.21821E-3</v>
      </c>
      <c r="P833">
        <v>0.99419950000000001</v>
      </c>
      <c r="Q833">
        <v>-0.1072256</v>
      </c>
      <c r="R833">
        <v>-8.3892759999999993E-3</v>
      </c>
      <c r="S833">
        <v>2.9412539999999998</v>
      </c>
      <c r="T833">
        <v>-0.68991720000000001</v>
      </c>
      <c r="U833">
        <v>-0.18481449999999999</v>
      </c>
      <c r="V833">
        <v>1.059122E-2</v>
      </c>
      <c r="W833">
        <v>-9.1716530000000004E-2</v>
      </c>
      <c r="X833">
        <v>0.99572890000000003</v>
      </c>
      <c r="Y833">
        <v>6.3051699999999905E-2</v>
      </c>
      <c r="Z833">
        <v>-8.2666430000000006E-3</v>
      </c>
      <c r="AA833">
        <v>0.99797599999999997</v>
      </c>
      <c r="AB833">
        <v>26</v>
      </c>
      <c r="AC833">
        <v>0.50169999999997095</v>
      </c>
      <c r="AD833">
        <v>-0.1758739</v>
      </c>
      <c r="AE833">
        <v>-4.7799999999995103E-2</v>
      </c>
      <c r="AF833">
        <v>4.36027753348096E-2</v>
      </c>
      <c r="AG833">
        <v>-0.1758739</v>
      </c>
      <c r="AH833">
        <v>0.44713843751440102</v>
      </c>
      <c r="AI833">
        <v>111.379110695607</v>
      </c>
      <c r="AJ833">
        <v>84.430402618190698</v>
      </c>
      <c r="AK833">
        <v>0.482457887303056</v>
      </c>
      <c r="AL833">
        <v>95.262365144531401</v>
      </c>
      <c r="AM833">
        <v>89.390587817506301</v>
      </c>
      <c r="AN833">
        <v>1.00000006905576</v>
      </c>
    </row>
    <row r="834" spans="1:40" x14ac:dyDescent="0.25">
      <c r="A834" t="str">
        <f>"20190303154434979"</f>
        <v>20190303154434979</v>
      </c>
      <c r="B834" t="str">
        <f>"1551599074971273"</f>
        <v>1551599074971273</v>
      </c>
      <c r="C834" t="s">
        <v>40</v>
      </c>
      <c r="D834">
        <v>4.8095499999999998</v>
      </c>
      <c r="E834">
        <v>0.52007879999999995</v>
      </c>
      <c r="F834" t="s">
        <v>42</v>
      </c>
      <c r="G834">
        <v>-262.79930000000002</v>
      </c>
      <c r="H834">
        <v>0.94904230000000001</v>
      </c>
      <c r="I834">
        <v>367.43079999999998</v>
      </c>
      <c r="J834">
        <v>-263.2792</v>
      </c>
      <c r="K834">
        <v>1.121057</v>
      </c>
      <c r="L834">
        <v>367.4785</v>
      </c>
      <c r="M834">
        <v>0.99987910000000002</v>
      </c>
      <c r="N834">
        <v>-1.539563E-2</v>
      </c>
      <c r="O834">
        <v>2.218331E-3</v>
      </c>
      <c r="P834">
        <v>0.99421859999999995</v>
      </c>
      <c r="Q834">
        <v>-0.1070318</v>
      </c>
      <c r="R834">
        <v>-8.5785610000000002E-3</v>
      </c>
      <c r="S834">
        <v>2.9414370000000001</v>
      </c>
      <c r="T834">
        <v>-0.690536699999999</v>
      </c>
      <c r="U834">
        <v>-0.18801880000000001</v>
      </c>
      <c r="V834">
        <v>1.0780619999999999E-2</v>
      </c>
      <c r="W834">
        <v>-9.1713230000000007E-2</v>
      </c>
      <c r="X834">
        <v>0.99572709999999998</v>
      </c>
      <c r="Y834">
        <v>6.4098929999999998E-2</v>
      </c>
      <c r="Z834">
        <v>-8.3964130000000001E-3</v>
      </c>
      <c r="AA834">
        <v>0.99790820000000002</v>
      </c>
      <c r="AB834">
        <v>26</v>
      </c>
      <c r="AC834">
        <v>0.479899999999986</v>
      </c>
      <c r="AD834">
        <v>-0.17201469999999899</v>
      </c>
      <c r="AE834">
        <v>-4.7700000000020198E-2</v>
      </c>
      <c r="AF834">
        <v>4.3260877662672698E-2</v>
      </c>
      <c r="AG834">
        <v>-0.17201469999999899</v>
      </c>
      <c r="AH834">
        <v>0.42564220753125098</v>
      </c>
      <c r="AI834">
        <v>111.903012483184</v>
      </c>
      <c r="AJ834">
        <v>84.196573353161696</v>
      </c>
      <c r="AK834">
        <v>0.46112021142464699</v>
      </c>
      <c r="AL834">
        <v>95.262175643167396</v>
      </c>
      <c r="AM834">
        <v>89.379689582643493</v>
      </c>
      <c r="AN834">
        <v>0.999999997999513</v>
      </c>
    </row>
    <row r="835" spans="1:40" x14ac:dyDescent="0.25">
      <c r="A835" t="str">
        <f>"20190303154435002"</f>
        <v>20190303154435002</v>
      </c>
      <c r="B835" t="str">
        <f>"1551599074990794"</f>
        <v>1551599074990794</v>
      </c>
      <c r="C835" t="s">
        <v>40</v>
      </c>
      <c r="D835">
        <v>4.935549</v>
      </c>
      <c r="E835">
        <v>0.51993729999999905</v>
      </c>
      <c r="F835" t="s">
        <v>42</v>
      </c>
      <c r="G835">
        <v>-262.56799999999998</v>
      </c>
      <c r="H835">
        <v>0.95361510000000005</v>
      </c>
      <c r="I835">
        <v>367.43200000000002</v>
      </c>
      <c r="J835">
        <v>-263.02190000000002</v>
      </c>
      <c r="K835">
        <v>1.12104</v>
      </c>
      <c r="L835">
        <v>367.47910000000002</v>
      </c>
      <c r="M835">
        <v>0.99988189999999999</v>
      </c>
      <c r="N835">
        <v>-1.521374E-2</v>
      </c>
      <c r="O835">
        <v>2.2182399999999998E-3</v>
      </c>
      <c r="P835">
        <v>0.9942358</v>
      </c>
      <c r="Q835">
        <v>-0.1068499</v>
      </c>
      <c r="R835">
        <v>-8.8770780000000001E-3</v>
      </c>
      <c r="S835">
        <v>2.9412229999999999</v>
      </c>
      <c r="T835">
        <v>-0.69255710000000004</v>
      </c>
      <c r="U835">
        <v>-0.1916504</v>
      </c>
      <c r="V835">
        <v>1.1078859999999999E-2</v>
      </c>
      <c r="W835">
        <v>-9.1712310000000005E-2</v>
      </c>
      <c r="X835">
        <v>0.9957239</v>
      </c>
      <c r="Y835">
        <v>6.5286430000000006E-2</v>
      </c>
      <c r="Z835">
        <v>-8.5607240000000005E-3</v>
      </c>
      <c r="AA835">
        <v>0.99782990000000005</v>
      </c>
      <c r="AB835">
        <v>26</v>
      </c>
      <c r="AC835">
        <v>0.453900000000032</v>
      </c>
      <c r="AD835">
        <v>-0.16742489999999999</v>
      </c>
      <c r="AE835">
        <v>-4.71000000000572E-2</v>
      </c>
      <c r="AF835">
        <v>4.2399570833825798E-2</v>
      </c>
      <c r="AG835">
        <v>-0.16742489999999999</v>
      </c>
      <c r="AH835">
        <v>0.39995725329100801</v>
      </c>
      <c r="AI835">
        <v>112.60071364495801</v>
      </c>
      <c r="AJ835">
        <v>83.948660873377506</v>
      </c>
      <c r="AK835">
        <v>0.43565424961429</v>
      </c>
      <c r="AL835">
        <v>95.2621227660632</v>
      </c>
      <c r="AM835">
        <v>89.362528380262006</v>
      </c>
      <c r="AN835">
        <v>0.999999986987822</v>
      </c>
    </row>
    <row r="836" spans="1:40" x14ac:dyDescent="0.25">
      <c r="A836" t="str">
        <f>"20190303154435023"</f>
        <v>20190303154435023</v>
      </c>
      <c r="B836" t="str">
        <f>"1551599075021050"</f>
        <v>1551599075021050</v>
      </c>
      <c r="C836" t="s">
        <v>40</v>
      </c>
      <c r="D836">
        <v>4.9659069999999996</v>
      </c>
      <c r="E836">
        <v>0.51986189999999999</v>
      </c>
      <c r="F836" t="s">
        <v>42</v>
      </c>
      <c r="G836">
        <v>-262.13260000000002</v>
      </c>
      <c r="H836">
        <v>0.9088446</v>
      </c>
      <c r="I836">
        <v>367.42079999999999</v>
      </c>
      <c r="J836">
        <v>-262.77069999999998</v>
      </c>
      <c r="K836">
        <v>1.1210279999999999</v>
      </c>
      <c r="L836">
        <v>367.4796</v>
      </c>
      <c r="M836">
        <v>0.99988440000000001</v>
      </c>
      <c r="N836">
        <v>-1.505334E-2</v>
      </c>
      <c r="O836">
        <v>2.2182669999999999E-3</v>
      </c>
      <c r="P836">
        <v>0.99422529999999998</v>
      </c>
      <c r="Q836">
        <v>-0.1069315</v>
      </c>
      <c r="R836">
        <v>-9.0839590000000008E-3</v>
      </c>
      <c r="S836">
        <v>2.940277</v>
      </c>
      <c r="T836">
        <v>-0.70159709999999997</v>
      </c>
      <c r="U836">
        <v>-0.1919556</v>
      </c>
      <c r="V836">
        <v>1.1285709999999999E-2</v>
      </c>
      <c r="W836">
        <v>-9.1953709999999994E-2</v>
      </c>
      <c r="X836">
        <v>0.99569929999999995</v>
      </c>
      <c r="Y836">
        <v>6.5359070000000005E-2</v>
      </c>
      <c r="Z836">
        <v>-8.6703179999999998E-3</v>
      </c>
      <c r="AA836">
        <v>0.99782409999999999</v>
      </c>
      <c r="AB836">
        <v>26</v>
      </c>
      <c r="AC836">
        <v>0.63809999999995104</v>
      </c>
      <c r="AD836">
        <v>-0.21218339999999999</v>
      </c>
      <c r="AE836">
        <v>-5.8800000000019198E-2</v>
      </c>
      <c r="AF836">
        <v>5.4265739620537601E-2</v>
      </c>
      <c r="AG836">
        <v>-0.21218339999999999</v>
      </c>
      <c r="AH836">
        <v>0.57493185547389303</v>
      </c>
      <c r="AI836">
        <v>110.174610167545</v>
      </c>
      <c r="AJ836">
        <v>84.608032585150198</v>
      </c>
      <c r="AK836">
        <v>0.61523426771497203</v>
      </c>
      <c r="AL836">
        <v>95.276012728870796</v>
      </c>
      <c r="AM836">
        <v>89.350611310674196</v>
      </c>
      <c r="AN836">
        <v>0.99999997402672802</v>
      </c>
    </row>
    <row r="837" spans="1:40" x14ac:dyDescent="0.25">
      <c r="A837" t="str">
        <f>"20190303154435046"</f>
        <v>20190303154435046</v>
      </c>
      <c r="B837" t="str">
        <f>"1551599075041546"</f>
        <v>1551599075041546</v>
      </c>
      <c r="C837" t="s">
        <v>40</v>
      </c>
      <c r="D837">
        <v>4.8861420000000004</v>
      </c>
      <c r="E837">
        <v>0.51954979999999995</v>
      </c>
      <c r="F837" t="s">
        <v>42</v>
      </c>
      <c r="G837">
        <v>-261.90320000000003</v>
      </c>
      <c r="H837">
        <v>0.91124640000000001</v>
      </c>
      <c r="I837">
        <v>367.42270000000002</v>
      </c>
      <c r="J837">
        <v>-262.517</v>
      </c>
      <c r="K837">
        <v>1.1210199999999999</v>
      </c>
      <c r="L837">
        <v>367.4803</v>
      </c>
      <c r="M837">
        <v>0.99988650000000001</v>
      </c>
      <c r="N837">
        <v>-1.490753E-2</v>
      </c>
      <c r="O837">
        <v>2.2181729999999999E-3</v>
      </c>
      <c r="P837">
        <v>0.9942704</v>
      </c>
      <c r="Q837">
        <v>-0.1064515</v>
      </c>
      <c r="R837">
        <v>-9.7132699999999995E-3</v>
      </c>
      <c r="S837">
        <v>2.939209</v>
      </c>
      <c r="T837">
        <v>-0.71083569999999996</v>
      </c>
      <c r="U837">
        <v>-0.1919556</v>
      </c>
      <c r="V837">
        <v>1.1915480000000001E-2</v>
      </c>
      <c r="W837">
        <v>-9.1618459999999999E-2</v>
      </c>
      <c r="X837">
        <v>0.99572289999999997</v>
      </c>
      <c r="Y837">
        <v>6.5332139999999997E-2</v>
      </c>
      <c r="Z837">
        <v>-8.7705109999999999E-3</v>
      </c>
      <c r="AA837">
        <v>0.99782499999999996</v>
      </c>
      <c r="AB837">
        <v>26</v>
      </c>
      <c r="AC837">
        <v>0.61379999999996904</v>
      </c>
      <c r="AD837">
        <v>-0.2097736</v>
      </c>
      <c r="AE837">
        <v>-5.7599999999979397E-2</v>
      </c>
      <c r="AF837">
        <v>5.2843240875893302E-2</v>
      </c>
      <c r="AG837">
        <v>-0.2097736</v>
      </c>
      <c r="AH837">
        <v>0.54999170389910901</v>
      </c>
      <c r="AI837">
        <v>110.78996255410701</v>
      </c>
      <c r="AJ837">
        <v>84.511863866139706</v>
      </c>
      <c r="AK837">
        <v>0.59100613001987801</v>
      </c>
      <c r="AL837">
        <v>95.256722715888401</v>
      </c>
      <c r="AM837">
        <v>89.314393462704999</v>
      </c>
      <c r="AN837">
        <v>1.0000000072304001</v>
      </c>
    </row>
    <row r="838" spans="1:40" x14ac:dyDescent="0.25">
      <c r="A838" t="str">
        <f>"20190303154435079"</f>
        <v>20190303154435079</v>
      </c>
      <c r="B838" t="str">
        <f>"1551599075070828"</f>
        <v>1551599075070828</v>
      </c>
      <c r="C838" t="s">
        <v>40</v>
      </c>
      <c r="D838">
        <v>4.906676</v>
      </c>
      <c r="E838">
        <v>0.51940819999999999</v>
      </c>
      <c r="F838" t="s">
        <v>42</v>
      </c>
      <c r="G838">
        <v>-261.67340000000002</v>
      </c>
      <c r="H838">
        <v>0.91520400000000002</v>
      </c>
      <c r="I838">
        <v>367.42509999999999</v>
      </c>
      <c r="J838">
        <v>-262.14030000000002</v>
      </c>
      <c r="K838">
        <v>1.121019</v>
      </c>
      <c r="L838">
        <v>367.48110000000003</v>
      </c>
      <c r="M838">
        <v>0.99988929999999998</v>
      </c>
      <c r="N838">
        <v>-1.4718230000000001E-2</v>
      </c>
      <c r="O838">
        <v>2.2183900000000002E-3</v>
      </c>
      <c r="P838">
        <v>0.99437830000000005</v>
      </c>
      <c r="Q838">
        <v>-0.1054612</v>
      </c>
      <c r="R838">
        <v>-9.4689800000000001E-3</v>
      </c>
      <c r="S838">
        <v>2.93866</v>
      </c>
      <c r="T838">
        <v>-0.71700359999999996</v>
      </c>
      <c r="U838">
        <v>-0.19134519999999999</v>
      </c>
      <c r="V838">
        <v>1.167165E-2</v>
      </c>
      <c r="W838">
        <v>-9.0815060000000003E-2</v>
      </c>
      <c r="X838">
        <v>0.9957994</v>
      </c>
      <c r="Y838">
        <v>6.5111299999999997E-2</v>
      </c>
      <c r="Z838">
        <v>-8.8082579999999994E-3</v>
      </c>
      <c r="AA838">
        <v>0.99783920000000004</v>
      </c>
      <c r="AB838">
        <v>26</v>
      </c>
      <c r="AC838">
        <v>0.46690000000000897</v>
      </c>
      <c r="AD838">
        <v>-0.205814999999999</v>
      </c>
      <c r="AE838">
        <v>-5.6000000000039997E-2</v>
      </c>
      <c r="AF838">
        <v>4.7866473001795799E-2</v>
      </c>
      <c r="AG838">
        <v>-0.205814999999999</v>
      </c>
      <c r="AH838">
        <v>0.39173426910652798</v>
      </c>
      <c r="AI838">
        <v>117.54274163047501</v>
      </c>
      <c r="AJ838">
        <v>83.033495615959296</v>
      </c>
      <c r="AK838">
        <v>0.44509184563981602</v>
      </c>
      <c r="AL838">
        <v>95.210498493581596</v>
      </c>
      <c r="AM838">
        <v>89.328473521869796</v>
      </c>
      <c r="AN838">
        <v>1.0000000237884401</v>
      </c>
    </row>
    <row r="839" spans="1:40" x14ac:dyDescent="0.25">
      <c r="A839" t="str">
        <f>"20190303154435102"</f>
        <v>20190303154435102</v>
      </c>
      <c r="B839" t="str">
        <f>"1551599075091322"</f>
        <v>1551599075091322</v>
      </c>
      <c r="C839" t="s">
        <v>40</v>
      </c>
      <c r="D839">
        <v>4.8764880000000002</v>
      </c>
      <c r="E839">
        <v>0.51960360000000005</v>
      </c>
      <c r="F839" t="s">
        <v>42</v>
      </c>
      <c r="G839">
        <v>-261.42989999999998</v>
      </c>
      <c r="H839">
        <v>0.94771859999999997</v>
      </c>
      <c r="I839">
        <v>367.4348</v>
      </c>
      <c r="J839">
        <v>-261.87869999999998</v>
      </c>
      <c r="K839">
        <v>1.1210230000000001</v>
      </c>
      <c r="L839">
        <v>367.48169999999999</v>
      </c>
      <c r="M839">
        <v>0.99989090000000003</v>
      </c>
      <c r="N839">
        <v>-1.460505E-2</v>
      </c>
      <c r="O839">
        <v>2.2185680000000002E-3</v>
      </c>
      <c r="P839">
        <v>0.99440450000000002</v>
      </c>
      <c r="Q839">
        <v>-0.105243</v>
      </c>
      <c r="R839">
        <v>-9.1492380000000005E-3</v>
      </c>
      <c r="S839">
        <v>2.9390559999999999</v>
      </c>
      <c r="T839">
        <v>-0.71712180000000003</v>
      </c>
      <c r="U839">
        <v>-0.1897278</v>
      </c>
      <c r="V839">
        <v>1.135187E-2</v>
      </c>
      <c r="W839">
        <v>-9.0709219999999993E-2</v>
      </c>
      <c r="X839">
        <v>0.9958127</v>
      </c>
      <c r="Y839">
        <v>6.4573220000000001E-2</v>
      </c>
      <c r="Z839">
        <v>-8.7365510000000004E-3</v>
      </c>
      <c r="AA839">
        <v>0.9978747</v>
      </c>
      <c r="AB839">
        <v>26</v>
      </c>
      <c r="AC839">
        <v>0.44880000000000497</v>
      </c>
      <c r="AD839">
        <v>-0.173304399999999</v>
      </c>
      <c r="AE839">
        <v>-4.6899999999993697E-2</v>
      </c>
      <c r="AF839">
        <v>4.1739102814446399E-2</v>
      </c>
      <c r="AG839">
        <v>-0.173304399999999</v>
      </c>
      <c r="AH839">
        <v>0.39101894349876198</v>
      </c>
      <c r="AI839">
        <v>113.783500082769</v>
      </c>
      <c r="AJ839">
        <v>83.907065252837796</v>
      </c>
      <c r="AK839">
        <v>0.42973524632964799</v>
      </c>
      <c r="AL839">
        <v>95.204409401206405</v>
      </c>
      <c r="AM839">
        <v>89.346879118138901</v>
      </c>
      <c r="AN839">
        <v>0.999999980513397</v>
      </c>
    </row>
    <row r="840" spans="1:40" x14ac:dyDescent="0.25">
      <c r="A840" t="str">
        <f>"20190303154435125"</f>
        <v>20190303154435125</v>
      </c>
      <c r="B840" t="str">
        <f>"1551599075121578"</f>
        <v>1551599075121578</v>
      </c>
      <c r="C840" t="s">
        <v>40</v>
      </c>
      <c r="D840">
        <v>5.0903199999999904</v>
      </c>
      <c r="E840">
        <v>0.51968159999999997</v>
      </c>
      <c r="F840" t="s">
        <v>42</v>
      </c>
      <c r="G840">
        <v>-260.99540000000002</v>
      </c>
      <c r="H840">
        <v>0.90612999999999999</v>
      </c>
      <c r="I840">
        <v>367.42439999999999</v>
      </c>
      <c r="J840">
        <v>-261.62040000000002</v>
      </c>
      <c r="K840">
        <v>1.1210199999999999</v>
      </c>
      <c r="L840">
        <v>367.48230000000001</v>
      </c>
      <c r="M840">
        <v>0.99989240000000001</v>
      </c>
      <c r="N840">
        <v>-1.4507569999999999E-2</v>
      </c>
      <c r="O840">
        <v>2.218626E-3</v>
      </c>
      <c r="P840">
        <v>0.99440070000000003</v>
      </c>
      <c r="Q840">
        <v>-0.105277</v>
      </c>
      <c r="R840">
        <v>-9.1628790000000005E-3</v>
      </c>
      <c r="S840">
        <v>2.9394230000000001</v>
      </c>
      <c r="T840">
        <v>-0.7151265</v>
      </c>
      <c r="U840">
        <v>-0.19009400000000001</v>
      </c>
      <c r="V840">
        <v>1.1365689999999999E-2</v>
      </c>
      <c r="W840">
        <v>-9.0840409999999996E-2</v>
      </c>
      <c r="X840">
        <v>0.99580060000000004</v>
      </c>
      <c r="Y840">
        <v>6.469751E-2</v>
      </c>
      <c r="Z840">
        <v>-8.7258960000000003E-3</v>
      </c>
      <c r="AA840">
        <v>0.9978667</v>
      </c>
      <c r="AB840">
        <v>25</v>
      </c>
      <c r="AC840">
        <v>0.625</v>
      </c>
      <c r="AD840">
        <v>-0.21489</v>
      </c>
      <c r="AE840">
        <v>-5.7900000000017798E-2</v>
      </c>
      <c r="AF840">
        <v>5.3066742801374703E-2</v>
      </c>
      <c r="AG840">
        <v>-0.21489</v>
      </c>
      <c r="AH840">
        <v>0.55931340495694803</v>
      </c>
      <c r="AI840">
        <v>110.931128182105</v>
      </c>
      <c r="AJ840">
        <v>84.580094274611696</v>
      </c>
      <c r="AK840">
        <v>0.60151914039046395</v>
      </c>
      <c r="AL840">
        <v>95.211957110111399</v>
      </c>
      <c r="AM840">
        <v>89.346076119287801</v>
      </c>
      <c r="AN840">
        <v>0.99999999697925201</v>
      </c>
    </row>
    <row r="841" spans="1:40" x14ac:dyDescent="0.25">
      <c r="A841" t="str">
        <f>"20190303154435147"</f>
        <v>20190303154435147</v>
      </c>
      <c r="B841" t="str">
        <f>"1551599075141138"</f>
        <v>1551599075141138</v>
      </c>
      <c r="C841" t="s">
        <v>40</v>
      </c>
      <c r="D841">
        <v>5.1723119999999998</v>
      </c>
      <c r="E841">
        <v>0.51630909999999997</v>
      </c>
      <c r="F841" t="s">
        <v>42</v>
      </c>
      <c r="G841">
        <v>-260.76549999999997</v>
      </c>
      <c r="H841">
        <v>0.91264179999999995</v>
      </c>
      <c r="I841">
        <v>367.42660000000001</v>
      </c>
      <c r="J841">
        <v>-261.36689999999999</v>
      </c>
      <c r="K841">
        <v>1.1210199999999999</v>
      </c>
      <c r="L841">
        <v>367.48289999999997</v>
      </c>
      <c r="M841">
        <v>0.99989349999999999</v>
      </c>
      <c r="N841">
        <v>-1.442351E-2</v>
      </c>
      <c r="O841">
        <v>2.2185220000000001E-3</v>
      </c>
      <c r="P841">
        <v>0.99433289999999996</v>
      </c>
      <c r="Q841">
        <v>-0.105866</v>
      </c>
      <c r="R841">
        <v>-9.72575E-3</v>
      </c>
      <c r="S841">
        <v>2.93927</v>
      </c>
      <c r="T841">
        <v>-0.71655729999999995</v>
      </c>
      <c r="U841">
        <v>-0.1906128</v>
      </c>
      <c r="V841">
        <v>1.192825E-2</v>
      </c>
      <c r="W841">
        <v>-9.1514020000000001E-2</v>
      </c>
      <c r="X841">
        <v>0.99573239999999996</v>
      </c>
      <c r="Y841">
        <v>6.4863560000000001E-2</v>
      </c>
      <c r="Z841">
        <v>-8.7609369999999999E-3</v>
      </c>
      <c r="AA841">
        <v>0.99785570000000001</v>
      </c>
      <c r="AB841">
        <v>25</v>
      </c>
      <c r="AC841">
        <v>0.60140000000001204</v>
      </c>
      <c r="AD841">
        <v>-0.20837820000000001</v>
      </c>
      <c r="AE841">
        <v>-5.6299999999964698E-2</v>
      </c>
      <c r="AF841">
        <v>5.1504590402682002E-2</v>
      </c>
      <c r="AG841">
        <v>-0.20837820000000001</v>
      </c>
      <c r="AH841">
        <v>0.53732575931442295</v>
      </c>
      <c r="AI841">
        <v>111.10841869980401</v>
      </c>
      <c r="AJ841">
        <v>84.524723076457505</v>
      </c>
      <c r="AK841">
        <v>0.57861314251458995</v>
      </c>
      <c r="AL841">
        <v>95.250713244673406</v>
      </c>
      <c r="AM841">
        <v>89.313665305628604</v>
      </c>
      <c r="AN841">
        <v>1.00000005570719</v>
      </c>
    </row>
    <row r="842" spans="1:40" x14ac:dyDescent="0.25">
      <c r="A842" t="str">
        <f>"20190303154435168"</f>
        <v>20190303154435168</v>
      </c>
      <c r="B842" t="str">
        <f>"1551599075161597"</f>
        <v>1551599075161597</v>
      </c>
      <c r="C842" t="s">
        <v>40</v>
      </c>
      <c r="D842">
        <v>4.8058940000000003</v>
      </c>
      <c r="E842">
        <v>0.51882910000000004</v>
      </c>
      <c r="F842" t="s">
        <v>42</v>
      </c>
      <c r="G842">
        <v>-260.55799999999999</v>
      </c>
      <c r="H842">
        <v>0.86803839999999999</v>
      </c>
      <c r="I842">
        <v>367.4359</v>
      </c>
      <c r="J842">
        <v>-261.11989999999997</v>
      </c>
      <c r="K842">
        <v>1.1210209999999901</v>
      </c>
      <c r="L842">
        <v>367.48340000000002</v>
      </c>
      <c r="M842">
        <v>0.99989459999999997</v>
      </c>
      <c r="N842">
        <v>-1.435174E-2</v>
      </c>
      <c r="O842">
        <v>2.2185640000000001E-3</v>
      </c>
      <c r="P842">
        <v>0.99433229999999995</v>
      </c>
      <c r="Q842">
        <v>-0.1058535</v>
      </c>
      <c r="R842">
        <v>-9.9180729999999995E-3</v>
      </c>
      <c r="S842">
        <v>2.9182739999999998</v>
      </c>
      <c r="T842">
        <v>-0.91266210000000003</v>
      </c>
      <c r="U842">
        <v>-0.16839599999999999</v>
      </c>
      <c r="V842">
        <v>1.2120519999999999E-2</v>
      </c>
      <c r="W842">
        <v>-9.1573100000000004E-2</v>
      </c>
      <c r="X842">
        <v>0.99572459999999996</v>
      </c>
      <c r="Y842">
        <v>5.6887890000000003E-2</v>
      </c>
      <c r="Z842">
        <v>-9.7459160000000003E-3</v>
      </c>
      <c r="AA842">
        <v>0.99833300000000003</v>
      </c>
      <c r="AB842">
        <v>25</v>
      </c>
      <c r="AC842">
        <v>0.56189999999997997</v>
      </c>
      <c r="AD842">
        <v>-0.252982599999999</v>
      </c>
      <c r="AE842">
        <v>-4.7500000000013601E-2</v>
      </c>
      <c r="AF842">
        <v>4.0579368752699997E-2</v>
      </c>
      <c r="AG842">
        <v>-0.252982599999999</v>
      </c>
      <c r="AH842">
        <v>0.46766756806993098</v>
      </c>
      <c r="AI842">
        <v>118.32113337959299</v>
      </c>
      <c r="AJ842">
        <v>85.040883918031298</v>
      </c>
      <c r="AK842">
        <v>0.53325400635679299</v>
      </c>
      <c r="AL842">
        <v>95.254112796850904</v>
      </c>
      <c r="AM842">
        <v>89.302597982271394</v>
      </c>
      <c r="AN842">
        <v>1.0000000093469199</v>
      </c>
    </row>
    <row r="843" spans="1:40" x14ac:dyDescent="0.25">
      <c r="A843" t="str">
        <f>"20190303154435190"</f>
        <v>20190303154435190</v>
      </c>
      <c r="B843" t="str">
        <f>"1551599075181114"</f>
        <v>1551599075181114</v>
      </c>
      <c r="C843" t="s">
        <v>40</v>
      </c>
      <c r="D843">
        <v>4.768154</v>
      </c>
      <c r="E843">
        <v>0.52039299999999999</v>
      </c>
      <c r="F843" t="s">
        <v>42</v>
      </c>
      <c r="G843">
        <v>-260.32350000000002</v>
      </c>
      <c r="H843">
        <v>0.8878779</v>
      </c>
      <c r="I843">
        <v>367.43189999999998</v>
      </c>
      <c r="J843">
        <v>-260.86970000000002</v>
      </c>
      <c r="K843">
        <v>1.121027</v>
      </c>
      <c r="L843">
        <v>367.48390000000001</v>
      </c>
      <c r="M843">
        <v>0.99989550000000005</v>
      </c>
      <c r="N843">
        <v>-1.4287930000000001E-2</v>
      </c>
      <c r="O843">
        <v>2.2185460000000001E-3</v>
      </c>
      <c r="P843">
        <v>0.99433879999999997</v>
      </c>
      <c r="Q843">
        <v>-0.1057806</v>
      </c>
      <c r="R843">
        <v>-1.0057679999999999E-2</v>
      </c>
      <c r="S843">
        <v>2.9241030000000001</v>
      </c>
      <c r="T843">
        <v>-0.85604389999999997</v>
      </c>
      <c r="U843">
        <v>-0.18835450000000001</v>
      </c>
      <c r="V843">
        <v>1.226022E-2</v>
      </c>
      <c r="W843">
        <v>-9.156359E-2</v>
      </c>
      <c r="X843">
        <v>0.99572380000000005</v>
      </c>
      <c r="Y843">
        <v>6.3616199999999998E-2</v>
      </c>
      <c r="Z843">
        <v>-1.018091E-2</v>
      </c>
      <c r="AA843">
        <v>0.99792250000000005</v>
      </c>
      <c r="AB843">
        <v>25</v>
      </c>
      <c r="AC843">
        <v>0.54619999999999802</v>
      </c>
      <c r="AD843">
        <v>-0.2331491</v>
      </c>
      <c r="AE843">
        <v>-5.2000000000020898E-2</v>
      </c>
      <c r="AF843">
        <v>4.5072945041956497E-2</v>
      </c>
      <c r="AG843">
        <v>-0.2331491</v>
      </c>
      <c r="AH843">
        <v>0.46255901140819</v>
      </c>
      <c r="AI843">
        <v>116.641355141231</v>
      </c>
      <c r="AJ843">
        <v>84.434521691014794</v>
      </c>
      <c r="AK843">
        <v>0.51995279808891104</v>
      </c>
      <c r="AL843">
        <v>95.253565427615101</v>
      </c>
      <c r="AM843">
        <v>89.2945600316624</v>
      </c>
      <c r="AN843">
        <v>1.0000000449472799</v>
      </c>
    </row>
    <row r="844" spans="1:40" x14ac:dyDescent="0.25">
      <c r="A844" t="str">
        <f>"20190303154435224"</f>
        <v>20190303154435224</v>
      </c>
      <c r="B844" t="str">
        <f>"1551599075211370"</f>
        <v>1551599075211370</v>
      </c>
      <c r="C844" t="s">
        <v>40</v>
      </c>
      <c r="D844">
        <v>4.6291310000000001</v>
      </c>
      <c r="E844">
        <v>0.52113659999999995</v>
      </c>
      <c r="F844" t="s">
        <v>42</v>
      </c>
      <c r="G844">
        <v>-260.09140000000002</v>
      </c>
      <c r="H844">
        <v>0.90173009999999998</v>
      </c>
      <c r="I844">
        <v>367.43020000000001</v>
      </c>
      <c r="J844">
        <v>-260.49639999999999</v>
      </c>
      <c r="K844">
        <v>1.1210290000000001</v>
      </c>
      <c r="L844">
        <v>367.48469999999998</v>
      </c>
      <c r="M844">
        <v>0.99989660000000002</v>
      </c>
      <c r="N844">
        <v>-1.420653E-2</v>
      </c>
      <c r="O844">
        <v>2.2184129999999998E-3</v>
      </c>
      <c r="P844">
        <v>0.99429500000000004</v>
      </c>
      <c r="Q844">
        <v>-0.1062423</v>
      </c>
      <c r="R844">
        <v>-9.4820930000000005E-3</v>
      </c>
      <c r="S844">
        <v>2.9273069999999999</v>
      </c>
      <c r="T844">
        <v>-0.82485710000000001</v>
      </c>
      <c r="U844">
        <v>-0.2008972</v>
      </c>
      <c r="V844">
        <v>1.1684419999999999E-2</v>
      </c>
      <c r="W844">
        <v>-9.2106889999999997E-2</v>
      </c>
      <c r="X844">
        <v>0.99568060000000003</v>
      </c>
      <c r="Y844">
        <v>6.7835439999999997E-2</v>
      </c>
      <c r="Z844">
        <v>-1.0438080000000001E-2</v>
      </c>
      <c r="AA844">
        <v>0.99764189999999997</v>
      </c>
      <c r="AB844">
        <v>25</v>
      </c>
      <c r="AC844">
        <v>0.40499999999997199</v>
      </c>
      <c r="AD844">
        <v>-0.21929889999999999</v>
      </c>
      <c r="AE844">
        <v>-5.4499999999961801E-2</v>
      </c>
      <c r="AF844">
        <v>4.3011715676667901E-2</v>
      </c>
      <c r="AG844">
        <v>-0.21929889999999999</v>
      </c>
      <c r="AH844">
        <v>0.31435017683544397</v>
      </c>
      <c r="AI844">
        <v>124.651686941893</v>
      </c>
      <c r="AJ844">
        <v>82.208749291380002</v>
      </c>
      <c r="AK844">
        <v>0.385691650030352</v>
      </c>
      <c r="AL844">
        <v>95.284826399146397</v>
      </c>
      <c r="AM844">
        <v>89.327658665672899</v>
      </c>
      <c r="AN844">
        <v>1.00000003103628</v>
      </c>
    </row>
    <row r="845" spans="1:40" x14ac:dyDescent="0.25">
      <c r="A845" t="str">
        <f>"20190303154435247"</f>
        <v>20190303154435247</v>
      </c>
      <c r="B845" t="str">
        <f>"1551599075241629"</f>
        <v>1551599075241629</v>
      </c>
      <c r="C845" t="s">
        <v>40</v>
      </c>
      <c r="D845">
        <v>4.6632930000000004</v>
      </c>
      <c r="E845">
        <v>0.52201719999999996</v>
      </c>
      <c r="F845" t="s">
        <v>42</v>
      </c>
      <c r="G845">
        <v>-259.64510000000001</v>
      </c>
      <c r="H845">
        <v>0.89139239999999997</v>
      </c>
      <c r="I845">
        <v>367.42489999999998</v>
      </c>
      <c r="J845">
        <v>-260.23320000000001</v>
      </c>
      <c r="K845">
        <v>1.1210209999999901</v>
      </c>
      <c r="L845">
        <v>367.4853</v>
      </c>
      <c r="M845">
        <v>0.99989740000000005</v>
      </c>
      <c r="N845">
        <v>-1.4158270000000001E-2</v>
      </c>
      <c r="O845">
        <v>2.2184589999999999E-3</v>
      </c>
      <c r="P845">
        <v>0.9942822</v>
      </c>
      <c r="Q845">
        <v>-0.10641730000000001</v>
      </c>
      <c r="R845">
        <v>-8.8586429999999994E-3</v>
      </c>
      <c r="S845">
        <v>2.9308169999999998</v>
      </c>
      <c r="T845">
        <v>-0.79057529999999998</v>
      </c>
      <c r="U845">
        <v>-0.20489499999999999</v>
      </c>
      <c r="V845">
        <v>1.1060800000000001E-2</v>
      </c>
      <c r="W845">
        <v>-9.2330029999999993E-2</v>
      </c>
      <c r="X845">
        <v>0.99566699999999997</v>
      </c>
      <c r="Y845">
        <v>6.9283380000000006E-2</v>
      </c>
      <c r="Z845">
        <v>-1.0226290000000001E-2</v>
      </c>
      <c r="AA845">
        <v>0.9975446</v>
      </c>
      <c r="AB845">
        <v>25</v>
      </c>
      <c r="AC845">
        <v>0.58809999999999696</v>
      </c>
      <c r="AD845">
        <v>-0.22962859999999899</v>
      </c>
      <c r="AE845">
        <v>-6.0400000000015497E-2</v>
      </c>
      <c r="AF845">
        <v>5.36158286643829E-2</v>
      </c>
      <c r="AG845">
        <v>-0.22962859999999899</v>
      </c>
      <c r="AH845">
        <v>0.51088860090516297</v>
      </c>
      <c r="AI845">
        <v>114.08531765839901</v>
      </c>
      <c r="AJ845">
        <v>84.008954704833002</v>
      </c>
      <c r="AK845">
        <v>0.56268207147212701</v>
      </c>
      <c r="AL845">
        <v>95.297666387574495</v>
      </c>
      <c r="AM845">
        <v>89.363531089747497</v>
      </c>
      <c r="AN845">
        <v>0.99999997531272</v>
      </c>
    </row>
    <row r="846" spans="1:40" x14ac:dyDescent="0.25">
      <c r="A846" t="str">
        <f>"20190303154435268"</f>
        <v>20190303154435268</v>
      </c>
      <c r="B846" t="str">
        <f>"1551599075261149"</f>
        <v>1551599075261149</v>
      </c>
      <c r="C846" t="s">
        <v>40</v>
      </c>
      <c r="D846">
        <v>4.8196580000000004</v>
      </c>
      <c r="E846">
        <v>0.5207176</v>
      </c>
      <c r="F846" t="s">
        <v>42</v>
      </c>
      <c r="G846">
        <v>-259.41460000000001</v>
      </c>
      <c r="H846">
        <v>0.90322610000000003</v>
      </c>
      <c r="I846">
        <v>367.42649999999998</v>
      </c>
      <c r="J846">
        <v>-259.99400000000003</v>
      </c>
      <c r="K846">
        <v>1.1210209999999901</v>
      </c>
      <c r="L846">
        <v>367.48579999999998</v>
      </c>
      <c r="M846">
        <v>0.99989790000000001</v>
      </c>
      <c r="N846">
        <v>-1.4120000000000001E-2</v>
      </c>
      <c r="O846">
        <v>2.218373E-3</v>
      </c>
      <c r="P846">
        <v>0.99427960000000004</v>
      </c>
      <c r="Q846">
        <v>-0.10647860000000001</v>
      </c>
      <c r="R846">
        <v>-8.3986240000000004E-3</v>
      </c>
      <c r="S846">
        <v>2.9318849999999999</v>
      </c>
      <c r="T846">
        <v>-0.78015480000000004</v>
      </c>
      <c r="U846">
        <v>-0.2098999</v>
      </c>
      <c r="V846">
        <v>1.060066E-2</v>
      </c>
      <c r="W846">
        <v>-9.2429499999999998E-2</v>
      </c>
      <c r="X846">
        <v>0.99566279999999996</v>
      </c>
      <c r="Y846">
        <v>7.0960750000000003E-2</v>
      </c>
      <c r="Z846">
        <v>-1.032774E-2</v>
      </c>
      <c r="AA846">
        <v>0.99742560000000002</v>
      </c>
      <c r="AB846">
        <v>25</v>
      </c>
      <c r="AC846">
        <v>0.57940000000002101</v>
      </c>
      <c r="AD846">
        <v>-0.21779489999999899</v>
      </c>
      <c r="AE846">
        <v>-5.9300000000007402E-2</v>
      </c>
      <c r="AF846">
        <v>5.3152744933624103E-2</v>
      </c>
      <c r="AG846">
        <v>-0.21779489999999899</v>
      </c>
      <c r="AH846">
        <v>0.50820294555965095</v>
      </c>
      <c r="AI846">
        <v>113.085349841694</v>
      </c>
      <c r="AJ846">
        <v>84.029165573423896</v>
      </c>
      <c r="AK846">
        <v>0.55545482861839801</v>
      </c>
      <c r="AL846">
        <v>95.3033899489064</v>
      </c>
      <c r="AM846">
        <v>89.390004196207599</v>
      </c>
      <c r="AN846">
        <v>0.99999999888326196</v>
      </c>
    </row>
    <row r="847" spans="1:40" x14ac:dyDescent="0.25">
      <c r="A847" t="str">
        <f>"20190303154435291"</f>
        <v>20190303154435291</v>
      </c>
      <c r="B847" t="str">
        <f>"1551599075280666"</f>
        <v>1551599075280666</v>
      </c>
      <c r="C847" t="s">
        <v>40</v>
      </c>
      <c r="D847">
        <v>4.6278519999999999</v>
      </c>
      <c r="E847">
        <v>0.52032900000000004</v>
      </c>
      <c r="F847" t="s">
        <v>42</v>
      </c>
      <c r="G847">
        <v>-259.18959999999998</v>
      </c>
      <c r="H847">
        <v>0.90303239999999996</v>
      </c>
      <c r="I847">
        <v>367.43110000000001</v>
      </c>
      <c r="J847">
        <v>-259.73860000000002</v>
      </c>
      <c r="K847">
        <v>1.12103</v>
      </c>
      <c r="L847">
        <v>367.4864</v>
      </c>
      <c r="M847">
        <v>0.99989850000000002</v>
      </c>
      <c r="N847">
        <v>-1.4084279999999999E-2</v>
      </c>
      <c r="O847">
        <v>2.218448E-3</v>
      </c>
      <c r="P847">
        <v>0.99431139999999996</v>
      </c>
      <c r="Q847">
        <v>-0.1062005</v>
      </c>
      <c r="R847">
        <v>-8.1738030000000003E-3</v>
      </c>
      <c r="S847">
        <v>2.930542</v>
      </c>
      <c r="T847">
        <v>-0.79420570000000001</v>
      </c>
      <c r="U847">
        <v>-0.1984253</v>
      </c>
      <c r="V847">
        <v>1.037594E-2</v>
      </c>
      <c r="W847">
        <v>-9.2186489999999996E-2</v>
      </c>
      <c r="X847">
        <v>0.99568769999999995</v>
      </c>
      <c r="Y847">
        <v>6.7154499999999895E-2</v>
      </c>
      <c r="Z847">
        <v>-9.9703740000000006E-3</v>
      </c>
      <c r="AA847">
        <v>0.99769280000000005</v>
      </c>
      <c r="AB847">
        <v>25</v>
      </c>
      <c r="AC847">
        <v>0.54900000000003402</v>
      </c>
      <c r="AD847">
        <v>-0.21799759999999899</v>
      </c>
      <c r="AE847">
        <v>-5.5299999999988303E-2</v>
      </c>
      <c r="AF847">
        <v>4.8887130791947703E-2</v>
      </c>
      <c r="AG847">
        <v>-0.21799759999999899</v>
      </c>
      <c r="AH847">
        <v>0.47476931638834402</v>
      </c>
      <c r="AI847">
        <v>114.54856265970299</v>
      </c>
      <c r="AJ847">
        <v>84.120957212988202</v>
      </c>
      <c r="AK847">
        <v>0.52470830844068495</v>
      </c>
      <c r="AL847">
        <v>95.289406781274906</v>
      </c>
      <c r="AM847">
        <v>89.402949286084606</v>
      </c>
      <c r="AN847">
        <v>1.0000000025003399</v>
      </c>
    </row>
    <row r="848" spans="1:40" x14ac:dyDescent="0.25">
      <c r="A848" t="str">
        <f>"20190303154435313"</f>
        <v>20190303154435313</v>
      </c>
      <c r="B848" t="str">
        <f>"1551599075310921"</f>
        <v>1551599075310921</v>
      </c>
      <c r="C848" t="s">
        <v>40</v>
      </c>
      <c r="D848">
        <v>4.5888849999999897</v>
      </c>
      <c r="E848">
        <v>0.5206577</v>
      </c>
      <c r="F848" t="s">
        <v>42</v>
      </c>
      <c r="G848">
        <v>-258.96039999999999</v>
      </c>
      <c r="H848">
        <v>0.91280819999999996</v>
      </c>
      <c r="I848">
        <v>367.43450000000001</v>
      </c>
      <c r="J848">
        <v>-259.48349999999999</v>
      </c>
      <c r="K848">
        <v>1.1210279999999999</v>
      </c>
      <c r="L848">
        <v>367.48689999999999</v>
      </c>
      <c r="M848">
        <v>0.99989890000000003</v>
      </c>
      <c r="N848">
        <v>-1.4053049999999999E-2</v>
      </c>
      <c r="O848">
        <v>2.21849E-3</v>
      </c>
      <c r="P848">
        <v>0.99439310000000003</v>
      </c>
      <c r="Q848">
        <v>-0.1054097</v>
      </c>
      <c r="R848">
        <v>-8.4559949999999991E-3</v>
      </c>
      <c r="S848">
        <v>2.9317319999999998</v>
      </c>
      <c r="T848">
        <v>-0.78445759999999998</v>
      </c>
      <c r="U848">
        <v>-0.19439699999999999</v>
      </c>
      <c r="V848">
        <v>1.065867E-2</v>
      </c>
      <c r="W848">
        <v>-9.1425699999999999E-2</v>
      </c>
      <c r="X848">
        <v>0.99575480000000005</v>
      </c>
      <c r="Y848">
        <v>6.5873070000000006E-2</v>
      </c>
      <c r="Z848">
        <v>-9.6755409999999993E-3</v>
      </c>
      <c r="AA848">
        <v>0.99778109999999998</v>
      </c>
      <c r="AB848">
        <v>25</v>
      </c>
      <c r="AC848">
        <v>0.52309999999999901</v>
      </c>
      <c r="AD848">
        <v>-0.20821980000000001</v>
      </c>
      <c r="AE848">
        <v>-5.2399999999977298E-2</v>
      </c>
      <c r="AF848">
        <v>4.6297770876265597E-2</v>
      </c>
      <c r="AG848">
        <v>-0.20821980000000001</v>
      </c>
      <c r="AH848">
        <v>0.45206694963002297</v>
      </c>
      <c r="AI848">
        <v>114.617175742005</v>
      </c>
      <c r="AJ848">
        <v>84.1525240639901</v>
      </c>
      <c r="AK848">
        <v>0.49986347700941802</v>
      </c>
      <c r="AL848">
        <v>95.245632167275502</v>
      </c>
      <c r="AM848">
        <v>89.386723032931698</v>
      </c>
      <c r="AN848">
        <v>0.99999994379484702</v>
      </c>
    </row>
    <row r="849" spans="1:40" x14ac:dyDescent="0.25">
      <c r="A849" t="str">
        <f>"20190303154435338"</f>
        <v>20190303154435338</v>
      </c>
      <c r="B849" t="str">
        <f>"1551599075331419"</f>
        <v>1551599075331419</v>
      </c>
      <c r="C849" t="s">
        <v>40</v>
      </c>
      <c r="D849">
        <v>4.5773929999999998</v>
      </c>
      <c r="E849">
        <v>0.52108449999999995</v>
      </c>
      <c r="F849" t="s">
        <v>42</v>
      </c>
      <c r="G849">
        <v>-258.7321</v>
      </c>
      <c r="H849">
        <v>0.92128239999999995</v>
      </c>
      <c r="I849">
        <v>367.43610000000001</v>
      </c>
      <c r="J849">
        <v>-259.22230000000002</v>
      </c>
      <c r="K849">
        <v>1.1210279999999999</v>
      </c>
      <c r="L849">
        <v>367.48750000000001</v>
      </c>
      <c r="M849">
        <v>0.99989919999999999</v>
      </c>
      <c r="N849">
        <v>-1.402519E-2</v>
      </c>
      <c r="O849">
        <v>2.2185070000000002E-3</v>
      </c>
      <c r="P849">
        <v>0.9944018</v>
      </c>
      <c r="Q849">
        <v>-0.1052492</v>
      </c>
      <c r="R849">
        <v>-9.3695600000000007E-3</v>
      </c>
      <c r="S849">
        <v>2.9325559999999999</v>
      </c>
      <c r="T849">
        <v>-0.77968440000000006</v>
      </c>
      <c r="U849">
        <v>-0.19747919999999999</v>
      </c>
      <c r="V849">
        <v>1.157214E-2</v>
      </c>
      <c r="W849">
        <v>-9.1293009999999994E-2</v>
      </c>
      <c r="X849">
        <v>0.99575689999999994</v>
      </c>
      <c r="Y849">
        <v>6.6892389999999996E-2</v>
      </c>
      <c r="Z849">
        <v>-9.7578170000000002E-3</v>
      </c>
      <c r="AA849">
        <v>0.9977125</v>
      </c>
      <c r="AB849">
        <v>25</v>
      </c>
      <c r="AC849">
        <v>0.49020000000001501</v>
      </c>
      <c r="AD849">
        <v>-0.1997456</v>
      </c>
      <c r="AE849">
        <v>-5.1400000000000903E-2</v>
      </c>
      <c r="AF849">
        <v>4.5083344173633202E-2</v>
      </c>
      <c r="AG849">
        <v>-0.1997456</v>
      </c>
      <c r="AH849">
        <v>0.42095094315015602</v>
      </c>
      <c r="AI849">
        <v>115.25851176232599</v>
      </c>
      <c r="AJ849">
        <v>83.886991640255104</v>
      </c>
      <c r="AK849">
        <v>0.46811377802863702</v>
      </c>
      <c r="AL849">
        <v>95.237997020384697</v>
      </c>
      <c r="AM849">
        <v>89.334169881281099</v>
      </c>
      <c r="AN849">
        <v>1.0000000659983199</v>
      </c>
    </row>
    <row r="850" spans="1:40" x14ac:dyDescent="0.25">
      <c r="A850" t="str">
        <f>"20190303154435360"</f>
        <v>20190303154435360</v>
      </c>
      <c r="B850" t="str">
        <f>"1551599075350938"</f>
        <v>1551599075350938</v>
      </c>
      <c r="C850" t="s">
        <v>40</v>
      </c>
      <c r="D850">
        <v>4.551018</v>
      </c>
      <c r="E850">
        <v>0.52129829999999999</v>
      </c>
      <c r="F850" t="s">
        <v>42</v>
      </c>
      <c r="G850">
        <v>-258.50349999999997</v>
      </c>
      <c r="H850">
        <v>0.93076150000000002</v>
      </c>
      <c r="I850">
        <v>367.43740000000003</v>
      </c>
      <c r="J850">
        <v>-258.97089999999997</v>
      </c>
      <c r="K850">
        <v>1.1210209999999901</v>
      </c>
      <c r="L850">
        <v>367.48809999999997</v>
      </c>
      <c r="M850">
        <v>0.9998996</v>
      </c>
      <c r="N850">
        <v>-1.4001649999999999E-2</v>
      </c>
      <c r="O850">
        <v>2.2185540000000002E-3</v>
      </c>
      <c r="P850">
        <v>0.9943805</v>
      </c>
      <c r="Q850">
        <v>-0.10539999999999999</v>
      </c>
      <c r="R850">
        <v>-9.9129230000000006E-3</v>
      </c>
      <c r="S850">
        <v>2.9327999999999999</v>
      </c>
      <c r="T850">
        <v>-0.77633619999999903</v>
      </c>
      <c r="U850">
        <v>-0.20379639999999999</v>
      </c>
      <c r="V850">
        <v>1.211566E-2</v>
      </c>
      <c r="W850">
        <v>-9.1467519999999997E-2</v>
      </c>
      <c r="X850">
        <v>0.99573429999999996</v>
      </c>
      <c r="Y850">
        <v>6.8972210000000006E-2</v>
      </c>
      <c r="Z850">
        <v>-1.000213E-2</v>
      </c>
      <c r="AA850">
        <v>0.99756840000000002</v>
      </c>
      <c r="AB850">
        <v>25</v>
      </c>
      <c r="AC850">
        <v>0.46739999999999698</v>
      </c>
      <c r="AD850">
        <v>-0.190259499999999</v>
      </c>
      <c r="AE850">
        <v>-5.06999999999493E-2</v>
      </c>
      <c r="AF850">
        <v>4.4456307039110902E-2</v>
      </c>
      <c r="AG850">
        <v>-0.190259499999999</v>
      </c>
      <c r="AH850">
        <v>0.40152800398215299</v>
      </c>
      <c r="AI850">
        <v>115.21859980349301</v>
      </c>
      <c r="AJ850">
        <v>83.682068081319997</v>
      </c>
      <c r="AK850">
        <v>0.446542023283025</v>
      </c>
      <c r="AL850">
        <v>95.248038345640794</v>
      </c>
      <c r="AM850">
        <v>89.302884384360695</v>
      </c>
      <c r="AN850">
        <v>0.99999994631433597</v>
      </c>
    </row>
    <row r="851" spans="1:40" x14ac:dyDescent="0.25">
      <c r="A851" t="str">
        <f>"20190303154435382"</f>
        <v>20190303154435382</v>
      </c>
      <c r="B851" t="str">
        <f>"1551599075371435"</f>
        <v>1551599075371435</v>
      </c>
      <c r="C851" t="s">
        <v>40</v>
      </c>
      <c r="D851">
        <v>4.5678570000000001</v>
      </c>
      <c r="E851">
        <v>0.5218547</v>
      </c>
      <c r="F851" t="s">
        <v>42</v>
      </c>
      <c r="G851">
        <v>-258.27640000000002</v>
      </c>
      <c r="H851">
        <v>0.93736549999999996</v>
      </c>
      <c r="I851">
        <v>367.43880000000001</v>
      </c>
      <c r="J851">
        <v>-258.72640000000001</v>
      </c>
      <c r="K851">
        <v>1.121016</v>
      </c>
      <c r="L851">
        <v>367.48860000000002</v>
      </c>
      <c r="M851">
        <v>0.99989980000000001</v>
      </c>
      <c r="N851">
        <v>-1.3981520000000001E-2</v>
      </c>
      <c r="O851">
        <v>2.218696E-3</v>
      </c>
      <c r="P851">
        <v>0.99431630000000004</v>
      </c>
      <c r="Q851">
        <v>-0.10595</v>
      </c>
      <c r="R851">
        <v>-1.0476279999999999E-2</v>
      </c>
      <c r="S851">
        <v>2.9326780000000001</v>
      </c>
      <c r="T851">
        <v>-0.77561780000000002</v>
      </c>
      <c r="U851">
        <v>-0.20700070000000001</v>
      </c>
      <c r="V851">
        <v>1.267883E-2</v>
      </c>
      <c r="W851">
        <v>-9.2038469999999997E-2</v>
      </c>
      <c r="X851">
        <v>0.99567470000000002</v>
      </c>
      <c r="Y851">
        <v>7.002651E-2</v>
      </c>
      <c r="Z851">
        <v>-1.0137419999999999E-2</v>
      </c>
      <c r="AA851">
        <v>0.99749359999999998</v>
      </c>
      <c r="AB851">
        <v>25</v>
      </c>
      <c r="AC851">
        <v>0.44999999999998802</v>
      </c>
      <c r="AD851">
        <v>-0.183650499999999</v>
      </c>
      <c r="AE851">
        <v>-4.9800000000004702E-2</v>
      </c>
      <c r="AF851">
        <v>4.3620973916536E-2</v>
      </c>
      <c r="AG851">
        <v>-0.183650499999999</v>
      </c>
      <c r="AH851">
        <v>0.38632268536669301</v>
      </c>
      <c r="AI851">
        <v>115.285082979062</v>
      </c>
      <c r="AJ851">
        <v>83.557829277171095</v>
      </c>
      <c r="AK851">
        <v>0.42997152550443402</v>
      </c>
      <c r="AL851">
        <v>95.280889820053602</v>
      </c>
      <c r="AM851">
        <v>89.270440248073896</v>
      </c>
      <c r="AN851">
        <v>0.99999997045509903</v>
      </c>
    </row>
    <row r="852" spans="1:40" x14ac:dyDescent="0.25">
      <c r="A852" t="str">
        <f>"20190303154435426"</f>
        <v>20190303154435426</v>
      </c>
      <c r="B852" t="str">
        <f>"1551599075421210"</f>
        <v>1551599075421210</v>
      </c>
      <c r="C852" t="s">
        <v>40</v>
      </c>
      <c r="D852">
        <v>4.4558039999999997</v>
      </c>
      <c r="E852">
        <v>0.56065750000000003</v>
      </c>
      <c r="F852" t="s">
        <v>42</v>
      </c>
      <c r="G852">
        <v>-257.85180000000003</v>
      </c>
      <c r="H852">
        <v>0.88961650000000003</v>
      </c>
      <c r="I852">
        <v>367.4248</v>
      </c>
      <c r="J852">
        <v>-258.23230000000001</v>
      </c>
      <c r="K852">
        <v>1.1210100000000001</v>
      </c>
      <c r="L852">
        <v>367.48970000000003</v>
      </c>
      <c r="M852">
        <v>0.99990029999999996</v>
      </c>
      <c r="N852">
        <v>-1.394806E-2</v>
      </c>
      <c r="O852">
        <v>2.2185730000000002E-3</v>
      </c>
      <c r="P852">
        <v>0.99411930000000004</v>
      </c>
      <c r="Q852">
        <v>-0.1077799</v>
      </c>
      <c r="R852">
        <v>-1.0495859999999999E-2</v>
      </c>
      <c r="S852">
        <v>2.93222</v>
      </c>
      <c r="T852">
        <v>-0.77588900000000005</v>
      </c>
      <c r="U852">
        <v>-0.21322630000000001</v>
      </c>
      <c r="V852">
        <v>1.26979E-2</v>
      </c>
      <c r="W852">
        <v>-9.390424E-2</v>
      </c>
      <c r="X852">
        <v>0.9955003</v>
      </c>
      <c r="Y852">
        <v>7.2068670000000001E-2</v>
      </c>
      <c r="Z852">
        <v>-1.042014E-2</v>
      </c>
      <c r="AA852">
        <v>0.99734529999999999</v>
      </c>
      <c r="AB852">
        <v>25</v>
      </c>
      <c r="AC852">
        <v>0.38049999999998302</v>
      </c>
      <c r="AD852">
        <v>-0.2313935</v>
      </c>
      <c r="AE852">
        <v>-6.4900000000022801E-2</v>
      </c>
      <c r="AF852">
        <v>4.8363740642775897E-2</v>
      </c>
      <c r="AG852">
        <v>-0.2313935</v>
      </c>
      <c r="AH852">
        <v>0.27980300350181597</v>
      </c>
      <c r="AI852">
        <v>129.17670833391</v>
      </c>
      <c r="AJ852">
        <v>80.193364888442701</v>
      </c>
      <c r="AK852">
        <v>0.366294586391676</v>
      </c>
      <c r="AL852">
        <v>95.388255206732296</v>
      </c>
      <c r="AM852">
        <v>89.269215060590398</v>
      </c>
      <c r="AN852">
        <v>1.00000004512723</v>
      </c>
    </row>
    <row r="853" spans="1:40" x14ac:dyDescent="0.25">
      <c r="A853" t="str">
        <f>"20190303154435448"</f>
        <v>20190303154435448</v>
      </c>
      <c r="B853" t="str">
        <f>"1551599075440730"</f>
        <v>1551599075440730</v>
      </c>
      <c r="C853" t="s">
        <v>40</v>
      </c>
      <c r="D853">
        <v>6.2560120000000001</v>
      </c>
      <c r="E853">
        <v>0.5611275</v>
      </c>
      <c r="F853" t="s">
        <v>42</v>
      </c>
      <c r="G853">
        <v>-257.39330000000001</v>
      </c>
      <c r="H853">
        <v>0.91036890000000004</v>
      </c>
      <c r="I853">
        <v>367.34010000000001</v>
      </c>
      <c r="J853">
        <v>-257.98360000000002</v>
      </c>
      <c r="K853">
        <v>1.121016</v>
      </c>
      <c r="L853">
        <v>367.49020000000002</v>
      </c>
      <c r="M853">
        <v>0.99990049999999997</v>
      </c>
      <c r="N853">
        <v>-1.393401E-2</v>
      </c>
      <c r="O853">
        <v>2.2184930000000002E-3</v>
      </c>
      <c r="P853">
        <v>0.99405239999999995</v>
      </c>
      <c r="Q853">
        <v>-0.1083962</v>
      </c>
      <c r="R853">
        <v>-1.050652E-2</v>
      </c>
      <c r="S853">
        <v>2.932404</v>
      </c>
      <c r="T853">
        <v>-0.73630390000000001</v>
      </c>
      <c r="U853">
        <v>-0.52221679999999904</v>
      </c>
      <c r="V853">
        <v>1.2708199999999999E-2</v>
      </c>
      <c r="W853">
        <v>-9.4535380000000002E-2</v>
      </c>
      <c r="X853">
        <v>0.9954404</v>
      </c>
      <c r="Y853">
        <v>0.1719704</v>
      </c>
      <c r="Z853">
        <v>-2.2842189999999998E-2</v>
      </c>
      <c r="AA853">
        <v>0.98483719999999997</v>
      </c>
      <c r="AB853">
        <v>25</v>
      </c>
      <c r="AC853">
        <v>0.59030000000001304</v>
      </c>
      <c r="AD853">
        <v>-0.2106471</v>
      </c>
      <c r="AE853">
        <v>-0.150100000000009</v>
      </c>
      <c r="AF853">
        <v>0.13523438895545101</v>
      </c>
      <c r="AG853">
        <v>-0.2106471</v>
      </c>
      <c r="AH853">
        <v>0.52693994696187196</v>
      </c>
      <c r="AI853">
        <v>111.166758406798</v>
      </c>
      <c r="AJ853">
        <v>75.606201658259593</v>
      </c>
      <c r="AK853">
        <v>0.58337487810047595</v>
      </c>
      <c r="AL853">
        <v>95.424578624681502</v>
      </c>
      <c r="AM853">
        <v>89.268578337678704</v>
      </c>
      <c r="AN853">
        <v>1.00000001318557</v>
      </c>
    </row>
    <row r="854" spans="1:40" x14ac:dyDescent="0.25">
      <c r="A854" t="str">
        <f>"20190303154435470"</f>
        <v>20190303154435470</v>
      </c>
      <c r="B854" t="str">
        <f>"1551599075461226"</f>
        <v>1551599075461226</v>
      </c>
      <c r="C854" t="s">
        <v>40</v>
      </c>
      <c r="D854">
        <v>4.4758639999999996</v>
      </c>
      <c r="E854">
        <v>0.56141940000000001</v>
      </c>
      <c r="F854" t="s">
        <v>42</v>
      </c>
      <c r="G854">
        <v>-257.16789999999997</v>
      </c>
      <c r="H854">
        <v>0.91766460000000005</v>
      </c>
      <c r="I854">
        <v>367.34410000000003</v>
      </c>
      <c r="J854">
        <v>-257.74279999999999</v>
      </c>
      <c r="K854">
        <v>1.121014</v>
      </c>
      <c r="L854">
        <v>367.49079999999998</v>
      </c>
      <c r="M854">
        <v>0.99990060000000003</v>
      </c>
      <c r="N854">
        <v>-1.3921869999999999E-2</v>
      </c>
      <c r="O854">
        <v>2.2183979999999999E-3</v>
      </c>
      <c r="P854">
        <v>0.99403859999999999</v>
      </c>
      <c r="Q854">
        <v>-0.10854999999999999</v>
      </c>
      <c r="R854">
        <v>-1.021594E-2</v>
      </c>
      <c r="S854">
        <v>2.932693</v>
      </c>
      <c r="T854">
        <v>-0.73121879999999995</v>
      </c>
      <c r="U854">
        <v>-0.52511600000000003</v>
      </c>
      <c r="V854">
        <v>1.2417569999999999E-2</v>
      </c>
      <c r="W854">
        <v>-9.4701450000000006E-2</v>
      </c>
      <c r="X854">
        <v>0.99542830000000004</v>
      </c>
      <c r="Y854">
        <v>0.17294200000000001</v>
      </c>
      <c r="Z854">
        <v>-2.281735E-2</v>
      </c>
      <c r="AA854">
        <v>0.98466770000000003</v>
      </c>
      <c r="AB854">
        <v>25</v>
      </c>
      <c r="AC854">
        <v>0.57490000000001296</v>
      </c>
      <c r="AD854">
        <v>-0.20334939999999899</v>
      </c>
      <c r="AE854">
        <v>-0.14669999999995201</v>
      </c>
      <c r="AF854">
        <v>0.132420473292056</v>
      </c>
      <c r="AG854">
        <v>-0.20334939999999899</v>
      </c>
      <c r="AH854">
        <v>0.51417592344711904</v>
      </c>
      <c r="AI854">
        <v>110.956279893388</v>
      </c>
      <c r="AJ854">
        <v>75.557926758602505</v>
      </c>
      <c r="AK854">
        <v>0.56856225734738097</v>
      </c>
      <c r="AL854">
        <v>95.434136520813894</v>
      </c>
      <c r="AM854">
        <v>89.285295133020099</v>
      </c>
      <c r="AN854">
        <v>1.0000000305588399</v>
      </c>
    </row>
    <row r="855" spans="1:40" x14ac:dyDescent="0.25">
      <c r="A855" t="str">
        <f>"20190303154435492"</f>
        <v>20190303154435492</v>
      </c>
      <c r="B855" t="str">
        <f>"1551599075480746"</f>
        <v>1551599075480746</v>
      </c>
      <c r="C855" t="s">
        <v>40</v>
      </c>
      <c r="D855">
        <v>4.4693360000000002</v>
      </c>
      <c r="E855">
        <v>0.56177840000000001</v>
      </c>
      <c r="F855" t="s">
        <v>42</v>
      </c>
      <c r="G855">
        <v>-256.94400000000002</v>
      </c>
      <c r="H855">
        <v>0.92206350000000004</v>
      </c>
      <c r="I855">
        <v>367.34699999999998</v>
      </c>
      <c r="J855">
        <v>-257.49259999999998</v>
      </c>
      <c r="K855">
        <v>1.1210070000000001</v>
      </c>
      <c r="L855">
        <v>367.49130000000002</v>
      </c>
      <c r="M855">
        <v>0.99990089999999998</v>
      </c>
      <c r="N855">
        <v>-1.391064E-2</v>
      </c>
      <c r="O855">
        <v>2.2182980000000001E-3</v>
      </c>
      <c r="P855">
        <v>0.99403260000000004</v>
      </c>
      <c r="Q855">
        <v>-0.1086206</v>
      </c>
      <c r="R855">
        <v>-1.006289E-2</v>
      </c>
      <c r="S855">
        <v>2.9327999999999999</v>
      </c>
      <c r="T855">
        <v>-0.73058389999999995</v>
      </c>
      <c r="U855">
        <v>-0.52633669999999899</v>
      </c>
      <c r="V855">
        <v>1.226415E-2</v>
      </c>
      <c r="W855">
        <v>-9.4783339999999994E-2</v>
      </c>
      <c r="X855">
        <v>0.99542240000000004</v>
      </c>
      <c r="Y855">
        <v>0.17333080000000001</v>
      </c>
      <c r="Z855">
        <v>-2.2846740000000001E-2</v>
      </c>
      <c r="AA855">
        <v>0.98459859999999999</v>
      </c>
      <c r="AB855">
        <v>25</v>
      </c>
      <c r="AC855">
        <v>0.54859999999996401</v>
      </c>
      <c r="AD855">
        <v>-0.198943499999999</v>
      </c>
      <c r="AE855">
        <v>-0.144300000000043</v>
      </c>
      <c r="AF855">
        <v>0.129578906381322</v>
      </c>
      <c r="AG855">
        <v>-0.198943499999999</v>
      </c>
      <c r="AH855">
        <v>0.48822795378560002</v>
      </c>
      <c r="AI855">
        <v>111.496773966898</v>
      </c>
      <c r="AJ855">
        <v>75.136008944502194</v>
      </c>
      <c r="AK855">
        <v>0.54289570271729304</v>
      </c>
      <c r="AL855">
        <v>95.438849715688093</v>
      </c>
      <c r="AM855">
        <v>89.294120282306594</v>
      </c>
      <c r="AN855">
        <v>1.00000002266926</v>
      </c>
    </row>
    <row r="856" spans="1:40" x14ac:dyDescent="0.25">
      <c r="A856" t="str">
        <f>"20190303154435514"</f>
        <v>20190303154435514</v>
      </c>
      <c r="B856" t="str">
        <f>"1551599075511002"</f>
        <v>1551599075511002</v>
      </c>
      <c r="C856" t="s">
        <v>40</v>
      </c>
      <c r="D856">
        <v>4.4733929999999997</v>
      </c>
      <c r="E856">
        <v>0.56213840000000004</v>
      </c>
      <c r="F856" t="s">
        <v>42</v>
      </c>
      <c r="G856">
        <v>-256.71899999999999</v>
      </c>
      <c r="H856">
        <v>0.92969789999999997</v>
      </c>
      <c r="I856">
        <v>367.35149999999999</v>
      </c>
      <c r="J856">
        <v>-257.24700000000001</v>
      </c>
      <c r="K856">
        <v>1.12101299999999</v>
      </c>
      <c r="L856">
        <v>367.49189999999999</v>
      </c>
      <c r="M856">
        <v>0.99990109999999999</v>
      </c>
      <c r="N856">
        <v>-1.390079E-2</v>
      </c>
      <c r="O856">
        <v>2.2182479999999999E-3</v>
      </c>
      <c r="P856">
        <v>0.99401919999999999</v>
      </c>
      <c r="Q856">
        <v>-0.10873380000000001</v>
      </c>
      <c r="R856">
        <v>-1.0157599999999999E-2</v>
      </c>
      <c r="S856">
        <v>2.9333800000000001</v>
      </c>
      <c r="T856">
        <v>-0.72541709999999904</v>
      </c>
      <c r="U856">
        <v>-0.52935790000000005</v>
      </c>
      <c r="V856">
        <v>1.2358839999999999E-2</v>
      </c>
      <c r="W856">
        <v>-9.4906470000000007E-2</v>
      </c>
      <c r="X856">
        <v>0.99540949999999995</v>
      </c>
      <c r="Y856">
        <v>0.17432600000000001</v>
      </c>
      <c r="Z856">
        <v>-2.281851E-2</v>
      </c>
      <c r="AA856">
        <v>0.98442359999999896</v>
      </c>
      <c r="AB856">
        <v>25</v>
      </c>
      <c r="AC856">
        <v>0.52800000000002001</v>
      </c>
      <c r="AD856">
        <v>-0.19131509999999899</v>
      </c>
      <c r="AE856">
        <v>-0.140399999999999</v>
      </c>
      <c r="AF856">
        <v>0.12610772837901699</v>
      </c>
      <c r="AG856">
        <v>-0.19131509999999899</v>
      </c>
      <c r="AH856">
        <v>0.47004991534117802</v>
      </c>
      <c r="AI856">
        <v>111.460213446937</v>
      </c>
      <c r="AJ856">
        <v>74.982006023375305</v>
      </c>
      <c r="AK856">
        <v>0.52292595035738598</v>
      </c>
      <c r="AL856">
        <v>95.445936474337898</v>
      </c>
      <c r="AM856">
        <v>89.288661611804102</v>
      </c>
      <c r="AN856">
        <v>1.00000002583212</v>
      </c>
    </row>
    <row r="857" spans="1:40" x14ac:dyDescent="0.25">
      <c r="A857" t="str">
        <f>"20190303154435560"</f>
        <v>20190303154435560</v>
      </c>
      <c r="B857" t="str">
        <f>"1551599075551019"</f>
        <v>1551599075551019</v>
      </c>
      <c r="C857" t="s">
        <v>40</v>
      </c>
      <c r="D857">
        <v>4.4773719999999999</v>
      </c>
      <c r="E857">
        <v>0.56219759999999996</v>
      </c>
      <c r="F857" t="s">
        <v>42</v>
      </c>
      <c r="G857">
        <v>-256.49450000000002</v>
      </c>
      <c r="H857">
        <v>0.93619249999999998</v>
      </c>
      <c r="I857">
        <v>367.35500000000002</v>
      </c>
      <c r="J857">
        <v>-256.7432</v>
      </c>
      <c r="K857">
        <v>1.12101299999999</v>
      </c>
      <c r="L857">
        <v>367.49299999999999</v>
      </c>
      <c r="M857">
        <v>0.99990140000000005</v>
      </c>
      <c r="N857">
        <v>-1.388356E-2</v>
      </c>
      <c r="O857">
        <v>2.2180099999999999E-3</v>
      </c>
      <c r="P857">
        <v>0.99406530000000004</v>
      </c>
      <c r="Q857">
        <v>-0.10834340000000001</v>
      </c>
      <c r="R857">
        <v>-9.8209230000000005E-3</v>
      </c>
      <c r="S857">
        <v>2.9337770000000001</v>
      </c>
      <c r="T857">
        <v>-0.72061929999999996</v>
      </c>
      <c r="U857">
        <v>-0.53247069999999996</v>
      </c>
      <c r="V857">
        <v>1.2022120000000001E-2</v>
      </c>
      <c r="W857">
        <v>-9.4532649999999996E-2</v>
      </c>
      <c r="X857">
        <v>0.99544920000000003</v>
      </c>
      <c r="Y857">
        <v>0.17535429999999999</v>
      </c>
      <c r="Z857">
        <v>-2.2804020000000001E-2</v>
      </c>
      <c r="AA857">
        <v>0.98424120000000004</v>
      </c>
      <c r="AB857">
        <v>25</v>
      </c>
      <c r="AC857">
        <v>0.24869999999998499</v>
      </c>
      <c r="AD857">
        <v>-0.184820499999999</v>
      </c>
      <c r="AE857">
        <v>-0.13800000000003301</v>
      </c>
      <c r="AF857">
        <v>9.7416654122802301E-2</v>
      </c>
      <c r="AG857">
        <v>-0.184820499999999</v>
      </c>
      <c r="AH857">
        <v>0.17464748363039001</v>
      </c>
      <c r="AI857">
        <v>132.74404720435101</v>
      </c>
      <c r="AJ857">
        <v>60.847650302265301</v>
      </c>
      <c r="AK857">
        <v>0.27230564676326302</v>
      </c>
      <c r="AL857">
        <v>95.424421403736901</v>
      </c>
      <c r="AM857">
        <v>89.308067905013402</v>
      </c>
      <c r="AN857">
        <v>1.00000003153297</v>
      </c>
    </row>
    <row r="858" spans="1:40" x14ac:dyDescent="0.25">
      <c r="A858" t="str">
        <f>"20190303154435582"</f>
        <v>20190303154435582</v>
      </c>
      <c r="B858" t="str">
        <f>"1551599075571514"</f>
        <v>1551599075571514</v>
      </c>
      <c r="C858" t="s">
        <v>40</v>
      </c>
      <c r="D858">
        <v>4.4686659999999998</v>
      </c>
      <c r="E858">
        <v>0.56215289999999996</v>
      </c>
      <c r="F858" t="s">
        <v>42</v>
      </c>
      <c r="G858">
        <v>-256.04570000000001</v>
      </c>
      <c r="H858">
        <v>0.95062849999999999</v>
      </c>
      <c r="I858">
        <v>367.36619999999999</v>
      </c>
      <c r="J858">
        <v>-256.50119999999998</v>
      </c>
      <c r="K858">
        <v>1.1210089999999999</v>
      </c>
      <c r="L858">
        <v>367.49349999999998</v>
      </c>
      <c r="M858">
        <v>0.99990120000000005</v>
      </c>
      <c r="N858">
        <v>-1.387653E-2</v>
      </c>
      <c r="O858">
        <v>2.2178800000000002E-3</v>
      </c>
      <c r="P858">
        <v>0.99407909999999999</v>
      </c>
      <c r="Q858">
        <v>-0.10824499999999999</v>
      </c>
      <c r="R858">
        <v>-9.4925129999999993E-3</v>
      </c>
      <c r="S858">
        <v>2.9345089999999998</v>
      </c>
      <c r="T858">
        <v>-0.71693799999999996</v>
      </c>
      <c r="U858">
        <v>-0.53237919999999905</v>
      </c>
      <c r="V858">
        <v>1.169356E-2</v>
      </c>
      <c r="W858">
        <v>-9.4440940000000001E-2</v>
      </c>
      <c r="X858">
        <v>0.99546179999999995</v>
      </c>
      <c r="Y858">
        <v>0.1753374</v>
      </c>
      <c r="Z858">
        <v>-2.268877E-2</v>
      </c>
      <c r="AA858">
        <v>0.98424690000000004</v>
      </c>
      <c r="AB858">
        <v>25</v>
      </c>
      <c r="AC858">
        <v>0.45549999999997198</v>
      </c>
      <c r="AD858">
        <v>-0.17038049999999899</v>
      </c>
      <c r="AE858">
        <v>-0.127299999999991</v>
      </c>
      <c r="AF858">
        <v>0.113570986272753</v>
      </c>
      <c r="AG858">
        <v>-0.17038049999999899</v>
      </c>
      <c r="AH858">
        <v>0.40292554917900603</v>
      </c>
      <c r="AI858">
        <v>112.146310633807</v>
      </c>
      <c r="AJ858">
        <v>74.258663901735105</v>
      </c>
      <c r="AK858">
        <v>0.45197000108903201</v>
      </c>
      <c r="AL858">
        <v>95.419143295264007</v>
      </c>
      <c r="AM858">
        <v>89.326984901994607</v>
      </c>
      <c r="AN858">
        <v>1.00000001287639</v>
      </c>
    </row>
    <row r="859" spans="1:40" x14ac:dyDescent="0.25">
      <c r="A859" t="str">
        <f>"20190303154435603"</f>
        <v>20190303154435603</v>
      </c>
      <c r="B859" t="str">
        <f>"1551599075591034"</f>
        <v>1551599075591034</v>
      </c>
      <c r="C859" t="s">
        <v>40</v>
      </c>
      <c r="D859">
        <v>4.4947080000000001</v>
      </c>
      <c r="E859">
        <v>0.56220000000000003</v>
      </c>
      <c r="F859" t="s">
        <v>42</v>
      </c>
      <c r="G859">
        <v>-255.62260000000001</v>
      </c>
      <c r="H859">
        <v>0.90654120000000005</v>
      </c>
      <c r="I859">
        <v>367.33429999999998</v>
      </c>
      <c r="J859">
        <v>-256.26</v>
      </c>
      <c r="K859">
        <v>1.121008</v>
      </c>
      <c r="L859">
        <v>367.49400000000003</v>
      </c>
      <c r="M859">
        <v>0.99990140000000005</v>
      </c>
      <c r="N859">
        <v>-1.3870230000000001E-2</v>
      </c>
      <c r="O859">
        <v>2.2177450000000001E-3</v>
      </c>
      <c r="P859">
        <v>0.99398359999999997</v>
      </c>
      <c r="Q859">
        <v>-0.10915030000000001</v>
      </c>
      <c r="R859">
        <v>-9.1009390000000006E-3</v>
      </c>
      <c r="S859">
        <v>2.9347840000000001</v>
      </c>
      <c r="T859">
        <v>-0.71646580000000004</v>
      </c>
      <c r="U859">
        <v>-0.53125</v>
      </c>
      <c r="V859">
        <v>1.1301810000000001E-2</v>
      </c>
      <c r="W859">
        <v>-9.5353830000000001E-2</v>
      </c>
      <c r="X859">
        <v>0.99537929999999997</v>
      </c>
      <c r="Y859">
        <v>0.17497289999999999</v>
      </c>
      <c r="Z859">
        <v>-2.2627049999999999E-2</v>
      </c>
      <c r="AA859">
        <v>0.9843132</v>
      </c>
      <c r="AB859">
        <v>25</v>
      </c>
      <c r="AC859">
        <v>0.63739999999998498</v>
      </c>
      <c r="AD859">
        <v>-0.21446680000000001</v>
      </c>
      <c r="AE859">
        <v>-0.159700000000043</v>
      </c>
      <c r="AF859">
        <v>0.14560287300141</v>
      </c>
      <c r="AG859">
        <v>-0.21446680000000001</v>
      </c>
      <c r="AH859">
        <v>0.57571565998280405</v>
      </c>
      <c r="AI859">
        <v>109.85724018921999</v>
      </c>
      <c r="AJ859">
        <v>75.807069841228696</v>
      </c>
      <c r="AK859">
        <v>0.63138318482355904</v>
      </c>
      <c r="AL859">
        <v>95.471685134433102</v>
      </c>
      <c r="AM859">
        <v>89.349475934554107</v>
      </c>
      <c r="AN859">
        <v>1.0000000173367101</v>
      </c>
    </row>
    <row r="860" spans="1:40" x14ac:dyDescent="0.25">
      <c r="A860" t="str">
        <f>"20190303154435627"</f>
        <v>20190303154435627</v>
      </c>
      <c r="B860" t="str">
        <f>"1551599075621290"</f>
        <v>1551599075621290</v>
      </c>
      <c r="C860" t="s">
        <v>40</v>
      </c>
      <c r="D860">
        <v>4.4837999999999996</v>
      </c>
      <c r="E860">
        <v>0.56211949999999999</v>
      </c>
      <c r="F860" t="s">
        <v>42</v>
      </c>
      <c r="G860">
        <v>-255.4008</v>
      </c>
      <c r="H860">
        <v>0.91076279999999998</v>
      </c>
      <c r="I860">
        <v>367.33870000000002</v>
      </c>
      <c r="J860">
        <v>-256.00790000000001</v>
      </c>
      <c r="K860">
        <v>1.1210039999999999</v>
      </c>
      <c r="L860">
        <v>367.49459999999999</v>
      </c>
      <c r="M860">
        <v>0.9999015</v>
      </c>
      <c r="N860">
        <v>-1.386418E-2</v>
      </c>
      <c r="O860">
        <v>2.217966E-3</v>
      </c>
      <c r="P860">
        <v>0.99391960000000001</v>
      </c>
      <c r="Q860">
        <v>-0.1097429</v>
      </c>
      <c r="R860">
        <v>-8.9596929999999995E-3</v>
      </c>
      <c r="S860">
        <v>2.9344480000000002</v>
      </c>
      <c r="T860">
        <v>-0.71808470000000002</v>
      </c>
      <c r="U860">
        <v>-0.53027340000000001</v>
      </c>
      <c r="V860">
        <v>1.116058E-2</v>
      </c>
      <c r="W860">
        <v>-9.5953289999999997E-2</v>
      </c>
      <c r="X860">
        <v>0.99532319999999996</v>
      </c>
      <c r="Y860">
        <v>0.1746605</v>
      </c>
      <c r="Z860">
        <v>-2.2637020000000001E-2</v>
      </c>
      <c r="AA860">
        <v>0.98436840000000003</v>
      </c>
      <c r="AB860">
        <v>25</v>
      </c>
      <c r="AC860">
        <v>0.60710000000000197</v>
      </c>
      <c r="AD860">
        <v>-0.21024119999999999</v>
      </c>
      <c r="AE860">
        <v>-0.155899999999974</v>
      </c>
      <c r="AF860">
        <v>0.141344026652128</v>
      </c>
      <c r="AG860">
        <v>-0.21024119999999999</v>
      </c>
      <c r="AH860">
        <v>0.54539205988773298</v>
      </c>
      <c r="AI860">
        <v>110.463490239582</v>
      </c>
      <c r="AJ860">
        <v>75.470852299437496</v>
      </c>
      <c r="AK860">
        <v>0.60135845802338395</v>
      </c>
      <c r="AL860">
        <v>95.506190346385395</v>
      </c>
      <c r="AM860">
        <v>89.357568141660295</v>
      </c>
      <c r="AN860">
        <v>0.99999993243299701</v>
      </c>
    </row>
    <row r="861" spans="1:40" x14ac:dyDescent="0.25">
      <c r="A861" t="str">
        <f>"20190303154435648"</f>
        <v>20190303154435648</v>
      </c>
      <c r="B861" t="str">
        <f>"1551599075641786"</f>
        <v>1551599075641786</v>
      </c>
      <c r="C861" t="s">
        <v>40</v>
      </c>
      <c r="D861">
        <v>5.6544400000000001</v>
      </c>
      <c r="E861">
        <v>0.561949699999999</v>
      </c>
      <c r="F861" t="s">
        <v>42</v>
      </c>
      <c r="G861">
        <v>-255.1782</v>
      </c>
      <c r="H861">
        <v>0.91739700000000002</v>
      </c>
      <c r="I861">
        <v>367.34469999999999</v>
      </c>
      <c r="J861">
        <v>-255.76570000000001</v>
      </c>
      <c r="K861">
        <v>1.1210059999999999</v>
      </c>
      <c r="L861">
        <v>367.49509999999998</v>
      </c>
      <c r="M861">
        <v>0.9999015</v>
      </c>
      <c r="N861">
        <v>-1.3858809999999999E-2</v>
      </c>
      <c r="O861">
        <v>2.2180030000000001E-3</v>
      </c>
      <c r="P861">
        <v>0.99392840000000005</v>
      </c>
      <c r="Q861">
        <v>-0.1096574</v>
      </c>
      <c r="R861">
        <v>-9.0524569999999999E-3</v>
      </c>
      <c r="S861">
        <v>2.9340670000000002</v>
      </c>
      <c r="T861">
        <v>-0.72011599999999998</v>
      </c>
      <c r="U861">
        <v>-0.52914430000000001</v>
      </c>
      <c r="V861">
        <v>1.125319E-2</v>
      </c>
      <c r="W861">
        <v>-9.5873009999999995E-2</v>
      </c>
      <c r="X861">
        <v>0.99533000000000005</v>
      </c>
      <c r="Y861">
        <v>0.17429639999999999</v>
      </c>
      <c r="Z861">
        <v>-2.2652640000000002E-2</v>
      </c>
      <c r="AA861">
        <v>0.98443259999999999</v>
      </c>
      <c r="AB861">
        <v>25</v>
      </c>
      <c r="AC861">
        <v>0.58750000000000502</v>
      </c>
      <c r="AD861">
        <v>-0.20360900000000001</v>
      </c>
      <c r="AE861">
        <v>-0.15039999999998999</v>
      </c>
      <c r="AF861">
        <v>0.13633484628068501</v>
      </c>
      <c r="AG861">
        <v>-0.20360900000000001</v>
      </c>
      <c r="AH861">
        <v>0.52768323530755601</v>
      </c>
      <c r="AI861">
        <v>110.48503873215201</v>
      </c>
      <c r="AJ861">
        <v>75.513568934534305</v>
      </c>
      <c r="AK861">
        <v>0.58180186663161204</v>
      </c>
      <c r="AL861">
        <v>95.501568750705701</v>
      </c>
      <c r="AM861">
        <v>89.352242147909607</v>
      </c>
      <c r="AN861">
        <v>1.0000000386158101</v>
      </c>
    </row>
    <row r="862" spans="1:40" x14ac:dyDescent="0.25">
      <c r="A862" t="str">
        <f>"20190303154435671"</f>
        <v>20190303154435671</v>
      </c>
      <c r="B862" t="str">
        <f>"1551599075661307"</f>
        <v>1551599075661307</v>
      </c>
      <c r="C862" t="s">
        <v>40</v>
      </c>
      <c r="D862">
        <v>4.5527110000000004</v>
      </c>
      <c r="E862">
        <v>0.56190039999999997</v>
      </c>
      <c r="F862" t="s">
        <v>42</v>
      </c>
      <c r="G862">
        <v>-254.95670000000001</v>
      </c>
      <c r="H862">
        <v>0.92221560000000002</v>
      </c>
      <c r="I862">
        <v>367.3494</v>
      </c>
      <c r="J862">
        <v>-255.52019999999999</v>
      </c>
      <c r="K862">
        <v>1.121014</v>
      </c>
      <c r="L862">
        <v>367.4957</v>
      </c>
      <c r="M862">
        <v>0.99990159999999995</v>
      </c>
      <c r="N862">
        <v>-1.385379E-2</v>
      </c>
      <c r="O862">
        <v>2.2180379999999999E-3</v>
      </c>
      <c r="P862">
        <v>0.9940563</v>
      </c>
      <c r="Q862">
        <v>-0.1084654</v>
      </c>
      <c r="R862">
        <v>-9.3472690000000001E-3</v>
      </c>
      <c r="S862">
        <v>2.933945</v>
      </c>
      <c r="T862">
        <v>-0.72099969999999902</v>
      </c>
      <c r="U862">
        <v>-0.52816770000000002</v>
      </c>
      <c r="V862">
        <v>1.1548569999999999E-2</v>
      </c>
      <c r="W862">
        <v>-9.4684359999999995E-2</v>
      </c>
      <c r="X862">
        <v>0.9954404</v>
      </c>
      <c r="Y862">
        <v>0.17398250000000001</v>
      </c>
      <c r="Z862">
        <v>-2.2639309999999999E-2</v>
      </c>
      <c r="AA862">
        <v>0.98448849999999999</v>
      </c>
      <c r="AB862">
        <v>25</v>
      </c>
      <c r="AC862">
        <v>0.56349999999997602</v>
      </c>
      <c r="AD862">
        <v>-0.19879839999999999</v>
      </c>
      <c r="AE862">
        <v>-0.14629999999999599</v>
      </c>
      <c r="AF862">
        <v>0.132141576159995</v>
      </c>
      <c r="AG862">
        <v>-0.19879839999999999</v>
      </c>
      <c r="AH862">
        <v>0.50436394775645099</v>
      </c>
      <c r="AI862">
        <v>110.871229453534</v>
      </c>
      <c r="AJ862">
        <v>75.318689537491693</v>
      </c>
      <c r="AK862">
        <v>0.55800106791033999</v>
      </c>
      <c r="AL862">
        <v>95.433152844427099</v>
      </c>
      <c r="AM862">
        <v>89.3353146641942</v>
      </c>
      <c r="AN862">
        <v>1.0000000437248999</v>
      </c>
    </row>
    <row r="863" spans="1:40" x14ac:dyDescent="0.25">
      <c r="A863" t="str">
        <f>"20190303154435693"</f>
        <v>20190303154435693</v>
      </c>
      <c r="B863" t="str">
        <f>"1551599075691562"</f>
        <v>1551599075691562</v>
      </c>
      <c r="C863" t="s">
        <v>40</v>
      </c>
      <c r="D863">
        <v>4.5663169999999997</v>
      </c>
      <c r="E863">
        <v>0.5617491</v>
      </c>
      <c r="F863" t="s">
        <v>42</v>
      </c>
      <c r="G863">
        <v>-254.7347</v>
      </c>
      <c r="H863">
        <v>0.92867699999999997</v>
      </c>
      <c r="I863">
        <v>367.3537</v>
      </c>
      <c r="J863">
        <v>-255.27709999999999</v>
      </c>
      <c r="K863">
        <v>1.121016</v>
      </c>
      <c r="L863">
        <v>367.49619999999999</v>
      </c>
      <c r="M863">
        <v>0.99990179999999995</v>
      </c>
      <c r="N863">
        <v>-1.3842170000000001E-2</v>
      </c>
      <c r="O863">
        <v>2.2181190000000002E-3</v>
      </c>
      <c r="P863">
        <v>0.99414579999999997</v>
      </c>
      <c r="Q863">
        <v>-0.10763979999999999</v>
      </c>
      <c r="R863">
        <v>-9.3813500000000001E-3</v>
      </c>
      <c r="S863">
        <v>2.934555</v>
      </c>
      <c r="T863">
        <v>-0.71870590000000001</v>
      </c>
      <c r="U863">
        <v>-0.52886959999999905</v>
      </c>
      <c r="V863">
        <v>1.158286E-2</v>
      </c>
      <c r="W863">
        <v>-9.3869099999999997E-2</v>
      </c>
      <c r="X863">
        <v>0.99551719999999999</v>
      </c>
      <c r="Y863">
        <v>0.17420359999999999</v>
      </c>
      <c r="Z863">
        <v>-2.2595299999999999E-2</v>
      </c>
      <c r="AA863">
        <v>0.98445039999999995</v>
      </c>
      <c r="AB863">
        <v>25</v>
      </c>
      <c r="AC863">
        <v>0.542399999999986</v>
      </c>
      <c r="AD863">
        <v>-0.19233899999999901</v>
      </c>
      <c r="AE863">
        <v>-0.142499999999984</v>
      </c>
      <c r="AF863">
        <v>0.12857851510210799</v>
      </c>
      <c r="AG863">
        <v>-0.19233899999999901</v>
      </c>
      <c r="AH863">
        <v>0.48502976056096397</v>
      </c>
      <c r="AI863">
        <v>110.972378653212</v>
      </c>
      <c r="AJ863">
        <v>75.152736709985305</v>
      </c>
      <c r="AK863">
        <v>0.53738309807500395</v>
      </c>
      <c r="AL863">
        <v>95.386232965691306</v>
      </c>
      <c r="AM863">
        <v>89.333392684460804</v>
      </c>
      <c r="AN863">
        <v>1.0000000330382099</v>
      </c>
    </row>
    <row r="864" spans="1:40" x14ac:dyDescent="0.25">
      <c r="A864" t="str">
        <f>"20190303154435715"</f>
        <v>20190303154435715</v>
      </c>
      <c r="B864" t="str">
        <f>"1551599075711082"</f>
        <v>1551599075711082</v>
      </c>
      <c r="C864" t="s">
        <v>40</v>
      </c>
      <c r="D864">
        <v>4.5508680000000004</v>
      </c>
      <c r="E864">
        <v>0.56161209999999995</v>
      </c>
      <c r="F864" t="s">
        <v>42</v>
      </c>
      <c r="G864">
        <v>-254.51339999999999</v>
      </c>
      <c r="H864">
        <v>0.93383309999999997</v>
      </c>
      <c r="I864">
        <v>367.3587</v>
      </c>
      <c r="J864">
        <v>-255.0342</v>
      </c>
      <c r="K864">
        <v>1.121005</v>
      </c>
      <c r="L864">
        <v>367.49680000000001</v>
      </c>
      <c r="M864">
        <v>0.99990239999999997</v>
      </c>
      <c r="N864">
        <v>-1.3803920000000001E-2</v>
      </c>
      <c r="O864">
        <v>2.2180870000000001E-3</v>
      </c>
      <c r="P864">
        <v>0.99423349999999999</v>
      </c>
      <c r="Q864">
        <v>-0.10682270000000001</v>
      </c>
      <c r="R864">
        <v>-9.4318649999999993E-3</v>
      </c>
      <c r="S864">
        <v>2.9347989999999999</v>
      </c>
      <c r="T864">
        <v>-0.71936800000000001</v>
      </c>
      <c r="U864">
        <v>-0.52752690000000002</v>
      </c>
      <c r="V864">
        <v>1.16335E-2</v>
      </c>
      <c r="W864">
        <v>-9.3088939999999995E-2</v>
      </c>
      <c r="X864">
        <v>0.99558990000000003</v>
      </c>
      <c r="Y864">
        <v>0.1737582</v>
      </c>
      <c r="Z864">
        <v>-2.2553690000000001E-2</v>
      </c>
      <c r="AA864">
        <v>0.98453000000000002</v>
      </c>
      <c r="AB864">
        <v>25</v>
      </c>
      <c r="AC864">
        <v>0.52080000000000803</v>
      </c>
      <c r="AD864">
        <v>-0.1871719</v>
      </c>
      <c r="AE864">
        <v>-0.13810000000000799</v>
      </c>
      <c r="AF864">
        <v>0.12425956139387</v>
      </c>
      <c r="AG864">
        <v>-0.1871719</v>
      </c>
      <c r="AH864">
        <v>0.46444420025934302</v>
      </c>
      <c r="AI864">
        <v>111.27142589912199</v>
      </c>
      <c r="AJ864">
        <v>75.021628045230003</v>
      </c>
      <c r="AK864">
        <v>0.51592845812374799</v>
      </c>
      <c r="AL864">
        <v>95.341336307461503</v>
      </c>
      <c r="AM864">
        <v>89.330527442551499</v>
      </c>
      <c r="AN864">
        <v>1.0000000690272799</v>
      </c>
    </row>
    <row r="865" spans="1:40" x14ac:dyDescent="0.25">
      <c r="A865" t="str">
        <f>"20190303154435739"</f>
        <v>20190303154435739</v>
      </c>
      <c r="B865" t="str">
        <f>"1551599075731578"</f>
        <v>1551599075731578</v>
      </c>
      <c r="C865" t="s">
        <v>40</v>
      </c>
      <c r="D865">
        <v>4.5531490000000003</v>
      </c>
      <c r="E865">
        <v>0.56158050000000004</v>
      </c>
      <c r="F865" t="s">
        <v>42</v>
      </c>
      <c r="G865">
        <v>-254.292</v>
      </c>
      <c r="H865">
        <v>0.93920990000000004</v>
      </c>
      <c r="I865">
        <v>367.36329999999998</v>
      </c>
      <c r="J865">
        <v>-254.7818</v>
      </c>
      <c r="K865">
        <v>1.120992</v>
      </c>
      <c r="L865">
        <v>367.4973</v>
      </c>
      <c r="M865">
        <v>0.99990330000000005</v>
      </c>
      <c r="N865">
        <v>-1.373651E-2</v>
      </c>
      <c r="O865">
        <v>2.218196E-3</v>
      </c>
      <c r="P865">
        <v>0.99420370000000002</v>
      </c>
      <c r="Q865">
        <v>-0.10706599999999999</v>
      </c>
      <c r="R865">
        <v>-9.816679E-3</v>
      </c>
      <c r="S865">
        <v>2.9351500000000001</v>
      </c>
      <c r="T865">
        <v>-0.71892019999999901</v>
      </c>
      <c r="U865">
        <v>-0.52691650000000001</v>
      </c>
      <c r="V865">
        <v>1.2018340000000001E-2</v>
      </c>
      <c r="W865">
        <v>-9.3399789999999996E-2</v>
      </c>
      <c r="X865">
        <v>0.99555610000000005</v>
      </c>
      <c r="Y865">
        <v>0.1735544</v>
      </c>
      <c r="Z865">
        <v>-2.2506990000000001E-2</v>
      </c>
      <c r="AA865">
        <v>0.98456699999999997</v>
      </c>
      <c r="AB865">
        <v>25</v>
      </c>
      <c r="AC865">
        <v>0.48980000000000201</v>
      </c>
      <c r="AD865">
        <v>-0.181782099999999</v>
      </c>
      <c r="AE865">
        <v>-0.134000000000014</v>
      </c>
      <c r="AF865">
        <v>0.119741399675568</v>
      </c>
      <c r="AG865">
        <v>-0.181782099999999</v>
      </c>
      <c r="AH865">
        <v>0.43389760470502697</v>
      </c>
      <c r="AI865">
        <v>111.99158533653799</v>
      </c>
      <c r="AJ865">
        <v>74.572254419570399</v>
      </c>
      <c r="AK865">
        <v>0.485437808627876</v>
      </c>
      <c r="AL865">
        <v>95.359225248449107</v>
      </c>
      <c r="AM865">
        <v>89.308359708588597</v>
      </c>
      <c r="AN865">
        <v>0.99999995475780301</v>
      </c>
    </row>
    <row r="866" spans="1:40" x14ac:dyDescent="0.25">
      <c r="A866" t="str">
        <f>"20190303154435762"</f>
        <v>20190303154435762</v>
      </c>
      <c r="B866" t="str">
        <f>"1551599075751098"</f>
        <v>1551599075751098</v>
      </c>
      <c r="C866" t="s">
        <v>40</v>
      </c>
      <c r="D866">
        <v>4.5443360000000004</v>
      </c>
      <c r="E866">
        <v>0.56152950000000001</v>
      </c>
      <c r="F866" t="s">
        <v>42</v>
      </c>
      <c r="G866">
        <v>-254.07</v>
      </c>
      <c r="H866">
        <v>0.94608119999999996</v>
      </c>
      <c r="I866">
        <v>367.3691</v>
      </c>
      <c r="J866">
        <v>-254.52979999999999</v>
      </c>
      <c r="K866">
        <v>1.1209800000000001</v>
      </c>
      <c r="L866">
        <v>367.49790000000002</v>
      </c>
      <c r="M866">
        <v>0.99990429999999997</v>
      </c>
      <c r="N866">
        <v>-1.366501E-2</v>
      </c>
      <c r="O866">
        <v>2.2183319999999999E-3</v>
      </c>
      <c r="P866">
        <v>0.99418600000000001</v>
      </c>
      <c r="Q866">
        <v>-0.10725369999999999</v>
      </c>
      <c r="R866">
        <v>-9.5259149999999994E-3</v>
      </c>
      <c r="S866">
        <v>2.934631</v>
      </c>
      <c r="T866">
        <v>-0.72120430000000002</v>
      </c>
      <c r="U866">
        <v>-0.52804569999999995</v>
      </c>
      <c r="V866">
        <v>1.1727929999999999E-2</v>
      </c>
      <c r="W866">
        <v>-9.3658959999999999E-2</v>
      </c>
      <c r="X866">
        <v>0.99553530000000001</v>
      </c>
      <c r="Y866">
        <v>0.17390849999999999</v>
      </c>
      <c r="Z866">
        <v>-2.2614749999999999E-2</v>
      </c>
      <c r="AA866">
        <v>0.98450210000000005</v>
      </c>
      <c r="AB866">
        <v>24</v>
      </c>
      <c r="AC866">
        <v>0.45980000000000099</v>
      </c>
      <c r="AD866">
        <v>-0.17489879999999899</v>
      </c>
      <c r="AE866">
        <v>-0.12880000000001199</v>
      </c>
      <c r="AF866">
        <v>0.11446319647501101</v>
      </c>
      <c r="AG866">
        <v>-0.17489879999999899</v>
      </c>
      <c r="AH866">
        <v>0.40515663945700398</v>
      </c>
      <c r="AI866">
        <v>112.5590570836</v>
      </c>
      <c r="AJ866">
        <v>74.224169872926694</v>
      </c>
      <c r="AK866">
        <v>0.45589836157285102</v>
      </c>
      <c r="AL866">
        <v>95.374139518857604</v>
      </c>
      <c r="AM866">
        <v>89.325056772048299</v>
      </c>
      <c r="AN866">
        <v>1.00000003933822</v>
      </c>
    </row>
    <row r="867" spans="1:40" x14ac:dyDescent="0.25">
      <c r="A867" t="str">
        <f>"20190303154435785"</f>
        <v>20190303154435785</v>
      </c>
      <c r="B867" t="str">
        <f>"1551599075781355"</f>
        <v>1551599075781355</v>
      </c>
      <c r="C867" t="s">
        <v>40</v>
      </c>
      <c r="D867">
        <v>4.6008680000000002</v>
      </c>
      <c r="E867">
        <v>0.56130979999999997</v>
      </c>
      <c r="F867" t="s">
        <v>42</v>
      </c>
      <c r="G867">
        <v>-253.65</v>
      </c>
      <c r="H867">
        <v>0.90425029999999995</v>
      </c>
      <c r="I867">
        <v>367.34</v>
      </c>
      <c r="J867">
        <v>-254.2825</v>
      </c>
      <c r="K867">
        <v>1.120967</v>
      </c>
      <c r="L867">
        <v>367.4984</v>
      </c>
      <c r="M867">
        <v>0.99990500000000004</v>
      </c>
      <c r="N867">
        <v>-1.360345E-2</v>
      </c>
      <c r="O867">
        <v>2.2187539999999999E-3</v>
      </c>
      <c r="P867">
        <v>0.99416669999999996</v>
      </c>
      <c r="Q867">
        <v>-0.10742790000000001</v>
      </c>
      <c r="R867">
        <v>-9.5770600000000001E-3</v>
      </c>
      <c r="S867">
        <v>2.9345400000000001</v>
      </c>
      <c r="T867">
        <v>-0.72285769999999905</v>
      </c>
      <c r="U867">
        <v>-0.52636719999999904</v>
      </c>
      <c r="V867">
        <v>1.177924E-2</v>
      </c>
      <c r="W867">
        <v>-9.3894630000000007E-2</v>
      </c>
      <c r="X867">
        <v>0.99551239999999996</v>
      </c>
      <c r="Y867">
        <v>0.17336219999999999</v>
      </c>
      <c r="Z867">
        <v>-2.2589330000000001E-2</v>
      </c>
      <c r="AA867">
        <v>0.98459909999999995</v>
      </c>
      <c r="AB867">
        <v>24</v>
      </c>
      <c r="AC867">
        <v>0.63249999999999296</v>
      </c>
      <c r="AD867">
        <v>-0.21671670000000001</v>
      </c>
      <c r="AE867">
        <v>-0.15840000000002799</v>
      </c>
      <c r="AF867">
        <v>0.143905776540103</v>
      </c>
      <c r="AG867">
        <v>-0.21671670000000001</v>
      </c>
      <c r="AH867">
        <v>0.56926053429030099</v>
      </c>
      <c r="AI867">
        <v>110.258497123273</v>
      </c>
      <c r="AJ867">
        <v>75.813175979049404</v>
      </c>
      <c r="AK867">
        <v>0.625885418012737</v>
      </c>
      <c r="AL867">
        <v>95.387702690194999</v>
      </c>
      <c r="AM867">
        <v>89.322088560428497</v>
      </c>
      <c r="AN867">
        <v>0.99999994529578495</v>
      </c>
    </row>
    <row r="868" spans="1:40" x14ac:dyDescent="0.25">
      <c r="A868" t="str">
        <f>"20190303154435805"</f>
        <v>20190303154435805</v>
      </c>
      <c r="B868" t="str">
        <f>"1551599075800874"</f>
        <v>1551599075800874</v>
      </c>
      <c r="C868" t="s">
        <v>40</v>
      </c>
      <c r="D868">
        <v>4.4959179999999996</v>
      </c>
      <c r="E868">
        <v>0.56127740000000004</v>
      </c>
      <c r="F868" t="s">
        <v>42</v>
      </c>
      <c r="G868">
        <v>-253.42939999999999</v>
      </c>
      <c r="H868">
        <v>0.90985240000000001</v>
      </c>
      <c r="I868">
        <v>367.34530000000001</v>
      </c>
      <c r="J868">
        <v>-254.0549</v>
      </c>
      <c r="K868">
        <v>1.12096</v>
      </c>
      <c r="L868">
        <v>367.49900000000002</v>
      </c>
      <c r="M868">
        <v>0.99990579999999996</v>
      </c>
      <c r="N868">
        <v>-1.3548549999999999E-2</v>
      </c>
      <c r="O868">
        <v>2.2189499999999999E-3</v>
      </c>
      <c r="P868">
        <v>0.99419869999999999</v>
      </c>
      <c r="Q868">
        <v>-0.1071549</v>
      </c>
      <c r="R868">
        <v>-9.3283719999999997E-3</v>
      </c>
      <c r="S868">
        <v>2.9340519999999999</v>
      </c>
      <c r="T868">
        <v>-0.72617240000000005</v>
      </c>
      <c r="U868">
        <v>-0.52526859999999997</v>
      </c>
      <c r="V868">
        <v>1.153085E-2</v>
      </c>
      <c r="W868">
        <v>-9.3675850000000005E-2</v>
      </c>
      <c r="X868">
        <v>0.99553599999999998</v>
      </c>
      <c r="Y868">
        <v>0.1729966</v>
      </c>
      <c r="Z868">
        <v>-2.2637460000000002E-2</v>
      </c>
      <c r="AA868">
        <v>0.98466220000000004</v>
      </c>
      <c r="AB868">
        <v>24</v>
      </c>
      <c r="AC868">
        <v>0.62550000000001604</v>
      </c>
      <c r="AD868">
        <v>-0.21110760000000001</v>
      </c>
      <c r="AE868">
        <v>-0.15370000000001399</v>
      </c>
      <c r="AF868">
        <v>0.140043957368407</v>
      </c>
      <c r="AG868">
        <v>-0.21110760000000001</v>
      </c>
      <c r="AH868">
        <v>0.56451615255167997</v>
      </c>
      <c r="AI868">
        <v>109.948872641484</v>
      </c>
      <c r="AJ868">
        <v>76.067455724812703</v>
      </c>
      <c r="AK868">
        <v>0.61875456787397998</v>
      </c>
      <c r="AL868">
        <v>95.375111587983</v>
      </c>
      <c r="AM868">
        <v>89.336398184060997</v>
      </c>
      <c r="AN868">
        <v>1.00000002633547</v>
      </c>
    </row>
    <row r="869" spans="1:40" x14ac:dyDescent="0.25">
      <c r="A869" t="str">
        <f>"20190303154435828"</f>
        <v>20190303154435828</v>
      </c>
      <c r="B869" t="str">
        <f>"1551599075821370"</f>
        <v>1551599075821370</v>
      </c>
      <c r="C869" t="s">
        <v>40</v>
      </c>
      <c r="D869">
        <v>4.5072510000000001</v>
      </c>
      <c r="E869">
        <v>0.56122119999999998</v>
      </c>
      <c r="F869" t="s">
        <v>42</v>
      </c>
      <c r="G869">
        <v>-253.21039999999999</v>
      </c>
      <c r="H869">
        <v>0.91194090000000005</v>
      </c>
      <c r="I869">
        <v>367.34789999999998</v>
      </c>
      <c r="J869">
        <v>-253.80879999999999</v>
      </c>
      <c r="K869">
        <v>1.120949</v>
      </c>
      <c r="L869">
        <v>367.49950000000001</v>
      </c>
      <c r="M869">
        <v>0.99990690000000004</v>
      </c>
      <c r="N869">
        <v>-1.3474659999999999E-2</v>
      </c>
      <c r="O869">
        <v>2.2191540000000001E-3</v>
      </c>
      <c r="P869">
        <v>0.99426349999999997</v>
      </c>
      <c r="Q869">
        <v>-0.106547</v>
      </c>
      <c r="R869">
        <v>-9.4028789999999994E-3</v>
      </c>
      <c r="S869">
        <v>2.9342959999999998</v>
      </c>
      <c r="T869">
        <v>-0.72632459999999999</v>
      </c>
      <c r="U869">
        <v>-0.52413940000000003</v>
      </c>
      <c r="V869">
        <v>1.160572E-2</v>
      </c>
      <c r="W869">
        <v>-9.314066E-2</v>
      </c>
      <c r="X869">
        <v>0.99558530000000001</v>
      </c>
      <c r="Y869">
        <v>0.17262669999999999</v>
      </c>
      <c r="Z869">
        <v>-2.258713E-2</v>
      </c>
      <c r="AA869">
        <v>0.9847283</v>
      </c>
      <c r="AB869">
        <v>24</v>
      </c>
      <c r="AC869">
        <v>0.59839999999999705</v>
      </c>
      <c r="AD869">
        <v>-0.2090081</v>
      </c>
      <c r="AE869">
        <v>-0.15160000000002999</v>
      </c>
      <c r="AF869">
        <v>0.13719947231851901</v>
      </c>
      <c r="AG869">
        <v>-0.2090081</v>
      </c>
      <c r="AH869">
        <v>0.53655293790930703</v>
      </c>
      <c r="AI869">
        <v>110.676302027866</v>
      </c>
      <c r="AJ869">
        <v>75.656506878084798</v>
      </c>
      <c r="AK869">
        <v>0.59194352454368404</v>
      </c>
      <c r="AL869">
        <v>95.344313039884199</v>
      </c>
      <c r="AM869">
        <v>89.332122866549796</v>
      </c>
      <c r="AN869">
        <v>0.99999998242902099</v>
      </c>
    </row>
    <row r="870" spans="1:40" x14ac:dyDescent="0.25">
      <c r="A870" t="str">
        <f>"20190303154435850"</f>
        <v>20190303154435850</v>
      </c>
      <c r="B870" t="str">
        <f>"1551599075840890"</f>
        <v>1551599075840890</v>
      </c>
      <c r="C870" t="s">
        <v>40</v>
      </c>
      <c r="D870">
        <v>4.4987649999999997</v>
      </c>
      <c r="E870">
        <v>0.56118669999999904</v>
      </c>
      <c r="F870" t="s">
        <v>42</v>
      </c>
      <c r="G870">
        <v>-252.9897</v>
      </c>
      <c r="H870">
        <v>0.91843969999999997</v>
      </c>
      <c r="I870">
        <v>367.35300000000001</v>
      </c>
      <c r="J870">
        <v>-253.56649999999999</v>
      </c>
      <c r="K870">
        <v>1.120938</v>
      </c>
      <c r="L870">
        <v>367.50009999999997</v>
      </c>
      <c r="M870">
        <v>0.99990829999999997</v>
      </c>
      <c r="N870">
        <v>-1.337498E-2</v>
      </c>
      <c r="O870">
        <v>2.2191120000000001E-3</v>
      </c>
      <c r="P870">
        <v>0.99429909999999999</v>
      </c>
      <c r="Q870">
        <v>-0.1062173</v>
      </c>
      <c r="R870">
        <v>-9.3469820000000002E-3</v>
      </c>
      <c r="S870">
        <v>2.9346009999999998</v>
      </c>
      <c r="T870">
        <v>-0.72558400000000001</v>
      </c>
      <c r="U870">
        <v>-0.52398679999999997</v>
      </c>
      <c r="V870">
        <v>1.1550029999999999E-2</v>
      </c>
      <c r="W870">
        <v>-9.2909850000000002E-2</v>
      </c>
      <c r="X870">
        <v>0.99560760000000004</v>
      </c>
      <c r="Y870">
        <v>0.17257449999999999</v>
      </c>
      <c r="Z870">
        <v>-2.2548559999999999E-2</v>
      </c>
      <c r="AA870">
        <v>0.98473829999999996</v>
      </c>
      <c r="AB870">
        <v>24</v>
      </c>
      <c r="AC870">
        <v>0.57679999999999099</v>
      </c>
      <c r="AD870">
        <v>-0.20249829999999999</v>
      </c>
      <c r="AE870">
        <v>-0.14709999999996601</v>
      </c>
      <c r="AF870">
        <v>0.132989539120214</v>
      </c>
      <c r="AG870">
        <v>-0.20249829999999999</v>
      </c>
      <c r="AH870">
        <v>0.51667945777052604</v>
      </c>
      <c r="AI870">
        <v>110.784321786243</v>
      </c>
      <c r="AJ870">
        <v>75.565798654969598</v>
      </c>
      <c r="AK870">
        <v>0.57065702580476596</v>
      </c>
      <c r="AL870">
        <v>95.331030547424803</v>
      </c>
      <c r="AM870">
        <v>89.335342270287995</v>
      </c>
      <c r="AN870">
        <v>1.0000000682988801</v>
      </c>
    </row>
    <row r="871" spans="1:40" x14ac:dyDescent="0.25">
      <c r="A871" t="str">
        <f>"20190303154435873"</f>
        <v>20190303154435873</v>
      </c>
      <c r="B871" t="str">
        <f>"1551599075861387"</f>
        <v>1551599075861387</v>
      </c>
      <c r="C871" t="s">
        <v>40</v>
      </c>
      <c r="D871">
        <v>4.49613</v>
      </c>
      <c r="E871">
        <v>0.56116630000000001</v>
      </c>
      <c r="F871" t="s">
        <v>42</v>
      </c>
      <c r="G871">
        <v>-252.76939999999999</v>
      </c>
      <c r="H871">
        <v>0.92382140000000001</v>
      </c>
      <c r="I871">
        <v>367.35770000000002</v>
      </c>
      <c r="J871">
        <v>-253.3201</v>
      </c>
      <c r="K871">
        <v>1.1209169999999999</v>
      </c>
      <c r="L871">
        <v>367.50060000000002</v>
      </c>
      <c r="M871">
        <v>0.99990990000000002</v>
      </c>
      <c r="N871">
        <v>-1.324735E-2</v>
      </c>
      <c r="O871">
        <v>2.2193109999999999E-3</v>
      </c>
      <c r="P871">
        <v>0.99435150000000005</v>
      </c>
      <c r="Q871">
        <v>-0.1056803</v>
      </c>
      <c r="R871">
        <v>-9.8573299999999992E-3</v>
      </c>
      <c r="S871">
        <v>2.9347530000000002</v>
      </c>
      <c r="T871">
        <v>-0.72578319999999996</v>
      </c>
      <c r="U871">
        <v>-0.52325440000000001</v>
      </c>
      <c r="V871">
        <v>1.206048E-2</v>
      </c>
      <c r="W871">
        <v>-9.2499280000000003E-2</v>
      </c>
      <c r="X871">
        <v>0.99563970000000002</v>
      </c>
      <c r="Y871">
        <v>0.17233519999999999</v>
      </c>
      <c r="Z871">
        <v>-2.251212E-2</v>
      </c>
      <c r="AA871">
        <v>0.98478109999999996</v>
      </c>
      <c r="AB871">
        <v>24</v>
      </c>
      <c r="AC871">
        <v>0.55070000000000596</v>
      </c>
      <c r="AD871">
        <v>-0.19709559999999901</v>
      </c>
      <c r="AE871">
        <v>-0.142899999999997</v>
      </c>
      <c r="AF871">
        <v>0.12867895711843599</v>
      </c>
      <c r="AG871">
        <v>-0.19709559999999901</v>
      </c>
      <c r="AH871">
        <v>0.49140692552842802</v>
      </c>
      <c r="AI871">
        <v>111.206364104409</v>
      </c>
      <c r="AJ871">
        <v>75.326100809797495</v>
      </c>
      <c r="AK871">
        <v>0.54487220153146998</v>
      </c>
      <c r="AL871">
        <v>95.307405286108093</v>
      </c>
      <c r="AM871">
        <v>89.305993113877307</v>
      </c>
      <c r="AN871">
        <v>0.99999999209721901</v>
      </c>
    </row>
    <row r="872" spans="1:40" x14ac:dyDescent="0.25">
      <c r="A872" t="str">
        <f>"20190303154435894"</f>
        <v>20190303154435894</v>
      </c>
      <c r="B872" t="str">
        <f>"1551599075891642"</f>
        <v>1551599075891642</v>
      </c>
      <c r="C872" t="s">
        <v>40</v>
      </c>
      <c r="D872">
        <v>4.455228</v>
      </c>
      <c r="E872">
        <v>0.56112259999999903</v>
      </c>
      <c r="F872" t="s">
        <v>42</v>
      </c>
      <c r="G872">
        <v>-252.54849999999999</v>
      </c>
      <c r="H872">
        <v>0.93055270000000001</v>
      </c>
      <c r="I872">
        <v>367.3623</v>
      </c>
      <c r="J872">
        <v>-253.08090000000001</v>
      </c>
      <c r="K872">
        <v>1.1208899999999999</v>
      </c>
      <c r="L872">
        <v>367.50110000000001</v>
      </c>
      <c r="M872">
        <v>0.99991180000000002</v>
      </c>
      <c r="N872">
        <v>-1.311056E-2</v>
      </c>
      <c r="O872">
        <v>2.2192029999999999E-3</v>
      </c>
      <c r="P872">
        <v>0.99438280000000001</v>
      </c>
      <c r="Q872">
        <v>-0.10534830000000001</v>
      </c>
      <c r="R872">
        <v>-1.025451E-2</v>
      </c>
      <c r="S872">
        <v>2.93486</v>
      </c>
      <c r="T872">
        <v>-0.72420039999999997</v>
      </c>
      <c r="U872">
        <v>-0.52459719999999999</v>
      </c>
      <c r="V872">
        <v>1.2457660000000001E-2</v>
      </c>
      <c r="W872">
        <v>-9.2303159999999995E-2</v>
      </c>
      <c r="X872">
        <v>0.99565300000000001</v>
      </c>
      <c r="Y872">
        <v>0.17277809999999999</v>
      </c>
      <c r="Z872">
        <v>-2.250986E-2</v>
      </c>
      <c r="AA872">
        <v>0.98470349999999995</v>
      </c>
      <c r="AB872">
        <v>24</v>
      </c>
      <c r="AC872">
        <v>0.53240000000002397</v>
      </c>
      <c r="AD872">
        <v>-0.19033729999999999</v>
      </c>
      <c r="AE872">
        <v>-0.138800000000003</v>
      </c>
      <c r="AF872">
        <v>0.12501923652949001</v>
      </c>
      <c r="AG872">
        <v>-0.19033729999999999</v>
      </c>
      <c r="AH872">
        <v>0.475217637762819</v>
      </c>
      <c r="AI872">
        <v>111.173712169534</v>
      </c>
      <c r="AJ872">
        <v>75.2607262009371</v>
      </c>
      <c r="AK872">
        <v>0.52696290240830101</v>
      </c>
      <c r="AL872">
        <v>95.296120214478094</v>
      </c>
      <c r="AM872">
        <v>89.283149755177504</v>
      </c>
      <c r="AN872">
        <v>0.99999998152382996</v>
      </c>
    </row>
    <row r="873" spans="1:40" x14ac:dyDescent="0.25">
      <c r="A873" t="str">
        <f>"20190303154435917"</f>
        <v>20190303154435917</v>
      </c>
      <c r="B873" t="str">
        <f>"1551599075911164"</f>
        <v>1551599075911164</v>
      </c>
      <c r="C873" t="s">
        <v>40</v>
      </c>
      <c r="D873">
        <v>4.4549269999999996</v>
      </c>
      <c r="E873">
        <v>0.56109209999999998</v>
      </c>
      <c r="F873" t="s">
        <v>42</v>
      </c>
      <c r="G873">
        <v>-252.32820000000001</v>
      </c>
      <c r="H873">
        <v>0.93524439999999998</v>
      </c>
      <c r="I873">
        <v>367.36599999999999</v>
      </c>
      <c r="J873">
        <v>-252.82570000000001</v>
      </c>
      <c r="K873">
        <v>1.1208739999999999</v>
      </c>
      <c r="L873">
        <v>367.50170000000003</v>
      </c>
      <c r="M873">
        <v>0.99991350000000001</v>
      </c>
      <c r="N873">
        <v>-1.2961820000000001E-2</v>
      </c>
      <c r="O873">
        <v>2.2195209999999999E-3</v>
      </c>
      <c r="P873">
        <v>0.99439560000000005</v>
      </c>
      <c r="Q873">
        <v>-0.105209</v>
      </c>
      <c r="R873">
        <v>-1.041012E-2</v>
      </c>
      <c r="S873">
        <v>2.9348299999999998</v>
      </c>
      <c r="T873">
        <v>-0.7238175</v>
      </c>
      <c r="U873">
        <v>-0.5256653</v>
      </c>
      <c r="V873">
        <v>1.2613610000000001E-2</v>
      </c>
      <c r="W873">
        <v>-9.2311870000000004E-2</v>
      </c>
      <c r="X873">
        <v>0.99565020000000004</v>
      </c>
      <c r="Y873">
        <v>0.17312569999999999</v>
      </c>
      <c r="Z873">
        <v>-2.252991E-2</v>
      </c>
      <c r="AA873">
        <v>0.98464200000000002</v>
      </c>
      <c r="AB873">
        <v>24</v>
      </c>
      <c r="AC873">
        <v>0.497500000000002</v>
      </c>
      <c r="AD873">
        <v>-0.18562959999999901</v>
      </c>
      <c r="AE873">
        <v>-0.13570000000004201</v>
      </c>
      <c r="AF873">
        <v>0.121110338218036</v>
      </c>
      <c r="AG873">
        <v>-0.18562959999999901</v>
      </c>
      <c r="AH873">
        <v>0.44016094397834099</v>
      </c>
      <c r="AI873">
        <v>112.127636426111</v>
      </c>
      <c r="AJ873">
        <v>74.615752350267798</v>
      </c>
      <c r="AK873">
        <v>0.49281611075872001</v>
      </c>
      <c r="AL873">
        <v>95.296621553993802</v>
      </c>
      <c r="AM873">
        <v>89.27417484854</v>
      </c>
      <c r="AN873">
        <v>0.99999995263008301</v>
      </c>
    </row>
    <row r="874" spans="1:40" x14ac:dyDescent="0.25">
      <c r="A874" t="str">
        <f>"20190303154435941"</f>
        <v>20190303154435941</v>
      </c>
      <c r="B874" t="str">
        <f>"1551599075931658"</f>
        <v>1551599075931658</v>
      </c>
      <c r="C874" t="s">
        <v>40</v>
      </c>
      <c r="D874">
        <v>4.4076579999999996</v>
      </c>
      <c r="E874">
        <v>0.56102879999999999</v>
      </c>
      <c r="F874" t="s">
        <v>42</v>
      </c>
      <c r="G874">
        <v>-252.1062</v>
      </c>
      <c r="H874">
        <v>0.94349229999999995</v>
      </c>
      <c r="I874">
        <v>367.3723</v>
      </c>
      <c r="J874">
        <v>-252.57990000000001</v>
      </c>
      <c r="K874">
        <v>1.1208549999999999</v>
      </c>
      <c r="L874">
        <v>367.50229999999999</v>
      </c>
      <c r="M874">
        <v>0.99991540000000001</v>
      </c>
      <c r="N874">
        <v>-1.282256E-2</v>
      </c>
      <c r="O874">
        <v>2.2197670000000001E-3</v>
      </c>
      <c r="P874">
        <v>0.99439690000000003</v>
      </c>
      <c r="Q874">
        <v>-0.1051907</v>
      </c>
      <c r="R874">
        <v>-1.047642E-2</v>
      </c>
      <c r="S874">
        <v>2.9348139999999998</v>
      </c>
      <c r="T874">
        <v>-0.72372329999999996</v>
      </c>
      <c r="U874">
        <v>-0.52609249999999996</v>
      </c>
      <c r="V874">
        <v>1.268028E-2</v>
      </c>
      <c r="W874">
        <v>-9.2432189999999997E-2</v>
      </c>
      <c r="X874">
        <v>0.99563829999999998</v>
      </c>
      <c r="Y874">
        <v>0.1732658</v>
      </c>
      <c r="Z874">
        <v>-2.2532880000000002E-2</v>
      </c>
      <c r="AA874">
        <v>0.98461730000000003</v>
      </c>
      <c r="AB874">
        <v>24</v>
      </c>
      <c r="AC874">
        <v>0.473700000000007</v>
      </c>
      <c r="AD874">
        <v>-0.17736269999999901</v>
      </c>
      <c r="AE874">
        <v>-0.12999999999999501</v>
      </c>
      <c r="AF874">
        <v>0.115936473227363</v>
      </c>
      <c r="AG874">
        <v>-0.17736269999999901</v>
      </c>
      <c r="AH874">
        <v>0.41880947569527099</v>
      </c>
      <c r="AI874">
        <v>112.202478805634</v>
      </c>
      <c r="AJ874">
        <v>74.526639558436699</v>
      </c>
      <c r="AK874">
        <v>0.46936144932007001</v>
      </c>
      <c r="AL874">
        <v>95.303544402345594</v>
      </c>
      <c r="AM874">
        <v>89.270330149343295</v>
      </c>
      <c r="AN874">
        <v>1.0000000618379801</v>
      </c>
    </row>
    <row r="875" spans="1:40" x14ac:dyDescent="0.25">
      <c r="A875" t="str">
        <f>"20190303154435963"</f>
        <v>20190303154435963</v>
      </c>
      <c r="B875" t="str">
        <f>"1551599075951178"</f>
        <v>1551599075951178</v>
      </c>
      <c r="C875" t="s">
        <v>40</v>
      </c>
      <c r="D875">
        <v>4.3957980000000001</v>
      </c>
      <c r="E875">
        <v>0.56092410000000004</v>
      </c>
      <c r="F875" t="s">
        <v>42</v>
      </c>
      <c r="G875">
        <v>-251.8852</v>
      </c>
      <c r="H875">
        <v>0.94972599999999996</v>
      </c>
      <c r="I875">
        <v>367.37759999999997</v>
      </c>
      <c r="J875">
        <v>-252.33340000000001</v>
      </c>
      <c r="K875">
        <v>1.1208389999999999</v>
      </c>
      <c r="L875">
        <v>367.50279999999998</v>
      </c>
      <c r="M875">
        <v>0.99991730000000001</v>
      </c>
      <c r="N875">
        <v>-1.268096E-2</v>
      </c>
      <c r="O875">
        <v>2.21996E-3</v>
      </c>
      <c r="P875">
        <v>0.99437220000000004</v>
      </c>
      <c r="Q875">
        <v>-0.1054832</v>
      </c>
      <c r="R875">
        <v>-9.8771919999999999E-3</v>
      </c>
      <c r="S875">
        <v>2.9348749999999999</v>
      </c>
      <c r="T875">
        <v>-0.72302869999999997</v>
      </c>
      <c r="U875">
        <v>-0.52572629999999998</v>
      </c>
      <c r="V875">
        <v>1.2081100000000001E-2</v>
      </c>
      <c r="W875">
        <v>-9.2865939999999994E-2</v>
      </c>
      <c r="X875">
        <v>0.99560530000000003</v>
      </c>
      <c r="Y875">
        <v>0.1731596</v>
      </c>
      <c r="Z875">
        <v>-2.248696E-2</v>
      </c>
      <c r="AA875">
        <v>0.98463699999999998</v>
      </c>
      <c r="AB875">
        <v>24</v>
      </c>
      <c r="AC875">
        <v>0.44820000000001398</v>
      </c>
      <c r="AD875">
        <v>-0.17111299999999899</v>
      </c>
      <c r="AE875">
        <v>-0.125200000000006</v>
      </c>
      <c r="AF875">
        <v>0.11116477682289901</v>
      </c>
      <c r="AG875">
        <v>-0.17111299999999899</v>
      </c>
      <c r="AH875">
        <v>0.39457289445674398</v>
      </c>
      <c r="AI875">
        <v>112.65646723371501</v>
      </c>
      <c r="AJ875">
        <v>74.265643229625994</v>
      </c>
      <c r="AK875">
        <v>0.444212826711542</v>
      </c>
      <c r="AL875">
        <v>95.328504266343501</v>
      </c>
      <c r="AM875">
        <v>89.304782657447106</v>
      </c>
      <c r="AN875">
        <v>0.99999997458869105</v>
      </c>
    </row>
    <row r="876" spans="1:40" x14ac:dyDescent="0.25">
      <c r="A876" t="str">
        <f>"20190303154435984"</f>
        <v>20190303154435984</v>
      </c>
      <c r="B876" t="str">
        <f>"1551599075981436"</f>
        <v>1551599075981436</v>
      </c>
      <c r="C876" t="s">
        <v>40</v>
      </c>
      <c r="D876">
        <v>4.4437860000000002</v>
      </c>
      <c r="E876">
        <v>0.533161</v>
      </c>
      <c r="F876" t="s">
        <v>42</v>
      </c>
      <c r="G876">
        <v>-251.46600000000001</v>
      </c>
      <c r="H876">
        <v>0.90710519999999994</v>
      </c>
      <c r="I876">
        <v>367.34809999999999</v>
      </c>
      <c r="J876">
        <v>-252.1069</v>
      </c>
      <c r="K876">
        <v>1.1208229999999999</v>
      </c>
      <c r="L876">
        <v>367.50330000000002</v>
      </c>
      <c r="M876">
        <v>0.99991890000000005</v>
      </c>
      <c r="N876">
        <v>-1.2547030000000001E-2</v>
      </c>
      <c r="O876">
        <v>2.2201539999999998E-3</v>
      </c>
      <c r="P876">
        <v>0.99442799999999998</v>
      </c>
      <c r="Q876">
        <v>-0.10500080000000001</v>
      </c>
      <c r="R876">
        <v>-9.3847440000000004E-3</v>
      </c>
      <c r="S876">
        <v>2.9350589999999999</v>
      </c>
      <c r="T876">
        <v>-0.72323689999999996</v>
      </c>
      <c r="U876">
        <v>-0.52319340000000003</v>
      </c>
      <c r="V876">
        <v>1.1588920000000001E-2</v>
      </c>
      <c r="W876">
        <v>-9.2516169999999995E-2</v>
      </c>
      <c r="X876">
        <v>0.99564370000000002</v>
      </c>
      <c r="Y876">
        <v>0.1723499</v>
      </c>
      <c r="Z876">
        <v>-2.237886E-2</v>
      </c>
      <c r="AA876">
        <v>0.98478160000000003</v>
      </c>
      <c r="AB876">
        <v>24</v>
      </c>
      <c r="AC876">
        <v>0.64090000000001601</v>
      </c>
      <c r="AD876">
        <v>-0.21371780000000001</v>
      </c>
      <c r="AE876">
        <v>-0.155200000000036</v>
      </c>
      <c r="AF876">
        <v>0.14173488492918701</v>
      </c>
      <c r="AG876">
        <v>-0.21371780000000001</v>
      </c>
      <c r="AH876">
        <v>0.57966607383023105</v>
      </c>
      <c r="AI876">
        <v>109.70451670709301</v>
      </c>
      <c r="AJ876">
        <v>76.260119087948894</v>
      </c>
      <c r="AK876">
        <v>0.63385868519133304</v>
      </c>
      <c r="AL876">
        <v>95.308377344551403</v>
      </c>
      <c r="AM876">
        <v>89.333128687212806</v>
      </c>
      <c r="AN876">
        <v>0.99999996106396105</v>
      </c>
    </row>
    <row r="877" spans="1:40" x14ac:dyDescent="0.25">
      <c r="A877" t="str">
        <f>"20190303154436005"</f>
        <v>20190303154436005</v>
      </c>
      <c r="B877" t="str">
        <f>"1551599076000935"</f>
        <v>1551599076000935</v>
      </c>
      <c r="C877" t="s">
        <v>40</v>
      </c>
      <c r="D877">
        <v>4.4065289999999999</v>
      </c>
      <c r="E877">
        <v>0.53035239999999995</v>
      </c>
      <c r="F877" t="s">
        <v>42</v>
      </c>
      <c r="G877">
        <v>-251.25370000000001</v>
      </c>
      <c r="H877">
        <v>0.90160810000000002</v>
      </c>
      <c r="I877">
        <v>367.41550000000001</v>
      </c>
      <c r="J877">
        <v>-251.86080000000001</v>
      </c>
      <c r="K877">
        <v>1.1208089999999999</v>
      </c>
      <c r="L877">
        <v>367.50389999999999</v>
      </c>
      <c r="M877">
        <v>0.9999207</v>
      </c>
      <c r="N877">
        <v>-1.240546E-2</v>
      </c>
      <c r="O877">
        <v>2.220208E-3</v>
      </c>
      <c r="P877">
        <v>0.99443320000000002</v>
      </c>
      <c r="Q877">
        <v>-0.10499410000000001</v>
      </c>
      <c r="R877">
        <v>-8.9049009999999998E-3</v>
      </c>
      <c r="S877">
        <v>2.9343569999999999</v>
      </c>
      <c r="T877">
        <v>-0.75394749999999999</v>
      </c>
      <c r="U877">
        <v>-0.30093379999999997</v>
      </c>
      <c r="V877">
        <v>1.1109030000000001E-2</v>
      </c>
      <c r="W877">
        <v>-9.2650380000000004E-2</v>
      </c>
      <c r="X877">
        <v>0.99563670000000004</v>
      </c>
      <c r="Y877">
        <v>0.1007618</v>
      </c>
      <c r="Z877">
        <v>-1.3876070000000001E-2</v>
      </c>
      <c r="AA877">
        <v>0.99481379999999997</v>
      </c>
      <c r="AB877">
        <v>24</v>
      </c>
      <c r="AC877">
        <v>0.60710000000000197</v>
      </c>
      <c r="AD877">
        <v>-0.219200899999999</v>
      </c>
      <c r="AE877">
        <v>-8.8399999999978704E-2</v>
      </c>
      <c r="AF877">
        <v>7.9587669317296203E-2</v>
      </c>
      <c r="AG877">
        <v>-0.219200899999999</v>
      </c>
      <c r="AH877">
        <v>0.53819645025401697</v>
      </c>
      <c r="AI877">
        <v>111.94481778233001</v>
      </c>
      <c r="AJ877">
        <v>81.588150969911794</v>
      </c>
      <c r="AK877">
        <v>0.58654808049655605</v>
      </c>
      <c r="AL877">
        <v>95.316100128868797</v>
      </c>
      <c r="AM877">
        <v>89.360736580087504</v>
      </c>
      <c r="AN877">
        <v>0.99999997092428705</v>
      </c>
    </row>
    <row r="878" spans="1:40" x14ac:dyDescent="0.25">
      <c r="A878" t="str">
        <f>"20190303154436029"</f>
        <v>20190303154436029</v>
      </c>
      <c r="B878" t="str">
        <f>"1551599076021434"</f>
        <v>1551599076021434</v>
      </c>
      <c r="C878" t="s">
        <v>40</v>
      </c>
      <c r="D878">
        <v>4.4070119999999999</v>
      </c>
      <c r="E878">
        <v>0.52899560000000001</v>
      </c>
      <c r="F878" t="s">
        <v>42</v>
      </c>
      <c r="G878">
        <v>-251.03200000000001</v>
      </c>
      <c r="H878">
        <v>0.90879980000000005</v>
      </c>
      <c r="I878">
        <v>367.42529999999999</v>
      </c>
      <c r="J878">
        <v>-251.61709999999999</v>
      </c>
      <c r="K878">
        <v>1.120792</v>
      </c>
      <c r="L878">
        <v>367.50450000000001</v>
      </c>
      <c r="M878">
        <v>0.99992230000000004</v>
      </c>
      <c r="N878">
        <v>-1.226402E-2</v>
      </c>
      <c r="O878">
        <v>2.2202519999999998E-3</v>
      </c>
      <c r="P878">
        <v>0.99446920000000005</v>
      </c>
      <c r="Q878">
        <v>-0.10466640000000001</v>
      </c>
      <c r="R878">
        <v>-8.726859E-3</v>
      </c>
      <c r="S878">
        <v>2.9350589999999999</v>
      </c>
      <c r="T878">
        <v>-0.75084329999999999</v>
      </c>
      <c r="U878">
        <v>-0.27722170000000002</v>
      </c>
      <c r="V878">
        <v>1.093123E-2</v>
      </c>
      <c r="W878">
        <v>-9.2463080000000003E-2</v>
      </c>
      <c r="X878">
        <v>0.99565610000000004</v>
      </c>
      <c r="Y878">
        <v>9.3060470000000006E-2</v>
      </c>
      <c r="Z878">
        <v>-1.2802279999999999E-2</v>
      </c>
      <c r="AA878">
        <v>0.99557819999999997</v>
      </c>
      <c r="AB878">
        <v>24</v>
      </c>
      <c r="AC878">
        <v>0.58509999999998197</v>
      </c>
      <c r="AD878">
        <v>-0.21199219999999999</v>
      </c>
      <c r="AE878">
        <v>-7.9200000000014301E-2</v>
      </c>
      <c r="AF878">
        <v>7.1306669927430996E-2</v>
      </c>
      <c r="AG878">
        <v>-0.21199219999999999</v>
      </c>
      <c r="AH878">
        <v>0.51812947326827197</v>
      </c>
      <c r="AI878">
        <v>112.064119789042</v>
      </c>
      <c r="AJ878">
        <v>82.163992076568306</v>
      </c>
      <c r="AK878">
        <v>0.56434341061647697</v>
      </c>
      <c r="AL878">
        <v>95.305322256611106</v>
      </c>
      <c r="AM878">
        <v>89.370979416364193</v>
      </c>
      <c r="AN878">
        <v>0.99999999120980398</v>
      </c>
    </row>
    <row r="879" spans="1:40" x14ac:dyDescent="0.25">
      <c r="A879" t="str">
        <f>"20190303154436050"</f>
        <v>20190303154436050</v>
      </c>
      <c r="B879" t="str">
        <f>"1551599076040951"</f>
        <v>1551599076040951</v>
      </c>
      <c r="C879" t="s">
        <v>40</v>
      </c>
      <c r="D879">
        <v>4.3733120000000003</v>
      </c>
      <c r="E879">
        <v>0.52826680000000004</v>
      </c>
      <c r="F879" t="s">
        <v>42</v>
      </c>
      <c r="G879">
        <v>-250.8108</v>
      </c>
      <c r="H879">
        <v>0.91426160000000001</v>
      </c>
      <c r="I879">
        <v>367.43119999999999</v>
      </c>
      <c r="J879">
        <v>-251.3716</v>
      </c>
      <c r="K879">
        <v>1.120773</v>
      </c>
      <c r="L879">
        <v>367.505</v>
      </c>
      <c r="M879">
        <v>0.99992420000000004</v>
      </c>
      <c r="N879">
        <v>-1.211482E-2</v>
      </c>
      <c r="O879">
        <v>2.2203320000000002E-3</v>
      </c>
      <c r="P879">
        <v>0.9944693</v>
      </c>
      <c r="Q879">
        <v>-0.10466739999999999</v>
      </c>
      <c r="R879">
        <v>-8.7136780000000007E-3</v>
      </c>
      <c r="S879">
        <v>2.9351959999999999</v>
      </c>
      <c r="T879">
        <v>-0.75197269999999905</v>
      </c>
      <c r="U879">
        <v>-0.26571660000000002</v>
      </c>
      <c r="V879">
        <v>1.09181E-2</v>
      </c>
      <c r="W879">
        <v>-9.2612650000000005E-2</v>
      </c>
      <c r="X879">
        <v>0.99564240000000004</v>
      </c>
      <c r="Y879">
        <v>8.930391E-2</v>
      </c>
      <c r="Z879">
        <v>-1.231907E-2</v>
      </c>
      <c r="AA879">
        <v>0.99592820000000004</v>
      </c>
      <c r="AB879">
        <v>24</v>
      </c>
      <c r="AC879">
        <v>0.56079999999999997</v>
      </c>
      <c r="AD879">
        <v>-0.20651140000000001</v>
      </c>
      <c r="AE879">
        <v>-7.3800000000005597E-2</v>
      </c>
      <c r="AF879">
        <v>6.6218452791774102E-2</v>
      </c>
      <c r="AG879">
        <v>-0.20651140000000001</v>
      </c>
      <c r="AH879">
        <v>0.49469424995005201</v>
      </c>
      <c r="AI879">
        <v>112.47792282295001</v>
      </c>
      <c r="AJ879">
        <v>82.375860126013606</v>
      </c>
      <c r="AK879">
        <v>0.54014279848364299</v>
      </c>
      <c r="AL879">
        <v>95.313928612136095</v>
      </c>
      <c r="AM879">
        <v>89.371726256930401</v>
      </c>
      <c r="AN879">
        <v>1.0000000482626901</v>
      </c>
    </row>
    <row r="880" spans="1:40" x14ac:dyDescent="0.25">
      <c r="A880" t="str">
        <f>"20190303154436073"</f>
        <v>20190303154436073</v>
      </c>
      <c r="B880" t="str">
        <f>"1551599076061447"</f>
        <v>1551599076061447</v>
      </c>
      <c r="C880" t="s">
        <v>40</v>
      </c>
      <c r="D880">
        <v>4.373183</v>
      </c>
      <c r="E880">
        <v>0.52785369999999998</v>
      </c>
      <c r="F880" t="s">
        <v>42</v>
      </c>
      <c r="G880">
        <v>-250.5889</v>
      </c>
      <c r="H880">
        <v>0.92044519999999996</v>
      </c>
      <c r="I880">
        <v>367.43549999999999</v>
      </c>
      <c r="J880">
        <v>-251.1276</v>
      </c>
      <c r="K880">
        <v>1.1207560000000001</v>
      </c>
      <c r="L880">
        <v>367.50549999999998</v>
      </c>
      <c r="M880">
        <v>0.99992590000000003</v>
      </c>
      <c r="N880">
        <v>-1.1966890000000001E-2</v>
      </c>
      <c r="O880">
        <v>2.2205129999999999E-3</v>
      </c>
      <c r="P880">
        <v>0.99447439999999998</v>
      </c>
      <c r="Q880">
        <v>-0.1046002</v>
      </c>
      <c r="R880">
        <v>-8.919036E-3</v>
      </c>
      <c r="S880">
        <v>2.935333</v>
      </c>
      <c r="T880">
        <v>-0.75131789999999998</v>
      </c>
      <c r="U880">
        <v>-0.25982670000000002</v>
      </c>
      <c r="V880">
        <v>1.1123920000000001E-2</v>
      </c>
      <c r="W880">
        <v>-9.2692609999999995E-2</v>
      </c>
      <c r="X880">
        <v>0.99563259999999998</v>
      </c>
      <c r="Y880">
        <v>8.7387899999999893E-2</v>
      </c>
      <c r="Z880">
        <v>-1.205061E-2</v>
      </c>
      <c r="AA880">
        <v>0.99610149999999997</v>
      </c>
      <c r="AB880">
        <v>24</v>
      </c>
      <c r="AC880">
        <v>0.53870000000000495</v>
      </c>
      <c r="AD880">
        <v>-0.20031079999999901</v>
      </c>
      <c r="AE880">
        <v>-6.9999999999993096E-2</v>
      </c>
      <c r="AF880">
        <v>6.2674284456103901E-2</v>
      </c>
      <c r="AG880">
        <v>-0.20031079999999901</v>
      </c>
      <c r="AH880">
        <v>0.47408228288714899</v>
      </c>
      <c r="AI880">
        <v>112.727772857069</v>
      </c>
      <c r="AJ880">
        <v>82.469094997203996</v>
      </c>
      <c r="AK880">
        <v>0.51846551811689001</v>
      </c>
      <c r="AL880">
        <v>95.318530203209505</v>
      </c>
      <c r="AM880">
        <v>89.359877178156694</v>
      </c>
      <c r="AN880">
        <v>0.99999996786376799</v>
      </c>
    </row>
    <row r="881" spans="1:40" x14ac:dyDescent="0.25">
      <c r="A881" t="str">
        <f>"20190303154436096"</f>
        <v>20190303154436096</v>
      </c>
      <c r="B881" t="str">
        <f>"1551599076091703"</f>
        <v>1551599076091703</v>
      </c>
      <c r="C881" t="s">
        <v>40</v>
      </c>
      <c r="D881">
        <v>4.3866509999999996</v>
      </c>
      <c r="E881">
        <v>0.52750819999999998</v>
      </c>
      <c r="F881" t="s">
        <v>42</v>
      </c>
      <c r="G881">
        <v>-250.36689999999999</v>
      </c>
      <c r="H881">
        <v>0.92602340000000005</v>
      </c>
      <c r="I881">
        <v>367.43860000000001</v>
      </c>
      <c r="J881">
        <v>-250.8809</v>
      </c>
      <c r="K881">
        <v>1.1207320000000001</v>
      </c>
      <c r="L881">
        <v>367.5061</v>
      </c>
      <c r="M881">
        <v>0.99992760000000003</v>
      </c>
      <c r="N881">
        <v>-1.1828750000000001E-2</v>
      </c>
      <c r="O881">
        <v>2.2206840000000001E-3</v>
      </c>
      <c r="P881">
        <v>0.99448259999999999</v>
      </c>
      <c r="Q881">
        <v>-0.10448200000000001</v>
      </c>
      <c r="R881">
        <v>-9.3808759999999998E-3</v>
      </c>
      <c r="S881">
        <v>2.935333</v>
      </c>
      <c r="T881">
        <v>-0.75151669999999904</v>
      </c>
      <c r="U881">
        <v>-0.25723269999999998</v>
      </c>
      <c r="V881">
        <v>1.1585760000000001E-2</v>
      </c>
      <c r="W881">
        <v>-9.2711989999999994E-2</v>
      </c>
      <c r="X881">
        <v>0.9956256</v>
      </c>
      <c r="Y881">
        <v>8.6542610000000006E-2</v>
      </c>
      <c r="Z881">
        <v>-1.1936779999999999E-2</v>
      </c>
      <c r="AA881">
        <v>0.99617670000000003</v>
      </c>
      <c r="AB881">
        <v>25</v>
      </c>
      <c r="AC881">
        <v>0.51400000000001</v>
      </c>
      <c r="AD881">
        <v>-0.19470860000000001</v>
      </c>
      <c r="AE881">
        <v>-6.7499999999995397E-2</v>
      </c>
      <c r="AF881">
        <v>6.0155527258163199E-2</v>
      </c>
      <c r="AG881">
        <v>-0.19470860000000001</v>
      </c>
      <c r="AH881">
        <v>0.45032402949138001</v>
      </c>
      <c r="AI881">
        <v>113.198404780548</v>
      </c>
      <c r="AJ881">
        <v>82.391315558265305</v>
      </c>
      <c r="AK881">
        <v>0.49428924519052703</v>
      </c>
      <c r="AL881">
        <v>95.319645017313604</v>
      </c>
      <c r="AM881">
        <v>89.333298390424801</v>
      </c>
      <c r="AN881">
        <v>1.00000003914994</v>
      </c>
    </row>
    <row r="882" spans="1:40" x14ac:dyDescent="0.25">
      <c r="A882" t="str">
        <f>"20190303154436118"</f>
        <v>20190303154436118</v>
      </c>
      <c r="B882" t="str">
        <f>"1551599076110902"</f>
        <v>1551599076110902</v>
      </c>
      <c r="C882" t="s">
        <v>40</v>
      </c>
      <c r="D882">
        <v>4.3883809999999999</v>
      </c>
      <c r="E882">
        <v>0.52751230000000005</v>
      </c>
      <c r="F882" t="s">
        <v>42</v>
      </c>
      <c r="G882">
        <v>-250.14429999999999</v>
      </c>
      <c r="H882">
        <v>0.93248880000000001</v>
      </c>
      <c r="I882">
        <v>367.44170000000003</v>
      </c>
      <c r="J882">
        <v>-250.63489999999999</v>
      </c>
      <c r="K882">
        <v>1.1207210000000001</v>
      </c>
      <c r="L882">
        <v>367.50659999999999</v>
      </c>
      <c r="M882">
        <v>0.99992910000000002</v>
      </c>
      <c r="N882">
        <v>-1.1709249999999999E-2</v>
      </c>
      <c r="O882">
        <v>2.220737E-3</v>
      </c>
      <c r="P882">
        <v>0.99445649999999997</v>
      </c>
      <c r="Q882">
        <v>-0.10469729999999999</v>
      </c>
      <c r="R882">
        <v>-9.7638929999999992E-3</v>
      </c>
      <c r="S882">
        <v>2.9354100000000001</v>
      </c>
      <c r="T882">
        <v>-0.75023219999999902</v>
      </c>
      <c r="U882">
        <v>-0.25555420000000001</v>
      </c>
      <c r="V882">
        <v>1.1968629999999999E-2</v>
      </c>
      <c r="W882">
        <v>-9.3046569999999995E-2</v>
      </c>
      <c r="X882">
        <v>0.99558979999999997</v>
      </c>
      <c r="Y882">
        <v>8.6004120000000003E-2</v>
      </c>
      <c r="Z882">
        <v>-1.184197E-2</v>
      </c>
      <c r="AA882">
        <v>0.99622440000000001</v>
      </c>
      <c r="AB882">
        <v>25</v>
      </c>
      <c r="AC882">
        <v>0.49059999999999998</v>
      </c>
      <c r="AD882">
        <v>-0.18823219999999899</v>
      </c>
      <c r="AE882">
        <v>-6.4899999999965902E-2</v>
      </c>
      <c r="AF882">
        <v>5.7648951799635799E-2</v>
      </c>
      <c r="AG882">
        <v>-0.18823219999999899</v>
      </c>
      <c r="AH882">
        <v>0.42846568189724699</v>
      </c>
      <c r="AI882">
        <v>113.52799954132701</v>
      </c>
      <c r="AJ882">
        <v>82.337020582164499</v>
      </c>
      <c r="AK882">
        <v>0.47152688504910301</v>
      </c>
      <c r="AL882">
        <v>95.338898574017193</v>
      </c>
      <c r="AM882">
        <v>89.311243492596105</v>
      </c>
      <c r="AN882">
        <v>0.99999998107844001</v>
      </c>
    </row>
    <row r="883" spans="1:40" x14ac:dyDescent="0.25">
      <c r="A883" t="str">
        <f>"20190303154436141"</f>
        <v>20190303154436141</v>
      </c>
      <c r="B883" t="str">
        <f>"1551599076131398"</f>
        <v>1551599076131398</v>
      </c>
      <c r="C883" t="s">
        <v>40</v>
      </c>
      <c r="D883">
        <v>4.4052290000000003</v>
      </c>
      <c r="E883">
        <v>0.52743359999999995</v>
      </c>
      <c r="F883" t="s">
        <v>42</v>
      </c>
      <c r="G883">
        <v>-249.92189999999999</v>
      </c>
      <c r="H883">
        <v>0.93833719999999998</v>
      </c>
      <c r="I883">
        <v>367.44400000000002</v>
      </c>
      <c r="J883">
        <v>-250.3897</v>
      </c>
      <c r="K883">
        <v>1.1207129999999901</v>
      </c>
      <c r="L883">
        <v>367.50709999999998</v>
      </c>
      <c r="M883">
        <v>0.99993010000000004</v>
      </c>
      <c r="N883">
        <v>-1.161208E-2</v>
      </c>
      <c r="O883">
        <v>2.2209500000000002E-3</v>
      </c>
      <c r="P883">
        <v>0.99440410000000001</v>
      </c>
      <c r="Q883">
        <v>-0.1051923</v>
      </c>
      <c r="R883">
        <v>-9.7531349999999996E-3</v>
      </c>
      <c r="S883">
        <v>2.9351500000000001</v>
      </c>
      <c r="T883">
        <v>-0.75089249999999996</v>
      </c>
      <c r="U883">
        <v>-0.25698850000000001</v>
      </c>
      <c r="V883">
        <v>1.195804E-2</v>
      </c>
      <c r="W883">
        <v>-9.3638879999999994E-2</v>
      </c>
      <c r="X883">
        <v>0.99553440000000004</v>
      </c>
      <c r="Y883">
        <v>8.6474999999999996E-2</v>
      </c>
      <c r="Z883">
        <v>-1.191037E-2</v>
      </c>
      <c r="AA883">
        <v>0.99618280000000003</v>
      </c>
      <c r="AB883">
        <v>25</v>
      </c>
      <c r="AC883">
        <v>0.46780000000001098</v>
      </c>
      <c r="AD883">
        <v>-0.18237579999999901</v>
      </c>
      <c r="AE883">
        <v>-6.3099999999963005E-2</v>
      </c>
      <c r="AF883">
        <v>5.5808181584260201E-2</v>
      </c>
      <c r="AG883">
        <v>-0.18237579999999901</v>
      </c>
      <c r="AH883">
        <v>0.406916732212944</v>
      </c>
      <c r="AI883">
        <v>113.942793243506</v>
      </c>
      <c r="AJ883">
        <v>82.190667788623799</v>
      </c>
      <c r="AK883">
        <v>0.44939594180660197</v>
      </c>
      <c r="AL883">
        <v>95.372984217456306</v>
      </c>
      <c r="AM883">
        <v>89.311814564034606</v>
      </c>
      <c r="AN883">
        <v>0.99999998807582802</v>
      </c>
    </row>
    <row r="884" spans="1:40" x14ac:dyDescent="0.25">
      <c r="A884" t="str">
        <f>"20190303154436164"</f>
        <v>20190303154436164</v>
      </c>
      <c r="B884" t="str">
        <f>"1551599076161653"</f>
        <v>1551599076161653</v>
      </c>
      <c r="C884" t="s">
        <v>40</v>
      </c>
      <c r="D884">
        <v>4.4441139999999999</v>
      </c>
      <c r="E884">
        <v>0.52731890000000003</v>
      </c>
      <c r="F884" t="s">
        <v>42</v>
      </c>
      <c r="G884">
        <v>-249.6996</v>
      </c>
      <c r="H884">
        <v>0.94369590000000003</v>
      </c>
      <c r="I884">
        <v>367.44670000000002</v>
      </c>
      <c r="J884">
        <v>-250.13919999999999</v>
      </c>
      <c r="K884">
        <v>1.1207069999999999</v>
      </c>
      <c r="L884">
        <v>367.5077</v>
      </c>
      <c r="M884">
        <v>0.99993089999999996</v>
      </c>
      <c r="N884">
        <v>-1.154385E-2</v>
      </c>
      <c r="O884">
        <v>2.2209909999999999E-3</v>
      </c>
      <c r="P884">
        <v>0.99444929999999998</v>
      </c>
      <c r="Q884">
        <v>-0.1047435</v>
      </c>
      <c r="R884">
        <v>-9.9609109999999994E-3</v>
      </c>
      <c r="S884">
        <v>2.9347379999999998</v>
      </c>
      <c r="T884">
        <v>-0.75278409999999996</v>
      </c>
      <c r="U884">
        <v>-0.25650020000000001</v>
      </c>
      <c r="V884">
        <v>1.216631E-2</v>
      </c>
      <c r="W884">
        <v>-9.325746E-2</v>
      </c>
      <c r="X884">
        <v>0.99556770000000006</v>
      </c>
      <c r="Y884">
        <v>8.6313600000000004E-2</v>
      </c>
      <c r="Z884">
        <v>-1.1915800000000001E-2</v>
      </c>
      <c r="AA884">
        <v>0.99619669999999905</v>
      </c>
      <c r="AB884">
        <v>25</v>
      </c>
      <c r="AC884">
        <v>0.439599999999984</v>
      </c>
      <c r="AD884">
        <v>-0.17701109999999901</v>
      </c>
      <c r="AE884">
        <v>-6.0999999999978599E-2</v>
      </c>
      <c r="AF884">
        <v>5.3470436200521297E-2</v>
      </c>
      <c r="AG884">
        <v>-0.17701109999999901</v>
      </c>
      <c r="AH884">
        <v>0.37915002039335199</v>
      </c>
      <c r="AI884">
        <v>114.81055522778</v>
      </c>
      <c r="AJ884">
        <v>81.972679287986196</v>
      </c>
      <c r="AK884">
        <v>0.421837356139737</v>
      </c>
      <c r="AL884">
        <v>95.351034298778302</v>
      </c>
      <c r="AM884">
        <v>89.299853221632006</v>
      </c>
      <c r="AN884">
        <v>1.00000000911397</v>
      </c>
    </row>
    <row r="885" spans="1:40" x14ac:dyDescent="0.25">
      <c r="A885" t="str">
        <f>"20190303154436185"</f>
        <v>20190303154436185</v>
      </c>
      <c r="B885" t="str">
        <f>"1551599076181174"</f>
        <v>1551599076181174</v>
      </c>
      <c r="C885" t="s">
        <v>40</v>
      </c>
      <c r="D885">
        <v>4.4511820000000002</v>
      </c>
      <c r="E885">
        <v>0.52739279999999999</v>
      </c>
      <c r="F885" t="s">
        <v>42</v>
      </c>
      <c r="G885">
        <v>-249.28</v>
      </c>
      <c r="H885">
        <v>0.9008718</v>
      </c>
      <c r="I885">
        <v>367.43239999999997</v>
      </c>
      <c r="J885">
        <v>-249.90020000000001</v>
      </c>
      <c r="K885">
        <v>1.120711</v>
      </c>
      <c r="L885">
        <v>367.50830000000002</v>
      </c>
      <c r="M885">
        <v>0.99993140000000003</v>
      </c>
      <c r="N885">
        <v>-1.151449E-2</v>
      </c>
      <c r="O885">
        <v>2.221162E-3</v>
      </c>
      <c r="P885">
        <v>0.99438970000000004</v>
      </c>
      <c r="Q885">
        <v>-0.1053606</v>
      </c>
      <c r="R885">
        <v>-9.413912E-3</v>
      </c>
      <c r="S885">
        <v>2.9350740000000002</v>
      </c>
      <c r="T885">
        <v>-0.75113109999999905</v>
      </c>
      <c r="U885">
        <v>-0.25656129999999999</v>
      </c>
      <c r="V885">
        <v>1.1619010000000001E-2</v>
      </c>
      <c r="W885">
        <v>-9.3904470000000004E-2</v>
      </c>
      <c r="X885">
        <v>0.99551339999999999</v>
      </c>
      <c r="Y885">
        <v>8.6337189999999994E-2</v>
      </c>
      <c r="Z885">
        <v>-1.1892079999999999E-2</v>
      </c>
      <c r="AA885">
        <v>0.99619500000000005</v>
      </c>
      <c r="AB885">
        <v>25</v>
      </c>
      <c r="AC885">
        <v>0.62020000000001096</v>
      </c>
      <c r="AD885">
        <v>-0.21983919999999901</v>
      </c>
      <c r="AE885">
        <v>-7.5900000000046902E-2</v>
      </c>
      <c r="AF885">
        <v>6.87649556265926E-2</v>
      </c>
      <c r="AG885">
        <v>-0.21983919999999901</v>
      </c>
      <c r="AH885">
        <v>0.55173037478762099</v>
      </c>
      <c r="AI885">
        <v>111.573588012047</v>
      </c>
      <c r="AJ885">
        <v>82.895571669281594</v>
      </c>
      <c r="AK885">
        <v>0.59788318210354097</v>
      </c>
      <c r="AL885">
        <v>95.388268739929302</v>
      </c>
      <c r="AM885">
        <v>89.331309845518504</v>
      </c>
      <c r="AN885">
        <v>0.99999999022945996</v>
      </c>
    </row>
    <row r="886" spans="1:40" x14ac:dyDescent="0.25">
      <c r="A886" t="str">
        <f>"20190303154436207"</f>
        <v>20190303154436207</v>
      </c>
      <c r="B886" t="str">
        <f>"1551599076201673"</f>
        <v>1551599076201673</v>
      </c>
      <c r="C886" t="s">
        <v>40</v>
      </c>
      <c r="D886">
        <v>4.4558629999999999</v>
      </c>
      <c r="E886">
        <v>0.52744150000000001</v>
      </c>
      <c r="F886" t="s">
        <v>42</v>
      </c>
      <c r="G886">
        <v>-249.0583</v>
      </c>
      <c r="H886">
        <v>0.90528660000000005</v>
      </c>
      <c r="I886">
        <v>367.4348</v>
      </c>
      <c r="J886">
        <v>-249.64920000000001</v>
      </c>
      <c r="K886">
        <v>1.120719</v>
      </c>
      <c r="L886">
        <v>367.50880000000001</v>
      </c>
      <c r="M886">
        <v>0.99993140000000003</v>
      </c>
      <c r="N886">
        <v>-1.151313E-2</v>
      </c>
      <c r="O886">
        <v>2.2211710000000001E-3</v>
      </c>
      <c r="P886">
        <v>0.99434420000000001</v>
      </c>
      <c r="Q886">
        <v>-0.105833</v>
      </c>
      <c r="R886">
        <v>-8.9149069999999997E-3</v>
      </c>
      <c r="S886">
        <v>2.9349059999999998</v>
      </c>
      <c r="T886">
        <v>-0.75101960000000001</v>
      </c>
      <c r="U886">
        <v>-0.25552370000000002</v>
      </c>
      <c r="V886">
        <v>1.1119860000000001E-2</v>
      </c>
      <c r="W886">
        <v>-9.4378660000000003E-2</v>
      </c>
      <c r="X886">
        <v>0.99547430000000003</v>
      </c>
      <c r="Y886">
        <v>8.600418E-2</v>
      </c>
      <c r="Z886">
        <v>-1.1847369999999999E-2</v>
      </c>
      <c r="AA886">
        <v>0.99622429999999995</v>
      </c>
      <c r="AB886">
        <v>25</v>
      </c>
      <c r="AC886">
        <v>0.59090000000000398</v>
      </c>
      <c r="AD886">
        <v>-0.2154324</v>
      </c>
      <c r="AE886">
        <v>-7.4000000000012195E-2</v>
      </c>
      <c r="AF886">
        <v>6.6596939486341794E-2</v>
      </c>
      <c r="AG886">
        <v>-0.2154324</v>
      </c>
      <c r="AH886">
        <v>0.52237201915329801</v>
      </c>
      <c r="AI886">
        <v>112.2494972435</v>
      </c>
      <c r="AJ886">
        <v>82.734584404836596</v>
      </c>
      <c r="AK886">
        <v>0.56896291418070499</v>
      </c>
      <c r="AL886">
        <v>95.415558798387394</v>
      </c>
      <c r="AM886">
        <v>89.360009043763895</v>
      </c>
      <c r="AN886">
        <v>1.0000000323551499</v>
      </c>
    </row>
    <row r="887" spans="1:40" x14ac:dyDescent="0.25">
      <c r="A887" t="str">
        <f>"20190303154436229"</f>
        <v>20190303154436229</v>
      </c>
      <c r="B887" t="str">
        <f>"1551599076221190"</f>
        <v>1551599076221190</v>
      </c>
      <c r="C887" t="s">
        <v>40</v>
      </c>
      <c r="D887">
        <v>4.4605090000000001</v>
      </c>
      <c r="E887">
        <v>0.52732409999999996</v>
      </c>
      <c r="F887" t="s">
        <v>42</v>
      </c>
      <c r="G887">
        <v>-248.83539999999999</v>
      </c>
      <c r="H887">
        <v>0.91231850000000003</v>
      </c>
      <c r="I887">
        <v>367.4384</v>
      </c>
      <c r="J887">
        <v>-249.4118</v>
      </c>
      <c r="K887">
        <v>1.1207389999999999</v>
      </c>
      <c r="L887">
        <v>367.50940000000003</v>
      </c>
      <c r="M887">
        <v>0.99993100000000001</v>
      </c>
      <c r="N887">
        <v>-1.1548620000000001E-2</v>
      </c>
      <c r="O887">
        <v>2.221144E-3</v>
      </c>
      <c r="P887">
        <v>0.99428819999999996</v>
      </c>
      <c r="Q887">
        <v>-0.10639709999999999</v>
      </c>
      <c r="R887">
        <v>-8.4326009999999996E-3</v>
      </c>
      <c r="S887">
        <v>2.9347989999999999</v>
      </c>
      <c r="T887">
        <v>-0.75156119999999904</v>
      </c>
      <c r="U887">
        <v>-0.2535095</v>
      </c>
      <c r="V887">
        <v>1.0637509999999999E-2</v>
      </c>
      <c r="W887">
        <v>-9.490796E-2</v>
      </c>
      <c r="X887">
        <v>0.99542920000000001</v>
      </c>
      <c r="Y887">
        <v>8.5345859999999996E-2</v>
      </c>
      <c r="Z887">
        <v>-1.177082E-2</v>
      </c>
      <c r="AA887">
        <v>0.99628190000000005</v>
      </c>
      <c r="AB887">
        <v>25</v>
      </c>
      <c r="AC887">
        <v>0.57640000000000602</v>
      </c>
      <c r="AD887">
        <v>-0.20842049999999901</v>
      </c>
      <c r="AE887">
        <v>-7.1000000000026306E-2</v>
      </c>
      <c r="AF887">
        <v>6.4033144408623496E-2</v>
      </c>
      <c r="AG887">
        <v>-0.20842049999999901</v>
      </c>
      <c r="AH887">
        <v>0.51049286149947504</v>
      </c>
      <c r="AI887">
        <v>112.0528047805</v>
      </c>
      <c r="AJ887">
        <v>82.850503049961603</v>
      </c>
      <c r="AK887">
        <v>0.55510567466476901</v>
      </c>
      <c r="AL887">
        <v>95.446022456003305</v>
      </c>
      <c r="AM887">
        <v>89.387740254710707</v>
      </c>
      <c r="AN887">
        <v>0.99999998485149999</v>
      </c>
    </row>
    <row r="888" spans="1:40" x14ac:dyDescent="0.25">
      <c r="A888" t="str">
        <f>"20190303154436252"</f>
        <v>20190303154436252</v>
      </c>
      <c r="B888" t="str">
        <f>"1551599076241686"</f>
        <v>1551599076241686</v>
      </c>
      <c r="C888" t="s">
        <v>40</v>
      </c>
      <c r="D888">
        <v>4.4880000000000004</v>
      </c>
      <c r="E888">
        <v>0.52739159999999996</v>
      </c>
      <c r="F888" t="s">
        <v>42</v>
      </c>
      <c r="G888">
        <v>-248.6139</v>
      </c>
      <c r="H888">
        <v>0.91621090000000005</v>
      </c>
      <c r="I888">
        <v>367.44080000000002</v>
      </c>
      <c r="J888">
        <v>-249.15690000000001</v>
      </c>
      <c r="K888">
        <v>1.12076</v>
      </c>
      <c r="L888">
        <v>367.50990000000002</v>
      </c>
      <c r="M888">
        <v>0.99993010000000004</v>
      </c>
      <c r="N888">
        <v>-1.162384E-2</v>
      </c>
      <c r="O888">
        <v>2.2214219999999998E-3</v>
      </c>
      <c r="P888">
        <v>0.99422860000000002</v>
      </c>
      <c r="Q888">
        <v>-0.1069874</v>
      </c>
      <c r="R888">
        <v>-7.9730900000000004E-3</v>
      </c>
      <c r="S888">
        <v>2.9346160000000001</v>
      </c>
      <c r="T888">
        <v>-0.75240209999999996</v>
      </c>
      <c r="U888">
        <v>-0.2511292</v>
      </c>
      <c r="V888">
        <v>1.0178100000000001E-2</v>
      </c>
      <c r="W888">
        <v>-9.5424060000000005E-2</v>
      </c>
      <c r="X888">
        <v>0.99538470000000001</v>
      </c>
      <c r="Y888">
        <v>8.4567699999999996E-2</v>
      </c>
      <c r="Z888">
        <v>-1.1684689999999999E-2</v>
      </c>
      <c r="AA888">
        <v>0.99634920000000005</v>
      </c>
      <c r="AB888">
        <v>25</v>
      </c>
      <c r="AC888">
        <v>0.54300000000000603</v>
      </c>
      <c r="AD888">
        <v>-0.20454910000000001</v>
      </c>
      <c r="AE888">
        <v>-6.9099999999991696E-2</v>
      </c>
      <c r="AF888">
        <v>6.16913804127514E-2</v>
      </c>
      <c r="AG888">
        <v>-0.20454910000000001</v>
      </c>
      <c r="AH888">
        <v>0.47632916844220102</v>
      </c>
      <c r="AI888">
        <v>113.067754563568</v>
      </c>
      <c r="AJ888">
        <v>82.620462551923495</v>
      </c>
      <c r="AK888">
        <v>0.52204945880335896</v>
      </c>
      <c r="AL888">
        <v>95.475727418657897</v>
      </c>
      <c r="AM888">
        <v>89.414154296072795</v>
      </c>
      <c r="AN888">
        <v>1.0000000229702899</v>
      </c>
    </row>
    <row r="889" spans="1:40" x14ac:dyDescent="0.25">
      <c r="A889" t="str">
        <f>"20190303154436284"</f>
        <v>20190303154436284</v>
      </c>
      <c r="B889" t="str">
        <f>"1551599076280727"</f>
        <v>1551599076280727</v>
      </c>
      <c r="C889" t="s">
        <v>40</v>
      </c>
      <c r="D889">
        <v>4.4992749999999999</v>
      </c>
      <c r="E889">
        <v>0.52749259999999998</v>
      </c>
      <c r="F889" t="s">
        <v>42</v>
      </c>
      <c r="G889">
        <v>-248.3903</v>
      </c>
      <c r="H889">
        <v>0.92427519999999996</v>
      </c>
      <c r="I889">
        <v>367.4443</v>
      </c>
      <c r="J889">
        <v>-248.8058</v>
      </c>
      <c r="K889">
        <v>1.12079</v>
      </c>
      <c r="L889">
        <v>367.51069999999999</v>
      </c>
      <c r="M889">
        <v>0.9999285</v>
      </c>
      <c r="N889">
        <v>-1.175587E-2</v>
      </c>
      <c r="O889">
        <v>2.221303E-3</v>
      </c>
      <c r="P889">
        <v>0.99420500000000001</v>
      </c>
      <c r="Q889">
        <v>-0.10718610000000001</v>
      </c>
      <c r="R889">
        <v>-8.2423089999999997E-3</v>
      </c>
      <c r="S889">
        <v>2.9344480000000002</v>
      </c>
      <c r="T889">
        <v>-0.75227759999999999</v>
      </c>
      <c r="U889">
        <v>-0.25045780000000001</v>
      </c>
      <c r="V889">
        <v>1.044702E-2</v>
      </c>
      <c r="W889">
        <v>-9.5491629999999994E-2</v>
      </c>
      <c r="X889">
        <v>0.99537540000000002</v>
      </c>
      <c r="Y889">
        <v>8.4352499999999997E-2</v>
      </c>
      <c r="Z889">
        <v>-1.16606E-2</v>
      </c>
      <c r="AA889">
        <v>0.99636780000000003</v>
      </c>
      <c r="AB889">
        <v>25</v>
      </c>
      <c r="AC889">
        <v>0.41550000000000797</v>
      </c>
      <c r="AD889">
        <v>-0.19651479999999899</v>
      </c>
      <c r="AE889">
        <v>-6.6399999999987303E-2</v>
      </c>
      <c r="AF889">
        <v>5.52678079882271E-2</v>
      </c>
      <c r="AG889">
        <v>-0.19651479999999899</v>
      </c>
      <c r="AH889">
        <v>0.34097731840675499</v>
      </c>
      <c r="AI889">
        <v>119.635694871222</v>
      </c>
      <c r="AJ889">
        <v>80.793199540716699</v>
      </c>
      <c r="AK889">
        <v>0.39741430382753601</v>
      </c>
      <c r="AL889">
        <v>95.4796168398872</v>
      </c>
      <c r="AM889">
        <v>89.398670916422901</v>
      </c>
      <c r="AN889">
        <v>0.99999998927604805</v>
      </c>
    </row>
    <row r="890" spans="1:40" x14ac:dyDescent="0.25">
      <c r="A890" t="str">
        <f>"20190303154436318"</f>
        <v>20190303154436318</v>
      </c>
      <c r="B890" t="str">
        <f>"1551599076310982"</f>
        <v>1551599076310982</v>
      </c>
      <c r="C890" t="s">
        <v>40</v>
      </c>
      <c r="D890">
        <v>4.5491659999999996</v>
      </c>
      <c r="E890">
        <v>0.52744959999999996</v>
      </c>
      <c r="F890" t="s">
        <v>42</v>
      </c>
      <c r="G890">
        <v>-247.96019999999999</v>
      </c>
      <c r="H890">
        <v>0.90457609999999999</v>
      </c>
      <c r="I890">
        <v>367.43790000000001</v>
      </c>
      <c r="J890">
        <v>-248.43209999999999</v>
      </c>
      <c r="K890">
        <v>1.120808</v>
      </c>
      <c r="L890">
        <v>367.51150000000001</v>
      </c>
      <c r="M890">
        <v>0.9999268</v>
      </c>
      <c r="N890">
        <v>-1.189163E-2</v>
      </c>
      <c r="O890">
        <v>2.221509E-3</v>
      </c>
      <c r="P890">
        <v>0.99421850000000001</v>
      </c>
      <c r="Q890">
        <v>-0.1070464</v>
      </c>
      <c r="R890">
        <v>-8.41368199999999E-3</v>
      </c>
      <c r="S890">
        <v>2.9345089999999998</v>
      </c>
      <c r="T890">
        <v>-0.75038649999999996</v>
      </c>
      <c r="U890">
        <v>-0.25213619999999998</v>
      </c>
      <c r="V890">
        <v>1.0618809999999999E-2</v>
      </c>
      <c r="W890">
        <v>-9.5216590000000004E-2</v>
      </c>
      <c r="X890">
        <v>0.99539999999999995</v>
      </c>
      <c r="Y890">
        <v>8.4910920000000001E-2</v>
      </c>
      <c r="Z890">
        <v>-1.171196E-2</v>
      </c>
      <c r="AA890">
        <v>0.99631970000000003</v>
      </c>
      <c r="AB890">
        <v>25</v>
      </c>
      <c r="AC890">
        <v>0.47190000000000498</v>
      </c>
      <c r="AD890">
        <v>-0.2162319</v>
      </c>
      <c r="AE890">
        <v>-7.3599999999999E-2</v>
      </c>
      <c r="AF890">
        <v>6.1949997358026601E-2</v>
      </c>
      <c r="AG890">
        <v>-0.2162319</v>
      </c>
      <c r="AH890">
        <v>0.39148958744587498</v>
      </c>
      <c r="AI890">
        <v>118.614368766333</v>
      </c>
      <c r="AJ890">
        <v>81.007975668578396</v>
      </c>
      <c r="AK890">
        <v>0.45150651582099099</v>
      </c>
      <c r="AL890">
        <v>95.463785691757195</v>
      </c>
      <c r="AM890">
        <v>89.388798555212603</v>
      </c>
      <c r="AN890">
        <v>1.0000000590685201</v>
      </c>
    </row>
    <row r="891" spans="1:40" x14ac:dyDescent="0.25">
      <c r="A891" t="str">
        <f>"20190303154436342"</f>
        <v>20190303154436342</v>
      </c>
      <c r="B891" t="str">
        <f>"1551599076331478"</f>
        <v>1551599076331478</v>
      </c>
      <c r="C891" t="s">
        <v>40</v>
      </c>
      <c r="D891">
        <v>4.5661449999999997</v>
      </c>
      <c r="E891">
        <v>0.52763689999999996</v>
      </c>
      <c r="F891" t="s">
        <v>42</v>
      </c>
      <c r="G891">
        <v>-247.72399999999999</v>
      </c>
      <c r="H891">
        <v>0.94026889999999996</v>
      </c>
      <c r="I891">
        <v>367.45030000000003</v>
      </c>
      <c r="J891">
        <v>-248.17869999999999</v>
      </c>
      <c r="K891">
        <v>1.1208149999999999</v>
      </c>
      <c r="L891">
        <v>367.51209999999998</v>
      </c>
      <c r="M891">
        <v>0.99992599999999998</v>
      </c>
      <c r="N891">
        <v>-1.1967800000000001E-2</v>
      </c>
      <c r="O891">
        <v>2.2212310000000002E-3</v>
      </c>
      <c r="P891">
        <v>0.99422370000000004</v>
      </c>
      <c r="Q891">
        <v>-0.1069787</v>
      </c>
      <c r="R891">
        <v>-8.6529139999999994E-3</v>
      </c>
      <c r="S891">
        <v>2.9347690000000002</v>
      </c>
      <c r="T891">
        <v>-0.74825319999999995</v>
      </c>
      <c r="U891">
        <v>-0.2523804</v>
      </c>
      <c r="V891">
        <v>1.0857840000000001E-2</v>
      </c>
      <c r="W891">
        <v>-9.5073039999999998E-2</v>
      </c>
      <c r="X891">
        <v>0.99541109999999999</v>
      </c>
      <c r="Y891">
        <v>8.4998149999999995E-2</v>
      </c>
      <c r="Z891">
        <v>-1.169452E-2</v>
      </c>
      <c r="AA891">
        <v>0.99631250000000005</v>
      </c>
      <c r="AB891">
        <v>25</v>
      </c>
      <c r="AC891">
        <v>0.45469999999997401</v>
      </c>
      <c r="AD891">
        <v>-0.18054609999999899</v>
      </c>
      <c r="AE891">
        <v>-6.1799999999948299E-2</v>
      </c>
      <c r="AF891">
        <v>5.4390194554180801E-2</v>
      </c>
      <c r="AG891">
        <v>-0.18054609999999899</v>
      </c>
      <c r="AH891">
        <v>0.39362725203718002</v>
      </c>
      <c r="AI891">
        <v>114.43494833115901</v>
      </c>
      <c r="AJ891">
        <v>82.132862945233398</v>
      </c>
      <c r="AK891">
        <v>0.43646030865955399</v>
      </c>
      <c r="AL891">
        <v>95.455523631948907</v>
      </c>
      <c r="AM891">
        <v>89.375048424597196</v>
      </c>
      <c r="AN891">
        <v>1.0000000168137499</v>
      </c>
    </row>
    <row r="892" spans="1:40" x14ac:dyDescent="0.25">
      <c r="A892" t="str">
        <f>"20190303154436364"</f>
        <v>20190303154436364</v>
      </c>
      <c r="B892" t="str">
        <f>"1551599076360759"</f>
        <v>1551599076360759</v>
      </c>
      <c r="C892" t="s">
        <v>40</v>
      </c>
      <c r="D892">
        <v>4.5308840000000004</v>
      </c>
      <c r="E892">
        <v>0.5250418</v>
      </c>
      <c r="F892" t="s">
        <v>42</v>
      </c>
      <c r="G892">
        <v>-247.3047</v>
      </c>
      <c r="H892">
        <v>0.89873910000000001</v>
      </c>
      <c r="I892">
        <v>367.4359</v>
      </c>
      <c r="J892">
        <v>-247.9282</v>
      </c>
      <c r="K892">
        <v>1.1208199999999999</v>
      </c>
      <c r="L892">
        <v>367.5127</v>
      </c>
      <c r="M892">
        <v>0.99992530000000002</v>
      </c>
      <c r="N892">
        <v>-1.202052E-2</v>
      </c>
      <c r="O892">
        <v>2.2212109999999998E-3</v>
      </c>
      <c r="P892">
        <v>0.99422429999999995</v>
      </c>
      <c r="Q892">
        <v>-0.10692690000000001</v>
      </c>
      <c r="R892">
        <v>-9.202221E-3</v>
      </c>
      <c r="S892">
        <v>2.934952</v>
      </c>
      <c r="T892">
        <v>-0.74587040000000004</v>
      </c>
      <c r="U892">
        <v>-0.25500489999999998</v>
      </c>
      <c r="V892">
        <v>1.140704E-2</v>
      </c>
      <c r="W892">
        <v>-9.4968839999999999E-2</v>
      </c>
      <c r="X892">
        <v>0.99541489999999999</v>
      </c>
      <c r="Y892">
        <v>8.5866199999999906E-2</v>
      </c>
      <c r="Z892">
        <v>-1.1774679999999999E-2</v>
      </c>
      <c r="AA892">
        <v>0.99623709999999999</v>
      </c>
      <c r="AB892">
        <v>25</v>
      </c>
      <c r="AC892">
        <v>0.62350000000000705</v>
      </c>
      <c r="AD892">
        <v>-0.2220809</v>
      </c>
      <c r="AE892">
        <v>-7.67999999999915E-2</v>
      </c>
      <c r="AF892">
        <v>6.9499413846609195E-2</v>
      </c>
      <c r="AG892">
        <v>-0.2220809</v>
      </c>
      <c r="AH892">
        <v>0.55408341765422098</v>
      </c>
      <c r="AI892">
        <v>111.687293557309</v>
      </c>
      <c r="AJ892">
        <v>82.850652388851998</v>
      </c>
      <c r="AK892">
        <v>0.60096466484246303</v>
      </c>
      <c r="AL892">
        <v>95.449526300988396</v>
      </c>
      <c r="AM892">
        <v>89.343442979025994</v>
      </c>
      <c r="AN892">
        <v>1.0000000121372501</v>
      </c>
    </row>
    <row r="893" spans="1:40" x14ac:dyDescent="0.25">
      <c r="A893" t="str">
        <f>"20190303154436389"</f>
        <v>20190303154436389</v>
      </c>
      <c r="B893" t="str">
        <f>"1551599076381254"</f>
        <v>1551599076381254</v>
      </c>
      <c r="C893" t="s">
        <v>40</v>
      </c>
      <c r="D893">
        <v>4.6378050000000002</v>
      </c>
      <c r="E893">
        <v>0.52513599999999905</v>
      </c>
      <c r="F893" t="s">
        <v>42</v>
      </c>
      <c r="G893">
        <v>-247.04060000000001</v>
      </c>
      <c r="H893">
        <v>0.99209460000000005</v>
      </c>
      <c r="I893">
        <v>367.44400000000002</v>
      </c>
      <c r="J893">
        <v>-247.6704</v>
      </c>
      <c r="K893">
        <v>1.120819</v>
      </c>
      <c r="L893">
        <v>367.51319999999998</v>
      </c>
      <c r="M893">
        <v>0.99992479999999995</v>
      </c>
      <c r="N893">
        <v>-1.2059189999999999E-2</v>
      </c>
      <c r="O893">
        <v>2.2213329999999998E-3</v>
      </c>
      <c r="P893">
        <v>0.99417940000000005</v>
      </c>
      <c r="Q893">
        <v>-0.107319</v>
      </c>
      <c r="R893">
        <v>-9.4770099999999993E-3</v>
      </c>
      <c r="S893">
        <v>2.9689939999999999</v>
      </c>
      <c r="T893">
        <v>-0.4307144</v>
      </c>
      <c r="U893">
        <v>-0.229187</v>
      </c>
      <c r="V893">
        <v>1.168191E-2</v>
      </c>
      <c r="W893">
        <v>-9.5322939999999995E-2</v>
      </c>
      <c r="X893">
        <v>0.99537779999999998</v>
      </c>
      <c r="Y893">
        <v>7.8276460000000006E-2</v>
      </c>
      <c r="Z893">
        <v>-6.4088239999999996E-3</v>
      </c>
      <c r="AA893">
        <v>0.99691110000000005</v>
      </c>
      <c r="AB893">
        <v>25</v>
      </c>
      <c r="AC893">
        <v>0.62979999999998804</v>
      </c>
      <c r="AD893">
        <v>-0.12872439999999999</v>
      </c>
      <c r="AE893">
        <v>-6.9199999999966594E-2</v>
      </c>
      <c r="AF893">
        <v>6.7800353414937897E-2</v>
      </c>
      <c r="AG893">
        <v>-0.12872439999999999</v>
      </c>
      <c r="AH893">
        <v>0.60468531945022796</v>
      </c>
      <c r="AI893">
        <v>101.94495584328099</v>
      </c>
      <c r="AJ893">
        <v>83.602430417280502</v>
      </c>
      <c r="AK893">
        <v>0.62194147203508998</v>
      </c>
      <c r="AL893">
        <v>95.469907553204393</v>
      </c>
      <c r="AM893">
        <v>89.327598614441897</v>
      </c>
      <c r="AN893">
        <v>0.99999994732216402</v>
      </c>
    </row>
    <row r="894" spans="1:40" x14ac:dyDescent="0.25">
      <c r="A894" t="str">
        <f>"20190303154436409"</f>
        <v>20190303154436409</v>
      </c>
      <c r="B894" t="str">
        <f>"1551599076401750"</f>
        <v>1551599076401750</v>
      </c>
      <c r="C894" t="s">
        <v>40</v>
      </c>
      <c r="D894">
        <v>4.6084009999999997</v>
      </c>
      <c r="E894">
        <v>0.52499869999999904</v>
      </c>
      <c r="F894" t="s">
        <v>42</v>
      </c>
      <c r="G894">
        <v>-246.8022</v>
      </c>
      <c r="H894">
        <v>1.0311999999999999</v>
      </c>
      <c r="I894">
        <v>367.44639999999998</v>
      </c>
      <c r="J894">
        <v>-247.44130000000001</v>
      </c>
      <c r="K894">
        <v>1.1208089999999999</v>
      </c>
      <c r="L894">
        <v>367.51369999999997</v>
      </c>
      <c r="M894">
        <v>0.9999247</v>
      </c>
      <c r="N894">
        <v>-1.207689E-2</v>
      </c>
      <c r="O894">
        <v>2.2212260000000002E-3</v>
      </c>
      <c r="P894">
        <v>0.99415469999999895</v>
      </c>
      <c r="Q894">
        <v>-0.1075632</v>
      </c>
      <c r="R894">
        <v>-9.3193909999999998E-3</v>
      </c>
      <c r="S894">
        <v>2.9821620000000002</v>
      </c>
      <c r="T894">
        <v>-0.30793579999999998</v>
      </c>
      <c r="U894">
        <v>-0.2287903</v>
      </c>
      <c r="V894">
        <v>1.152392E-2</v>
      </c>
      <c r="W894">
        <v>-9.5549819999999994E-2</v>
      </c>
      <c r="X894">
        <v>0.99535790000000002</v>
      </c>
      <c r="Y894">
        <v>7.8237899999999902E-2</v>
      </c>
      <c r="Z894">
        <v>-4.6990579999999999E-3</v>
      </c>
      <c r="AA894">
        <v>0.99692360000000002</v>
      </c>
      <c r="AB894">
        <v>25</v>
      </c>
      <c r="AC894">
        <v>0.63910000000001299</v>
      </c>
      <c r="AD894">
        <v>-8.9608999999999994E-2</v>
      </c>
      <c r="AE894">
        <v>-6.7299999999988799E-2</v>
      </c>
      <c r="AF894">
        <v>6.7408853428656004E-2</v>
      </c>
      <c r="AG894">
        <v>-8.9608999999999994E-2</v>
      </c>
      <c r="AH894">
        <v>0.62676241830284596</v>
      </c>
      <c r="AI894">
        <v>98.090474277588399</v>
      </c>
      <c r="AJ894">
        <v>83.861384427718505</v>
      </c>
      <c r="AK894">
        <v>0.63671410805666795</v>
      </c>
      <c r="AL894">
        <v>95.482966363175805</v>
      </c>
      <c r="AM894">
        <v>89.336678314045301</v>
      </c>
      <c r="AN894">
        <v>0.99999995896330296</v>
      </c>
    </row>
    <row r="895" spans="1:40" x14ac:dyDescent="0.25">
      <c r="A895" t="str">
        <f>"20190303154436431"</f>
        <v>20190303154436431</v>
      </c>
      <c r="B895" t="str">
        <f>"1551599076421270"</f>
        <v>1551599076421270</v>
      </c>
      <c r="C895" t="s">
        <v>40</v>
      </c>
      <c r="D895">
        <v>4.6168040000000001</v>
      </c>
      <c r="E895">
        <v>0.52528069999999905</v>
      </c>
      <c r="F895" t="s">
        <v>42</v>
      </c>
      <c r="G895">
        <v>-246.5744</v>
      </c>
      <c r="H895">
        <v>1.047291</v>
      </c>
      <c r="I895">
        <v>367.44799999999998</v>
      </c>
      <c r="J895">
        <v>-247.19829999999999</v>
      </c>
      <c r="K895">
        <v>1.1208</v>
      </c>
      <c r="L895">
        <v>367.51420000000002</v>
      </c>
      <c r="M895">
        <v>0.99992460000000005</v>
      </c>
      <c r="N895">
        <v>-1.2077030000000001E-2</v>
      </c>
      <c r="O895">
        <v>2.2214040000000002E-3</v>
      </c>
      <c r="P895">
        <v>0.99415370000000003</v>
      </c>
      <c r="Q895">
        <v>-0.10757559999999999</v>
      </c>
      <c r="R895">
        <v>-9.2670270000000006E-3</v>
      </c>
      <c r="S895">
        <v>2.9880979999999999</v>
      </c>
      <c r="T895">
        <v>-0.25350830000000002</v>
      </c>
      <c r="U895">
        <v>-0.22613530000000001</v>
      </c>
      <c r="V895">
        <v>1.1471780000000001E-2</v>
      </c>
      <c r="W895">
        <v>-9.5561999999999994E-2</v>
      </c>
      <c r="X895">
        <v>0.99535739999999995</v>
      </c>
      <c r="Y895">
        <v>7.7356090000000002E-2</v>
      </c>
      <c r="Z895">
        <v>-3.9007500000000001E-3</v>
      </c>
      <c r="AA895">
        <v>0.99699590000000005</v>
      </c>
      <c r="AB895">
        <v>25</v>
      </c>
      <c r="AC895">
        <v>0.62389999999999102</v>
      </c>
      <c r="AD895">
        <v>-7.3509000000000005E-2</v>
      </c>
      <c r="AE895">
        <v>-6.6199999999980705E-2</v>
      </c>
      <c r="AF895">
        <v>6.6670655818140495E-2</v>
      </c>
      <c r="AG895">
        <v>-7.3509000000000005E-2</v>
      </c>
      <c r="AH895">
        <v>0.61530484680676001</v>
      </c>
      <c r="AI895">
        <v>96.773426563903399</v>
      </c>
      <c r="AJ895">
        <v>83.815907333572397</v>
      </c>
      <c r="AK895">
        <v>0.62325645117568695</v>
      </c>
      <c r="AL895">
        <v>95.483667067003495</v>
      </c>
      <c r="AM895">
        <v>89.339678916377807</v>
      </c>
      <c r="AN895">
        <v>1.0000000256575601</v>
      </c>
    </row>
    <row r="896" spans="1:40" x14ac:dyDescent="0.25">
      <c r="A896" t="str">
        <f>"20190303154436453"</f>
        <v>20190303154436453</v>
      </c>
      <c r="B896" t="str">
        <f>"1551599076441765"</f>
        <v>1551599076441765</v>
      </c>
      <c r="C896" t="s">
        <v>40</v>
      </c>
      <c r="D896">
        <v>4.743582</v>
      </c>
      <c r="E896">
        <v>0.52330029999999905</v>
      </c>
      <c r="F896" t="s">
        <v>41</v>
      </c>
      <c r="G896">
        <v>-232.14109999999999</v>
      </c>
      <c r="H896" s="1">
        <v>-3.9299479999999999E-6</v>
      </c>
      <c r="I896">
        <v>366.36810000000003</v>
      </c>
      <c r="J896">
        <v>-246.95490000000001</v>
      </c>
      <c r="K896">
        <v>1.120792</v>
      </c>
      <c r="L896">
        <v>367.51479999999998</v>
      </c>
      <c r="M896">
        <v>0.99992479999999995</v>
      </c>
      <c r="N896">
        <v>-1.206117E-2</v>
      </c>
      <c r="O896">
        <v>2.2213210000000001E-3</v>
      </c>
      <c r="P896">
        <v>0.99420209999999998</v>
      </c>
      <c r="Q896">
        <v>-0.107154399999999</v>
      </c>
      <c r="R896">
        <v>-8.9417619999999903E-3</v>
      </c>
      <c r="S896">
        <v>2.9914399999999999</v>
      </c>
      <c r="T896">
        <v>-0.22267139999999999</v>
      </c>
      <c r="U896">
        <v>-0.2276917</v>
      </c>
      <c r="V896">
        <v>1.114678E-2</v>
      </c>
      <c r="W896">
        <v>-9.5156099999999993E-2</v>
      </c>
      <c r="X896">
        <v>0.99539999999999995</v>
      </c>
      <c r="Y896">
        <v>7.7856339999999996E-2</v>
      </c>
      <c r="Z896">
        <v>-3.4986259999999999E-3</v>
      </c>
      <c r="AA896">
        <v>0.99695840000000002</v>
      </c>
      <c r="AB896">
        <v>25</v>
      </c>
      <c r="AC896">
        <v>14.813800000000001</v>
      </c>
      <c r="AD896">
        <v>-1.1207959299479999</v>
      </c>
      <c r="AE896">
        <v>-1.1466999999999501</v>
      </c>
      <c r="AF896">
        <v>1.1729315828573399</v>
      </c>
      <c r="AG896">
        <v>-1.1207959299479999</v>
      </c>
      <c r="AH896">
        <v>14.727414503901301</v>
      </c>
      <c r="AI896">
        <v>94.338290121627793</v>
      </c>
      <c r="AJ896">
        <v>85.446418872597604</v>
      </c>
      <c r="AK896">
        <v>14.816500598467099</v>
      </c>
      <c r="AL896">
        <v>95.460304127723106</v>
      </c>
      <c r="AM896">
        <v>89.358411940259899</v>
      </c>
      <c r="AN896">
        <v>1.0000000470357799</v>
      </c>
    </row>
    <row r="897" spans="1:40" x14ac:dyDescent="0.25">
      <c r="A897" t="str">
        <f>"20190303154436475"</f>
        <v>20190303154436475</v>
      </c>
      <c r="B897" t="str">
        <f>"1551599076471046"</f>
        <v>1551599076471046</v>
      </c>
      <c r="C897" t="s">
        <v>40</v>
      </c>
      <c r="D897">
        <v>4.7006629999999996</v>
      </c>
      <c r="E897">
        <v>0.52136249999999995</v>
      </c>
      <c r="F897" t="s">
        <v>41</v>
      </c>
      <c r="G897">
        <v>-231.82810000000001</v>
      </c>
      <c r="H897" s="1">
        <v>-4.0500699999999898E-6</v>
      </c>
      <c r="I897">
        <v>366.44779999999997</v>
      </c>
      <c r="J897">
        <v>-246.71369999999999</v>
      </c>
      <c r="K897">
        <v>1.1207800000000001</v>
      </c>
      <c r="L897">
        <v>367.51530000000002</v>
      </c>
      <c r="M897">
        <v>0.99992519999999996</v>
      </c>
      <c r="N897">
        <v>-1.203245E-2</v>
      </c>
      <c r="O897">
        <v>2.221317E-3</v>
      </c>
      <c r="P897">
        <v>0.99426950000000003</v>
      </c>
      <c r="Q897">
        <v>-0.10653310000000001</v>
      </c>
      <c r="R897">
        <v>-8.8951680000000002E-3</v>
      </c>
      <c r="S897">
        <v>2.9916990000000001</v>
      </c>
      <c r="T897">
        <v>-0.221665</v>
      </c>
      <c r="U897">
        <v>-0.21099850000000001</v>
      </c>
      <c r="V897">
        <v>1.110007E-2</v>
      </c>
      <c r="W897">
        <v>-9.4562530000000006E-2</v>
      </c>
      <c r="X897">
        <v>0.99545709999999998</v>
      </c>
      <c r="Y897">
        <v>7.2335209999999997E-2</v>
      </c>
      <c r="Z897">
        <v>-3.2467300000000002E-3</v>
      </c>
      <c r="AA897">
        <v>0.99737509999999996</v>
      </c>
      <c r="AB897">
        <v>25</v>
      </c>
      <c r="AC897">
        <v>14.885599999999901</v>
      </c>
      <c r="AD897">
        <v>-1.1207840500699999</v>
      </c>
      <c r="AE897">
        <v>-1.0675000000000501</v>
      </c>
      <c r="AF897">
        <v>1.0943929567089501</v>
      </c>
      <c r="AG897">
        <v>-1.1207840500699999</v>
      </c>
      <c r="AH897">
        <v>14.7997205906911</v>
      </c>
      <c r="AI897">
        <v>94.319000132972405</v>
      </c>
      <c r="AJ897">
        <v>85.770853975937897</v>
      </c>
      <c r="AK897">
        <v>14.8823916892787</v>
      </c>
      <c r="AL897">
        <v>95.426140946033499</v>
      </c>
      <c r="AM897">
        <v>89.3611369028431</v>
      </c>
      <c r="AN897">
        <v>1.0000000607871999</v>
      </c>
    </row>
    <row r="898" spans="1:40" x14ac:dyDescent="0.25">
      <c r="A898" t="str">
        <f>"20190303154436498"</f>
        <v>20190303154436498</v>
      </c>
      <c r="B898" t="str">
        <f>"1551599076491545"</f>
        <v>1551599076491545</v>
      </c>
      <c r="C898" t="s">
        <v>40</v>
      </c>
      <c r="D898">
        <v>4.642004</v>
      </c>
      <c r="E898">
        <v>0.52104899999999998</v>
      </c>
      <c r="F898" t="s">
        <v>41</v>
      </c>
      <c r="G898">
        <v>-231.5352</v>
      </c>
      <c r="H898" s="1">
        <v>-4.161897E-6</v>
      </c>
      <c r="I898">
        <v>366.5258</v>
      </c>
      <c r="J898">
        <v>-246.46629999999999</v>
      </c>
      <c r="K898">
        <v>1.120765</v>
      </c>
      <c r="L898">
        <v>367.51589999999999</v>
      </c>
      <c r="M898">
        <v>0.99992570000000003</v>
      </c>
      <c r="N898">
        <v>-1.1990870000000001E-2</v>
      </c>
      <c r="O898">
        <v>2.2213889999999998E-3</v>
      </c>
      <c r="P898">
        <v>0.99428680000000003</v>
      </c>
      <c r="Q898">
        <v>-0.1063804</v>
      </c>
      <c r="R898">
        <v>-8.7957639999999993E-3</v>
      </c>
      <c r="S898">
        <v>2.9918819999999999</v>
      </c>
      <c r="T898">
        <v>-0.2209208</v>
      </c>
      <c r="U898">
        <v>-0.19503780000000001</v>
      </c>
      <c r="V898">
        <v>1.1000879999999999E-2</v>
      </c>
      <c r="W898">
        <v>-9.445104E-2</v>
      </c>
      <c r="X898">
        <v>0.99546869999999998</v>
      </c>
      <c r="Y898">
        <v>6.7051920000000001E-2</v>
      </c>
      <c r="Z898">
        <v>-3.0097190000000001E-3</v>
      </c>
      <c r="AA898">
        <v>0.99774499999999999</v>
      </c>
      <c r="AB898">
        <v>25</v>
      </c>
      <c r="AC898">
        <v>14.931099999999899</v>
      </c>
      <c r="AD898">
        <v>-1.1207691618969999</v>
      </c>
      <c r="AE898">
        <v>-0.99009999999998399</v>
      </c>
      <c r="AF898">
        <v>1.01755946990852</v>
      </c>
      <c r="AG898">
        <v>-1.1207691618969999</v>
      </c>
      <c r="AH898">
        <v>14.845583636392</v>
      </c>
      <c r="AI898">
        <v>94.307293969913502</v>
      </c>
      <c r="AJ898">
        <v>86.078913586737599</v>
      </c>
      <c r="AK898">
        <v>14.9225635965865</v>
      </c>
      <c r="AL898">
        <v>95.419724784167201</v>
      </c>
      <c r="AM898">
        <v>89.366852681077106</v>
      </c>
      <c r="AN898">
        <v>0.99999997549877195</v>
      </c>
    </row>
    <row r="899" spans="1:40" x14ac:dyDescent="0.25">
      <c r="A899" t="str">
        <f>"20190303154436519"</f>
        <v>20190303154436519</v>
      </c>
      <c r="B899" t="str">
        <f>"1551599076511062"</f>
        <v>1551599076511062</v>
      </c>
      <c r="C899" t="s">
        <v>40</v>
      </c>
      <c r="D899">
        <v>4.665292</v>
      </c>
      <c r="E899">
        <v>0.5205166</v>
      </c>
      <c r="F899" t="s">
        <v>41</v>
      </c>
      <c r="G899">
        <v>-230.83330000000001</v>
      </c>
      <c r="H899" s="1">
        <v>-4.4656290000000002E-6</v>
      </c>
      <c r="I899">
        <v>366.51119999999997</v>
      </c>
      <c r="J899">
        <v>-246.22470000000001</v>
      </c>
      <c r="K899">
        <v>1.120757</v>
      </c>
      <c r="L899">
        <v>367.51639999999998</v>
      </c>
      <c r="M899">
        <v>0.99992630000000005</v>
      </c>
      <c r="N899">
        <v>-1.193928E-2</v>
      </c>
      <c r="O899">
        <v>2.221401E-3</v>
      </c>
      <c r="P899">
        <v>0.99429970000000001</v>
      </c>
      <c r="Q899">
        <v>-0.10627730000000001</v>
      </c>
      <c r="R899">
        <v>-8.5775490000000003E-3</v>
      </c>
      <c r="S899">
        <v>2.992569</v>
      </c>
      <c r="T899">
        <v>-0.2145436</v>
      </c>
      <c r="U899">
        <v>-0.19232179999999999</v>
      </c>
      <c r="V899">
        <v>1.0782730000000001E-2</v>
      </c>
      <c r="W899">
        <v>-9.4399209999999997E-2</v>
      </c>
      <c r="X899">
        <v>0.99547600000000003</v>
      </c>
      <c r="Y899">
        <v>6.6149609999999998E-2</v>
      </c>
      <c r="Z899">
        <v>-2.8940569999999998E-3</v>
      </c>
      <c r="AA899">
        <v>0.99780550000000001</v>
      </c>
      <c r="AB899">
        <v>25</v>
      </c>
      <c r="AC899">
        <v>15.391400000000001</v>
      </c>
      <c r="AD899">
        <v>-1.1207614656289999</v>
      </c>
      <c r="AE899">
        <v>-1.0052000000000001</v>
      </c>
      <c r="AF899">
        <v>1.03393142250666</v>
      </c>
      <c r="AG899">
        <v>-1.1207614656289999</v>
      </c>
      <c r="AH899">
        <v>15.3083033450364</v>
      </c>
      <c r="AI899">
        <v>94.177820727914806</v>
      </c>
      <c r="AJ899">
        <v>86.136079063901704</v>
      </c>
      <c r="AK899">
        <v>15.3840590142179</v>
      </c>
      <c r="AL899">
        <v>95.416741832969805</v>
      </c>
      <c r="AM899">
        <v>89.3794116978072</v>
      </c>
      <c r="AN899">
        <v>0.99999997234543803</v>
      </c>
    </row>
    <row r="900" spans="1:40" x14ac:dyDescent="0.25">
      <c r="A900" t="str">
        <f>"20190303154436543"</f>
        <v>20190303154436543</v>
      </c>
      <c r="B900" t="str">
        <f>"1551599076531558"</f>
        <v>1551599076531558</v>
      </c>
      <c r="C900" t="s">
        <v>40</v>
      </c>
      <c r="D900">
        <v>4.6116919999999997</v>
      </c>
      <c r="E900">
        <v>0.52021110000000004</v>
      </c>
      <c r="F900" t="s">
        <v>41</v>
      </c>
      <c r="G900">
        <v>-230.6139</v>
      </c>
      <c r="H900" s="1">
        <v>-4.5548839999999998E-6</v>
      </c>
      <c r="I900">
        <v>366.53859999999997</v>
      </c>
      <c r="J900">
        <v>-245.97710000000001</v>
      </c>
      <c r="K900">
        <v>1.120741</v>
      </c>
      <c r="L900">
        <v>367.517</v>
      </c>
      <c r="M900">
        <v>0.99992689999999995</v>
      </c>
      <c r="N900">
        <v>-1.188141E-2</v>
      </c>
      <c r="O900">
        <v>2.2215690000000001E-3</v>
      </c>
      <c r="P900">
        <v>0.99432379999999998</v>
      </c>
      <c r="Q900">
        <v>-0.10605870000000001</v>
      </c>
      <c r="R900">
        <v>-8.4640569999999901E-3</v>
      </c>
      <c r="S900">
        <v>2.9925989999999998</v>
      </c>
      <c r="T900">
        <v>-0.2148497</v>
      </c>
      <c r="U900">
        <v>-0.18743899999999999</v>
      </c>
      <c r="V900">
        <v>1.06695E-2</v>
      </c>
      <c r="W900">
        <v>-9.4237959999999996E-2</v>
      </c>
      <c r="X900">
        <v>0.9954925</v>
      </c>
      <c r="Y900">
        <v>6.4531939999999996E-2</v>
      </c>
      <c r="Z900">
        <v>-2.828381E-3</v>
      </c>
      <c r="AA900">
        <v>0.99791160000000001</v>
      </c>
      <c r="AB900">
        <v>25</v>
      </c>
      <c r="AC900">
        <v>15.363200000000001</v>
      </c>
      <c r="AD900">
        <v>-1.120745554884</v>
      </c>
      <c r="AE900">
        <v>-0.97840000000002203</v>
      </c>
      <c r="AF900">
        <v>1.0071920781457799</v>
      </c>
      <c r="AG900">
        <v>-1.120745554884</v>
      </c>
      <c r="AH900">
        <v>15.280001171795901</v>
      </c>
      <c r="AI900">
        <v>94.185922565886202</v>
      </c>
      <c r="AJ900">
        <v>86.228763735902703</v>
      </c>
      <c r="AK900">
        <v>15.3541180890065</v>
      </c>
      <c r="AL900">
        <v>95.407461505825907</v>
      </c>
      <c r="AM900">
        <v>89.385938202960006</v>
      </c>
      <c r="AN900">
        <v>0.99999997444572997</v>
      </c>
    </row>
    <row r="901" spans="1:40" x14ac:dyDescent="0.25">
      <c r="A901" t="str">
        <f>"20190303154436565"</f>
        <v>20190303154436565</v>
      </c>
      <c r="B901" t="str">
        <f>"1551599076561820"</f>
        <v>1551599076561820</v>
      </c>
      <c r="C901" t="s">
        <v>40</v>
      </c>
      <c r="D901">
        <v>4.5999189999999999</v>
      </c>
      <c r="E901">
        <v>0.51933009999999902</v>
      </c>
      <c r="F901" t="s">
        <v>42</v>
      </c>
      <c r="G901">
        <v>-245.03309999999999</v>
      </c>
      <c r="H901">
        <v>1.0528770000000001</v>
      </c>
      <c r="I901">
        <v>367.45850000000002</v>
      </c>
      <c r="J901">
        <v>-245.7251</v>
      </c>
      <c r="K901">
        <v>1.1207309999999999</v>
      </c>
      <c r="L901">
        <v>367.51749999999998</v>
      </c>
      <c r="M901">
        <v>0.99992780000000003</v>
      </c>
      <c r="N901">
        <v>-1.1819369999999999E-2</v>
      </c>
      <c r="O901">
        <v>2.2214019999999999E-3</v>
      </c>
      <c r="P901">
        <v>0.99433959999999999</v>
      </c>
      <c r="Q901">
        <v>-0.1059124</v>
      </c>
      <c r="R901">
        <v>-8.4622729999999993E-3</v>
      </c>
      <c r="S901">
        <v>2.9925839999999999</v>
      </c>
      <c r="T901">
        <v>-0.2152829</v>
      </c>
      <c r="U901">
        <v>-0.18496699999999999</v>
      </c>
      <c r="V901">
        <v>1.066771E-2</v>
      </c>
      <c r="W901">
        <v>-9.4153189999999998E-2</v>
      </c>
      <c r="X901">
        <v>0.99550059999999996</v>
      </c>
      <c r="Y901">
        <v>6.3712779999999997E-2</v>
      </c>
      <c r="Z901">
        <v>-2.797285E-3</v>
      </c>
      <c r="AA901">
        <v>0.99796439999999997</v>
      </c>
      <c r="AB901">
        <v>25</v>
      </c>
      <c r="AC901">
        <v>0.69200000000000705</v>
      </c>
      <c r="AD901">
        <v>-6.7853999999999803E-2</v>
      </c>
      <c r="AE901">
        <v>-5.8999999999969001E-2</v>
      </c>
      <c r="AF901">
        <v>5.9964785255445498E-2</v>
      </c>
      <c r="AG901">
        <v>-6.7853999999999803E-2</v>
      </c>
      <c r="AH901">
        <v>0.68532552934060198</v>
      </c>
      <c r="AI901">
        <v>95.633036974792901</v>
      </c>
      <c r="AJ901">
        <v>84.999454845354506</v>
      </c>
      <c r="AK901">
        <v>0.69128215798811699</v>
      </c>
      <c r="AL901">
        <v>95.402582528336495</v>
      </c>
      <c r="AM901">
        <v>89.386046210114699</v>
      </c>
      <c r="AN901">
        <v>1.00000003391208</v>
      </c>
    </row>
    <row r="902" spans="1:40" x14ac:dyDescent="0.25">
      <c r="A902" t="str">
        <f>"20190303154436588"</f>
        <v>20190303154436588</v>
      </c>
      <c r="B902" t="str">
        <f>"1551599076581334"</f>
        <v>1551599076581334</v>
      </c>
      <c r="C902" t="s">
        <v>40</v>
      </c>
      <c r="D902">
        <v>4.5788880000000001</v>
      </c>
      <c r="E902">
        <v>0.51883380000000001</v>
      </c>
      <c r="F902" t="s">
        <v>42</v>
      </c>
      <c r="G902">
        <v>-244.80250000000001</v>
      </c>
      <c r="H902">
        <v>1.0544340000000001</v>
      </c>
      <c r="I902">
        <v>367.46260000000001</v>
      </c>
      <c r="J902">
        <v>-245.47720000000001</v>
      </c>
      <c r="K902">
        <v>1.1207149999999999</v>
      </c>
      <c r="L902">
        <v>367.5181</v>
      </c>
      <c r="M902">
        <v>0.9999285</v>
      </c>
      <c r="N902">
        <v>-1.1757E-2</v>
      </c>
      <c r="O902">
        <v>2.221593E-3</v>
      </c>
      <c r="P902">
        <v>0.99429400000000001</v>
      </c>
      <c r="Q902">
        <v>-0.1063119</v>
      </c>
      <c r="R902">
        <v>-8.8072789999999995E-3</v>
      </c>
      <c r="S902">
        <v>2.992645</v>
      </c>
      <c r="T902">
        <v>-0.21518909999999999</v>
      </c>
      <c r="U902">
        <v>-0.17788699999999999</v>
      </c>
      <c r="V902">
        <v>1.1012620000000001E-2</v>
      </c>
      <c r="W902">
        <v>-9.4615270000000001E-2</v>
      </c>
      <c r="X902">
        <v>0.99545300000000003</v>
      </c>
      <c r="Y902">
        <v>6.1366490000000003E-2</v>
      </c>
      <c r="Z902">
        <v>-2.6964749999999998E-3</v>
      </c>
      <c r="AA902">
        <v>0.99811170000000005</v>
      </c>
      <c r="AB902">
        <v>25</v>
      </c>
      <c r="AC902">
        <v>0.67470000000000097</v>
      </c>
      <c r="AD902">
        <v>-6.6280999999999798E-2</v>
      </c>
      <c r="AE902">
        <v>-5.5499999999994998E-2</v>
      </c>
      <c r="AF902">
        <v>5.6457683780075603E-2</v>
      </c>
      <c r="AG902">
        <v>-6.6280999999999798E-2</v>
      </c>
      <c r="AH902">
        <v>0.66817008948849599</v>
      </c>
      <c r="AI902">
        <v>95.645096366272398</v>
      </c>
      <c r="AJ902">
        <v>85.170209601552799</v>
      </c>
      <c r="AK902">
        <v>0.67381889963540997</v>
      </c>
      <c r="AL902">
        <v>95.429176659355804</v>
      </c>
      <c r="AM902">
        <v>89.366167053701304</v>
      </c>
      <c r="AN902">
        <v>1.0000000011627099</v>
      </c>
    </row>
    <row r="903" spans="1:40" x14ac:dyDescent="0.25">
      <c r="A903" t="str">
        <f>"20190303154436609"</f>
        <v>20190303154436609</v>
      </c>
      <c r="B903" t="str">
        <f>"1551599076601833"</f>
        <v>1551599076601833</v>
      </c>
      <c r="C903" t="s">
        <v>40</v>
      </c>
      <c r="D903">
        <v>4.564559</v>
      </c>
      <c r="E903">
        <v>0.51841499999999996</v>
      </c>
      <c r="F903" t="s">
        <v>41</v>
      </c>
      <c r="G903">
        <v>-229.97219999999999</v>
      </c>
      <c r="H903" s="1">
        <v>-4.8173359999999997E-6</v>
      </c>
      <c r="I903">
        <v>366.61090000000002</v>
      </c>
      <c r="J903">
        <v>-245.24469999999999</v>
      </c>
      <c r="K903">
        <v>1.1207039999999999</v>
      </c>
      <c r="L903">
        <v>367.51859999999999</v>
      </c>
      <c r="M903">
        <v>0.99992919999999996</v>
      </c>
      <c r="N903">
        <v>-1.169682E-2</v>
      </c>
      <c r="O903">
        <v>2.2216499999999999E-3</v>
      </c>
      <c r="P903">
        <v>0.99424809999999997</v>
      </c>
      <c r="Q903">
        <v>-0.10664999999999999</v>
      </c>
      <c r="R903">
        <v>-9.8356729999999996E-3</v>
      </c>
      <c r="S903">
        <v>2.9925380000000001</v>
      </c>
      <c r="T903">
        <v>-0.21630350000000001</v>
      </c>
      <c r="U903">
        <v>-0.17507929999999999</v>
      </c>
      <c r="V903">
        <v>1.204097E-2</v>
      </c>
      <c r="W903">
        <v>-9.5013849999999997E-2</v>
      </c>
      <c r="X903">
        <v>0.99540309999999999</v>
      </c>
      <c r="Y903">
        <v>6.0436530000000002E-2</v>
      </c>
      <c r="Z903">
        <v>-2.6681119999999998E-3</v>
      </c>
      <c r="AA903">
        <v>0.99816850000000001</v>
      </c>
      <c r="AB903">
        <v>25</v>
      </c>
      <c r="AC903">
        <v>15.272500000000001</v>
      </c>
      <c r="AD903">
        <v>-1.120708817336</v>
      </c>
      <c r="AE903">
        <v>-0.90769999999997697</v>
      </c>
      <c r="AF903">
        <v>0.93660460130841405</v>
      </c>
      <c r="AG903">
        <v>-1.120708817336</v>
      </c>
      <c r="AH903">
        <v>15.1889448379283</v>
      </c>
      <c r="AI903">
        <v>94.211922823846194</v>
      </c>
      <c r="AJ903">
        <v>86.471405391383499</v>
      </c>
      <c r="AK903">
        <v>15.2590059218179</v>
      </c>
      <c r="AL903">
        <v>95.452117106595594</v>
      </c>
      <c r="AM903">
        <v>89.306951008104804</v>
      </c>
      <c r="AN903">
        <v>0.99999997406998598</v>
      </c>
    </row>
    <row r="904" spans="1:40" x14ac:dyDescent="0.25">
      <c r="A904" t="str">
        <f>"20190303154436632"</f>
        <v>20190303154436632</v>
      </c>
      <c r="B904" t="str">
        <f>"1551599076621351"</f>
        <v>1551599076621351</v>
      </c>
      <c r="C904" t="s">
        <v>40</v>
      </c>
      <c r="D904">
        <v>4.5385849999999897</v>
      </c>
      <c r="E904">
        <v>0.5181637</v>
      </c>
      <c r="F904" t="s">
        <v>41</v>
      </c>
      <c r="G904">
        <v>-229.8107</v>
      </c>
      <c r="H904" s="1">
        <v>-8.481329E-7</v>
      </c>
      <c r="I904">
        <v>366.61860000000001</v>
      </c>
      <c r="J904">
        <v>-244.99010000000001</v>
      </c>
      <c r="K904">
        <v>1.120695</v>
      </c>
      <c r="L904">
        <v>367.51909999999998</v>
      </c>
      <c r="M904">
        <v>0.99992999999999999</v>
      </c>
      <c r="N904">
        <v>-1.163021E-2</v>
      </c>
      <c r="O904">
        <v>2.2216829999999999E-3</v>
      </c>
      <c r="P904">
        <v>0.99420500000000001</v>
      </c>
      <c r="Q904">
        <v>-0.106971</v>
      </c>
      <c r="R904">
        <v>-1.067071E-2</v>
      </c>
      <c r="S904">
        <v>2.9923250000000001</v>
      </c>
      <c r="T904">
        <v>-0.21727959999999999</v>
      </c>
      <c r="U904">
        <v>-0.17446900000000001</v>
      </c>
      <c r="V904">
        <v>1.2876E-2</v>
      </c>
      <c r="W904">
        <v>-9.5401700000000006E-2</v>
      </c>
      <c r="X904">
        <v>0.99535549999999995</v>
      </c>
      <c r="Y904">
        <v>6.0236949999999997E-2</v>
      </c>
      <c r="Z904">
        <v>-2.668564E-3</v>
      </c>
      <c r="AA904">
        <v>0.99818059999999997</v>
      </c>
      <c r="AB904">
        <v>25</v>
      </c>
      <c r="AC904">
        <v>15.179399999999999</v>
      </c>
      <c r="AD904">
        <v>-1.1206958481328999</v>
      </c>
      <c r="AE904">
        <v>-0.900499999999965</v>
      </c>
      <c r="AF904">
        <v>0.92917680436323502</v>
      </c>
      <c r="AG904">
        <v>-1.1206958481328999</v>
      </c>
      <c r="AH904">
        <v>15.095367358615899</v>
      </c>
      <c r="AI904">
        <v>94.237917650663604</v>
      </c>
      <c r="AJ904">
        <v>86.477672694524998</v>
      </c>
      <c r="AK904">
        <v>15.165402876592401</v>
      </c>
      <c r="AL904">
        <v>95.474440959342601</v>
      </c>
      <c r="AM904">
        <v>89.258858458675107</v>
      </c>
      <c r="AN904">
        <v>0.99999992355956702</v>
      </c>
    </row>
    <row r="905" spans="1:40" x14ac:dyDescent="0.25">
      <c r="A905" t="str">
        <f>"20190303154436654"</f>
        <v>20190303154436654</v>
      </c>
      <c r="B905" t="str">
        <f>"1551599076651606"</f>
        <v>1551599076651606</v>
      </c>
      <c r="C905" t="s">
        <v>40</v>
      </c>
      <c r="D905">
        <v>4.5437960000000004</v>
      </c>
      <c r="E905">
        <v>0.51778019999999902</v>
      </c>
      <c r="F905" t="s">
        <v>41</v>
      </c>
      <c r="G905">
        <v>-229.64169999999999</v>
      </c>
      <c r="H905" s="1">
        <v>-9.0535949999999999E-7</v>
      </c>
      <c r="I905">
        <v>366.61959999999999</v>
      </c>
      <c r="J905">
        <v>-244.7527</v>
      </c>
      <c r="K905">
        <v>1.120681</v>
      </c>
      <c r="L905">
        <v>367.5197</v>
      </c>
      <c r="M905">
        <v>0.99993080000000001</v>
      </c>
      <c r="N905">
        <v>-1.1564949999999999E-2</v>
      </c>
      <c r="O905">
        <v>2.2218839999999999E-3</v>
      </c>
      <c r="P905">
        <v>0.99415330000000002</v>
      </c>
      <c r="Q905">
        <v>-0.10732</v>
      </c>
      <c r="R905">
        <v>-1.1923380000000001E-2</v>
      </c>
      <c r="S905">
        <v>2.9921259999999998</v>
      </c>
      <c r="T905">
        <v>-0.2184758</v>
      </c>
      <c r="U905">
        <v>-0.17535400000000001</v>
      </c>
      <c r="V905">
        <v>1.412863E-2</v>
      </c>
      <c r="W905">
        <v>-9.581634E-2</v>
      </c>
      <c r="X905">
        <v>0.99529869999999998</v>
      </c>
      <c r="Y905">
        <v>6.0532490000000001E-2</v>
      </c>
      <c r="Z905">
        <v>-2.6922410000000002E-3</v>
      </c>
      <c r="AA905">
        <v>0.99816260000000001</v>
      </c>
      <c r="AB905">
        <v>25</v>
      </c>
      <c r="AC905">
        <v>15.111000000000001</v>
      </c>
      <c r="AD905">
        <v>-1.1206819053595001</v>
      </c>
      <c r="AE905">
        <v>-0.900100000000009</v>
      </c>
      <c r="AF905">
        <v>0.92858556089830302</v>
      </c>
      <c r="AG905">
        <v>-1.1206819053595001</v>
      </c>
      <c r="AH905">
        <v>15.026605551778699</v>
      </c>
      <c r="AI905">
        <v>94.257123321176707</v>
      </c>
      <c r="AJ905">
        <v>86.463841172172593</v>
      </c>
      <c r="AK905">
        <v>15.096922649522201</v>
      </c>
      <c r="AL905">
        <v>95.498307294290896</v>
      </c>
      <c r="AM905">
        <v>89.186720025403105</v>
      </c>
      <c r="AN905">
        <v>0.99999994570917905</v>
      </c>
    </row>
    <row r="906" spans="1:40" x14ac:dyDescent="0.25">
      <c r="A906" t="str">
        <f>"20190303154436676"</f>
        <v>20190303154436676</v>
      </c>
      <c r="B906" t="str">
        <f>"1551599076671130"</f>
        <v>1551599076671130</v>
      </c>
      <c r="C906" t="s">
        <v>40</v>
      </c>
      <c r="D906">
        <v>4.5207410000000001</v>
      </c>
      <c r="E906">
        <v>0.5175978</v>
      </c>
      <c r="F906" t="s">
        <v>41</v>
      </c>
      <c r="G906">
        <v>-229.53049999999999</v>
      </c>
      <c r="H906" s="1">
        <v>-9.4199550000000003E-7</v>
      </c>
      <c r="I906">
        <v>366.6241</v>
      </c>
      <c r="J906">
        <v>-244.50319999999999</v>
      </c>
      <c r="K906">
        <v>1.120671</v>
      </c>
      <c r="L906">
        <v>367.52019999999999</v>
      </c>
      <c r="M906">
        <v>0.99993149999999997</v>
      </c>
      <c r="N906">
        <v>-1.149436E-2</v>
      </c>
      <c r="O906">
        <v>2.222473E-3</v>
      </c>
      <c r="P906">
        <v>0.99419460000000004</v>
      </c>
      <c r="Q906">
        <v>-0.1068935</v>
      </c>
      <c r="R906">
        <v>-1.2287889999999999E-2</v>
      </c>
      <c r="S906">
        <v>2.9917600000000002</v>
      </c>
      <c r="T906">
        <v>-0.22025700000000001</v>
      </c>
      <c r="U906">
        <v>-0.17599489999999901</v>
      </c>
      <c r="V906">
        <v>1.44937E-2</v>
      </c>
      <c r="W906">
        <v>-9.5459710000000003E-2</v>
      </c>
      <c r="X906">
        <v>0.99532779999999998</v>
      </c>
      <c r="Y906">
        <v>6.07498E-2</v>
      </c>
      <c r="Z906">
        <v>-2.7190579999999999E-3</v>
      </c>
      <c r="AA906">
        <v>0.99814930000000002</v>
      </c>
      <c r="AB906">
        <v>25</v>
      </c>
      <c r="AC906">
        <v>14.9727</v>
      </c>
      <c r="AD906">
        <v>-1.1206719419955</v>
      </c>
      <c r="AE906">
        <v>-0.89609999999998902</v>
      </c>
      <c r="AF906">
        <v>0.92421725724099602</v>
      </c>
      <c r="AG906">
        <v>-1.1206719419955</v>
      </c>
      <c r="AH906">
        <v>14.8875662343308</v>
      </c>
      <c r="AI906">
        <v>94.296620635146397</v>
      </c>
      <c r="AJ906">
        <v>86.447647786556004</v>
      </c>
      <c r="AK906">
        <v>14.958265658883899</v>
      </c>
      <c r="AL906">
        <v>95.477779360882806</v>
      </c>
      <c r="AM906">
        <v>89.165732986448603</v>
      </c>
      <c r="AN906">
        <v>1.0000000265129001</v>
      </c>
    </row>
    <row r="907" spans="1:40" x14ac:dyDescent="0.25">
      <c r="A907" t="str">
        <f>"20190303154436698"</f>
        <v>20190303154436698</v>
      </c>
      <c r="B907" t="str">
        <f>"1551599076691625"</f>
        <v>1551599076691625</v>
      </c>
      <c r="C907" t="s">
        <v>40</v>
      </c>
      <c r="D907">
        <v>4.5022060000000002</v>
      </c>
      <c r="E907">
        <v>0.51744250000000003</v>
      </c>
      <c r="F907" t="s">
        <v>41</v>
      </c>
      <c r="G907">
        <v>-229.1789</v>
      </c>
      <c r="H907" s="1">
        <v>-1.062615E-6</v>
      </c>
      <c r="I907">
        <v>366.62049999999999</v>
      </c>
      <c r="J907">
        <v>-244.25839999999999</v>
      </c>
      <c r="K907">
        <v>1.1206719999999999</v>
      </c>
      <c r="L907">
        <v>367.52069999999998</v>
      </c>
      <c r="M907">
        <v>0.9999323</v>
      </c>
      <c r="N907">
        <v>-1.1428890000000001E-2</v>
      </c>
      <c r="O907">
        <v>2.2226709999999998E-3</v>
      </c>
      <c r="P907">
        <v>0.99426789999999998</v>
      </c>
      <c r="Q907">
        <v>-0.10621609999999999</v>
      </c>
      <c r="R907">
        <v>-1.2233050000000001E-2</v>
      </c>
      <c r="S907">
        <v>2.9918369999999999</v>
      </c>
      <c r="T907">
        <v>-0.2187924</v>
      </c>
      <c r="U907">
        <v>-0.1756287</v>
      </c>
      <c r="V907">
        <v>1.443961E-2</v>
      </c>
      <c r="W907">
        <v>-9.4846609999999998E-2</v>
      </c>
      <c r="X907">
        <v>0.99538720000000003</v>
      </c>
      <c r="Y907">
        <v>6.0629669999999997E-2</v>
      </c>
      <c r="Z907">
        <v>-2.6962100000000001E-3</v>
      </c>
      <c r="AA907">
        <v>0.99815670000000001</v>
      </c>
      <c r="AB907">
        <v>25</v>
      </c>
      <c r="AC907">
        <v>15.0794999999999</v>
      </c>
      <c r="AD907">
        <v>-1.1206730626150001</v>
      </c>
      <c r="AE907">
        <v>-0.90019999999998301</v>
      </c>
      <c r="AF907">
        <v>0.92860614527393504</v>
      </c>
      <c r="AG907">
        <v>-1.1206730626150001</v>
      </c>
      <c r="AH907">
        <v>14.9949371204267</v>
      </c>
      <c r="AI907">
        <v>94.266012878312097</v>
      </c>
      <c r="AJ907">
        <v>86.456313668600998</v>
      </c>
      <c r="AK907">
        <v>15.065402640880899</v>
      </c>
      <c r="AL907">
        <v>95.442491185723995</v>
      </c>
      <c r="AM907">
        <v>89.168895597626204</v>
      </c>
      <c r="AN907">
        <v>1.0000000298446401</v>
      </c>
    </row>
    <row r="908" spans="1:40" x14ac:dyDescent="0.25">
      <c r="A908" t="str">
        <f>"20190303154436720"</f>
        <v>20190303154436720</v>
      </c>
      <c r="B908" t="str">
        <f>"1551599076711142"</f>
        <v>1551599076711142</v>
      </c>
      <c r="C908" t="s">
        <v>40</v>
      </c>
      <c r="D908">
        <v>4.5117649999999996</v>
      </c>
      <c r="E908">
        <v>0.51737820000000001</v>
      </c>
      <c r="F908" t="s">
        <v>41</v>
      </c>
      <c r="G908">
        <v>-228.65729999999999</v>
      </c>
      <c r="H908" s="1">
        <v>-1.242317E-6</v>
      </c>
      <c r="I908">
        <v>366.6123</v>
      </c>
      <c r="J908">
        <v>-244.0085</v>
      </c>
      <c r="K908">
        <v>1.120668</v>
      </c>
      <c r="L908">
        <v>367.52120000000002</v>
      </c>
      <c r="M908">
        <v>0.99993290000000001</v>
      </c>
      <c r="N908">
        <v>-1.1368980000000001E-2</v>
      </c>
      <c r="O908">
        <v>2.2230150000000001E-3</v>
      </c>
      <c r="P908">
        <v>0.99426910000000002</v>
      </c>
      <c r="Q908">
        <v>-0.1062828</v>
      </c>
      <c r="R908">
        <v>-1.153799E-2</v>
      </c>
      <c r="S908">
        <v>2.9921880000000001</v>
      </c>
      <c r="T908">
        <v>-0.21493609999999999</v>
      </c>
      <c r="U908">
        <v>-0.17422489999999999</v>
      </c>
      <c r="V908">
        <v>1.3744630000000001E-2</v>
      </c>
      <c r="W908">
        <v>-9.4973000000000002E-2</v>
      </c>
      <c r="X908">
        <v>0.99538490000000002</v>
      </c>
      <c r="Y908">
        <v>6.0164250000000002E-2</v>
      </c>
      <c r="Z908">
        <v>-2.6332069999999998E-3</v>
      </c>
      <c r="AA908">
        <v>0.99818499999999999</v>
      </c>
      <c r="AB908">
        <v>25</v>
      </c>
      <c r="AC908">
        <v>15.3512</v>
      </c>
      <c r="AD908">
        <v>-1.1206692423169999</v>
      </c>
      <c r="AE908">
        <v>-0.90890000000001603</v>
      </c>
      <c r="AF908">
        <v>0.93804425043453599</v>
      </c>
      <c r="AG908">
        <v>-1.1206692423169999</v>
      </c>
      <c r="AH908">
        <v>15.268057598911501</v>
      </c>
      <c r="AI908">
        <v>94.190086537678695</v>
      </c>
      <c r="AJ908">
        <v>86.484261047072394</v>
      </c>
      <c r="AK908">
        <v>15.3378423974863</v>
      </c>
      <c r="AL908">
        <v>95.449766115043701</v>
      </c>
      <c r="AM908">
        <v>89.208889702828202</v>
      </c>
      <c r="AN908">
        <v>0.999999942365421</v>
      </c>
    </row>
    <row r="909" spans="1:40" x14ac:dyDescent="0.25">
      <c r="A909" t="str">
        <f>"20190303154436744"</f>
        <v>20190303154436744</v>
      </c>
      <c r="B909" t="str">
        <f>"1551599076731638"</f>
        <v>1551599076731638</v>
      </c>
      <c r="C909" t="s">
        <v>40</v>
      </c>
      <c r="D909">
        <v>4.5204700000000004</v>
      </c>
      <c r="E909">
        <v>0.51730779999999998</v>
      </c>
      <c r="F909" t="s">
        <v>41</v>
      </c>
      <c r="G909">
        <v>-228.12629999999999</v>
      </c>
      <c r="H909" s="1">
        <v>-1.4232659999999999E-6</v>
      </c>
      <c r="I909">
        <v>366.61130000000003</v>
      </c>
      <c r="J909">
        <v>-243.76419999999999</v>
      </c>
      <c r="K909">
        <v>1.1206640000000001</v>
      </c>
      <c r="L909">
        <v>367.52179999999998</v>
      </c>
      <c r="M909">
        <v>0.99993350000000003</v>
      </c>
      <c r="N909">
        <v>-1.1317850000000001E-2</v>
      </c>
      <c r="O909">
        <v>2.2231880000000001E-3</v>
      </c>
      <c r="P909">
        <v>0.99429940000000006</v>
      </c>
      <c r="Q909">
        <v>-0.10605580000000001</v>
      </c>
      <c r="R909">
        <v>-1.1001E-2</v>
      </c>
      <c r="S909">
        <v>2.992737</v>
      </c>
      <c r="T909">
        <v>-0.21117</v>
      </c>
      <c r="U909">
        <v>-0.17144779999999901</v>
      </c>
      <c r="V909">
        <v>1.320783E-2</v>
      </c>
      <c r="W909">
        <v>-9.4796549999999993E-2</v>
      </c>
      <c r="X909">
        <v>0.99540910000000005</v>
      </c>
      <c r="Y909">
        <v>5.9239359999999998E-2</v>
      </c>
      <c r="Z909">
        <v>-2.553123E-3</v>
      </c>
      <c r="AA909">
        <v>0.99824049999999998</v>
      </c>
      <c r="AB909">
        <v>25</v>
      </c>
      <c r="AC909">
        <v>15.6379</v>
      </c>
      <c r="AD909">
        <v>-1.1206654232659901</v>
      </c>
      <c r="AE909">
        <v>-0.91049999999995601</v>
      </c>
      <c r="AF909">
        <v>0.94045245442067504</v>
      </c>
      <c r="AG909">
        <v>-1.1206654232659901</v>
      </c>
      <c r="AH909">
        <v>15.5562157080447</v>
      </c>
      <c r="AI909">
        <v>94.112970363195004</v>
      </c>
      <c r="AJ909">
        <v>86.540389018443605</v>
      </c>
      <c r="AK909">
        <v>15.624858046239799</v>
      </c>
      <c r="AL909">
        <v>95.439609842581604</v>
      </c>
      <c r="AM909">
        <v>89.239801495676303</v>
      </c>
      <c r="AN909">
        <v>1.000000054514</v>
      </c>
    </row>
    <row r="910" spans="1:40" x14ac:dyDescent="0.25">
      <c r="A910" t="str">
        <f>"20190303154436767"</f>
        <v>20190303154436767</v>
      </c>
      <c r="B910" t="str">
        <f>"1551599076760917"</f>
        <v>1551599076760917</v>
      </c>
      <c r="C910" t="s">
        <v>40</v>
      </c>
      <c r="D910">
        <v>4.5152679999999998</v>
      </c>
      <c r="E910">
        <v>0.51724899999999996</v>
      </c>
      <c r="F910" t="s">
        <v>41</v>
      </c>
      <c r="G910">
        <v>-227.541</v>
      </c>
      <c r="H910" s="1">
        <v>-1.6244709999999999E-6</v>
      </c>
      <c r="I910">
        <v>366.60379999999998</v>
      </c>
      <c r="J910">
        <v>-243.50210000000001</v>
      </c>
      <c r="K910">
        <v>1.120665</v>
      </c>
      <c r="L910">
        <v>367.5224</v>
      </c>
      <c r="M910">
        <v>0.99993399999999999</v>
      </c>
      <c r="N910">
        <v>-1.1281329999999999E-2</v>
      </c>
      <c r="O910">
        <v>2.2235150000000001E-3</v>
      </c>
      <c r="P910">
        <v>0.99431849999999999</v>
      </c>
      <c r="Q910">
        <v>-0.10593320000000001</v>
      </c>
      <c r="R910">
        <v>-1.043872E-2</v>
      </c>
      <c r="S910">
        <v>2.9932859999999999</v>
      </c>
      <c r="T910">
        <v>-0.20676900000000001</v>
      </c>
      <c r="U910">
        <v>-0.16937260000000001</v>
      </c>
      <c r="V910">
        <v>1.264611E-2</v>
      </c>
      <c r="W910">
        <v>-9.4710059999999999E-2</v>
      </c>
      <c r="X910">
        <v>0.99542459999999999</v>
      </c>
      <c r="Y910">
        <v>5.8548139999999999E-2</v>
      </c>
      <c r="Z910">
        <v>-2.4774010000000002E-3</v>
      </c>
      <c r="AA910">
        <v>0.99828150000000004</v>
      </c>
      <c r="AB910">
        <v>25</v>
      </c>
      <c r="AC910">
        <v>15.9611</v>
      </c>
      <c r="AD910">
        <v>-1.120666624471</v>
      </c>
      <c r="AE910">
        <v>-0.91860000000002595</v>
      </c>
      <c r="AF910">
        <v>0.94942472889952201</v>
      </c>
      <c r="AG910">
        <v>-1.120666624471</v>
      </c>
      <c r="AH910">
        <v>15.8809866335144</v>
      </c>
      <c r="AI910">
        <v>94.029304597685694</v>
      </c>
      <c r="AJ910">
        <v>86.578716304201095</v>
      </c>
      <c r="AK910">
        <v>15.9487628815815</v>
      </c>
      <c r="AL910">
        <v>95.434632084589595</v>
      </c>
      <c r="AM910">
        <v>89.272139996534406</v>
      </c>
      <c r="AN910">
        <v>1.0000000269242399</v>
      </c>
    </row>
    <row r="911" spans="1:40" x14ac:dyDescent="0.25">
      <c r="A911" t="str">
        <f>"20190303154436790"</f>
        <v>20190303154436790</v>
      </c>
      <c r="B911" t="str">
        <f>"1551599076781414"</f>
        <v>1551599076781414</v>
      </c>
      <c r="C911" t="s">
        <v>40</v>
      </c>
      <c r="D911">
        <v>4.5266409999999997</v>
      </c>
      <c r="E911">
        <v>0.51722520000000005</v>
      </c>
      <c r="F911" t="s">
        <v>41</v>
      </c>
      <c r="G911">
        <v>-226.83349999999999</v>
      </c>
      <c r="H911" s="1">
        <v>-1.877263E-6</v>
      </c>
      <c r="I911">
        <v>366.59179999999998</v>
      </c>
      <c r="J911">
        <v>-243.24969999999999</v>
      </c>
      <c r="K911">
        <v>1.1206670000000001</v>
      </c>
      <c r="L911">
        <v>367.52300000000002</v>
      </c>
      <c r="M911">
        <v>0.99993430000000005</v>
      </c>
      <c r="N911">
        <v>-1.126314E-2</v>
      </c>
      <c r="O911">
        <v>2.223797E-3</v>
      </c>
      <c r="P911">
        <v>0.99429089999999998</v>
      </c>
      <c r="Q911">
        <v>-0.1063197</v>
      </c>
      <c r="R911">
        <v>-9.0617800000000002E-3</v>
      </c>
      <c r="S911">
        <v>2.9939420000000001</v>
      </c>
      <c r="T911">
        <v>-0.20128850000000001</v>
      </c>
      <c r="U911">
        <v>-0.16714479999999901</v>
      </c>
      <c r="V911">
        <v>1.126924E-2</v>
      </c>
      <c r="W911">
        <v>-9.5114779999999996E-2</v>
      </c>
      <c r="X911">
        <v>0.99540249999999997</v>
      </c>
      <c r="Y911">
        <v>5.7805740000000001E-2</v>
      </c>
      <c r="Z911">
        <v>-2.389951E-3</v>
      </c>
      <c r="AA911">
        <v>0.99832500000000002</v>
      </c>
      <c r="AB911">
        <v>25</v>
      </c>
      <c r="AC911">
        <v>16.4162</v>
      </c>
      <c r="AD911">
        <v>-1.120668877263</v>
      </c>
      <c r="AE911">
        <v>-0.93120000000004599</v>
      </c>
      <c r="AF911">
        <v>0.96323179688039595</v>
      </c>
      <c r="AG911">
        <v>-1.120668877263</v>
      </c>
      <c r="AH911">
        <v>16.338192594011598</v>
      </c>
      <c r="AI911">
        <v>93.917104147972495</v>
      </c>
      <c r="AJ911">
        <v>86.625984947896001</v>
      </c>
      <c r="AK911">
        <v>16.404884987893201</v>
      </c>
      <c r="AL911">
        <v>95.457926262292204</v>
      </c>
      <c r="AM911">
        <v>89.351365596831499</v>
      </c>
      <c r="AN911">
        <v>0.99999997707543697</v>
      </c>
    </row>
    <row r="912" spans="1:40" x14ac:dyDescent="0.25">
      <c r="A912" t="str">
        <f>"20190303154436822"</f>
        <v>20190303154436822</v>
      </c>
      <c r="B912" t="str">
        <f>"1551599076811670"</f>
        <v>1551599076811670</v>
      </c>
      <c r="C912" t="s">
        <v>40</v>
      </c>
      <c r="D912">
        <v>4.556864</v>
      </c>
      <c r="E912">
        <v>0.51723160000000001</v>
      </c>
      <c r="F912" t="s">
        <v>41</v>
      </c>
      <c r="G912">
        <v>-226.41540000000001</v>
      </c>
      <c r="H912" s="1">
        <v>-2.0537489999999998E-6</v>
      </c>
      <c r="I912">
        <v>366.608</v>
      </c>
      <c r="J912">
        <v>-242.8963</v>
      </c>
      <c r="K912">
        <v>1.120679</v>
      </c>
      <c r="L912">
        <v>367.52370000000002</v>
      </c>
      <c r="M912">
        <v>0.99993399999999999</v>
      </c>
      <c r="N912">
        <v>-1.1273689999999999E-2</v>
      </c>
      <c r="O912">
        <v>2.224274E-3</v>
      </c>
      <c r="P912">
        <v>0.99425439999999998</v>
      </c>
      <c r="Q912">
        <v>-0.1066917</v>
      </c>
      <c r="R912">
        <v>-8.6816210000000005E-3</v>
      </c>
      <c r="S912">
        <v>2.9944459999999999</v>
      </c>
      <c r="T912">
        <v>-0.19934060000000001</v>
      </c>
      <c r="U912">
        <v>-0.16275020000000001</v>
      </c>
      <c r="V912">
        <v>1.088949E-2</v>
      </c>
      <c r="W912">
        <v>-9.5476660000000005E-2</v>
      </c>
      <c r="X912">
        <v>0.99537209999999998</v>
      </c>
      <c r="Y912">
        <v>5.6342730000000001E-2</v>
      </c>
      <c r="Z912">
        <v>-2.3129349999999999E-3</v>
      </c>
      <c r="AA912">
        <v>0.99840879999999999</v>
      </c>
      <c r="AB912">
        <v>25</v>
      </c>
      <c r="AC912">
        <v>16.480899999999899</v>
      </c>
      <c r="AD912">
        <v>-1.120681053749</v>
      </c>
      <c r="AE912">
        <v>-0.91570000000001495</v>
      </c>
      <c r="AF912">
        <v>0.947988250704074</v>
      </c>
      <c r="AG912">
        <v>-1.120681053749</v>
      </c>
      <c r="AH912">
        <v>16.403210032106301</v>
      </c>
      <c r="AI912">
        <v>93.901931396363594</v>
      </c>
      <c r="AJ912">
        <v>86.692392840622702</v>
      </c>
      <c r="AK912">
        <v>16.468755481368301</v>
      </c>
      <c r="AL912">
        <v>95.478755150759</v>
      </c>
      <c r="AM912">
        <v>89.373202314770097</v>
      </c>
      <c r="AN912">
        <v>0.99999999552781205</v>
      </c>
    </row>
    <row r="913" spans="1:40" x14ac:dyDescent="0.25">
      <c r="A913" t="str">
        <f>"20190303154436843"</f>
        <v>20190303154436843</v>
      </c>
      <c r="B913" t="str">
        <f>"1551599076840950"</f>
        <v>1551599076840950</v>
      </c>
      <c r="C913" t="s">
        <v>40</v>
      </c>
      <c r="D913">
        <v>4.4984659999999996</v>
      </c>
      <c r="E913">
        <v>0.51716969999999995</v>
      </c>
      <c r="F913" t="s">
        <v>41</v>
      </c>
      <c r="G913">
        <v>-225.80189999999999</v>
      </c>
      <c r="H913" s="1">
        <v>-2.3179229999999999E-6</v>
      </c>
      <c r="I913">
        <v>366.60239999999999</v>
      </c>
      <c r="J913">
        <v>-242.6542</v>
      </c>
      <c r="K913">
        <v>1.1206929999999999</v>
      </c>
      <c r="L913">
        <v>367.52429999999998</v>
      </c>
      <c r="M913">
        <v>0.99993330000000002</v>
      </c>
      <c r="N913">
        <v>-1.1335110000000001E-2</v>
      </c>
      <c r="O913">
        <v>2.2245810000000002E-3</v>
      </c>
      <c r="P913">
        <v>0.9942048</v>
      </c>
      <c r="Q913">
        <v>-0.10709689999999999</v>
      </c>
      <c r="R913">
        <v>-9.3317780000000006E-3</v>
      </c>
      <c r="S913">
        <v>2.9948429999999999</v>
      </c>
      <c r="T913">
        <v>-0.1963358</v>
      </c>
      <c r="U913">
        <v>-0.16140750000000001</v>
      </c>
      <c r="V913">
        <v>1.153997E-2</v>
      </c>
      <c r="W913">
        <v>-9.5821299999999998E-2</v>
      </c>
      <c r="X913">
        <v>0.99533159999999998</v>
      </c>
      <c r="Y913">
        <v>5.5894729999999997E-2</v>
      </c>
      <c r="Z913">
        <v>-2.2667130000000001E-3</v>
      </c>
      <c r="AA913">
        <v>0.99843409999999999</v>
      </c>
      <c r="AB913">
        <v>25</v>
      </c>
      <c r="AC913">
        <v>16.8523</v>
      </c>
      <c r="AD913">
        <v>-1.1206953179229999</v>
      </c>
      <c r="AE913">
        <v>-0.92189999999999295</v>
      </c>
      <c r="AF913">
        <v>0.95517787015866895</v>
      </c>
      <c r="AG913">
        <v>-1.1206953179229999</v>
      </c>
      <c r="AH913">
        <v>16.7762376679824</v>
      </c>
      <c r="AI913">
        <v>93.815663979819107</v>
      </c>
      <c r="AJ913">
        <v>86.741305249139799</v>
      </c>
      <c r="AK913">
        <v>16.840738494848999</v>
      </c>
      <c r="AL913">
        <v>95.498592808861204</v>
      </c>
      <c r="AM913">
        <v>89.335737001987994</v>
      </c>
      <c r="AN913">
        <v>0.99999994319992302</v>
      </c>
    </row>
    <row r="914" spans="1:40" x14ac:dyDescent="0.25">
      <c r="A914" t="str">
        <f>"20190303154436866"</f>
        <v>20190303154436866</v>
      </c>
      <c r="B914" t="str">
        <f>"1551599076861446"</f>
        <v>1551599076861446</v>
      </c>
      <c r="C914" t="s">
        <v>40</v>
      </c>
      <c r="D914">
        <v>4.5755339999999904</v>
      </c>
      <c r="E914">
        <v>0.51719959999999998</v>
      </c>
      <c r="F914" t="s">
        <v>41</v>
      </c>
      <c r="G914">
        <v>-225.33629999999999</v>
      </c>
      <c r="H914" s="1">
        <v>-2.5214309999999999E-6</v>
      </c>
      <c r="I914">
        <v>366.58109999999999</v>
      </c>
      <c r="J914">
        <v>-242.4051</v>
      </c>
      <c r="K914">
        <v>1.1207149999999999</v>
      </c>
      <c r="L914">
        <v>367.52480000000003</v>
      </c>
      <c r="M914">
        <v>0.99993220000000005</v>
      </c>
      <c r="N914">
        <v>-1.144008E-2</v>
      </c>
      <c r="O914">
        <v>2.2246359999999999E-3</v>
      </c>
      <c r="P914">
        <v>0.99414029999999998</v>
      </c>
      <c r="Q914">
        <v>-0.10763689999999999</v>
      </c>
      <c r="R914">
        <v>-9.9773680000000003E-3</v>
      </c>
      <c r="S914">
        <v>2.9950559999999999</v>
      </c>
      <c r="T914">
        <v>-0.19381889999999999</v>
      </c>
      <c r="U914">
        <v>-0.1631165</v>
      </c>
      <c r="V914">
        <v>1.218548E-2</v>
      </c>
      <c r="W914">
        <v>-9.6257570000000001E-2</v>
      </c>
      <c r="X914">
        <v>0.99528190000000005</v>
      </c>
      <c r="Y914">
        <v>5.6460860000000002E-2</v>
      </c>
      <c r="Z914">
        <v>-2.2655219999999998E-3</v>
      </c>
      <c r="AA914">
        <v>0.99840220000000002</v>
      </c>
      <c r="AB914">
        <v>25</v>
      </c>
      <c r="AC914">
        <v>17.0688</v>
      </c>
      <c r="AD914">
        <v>-1.1207175214309999</v>
      </c>
      <c r="AE914">
        <v>-0.94370000000003496</v>
      </c>
      <c r="AF914">
        <v>0.97747089619298999</v>
      </c>
      <c r="AG914">
        <v>-1.1207175214309999</v>
      </c>
      <c r="AH914">
        <v>16.993620588267301</v>
      </c>
      <c r="AI914">
        <v>93.766944726503795</v>
      </c>
      <c r="AJ914">
        <v>86.707981434650094</v>
      </c>
      <c r="AK914">
        <v>17.0585637676133</v>
      </c>
      <c r="AL914">
        <v>95.523704824020697</v>
      </c>
      <c r="AM914">
        <v>89.298548789433596</v>
      </c>
      <c r="AN914">
        <v>1.0000000330863701</v>
      </c>
    </row>
    <row r="915" spans="1:40" x14ac:dyDescent="0.25">
      <c r="A915" t="str">
        <f>"20190303154436888"</f>
        <v>20190303154436888</v>
      </c>
      <c r="B915" t="str">
        <f>"1551599076880966"</f>
        <v>1551599076880966</v>
      </c>
      <c r="C915" t="s">
        <v>40</v>
      </c>
      <c r="D915">
        <v>4.5709619999999997</v>
      </c>
      <c r="E915">
        <v>0.51721759999999894</v>
      </c>
      <c r="F915" t="s">
        <v>41</v>
      </c>
      <c r="G915">
        <v>-225.04339999999999</v>
      </c>
      <c r="H915" s="1">
        <v>-2.6496119999999999E-6</v>
      </c>
      <c r="I915">
        <v>366.56700000000001</v>
      </c>
      <c r="J915">
        <v>-242.1574</v>
      </c>
      <c r="K915">
        <v>1.1207499999999999</v>
      </c>
      <c r="L915">
        <v>367.52530000000002</v>
      </c>
      <c r="M915">
        <v>0.99993019999999999</v>
      </c>
      <c r="N915">
        <v>-1.161563E-2</v>
      </c>
      <c r="O915">
        <v>2.2246319999999998E-3</v>
      </c>
      <c r="P915">
        <v>0.99408050000000003</v>
      </c>
      <c r="Q915">
        <v>-0.10812620000000001</v>
      </c>
      <c r="R915">
        <v>-1.06175E-2</v>
      </c>
      <c r="S915">
        <v>2.9950709999999998</v>
      </c>
      <c r="T915">
        <v>-0.19333429999999999</v>
      </c>
      <c r="U915">
        <v>-0.16522220000000001</v>
      </c>
      <c r="V915">
        <v>1.2825619999999999E-2</v>
      </c>
      <c r="W915">
        <v>-9.6572850000000002E-2</v>
      </c>
      <c r="X915">
        <v>0.99524330000000005</v>
      </c>
      <c r="Y915">
        <v>5.7159069999999999E-2</v>
      </c>
      <c r="Z915">
        <v>-2.2917049999999998E-3</v>
      </c>
      <c r="AA915">
        <v>0.99836250000000004</v>
      </c>
      <c r="AB915">
        <v>25</v>
      </c>
      <c r="AC915">
        <v>17.114000000000001</v>
      </c>
      <c r="AD915">
        <v>-1.1207526496119999</v>
      </c>
      <c r="AE915">
        <v>-0.95830000000006499</v>
      </c>
      <c r="AF915">
        <v>0.99213098078408901</v>
      </c>
      <c r="AG915">
        <v>-1.1207526496119999</v>
      </c>
      <c r="AH915">
        <v>17.038980507674399</v>
      </c>
      <c r="AI915">
        <v>93.756909995924403</v>
      </c>
      <c r="AJ915">
        <v>86.667593700889498</v>
      </c>
      <c r="AK915">
        <v>17.104597835832099</v>
      </c>
      <c r="AL915">
        <v>95.541853666382295</v>
      </c>
      <c r="AM915">
        <v>89.2616747884951</v>
      </c>
      <c r="AN915">
        <v>1.0000000190401901</v>
      </c>
    </row>
    <row r="916" spans="1:40" x14ac:dyDescent="0.25">
      <c r="A916" t="str">
        <f>"20190303154436911"</f>
        <v>20190303154436911</v>
      </c>
      <c r="B916" t="str">
        <f>"1551599076901466"</f>
        <v>1551599076901466</v>
      </c>
      <c r="C916" t="s">
        <v>40</v>
      </c>
      <c r="D916">
        <v>4.5806990000000001</v>
      </c>
      <c r="E916">
        <v>0.51725600000000005</v>
      </c>
      <c r="F916" t="s">
        <v>41</v>
      </c>
      <c r="G916">
        <v>-224.76840000000001</v>
      </c>
      <c r="H916" s="1">
        <v>-2.7696390000000001E-6</v>
      </c>
      <c r="I916">
        <v>366.55540000000002</v>
      </c>
      <c r="J916">
        <v>-241.9101</v>
      </c>
      <c r="K916">
        <v>1.1207879999999999</v>
      </c>
      <c r="L916">
        <v>367.52589999999998</v>
      </c>
      <c r="M916">
        <v>0.99992760000000003</v>
      </c>
      <c r="N916">
        <v>-1.1833069999999999E-2</v>
      </c>
      <c r="O916">
        <v>2.2247209999999998E-3</v>
      </c>
      <c r="P916">
        <v>0.99398129999999996</v>
      </c>
      <c r="Q916">
        <v>-0.1089702</v>
      </c>
      <c r="R916">
        <v>-1.126403E-2</v>
      </c>
      <c r="S916">
        <v>2.9950709999999998</v>
      </c>
      <c r="T916">
        <v>-0.19303680000000001</v>
      </c>
      <c r="U916">
        <v>-0.16705320000000001</v>
      </c>
      <c r="V916">
        <v>1.347171E-2</v>
      </c>
      <c r="W916">
        <v>-9.720152E-2</v>
      </c>
      <c r="X916">
        <v>0.99517350000000004</v>
      </c>
      <c r="Y916">
        <v>5.776618E-2</v>
      </c>
      <c r="Z916">
        <v>-2.317506E-3</v>
      </c>
      <c r="AA916">
        <v>0.99832739999999998</v>
      </c>
      <c r="AB916">
        <v>25</v>
      </c>
      <c r="AC916">
        <v>17.141699999999901</v>
      </c>
      <c r="AD916">
        <v>-1.12079076963899</v>
      </c>
      <c r="AE916">
        <v>-0.97049999999995795</v>
      </c>
      <c r="AF916">
        <v>1.00435581132853</v>
      </c>
      <c r="AG916">
        <v>-1.12079076963899</v>
      </c>
      <c r="AH916">
        <v>17.066770139818502</v>
      </c>
      <c r="AI916">
        <v>93.750801745690296</v>
      </c>
      <c r="AJ916">
        <v>86.632106909303502</v>
      </c>
      <c r="AK916">
        <v>17.132995813647401</v>
      </c>
      <c r="AL916">
        <v>95.578044403649102</v>
      </c>
      <c r="AM916">
        <v>89.224431737716003</v>
      </c>
      <c r="AN916">
        <v>0.99999995878144099</v>
      </c>
    </row>
    <row r="917" spans="1:40" x14ac:dyDescent="0.25">
      <c r="A917" t="str">
        <f>"20190303154436933"</f>
        <v>20190303154436933</v>
      </c>
      <c r="B917" t="str">
        <f>"1551599076920982"</f>
        <v>1551599076920982</v>
      </c>
      <c r="C917" t="s">
        <v>40</v>
      </c>
      <c r="D917">
        <v>4.5515100000000004</v>
      </c>
      <c r="E917">
        <v>0.51725880000000002</v>
      </c>
      <c r="F917" t="s">
        <v>41</v>
      </c>
      <c r="G917">
        <v>-224.5549</v>
      </c>
      <c r="H917" s="1">
        <v>-2.8631850000000002E-6</v>
      </c>
      <c r="I917">
        <v>366.5444</v>
      </c>
      <c r="J917">
        <v>-241.6677</v>
      </c>
      <c r="K917">
        <v>1.1208180000000001</v>
      </c>
      <c r="L917">
        <v>367.52640000000002</v>
      </c>
      <c r="M917">
        <v>0.99992510000000001</v>
      </c>
      <c r="N917">
        <v>-1.204294E-2</v>
      </c>
      <c r="O917">
        <v>2.224653E-3</v>
      </c>
      <c r="P917">
        <v>0.99392769999999997</v>
      </c>
      <c r="Q917">
        <v>-0.10946450000000001</v>
      </c>
      <c r="R917">
        <v>-1.11962E-2</v>
      </c>
      <c r="S917">
        <v>2.9950410000000001</v>
      </c>
      <c r="T917">
        <v>-0.1934168</v>
      </c>
      <c r="U917">
        <v>-0.16937260000000001</v>
      </c>
      <c r="V917">
        <v>1.340366E-2</v>
      </c>
      <c r="W917">
        <v>-9.7487610000000002E-2</v>
      </c>
      <c r="X917">
        <v>0.99514650000000004</v>
      </c>
      <c r="Y917">
        <v>5.8534540000000003E-2</v>
      </c>
      <c r="Z917">
        <v>-2.3564319999999999E-3</v>
      </c>
      <c r="AA917">
        <v>0.99828260000000002</v>
      </c>
      <c r="AB917">
        <v>25</v>
      </c>
      <c r="AC917">
        <v>17.112799999999901</v>
      </c>
      <c r="AD917">
        <v>-1.1208208631850001</v>
      </c>
      <c r="AE917">
        <v>-0.98200000000002696</v>
      </c>
      <c r="AF917">
        <v>1.0157274700815999</v>
      </c>
      <c r="AG917">
        <v>-1.1208208631850001</v>
      </c>
      <c r="AH917">
        <v>17.037725467084499</v>
      </c>
      <c r="AI917">
        <v>93.757108354108894</v>
      </c>
      <c r="AJ917">
        <v>86.588271255391703</v>
      </c>
      <c r="AK917">
        <v>17.104737086332801</v>
      </c>
      <c r="AL917">
        <v>95.594514006218205</v>
      </c>
      <c r="AM917">
        <v>89.228327977325804</v>
      </c>
      <c r="AN917">
        <v>1.00000002433357</v>
      </c>
    </row>
    <row r="918" spans="1:40" x14ac:dyDescent="0.25">
      <c r="A918" t="str">
        <f>"20190303154436957"</f>
        <v>20190303154436957</v>
      </c>
      <c r="B918" t="str">
        <f>"1551599076951239"</f>
        <v>1551599076951239</v>
      </c>
      <c r="C918" t="s">
        <v>40</v>
      </c>
      <c r="D918">
        <v>4.5534439999999998</v>
      </c>
      <c r="E918">
        <v>0.5172831</v>
      </c>
      <c r="F918" t="s">
        <v>41</v>
      </c>
      <c r="G918">
        <v>-224.27080000000001</v>
      </c>
      <c r="H918" s="1">
        <v>-2.9849509999999999E-6</v>
      </c>
      <c r="I918">
        <v>366.54489999999998</v>
      </c>
      <c r="J918">
        <v>-241.41319999999999</v>
      </c>
      <c r="K918">
        <v>1.120849</v>
      </c>
      <c r="L918">
        <v>367.52699999999999</v>
      </c>
      <c r="M918">
        <v>0.99992259999999999</v>
      </c>
      <c r="N918">
        <v>-1.2244110000000001E-2</v>
      </c>
      <c r="O918">
        <v>2.2247349999999998E-3</v>
      </c>
      <c r="P918">
        <v>0.99390619999999996</v>
      </c>
      <c r="Q918">
        <v>-0.109671</v>
      </c>
      <c r="R918">
        <v>-1.108289E-2</v>
      </c>
      <c r="S918">
        <v>2.9951780000000001</v>
      </c>
      <c r="T918">
        <v>-0.1929681</v>
      </c>
      <c r="U918">
        <v>-0.16897579999999901</v>
      </c>
      <c r="V918">
        <v>1.3290440000000001E-2</v>
      </c>
      <c r="W918">
        <v>-9.7494090000000005E-2</v>
      </c>
      <c r="X918">
        <v>0.99514729999999996</v>
      </c>
      <c r="Y918">
        <v>5.8400849999999997E-2</v>
      </c>
      <c r="Z918">
        <v>-2.3519830000000002E-3</v>
      </c>
      <c r="AA918">
        <v>0.99829040000000002</v>
      </c>
      <c r="AB918">
        <v>25</v>
      </c>
      <c r="AC918">
        <v>17.142399999999899</v>
      </c>
      <c r="AD918">
        <v>-1.1208519849509999</v>
      </c>
      <c r="AE918">
        <v>-0.98210000000000197</v>
      </c>
      <c r="AF918">
        <v>1.0159087512448799</v>
      </c>
      <c r="AG918">
        <v>-1.1208519849509999</v>
      </c>
      <c r="AH918">
        <v>17.0674449921706</v>
      </c>
      <c r="AI918">
        <v>93.750709327462104</v>
      </c>
      <c r="AJ918">
        <v>86.593591682148102</v>
      </c>
      <c r="AK918">
        <v>17.1343531632739</v>
      </c>
      <c r="AL918">
        <v>95.594887527442793</v>
      </c>
      <c r="AM918">
        <v>89.234846086454894</v>
      </c>
      <c r="AN918">
        <v>0.99999994103880396</v>
      </c>
    </row>
    <row r="919" spans="1:40" x14ac:dyDescent="0.25">
      <c r="A919" t="str">
        <f>"20190303154436979"</f>
        <v>20190303154436979</v>
      </c>
      <c r="B919" t="str">
        <f>"1551599076971734"</f>
        <v>1551599076971734</v>
      </c>
      <c r="C919" t="s">
        <v>40</v>
      </c>
      <c r="D919">
        <v>4.5464370000000001</v>
      </c>
      <c r="E919">
        <v>0.51733119999999999</v>
      </c>
      <c r="F919" t="s">
        <v>41</v>
      </c>
      <c r="G919">
        <v>-223.85499999999999</v>
      </c>
      <c r="H919" s="1">
        <v>-3.1649470000000002E-6</v>
      </c>
      <c r="I919">
        <v>366.53579999999999</v>
      </c>
      <c r="J919">
        <v>-241.16720000000001</v>
      </c>
      <c r="K919">
        <v>1.1208689999999999</v>
      </c>
      <c r="L919">
        <v>367.52760000000001</v>
      </c>
      <c r="M919">
        <v>0.99992040000000004</v>
      </c>
      <c r="N919">
        <v>-1.2425459999999999E-2</v>
      </c>
      <c r="O919">
        <v>2.2246240000000001E-3</v>
      </c>
      <c r="P919">
        <v>0.99392559999999996</v>
      </c>
      <c r="Q919">
        <v>-0.1094854</v>
      </c>
      <c r="R919">
        <v>-1.1178459999999999E-2</v>
      </c>
      <c r="S919">
        <v>2.9954070000000002</v>
      </c>
      <c r="T919">
        <v>-0.19121579999999999</v>
      </c>
      <c r="U919">
        <v>-0.1690979</v>
      </c>
      <c r="V919">
        <v>1.338604E-2</v>
      </c>
      <c r="W919">
        <v>-9.7127809999999995E-2</v>
      </c>
      <c r="X919">
        <v>0.99518189999999995</v>
      </c>
      <c r="Y919">
        <v>5.8439070000000003E-2</v>
      </c>
      <c r="Z919">
        <v>-2.3398609999999999E-3</v>
      </c>
      <c r="AA919">
        <v>0.99828819999999996</v>
      </c>
      <c r="AB919">
        <v>25</v>
      </c>
      <c r="AC919">
        <v>17.312200000000001</v>
      </c>
      <c r="AD919">
        <v>-1.1208721649469999</v>
      </c>
      <c r="AE919">
        <v>-0.99180000000001201</v>
      </c>
      <c r="AF919">
        <v>1.0260267521897399</v>
      </c>
      <c r="AG919">
        <v>-1.1208721649469999</v>
      </c>
      <c r="AH919">
        <v>17.2379278575876</v>
      </c>
      <c r="AI919">
        <v>93.713786241079404</v>
      </c>
      <c r="AJ919">
        <v>86.593689994295005</v>
      </c>
      <c r="AK919">
        <v>17.304775125084898</v>
      </c>
      <c r="AL919">
        <v>95.573800790401407</v>
      </c>
      <c r="AM919">
        <v>89.229369679009295</v>
      </c>
      <c r="AN919">
        <v>1.0000000058149401</v>
      </c>
    </row>
    <row r="920" spans="1:40" x14ac:dyDescent="0.25">
      <c r="A920" t="str">
        <f>"20190303154437001"</f>
        <v>20190303154437001</v>
      </c>
      <c r="B920" t="str">
        <f>"1551599076991254"</f>
        <v>1551599076991254</v>
      </c>
      <c r="C920" t="s">
        <v>40</v>
      </c>
      <c r="D920">
        <v>4.5658899999999996</v>
      </c>
      <c r="E920">
        <v>0.51734659999999999</v>
      </c>
      <c r="F920" t="s">
        <v>41</v>
      </c>
      <c r="G920">
        <v>-223.4632</v>
      </c>
      <c r="H920" s="1">
        <v>-3.335144E-6</v>
      </c>
      <c r="I920">
        <v>366.52379999999999</v>
      </c>
      <c r="J920">
        <v>-240.9248</v>
      </c>
      <c r="K920">
        <v>1.120887</v>
      </c>
      <c r="L920">
        <v>367.52809999999999</v>
      </c>
      <c r="M920">
        <v>0.99991830000000004</v>
      </c>
      <c r="N920">
        <v>-1.259359E-2</v>
      </c>
      <c r="O920">
        <v>2.224579E-3</v>
      </c>
      <c r="P920">
        <v>0.99398710000000001</v>
      </c>
      <c r="Q920">
        <v>-0.1089049</v>
      </c>
      <c r="R920">
        <v>-1.1372159999999999E-2</v>
      </c>
      <c r="S920">
        <v>2.995514</v>
      </c>
      <c r="T920">
        <v>-0.18965129999999999</v>
      </c>
      <c r="U920">
        <v>-0.16983029999999999</v>
      </c>
      <c r="V920">
        <v>1.3579809999999999E-2</v>
      </c>
      <c r="W920">
        <v>-9.6379210000000007E-2</v>
      </c>
      <c r="X920">
        <v>0.99525209999999997</v>
      </c>
      <c r="Y920">
        <v>5.8681669999999998E-2</v>
      </c>
      <c r="Z920">
        <v>-2.3371569999999999E-3</v>
      </c>
      <c r="AA920">
        <v>0.99827399999999999</v>
      </c>
      <c r="AB920">
        <v>25</v>
      </c>
      <c r="AC920">
        <v>17.461600000000001</v>
      </c>
      <c r="AD920">
        <v>-1.120890335144</v>
      </c>
      <c r="AE920">
        <v>-1.0043</v>
      </c>
      <c r="AF920">
        <v>1.03887863407948</v>
      </c>
      <c r="AG920">
        <v>-1.120890335144</v>
      </c>
      <c r="AH920">
        <v>17.3879104445666</v>
      </c>
      <c r="AI920">
        <v>93.681851070987307</v>
      </c>
      <c r="AJ920">
        <v>86.580803351438803</v>
      </c>
      <c r="AK920">
        <v>17.454944674447798</v>
      </c>
      <c r="AL920">
        <v>95.530706727505901</v>
      </c>
      <c r="AM920">
        <v>89.218270908912501</v>
      </c>
      <c r="AN920">
        <v>1.00000005295713</v>
      </c>
    </row>
    <row r="921" spans="1:40" x14ac:dyDescent="0.25">
      <c r="A921" t="str">
        <f>"20190303154437023"</f>
        <v>20190303154437023</v>
      </c>
      <c r="B921" t="str">
        <f>"1551599077011751"</f>
        <v>1551599077011751</v>
      </c>
      <c r="C921" t="s">
        <v>40</v>
      </c>
      <c r="D921">
        <v>4.5010190000000003</v>
      </c>
      <c r="E921">
        <v>0.51735940000000002</v>
      </c>
      <c r="F921" t="s">
        <v>41</v>
      </c>
      <c r="G921">
        <v>-222.95570000000001</v>
      </c>
      <c r="H921" s="1">
        <v>-3.5562299999999999E-6</v>
      </c>
      <c r="I921">
        <v>366.505</v>
      </c>
      <c r="J921">
        <v>-240.68369999999999</v>
      </c>
      <c r="K921">
        <v>1.1209039999999999</v>
      </c>
      <c r="L921">
        <v>367.52859999999998</v>
      </c>
      <c r="M921">
        <v>0.99991629999999998</v>
      </c>
      <c r="N921">
        <v>-1.27455E-2</v>
      </c>
      <c r="O921">
        <v>2.224625E-3</v>
      </c>
      <c r="P921">
        <v>0.99396779999999996</v>
      </c>
      <c r="Q921">
        <v>-0.1090465</v>
      </c>
      <c r="R921">
        <v>-1.1710669999999999E-2</v>
      </c>
      <c r="S921">
        <v>2.9957120000000002</v>
      </c>
      <c r="T921">
        <v>-0.1868678</v>
      </c>
      <c r="U921">
        <v>-0.17056270000000001</v>
      </c>
      <c r="V921">
        <v>1.3918140000000001E-2</v>
      </c>
      <c r="W921">
        <v>-9.6369960000000005E-2</v>
      </c>
      <c r="X921">
        <v>0.99524829999999997</v>
      </c>
      <c r="Y921">
        <v>5.8924310000000001E-2</v>
      </c>
      <c r="Z921">
        <v>-2.3210190000000001E-3</v>
      </c>
      <c r="AA921">
        <v>0.99825980000000003</v>
      </c>
      <c r="AB921">
        <v>25</v>
      </c>
      <c r="AC921">
        <v>17.727999999999899</v>
      </c>
      <c r="AD921">
        <v>-1.1209075562299999</v>
      </c>
      <c r="AE921">
        <v>-1.0235999999999801</v>
      </c>
      <c r="AF921">
        <v>1.0588199462224901</v>
      </c>
      <c r="AG921">
        <v>-1.1209075562299999</v>
      </c>
      <c r="AH921">
        <v>17.6553310135257</v>
      </c>
      <c r="AI921">
        <v>93.626240136970495</v>
      </c>
      <c r="AJ921">
        <v>86.567986163427605</v>
      </c>
      <c r="AK921">
        <v>17.722534994331198</v>
      </c>
      <c r="AL921">
        <v>95.530174383541194</v>
      </c>
      <c r="AM921">
        <v>89.198794209156105</v>
      </c>
      <c r="AN921">
        <v>1.00000003123217</v>
      </c>
    </row>
    <row r="922" spans="1:40" x14ac:dyDescent="0.25">
      <c r="A922" t="str">
        <f>"20190303154437044"</f>
        <v>20190303154437044</v>
      </c>
      <c r="B922" t="str">
        <f>"1551599077041031"</f>
        <v>1551599077041031</v>
      </c>
      <c r="C922" t="s">
        <v>40</v>
      </c>
      <c r="D922">
        <v>4.4903440000000003</v>
      </c>
      <c r="E922">
        <v>0.53309019999999996</v>
      </c>
      <c r="F922" t="s">
        <v>41</v>
      </c>
      <c r="G922">
        <v>-222.73339999999999</v>
      </c>
      <c r="H922" s="1">
        <v>-3.652257E-6</v>
      </c>
      <c r="I922">
        <v>366.50110000000001</v>
      </c>
      <c r="J922">
        <v>-240.44</v>
      </c>
      <c r="K922">
        <v>1.1209100000000001</v>
      </c>
      <c r="L922">
        <v>367.5292</v>
      </c>
      <c r="M922">
        <v>0.99991459999999999</v>
      </c>
      <c r="N922">
        <v>-1.288157E-2</v>
      </c>
      <c r="O922">
        <v>2.224583E-3</v>
      </c>
      <c r="P922">
        <v>0.99398799999999998</v>
      </c>
      <c r="Q922">
        <v>-0.1088841</v>
      </c>
      <c r="R922">
        <v>-1.148804E-2</v>
      </c>
      <c r="S922">
        <v>2.9956670000000001</v>
      </c>
      <c r="T922">
        <v>-0.18706390000000001</v>
      </c>
      <c r="U922">
        <v>-0.1714783</v>
      </c>
      <c r="V922">
        <v>1.369595E-2</v>
      </c>
      <c r="W922">
        <v>-9.6071820000000002E-2</v>
      </c>
      <c r="X922">
        <v>0.9952801</v>
      </c>
      <c r="Y922">
        <v>5.9228000000000003E-2</v>
      </c>
      <c r="Z922">
        <v>-2.338241E-3</v>
      </c>
      <c r="AA922">
        <v>0.99824170000000001</v>
      </c>
      <c r="AB922">
        <v>24</v>
      </c>
      <c r="AC922">
        <v>17.706600000000002</v>
      </c>
      <c r="AD922">
        <v>-1.120913652257</v>
      </c>
      <c r="AE922">
        <v>-1.02809999999999</v>
      </c>
      <c r="AF922">
        <v>1.06324388635306</v>
      </c>
      <c r="AG922">
        <v>-1.120913652257</v>
      </c>
      <c r="AH922">
        <v>17.633838660397402</v>
      </c>
      <c r="AI922">
        <v>93.630597436480897</v>
      </c>
      <c r="AJ922">
        <v>86.549490806566894</v>
      </c>
      <c r="AK922">
        <v>17.701389800764499</v>
      </c>
      <c r="AL922">
        <v>95.513013174109503</v>
      </c>
      <c r="AM922">
        <v>89.211608264955402</v>
      </c>
      <c r="AN922">
        <v>0.99999992555025896</v>
      </c>
    </row>
    <row r="923" spans="1:40" x14ac:dyDescent="0.25">
      <c r="A923" t="str">
        <f>"20190303154437068"</f>
        <v>20190303154437068</v>
      </c>
      <c r="B923" t="str">
        <f>"1551599077061530"</f>
        <v>1551599077061530</v>
      </c>
      <c r="C923" t="s">
        <v>40</v>
      </c>
      <c r="D923">
        <v>4.6635580000000001</v>
      </c>
      <c r="E923">
        <v>0.53126070000000003</v>
      </c>
      <c r="F923" t="s">
        <v>42</v>
      </c>
      <c r="G923">
        <v>-239.5753</v>
      </c>
      <c r="H923">
        <v>0.95959760000000005</v>
      </c>
      <c r="I923">
        <v>367.44069999999999</v>
      </c>
      <c r="J923">
        <v>-240.19329999999999</v>
      </c>
      <c r="K923">
        <v>1.120914</v>
      </c>
      <c r="L923">
        <v>367.52980000000002</v>
      </c>
      <c r="M923">
        <v>0.99991300000000005</v>
      </c>
      <c r="N923">
        <v>-1.3002959999999999E-2</v>
      </c>
      <c r="O923">
        <v>2.2246280000000002E-3</v>
      </c>
      <c r="P923">
        <v>0.99396289999999998</v>
      </c>
      <c r="Q923">
        <v>-0.1091593</v>
      </c>
      <c r="R923">
        <v>-1.105276E-2</v>
      </c>
      <c r="S923">
        <v>2.954285</v>
      </c>
      <c r="T923">
        <v>-0.55120150000000001</v>
      </c>
      <c r="U923">
        <v>-0.3016663</v>
      </c>
      <c r="V923">
        <v>1.326041E-2</v>
      </c>
      <c r="W923">
        <v>-9.6226480000000003E-2</v>
      </c>
      <c r="X923">
        <v>0.99527109999999996</v>
      </c>
      <c r="Y923">
        <v>0.1018984</v>
      </c>
      <c r="Z923">
        <v>-1.0452919999999999E-2</v>
      </c>
      <c r="AA923">
        <v>0.99473990000000001</v>
      </c>
      <c r="AB923">
        <v>24</v>
      </c>
      <c r="AC923">
        <v>0.617999999999995</v>
      </c>
      <c r="AD923">
        <v>-0.161316399999999</v>
      </c>
      <c r="AE923">
        <v>-8.9100000000030294E-2</v>
      </c>
      <c r="AF923">
        <v>8.4813493775042798E-2</v>
      </c>
      <c r="AG923">
        <v>-0.161316399999999</v>
      </c>
      <c r="AH923">
        <v>0.57914298255727004</v>
      </c>
      <c r="AI923">
        <v>105.408398672069</v>
      </c>
      <c r="AJ923">
        <v>81.668454786091999</v>
      </c>
      <c r="AK923">
        <v>0.60714323176711804</v>
      </c>
      <c r="AL923">
        <v>95.521915550099706</v>
      </c>
      <c r="AM923">
        <v>89.236669711181307</v>
      </c>
      <c r="AN923">
        <v>0.99999996821088299</v>
      </c>
    </row>
    <row r="924" spans="1:40" x14ac:dyDescent="0.25">
      <c r="A924" t="str">
        <f>"20190303154437089"</f>
        <v>20190303154437089</v>
      </c>
      <c r="B924" t="str">
        <f>"1551599077081046"</f>
        <v>1551599077081046</v>
      </c>
      <c r="C924" t="s">
        <v>40</v>
      </c>
      <c r="D924">
        <v>4.7072719999999997</v>
      </c>
      <c r="E924">
        <v>0.52994790000000003</v>
      </c>
      <c r="F924" t="s">
        <v>42</v>
      </c>
      <c r="G924">
        <v>-239.3715</v>
      </c>
      <c r="H924">
        <v>0.93071000000000004</v>
      </c>
      <c r="I924">
        <v>367.44900000000001</v>
      </c>
      <c r="J924">
        <v>-239.96010000000001</v>
      </c>
      <c r="K924">
        <v>1.120911</v>
      </c>
      <c r="L924">
        <v>367.53019999999998</v>
      </c>
      <c r="M924">
        <v>0.99991169999999996</v>
      </c>
      <c r="N924">
        <v>-1.31044E-2</v>
      </c>
      <c r="O924">
        <v>2.224677E-3</v>
      </c>
      <c r="P924">
        <v>0.99396430000000002</v>
      </c>
      <c r="Q924">
        <v>-0.1091955</v>
      </c>
      <c r="R924">
        <v>-1.0562800000000001E-2</v>
      </c>
      <c r="S924">
        <v>2.9402620000000002</v>
      </c>
      <c r="T924">
        <v>-0.68061179999999999</v>
      </c>
      <c r="U924">
        <v>-0.28784179999999998</v>
      </c>
      <c r="V924">
        <v>1.2770490000000001E-2</v>
      </c>
      <c r="W924">
        <v>-9.6161609999999995E-2</v>
      </c>
      <c r="X924">
        <v>0.99528380000000005</v>
      </c>
      <c r="Y924">
        <v>9.6905920000000006E-2</v>
      </c>
      <c r="Z924">
        <v>-1.21677E-2</v>
      </c>
      <c r="AA924">
        <v>0.99521919999999997</v>
      </c>
      <c r="AB924">
        <v>24</v>
      </c>
      <c r="AC924">
        <v>0.588600000000013</v>
      </c>
      <c r="AD924">
        <v>-0.19020099999999901</v>
      </c>
      <c r="AE924">
        <v>-8.1199999999967007E-2</v>
      </c>
      <c r="AF924">
        <v>7.4840442737869495E-2</v>
      </c>
      <c r="AG924">
        <v>-0.19020099999999901</v>
      </c>
      <c r="AH924">
        <v>0.53372680288366003</v>
      </c>
      <c r="AI924">
        <v>109.43851404102401</v>
      </c>
      <c r="AJ924">
        <v>82.017893465813103</v>
      </c>
      <c r="AK924">
        <v>0.57152586327008303</v>
      </c>
      <c r="AL924">
        <v>95.518181326824205</v>
      </c>
      <c r="AM924">
        <v>89.264877988416202</v>
      </c>
      <c r="AN924">
        <v>0.99999999159753605</v>
      </c>
    </row>
    <row r="925" spans="1:40" x14ac:dyDescent="0.25">
      <c r="A925" t="str">
        <f>"20190303154437112"</f>
        <v>20190303154437112</v>
      </c>
      <c r="B925" t="str">
        <f>"1551599077101543"</f>
        <v>1551599077101543</v>
      </c>
      <c r="C925" t="s">
        <v>40</v>
      </c>
      <c r="D925">
        <v>6.5237939999999996</v>
      </c>
      <c r="E925">
        <v>0.53121509999999905</v>
      </c>
      <c r="F925" t="s">
        <v>42</v>
      </c>
      <c r="G925">
        <v>-239.16030000000001</v>
      </c>
      <c r="H925">
        <v>0.91729300000000003</v>
      </c>
      <c r="I925">
        <v>367.4545</v>
      </c>
      <c r="J925">
        <v>-239.71180000000001</v>
      </c>
      <c r="K925">
        <v>1.1209150000000001</v>
      </c>
      <c r="L925">
        <v>367.5308</v>
      </c>
      <c r="M925">
        <v>0.99991050000000004</v>
      </c>
      <c r="N925">
        <v>-1.319933E-2</v>
      </c>
      <c r="O925">
        <v>2.224705E-3</v>
      </c>
      <c r="P925">
        <v>0.99396439999999997</v>
      </c>
      <c r="Q925">
        <v>-0.1092559</v>
      </c>
      <c r="R925">
        <v>-9.8941919999999996E-3</v>
      </c>
      <c r="S925">
        <v>2.9332729999999998</v>
      </c>
      <c r="T925">
        <v>-0.74674700000000005</v>
      </c>
      <c r="U925">
        <v>-0.27716059999999998</v>
      </c>
      <c r="V925">
        <v>1.210206E-2</v>
      </c>
      <c r="W925">
        <v>-9.6127500000000005E-2</v>
      </c>
      <c r="X925">
        <v>0.9952955</v>
      </c>
      <c r="Y925">
        <v>9.3118010000000001E-2</v>
      </c>
      <c r="Z925">
        <v>-1.2795559999999999E-2</v>
      </c>
      <c r="AA925">
        <v>0.99557289999999998</v>
      </c>
      <c r="AB925">
        <v>24</v>
      </c>
      <c r="AC925">
        <v>0.55150000000000399</v>
      </c>
      <c r="AD925">
        <v>-0.203621999999999</v>
      </c>
      <c r="AE925">
        <v>-7.6300000000003296E-2</v>
      </c>
      <c r="AF925">
        <v>6.8380332548909697E-2</v>
      </c>
      <c r="AG925">
        <v>-0.203621999999999</v>
      </c>
      <c r="AH925">
        <v>0.48628385342160502</v>
      </c>
      <c r="AI925">
        <v>112.52140261506401</v>
      </c>
      <c r="AJ925">
        <v>81.995656388898396</v>
      </c>
      <c r="AK925">
        <v>0.531610548110235</v>
      </c>
      <c r="AL925">
        <v>95.516217580673697</v>
      </c>
      <c r="AM925">
        <v>89.303359864415</v>
      </c>
      <c r="AN925">
        <v>1.0000000442163699</v>
      </c>
    </row>
    <row r="926" spans="1:40" x14ac:dyDescent="0.25">
      <c r="A926" t="str">
        <f>"20190303154437291"</f>
        <v>20190303154437291</v>
      </c>
      <c r="B926" t="str">
        <f>"1551599077281126"</f>
        <v>1551599077281126</v>
      </c>
      <c r="C926" t="s">
        <v>40</v>
      </c>
      <c r="D926">
        <v>4.5769789999999997</v>
      </c>
      <c r="E926">
        <v>0.52888729999999995</v>
      </c>
      <c r="F926" t="s">
        <v>42</v>
      </c>
      <c r="G926">
        <v>-237.21459999999999</v>
      </c>
      <c r="H926">
        <v>0.91270079999999998</v>
      </c>
      <c r="I926">
        <v>367.45819999999998</v>
      </c>
      <c r="J926">
        <v>-237.77440000000001</v>
      </c>
      <c r="K926">
        <v>1.1209519999999999</v>
      </c>
      <c r="L926">
        <v>367.53519999999997</v>
      </c>
      <c r="M926">
        <v>0.99990500000000004</v>
      </c>
      <c r="N926">
        <v>-1.3608220000000001E-2</v>
      </c>
      <c r="O926">
        <v>2.226006E-3</v>
      </c>
      <c r="P926">
        <v>0.99397480000000005</v>
      </c>
      <c r="Q926">
        <v>-0.109065</v>
      </c>
      <c r="R926">
        <v>-1.091979E-2</v>
      </c>
      <c r="S926">
        <v>2.93187</v>
      </c>
      <c r="T926">
        <v>-0.76069969999999998</v>
      </c>
      <c r="U926">
        <v>-0.27832030000000002</v>
      </c>
      <c r="V926">
        <v>1.312877E-2</v>
      </c>
      <c r="W926">
        <v>-9.5529500000000003E-2</v>
      </c>
      <c r="X926">
        <v>0.99534</v>
      </c>
      <c r="Y926">
        <v>9.3421210000000005E-2</v>
      </c>
      <c r="Z926">
        <v>-1.308176E-2</v>
      </c>
      <c r="AA926">
        <v>0.99554069999999995</v>
      </c>
      <c r="AB926">
        <v>24</v>
      </c>
      <c r="AC926">
        <v>0.55980000000002395</v>
      </c>
      <c r="AD926">
        <v>-0.2082512</v>
      </c>
      <c r="AE926">
        <v>-7.6999999999998098E-2</v>
      </c>
      <c r="AF926">
        <v>6.88893694539605E-2</v>
      </c>
      <c r="AG926">
        <v>-0.2082512</v>
      </c>
      <c r="AH926">
        <v>0.49270689288281699</v>
      </c>
      <c r="AI926">
        <v>112.713977622024</v>
      </c>
      <c r="AJ926">
        <v>82.040608442046306</v>
      </c>
      <c r="AK926">
        <v>0.53932772024015596</v>
      </c>
      <c r="AL926">
        <v>95.481796631704796</v>
      </c>
      <c r="AM926">
        <v>89.244298941829697</v>
      </c>
      <c r="AN926">
        <v>0.99999998278598101</v>
      </c>
    </row>
    <row r="927" spans="1:40" x14ac:dyDescent="0.25">
      <c r="A927" t="str">
        <f>"20190303154437314"</f>
        <v>20190303154437314</v>
      </c>
      <c r="B927" t="str">
        <f>"1551599077311383"</f>
        <v>1551599077311383</v>
      </c>
      <c r="C927" t="s">
        <v>40</v>
      </c>
      <c r="D927">
        <v>4.6233969999999998</v>
      </c>
      <c r="E927">
        <v>0.52817150000000002</v>
      </c>
      <c r="F927" t="s">
        <v>42</v>
      </c>
      <c r="G927">
        <v>-236.9975</v>
      </c>
      <c r="H927">
        <v>0.91747369999999995</v>
      </c>
      <c r="I927">
        <v>367.46350000000001</v>
      </c>
      <c r="J927">
        <v>-237.5317</v>
      </c>
      <c r="K927">
        <v>1.120954</v>
      </c>
      <c r="L927">
        <v>367.53570000000002</v>
      </c>
      <c r="M927">
        <v>0.99990469999999998</v>
      </c>
      <c r="N927">
        <v>-1.3632419999999999E-2</v>
      </c>
      <c r="O927">
        <v>2.2261379999999999E-3</v>
      </c>
      <c r="P927">
        <v>0.99399550000000003</v>
      </c>
      <c r="Q927">
        <v>-0.1088827</v>
      </c>
      <c r="R927">
        <v>-1.085092E-2</v>
      </c>
      <c r="S927">
        <v>2.930984</v>
      </c>
      <c r="T927">
        <v>-0.76766659999999998</v>
      </c>
      <c r="U927">
        <v>-0.26980589999999999</v>
      </c>
      <c r="V927">
        <v>1.306035E-2</v>
      </c>
      <c r="W927">
        <v>-9.5322809999999994E-2</v>
      </c>
      <c r="X927">
        <v>0.99536069999999999</v>
      </c>
      <c r="Y927">
        <v>9.0619469999999994E-2</v>
      </c>
      <c r="Z927">
        <v>-1.2819179999999999E-2</v>
      </c>
      <c r="AA927">
        <v>0.99580310000000005</v>
      </c>
      <c r="AB927">
        <v>24</v>
      </c>
      <c r="AC927">
        <v>0.53419999999999801</v>
      </c>
      <c r="AD927">
        <v>-0.2034803</v>
      </c>
      <c r="AE927">
        <v>-7.2200000000009298E-2</v>
      </c>
      <c r="AF927">
        <v>6.4236295824599901E-2</v>
      </c>
      <c r="AG927">
        <v>-0.2034803</v>
      </c>
      <c r="AH927">
        <v>0.46743457325099502</v>
      </c>
      <c r="AI927">
        <v>113.328592351324</v>
      </c>
      <c r="AJ927">
        <v>82.175249301325593</v>
      </c>
      <c r="AK927">
        <v>0.51383422857931105</v>
      </c>
      <c r="AL927">
        <v>95.469899962845503</v>
      </c>
      <c r="AM927">
        <v>89.248252423300599</v>
      </c>
      <c r="AN927">
        <v>0.99999996697645299</v>
      </c>
    </row>
    <row r="928" spans="1:40" x14ac:dyDescent="0.25">
      <c r="A928" t="str">
        <f>"20190303154437335"</f>
        <v>20190303154437335</v>
      </c>
      <c r="B928" t="str">
        <f>"1551599077330903"</f>
        <v>1551599077330903</v>
      </c>
      <c r="C928" t="s">
        <v>40</v>
      </c>
      <c r="D928">
        <v>4.5954329999999999</v>
      </c>
      <c r="E928">
        <v>0.52790800000000004</v>
      </c>
      <c r="F928" t="s">
        <v>42</v>
      </c>
      <c r="G928">
        <v>-236.77969999999999</v>
      </c>
      <c r="H928">
        <v>0.92371800000000004</v>
      </c>
      <c r="I928">
        <v>367.46789999999999</v>
      </c>
      <c r="J928">
        <v>-237.30109999999999</v>
      </c>
      <c r="K928">
        <v>1.120959</v>
      </c>
      <c r="L928">
        <v>367.53629999999998</v>
      </c>
      <c r="M928">
        <v>0.99990429999999997</v>
      </c>
      <c r="N928">
        <v>-1.3652050000000001E-2</v>
      </c>
      <c r="O928">
        <v>2.226362E-3</v>
      </c>
      <c r="P928">
        <v>0.9939827</v>
      </c>
      <c r="Q928">
        <v>-0.10902240000000001</v>
      </c>
      <c r="R928">
        <v>-1.061756E-2</v>
      </c>
      <c r="S928">
        <v>2.9310299999999998</v>
      </c>
      <c r="T928">
        <v>-0.76889149999999995</v>
      </c>
      <c r="U928">
        <v>-0.26376339999999998</v>
      </c>
      <c r="V928">
        <v>1.282691E-2</v>
      </c>
      <c r="W928">
        <v>-9.5443169999999994E-2</v>
      </c>
      <c r="X928">
        <v>0.99535220000000002</v>
      </c>
      <c r="Y928">
        <v>8.8641189999999995E-2</v>
      </c>
      <c r="Z928">
        <v>-1.25714E-2</v>
      </c>
      <c r="AA928">
        <v>0.99598430000000004</v>
      </c>
      <c r="AB928">
        <v>24</v>
      </c>
      <c r="AC928">
        <v>0.52139999999999898</v>
      </c>
      <c r="AD928">
        <v>-0.197241</v>
      </c>
      <c r="AE928">
        <v>-6.8399999999996894E-2</v>
      </c>
      <c r="AF928">
        <v>6.0981673561268997E-2</v>
      </c>
      <c r="AG928">
        <v>-0.197241</v>
      </c>
      <c r="AH928">
        <v>0.45695988205990401</v>
      </c>
      <c r="AI928">
        <v>113.163394187987</v>
      </c>
      <c r="AJ928">
        <v>82.398742504230498</v>
      </c>
      <c r="AK928">
        <v>0.50143305675187999</v>
      </c>
      <c r="AL928">
        <v>95.476827678803403</v>
      </c>
      <c r="AM928">
        <v>89.261681314257501</v>
      </c>
      <c r="AN928">
        <v>0.99999996518231704</v>
      </c>
    </row>
    <row r="929" spans="1:40" x14ac:dyDescent="0.25">
      <c r="A929" t="str">
        <f>"20190303154437358"</f>
        <v>20190303154437358</v>
      </c>
      <c r="B929" t="str">
        <f>"1551599077351399"</f>
        <v>1551599077351399</v>
      </c>
      <c r="C929" t="s">
        <v>40</v>
      </c>
      <c r="D929">
        <v>4.5990219999999997</v>
      </c>
      <c r="E929">
        <v>0.52712499999999995</v>
      </c>
      <c r="F929" t="s">
        <v>42</v>
      </c>
      <c r="G929">
        <v>-236.5633</v>
      </c>
      <c r="H929">
        <v>0.92756130000000003</v>
      </c>
      <c r="I929">
        <v>367.47039999999998</v>
      </c>
      <c r="J929">
        <v>-237.05510000000001</v>
      </c>
      <c r="K929">
        <v>1.120962</v>
      </c>
      <c r="L929">
        <v>367.53680000000003</v>
      </c>
      <c r="M929">
        <v>0.99990420000000002</v>
      </c>
      <c r="N929">
        <v>-1.3669870000000001E-2</v>
      </c>
      <c r="O929">
        <v>2.226418E-3</v>
      </c>
      <c r="P929">
        <v>0.9940177</v>
      </c>
      <c r="Q929">
        <v>-0.108726</v>
      </c>
      <c r="R929">
        <v>-1.0395949999999999E-2</v>
      </c>
      <c r="S929">
        <v>2.9311069999999999</v>
      </c>
      <c r="T929">
        <v>-0.76833300000000004</v>
      </c>
      <c r="U929">
        <v>-0.26113890000000001</v>
      </c>
      <c r="V929">
        <v>1.260558E-2</v>
      </c>
      <c r="W929">
        <v>-9.5128509999999999E-2</v>
      </c>
      <c r="X929">
        <v>0.99538519999999997</v>
      </c>
      <c r="Y929">
        <v>8.7788480000000002E-2</v>
      </c>
      <c r="Z929">
        <v>-1.2448229999999999E-2</v>
      </c>
      <c r="AA929">
        <v>0.99606139999999999</v>
      </c>
      <c r="AB929">
        <v>24</v>
      </c>
      <c r="AC929">
        <v>0.49180000000001201</v>
      </c>
      <c r="AD929">
        <v>-0.19340069999999901</v>
      </c>
      <c r="AE929">
        <v>-6.6400000000044201E-2</v>
      </c>
      <c r="AF929">
        <v>5.85955415154681E-2</v>
      </c>
      <c r="AG929">
        <v>-0.19340069999999901</v>
      </c>
      <c r="AH929">
        <v>0.42682568511550001</v>
      </c>
      <c r="AI929">
        <v>114.175486088315</v>
      </c>
      <c r="AJ929">
        <v>82.183174947148501</v>
      </c>
      <c r="AK929">
        <v>0.47224721674171599</v>
      </c>
      <c r="AL929">
        <v>95.458716307792699</v>
      </c>
      <c r="AM929">
        <v>89.274443777802304</v>
      </c>
      <c r="AN929">
        <v>1.00000001522049</v>
      </c>
    </row>
    <row r="930" spans="1:40" x14ac:dyDescent="0.25">
      <c r="A930" t="str">
        <f>"20190303154437405"</f>
        <v>20190303154437405</v>
      </c>
      <c r="B930" t="str">
        <f>"1551599077401175"</f>
        <v>1551599077401175</v>
      </c>
      <c r="C930" t="s">
        <v>40</v>
      </c>
      <c r="D930">
        <v>4.5148349999999997</v>
      </c>
      <c r="E930">
        <v>0.52681630000000002</v>
      </c>
      <c r="F930" t="s">
        <v>42</v>
      </c>
      <c r="G930">
        <v>-236.34620000000001</v>
      </c>
      <c r="H930">
        <v>0.93331830000000005</v>
      </c>
      <c r="I930">
        <v>367.47489999999999</v>
      </c>
      <c r="J930">
        <v>-236.56549999999999</v>
      </c>
      <c r="K930">
        <v>1.120976</v>
      </c>
      <c r="L930">
        <v>367.53789999999998</v>
      </c>
      <c r="M930">
        <v>0.99990380000000001</v>
      </c>
      <c r="N930">
        <v>-1.369708E-2</v>
      </c>
      <c r="O930">
        <v>2.2268869999999999E-3</v>
      </c>
      <c r="P930">
        <v>0.99398200000000003</v>
      </c>
      <c r="Q930">
        <v>-0.1090455</v>
      </c>
      <c r="R930">
        <v>-1.0436040000000001E-2</v>
      </c>
      <c r="S930">
        <v>2.9305110000000001</v>
      </c>
      <c r="T930">
        <v>-0.77584249999999999</v>
      </c>
      <c r="U930">
        <v>-0.2541504</v>
      </c>
      <c r="V930">
        <v>1.264622E-2</v>
      </c>
      <c r="W930">
        <v>-9.5421500000000006E-2</v>
      </c>
      <c r="X930">
        <v>0.99535660000000004</v>
      </c>
      <c r="Y930">
        <v>8.5470770000000001E-2</v>
      </c>
      <c r="Z930">
        <v>-1.224809E-2</v>
      </c>
      <c r="AA930">
        <v>0.99626539999999997</v>
      </c>
      <c r="AB930">
        <v>24</v>
      </c>
      <c r="AC930">
        <v>0.21929999999997499</v>
      </c>
      <c r="AD930">
        <v>-0.18765770000000001</v>
      </c>
      <c r="AE930">
        <v>-6.2999999999988093E-2</v>
      </c>
      <c r="AF930">
        <v>3.7871333501640798E-2</v>
      </c>
      <c r="AG930">
        <v>-0.18765770000000001</v>
      </c>
      <c r="AH930">
        <v>0.13073048584491001</v>
      </c>
      <c r="AI930">
        <v>144.047156039475</v>
      </c>
      <c r="AJ930">
        <v>73.844218449874205</v>
      </c>
      <c r="AK930">
        <v>0.23181913251439901</v>
      </c>
      <c r="AL930">
        <v>95.475580330614093</v>
      </c>
      <c r="AM930">
        <v>89.272083945594005</v>
      </c>
      <c r="AN930">
        <v>0.99999997535304896</v>
      </c>
    </row>
    <row r="931" spans="1:40" x14ac:dyDescent="0.25">
      <c r="A931" t="str">
        <f>"20190303154437425"</f>
        <v>20190303154437425</v>
      </c>
      <c r="B931" t="str">
        <f>"1551599077420725"</f>
        <v>1551599077420725</v>
      </c>
      <c r="C931" t="s">
        <v>40</v>
      </c>
      <c r="D931">
        <v>4.4330809999999996</v>
      </c>
      <c r="E931">
        <v>0.52753030000000001</v>
      </c>
      <c r="F931" t="s">
        <v>42</v>
      </c>
      <c r="G931">
        <v>-235.7217</v>
      </c>
      <c r="H931">
        <v>0.89742949999999999</v>
      </c>
      <c r="I931">
        <v>367.46539999999999</v>
      </c>
      <c r="J931">
        <v>-236.33600000000001</v>
      </c>
      <c r="K931">
        <v>1.1209750000000001</v>
      </c>
      <c r="L931">
        <v>367.5385</v>
      </c>
      <c r="M931">
        <v>0.9999036</v>
      </c>
      <c r="N931">
        <v>-1.370677E-2</v>
      </c>
      <c r="O931">
        <v>2.2269989999999999E-3</v>
      </c>
      <c r="P931">
        <v>0.99394640000000001</v>
      </c>
      <c r="Q931">
        <v>-0.10932219999999999</v>
      </c>
      <c r="R931">
        <v>-1.0914429999999999E-2</v>
      </c>
      <c r="S931">
        <v>2.9303590000000002</v>
      </c>
      <c r="T931">
        <v>-0.77636229999999995</v>
      </c>
      <c r="U931">
        <v>-0.25149539999999998</v>
      </c>
      <c r="V931">
        <v>1.3124490000000001E-2</v>
      </c>
      <c r="W931">
        <v>-9.5689040000000003E-2</v>
      </c>
      <c r="X931">
        <v>0.99532469999999995</v>
      </c>
      <c r="Y931">
        <v>8.460579E-2</v>
      </c>
      <c r="Z931">
        <v>-1.2138609999999999E-2</v>
      </c>
      <c r="AA931">
        <v>0.99634060000000002</v>
      </c>
      <c r="AB931">
        <v>24</v>
      </c>
      <c r="AC931">
        <v>0.61429999999998497</v>
      </c>
      <c r="AD931">
        <v>-0.22354550000000001</v>
      </c>
      <c r="AE931">
        <v>-7.3100000000010795E-2</v>
      </c>
      <c r="AF931">
        <v>6.5867288766007906E-2</v>
      </c>
      <c r="AG931">
        <v>-0.22354550000000001</v>
      </c>
      <c r="AH931">
        <v>0.54320587806269305</v>
      </c>
      <c r="AI931">
        <v>112.221857885093</v>
      </c>
      <c r="AJ931">
        <v>83.086262294839003</v>
      </c>
      <c r="AK931">
        <v>0.59108689400247705</v>
      </c>
      <c r="AL931">
        <v>95.490979840771104</v>
      </c>
      <c r="AM931">
        <v>89.244533661621205</v>
      </c>
      <c r="AN931">
        <v>0.99999995152198395</v>
      </c>
    </row>
    <row r="932" spans="1:40" x14ac:dyDescent="0.25">
      <c r="A932" t="str">
        <f>"20190303154437449"</f>
        <v>20190303154437449</v>
      </c>
      <c r="B932" t="str">
        <f>"1551599077441221"</f>
        <v>1551599077441221</v>
      </c>
      <c r="C932" t="s">
        <v>40</v>
      </c>
      <c r="D932">
        <v>4.6179489999999896</v>
      </c>
      <c r="E932">
        <v>0.5311804</v>
      </c>
      <c r="F932" t="s">
        <v>42</v>
      </c>
      <c r="G932">
        <v>-235.4717</v>
      </c>
      <c r="H932">
        <v>0.97411689999999995</v>
      </c>
      <c r="I932">
        <v>367.46370000000002</v>
      </c>
      <c r="J932">
        <v>-236.0925</v>
      </c>
      <c r="K932">
        <v>1.1209769999999999</v>
      </c>
      <c r="L932">
        <v>367.53899999999999</v>
      </c>
      <c r="M932">
        <v>0.99990349999999995</v>
      </c>
      <c r="N932">
        <v>-1.371522E-2</v>
      </c>
      <c r="O932">
        <v>2.2271190000000001E-3</v>
      </c>
      <c r="P932">
        <v>0.99396249999999997</v>
      </c>
      <c r="Q932">
        <v>-0.1091443</v>
      </c>
      <c r="R932">
        <v>-1.1225519999999999E-2</v>
      </c>
      <c r="S932">
        <v>2.9601139999999999</v>
      </c>
      <c r="T932">
        <v>-0.50324340000000001</v>
      </c>
      <c r="U932">
        <v>-0.2550964</v>
      </c>
      <c r="V932">
        <v>1.343568E-2</v>
      </c>
      <c r="W932">
        <v>-9.5502509999999999E-2</v>
      </c>
      <c r="X932">
        <v>0.99533850000000001</v>
      </c>
      <c r="Y932">
        <v>8.67148999999999E-2</v>
      </c>
      <c r="Z932">
        <v>-8.2506669999999997E-3</v>
      </c>
      <c r="AA932">
        <v>0.99619899999999995</v>
      </c>
      <c r="AB932">
        <v>24</v>
      </c>
      <c r="AC932">
        <v>0.62080000000000202</v>
      </c>
      <c r="AD932">
        <v>-0.14686009999999999</v>
      </c>
      <c r="AE932">
        <v>-7.5299999999970099E-2</v>
      </c>
      <c r="AF932">
        <v>7.2674400656253094E-2</v>
      </c>
      <c r="AG932">
        <v>-0.14686009999999999</v>
      </c>
      <c r="AH932">
        <v>0.58819084488039297</v>
      </c>
      <c r="AI932">
        <v>103.917371505658</v>
      </c>
      <c r="AJ932">
        <v>82.956470636341805</v>
      </c>
      <c r="AK932">
        <v>0.61058818157893102</v>
      </c>
      <c r="AL932">
        <v>95.480243085725903</v>
      </c>
      <c r="AM932">
        <v>89.226633946289397</v>
      </c>
      <c r="AN932">
        <v>0.999999988247806</v>
      </c>
    </row>
    <row r="933" spans="1:40" x14ac:dyDescent="0.25">
      <c r="A933" t="str">
        <f>"20190303154437469"</f>
        <v>20190303154437469</v>
      </c>
      <c r="B933" t="str">
        <f>"1551599077460740"</f>
        <v>1551599077460740</v>
      </c>
      <c r="C933" t="s">
        <v>40</v>
      </c>
      <c r="D933">
        <v>4.5824829999999999</v>
      </c>
      <c r="E933">
        <v>0.53112320000000002</v>
      </c>
      <c r="F933" t="s">
        <v>41</v>
      </c>
      <c r="G933">
        <v>-216.18090000000001</v>
      </c>
      <c r="H933" s="1">
        <v>-2.333878E-6</v>
      </c>
      <c r="I933">
        <v>365.67720000000003</v>
      </c>
      <c r="J933">
        <v>-235.87</v>
      </c>
      <c r="K933">
        <v>1.1209830000000001</v>
      </c>
      <c r="L933">
        <v>367.53949999999998</v>
      </c>
      <c r="M933">
        <v>0.9999034</v>
      </c>
      <c r="N933">
        <v>-1.372163E-2</v>
      </c>
      <c r="O933">
        <v>2.2270749999999998E-3</v>
      </c>
      <c r="P933">
        <v>0.99402599999999997</v>
      </c>
      <c r="Q933">
        <v>-0.10856200000000001</v>
      </c>
      <c r="R933">
        <v>-1.125755E-2</v>
      </c>
      <c r="S933">
        <v>2.996521</v>
      </c>
      <c r="T933">
        <v>-0.1686966</v>
      </c>
      <c r="U933">
        <v>-0.28018189999999998</v>
      </c>
      <c r="V933">
        <v>1.346786E-2</v>
      </c>
      <c r="W933">
        <v>-9.4912949999999996E-2</v>
      </c>
      <c r="X933">
        <v>0.99539449999999996</v>
      </c>
      <c r="Y933">
        <v>9.5125650000000006E-2</v>
      </c>
      <c r="Z933">
        <v>-3.419006E-3</v>
      </c>
      <c r="AA933">
        <v>0.99545939999999999</v>
      </c>
      <c r="AB933">
        <v>24</v>
      </c>
      <c r="AC933">
        <v>19.6891</v>
      </c>
      <c r="AD933">
        <v>-1.120985333878</v>
      </c>
      <c r="AE933">
        <v>-1.8622999999999399</v>
      </c>
      <c r="AF933">
        <v>1.9000441998559701</v>
      </c>
      <c r="AG933">
        <v>-1.120985333878</v>
      </c>
      <c r="AH933">
        <v>19.621862699962701</v>
      </c>
      <c r="AI933">
        <v>93.2545299452065</v>
      </c>
      <c r="AJ933">
        <v>84.469120700241703</v>
      </c>
      <c r="AK933">
        <v>19.7454873805729</v>
      </c>
      <c r="AL933">
        <v>95.446309406440605</v>
      </c>
      <c r="AM933">
        <v>89.224825479113505</v>
      </c>
      <c r="AN933">
        <v>1.00000003098046</v>
      </c>
    </row>
    <row r="934" spans="1:40" x14ac:dyDescent="0.25">
      <c r="A934" t="str">
        <f>"20190303154437491"</f>
        <v>20190303154437491</v>
      </c>
      <c r="B934" t="str">
        <f>"1551599077481236"</f>
        <v>1551599077481236</v>
      </c>
      <c r="C934" t="s">
        <v>40</v>
      </c>
      <c r="D934">
        <v>4.5862980000000002</v>
      </c>
      <c r="E934">
        <v>0.53193100000000004</v>
      </c>
      <c r="F934" t="s">
        <v>50</v>
      </c>
      <c r="G934">
        <v>-207.65389999999999</v>
      </c>
      <c r="H934" s="1">
        <v>-5.2328409999999998E-6</v>
      </c>
      <c r="I934">
        <v>364.91820000000001</v>
      </c>
      <c r="J934">
        <v>-235.6258</v>
      </c>
      <c r="K934">
        <v>1.120987</v>
      </c>
      <c r="L934">
        <v>367.5401</v>
      </c>
      <c r="M934">
        <v>0.9999034</v>
      </c>
      <c r="N934">
        <v>-1.3727400000000001E-2</v>
      </c>
      <c r="O934">
        <v>2.2272139999999999E-3</v>
      </c>
      <c r="P934">
        <v>0.99408890000000005</v>
      </c>
      <c r="Q934">
        <v>-0.10798969999999999</v>
      </c>
      <c r="R934">
        <v>-1.120872E-2</v>
      </c>
      <c r="S934">
        <v>3.001846</v>
      </c>
      <c r="T934">
        <v>-0.1192594</v>
      </c>
      <c r="U934">
        <v>-0.2788696</v>
      </c>
      <c r="V934">
        <v>1.3419439999999999E-2</v>
      </c>
      <c r="W934">
        <v>-9.4334189999999998E-2</v>
      </c>
      <c r="X934">
        <v>0.9954501</v>
      </c>
      <c r="Y934">
        <v>9.4618190000000005E-2</v>
      </c>
      <c r="Z934">
        <v>-2.5837149999999999E-3</v>
      </c>
      <c r="AA934">
        <v>0.99551029999999996</v>
      </c>
      <c r="AB934">
        <v>24</v>
      </c>
      <c r="AC934">
        <v>27.971900000000002</v>
      </c>
      <c r="AD934">
        <v>-1.120992232841</v>
      </c>
      <c r="AE934">
        <v>-2.6218999999999801</v>
      </c>
      <c r="AF934">
        <v>2.6799321267992999</v>
      </c>
      <c r="AG934">
        <v>-1.120992232841</v>
      </c>
      <c r="AH934">
        <v>27.9215374760721</v>
      </c>
      <c r="AI934">
        <v>92.288566758031905</v>
      </c>
      <c r="AJ934">
        <v>84.517498324783801</v>
      </c>
      <c r="AK934">
        <v>28.072244563234399</v>
      </c>
      <c r="AL934">
        <v>95.412999822924704</v>
      </c>
      <c r="AM934">
        <v>89.227655204269297</v>
      </c>
      <c r="AN934">
        <v>0.99999996118143897</v>
      </c>
    </row>
    <row r="935" spans="1:40" x14ac:dyDescent="0.25">
      <c r="A935" t="str">
        <f>"20190303154437515"</f>
        <v>20190303154437515</v>
      </c>
      <c r="B935" t="str">
        <f>"1551599077511323"</f>
        <v>1551599077511323</v>
      </c>
      <c r="C935" t="s">
        <v>40</v>
      </c>
      <c r="D935">
        <v>4.6193850000000003</v>
      </c>
      <c r="E935">
        <v>0.53104910000000005</v>
      </c>
      <c r="F935" t="s">
        <v>50</v>
      </c>
      <c r="G935">
        <v>-199.58359999999999</v>
      </c>
      <c r="H935" s="1">
        <v>-9.5593050000000005E-6</v>
      </c>
      <c r="I935">
        <v>364.12040000000002</v>
      </c>
      <c r="J935">
        <v>-235.39189999999999</v>
      </c>
      <c r="K935">
        <v>1.1209880000000001</v>
      </c>
      <c r="L935">
        <v>367.54059999999998</v>
      </c>
      <c r="M935">
        <v>0.99990330000000005</v>
      </c>
      <c r="N935">
        <v>-1.373186E-2</v>
      </c>
      <c r="O935">
        <v>2.227302E-3</v>
      </c>
      <c r="P935">
        <v>0.99412279999999997</v>
      </c>
      <c r="Q935">
        <v>-0.1076954</v>
      </c>
      <c r="R935">
        <v>-1.102798E-2</v>
      </c>
      <c r="S935">
        <v>3.0044710000000001</v>
      </c>
      <c r="T935">
        <v>-9.3446020000000005E-2</v>
      </c>
      <c r="U935">
        <v>-0.2850647</v>
      </c>
      <c r="V935">
        <v>1.323883E-2</v>
      </c>
      <c r="W935">
        <v>-9.4034980000000004E-2</v>
      </c>
      <c r="X935">
        <v>0.9954809</v>
      </c>
      <c r="Y935">
        <v>9.6606040000000004E-2</v>
      </c>
      <c r="Z935">
        <v>-2.2022389999999999E-3</v>
      </c>
      <c r="AA935">
        <v>0.99532030000000005</v>
      </c>
      <c r="AB935">
        <v>24</v>
      </c>
      <c r="AC935">
        <v>35.808300000000003</v>
      </c>
      <c r="AD935">
        <v>-1.1209975593049999</v>
      </c>
      <c r="AE935">
        <v>-3.4201999999999599</v>
      </c>
      <c r="AF935">
        <v>3.4965591547102801</v>
      </c>
      <c r="AG935">
        <v>-1.1209975593049999</v>
      </c>
      <c r="AH935">
        <v>35.765857692196199</v>
      </c>
      <c r="AI935">
        <v>91.786702803047007</v>
      </c>
      <c r="AJ935">
        <v>84.4163655929096</v>
      </c>
      <c r="AK935">
        <v>35.953847331110197</v>
      </c>
      <c r="AL935">
        <v>95.395779415136204</v>
      </c>
      <c r="AM935">
        <v>89.238072401756497</v>
      </c>
      <c r="AN935">
        <v>1.0000000331740799</v>
      </c>
    </row>
    <row r="936" spans="1:40" x14ac:dyDescent="0.25">
      <c r="A936" t="str">
        <f>"20190303154437548"</f>
        <v>20190303154437548</v>
      </c>
      <c r="B936" t="str">
        <f>"1551599077541582"</f>
        <v>1551599077541582</v>
      </c>
      <c r="C936" t="s">
        <v>40</v>
      </c>
      <c r="D936">
        <v>4.6098210000000002</v>
      </c>
      <c r="E936">
        <v>0.53059199999999995</v>
      </c>
      <c r="F936" t="s">
        <v>50</v>
      </c>
      <c r="G936">
        <v>-198.97970000000001</v>
      </c>
      <c r="H936" s="1">
        <v>-9.3311609999999997E-6</v>
      </c>
      <c r="I936">
        <v>364.18029999999999</v>
      </c>
      <c r="J936">
        <v>-235.03579999999999</v>
      </c>
      <c r="K936">
        <v>1.120997</v>
      </c>
      <c r="L936">
        <v>367.54140000000001</v>
      </c>
      <c r="M936">
        <v>0.99990279999999998</v>
      </c>
      <c r="N936">
        <v>-1.3758619999999999E-2</v>
      </c>
      <c r="O936">
        <v>2.227475E-3</v>
      </c>
      <c r="P936">
        <v>0.9940909</v>
      </c>
      <c r="Q936">
        <v>-0.1080728</v>
      </c>
      <c r="R936">
        <v>-1.017562E-2</v>
      </c>
      <c r="S936">
        <v>3.0046390000000001</v>
      </c>
      <c r="T936">
        <v>-9.2501760000000002E-2</v>
      </c>
      <c r="U936">
        <v>-0.27728269999999999</v>
      </c>
      <c r="V936">
        <v>1.2386619999999999E-2</v>
      </c>
      <c r="W936">
        <v>-9.4386100000000001E-2</v>
      </c>
      <c r="X936">
        <v>0.99545859999999997</v>
      </c>
      <c r="Y936">
        <v>9.4048049999999994E-2</v>
      </c>
      <c r="Z936">
        <v>-2.1307330000000001E-3</v>
      </c>
      <c r="AA936">
        <v>0.99556540000000004</v>
      </c>
      <c r="AB936">
        <v>24</v>
      </c>
      <c r="AC936">
        <v>36.056100000000001</v>
      </c>
      <c r="AD936">
        <v>-1.1210063311609999</v>
      </c>
      <c r="AE936">
        <v>-3.36110000000002</v>
      </c>
      <c r="AF936">
        <v>3.4381185838059198</v>
      </c>
      <c r="AG936">
        <v>-1.1210063311609999</v>
      </c>
      <c r="AH936">
        <v>36.014010867693798</v>
      </c>
      <c r="AI936">
        <v>91.7748031919471</v>
      </c>
      <c r="AJ936">
        <v>84.546719723701003</v>
      </c>
      <c r="AK936">
        <v>36.195114219590202</v>
      </c>
      <c r="AL936">
        <v>95.415987197293205</v>
      </c>
      <c r="AM936">
        <v>89.287098003053998</v>
      </c>
      <c r="AN936">
        <v>0.99999999427109698</v>
      </c>
    </row>
    <row r="937" spans="1:40" x14ac:dyDescent="0.25">
      <c r="A937" t="str">
        <f>"20190303154437570"</f>
        <v>20190303154437570</v>
      </c>
      <c r="B937" t="str">
        <f>"1551599077561100"</f>
        <v>1551599077561100</v>
      </c>
      <c r="C937" t="s">
        <v>40</v>
      </c>
      <c r="D937">
        <v>4.6418229999999996</v>
      </c>
      <c r="E937">
        <v>0.53028850000000005</v>
      </c>
      <c r="F937" t="s">
        <v>50</v>
      </c>
      <c r="G937">
        <v>-200.309</v>
      </c>
      <c r="H937" s="1">
        <v>-1.5641289999999999E-6</v>
      </c>
      <c r="I937">
        <v>364.4049</v>
      </c>
      <c r="J937">
        <v>-234.8021</v>
      </c>
      <c r="K937">
        <v>1.1210340000000001</v>
      </c>
      <c r="L937">
        <v>367.5419</v>
      </c>
      <c r="M937">
        <v>0.99990109999999999</v>
      </c>
      <c r="N937">
        <v>-1.3896500000000001E-2</v>
      </c>
      <c r="O937">
        <v>2.2275300000000001E-3</v>
      </c>
      <c r="P937">
        <v>0.99397210000000003</v>
      </c>
      <c r="Q937">
        <v>-0.1091724</v>
      </c>
      <c r="R937">
        <v>-1.005386E-2</v>
      </c>
      <c r="S937">
        <v>3.0045009999999999</v>
      </c>
      <c r="T937">
        <v>-9.6986890000000006E-2</v>
      </c>
      <c r="U937">
        <v>-0.2713623</v>
      </c>
      <c r="V937">
        <v>1.2264600000000001E-2</v>
      </c>
      <c r="W937">
        <v>-9.5350000000000004E-2</v>
      </c>
      <c r="X937">
        <v>0.99536820000000004</v>
      </c>
      <c r="Y937">
        <v>9.2102320000000001E-2</v>
      </c>
      <c r="Z937">
        <v>-2.1655250000000002E-3</v>
      </c>
      <c r="AA937">
        <v>0.99574720000000005</v>
      </c>
      <c r="AB937">
        <v>24</v>
      </c>
      <c r="AC937">
        <v>34.493099999999899</v>
      </c>
      <c r="AD937">
        <v>-1.121035564129</v>
      </c>
      <c r="AE937">
        <v>-3.137</v>
      </c>
      <c r="AF937">
        <v>3.2104707389937102</v>
      </c>
      <c r="AG937">
        <v>-1.121035564129</v>
      </c>
      <c r="AH937">
        <v>34.449936094250603</v>
      </c>
      <c r="AI937">
        <v>91.855769171352193</v>
      </c>
      <c r="AJ937">
        <v>84.675848823421106</v>
      </c>
      <c r="AK937">
        <v>34.617364717724101</v>
      </c>
      <c r="AL937">
        <v>95.471465066362796</v>
      </c>
      <c r="AM937">
        <v>89.294055950337594</v>
      </c>
      <c r="AN937">
        <v>0.99999994824219796</v>
      </c>
    </row>
    <row r="938" spans="1:40" x14ac:dyDescent="0.25">
      <c r="A938" t="str">
        <f>"20190303154437593"</f>
        <v>20190303154437593</v>
      </c>
      <c r="B938" t="str">
        <f>"1551599077581596"</f>
        <v>1551599077581596</v>
      </c>
      <c r="C938" t="s">
        <v>40</v>
      </c>
      <c r="D938">
        <v>4.6503319999999997</v>
      </c>
      <c r="E938">
        <v>0.52998480000000003</v>
      </c>
      <c r="F938" t="s">
        <v>50</v>
      </c>
      <c r="G938">
        <v>-202.15119999999999</v>
      </c>
      <c r="H938" s="1">
        <v>-2.5965710000000001E-6</v>
      </c>
      <c r="I938">
        <v>364.62270000000001</v>
      </c>
      <c r="J938">
        <v>-234.56290000000001</v>
      </c>
      <c r="K938">
        <v>1.1211070000000001</v>
      </c>
      <c r="L938">
        <v>367.54239999999999</v>
      </c>
      <c r="M938">
        <v>0.99989680000000003</v>
      </c>
      <c r="N938">
        <v>-1.4191280000000001E-2</v>
      </c>
      <c r="O938">
        <v>2.227298E-3</v>
      </c>
      <c r="P938">
        <v>0.99389099999999997</v>
      </c>
      <c r="Q938">
        <v>-0.1099014</v>
      </c>
      <c r="R938">
        <v>-1.009822E-2</v>
      </c>
      <c r="S938">
        <v>3.0041500000000001</v>
      </c>
      <c r="T938">
        <v>-0.10314429999999999</v>
      </c>
      <c r="U938">
        <v>-0.26858520000000002</v>
      </c>
      <c r="V938">
        <v>1.2308619999999999E-2</v>
      </c>
      <c r="W938">
        <v>-9.5786650000000001E-2</v>
      </c>
      <c r="X938">
        <v>0.99532580000000004</v>
      </c>
      <c r="Y938">
        <v>9.1192040000000002E-2</v>
      </c>
      <c r="Z938">
        <v>-2.2553299999999998E-3</v>
      </c>
      <c r="AA938">
        <v>0.99583080000000002</v>
      </c>
      <c r="AB938">
        <v>24</v>
      </c>
      <c r="AC938">
        <v>32.411700000000003</v>
      </c>
      <c r="AD938">
        <v>-1.1211095965710001</v>
      </c>
      <c r="AE938">
        <v>-2.91969999999997</v>
      </c>
      <c r="AF938">
        <v>2.9883439350563501</v>
      </c>
      <c r="AG938">
        <v>-1.1211095965710001</v>
      </c>
      <c r="AH938">
        <v>32.366702644093401</v>
      </c>
      <c r="AI938">
        <v>91.975408461094602</v>
      </c>
      <c r="AJ938">
        <v>84.724966104002803</v>
      </c>
      <c r="AK938">
        <v>32.523691768507398</v>
      </c>
      <c r="AL938">
        <v>95.496597932838696</v>
      </c>
      <c r="AM938">
        <v>89.291492262207598</v>
      </c>
      <c r="AN938">
        <v>1.00000001629508</v>
      </c>
    </row>
    <row r="939" spans="1:40" x14ac:dyDescent="0.25">
      <c r="A939" t="str">
        <f>"20190303154437614"</f>
        <v>20190303154437614</v>
      </c>
      <c r="B939" t="str">
        <f>"1551599077610876"</f>
        <v>1551599077610876</v>
      </c>
      <c r="C939" t="s">
        <v>40</v>
      </c>
      <c r="D939">
        <v>4.6641500000000002</v>
      </c>
      <c r="E939">
        <v>0.52973579999999998</v>
      </c>
      <c r="F939" t="s">
        <v>50</v>
      </c>
      <c r="G939">
        <v>-203.5479</v>
      </c>
      <c r="H939" s="1">
        <v>-3.293189E-6</v>
      </c>
      <c r="I939">
        <v>364.79500000000002</v>
      </c>
      <c r="J939">
        <v>-234.3391</v>
      </c>
      <c r="K939">
        <v>1.1211899999999999</v>
      </c>
      <c r="L939">
        <v>367.54289999999997</v>
      </c>
      <c r="M939">
        <v>0.99989130000000004</v>
      </c>
      <c r="N939">
        <v>-1.458125E-2</v>
      </c>
      <c r="O939">
        <v>2.2268629999999999E-3</v>
      </c>
      <c r="P939">
        <v>0.99375329999999995</v>
      </c>
      <c r="Q939">
        <v>-0.1111113</v>
      </c>
      <c r="R939">
        <v>-1.045312E-2</v>
      </c>
      <c r="S939">
        <v>3.0037229999999999</v>
      </c>
      <c r="T939">
        <v>-0.10857650000000001</v>
      </c>
      <c r="U939">
        <v>-0.26608280000000001</v>
      </c>
      <c r="V939">
        <v>1.266246E-2</v>
      </c>
      <c r="W939">
        <v>-9.6610199999999993E-2</v>
      </c>
      <c r="X939">
        <v>0.99524179999999995</v>
      </c>
      <c r="Y939">
        <v>9.0374090000000004E-2</v>
      </c>
      <c r="Z939">
        <v>-2.3380879999999999E-3</v>
      </c>
      <c r="AA939">
        <v>0.99590520000000005</v>
      </c>
      <c r="AB939">
        <v>24</v>
      </c>
      <c r="AC939">
        <v>30.7912</v>
      </c>
      <c r="AD939">
        <v>-1.1211932931890001</v>
      </c>
      <c r="AE939">
        <v>-2.7478999999999498</v>
      </c>
      <c r="AF939">
        <v>2.8127682973594599</v>
      </c>
      <c r="AG939">
        <v>-1.1211932931890001</v>
      </c>
      <c r="AH939">
        <v>30.744561951490901</v>
      </c>
      <c r="AI939">
        <v>92.079859573272202</v>
      </c>
      <c r="AJ939">
        <v>84.772657505945403</v>
      </c>
      <c r="AK939">
        <v>30.893313669536798</v>
      </c>
      <c r="AL939">
        <v>95.544003519618201</v>
      </c>
      <c r="AM939">
        <v>89.271065209418595</v>
      </c>
      <c r="AN939">
        <v>1.00000005455226</v>
      </c>
    </row>
    <row r="940" spans="1:40" x14ac:dyDescent="0.25">
      <c r="A940" t="str">
        <f>"20190303154437637"</f>
        <v>20190303154437637</v>
      </c>
      <c r="B940" t="str">
        <f>"1551599077631371"</f>
        <v>1551599077631371</v>
      </c>
      <c r="C940" t="s">
        <v>40</v>
      </c>
      <c r="D940">
        <v>4.6916460000000004</v>
      </c>
      <c r="E940">
        <v>0.52961440000000004</v>
      </c>
      <c r="F940" t="s">
        <v>50</v>
      </c>
      <c r="G940">
        <v>-205.17099999999999</v>
      </c>
      <c r="H940" s="1">
        <v>-4.0653330000000001E-6</v>
      </c>
      <c r="I940">
        <v>364.96749999999997</v>
      </c>
      <c r="J940">
        <v>-234.10300000000001</v>
      </c>
      <c r="K940">
        <v>1.1213029999999999</v>
      </c>
      <c r="L940">
        <v>367.54349999999999</v>
      </c>
      <c r="M940">
        <v>0.99988330000000003</v>
      </c>
      <c r="N940">
        <v>-1.512144E-2</v>
      </c>
      <c r="O940">
        <v>2.2265269999999998E-3</v>
      </c>
      <c r="P940">
        <v>0.9936237</v>
      </c>
      <c r="Q940">
        <v>-0.1122039</v>
      </c>
      <c r="R940">
        <v>-1.1074799999999999E-2</v>
      </c>
      <c r="S940">
        <v>3.0031590000000001</v>
      </c>
      <c r="T940">
        <v>-0.1154385</v>
      </c>
      <c r="U940">
        <v>-0.26516719999999999</v>
      </c>
      <c r="V940">
        <v>1.32835E-2</v>
      </c>
      <c r="W940">
        <v>-9.716698E-2</v>
      </c>
      <c r="X940">
        <v>0.99517940000000005</v>
      </c>
      <c r="Y940">
        <v>9.0079099999999995E-2</v>
      </c>
      <c r="Z940">
        <v>-2.4618460000000002E-3</v>
      </c>
      <c r="AA940">
        <v>0.99593160000000003</v>
      </c>
      <c r="AB940">
        <v>23</v>
      </c>
      <c r="AC940">
        <v>28.931999999999899</v>
      </c>
      <c r="AD940">
        <v>-1.121307065333</v>
      </c>
      <c r="AE940">
        <v>-2.5760000000000201</v>
      </c>
      <c r="AF940">
        <v>2.6364897880506399</v>
      </c>
      <c r="AG940">
        <v>-1.121307065333</v>
      </c>
      <c r="AH940">
        <v>28.8831485928091</v>
      </c>
      <c r="AI940">
        <v>92.214035515439903</v>
      </c>
      <c r="AJ940">
        <v>84.784423672474304</v>
      </c>
      <c r="AK940">
        <v>29.024897597951199</v>
      </c>
      <c r="AL940">
        <v>95.576056011817997</v>
      </c>
      <c r="AM940">
        <v>89.235270251547007</v>
      </c>
      <c r="AN940">
        <v>0.99999995577946399</v>
      </c>
    </row>
    <row r="941" spans="1:40" x14ac:dyDescent="0.25">
      <c r="A941" t="str">
        <f>"20190303154437658"</f>
        <v>20190303154437658</v>
      </c>
      <c r="B941" t="str">
        <f>"1551599077650892"</f>
        <v>1551599077650892</v>
      </c>
      <c r="C941" t="s">
        <v>40</v>
      </c>
      <c r="D941">
        <v>4.7239959999999996</v>
      </c>
      <c r="E941">
        <v>0.52961550000000002</v>
      </c>
      <c r="F941" t="s">
        <v>50</v>
      </c>
      <c r="G941">
        <v>-206.26259999999999</v>
      </c>
      <c r="H941" s="1">
        <v>-4.5501190000000002E-6</v>
      </c>
      <c r="I941">
        <v>365.07440000000003</v>
      </c>
      <c r="J941">
        <v>-233.88130000000001</v>
      </c>
      <c r="K941">
        <v>1.1214219999999999</v>
      </c>
      <c r="L941">
        <v>367.54390000000001</v>
      </c>
      <c r="M941">
        <v>0.99987389999999998</v>
      </c>
      <c r="N941">
        <v>-1.573374E-2</v>
      </c>
      <c r="O941">
        <v>2.226132E-3</v>
      </c>
      <c r="P941">
        <v>0.99356719999999998</v>
      </c>
      <c r="Q941">
        <v>-0.112729</v>
      </c>
      <c r="R941">
        <v>-1.0796190000000001E-2</v>
      </c>
      <c r="S941">
        <v>3.00264</v>
      </c>
      <c r="T941">
        <v>-0.1209348</v>
      </c>
      <c r="U941">
        <v>-0.26629639999999999</v>
      </c>
      <c r="V941">
        <v>1.300452E-2</v>
      </c>
      <c r="W941">
        <v>-9.7083439999999993E-2</v>
      </c>
      <c r="X941">
        <v>0.9951913</v>
      </c>
      <c r="Y941">
        <v>9.0456079999999994E-2</v>
      </c>
      <c r="Z941">
        <v>-2.5852560000000002E-3</v>
      </c>
      <c r="AA941">
        <v>0.99589709999999998</v>
      </c>
      <c r="AB941">
        <v>23</v>
      </c>
      <c r="AC941">
        <v>27.6187</v>
      </c>
      <c r="AD941">
        <v>-1.1214265501189999</v>
      </c>
      <c r="AE941">
        <v>-2.46949999999998</v>
      </c>
      <c r="AF941">
        <v>2.5268514368178399</v>
      </c>
      <c r="AG941">
        <v>-1.1214265501189999</v>
      </c>
      <c r="AH941">
        <v>27.568043167554499</v>
      </c>
      <c r="AI941">
        <v>92.319708638297996</v>
      </c>
      <c r="AJ941">
        <v>84.762975682517293</v>
      </c>
      <c r="AK941">
        <v>27.706309385755599</v>
      </c>
      <c r="AL941">
        <v>95.571246438749299</v>
      </c>
      <c r="AM941">
        <v>89.251338205377706</v>
      </c>
      <c r="AN941">
        <v>1.0000000177291699</v>
      </c>
    </row>
    <row r="942" spans="1:40" x14ac:dyDescent="0.25">
      <c r="A942" t="str">
        <f>"20190303154437682"</f>
        <v>20190303154437682</v>
      </c>
      <c r="B942" t="str">
        <f>"1551599077671388"</f>
        <v>1551599077671388</v>
      </c>
      <c r="C942" t="s">
        <v>40</v>
      </c>
      <c r="D942">
        <v>4.7335529999999997</v>
      </c>
      <c r="E942">
        <v>0.52957580000000004</v>
      </c>
      <c r="F942" t="s">
        <v>50</v>
      </c>
      <c r="G942">
        <v>-206.7354</v>
      </c>
      <c r="H942" s="1">
        <v>-4.7541949999999998E-6</v>
      </c>
      <c r="I942">
        <v>365.14729999999997</v>
      </c>
      <c r="J942">
        <v>-233.6446</v>
      </c>
      <c r="K942">
        <v>1.121545</v>
      </c>
      <c r="L942">
        <v>367.54450000000003</v>
      </c>
      <c r="M942">
        <v>0.99986249999999999</v>
      </c>
      <c r="N942">
        <v>-1.6440199999999999E-2</v>
      </c>
      <c r="O942">
        <v>2.2258450000000002E-3</v>
      </c>
      <c r="P942">
        <v>0.99341950000000001</v>
      </c>
      <c r="Q942">
        <v>-0.1140499</v>
      </c>
      <c r="R942">
        <v>-1.052899E-2</v>
      </c>
      <c r="S942">
        <v>3.002472</v>
      </c>
      <c r="T942">
        <v>-0.1240354</v>
      </c>
      <c r="U942">
        <v>-0.26507570000000003</v>
      </c>
      <c r="V942">
        <v>1.2736549999999999E-2</v>
      </c>
      <c r="W942">
        <v>-9.7703399999999996E-2</v>
      </c>
      <c r="X942">
        <v>0.99513410000000002</v>
      </c>
      <c r="Y942">
        <v>9.0053599999999998E-2</v>
      </c>
      <c r="Z942">
        <v>-2.6531060000000001E-3</v>
      </c>
      <c r="AA942">
        <v>0.99593339999999997</v>
      </c>
      <c r="AB942">
        <v>23</v>
      </c>
      <c r="AC942">
        <v>26.909199999999998</v>
      </c>
      <c r="AD942">
        <v>-1.1215497541949999</v>
      </c>
      <c r="AE942">
        <v>-2.39720000000005</v>
      </c>
      <c r="AF942">
        <v>2.4528704198993898</v>
      </c>
      <c r="AG942">
        <v>-1.1215497541949999</v>
      </c>
      <c r="AH942">
        <v>26.857508824781799</v>
      </c>
      <c r="AI942">
        <v>92.381340881246004</v>
      </c>
      <c r="AJ942">
        <v>84.781708075269606</v>
      </c>
      <c r="AK942">
        <v>26.992595788867401</v>
      </c>
      <c r="AL942">
        <v>95.606937161609196</v>
      </c>
      <c r="AM942">
        <v>89.266721221128094</v>
      </c>
      <c r="AN942">
        <v>1.00000002553013</v>
      </c>
    </row>
    <row r="943" spans="1:40" x14ac:dyDescent="0.25">
      <c r="A943" t="str">
        <f>"20190303154437703"</f>
        <v>20190303154437703</v>
      </c>
      <c r="B943" t="str">
        <f>"1551599077701644"</f>
        <v>1551599077701644</v>
      </c>
      <c r="C943" t="s">
        <v>40</v>
      </c>
      <c r="D943">
        <v>4.744783</v>
      </c>
      <c r="E943">
        <v>0.52960869999999904</v>
      </c>
      <c r="F943" t="s">
        <v>50</v>
      </c>
      <c r="G943">
        <v>-207.6354</v>
      </c>
      <c r="H943" s="1">
        <v>-5.148893E-6</v>
      </c>
      <c r="I943">
        <v>365.25810000000001</v>
      </c>
      <c r="J943">
        <v>-233.42330000000001</v>
      </c>
      <c r="K943">
        <v>1.12164</v>
      </c>
      <c r="L943">
        <v>367.54500000000002</v>
      </c>
      <c r="M943">
        <v>0.9998513</v>
      </c>
      <c r="N943">
        <v>-1.710068E-2</v>
      </c>
      <c r="O943">
        <v>2.2254660000000002E-3</v>
      </c>
      <c r="P943">
        <v>0.9932936</v>
      </c>
      <c r="Q943">
        <v>-0.1151684</v>
      </c>
      <c r="R943">
        <v>-1.0208500000000001E-2</v>
      </c>
      <c r="S943">
        <v>3.0021969999999998</v>
      </c>
      <c r="T943">
        <v>-0.12945879999999901</v>
      </c>
      <c r="U943">
        <v>-0.26391599999999998</v>
      </c>
      <c r="V943">
        <v>1.241564E-2</v>
      </c>
      <c r="W943">
        <v>-9.8166429999999999E-2</v>
      </c>
      <c r="X943">
        <v>0.99509259999999999</v>
      </c>
      <c r="Y943">
        <v>8.9670459999999994E-2</v>
      </c>
      <c r="Z943">
        <v>-2.7552459999999998E-3</v>
      </c>
      <c r="AA943">
        <v>0.99596770000000001</v>
      </c>
      <c r="AB943">
        <v>23</v>
      </c>
      <c r="AC943">
        <v>25.7879</v>
      </c>
      <c r="AD943">
        <v>-1.1216451488929999</v>
      </c>
      <c r="AE943">
        <v>-2.2869000000000002</v>
      </c>
      <c r="AF943">
        <v>2.3399007012125401</v>
      </c>
      <c r="AG943">
        <v>-1.1216451488929999</v>
      </c>
      <c r="AH943">
        <v>25.734441005359699</v>
      </c>
      <c r="AI943">
        <v>92.485438363045802</v>
      </c>
      <c r="AJ943">
        <v>84.804674432484106</v>
      </c>
      <c r="AK943">
        <v>25.8649314128205</v>
      </c>
      <c r="AL943">
        <v>95.633594896796396</v>
      </c>
      <c r="AM943">
        <v>89.285165157293605</v>
      </c>
      <c r="AN943">
        <v>1.00000003933515</v>
      </c>
    </row>
    <row r="944" spans="1:40" x14ac:dyDescent="0.25">
      <c r="A944" t="str">
        <f>"20190303154437726"</f>
        <v>20190303154437726</v>
      </c>
      <c r="B944" t="str">
        <f>"1551599077721167"</f>
        <v>1551599077721167</v>
      </c>
      <c r="C944" t="s">
        <v>40</v>
      </c>
      <c r="D944">
        <v>4.7436439999999997</v>
      </c>
      <c r="E944">
        <v>0.52969290000000002</v>
      </c>
      <c r="F944" t="s">
        <v>50</v>
      </c>
      <c r="G944">
        <v>-208.5446</v>
      </c>
      <c r="H944" s="1">
        <v>-5.4623829999999997E-6</v>
      </c>
      <c r="I944">
        <v>365.36200000000002</v>
      </c>
      <c r="J944">
        <v>-233.19710000000001</v>
      </c>
      <c r="K944">
        <v>1.1217220000000001</v>
      </c>
      <c r="L944">
        <v>367.5455</v>
      </c>
      <c r="M944">
        <v>0.9998399</v>
      </c>
      <c r="N944">
        <v>-1.776233E-2</v>
      </c>
      <c r="O944">
        <v>2.225215E-3</v>
      </c>
      <c r="P944">
        <v>0.99316700000000002</v>
      </c>
      <c r="Q944">
        <v>-0.11625340000000001</v>
      </c>
      <c r="R944">
        <v>-1.024387E-2</v>
      </c>
      <c r="S944">
        <v>3.001846</v>
      </c>
      <c r="T944">
        <v>-0.13533689999999901</v>
      </c>
      <c r="U944">
        <v>-0.2633972</v>
      </c>
      <c r="V944">
        <v>1.2450269999999999E-2</v>
      </c>
      <c r="W944">
        <v>-9.8595000000000002E-2</v>
      </c>
      <c r="X944">
        <v>0.99504979999999998</v>
      </c>
      <c r="Y944">
        <v>8.9499200000000001E-2</v>
      </c>
      <c r="Z944">
        <v>-2.8702770000000001E-3</v>
      </c>
      <c r="AA944">
        <v>0.99598279999999995</v>
      </c>
      <c r="AB944">
        <v>23</v>
      </c>
      <c r="AC944">
        <v>24.6525</v>
      </c>
      <c r="AD944">
        <v>-1.12172746238299</v>
      </c>
      <c r="AE944">
        <v>-2.1835000000000302</v>
      </c>
      <c r="AF944">
        <v>2.2337715668671199</v>
      </c>
      <c r="AG944">
        <v>-1.12172746238299</v>
      </c>
      <c r="AH944">
        <v>24.597050258600699</v>
      </c>
      <c r="AI944">
        <v>92.600429476840702</v>
      </c>
      <c r="AJ944">
        <v>84.810940030014805</v>
      </c>
      <c r="AK944">
        <v>24.723731298833901</v>
      </c>
      <c r="AL944">
        <v>95.658269824417204</v>
      </c>
      <c r="AM944">
        <v>89.283140700947101</v>
      </c>
      <c r="AN944">
        <v>1.0000000438640499</v>
      </c>
    </row>
    <row r="945" spans="1:40" x14ac:dyDescent="0.25">
      <c r="A945" t="str">
        <f>"20190303154437748"</f>
        <v>20190303154437748</v>
      </c>
      <c r="B945" t="str">
        <f>"1551599077741671"</f>
        <v>1551599077741671</v>
      </c>
      <c r="C945" t="s">
        <v>40</v>
      </c>
      <c r="D945">
        <v>4.7717869999999998</v>
      </c>
      <c r="E945">
        <v>0.52972810000000004</v>
      </c>
      <c r="F945" t="s">
        <v>50</v>
      </c>
      <c r="G945">
        <v>-209.18790000000001</v>
      </c>
      <c r="H945" s="1">
        <v>-5.6672179999999998E-6</v>
      </c>
      <c r="I945">
        <v>365.42930000000001</v>
      </c>
      <c r="J945">
        <v>-232.97909999999999</v>
      </c>
      <c r="K945">
        <v>1.121788</v>
      </c>
      <c r="L945">
        <v>367.54599999999999</v>
      </c>
      <c r="M945">
        <v>0.99982879999999996</v>
      </c>
      <c r="N945">
        <v>-1.837631E-2</v>
      </c>
      <c r="O945">
        <v>2.2247090000000001E-3</v>
      </c>
      <c r="P945">
        <v>0.99311400000000005</v>
      </c>
      <c r="Q945">
        <v>-0.1166958</v>
      </c>
      <c r="R945">
        <v>-1.0338750000000001E-2</v>
      </c>
      <c r="S945">
        <v>3.0014799999999999</v>
      </c>
      <c r="T945">
        <v>-0.14023150000000001</v>
      </c>
      <c r="U945">
        <v>-0.26455689999999998</v>
      </c>
      <c r="V945">
        <v>1.2544710000000001E-2</v>
      </c>
      <c r="W945">
        <v>-9.8427269999999997E-2</v>
      </c>
      <c r="X945">
        <v>0.99506519999999998</v>
      </c>
      <c r="Y945">
        <v>8.9881260000000004E-2</v>
      </c>
      <c r="Z945">
        <v>-2.9854920000000002E-3</v>
      </c>
      <c r="AA945">
        <v>0.99594800000000006</v>
      </c>
      <c r="AB945">
        <v>22</v>
      </c>
      <c r="AC945">
        <v>23.7911999999999</v>
      </c>
      <c r="AD945">
        <v>-1.121793667218</v>
      </c>
      <c r="AE945">
        <v>-2.1166999999999798</v>
      </c>
      <c r="AF945">
        <v>2.1648569148361001</v>
      </c>
      <c r="AG945">
        <v>-1.121793667218</v>
      </c>
      <c r="AH945">
        <v>23.734078282335801</v>
      </c>
      <c r="AI945">
        <v>92.694906288859599</v>
      </c>
      <c r="AJ945">
        <v>84.788300549455101</v>
      </c>
      <c r="AK945">
        <v>23.858991982176601</v>
      </c>
      <c r="AL945">
        <v>95.648612739023605</v>
      </c>
      <c r="AM945">
        <v>89.277714803697293</v>
      </c>
      <c r="AN945">
        <v>1.00000002473983</v>
      </c>
    </row>
    <row r="946" spans="1:40" x14ac:dyDescent="0.25">
      <c r="A946" t="str">
        <f>"20190303154437771"</f>
        <v>20190303154437771</v>
      </c>
      <c r="B946" t="str">
        <f>"1551599077761180"</f>
        <v>1551599077761180</v>
      </c>
      <c r="C946" t="s">
        <v>40</v>
      </c>
      <c r="D946">
        <v>4.7988460000000002</v>
      </c>
      <c r="E946">
        <v>0.52980830000000001</v>
      </c>
      <c r="F946" t="s">
        <v>50</v>
      </c>
      <c r="G946">
        <v>-209.36709999999999</v>
      </c>
      <c r="H946" s="1">
        <v>-5.7223389999999901E-6</v>
      </c>
      <c r="I946">
        <v>365.46030000000002</v>
      </c>
      <c r="J946">
        <v>-232.75290000000001</v>
      </c>
      <c r="K946">
        <v>1.121848</v>
      </c>
      <c r="L946">
        <v>367.54649999999998</v>
      </c>
      <c r="M946">
        <v>0.99981750000000003</v>
      </c>
      <c r="N946">
        <v>-1.8981330000000001E-2</v>
      </c>
      <c r="O946">
        <v>2.2242770000000002E-3</v>
      </c>
      <c r="P946">
        <v>0.99307909999999999</v>
      </c>
      <c r="Q946">
        <v>-0.11697059999999999</v>
      </c>
      <c r="R946">
        <v>-1.058217E-2</v>
      </c>
      <c r="S946">
        <v>3.0012509999999999</v>
      </c>
      <c r="T946">
        <v>-0.14258770000000001</v>
      </c>
      <c r="U946">
        <v>-0.26510620000000001</v>
      </c>
      <c r="V946">
        <v>1.2787690000000001E-2</v>
      </c>
      <c r="W946">
        <v>-9.8100599999999996E-2</v>
      </c>
      <c r="X946">
        <v>0.99509440000000005</v>
      </c>
      <c r="Y946">
        <v>9.0062829999999996E-2</v>
      </c>
      <c r="Z946">
        <v>-3.054513E-3</v>
      </c>
      <c r="AA946">
        <v>0.99593140000000002</v>
      </c>
      <c r="AB946">
        <v>22</v>
      </c>
      <c r="AC946">
        <v>23.3858</v>
      </c>
      <c r="AD946">
        <v>-1.1218537223389999</v>
      </c>
      <c r="AE946">
        <v>-2.0861999999999599</v>
      </c>
      <c r="AF946">
        <v>2.1333500422767702</v>
      </c>
      <c r="AG946">
        <v>-1.1218537223389999</v>
      </c>
      <c r="AH946">
        <v>23.3278411388637</v>
      </c>
      <c r="AI946">
        <v>92.741852685039603</v>
      </c>
      <c r="AJ946">
        <v>84.7747886111231</v>
      </c>
      <c r="AK946">
        <v>23.452034248168498</v>
      </c>
      <c r="AL946">
        <v>95.629804711996101</v>
      </c>
      <c r="AM946">
        <v>89.263747902935094</v>
      </c>
      <c r="AN946">
        <v>1.00000005882362</v>
      </c>
    </row>
    <row r="947" spans="1:40" x14ac:dyDescent="0.25">
      <c r="A947" t="str">
        <f>"20190303154437795"</f>
        <v>20190303154437795</v>
      </c>
      <c r="B947" t="str">
        <f>"1551599077791437"</f>
        <v>1551599077791437</v>
      </c>
      <c r="C947" t="s">
        <v>40</v>
      </c>
      <c r="D947">
        <v>4.8430660000000003</v>
      </c>
      <c r="E947">
        <v>0.52985409999999999</v>
      </c>
      <c r="F947" t="s">
        <v>50</v>
      </c>
      <c r="G947">
        <v>-209.3784</v>
      </c>
      <c r="H947" s="1">
        <v>-5.7241309999999998E-6</v>
      </c>
      <c r="I947">
        <v>365.47309999999999</v>
      </c>
      <c r="J947">
        <v>-232.5317</v>
      </c>
      <c r="K947">
        <v>1.1218999999999999</v>
      </c>
      <c r="L947">
        <v>367.54689999999999</v>
      </c>
      <c r="M947">
        <v>0.99980670000000005</v>
      </c>
      <c r="N947">
        <v>-1.953564E-2</v>
      </c>
      <c r="O947">
        <v>2.2238010000000001E-3</v>
      </c>
      <c r="P947">
        <v>0.99302950000000001</v>
      </c>
      <c r="Q947">
        <v>-0.11737359999999999</v>
      </c>
      <c r="R947">
        <v>-1.0767290000000001E-2</v>
      </c>
      <c r="S947">
        <v>3.0010829999999999</v>
      </c>
      <c r="T947">
        <v>-0.1440361</v>
      </c>
      <c r="U947">
        <v>-0.26620480000000002</v>
      </c>
      <c r="V947">
        <v>1.29721E-2</v>
      </c>
      <c r="W947">
        <v>-9.7952789999999998E-2</v>
      </c>
      <c r="X947">
        <v>0.9951065</v>
      </c>
      <c r="Y947">
        <v>9.0424760000000007E-2</v>
      </c>
      <c r="Z947">
        <v>-3.1133599999999999E-3</v>
      </c>
      <c r="AA947">
        <v>0.99589839999999996</v>
      </c>
      <c r="AB947">
        <v>22</v>
      </c>
      <c r="AC947">
        <v>23.153300000000002</v>
      </c>
      <c r="AD947">
        <v>-1.121905724131</v>
      </c>
      <c r="AE947">
        <v>-2.0737999999999999</v>
      </c>
      <c r="AF947">
        <v>2.1203541872209799</v>
      </c>
      <c r="AG947">
        <v>-1.121905724131</v>
      </c>
      <c r="AH947">
        <v>23.094836405740601</v>
      </c>
      <c r="AI947">
        <v>92.769510227694298</v>
      </c>
      <c r="AJ947">
        <v>84.754337621785098</v>
      </c>
      <c r="AK947">
        <v>23.219087900712701</v>
      </c>
      <c r="AL947">
        <v>95.621295252038095</v>
      </c>
      <c r="AM947">
        <v>89.253140759661804</v>
      </c>
      <c r="AN947">
        <v>0.99999998539472201</v>
      </c>
    </row>
    <row r="948" spans="1:40" x14ac:dyDescent="0.25">
      <c r="A948" t="str">
        <f>"20190303154437818"</f>
        <v>20190303154437818</v>
      </c>
      <c r="B948" t="str">
        <f>"1551599077810956"</f>
        <v>1551599077810956</v>
      </c>
      <c r="C948" t="s">
        <v>40</v>
      </c>
      <c r="D948">
        <v>4.8522699999999999</v>
      </c>
      <c r="E948">
        <v>0.52985950000000004</v>
      </c>
      <c r="F948" t="s">
        <v>50</v>
      </c>
      <c r="G948">
        <v>-209.642</v>
      </c>
      <c r="H948" s="1">
        <v>-5.806538E-6</v>
      </c>
      <c r="I948">
        <v>365.51049999999998</v>
      </c>
      <c r="J948">
        <v>-232.30199999999999</v>
      </c>
      <c r="K948">
        <v>1.1219399999999999</v>
      </c>
      <c r="L948">
        <v>367.54750000000001</v>
      </c>
      <c r="M948">
        <v>0.99979620000000002</v>
      </c>
      <c r="N948">
        <v>-2.006792E-2</v>
      </c>
      <c r="O948">
        <v>2.22369E-3</v>
      </c>
      <c r="P948">
        <v>0.99295900000000004</v>
      </c>
      <c r="Q948">
        <v>-0.1179534</v>
      </c>
      <c r="R948">
        <v>-1.092753E-2</v>
      </c>
      <c r="S948">
        <v>3.0007779999999999</v>
      </c>
      <c r="T948">
        <v>-0.14707909999999999</v>
      </c>
      <c r="U948">
        <v>-0.26696779999999998</v>
      </c>
      <c r="V948">
        <v>1.313222E-2</v>
      </c>
      <c r="W948">
        <v>-9.8004069999999999E-2</v>
      </c>
      <c r="X948">
        <v>0.99509939999999997</v>
      </c>
      <c r="Y948">
        <v>9.0677839999999996E-2</v>
      </c>
      <c r="Z948">
        <v>-3.193221E-3</v>
      </c>
      <c r="AA948">
        <v>0.99587519999999996</v>
      </c>
      <c r="AB948">
        <v>22</v>
      </c>
      <c r="AC948">
        <v>22.66</v>
      </c>
      <c r="AD948">
        <v>-1.1219458065379999</v>
      </c>
      <c r="AE948">
        <v>-2.0370000000000301</v>
      </c>
      <c r="AF948">
        <v>2.08233010539761</v>
      </c>
      <c r="AG948">
        <v>-1.1219458065379999</v>
      </c>
      <c r="AH948">
        <v>22.600453514274101</v>
      </c>
      <c r="AI948">
        <v>92.830012542831497</v>
      </c>
      <c r="AJ948">
        <v>84.735821323849905</v>
      </c>
      <c r="AK948">
        <v>22.723894034947399</v>
      </c>
      <c r="AL948">
        <v>95.624247308129696</v>
      </c>
      <c r="AM948">
        <v>89.243917636595796</v>
      </c>
      <c r="AN948">
        <v>1.0000000344095199</v>
      </c>
    </row>
    <row r="949" spans="1:40" x14ac:dyDescent="0.25">
      <c r="A949" t="str">
        <f>"20190303154437838"</f>
        <v>20190303154437838</v>
      </c>
      <c r="B949" t="str">
        <f>"1551599077831452"</f>
        <v>1551599077831452</v>
      </c>
      <c r="C949" t="s">
        <v>40</v>
      </c>
      <c r="D949">
        <v>4.8433669999999998</v>
      </c>
      <c r="E949">
        <v>0.52990439999999905</v>
      </c>
      <c r="F949" t="s">
        <v>50</v>
      </c>
      <c r="G949">
        <v>-209.8486</v>
      </c>
      <c r="H949" s="1">
        <v>-5.8703490000000002E-6</v>
      </c>
      <c r="I949">
        <v>365.54469999999998</v>
      </c>
      <c r="J949">
        <v>-232.11179999999999</v>
      </c>
      <c r="K949">
        <v>1.1219629999999901</v>
      </c>
      <c r="L949">
        <v>367.54790000000003</v>
      </c>
      <c r="M949">
        <v>0.99978800000000001</v>
      </c>
      <c r="N949">
        <v>-2.0472199999999999E-2</v>
      </c>
      <c r="O949">
        <v>2.223268E-3</v>
      </c>
      <c r="P949">
        <v>0.99291289999999999</v>
      </c>
      <c r="Q949">
        <v>-0.11839089999999999</v>
      </c>
      <c r="R949">
        <v>-1.037575E-2</v>
      </c>
      <c r="S949">
        <v>3.000534</v>
      </c>
      <c r="T949">
        <v>-0.14993000000000001</v>
      </c>
      <c r="U949">
        <v>-0.26763920000000002</v>
      </c>
      <c r="V949">
        <v>1.257984E-2</v>
      </c>
      <c r="W949">
        <v>-9.8040020000000005E-2</v>
      </c>
      <c r="X949">
        <v>0.99510290000000001</v>
      </c>
      <c r="Y949">
        <v>9.0899209999999994E-2</v>
      </c>
      <c r="Z949">
        <v>-3.2637130000000001E-3</v>
      </c>
      <c r="AA949">
        <v>0.99585469999999998</v>
      </c>
      <c r="AB949">
        <v>22</v>
      </c>
      <c r="AC949">
        <v>22.263199999999902</v>
      </c>
      <c r="AD949">
        <v>-1.1219688703489901</v>
      </c>
      <c r="AE949">
        <v>-2.0032000000000401</v>
      </c>
      <c r="AF949">
        <v>2.0475440476222899</v>
      </c>
      <c r="AG949">
        <v>-1.1219688703489901</v>
      </c>
      <c r="AH949">
        <v>22.2027543740755</v>
      </c>
      <c r="AI949">
        <v>92.880656668402807</v>
      </c>
      <c r="AJ949">
        <v>84.731070578726701</v>
      </c>
      <c r="AK949">
        <v>22.3251775484208</v>
      </c>
      <c r="AL949">
        <v>95.626317593093603</v>
      </c>
      <c r="AM949">
        <v>89.275719781129993</v>
      </c>
      <c r="AN949">
        <v>0.99999993974221602</v>
      </c>
    </row>
    <row r="950" spans="1:40" x14ac:dyDescent="0.25">
      <c r="A950" t="str">
        <f>"20190303154437860"</f>
        <v>20190303154437860</v>
      </c>
      <c r="B950" t="str">
        <f>"1551599077850972"</f>
        <v>1551599077850972</v>
      </c>
      <c r="C950" t="s">
        <v>40</v>
      </c>
      <c r="D950">
        <v>4.8677739999999998</v>
      </c>
      <c r="E950">
        <v>0.52987779999999995</v>
      </c>
      <c r="F950" t="s">
        <v>41</v>
      </c>
      <c r="G950">
        <v>-210.01009999999999</v>
      </c>
      <c r="H950" s="1">
        <v>-4.9829859999999996E-6</v>
      </c>
      <c r="I950">
        <v>365.58539999999999</v>
      </c>
      <c r="J950">
        <v>-231.8997</v>
      </c>
      <c r="K950">
        <v>1.1219859999999999</v>
      </c>
      <c r="L950">
        <v>367.54840000000002</v>
      </c>
      <c r="M950">
        <v>0.99977950000000004</v>
      </c>
      <c r="N950">
        <v>-2.0883019999999999E-2</v>
      </c>
      <c r="O950">
        <v>2.222875E-3</v>
      </c>
      <c r="P950">
        <v>0.99281719999999896</v>
      </c>
      <c r="Q950">
        <v>-0.11921569999999999</v>
      </c>
      <c r="R950">
        <v>-1.008183E-2</v>
      </c>
      <c r="S950">
        <v>3.0004729999999999</v>
      </c>
      <c r="T950">
        <v>-0.15231539999999999</v>
      </c>
      <c r="U950">
        <v>-0.2664185</v>
      </c>
      <c r="V950">
        <v>1.2285269999999999E-2</v>
      </c>
      <c r="W950">
        <v>-9.8457719999999999E-2</v>
      </c>
      <c r="X950">
        <v>0.99506539999999999</v>
      </c>
      <c r="Y950">
        <v>9.0494050000000006E-2</v>
      </c>
      <c r="Z950">
        <v>-3.304876E-3</v>
      </c>
      <c r="AA950">
        <v>0.99589150000000004</v>
      </c>
      <c r="AB950">
        <v>21</v>
      </c>
      <c r="AC950">
        <v>21.889600000000002</v>
      </c>
      <c r="AD950">
        <v>-1.121990982986</v>
      </c>
      <c r="AE950">
        <v>-1.9630000000000201</v>
      </c>
      <c r="AF950">
        <v>2.0064342337737799</v>
      </c>
      <c r="AG950">
        <v>-1.121990982986</v>
      </c>
      <c r="AH950">
        <v>21.828290362070799</v>
      </c>
      <c r="AI950">
        <v>92.930127009364796</v>
      </c>
      <c r="AJ950">
        <v>84.748188109257399</v>
      </c>
      <c r="AK950">
        <v>21.949006862070799</v>
      </c>
      <c r="AL950">
        <v>95.650366049156204</v>
      </c>
      <c r="AM950">
        <v>89.292651156454397</v>
      </c>
      <c r="AN950">
        <v>1.0000000003818601</v>
      </c>
    </row>
    <row r="951" spans="1:40" x14ac:dyDescent="0.25">
      <c r="A951" t="str">
        <f>"20190303154437883"</f>
        <v>20190303154437883</v>
      </c>
      <c r="B951" t="str">
        <f>"1551599077871468"</f>
        <v>1551599077871468</v>
      </c>
      <c r="C951" t="s">
        <v>40</v>
      </c>
      <c r="D951">
        <v>4.9564019999999998</v>
      </c>
      <c r="E951">
        <v>0.52989980000000003</v>
      </c>
      <c r="F951" t="s">
        <v>41</v>
      </c>
      <c r="G951">
        <v>-210.3587</v>
      </c>
      <c r="H951" s="1">
        <v>-4.8225760000000004E-6</v>
      </c>
      <c r="I951">
        <v>365.64670000000001</v>
      </c>
      <c r="J951">
        <v>-231.6925</v>
      </c>
      <c r="K951">
        <v>1.121999</v>
      </c>
      <c r="L951">
        <v>367.54880000000003</v>
      </c>
      <c r="M951">
        <v>0.99977199999999999</v>
      </c>
      <c r="N951">
        <v>-2.1236459999999999E-2</v>
      </c>
      <c r="O951">
        <v>2.2223550000000001E-3</v>
      </c>
      <c r="P951">
        <v>0.99275869999999999</v>
      </c>
      <c r="Q951">
        <v>-0.1196946</v>
      </c>
      <c r="R951">
        <v>-1.016122E-2</v>
      </c>
      <c r="S951">
        <v>3.0002439999999999</v>
      </c>
      <c r="T951">
        <v>-0.15627060000000001</v>
      </c>
      <c r="U951">
        <v>-0.26486209999999999</v>
      </c>
      <c r="V951">
        <v>1.2364170000000001E-2</v>
      </c>
      <c r="W951">
        <v>-9.858596E-2</v>
      </c>
      <c r="X951">
        <v>0.99505169999999998</v>
      </c>
      <c r="Y951">
        <v>8.9980359999999995E-2</v>
      </c>
      <c r="Z951">
        <v>-3.3639E-3</v>
      </c>
      <c r="AA951">
        <v>0.99593790000000004</v>
      </c>
      <c r="AB951">
        <v>21</v>
      </c>
      <c r="AC951">
        <v>21.3338</v>
      </c>
      <c r="AD951">
        <v>-1.1220038225759901</v>
      </c>
      <c r="AE951">
        <v>-1.9021000000000099</v>
      </c>
      <c r="AF951">
        <v>1.94418207581597</v>
      </c>
      <c r="AG951">
        <v>-1.1220038225759901</v>
      </c>
      <c r="AH951">
        <v>21.271147215542701</v>
      </c>
      <c r="AI951">
        <v>93.006911076336095</v>
      </c>
      <c r="AJ951">
        <v>84.777677942231605</v>
      </c>
      <c r="AK951">
        <v>21.389259930794498</v>
      </c>
      <c r="AL951">
        <v>95.657749726037693</v>
      </c>
      <c r="AM951">
        <v>89.288098997730899</v>
      </c>
      <c r="AN951">
        <v>0.99999997494089998</v>
      </c>
    </row>
    <row r="952" spans="1:40" x14ac:dyDescent="0.25">
      <c r="A952" t="str">
        <f>"20190303154437904"</f>
        <v>20190303154437904</v>
      </c>
      <c r="B952" t="str">
        <f>"1551599077901723"</f>
        <v>1551599077901723</v>
      </c>
      <c r="C952" t="s">
        <v>40</v>
      </c>
      <c r="D952">
        <v>5.226191</v>
      </c>
      <c r="E952">
        <v>0.53078069999999999</v>
      </c>
      <c r="F952" t="s">
        <v>41</v>
      </c>
      <c r="G952">
        <v>-210.5609</v>
      </c>
      <c r="H952" s="1">
        <v>-4.72986E-6</v>
      </c>
      <c r="I952">
        <v>365.68040000000002</v>
      </c>
      <c r="J952">
        <v>-231.49109999999999</v>
      </c>
      <c r="K952">
        <v>1.1220030000000001</v>
      </c>
      <c r="L952">
        <v>367.54930000000002</v>
      </c>
      <c r="M952">
        <v>0.9997663</v>
      </c>
      <c r="N952">
        <v>-2.150972E-2</v>
      </c>
      <c r="O952">
        <v>2.2218049999999999E-3</v>
      </c>
      <c r="P952">
        <v>0.99279030000000001</v>
      </c>
      <c r="Q952">
        <v>-0.1194828</v>
      </c>
      <c r="R952">
        <v>-9.5749240000000003E-3</v>
      </c>
      <c r="S952">
        <v>2.9999539999999998</v>
      </c>
      <c r="T952">
        <v>-0.1592848</v>
      </c>
      <c r="U952">
        <v>-0.26525880000000002</v>
      </c>
      <c r="V952">
        <v>1.1777309999999999E-2</v>
      </c>
      <c r="W952">
        <v>-9.8101450000000007E-2</v>
      </c>
      <c r="X952">
        <v>0.99510679999999996</v>
      </c>
      <c r="Y952">
        <v>9.0112269999999994E-2</v>
      </c>
      <c r="Z952">
        <v>-3.4280360000000002E-3</v>
      </c>
      <c r="AA952">
        <v>0.99592570000000002</v>
      </c>
      <c r="AB952">
        <v>21</v>
      </c>
      <c r="AC952">
        <v>20.9301999999999</v>
      </c>
      <c r="AD952">
        <v>-1.12200772986</v>
      </c>
      <c r="AE952">
        <v>-1.86889999999999</v>
      </c>
      <c r="AF952">
        <v>1.9099636720899</v>
      </c>
      <c r="AG952">
        <v>-1.12200772986</v>
      </c>
      <c r="AH952">
        <v>20.866504783938101</v>
      </c>
      <c r="AI952">
        <v>93.065084715744106</v>
      </c>
      <c r="AJ952">
        <v>84.770146275006894</v>
      </c>
      <c r="AK952">
        <v>20.983752869129098</v>
      </c>
      <c r="AL952">
        <v>95.629853578060903</v>
      </c>
      <c r="AM952">
        <v>89.321923382340401</v>
      </c>
      <c r="AN952">
        <v>1.00000007146458</v>
      </c>
    </row>
    <row r="953" spans="1:40" x14ac:dyDescent="0.25">
      <c r="A953" t="str">
        <f>"20190303154437927"</f>
        <v>20190303154437927</v>
      </c>
      <c r="B953" t="str">
        <f>"1551599077921244"</f>
        <v>1551599077921244</v>
      </c>
      <c r="C953" t="s">
        <v>40</v>
      </c>
      <c r="D953">
        <v>5.1615399999999996</v>
      </c>
      <c r="E953">
        <v>0.53185509999999903</v>
      </c>
      <c r="F953" t="s">
        <v>41</v>
      </c>
      <c r="G953">
        <v>-210.34899999999999</v>
      </c>
      <c r="H953" s="1">
        <v>-4.8281249999999996E-6</v>
      </c>
      <c r="I953">
        <v>365.6388</v>
      </c>
      <c r="J953">
        <v>-231.28450000000001</v>
      </c>
      <c r="K953">
        <v>1.1220019999999999</v>
      </c>
      <c r="L953">
        <v>367.54969999999997</v>
      </c>
      <c r="M953">
        <v>0.99976200000000004</v>
      </c>
      <c r="N953">
        <v>-2.1706369999999999E-2</v>
      </c>
      <c r="O953">
        <v>2.221696E-3</v>
      </c>
      <c r="P953">
        <v>0.99276869999999995</v>
      </c>
      <c r="Q953">
        <v>-0.1196546</v>
      </c>
      <c r="R953">
        <v>-9.6498690000000002E-3</v>
      </c>
      <c r="S953">
        <v>3.0000149999999999</v>
      </c>
      <c r="T953">
        <v>-0.15920970000000001</v>
      </c>
      <c r="U953">
        <v>-0.27108759999999998</v>
      </c>
      <c r="V953">
        <v>1.185217E-2</v>
      </c>
      <c r="W953">
        <v>-9.8078040000000005E-2</v>
      </c>
      <c r="X953">
        <v>0.99510810000000005</v>
      </c>
      <c r="Y953">
        <v>9.2025860000000001E-2</v>
      </c>
      <c r="Z953">
        <v>-3.5066030000000001E-3</v>
      </c>
      <c r="AA953">
        <v>0.99575040000000004</v>
      </c>
      <c r="AB953">
        <v>21</v>
      </c>
      <c r="AC953">
        <v>20.935499999999902</v>
      </c>
      <c r="AD953">
        <v>-1.122006828125</v>
      </c>
      <c r="AE953">
        <v>-1.9108999999999601</v>
      </c>
      <c r="AF953">
        <v>1.95185862425164</v>
      </c>
      <c r="AG953">
        <v>-1.122006828125</v>
      </c>
      <c r="AH953">
        <v>20.871748025902601</v>
      </c>
      <c r="AI953">
        <v>93.063757040283505</v>
      </c>
      <c r="AJ953">
        <v>84.6574214649156</v>
      </c>
      <c r="AK953">
        <v>20.992820607726699</v>
      </c>
      <c r="AL953">
        <v>95.628506451702705</v>
      </c>
      <c r="AM953">
        <v>89.317614628242794</v>
      </c>
      <c r="AN953">
        <v>0.99999995327477897</v>
      </c>
    </row>
    <row r="954" spans="1:40" x14ac:dyDescent="0.25">
      <c r="A954" t="str">
        <f>"20190303154437949"</f>
        <v>20190303154437949</v>
      </c>
      <c r="B954" t="str">
        <f>"1551599077941740"</f>
        <v>1551599077941740</v>
      </c>
      <c r="C954" t="s">
        <v>40</v>
      </c>
      <c r="D954">
        <v>5.2087890000000003</v>
      </c>
      <c r="E954">
        <v>0.60049350000000001</v>
      </c>
      <c r="F954" t="s">
        <v>41</v>
      </c>
      <c r="G954">
        <v>-210.1549</v>
      </c>
      <c r="H954" s="1">
        <v>-4.9217069999999998E-6</v>
      </c>
      <c r="I954">
        <v>365.58080000000001</v>
      </c>
      <c r="J954">
        <v>-231.08269999999999</v>
      </c>
      <c r="K954">
        <v>1.121993</v>
      </c>
      <c r="L954">
        <v>367.55020000000002</v>
      </c>
      <c r="M954">
        <v>0.99975910000000001</v>
      </c>
      <c r="N954">
        <v>-2.183831E-2</v>
      </c>
      <c r="O954">
        <v>2.2215640000000001E-3</v>
      </c>
      <c r="P954">
        <v>0.99278060000000001</v>
      </c>
      <c r="Q954">
        <v>-0.11953800000000001</v>
      </c>
      <c r="R954">
        <v>-9.8821889999999996E-3</v>
      </c>
      <c r="S954">
        <v>2.9999539999999998</v>
      </c>
      <c r="T954">
        <v>-0.1593</v>
      </c>
      <c r="U954">
        <v>-0.27954099999999998</v>
      </c>
      <c r="V954">
        <v>1.2084269999999999E-2</v>
      </c>
      <c r="W954">
        <v>-9.7829920000000001E-2</v>
      </c>
      <c r="X954">
        <v>0.99512979999999995</v>
      </c>
      <c r="Y954">
        <v>9.4803670000000007E-2</v>
      </c>
      <c r="Z954">
        <v>-3.6176759999999998E-3</v>
      </c>
      <c r="AA954">
        <v>0.99548939999999997</v>
      </c>
      <c r="AB954">
        <v>20</v>
      </c>
      <c r="AC954">
        <v>20.927799999999898</v>
      </c>
      <c r="AD954">
        <v>-1.121997921707</v>
      </c>
      <c r="AE954">
        <v>-1.9694</v>
      </c>
      <c r="AF954">
        <v>2.0101714902543599</v>
      </c>
      <c r="AG954">
        <v>-1.121997921707</v>
      </c>
      <c r="AH954">
        <v>20.863928690493001</v>
      </c>
      <c r="AI954">
        <v>93.064064426666405</v>
      </c>
      <c r="AJ954">
        <v>84.496724948554601</v>
      </c>
      <c r="AK954">
        <v>20.9905499965705</v>
      </c>
      <c r="AL954">
        <v>95.614221144654294</v>
      </c>
      <c r="AM954">
        <v>89.304268006769604</v>
      </c>
      <c r="AN954">
        <v>1.00000002083833</v>
      </c>
    </row>
    <row r="955" spans="1:40" x14ac:dyDescent="0.25">
      <c r="A955" t="str">
        <f>"20190303154437972"</f>
        <v>20190303154437972</v>
      </c>
      <c r="B955" t="str">
        <f>"1551599077961260"</f>
        <v>1551599077961260</v>
      </c>
      <c r="C955" t="s">
        <v>40</v>
      </c>
      <c r="D955">
        <v>5.185149</v>
      </c>
      <c r="E955">
        <v>0.59971869999999905</v>
      </c>
      <c r="F955" t="s">
        <v>41</v>
      </c>
      <c r="G955">
        <v>-212.93369999999999</v>
      </c>
      <c r="H955" s="1">
        <v>-4.2779269999999998E-6</v>
      </c>
      <c r="I955">
        <v>362.52390000000003</v>
      </c>
      <c r="J955">
        <v>-230.87639999999999</v>
      </c>
      <c r="K955">
        <v>1.1219760000000001</v>
      </c>
      <c r="L955">
        <v>367.55070000000001</v>
      </c>
      <c r="M955">
        <v>0.99975749999999997</v>
      </c>
      <c r="N955">
        <v>-2.1908279999999999E-2</v>
      </c>
      <c r="O955">
        <v>2.2215109999999998E-3</v>
      </c>
      <c r="P955">
        <v>0.99281350000000002</v>
      </c>
      <c r="Q955">
        <v>-0.1192448</v>
      </c>
      <c r="R955">
        <v>-1.011832E-2</v>
      </c>
      <c r="S955">
        <v>2.9913020000000001</v>
      </c>
      <c r="T955">
        <v>-0.18492620000000001</v>
      </c>
      <c r="U955">
        <v>-0.82843020000000001</v>
      </c>
      <c r="V955">
        <v>1.2320360000000001E-2</v>
      </c>
      <c r="W955">
        <v>-9.746639E-2</v>
      </c>
      <c r="X955">
        <v>0.99516249999999995</v>
      </c>
      <c r="Y955">
        <v>0.26838319999999999</v>
      </c>
      <c r="Z955">
        <v>-1.122043E-2</v>
      </c>
      <c r="AA955">
        <v>0.96324690000000002</v>
      </c>
      <c r="AB955">
        <v>20</v>
      </c>
      <c r="AC955">
        <v>17.942699999999999</v>
      </c>
      <c r="AD955">
        <v>-1.1219802779269901</v>
      </c>
      <c r="AE955">
        <v>-5.0267999999999802</v>
      </c>
      <c r="AF955">
        <v>5.0483537821742397</v>
      </c>
      <c r="AG955">
        <v>-1.1219802779269901</v>
      </c>
      <c r="AH955">
        <v>17.866708492840999</v>
      </c>
      <c r="AI955">
        <v>93.4582479962382</v>
      </c>
      <c r="AJ955">
        <v>74.222018615935198</v>
      </c>
      <c r="AK955">
        <v>18.600107204589001</v>
      </c>
      <c r="AL955">
        <v>95.593292817667503</v>
      </c>
      <c r="AM955">
        <v>89.290700193591604</v>
      </c>
      <c r="AN955">
        <v>0.99999994492820399</v>
      </c>
    </row>
    <row r="956" spans="1:40" x14ac:dyDescent="0.25">
      <c r="A956" t="str">
        <f>"20190303154437995"</f>
        <v>20190303154437995</v>
      </c>
      <c r="B956" t="str">
        <f>"1551599077991515"</f>
        <v>1551599077991515</v>
      </c>
      <c r="C956" t="s">
        <v>40</v>
      </c>
      <c r="D956">
        <v>5.1687479999999999</v>
      </c>
      <c r="E956">
        <v>0.60211969999999904</v>
      </c>
      <c r="F956" t="s">
        <v>41</v>
      </c>
      <c r="G956">
        <v>-213.9417</v>
      </c>
      <c r="H956" s="1">
        <v>-3.8380520000000001E-6</v>
      </c>
      <c r="I956">
        <v>362.88780000000003</v>
      </c>
      <c r="J956">
        <v>-230.6756</v>
      </c>
      <c r="K956">
        <v>1.12195</v>
      </c>
      <c r="L956">
        <v>367.55110000000002</v>
      </c>
      <c r="M956">
        <v>0.99975809999999998</v>
      </c>
      <c r="N956">
        <v>-2.1886630000000001E-2</v>
      </c>
      <c r="O956">
        <v>2.2212130000000001E-3</v>
      </c>
      <c r="P956">
        <v>0.99280579999999996</v>
      </c>
      <c r="Q956">
        <v>-0.1192732</v>
      </c>
      <c r="R956">
        <v>-1.052466E-2</v>
      </c>
      <c r="S956">
        <v>2.9895320000000001</v>
      </c>
      <c r="T956">
        <v>-0.19806599999999999</v>
      </c>
      <c r="U956">
        <v>-0.82315059999999995</v>
      </c>
      <c r="V956">
        <v>1.272642E-2</v>
      </c>
      <c r="W956">
        <v>-9.7516569999999997E-2</v>
      </c>
      <c r="X956">
        <v>0.9951525</v>
      </c>
      <c r="Y956">
        <v>0.26686900000000002</v>
      </c>
      <c r="Z956">
        <v>-1.174478E-2</v>
      </c>
      <c r="AA956">
        <v>0.96366130000000005</v>
      </c>
      <c r="AB956">
        <v>20</v>
      </c>
      <c r="AC956">
        <v>16.733899999999998</v>
      </c>
      <c r="AD956">
        <v>-1.121953838052</v>
      </c>
      <c r="AE956">
        <v>-4.6632999999999898</v>
      </c>
      <c r="AF956">
        <v>4.6809412121006702</v>
      </c>
      <c r="AG956">
        <v>-1.121953838052</v>
      </c>
      <c r="AH956">
        <v>16.654028636855099</v>
      </c>
      <c r="AI956">
        <v>93.710733494148499</v>
      </c>
      <c r="AJ956">
        <v>74.300940964050298</v>
      </c>
      <c r="AK956">
        <v>17.335704799143599</v>
      </c>
      <c r="AL956">
        <v>95.596181536737106</v>
      </c>
      <c r="AM956">
        <v>89.267317915726295</v>
      </c>
      <c r="AN956">
        <v>0.99999997072341495</v>
      </c>
    </row>
    <row r="957" spans="1:40" x14ac:dyDescent="0.25">
      <c r="A957" t="str">
        <f>"20190303154438017"</f>
        <v>20190303154438017</v>
      </c>
      <c r="B957" t="str">
        <f>"1551599078011036"</f>
        <v>1551599078011036</v>
      </c>
      <c r="C957" t="s">
        <v>40</v>
      </c>
      <c r="D957">
        <v>5.1887150000000002</v>
      </c>
      <c r="E957">
        <v>0.60339399999999999</v>
      </c>
      <c r="F957" t="s">
        <v>50</v>
      </c>
      <c r="G957">
        <v>-208.54169999999999</v>
      </c>
      <c r="H957" s="1">
        <v>-6.0919010000000003E-6</v>
      </c>
      <c r="I957">
        <v>361.3252</v>
      </c>
      <c r="J957">
        <v>-230.4777</v>
      </c>
      <c r="K957">
        <v>1.121904</v>
      </c>
      <c r="L957">
        <v>367.55149999999998</v>
      </c>
      <c r="M957">
        <v>0.99976069999999995</v>
      </c>
      <c r="N957">
        <v>-2.1765119999999999E-2</v>
      </c>
      <c r="O957">
        <v>2.2211739999999998E-3</v>
      </c>
      <c r="P957">
        <v>0.99283370000000004</v>
      </c>
      <c r="Q957">
        <v>-0.1190273</v>
      </c>
      <c r="R957">
        <v>-1.0684910000000001E-2</v>
      </c>
      <c r="S957">
        <v>2.9945680000000001</v>
      </c>
      <c r="T957">
        <v>-0.1517926</v>
      </c>
      <c r="U957">
        <v>-0.842315699999999</v>
      </c>
      <c r="V957">
        <v>1.288658E-2</v>
      </c>
      <c r="W957">
        <v>-9.7391060000000002E-2</v>
      </c>
      <c r="X957">
        <v>0.99516280000000001</v>
      </c>
      <c r="Y957">
        <v>0.2724376</v>
      </c>
      <c r="Z957">
        <v>-9.8564829999999992E-3</v>
      </c>
      <c r="AA957">
        <v>0.96212299999999995</v>
      </c>
      <c r="AB957">
        <v>20</v>
      </c>
      <c r="AC957">
        <v>21.936</v>
      </c>
      <c r="AD957">
        <v>-1.1219100919009899</v>
      </c>
      <c r="AE957">
        <v>-6.2262999999999797</v>
      </c>
      <c r="AF957">
        <v>6.2598662603317496</v>
      </c>
      <c r="AG957">
        <v>-1.1219100919009899</v>
      </c>
      <c r="AH957">
        <v>21.869173030658398</v>
      </c>
      <c r="AI957">
        <v>92.823554191132502</v>
      </c>
      <c r="AJ957">
        <v>74.026677308405397</v>
      </c>
      <c r="AK957">
        <v>22.775103444252998</v>
      </c>
      <c r="AL957">
        <v>95.588955558524503</v>
      </c>
      <c r="AM957">
        <v>89.258105928696907</v>
      </c>
      <c r="AN957">
        <v>1.0000000405079199</v>
      </c>
    </row>
    <row r="958" spans="1:40" x14ac:dyDescent="0.25">
      <c r="A958" t="str">
        <f>"20190303154438038"</f>
        <v>20190303154438038</v>
      </c>
      <c r="B958" t="str">
        <f>"1551599078031532"</f>
        <v>1551599078031532</v>
      </c>
      <c r="C958" t="s">
        <v>40</v>
      </c>
      <c r="D958">
        <v>5.196205</v>
      </c>
      <c r="E958">
        <v>0.60307509999999998</v>
      </c>
      <c r="F958" t="s">
        <v>50</v>
      </c>
      <c r="G958">
        <v>-202.8338</v>
      </c>
      <c r="H958" s="1">
        <v>-4.0657340000000004E-6</v>
      </c>
      <c r="I958">
        <v>359.69009999999997</v>
      </c>
      <c r="J958">
        <v>-230.29329999999999</v>
      </c>
      <c r="K958">
        <v>1.12185</v>
      </c>
      <c r="L958">
        <v>367.55200000000002</v>
      </c>
      <c r="M958">
        <v>0.99976520000000002</v>
      </c>
      <c r="N958">
        <v>-2.1555990000000001E-2</v>
      </c>
      <c r="O958">
        <v>2.2209460000000001E-3</v>
      </c>
      <c r="P958">
        <v>0.99282630000000005</v>
      </c>
      <c r="Q958">
        <v>-0.1190592</v>
      </c>
      <c r="R958">
        <v>-1.1000319999999999E-2</v>
      </c>
      <c r="S958">
        <v>2.9978790000000002</v>
      </c>
      <c r="T958">
        <v>-0.1216667</v>
      </c>
      <c r="U958">
        <v>-0.85253909999999999</v>
      </c>
      <c r="V958">
        <v>1.3201869999999999E-2</v>
      </c>
      <c r="W958">
        <v>-9.7631330000000002E-2</v>
      </c>
      <c r="X958">
        <v>0.99513510000000005</v>
      </c>
      <c r="Y958">
        <v>0.27534160000000002</v>
      </c>
      <c r="Z958">
        <v>-8.5453990000000004E-3</v>
      </c>
      <c r="AA958">
        <v>0.96130850000000001</v>
      </c>
      <c r="AB958">
        <v>20</v>
      </c>
      <c r="AC958">
        <v>27.459499999999899</v>
      </c>
      <c r="AD958">
        <v>-1.1218540657339999</v>
      </c>
      <c r="AE958">
        <v>-7.8618999999999897</v>
      </c>
      <c r="AF958">
        <v>7.9106773288872896</v>
      </c>
      <c r="AG958">
        <v>-1.1218540657339999</v>
      </c>
      <c r="AH958">
        <v>27.3996988231263</v>
      </c>
      <c r="AI958">
        <v>92.252702249120702</v>
      </c>
      <c r="AJ958">
        <v>73.895829421665297</v>
      </c>
      <c r="AK958">
        <v>28.540863125431301</v>
      </c>
      <c r="AL958">
        <v>95.602788068440603</v>
      </c>
      <c r="AM958">
        <v>89.239935299411599</v>
      </c>
      <c r="AN958">
        <v>1.0000000166105301</v>
      </c>
    </row>
    <row r="959" spans="1:40" x14ac:dyDescent="0.25">
      <c r="A959" t="str">
        <f>"20190303154438061"</f>
        <v>20190303154438061</v>
      </c>
      <c r="B959" t="str">
        <f>"1551599078051052"</f>
        <v>1551599078051052</v>
      </c>
      <c r="C959" t="s">
        <v>40</v>
      </c>
      <c r="D959">
        <v>5.1748750000000001</v>
      </c>
      <c r="E959">
        <v>0.60290959999999905</v>
      </c>
      <c r="F959" t="s">
        <v>50</v>
      </c>
      <c r="G959">
        <v>-206.4256</v>
      </c>
      <c r="H959" s="1">
        <v>-5.4707430000000001E-6</v>
      </c>
      <c r="I959">
        <v>360.767</v>
      </c>
      <c r="J959">
        <v>-230.09520000000001</v>
      </c>
      <c r="K959">
        <v>1.1217680000000001</v>
      </c>
      <c r="L959">
        <v>367.55239999999998</v>
      </c>
      <c r="M959">
        <v>0.99977269999999896</v>
      </c>
      <c r="N959">
        <v>-2.1212910000000001E-2</v>
      </c>
      <c r="O959">
        <v>2.2207559999999999E-3</v>
      </c>
      <c r="P959">
        <v>0.99280919999999895</v>
      </c>
      <c r="Q959">
        <v>-0.11924</v>
      </c>
      <c r="R959">
        <v>-1.060581E-2</v>
      </c>
      <c r="S959">
        <v>2.9953460000000001</v>
      </c>
      <c r="T959">
        <v>-0.14079050000000001</v>
      </c>
      <c r="U959">
        <v>-0.85150149999999902</v>
      </c>
      <c r="V959">
        <v>1.2806949999999999E-2</v>
      </c>
      <c r="W959">
        <v>-9.8153840000000006E-2</v>
      </c>
      <c r="X959">
        <v>0.9950888</v>
      </c>
      <c r="Y959">
        <v>0.27515909999999999</v>
      </c>
      <c r="Z959">
        <v>-9.3715810000000004E-3</v>
      </c>
      <c r="AA959">
        <v>0.96135309999999896</v>
      </c>
      <c r="AB959">
        <v>20</v>
      </c>
      <c r="AC959">
        <v>23.669599999999999</v>
      </c>
      <c r="AD959">
        <v>-1.121773470743</v>
      </c>
      <c r="AE959">
        <v>-6.7853999999999797</v>
      </c>
      <c r="AF959">
        <v>6.8237965013588902</v>
      </c>
      <c r="AG959">
        <v>-1.121773470743</v>
      </c>
      <c r="AH959">
        <v>23.605475656012299</v>
      </c>
      <c r="AI959">
        <v>92.613882325630499</v>
      </c>
      <c r="AJ959">
        <v>73.876642531864206</v>
      </c>
      <c r="AK959">
        <v>24.5975823071742</v>
      </c>
      <c r="AL959">
        <v>95.632870507202398</v>
      </c>
      <c r="AM959">
        <v>89.262634980361099</v>
      </c>
      <c r="AN959">
        <v>0.99999995708024303</v>
      </c>
    </row>
    <row r="960" spans="1:40" x14ac:dyDescent="0.25">
      <c r="A960" t="str">
        <f>"20190303154438084"</f>
        <v>20190303154438084</v>
      </c>
      <c r="B960" t="str">
        <f>"1551599078081308"</f>
        <v>1551599078081308</v>
      </c>
      <c r="C960" t="s">
        <v>40</v>
      </c>
      <c r="D960">
        <v>5.1880430000000004</v>
      </c>
      <c r="E960">
        <v>0.60282819999999904</v>
      </c>
      <c r="F960" t="s">
        <v>50</v>
      </c>
      <c r="G960">
        <v>-208.3991</v>
      </c>
      <c r="H960" s="1">
        <v>-6.0325159999999999E-6</v>
      </c>
      <c r="I960">
        <v>361.39980000000003</v>
      </c>
      <c r="J960">
        <v>-229.89859999999999</v>
      </c>
      <c r="K960">
        <v>1.1216699999999999</v>
      </c>
      <c r="L960">
        <v>367.55290000000002</v>
      </c>
      <c r="M960">
        <v>0.99978259999999997</v>
      </c>
      <c r="N960">
        <v>-2.0735730000000001E-2</v>
      </c>
      <c r="O960">
        <v>2.2207160000000002E-3</v>
      </c>
      <c r="P960">
        <v>0.99286750000000001</v>
      </c>
      <c r="Q960">
        <v>-0.1187565</v>
      </c>
      <c r="R960">
        <v>-1.055362E-2</v>
      </c>
      <c r="S960">
        <v>2.9940639999999998</v>
      </c>
      <c r="T960">
        <v>-0.15480479999999899</v>
      </c>
      <c r="U960">
        <v>-0.84906009999999998</v>
      </c>
      <c r="V960">
        <v>1.2754990000000001E-2</v>
      </c>
      <c r="W960">
        <v>-9.8144200000000001E-2</v>
      </c>
      <c r="X960">
        <v>0.99509049999999999</v>
      </c>
      <c r="Y960">
        <v>0.27447349999999998</v>
      </c>
      <c r="Z960">
        <v>-9.9250580000000005E-3</v>
      </c>
      <c r="AA960">
        <v>0.96154340000000005</v>
      </c>
      <c r="AB960">
        <v>20</v>
      </c>
      <c r="AC960">
        <v>21.499499999999902</v>
      </c>
      <c r="AD960">
        <v>-1.121676032516</v>
      </c>
      <c r="AE960">
        <v>-6.1530999999999896</v>
      </c>
      <c r="AF960">
        <v>6.1852780399439098</v>
      </c>
      <c r="AG960">
        <v>-1.121676032516</v>
      </c>
      <c r="AH960">
        <v>21.431860056777602</v>
      </c>
      <c r="AI960">
        <v>92.878670597873693</v>
      </c>
      <c r="AJ960">
        <v>73.901753398066006</v>
      </c>
      <c r="AK960">
        <v>22.334736332597</v>
      </c>
      <c r="AL960">
        <v>95.632315036185901</v>
      </c>
      <c r="AM960">
        <v>89.265627523289098</v>
      </c>
      <c r="AN960">
        <v>1.0000000384768899</v>
      </c>
    </row>
    <row r="961" spans="1:40" x14ac:dyDescent="0.25">
      <c r="A961" t="str">
        <f>"20190303154438105"</f>
        <v>20190303154438105</v>
      </c>
      <c r="B961" t="str">
        <f>"1551599078101804"</f>
        <v>1551599078101804</v>
      </c>
      <c r="C961" t="s">
        <v>40</v>
      </c>
      <c r="D961">
        <v>5.1982900000000001</v>
      </c>
      <c r="E961">
        <v>0.60267930000000003</v>
      </c>
      <c r="F961" t="s">
        <v>50</v>
      </c>
      <c r="G961">
        <v>-209.9195</v>
      </c>
      <c r="H961" s="1">
        <v>-6.4654449999999997E-6</v>
      </c>
      <c r="I961">
        <v>361.88650000000001</v>
      </c>
      <c r="J961">
        <v>-229.70650000000001</v>
      </c>
      <c r="K961">
        <v>1.121577</v>
      </c>
      <c r="L961">
        <v>367.55329999999998</v>
      </c>
      <c r="M961">
        <v>0.99979390000000001</v>
      </c>
      <c r="N961">
        <v>-2.0184649999999998E-2</v>
      </c>
      <c r="O961">
        <v>2.220835E-3</v>
      </c>
      <c r="P961">
        <v>0.99292000000000002</v>
      </c>
      <c r="Q961">
        <v>-0.11831750000000001</v>
      </c>
      <c r="R961">
        <v>-1.0540330000000001E-2</v>
      </c>
      <c r="S961">
        <v>2.992416</v>
      </c>
      <c r="T961">
        <v>-0.16800190000000001</v>
      </c>
      <c r="U961">
        <v>-0.84869380000000005</v>
      </c>
      <c r="V961">
        <v>1.2742089999999999E-2</v>
      </c>
      <c r="W961">
        <v>-9.8252720000000002E-2</v>
      </c>
      <c r="X961">
        <v>0.99507990000000002</v>
      </c>
      <c r="Y961">
        <v>0.27443450000000003</v>
      </c>
      <c r="Z961">
        <v>-1.045373E-2</v>
      </c>
      <c r="AA961">
        <v>0.96154899999999999</v>
      </c>
      <c r="AB961">
        <v>19</v>
      </c>
      <c r="AC961">
        <v>19.786999999999999</v>
      </c>
      <c r="AD961">
        <v>-1.1215834654449901</v>
      </c>
      <c r="AE961">
        <v>-5.6667999999999603</v>
      </c>
      <c r="AF961">
        <v>5.6938313849827002</v>
      </c>
      <c r="AG961">
        <v>-1.1215834654449901</v>
      </c>
      <c r="AH961">
        <v>19.715819493785499</v>
      </c>
      <c r="AI961">
        <v>93.128330294089295</v>
      </c>
      <c r="AJ961">
        <v>73.891543487884306</v>
      </c>
      <c r="AK961">
        <v>20.5521581256594</v>
      </c>
      <c r="AL961">
        <v>95.638563287141807</v>
      </c>
      <c r="AM961">
        <v>89.266362349471393</v>
      </c>
      <c r="AN961">
        <v>0.99999998261448797</v>
      </c>
    </row>
    <row r="962" spans="1:40" x14ac:dyDescent="0.25">
      <c r="A962" t="str">
        <f>"20190303154438128"</f>
        <v>20190303154438128</v>
      </c>
      <c r="B962" t="str">
        <f>"1551599078121324"</f>
        <v>1551599078121324</v>
      </c>
      <c r="C962" t="s">
        <v>40</v>
      </c>
      <c r="D962">
        <v>5.2857890000000003</v>
      </c>
      <c r="E962">
        <v>0.60198249999999998</v>
      </c>
      <c r="F962" t="s">
        <v>41</v>
      </c>
      <c r="G962">
        <v>-210.48939999999999</v>
      </c>
      <c r="H962" s="1">
        <v>-5.3944520000000001E-6</v>
      </c>
      <c r="I962">
        <v>362.10660000000001</v>
      </c>
      <c r="J962">
        <v>-229.51679999999999</v>
      </c>
      <c r="K962">
        <v>1.1214900000000001</v>
      </c>
      <c r="L962">
        <v>367.55369999999999</v>
      </c>
      <c r="M962">
        <v>0.99980550000000001</v>
      </c>
      <c r="N962">
        <v>-1.9595330000000001E-2</v>
      </c>
      <c r="O962">
        <v>2.2211790000000002E-3</v>
      </c>
      <c r="P962">
        <v>0.99298540000000002</v>
      </c>
      <c r="Q962">
        <v>-0.11776349999999999</v>
      </c>
      <c r="R962">
        <v>-1.057513E-2</v>
      </c>
      <c r="S962">
        <v>2.9915919999999998</v>
      </c>
      <c r="T962">
        <v>-0.17460000000000001</v>
      </c>
      <c r="U962">
        <v>-0.8479004</v>
      </c>
      <c r="V962">
        <v>1.2777220000000001E-2</v>
      </c>
      <c r="W962">
        <v>-9.8284070000000001E-2</v>
      </c>
      <c r="X962">
        <v>0.99507639999999997</v>
      </c>
      <c r="Y962">
        <v>0.2742349</v>
      </c>
      <c r="Z962">
        <v>-1.066808E-2</v>
      </c>
      <c r="AA962">
        <v>0.9616036</v>
      </c>
      <c r="AB962">
        <v>19</v>
      </c>
      <c r="AC962">
        <v>19.0274</v>
      </c>
      <c r="AD962">
        <v>-1.1214953944520001</v>
      </c>
      <c r="AE962">
        <v>-5.4470999999999696</v>
      </c>
      <c r="AF962">
        <v>5.4717885549192697</v>
      </c>
      <c r="AG962">
        <v>-1.1214953944520001</v>
      </c>
      <c r="AH962">
        <v>18.954391027852498</v>
      </c>
      <c r="AI962">
        <v>93.253578575339006</v>
      </c>
      <c r="AJ962">
        <v>73.897531395789301</v>
      </c>
      <c r="AK962">
        <v>19.760241930357498</v>
      </c>
      <c r="AL962">
        <v>95.640367984596907</v>
      </c>
      <c r="AM962">
        <v>89.264337341856901</v>
      </c>
      <c r="AN962">
        <v>1.00000002880182</v>
      </c>
    </row>
    <row r="963" spans="1:40" x14ac:dyDescent="0.25">
      <c r="A963" t="str">
        <f>"20190303154438155"</f>
        <v>20190303154438155</v>
      </c>
      <c r="B963" t="str">
        <f>"1551599078151580"</f>
        <v>1551599078151580</v>
      </c>
      <c r="C963" t="s">
        <v>40</v>
      </c>
      <c r="D963">
        <v>5.1707910000000004</v>
      </c>
      <c r="E963">
        <v>0.53728469999999995</v>
      </c>
      <c r="F963" t="s">
        <v>41</v>
      </c>
      <c r="G963">
        <v>-210.64269999999999</v>
      </c>
      <c r="H963" s="1">
        <v>-5.3055460000000003E-6</v>
      </c>
      <c r="I963">
        <v>362.23689999999999</v>
      </c>
      <c r="J963">
        <v>-229.2852</v>
      </c>
      <c r="K963">
        <v>1.1214010000000001</v>
      </c>
      <c r="L963">
        <v>367.55430000000001</v>
      </c>
      <c r="M963">
        <v>0.99981960000000003</v>
      </c>
      <c r="N963">
        <v>-1.8868739999999998E-2</v>
      </c>
      <c r="O963">
        <v>2.221106E-3</v>
      </c>
      <c r="P963">
        <v>0.9929888</v>
      </c>
      <c r="Q963">
        <v>-0.11765829999999999</v>
      </c>
      <c r="R963">
        <v>-1.1385070000000001E-2</v>
      </c>
      <c r="S963">
        <v>2.9911349999999999</v>
      </c>
      <c r="T963">
        <v>-0.17773220000000001</v>
      </c>
      <c r="U963">
        <v>-0.84259030000000001</v>
      </c>
      <c r="V963">
        <v>1.358701E-2</v>
      </c>
      <c r="W963">
        <v>-9.8902009999999999E-2</v>
      </c>
      <c r="X963">
        <v>0.99500440000000001</v>
      </c>
      <c r="Y963">
        <v>0.27268249999999999</v>
      </c>
      <c r="Z963">
        <v>-1.065313E-2</v>
      </c>
      <c r="AA963">
        <v>0.96204509999999999</v>
      </c>
      <c r="AB963">
        <v>19</v>
      </c>
      <c r="AC963">
        <v>18.642499999999998</v>
      </c>
      <c r="AD963">
        <v>-1.121406305546</v>
      </c>
      <c r="AE963">
        <v>-5.3174000000000197</v>
      </c>
      <c r="AF963">
        <v>5.3409295202762701</v>
      </c>
      <c r="AG963">
        <v>-1.121406305546</v>
      </c>
      <c r="AH963">
        <v>18.568507870948899</v>
      </c>
      <c r="AI963">
        <v>93.321704179296006</v>
      </c>
      <c r="AJ963">
        <v>73.952978783448003</v>
      </c>
      <c r="AK963">
        <v>19.353877254859501</v>
      </c>
      <c r="AL963">
        <v>95.675946931530305</v>
      </c>
      <c r="AM963">
        <v>89.217661803060594</v>
      </c>
      <c r="AN963">
        <v>0.99999998522107003</v>
      </c>
    </row>
    <row r="964" spans="1:40" x14ac:dyDescent="0.25">
      <c r="A964" t="str">
        <f>"20190303154438173"</f>
        <v>20190303154438173</v>
      </c>
      <c r="B964" t="str">
        <f>"1551599078161340"</f>
        <v>1551599078161340</v>
      </c>
      <c r="C964" t="s">
        <v>40</v>
      </c>
      <c r="D964">
        <v>5.1928939999999999</v>
      </c>
      <c r="E964">
        <v>0.53398290000000004</v>
      </c>
      <c r="F964" t="s">
        <v>42</v>
      </c>
      <c r="G964">
        <v>-228.5472</v>
      </c>
      <c r="H964">
        <v>0.94357630000000003</v>
      </c>
      <c r="I964">
        <v>367.4692</v>
      </c>
      <c r="J964">
        <v>-229.12819999999999</v>
      </c>
      <c r="K964">
        <v>1.1213500000000001</v>
      </c>
      <c r="L964">
        <v>367.55459999999999</v>
      </c>
      <c r="M964">
        <v>0.99982870000000001</v>
      </c>
      <c r="N964">
        <v>-1.8382039999999999E-2</v>
      </c>
      <c r="O964">
        <v>2.2211290000000001E-3</v>
      </c>
      <c r="P964">
        <v>0.99305540000000003</v>
      </c>
      <c r="Q964">
        <v>-0.11705599999999999</v>
      </c>
      <c r="R964">
        <v>-1.1794570000000001E-2</v>
      </c>
      <c r="S964">
        <v>2.933548</v>
      </c>
      <c r="T964">
        <v>-0.70695920000000001</v>
      </c>
      <c r="U964">
        <v>-0.33724979999999999</v>
      </c>
      <c r="V964">
        <v>1.3996639999999999E-2</v>
      </c>
      <c r="W964">
        <v>-9.8782930000000005E-2</v>
      </c>
      <c r="X964">
        <v>0.99501059999999997</v>
      </c>
      <c r="Y964">
        <v>0.11291950000000001</v>
      </c>
      <c r="Z964">
        <v>-1.491493E-2</v>
      </c>
      <c r="AA964">
        <v>0.99349219999999905</v>
      </c>
      <c r="AB964">
        <v>19</v>
      </c>
      <c r="AC964">
        <v>0.58099999999998797</v>
      </c>
      <c r="AD964">
        <v>-0.17777370000000001</v>
      </c>
      <c r="AE964">
        <v>-8.5399999999992801E-2</v>
      </c>
      <c r="AF964">
        <v>7.9412847279727902E-2</v>
      </c>
      <c r="AG964">
        <v>-0.17777370000000001</v>
      </c>
      <c r="AH964">
        <v>0.53205014933680705</v>
      </c>
      <c r="AI964">
        <v>108.287107787339</v>
      </c>
      <c r="AJ964">
        <v>81.510805697523494</v>
      </c>
      <c r="AK964">
        <v>0.56655736702833703</v>
      </c>
      <c r="AL964">
        <v>95.669090299605301</v>
      </c>
      <c r="AM964">
        <v>89.1940834496517</v>
      </c>
      <c r="AN964">
        <v>1.00000003365151</v>
      </c>
    </row>
    <row r="965" spans="1:40" x14ac:dyDescent="0.25">
      <c r="A965" t="str">
        <f>"20190303154438196"</f>
        <v>20190303154438196</v>
      </c>
      <c r="B965" t="str">
        <f>"1551599078191598"</f>
        <v>1551599078191598</v>
      </c>
      <c r="C965" t="s">
        <v>40</v>
      </c>
      <c r="D965">
        <v>5.1457990000000002</v>
      </c>
      <c r="E965">
        <v>0.53008339999999998</v>
      </c>
      <c r="F965" t="s">
        <v>42</v>
      </c>
      <c r="G965">
        <v>-228.3819</v>
      </c>
      <c r="H965">
        <v>0.92925170000000001</v>
      </c>
      <c r="I965">
        <v>367.47469999999998</v>
      </c>
      <c r="J965">
        <v>-228.9333</v>
      </c>
      <c r="K965">
        <v>1.1212930000000001</v>
      </c>
      <c r="L965">
        <v>367.55509999999998</v>
      </c>
      <c r="M965">
        <v>0.99983909999999998</v>
      </c>
      <c r="N965">
        <v>-1.7800030000000001E-2</v>
      </c>
      <c r="O965">
        <v>2.2213509999999999E-3</v>
      </c>
      <c r="P965">
        <v>0.99313359999999995</v>
      </c>
      <c r="Q965">
        <v>-0.1163546</v>
      </c>
      <c r="R965">
        <v>-1.2134010000000001E-2</v>
      </c>
      <c r="S965">
        <v>2.928391</v>
      </c>
      <c r="T965">
        <v>-0.75386070000000005</v>
      </c>
      <c r="U965">
        <v>-0.31286619999999998</v>
      </c>
      <c r="V965">
        <v>1.433656E-2</v>
      </c>
      <c r="W965">
        <v>-9.8659460000000004E-2</v>
      </c>
      <c r="X965">
        <v>0.99501799999999996</v>
      </c>
      <c r="Y965">
        <v>0.1047599</v>
      </c>
      <c r="Z965">
        <v>-1.4705350000000001E-2</v>
      </c>
      <c r="AA965">
        <v>0.99438879999999996</v>
      </c>
      <c r="AB965">
        <v>19</v>
      </c>
      <c r="AC965">
        <v>0.551400000000001</v>
      </c>
      <c r="AD965">
        <v>-0.1920413</v>
      </c>
      <c r="AE965">
        <v>-8.0399999999997293E-2</v>
      </c>
      <c r="AF965">
        <v>7.2959233901966597E-2</v>
      </c>
      <c r="AG965">
        <v>-0.1920413</v>
      </c>
      <c r="AH965">
        <v>0.49270033131297503</v>
      </c>
      <c r="AI965">
        <v>111.085073890527</v>
      </c>
      <c r="AJ965">
        <v>81.576832547202997</v>
      </c>
      <c r="AK965">
        <v>0.53381319503471203</v>
      </c>
      <c r="AL965">
        <v>95.661981322824502</v>
      </c>
      <c r="AM965">
        <v>89.174519913048798</v>
      </c>
      <c r="AN965">
        <v>1.00000002316206</v>
      </c>
    </row>
    <row r="966" spans="1:40" x14ac:dyDescent="0.25">
      <c r="A966" t="str">
        <f>"20190303154438218"</f>
        <v>20190303154438218</v>
      </c>
      <c r="B966" t="str">
        <f>"1551599078211117"</f>
        <v>1551599078211117</v>
      </c>
      <c r="C966" t="s">
        <v>40</v>
      </c>
      <c r="D966">
        <v>5.0976489999999997</v>
      </c>
      <c r="E966">
        <v>0.52884109999999995</v>
      </c>
      <c r="F966" t="s">
        <v>42</v>
      </c>
      <c r="G966">
        <v>-228.21430000000001</v>
      </c>
      <c r="H966">
        <v>0.92021609999999998</v>
      </c>
      <c r="I966">
        <v>367.48489999999998</v>
      </c>
      <c r="J966">
        <v>-228.73429999999999</v>
      </c>
      <c r="K966">
        <v>1.1212549999999999</v>
      </c>
      <c r="L966">
        <v>367.55549999999999</v>
      </c>
      <c r="M966">
        <v>0.99984879999999998</v>
      </c>
      <c r="N966">
        <v>-1.725078E-2</v>
      </c>
      <c r="O966">
        <v>2.2214779999999998E-3</v>
      </c>
      <c r="P966">
        <v>0.99318759999999995</v>
      </c>
      <c r="Q966">
        <v>-0.1159181</v>
      </c>
      <c r="R966">
        <v>-1.189288E-2</v>
      </c>
      <c r="S966">
        <v>2.9215239999999998</v>
      </c>
      <c r="T966">
        <v>-0.81710709999999998</v>
      </c>
      <c r="U966">
        <v>-0.28421020000000002</v>
      </c>
      <c r="V966">
        <v>1.4095750000000001E-2</v>
      </c>
      <c r="W966">
        <v>-9.8768690000000006E-2</v>
      </c>
      <c r="X966">
        <v>0.99501059999999997</v>
      </c>
      <c r="Y966">
        <v>9.5111119999999993E-2</v>
      </c>
      <c r="Z966">
        <v>-1.4430510000000001E-2</v>
      </c>
      <c r="AA966">
        <v>0.99536199999999997</v>
      </c>
      <c r="AB966">
        <v>19</v>
      </c>
      <c r="AC966">
        <v>0.51999999999998103</v>
      </c>
      <c r="AD966">
        <v>-0.20103889999999899</v>
      </c>
      <c r="AE966">
        <v>-7.0600000000013097E-2</v>
      </c>
      <c r="AF966">
        <v>6.2571842860298502E-2</v>
      </c>
      <c r="AG966">
        <v>-0.20103889999999899</v>
      </c>
      <c r="AH966">
        <v>0.45331179242909198</v>
      </c>
      <c r="AI966">
        <v>113.71702519343199</v>
      </c>
      <c r="AJ966">
        <v>82.140971489458195</v>
      </c>
      <c r="AK966">
        <v>0.49982342480862202</v>
      </c>
      <c r="AL966">
        <v>95.668270480348795</v>
      </c>
      <c r="AM966">
        <v>89.188377527217796</v>
      </c>
      <c r="AN966">
        <v>1.0000000192023599</v>
      </c>
    </row>
    <row r="967" spans="1:40" x14ac:dyDescent="0.25">
      <c r="A967" t="str">
        <f>"20190303154438240"</f>
        <v>20190303154438240</v>
      </c>
      <c r="B967" t="str">
        <f>"1551599078231612"</f>
        <v>1551599078231612</v>
      </c>
      <c r="C967" t="s">
        <v>40</v>
      </c>
      <c r="D967">
        <v>5.1062789999999998</v>
      </c>
      <c r="E967">
        <v>0.52805230000000003</v>
      </c>
      <c r="F967" t="s">
        <v>42</v>
      </c>
      <c r="G967">
        <v>-228.04089999999999</v>
      </c>
      <c r="H967">
        <v>0.92274679999999998</v>
      </c>
      <c r="I967">
        <v>367.49040000000002</v>
      </c>
      <c r="J967">
        <v>-228.5504</v>
      </c>
      <c r="K967">
        <v>1.1212279999999999</v>
      </c>
      <c r="L967">
        <v>367.55590000000001</v>
      </c>
      <c r="M967">
        <v>0.99985659999999998</v>
      </c>
      <c r="N967">
        <v>-1.679464E-2</v>
      </c>
      <c r="O967">
        <v>2.221504E-3</v>
      </c>
      <c r="P967">
        <v>0.99327869999999996</v>
      </c>
      <c r="Q967">
        <v>-0.1151678</v>
      </c>
      <c r="R967">
        <v>-1.157594E-2</v>
      </c>
      <c r="S967">
        <v>2.9197389999999999</v>
      </c>
      <c r="T967">
        <v>-0.8360474</v>
      </c>
      <c r="U967">
        <v>-0.27374270000000001</v>
      </c>
      <c r="V967">
        <v>1.377895E-2</v>
      </c>
      <c r="W967">
        <v>-9.8470810000000006E-2</v>
      </c>
      <c r="X967">
        <v>0.9950445</v>
      </c>
      <c r="Y967">
        <v>9.1605359999999997E-2</v>
      </c>
      <c r="Z967">
        <v>-1.420312E-2</v>
      </c>
      <c r="AA967">
        <v>0.99569410000000003</v>
      </c>
      <c r="AB967">
        <v>19</v>
      </c>
      <c r="AC967">
        <v>0.50950000000000195</v>
      </c>
      <c r="AD967">
        <v>-0.1984812</v>
      </c>
      <c r="AE967">
        <v>-6.5499999999985903E-2</v>
      </c>
      <c r="AF967">
        <v>5.7976524163128498E-2</v>
      </c>
      <c r="AG967">
        <v>-0.1984812</v>
      </c>
      <c r="AH967">
        <v>0.443189361290377</v>
      </c>
      <c r="AI967">
        <v>113.94427843675901</v>
      </c>
      <c r="AJ967">
        <v>82.547082679483495</v>
      </c>
      <c r="AK967">
        <v>0.48905303809346701</v>
      </c>
      <c r="AL967">
        <v>95.651119951106196</v>
      </c>
      <c r="AM967">
        <v>89.206643295959296</v>
      </c>
      <c r="AN967">
        <v>0.99999995843270295</v>
      </c>
    </row>
    <row r="968" spans="1:40" x14ac:dyDescent="0.25">
      <c r="A968" t="str">
        <f>"20190303154438262"</f>
        <v>20190303154438262</v>
      </c>
      <c r="B968" t="str">
        <f>"1551599078251132"</f>
        <v>1551599078251132</v>
      </c>
      <c r="C968" t="s">
        <v>40</v>
      </c>
      <c r="D968">
        <v>5.1298469999999998</v>
      </c>
      <c r="E968">
        <v>0.52755059999999998</v>
      </c>
      <c r="F968" t="s">
        <v>42</v>
      </c>
      <c r="G968">
        <v>-227.86920000000001</v>
      </c>
      <c r="H968">
        <v>0.92236200000000002</v>
      </c>
      <c r="I968">
        <v>367.49329999999998</v>
      </c>
      <c r="J968">
        <v>-228.3579</v>
      </c>
      <c r="K968">
        <v>1.1212169999999999</v>
      </c>
      <c r="L968">
        <v>367.5564</v>
      </c>
      <c r="M968">
        <v>0.99986359999999996</v>
      </c>
      <c r="N968">
        <v>-1.6367030000000001E-2</v>
      </c>
      <c r="O968">
        <v>2.2215490000000002E-3</v>
      </c>
      <c r="P968">
        <v>0.99336389999999997</v>
      </c>
      <c r="Q968">
        <v>-0.1144797</v>
      </c>
      <c r="R968">
        <v>-1.108309E-2</v>
      </c>
      <c r="S968">
        <v>2.9184109999999999</v>
      </c>
      <c r="T968">
        <v>-0.85191539999999999</v>
      </c>
      <c r="U968">
        <v>-0.2669067</v>
      </c>
      <c r="V968">
        <v>1.3286040000000001E-2</v>
      </c>
      <c r="W968">
        <v>-9.8206870000000002E-2</v>
      </c>
      <c r="X968">
        <v>0.99507730000000005</v>
      </c>
      <c r="Y968">
        <v>8.9292549999999998E-2</v>
      </c>
      <c r="Z968">
        <v>-1.408773E-2</v>
      </c>
      <c r="AA968">
        <v>0.99590579999999995</v>
      </c>
      <c r="AB968">
        <v>19</v>
      </c>
      <c r="AC968">
        <v>0.48869999999999397</v>
      </c>
      <c r="AD968">
        <v>-0.198854999999999</v>
      </c>
      <c r="AE968">
        <v>-6.3100000000019904E-2</v>
      </c>
      <c r="AF968">
        <v>5.5196498028512599E-2</v>
      </c>
      <c r="AG968">
        <v>-0.198854999999999</v>
      </c>
      <c r="AH968">
        <v>0.420136261831977</v>
      </c>
      <c r="AI968">
        <v>115.139640056915</v>
      </c>
      <c r="AJ968">
        <v>82.515482106564093</v>
      </c>
      <c r="AK968">
        <v>0.46808593540690702</v>
      </c>
      <c r="AL968">
        <v>95.635923577076795</v>
      </c>
      <c r="AM968">
        <v>89.235045570530602</v>
      </c>
      <c r="AN968">
        <v>0.99999997057468304</v>
      </c>
    </row>
    <row r="969" spans="1:40" x14ac:dyDescent="0.25">
      <c r="A969" t="str">
        <f>"20190303154438285"</f>
        <v>20190303154438285</v>
      </c>
      <c r="B969" t="str">
        <f>"1551599078281389"</f>
        <v>1551599078281389</v>
      </c>
      <c r="C969" t="s">
        <v>40</v>
      </c>
      <c r="D969">
        <v>5.0285710000000003</v>
      </c>
      <c r="E969">
        <v>0.52656049999999999</v>
      </c>
      <c r="F969" t="s">
        <v>42</v>
      </c>
      <c r="G969">
        <v>-227.54519999999999</v>
      </c>
      <c r="H969">
        <v>0.87863329999999995</v>
      </c>
      <c r="I969">
        <v>367.48329999999999</v>
      </c>
      <c r="J969">
        <v>-228.1687</v>
      </c>
      <c r="K969">
        <v>1.1212089999999999</v>
      </c>
      <c r="L969">
        <v>367.55680000000001</v>
      </c>
      <c r="M969">
        <v>0.99986980000000003</v>
      </c>
      <c r="N969">
        <v>-1.5992389999999999E-2</v>
      </c>
      <c r="O969">
        <v>2.2211969999999998E-3</v>
      </c>
      <c r="P969">
        <v>0.99342030000000003</v>
      </c>
      <c r="Q969">
        <v>-0.1140308</v>
      </c>
      <c r="R969">
        <v>-1.0654459999999999E-2</v>
      </c>
      <c r="S969">
        <v>2.9167939999999999</v>
      </c>
      <c r="T969">
        <v>-0.87059660000000005</v>
      </c>
      <c r="U969">
        <v>-0.2618103</v>
      </c>
      <c r="V969">
        <v>1.2857260000000001E-2</v>
      </c>
      <c r="W969">
        <v>-9.8129980000000006E-2</v>
      </c>
      <c r="X969">
        <v>0.99509049999999999</v>
      </c>
      <c r="Y969">
        <v>8.7527339999999995E-2</v>
      </c>
      <c r="Z969">
        <v>-1.4089630000000001E-2</v>
      </c>
      <c r="AA969">
        <v>0.99606249999999996</v>
      </c>
      <c r="AB969">
        <v>19</v>
      </c>
      <c r="AC969">
        <v>0.62350000000000705</v>
      </c>
      <c r="AD969">
        <v>-0.24257570000000001</v>
      </c>
      <c r="AE969">
        <v>-7.3500000000024102E-2</v>
      </c>
      <c r="AF969">
        <v>6.5157593460367896E-2</v>
      </c>
      <c r="AG969">
        <v>-0.24257570000000001</v>
      </c>
      <c r="AH969">
        <v>0.54236587047170604</v>
      </c>
      <c r="AI969">
        <v>113.944174922012</v>
      </c>
      <c r="AJ969">
        <v>83.149552676662196</v>
      </c>
      <c r="AK969">
        <v>0.59770328731618005</v>
      </c>
      <c r="AL969">
        <v>95.631496823197693</v>
      </c>
      <c r="AM969">
        <v>89.259739949185601</v>
      </c>
      <c r="AN969">
        <v>0.99999995264987795</v>
      </c>
    </row>
    <row r="970" spans="1:40" x14ac:dyDescent="0.25">
      <c r="A970" t="str">
        <f>"20190303154438307"</f>
        <v>20190303154438307</v>
      </c>
      <c r="B970" t="str">
        <f>"1551599078301887"</f>
        <v>1551599078301887</v>
      </c>
      <c r="C970" t="s">
        <v>40</v>
      </c>
      <c r="D970">
        <v>4.9059249999999999</v>
      </c>
      <c r="E970">
        <v>0.52681409999999995</v>
      </c>
      <c r="F970" t="s">
        <v>42</v>
      </c>
      <c r="G970">
        <v>-227.3734</v>
      </c>
      <c r="H970">
        <v>0.87979349999999901</v>
      </c>
      <c r="I970">
        <v>367.48779999999999</v>
      </c>
      <c r="J970">
        <v>-227.97110000000001</v>
      </c>
      <c r="K970">
        <v>1.121202</v>
      </c>
      <c r="L970">
        <v>367.5573</v>
      </c>
      <c r="M970">
        <v>0.99987519999999996</v>
      </c>
      <c r="N970">
        <v>-1.5645719999999998E-2</v>
      </c>
      <c r="O970">
        <v>2.2216279999999998E-3</v>
      </c>
      <c r="P970">
        <v>0.99348930000000002</v>
      </c>
      <c r="Q970">
        <v>-0.1134579</v>
      </c>
      <c r="R970">
        <v>-1.033094E-2</v>
      </c>
      <c r="S970">
        <v>2.9155880000000001</v>
      </c>
      <c r="T970">
        <v>-0.88505159999999905</v>
      </c>
      <c r="U970">
        <v>-0.25283810000000001</v>
      </c>
      <c r="V970">
        <v>1.2534409999999999E-2</v>
      </c>
      <c r="W970">
        <v>-9.7901059999999998E-2</v>
      </c>
      <c r="X970">
        <v>0.99511719999999904</v>
      </c>
      <c r="Y970">
        <v>8.4532860000000001E-2</v>
      </c>
      <c r="Z970">
        <v>-1.3827890000000001E-2</v>
      </c>
      <c r="AA970">
        <v>0.99632469999999995</v>
      </c>
      <c r="AB970">
        <v>19</v>
      </c>
      <c r="AC970">
        <v>0.59770000000000301</v>
      </c>
      <c r="AD970">
        <v>-0.2414085</v>
      </c>
      <c r="AE970">
        <v>-6.9500000000005002E-2</v>
      </c>
      <c r="AF970">
        <v>6.1008243254930802E-2</v>
      </c>
      <c r="AG970">
        <v>-0.2414085</v>
      </c>
      <c r="AH970">
        <v>0.51470024670901005</v>
      </c>
      <c r="AI970">
        <v>114.97454183043</v>
      </c>
      <c r="AJ970">
        <v>83.240179798546194</v>
      </c>
      <c r="AK970">
        <v>0.57176604794235497</v>
      </c>
      <c r="AL970">
        <v>95.618317027000401</v>
      </c>
      <c r="AM970">
        <v>89.2783454909043</v>
      </c>
      <c r="AN970">
        <v>0.99999998535950496</v>
      </c>
    </row>
    <row r="971" spans="1:40" x14ac:dyDescent="0.25">
      <c r="A971" t="str">
        <f>"20190303154438329"</f>
        <v>20190303154438329</v>
      </c>
      <c r="B971" t="str">
        <f>"1551599078321404"</f>
        <v>1551599078321404</v>
      </c>
      <c r="C971" t="s">
        <v>40</v>
      </c>
      <c r="D971">
        <v>5.114592</v>
      </c>
      <c r="E971">
        <v>0.52652339999999997</v>
      </c>
      <c r="F971" t="s">
        <v>42</v>
      </c>
      <c r="G971">
        <v>-227.19929999999999</v>
      </c>
      <c r="H971">
        <v>0.88733719999999905</v>
      </c>
      <c r="I971">
        <v>367.48970000000003</v>
      </c>
      <c r="J971">
        <v>-227.78700000000001</v>
      </c>
      <c r="K971">
        <v>1.121197</v>
      </c>
      <c r="L971">
        <v>367.55759999999998</v>
      </c>
      <c r="M971">
        <v>0.99987959999999998</v>
      </c>
      <c r="N971">
        <v>-1.536125E-2</v>
      </c>
      <c r="O971">
        <v>2.2218170000000001E-3</v>
      </c>
      <c r="P971">
        <v>0.99352339999999995</v>
      </c>
      <c r="Q971">
        <v>-0.11314159999999999</v>
      </c>
      <c r="R971">
        <v>-1.051233E-2</v>
      </c>
      <c r="S971">
        <v>2.916077</v>
      </c>
      <c r="T971">
        <v>-0.88376139999999903</v>
      </c>
      <c r="U971">
        <v>-0.25396729999999901</v>
      </c>
      <c r="V971">
        <v>1.2716150000000001E-2</v>
      </c>
      <c r="W971">
        <v>-9.7867389999999999E-2</v>
      </c>
      <c r="X971">
        <v>0.99511819999999895</v>
      </c>
      <c r="Y971">
        <v>8.4900649999999994E-2</v>
      </c>
      <c r="Z971">
        <v>-1.385278E-2</v>
      </c>
      <c r="AA971">
        <v>0.99629310000000004</v>
      </c>
      <c r="AB971">
        <v>19</v>
      </c>
      <c r="AC971">
        <v>0.58770000000001199</v>
      </c>
      <c r="AD971">
        <v>-0.23385980000000001</v>
      </c>
      <c r="AE971">
        <v>-6.7899999999951804E-2</v>
      </c>
      <c r="AF971">
        <v>5.9853229570270103E-2</v>
      </c>
      <c r="AG971">
        <v>-0.23385980000000001</v>
      </c>
      <c r="AH971">
        <v>0.50814602069306503</v>
      </c>
      <c r="AI971">
        <v>114.563337273492</v>
      </c>
      <c r="AJ971">
        <v>83.282228694007699</v>
      </c>
      <c r="AK971">
        <v>0.56257016761665202</v>
      </c>
      <c r="AL971">
        <v>95.616378603745801</v>
      </c>
      <c r="AM971">
        <v>89.267883881913093</v>
      </c>
      <c r="AN971">
        <v>0.99999997923373696</v>
      </c>
    </row>
    <row r="972" spans="1:40" x14ac:dyDescent="0.25">
      <c r="A972" t="str">
        <f>"20190303154438351"</f>
        <v>20190303154438351</v>
      </c>
      <c r="B972" t="str">
        <f>"1551599078340925"</f>
        <v>1551599078340925</v>
      </c>
      <c r="C972" t="s">
        <v>40</v>
      </c>
      <c r="D972">
        <v>5.1085500000000001</v>
      </c>
      <c r="E972">
        <v>0.52620429999999996</v>
      </c>
      <c r="F972" t="s">
        <v>42</v>
      </c>
      <c r="G972">
        <v>-227.02770000000001</v>
      </c>
      <c r="H972">
        <v>0.88936899999999997</v>
      </c>
      <c r="I972">
        <v>367.49169999999998</v>
      </c>
      <c r="J972">
        <v>-227.59370000000001</v>
      </c>
      <c r="K972">
        <v>1.121189</v>
      </c>
      <c r="L972">
        <v>367.55799999999999</v>
      </c>
      <c r="M972">
        <v>0.99988370000000004</v>
      </c>
      <c r="N972">
        <v>-1.509952E-2</v>
      </c>
      <c r="O972">
        <v>2.2216150000000001E-3</v>
      </c>
      <c r="P972">
        <v>0.99352969999999896</v>
      </c>
      <c r="Q972">
        <v>-0.1130828</v>
      </c>
      <c r="R972">
        <v>-1.055247E-2</v>
      </c>
      <c r="S972">
        <v>2.9155120000000001</v>
      </c>
      <c r="T972">
        <v>-0.89011980000000002</v>
      </c>
      <c r="U972">
        <v>-0.25265500000000002</v>
      </c>
      <c r="V972">
        <v>1.275592E-2</v>
      </c>
      <c r="W972">
        <v>-9.8068950000000002E-2</v>
      </c>
      <c r="X972">
        <v>0.99509789999999998</v>
      </c>
      <c r="Y972">
        <v>8.443929E-2</v>
      </c>
      <c r="Z972">
        <v>-1.3863469999999999E-2</v>
      </c>
      <c r="AA972">
        <v>0.9963322</v>
      </c>
      <c r="AB972">
        <v>19</v>
      </c>
      <c r="AC972">
        <v>0.56600000000000195</v>
      </c>
      <c r="AD972">
        <v>-0.231819999999999</v>
      </c>
      <c r="AE972">
        <v>-6.6300000000069303E-2</v>
      </c>
      <c r="AF972">
        <v>5.7965221202778097E-2</v>
      </c>
      <c r="AG972">
        <v>-0.231819999999999</v>
      </c>
      <c r="AH972">
        <v>0.485508453140994</v>
      </c>
      <c r="AI972">
        <v>115.366179196479</v>
      </c>
      <c r="AJ972">
        <v>83.191640653826497</v>
      </c>
      <c r="AK972">
        <v>0.54112746866191097</v>
      </c>
      <c r="AL972">
        <v>95.627982668337495</v>
      </c>
      <c r="AM972">
        <v>89.265579445044693</v>
      </c>
      <c r="AN972">
        <v>1.0000000315167701</v>
      </c>
    </row>
    <row r="973" spans="1:40" x14ac:dyDescent="0.25">
      <c r="A973" t="str">
        <f>"20190303154438374"</f>
        <v>20190303154438374</v>
      </c>
      <c r="B973" t="str">
        <f>"1551599078371180"</f>
        <v>1551599078371180</v>
      </c>
      <c r="C973" t="s">
        <v>40</v>
      </c>
      <c r="D973">
        <v>5.0715450000000004</v>
      </c>
      <c r="E973">
        <v>0.52611960000000002</v>
      </c>
      <c r="F973" t="s">
        <v>42</v>
      </c>
      <c r="G973">
        <v>-226.8544</v>
      </c>
      <c r="H973">
        <v>0.89584299999999994</v>
      </c>
      <c r="I973">
        <v>367.49439999999998</v>
      </c>
      <c r="J973">
        <v>-227.4025</v>
      </c>
      <c r="K973">
        <v>1.1211850000000001</v>
      </c>
      <c r="L973">
        <v>367.55849999999998</v>
      </c>
      <c r="M973">
        <v>0.99988699999999997</v>
      </c>
      <c r="N973">
        <v>-1.487307E-2</v>
      </c>
      <c r="O973">
        <v>2.2216509999999998E-3</v>
      </c>
      <c r="P973">
        <v>0.99352200000000002</v>
      </c>
      <c r="Q973">
        <v>-0.1131008</v>
      </c>
      <c r="R973">
        <v>-1.106969E-2</v>
      </c>
      <c r="S973">
        <v>2.9157259999999998</v>
      </c>
      <c r="T973">
        <v>-0.88872390000000001</v>
      </c>
      <c r="U973">
        <v>-0.24987789999999999</v>
      </c>
      <c r="V973">
        <v>1.327336E-2</v>
      </c>
      <c r="W973">
        <v>-9.831252E-2</v>
      </c>
      <c r="X973">
        <v>0.99506709999999998</v>
      </c>
      <c r="Y973">
        <v>8.3548600000000001E-2</v>
      </c>
      <c r="Z973">
        <v>-1.369451E-2</v>
      </c>
      <c r="AA973">
        <v>0.99640960000000001</v>
      </c>
      <c r="AB973">
        <v>19</v>
      </c>
      <c r="AC973">
        <v>0.54810000000000503</v>
      </c>
      <c r="AD973">
        <v>-0.22534199999999999</v>
      </c>
      <c r="AE973">
        <v>-6.4099999999996202E-2</v>
      </c>
      <c r="AF973">
        <v>5.5982585000304903E-2</v>
      </c>
      <c r="AG973">
        <v>-0.22534199999999999</v>
      </c>
      <c r="AH973">
        <v>0.46964334469660202</v>
      </c>
      <c r="AI973">
        <v>115.47509958712401</v>
      </c>
      <c r="AJ973">
        <v>83.202284685414398</v>
      </c>
      <c r="AK973">
        <v>0.52390642103826801</v>
      </c>
      <c r="AL973">
        <v>95.642005955213705</v>
      </c>
      <c r="AM973">
        <v>89.235767712289103</v>
      </c>
      <c r="AN973">
        <v>1.00000003358842</v>
      </c>
    </row>
    <row r="974" spans="1:40" x14ac:dyDescent="0.25">
      <c r="A974" t="str">
        <f>"20190303154438397"</f>
        <v>20190303154438397</v>
      </c>
      <c r="B974" t="str">
        <f>"1551599078391676"</f>
        <v>1551599078391676</v>
      </c>
      <c r="C974" t="s">
        <v>40</v>
      </c>
      <c r="D974">
        <v>4.8677739999999998</v>
      </c>
      <c r="E974">
        <v>0.5264953</v>
      </c>
      <c r="F974" t="s">
        <v>42</v>
      </c>
      <c r="G974">
        <v>-226.68190000000001</v>
      </c>
      <c r="H974">
        <v>0.90059149999999999</v>
      </c>
      <c r="I974">
        <v>367.49639999999999</v>
      </c>
      <c r="J974">
        <v>-227.20439999999999</v>
      </c>
      <c r="K974">
        <v>1.1211880000000001</v>
      </c>
      <c r="L974">
        <v>367.55889999999999</v>
      </c>
      <c r="M974">
        <v>0.99988999999999995</v>
      </c>
      <c r="N974">
        <v>-1.466829E-2</v>
      </c>
      <c r="O974">
        <v>2.221621E-3</v>
      </c>
      <c r="P974">
        <v>0.99346749999999995</v>
      </c>
      <c r="Q974">
        <v>-0.1134983</v>
      </c>
      <c r="R974">
        <v>-1.185633E-2</v>
      </c>
      <c r="S974">
        <v>2.9151609999999999</v>
      </c>
      <c r="T974">
        <v>-0.89241700000000002</v>
      </c>
      <c r="U974">
        <v>-0.25042720000000002</v>
      </c>
      <c r="V974">
        <v>1.405985E-2</v>
      </c>
      <c r="W974">
        <v>-9.8914650000000007E-2</v>
      </c>
      <c r="X974">
        <v>0.99499660000000001</v>
      </c>
      <c r="Y974">
        <v>8.3712350000000005E-2</v>
      </c>
      <c r="Z974">
        <v>-1.376634E-2</v>
      </c>
      <c r="AA974">
        <v>0.99639489999999997</v>
      </c>
      <c r="AB974">
        <v>19</v>
      </c>
      <c r="AC974">
        <v>0.52249999999997898</v>
      </c>
      <c r="AD974">
        <v>-0.220596499999999</v>
      </c>
      <c r="AE974">
        <v>-6.25E-2</v>
      </c>
      <c r="AF974">
        <v>5.4145573803197102E-2</v>
      </c>
      <c r="AG974">
        <v>-0.220596499999999</v>
      </c>
      <c r="AH974">
        <v>0.44428420488440901</v>
      </c>
      <c r="AI974">
        <v>116.23750697781</v>
      </c>
      <c r="AJ974">
        <v>83.051544334336796</v>
      </c>
      <c r="AK974">
        <v>0.49898197731430999</v>
      </c>
      <c r="AL974">
        <v>95.676674573814907</v>
      </c>
      <c r="AM974">
        <v>89.190432956967797</v>
      </c>
      <c r="AN974">
        <v>1.0000000106891</v>
      </c>
    </row>
    <row r="975" spans="1:40" x14ac:dyDescent="0.25">
      <c r="A975" t="str">
        <f>"20190303154438420"</f>
        <v>20190303154438420</v>
      </c>
      <c r="B975" t="str">
        <f>"1551599078411196"</f>
        <v>1551599078411196</v>
      </c>
      <c r="C975" t="s">
        <v>40</v>
      </c>
      <c r="D975">
        <v>4.9317320000000002</v>
      </c>
      <c r="E975">
        <v>0.52644009999999997</v>
      </c>
      <c r="F975" t="s">
        <v>42</v>
      </c>
      <c r="G975">
        <v>-226.50790000000001</v>
      </c>
      <c r="H975">
        <v>0.90885689999999997</v>
      </c>
      <c r="I975">
        <v>367.49759999999998</v>
      </c>
      <c r="J975">
        <v>-227.00909999999999</v>
      </c>
      <c r="K975">
        <v>1.121181</v>
      </c>
      <c r="L975">
        <v>367.55930000000001</v>
      </c>
      <c r="M975">
        <v>0.99989249999999996</v>
      </c>
      <c r="N975">
        <v>-1.4492970000000001E-2</v>
      </c>
      <c r="O975">
        <v>2.2215939999999999E-3</v>
      </c>
      <c r="P975">
        <v>0.99349940000000003</v>
      </c>
      <c r="Q975">
        <v>-0.1131867</v>
      </c>
      <c r="R975">
        <v>-1.214761E-2</v>
      </c>
      <c r="S975">
        <v>2.9151310000000001</v>
      </c>
      <c r="T975">
        <v>-0.88867430000000003</v>
      </c>
      <c r="U975">
        <v>-0.25579829999999998</v>
      </c>
      <c r="V975">
        <v>1.435109E-2</v>
      </c>
      <c r="W975">
        <v>-9.8777019999999993E-2</v>
      </c>
      <c r="X975">
        <v>0.9950061</v>
      </c>
      <c r="Y975">
        <v>8.5486779999999998E-2</v>
      </c>
      <c r="Z975">
        <v>-1.39826E-2</v>
      </c>
      <c r="AA975">
        <v>0.99624120000000005</v>
      </c>
      <c r="AB975">
        <v>19</v>
      </c>
      <c r="AC975">
        <v>0.50119999999998299</v>
      </c>
      <c r="AD975">
        <v>-0.21232409999999999</v>
      </c>
      <c r="AE975">
        <v>-6.1700000000030203E-2</v>
      </c>
      <c r="AF975">
        <v>5.3377170489965799E-2</v>
      </c>
      <c r="AG975">
        <v>-0.21232409999999999</v>
      </c>
      <c r="AH975">
        <v>0.42578880891592602</v>
      </c>
      <c r="AI975">
        <v>116.32564744697299</v>
      </c>
      <c r="AJ975">
        <v>82.854637590717502</v>
      </c>
      <c r="AK975">
        <v>0.47877631057558401</v>
      </c>
      <c r="AL975">
        <v>95.668750230051202</v>
      </c>
      <c r="AM975">
        <v>89.1736735297374</v>
      </c>
      <c r="AN975">
        <v>0.99999999625073899</v>
      </c>
    </row>
    <row r="976" spans="1:40" x14ac:dyDescent="0.25">
      <c r="A976" t="str">
        <f>"20190303154438443"</f>
        <v>20190303154438443</v>
      </c>
      <c r="B976" t="str">
        <f>"1551599078431692"</f>
        <v>1551599078431692</v>
      </c>
      <c r="C976" t="s">
        <v>40</v>
      </c>
      <c r="D976">
        <v>4.9006540000000003</v>
      </c>
      <c r="E976">
        <v>0.5268988</v>
      </c>
      <c r="F976" t="s">
        <v>42</v>
      </c>
      <c r="G976">
        <v>-226.3347</v>
      </c>
      <c r="H976">
        <v>0.91576639999999998</v>
      </c>
      <c r="I976">
        <v>367.49979999999999</v>
      </c>
      <c r="J976">
        <v>-226.82310000000001</v>
      </c>
      <c r="K976">
        <v>1.121175</v>
      </c>
      <c r="L976">
        <v>367.55970000000002</v>
      </c>
      <c r="M976">
        <v>0.99989459999999997</v>
      </c>
      <c r="N976">
        <v>-1.4348909999999999E-2</v>
      </c>
      <c r="O976">
        <v>2.2214460000000002E-3</v>
      </c>
      <c r="P976">
        <v>0.99344540000000003</v>
      </c>
      <c r="Q976">
        <v>-0.1136645</v>
      </c>
      <c r="R976">
        <v>-1.2121069999999999E-2</v>
      </c>
      <c r="S976">
        <v>2.915314</v>
      </c>
      <c r="T976">
        <v>-0.88797510000000002</v>
      </c>
      <c r="U976">
        <v>-0.25659179999999998</v>
      </c>
      <c r="V976">
        <v>1.4324180000000001E-2</v>
      </c>
      <c r="W976">
        <v>-9.9398909999999993E-2</v>
      </c>
      <c r="X976">
        <v>0.99494459999999996</v>
      </c>
      <c r="Y976">
        <v>8.5746669999999997E-2</v>
      </c>
      <c r="Z976">
        <v>-1.4006060000000001E-2</v>
      </c>
      <c r="AA976">
        <v>0.99621850000000001</v>
      </c>
      <c r="AB976">
        <v>19</v>
      </c>
      <c r="AC976">
        <v>0.48840000000001199</v>
      </c>
      <c r="AD976">
        <v>-0.205408599999999</v>
      </c>
      <c r="AE976">
        <v>-5.9900000000027299E-2</v>
      </c>
      <c r="AF976">
        <v>5.1934690191688698E-2</v>
      </c>
      <c r="AG976">
        <v>-0.205408599999999</v>
      </c>
      <c r="AH976">
        <v>0.41580655522353599</v>
      </c>
      <c r="AI976">
        <v>116.113706778305</v>
      </c>
      <c r="AJ976">
        <v>82.8805639001815</v>
      </c>
      <c r="AK976">
        <v>0.46667440080438299</v>
      </c>
      <c r="AL976">
        <v>95.704557867707194</v>
      </c>
      <c r="AM976">
        <v>89.175171801382703</v>
      </c>
      <c r="AN976">
        <v>1.0000000412554999</v>
      </c>
    </row>
    <row r="977" spans="1:40" x14ac:dyDescent="0.25">
      <c r="A977" t="str">
        <f>"20190303154438463"</f>
        <v>20190303154438463</v>
      </c>
      <c r="B977" t="str">
        <f>"1551599078460972"</f>
        <v>1551599078460972</v>
      </c>
      <c r="C977" t="s">
        <v>40</v>
      </c>
      <c r="D977">
        <v>5.0801210000000001</v>
      </c>
      <c r="E977">
        <v>0.55218599999999995</v>
      </c>
      <c r="F977" t="s">
        <v>42</v>
      </c>
      <c r="G977">
        <v>-226.01259999999999</v>
      </c>
      <c r="H977">
        <v>0.87551279999999998</v>
      </c>
      <c r="I977">
        <v>367.4871</v>
      </c>
      <c r="J977">
        <v>-226.64169999999999</v>
      </c>
      <c r="K977">
        <v>1.1211690000000001</v>
      </c>
      <c r="L977">
        <v>367.56009999999998</v>
      </c>
      <c r="M977">
        <v>0.99989629999999996</v>
      </c>
      <c r="N977">
        <v>-1.4226819999999999E-2</v>
      </c>
      <c r="O977">
        <v>2.2213089999999999E-3</v>
      </c>
      <c r="P977">
        <v>0.99348099999999995</v>
      </c>
      <c r="Q977">
        <v>-0.1133728</v>
      </c>
      <c r="R977">
        <v>-1.1919870000000001E-2</v>
      </c>
      <c r="S977">
        <v>2.9155120000000001</v>
      </c>
      <c r="T977">
        <v>-0.88371860000000002</v>
      </c>
      <c r="U977">
        <v>-0.26031490000000002</v>
      </c>
      <c r="V977">
        <v>1.4122869999999999E-2</v>
      </c>
      <c r="W977">
        <v>-9.9228259999999999E-2</v>
      </c>
      <c r="X977">
        <v>0.99496450000000003</v>
      </c>
      <c r="Y977">
        <v>8.6985439999999997E-2</v>
      </c>
      <c r="Z977">
        <v>-1.413004E-2</v>
      </c>
      <c r="AA977">
        <v>0.99610940000000003</v>
      </c>
      <c r="AB977">
        <v>19</v>
      </c>
      <c r="AC977">
        <v>0.629099999999994</v>
      </c>
      <c r="AD977">
        <v>-0.24565619999999999</v>
      </c>
      <c r="AE977">
        <v>-7.2999999999978998E-2</v>
      </c>
      <c r="AF977">
        <v>6.4667780099229993E-2</v>
      </c>
      <c r="AG977">
        <v>-0.24565619999999999</v>
      </c>
      <c r="AH977">
        <v>0.54668469552724896</v>
      </c>
      <c r="AI977">
        <v>114.048580431646</v>
      </c>
      <c r="AJ977">
        <v>83.253784747370602</v>
      </c>
      <c r="AK977">
        <v>0.60282090765427498</v>
      </c>
      <c r="AL977">
        <v>95.694731831205402</v>
      </c>
      <c r="AM977">
        <v>89.186778515470706</v>
      </c>
      <c r="AN977">
        <v>1.0000000296499501</v>
      </c>
    </row>
    <row r="978" spans="1:40" x14ac:dyDescent="0.25">
      <c r="A978" t="str">
        <f>"20190303154438486"</f>
        <v>20190303154438486</v>
      </c>
      <c r="B978" t="str">
        <f>"1551599078481468"</f>
        <v>1551599078481468</v>
      </c>
      <c r="C978" t="s">
        <v>40</v>
      </c>
      <c r="D978">
        <v>5.0484809999999998</v>
      </c>
      <c r="E978">
        <v>0.54921309999999901</v>
      </c>
      <c r="F978" t="s">
        <v>42</v>
      </c>
      <c r="G978">
        <v>-225.83269999999999</v>
      </c>
      <c r="H978">
        <v>0.89544509999999899</v>
      </c>
      <c r="I978">
        <v>367.43259999999998</v>
      </c>
      <c r="J978">
        <v>-226.45429999999999</v>
      </c>
      <c r="K978">
        <v>1.1211610000000001</v>
      </c>
      <c r="L978">
        <v>367.56049999999999</v>
      </c>
      <c r="M978">
        <v>0.99989799999999995</v>
      </c>
      <c r="N978">
        <v>-1.4117009999999999E-2</v>
      </c>
      <c r="O978">
        <v>2.2214349999999999E-3</v>
      </c>
      <c r="P978">
        <v>0.99345700000000003</v>
      </c>
      <c r="Q978">
        <v>-0.1135646</v>
      </c>
      <c r="R978">
        <v>-1.2107929999999999E-2</v>
      </c>
      <c r="S978">
        <v>2.9211580000000001</v>
      </c>
      <c r="T978">
        <v>-0.81499980000000005</v>
      </c>
      <c r="U978">
        <v>-0.45953369999999999</v>
      </c>
      <c r="V978">
        <v>1.431091E-2</v>
      </c>
      <c r="W978">
        <v>-9.9529619999999999E-2</v>
      </c>
      <c r="X978">
        <v>0.99493169999999997</v>
      </c>
      <c r="Y978">
        <v>0.15156649999999999</v>
      </c>
      <c r="Z978">
        <v>-2.2298439999999999E-2</v>
      </c>
      <c r="AA978">
        <v>0.9881955</v>
      </c>
      <c r="AB978">
        <v>19</v>
      </c>
      <c r="AC978">
        <v>0.62160000000000004</v>
      </c>
      <c r="AD978">
        <v>-0.2257159</v>
      </c>
      <c r="AE978">
        <v>-0.127900000000011</v>
      </c>
      <c r="AF978">
        <v>0.114763021408518</v>
      </c>
      <c r="AG978">
        <v>-0.2257159</v>
      </c>
      <c r="AH978">
        <v>0.55154347883802801</v>
      </c>
      <c r="AI978">
        <v>111.83412483217499</v>
      </c>
      <c r="AJ978">
        <v>78.245836567164901</v>
      </c>
      <c r="AK978">
        <v>0.60689243498693901</v>
      </c>
      <c r="AL978">
        <v>95.712084457362096</v>
      </c>
      <c r="AM978">
        <v>89.175925138282594</v>
      </c>
      <c r="AN978">
        <v>1.0000000175336301</v>
      </c>
    </row>
    <row r="979" spans="1:40" x14ac:dyDescent="0.25">
      <c r="A979" t="str">
        <f>"20190303154438508"</f>
        <v>20190303154438508</v>
      </c>
      <c r="B979" t="str">
        <f>"1551599078500988"</f>
        <v>1551599078500988</v>
      </c>
      <c r="C979" t="s">
        <v>40</v>
      </c>
      <c r="D979">
        <v>5.0193599999999998</v>
      </c>
      <c r="E979">
        <v>0.54750159999999903</v>
      </c>
      <c r="F979" t="s">
        <v>42</v>
      </c>
      <c r="G979">
        <v>-225.66829999999999</v>
      </c>
      <c r="H979">
        <v>0.88584589999999996</v>
      </c>
      <c r="I979">
        <v>367.44260000000003</v>
      </c>
      <c r="J979">
        <v>-226.26390000000001</v>
      </c>
      <c r="K979">
        <v>1.1211599999999999</v>
      </c>
      <c r="L979">
        <v>367.5609</v>
      </c>
      <c r="M979">
        <v>0.99989919999999999</v>
      </c>
      <c r="N979">
        <v>-1.4020039999999999E-2</v>
      </c>
      <c r="O979">
        <v>2.221584E-3</v>
      </c>
      <c r="P979">
        <v>0.99346009999999996</v>
      </c>
      <c r="Q979">
        <v>-0.1135048</v>
      </c>
      <c r="R979">
        <v>-1.239403E-2</v>
      </c>
      <c r="S979">
        <v>2.9147029999999998</v>
      </c>
      <c r="T979">
        <v>-0.87254830000000005</v>
      </c>
      <c r="U979">
        <v>-0.43643189999999998</v>
      </c>
      <c r="V979">
        <v>1.459736E-2</v>
      </c>
      <c r="W979">
        <v>-9.9566340000000003E-2</v>
      </c>
      <c r="X979">
        <v>0.99492380000000002</v>
      </c>
      <c r="Y979">
        <v>0.1437206</v>
      </c>
      <c r="Z979">
        <v>-2.259359E-2</v>
      </c>
      <c r="AA979">
        <v>0.98936040000000003</v>
      </c>
      <c r="AB979">
        <v>19</v>
      </c>
      <c r="AC979">
        <v>0.595600000000018</v>
      </c>
      <c r="AD979">
        <v>-0.235314099999999</v>
      </c>
      <c r="AE979">
        <v>-0.11829999999997599</v>
      </c>
      <c r="AF979">
        <v>0.104004660902076</v>
      </c>
      <c r="AG979">
        <v>-0.235314099999999</v>
      </c>
      <c r="AH979">
        <v>0.51760681150990595</v>
      </c>
      <c r="AI979">
        <v>114.023048710662</v>
      </c>
      <c r="AJ979">
        <v>78.638636314380193</v>
      </c>
      <c r="AK979">
        <v>0.57801946893648604</v>
      </c>
      <c r="AL979">
        <v>95.714199228824</v>
      </c>
      <c r="AM979">
        <v>89.159425963202395</v>
      </c>
      <c r="AN979">
        <v>0.99999995339320102</v>
      </c>
    </row>
    <row r="980" spans="1:40" x14ac:dyDescent="0.25">
      <c r="A980" t="str">
        <f>"20190303154438530"</f>
        <v>20190303154438530</v>
      </c>
      <c r="B980" t="str">
        <f>"1551599078521485"</f>
        <v>1551599078521485</v>
      </c>
      <c r="C980" t="s">
        <v>40</v>
      </c>
      <c r="D980">
        <v>4.985239</v>
      </c>
      <c r="E980">
        <v>0.54722169999999903</v>
      </c>
      <c r="F980" t="s">
        <v>42</v>
      </c>
      <c r="G980">
        <v>-225.49959999999999</v>
      </c>
      <c r="H980">
        <v>0.88614199999999999</v>
      </c>
      <c r="I980">
        <v>367.44920000000002</v>
      </c>
      <c r="J980">
        <v>-226.0814</v>
      </c>
      <c r="K980">
        <v>1.1211610000000001</v>
      </c>
      <c r="L980">
        <v>367.56130000000002</v>
      </c>
      <c r="M980">
        <v>0.99990029999999996</v>
      </c>
      <c r="N980">
        <v>-1.3939160000000001E-2</v>
      </c>
      <c r="O980">
        <v>2.2214969999999998E-3</v>
      </c>
      <c r="P980">
        <v>0.99350419999999995</v>
      </c>
      <c r="Q980">
        <v>-0.113094899999999</v>
      </c>
      <c r="R980">
        <v>-1.261465E-2</v>
      </c>
      <c r="S980">
        <v>2.91214</v>
      </c>
      <c r="T980">
        <v>-0.89549429999999997</v>
      </c>
      <c r="U980">
        <v>-0.42477419999999999</v>
      </c>
      <c r="V980">
        <v>1.4817840000000001E-2</v>
      </c>
      <c r="W980">
        <v>-9.9236350000000001E-2</v>
      </c>
      <c r="X980">
        <v>0.99495359999999999</v>
      </c>
      <c r="Y980">
        <v>0.13980770000000001</v>
      </c>
      <c r="Z980">
        <v>-2.2543319999999999E-2</v>
      </c>
      <c r="AA980">
        <v>0.98992199999999997</v>
      </c>
      <c r="AB980">
        <v>19</v>
      </c>
      <c r="AC980">
        <v>0.58180000000001497</v>
      </c>
      <c r="AD980">
        <v>-0.23501900000000001</v>
      </c>
      <c r="AE980">
        <v>-0.11209999999999801</v>
      </c>
      <c r="AF980">
        <v>9.79770241313907E-2</v>
      </c>
      <c r="AG980">
        <v>-0.23501900000000001</v>
      </c>
      <c r="AH980">
        <v>0.50248987238961096</v>
      </c>
      <c r="AI980">
        <v>114.65814656483801</v>
      </c>
      <c r="AJ980">
        <v>78.966724805877803</v>
      </c>
      <c r="AK980">
        <v>0.56332006840939997</v>
      </c>
      <c r="AL980">
        <v>95.695197572078598</v>
      </c>
      <c r="AM980">
        <v>89.146757263757294</v>
      </c>
      <c r="AN980">
        <v>1.0000000438482699</v>
      </c>
    </row>
    <row r="981" spans="1:40" x14ac:dyDescent="0.25">
      <c r="A981" t="str">
        <f>"20190303154438552"</f>
        <v>20190303154438552</v>
      </c>
      <c r="B981" t="str">
        <f>"1551599078541005"</f>
        <v>1551599078541005</v>
      </c>
      <c r="C981" t="s">
        <v>40</v>
      </c>
      <c r="D981">
        <v>4.8650370000000001</v>
      </c>
      <c r="E981">
        <v>0.54764880000000005</v>
      </c>
      <c r="F981" t="s">
        <v>42</v>
      </c>
      <c r="G981">
        <v>-225.33029999999999</v>
      </c>
      <c r="H981">
        <v>0.88790270000000004</v>
      </c>
      <c r="I981">
        <v>367.45179999999999</v>
      </c>
      <c r="J981">
        <v>-225.88990000000001</v>
      </c>
      <c r="K981">
        <v>1.1211610000000001</v>
      </c>
      <c r="L981">
        <v>367.56169999999997</v>
      </c>
      <c r="M981">
        <v>0.9999015</v>
      </c>
      <c r="N981">
        <v>-1.386545E-2</v>
      </c>
      <c r="O981">
        <v>2.2213559999999999E-3</v>
      </c>
      <c r="P981">
        <v>0.99355199999999999</v>
      </c>
      <c r="Q981">
        <v>-0.11266660000000001</v>
      </c>
      <c r="R981">
        <v>-1.2677849999999999E-2</v>
      </c>
      <c r="S981">
        <v>2.9113009999999999</v>
      </c>
      <c r="T981">
        <v>-0.90424349999999998</v>
      </c>
      <c r="U981">
        <v>-0.42401119999999998</v>
      </c>
      <c r="V981">
        <v>1.4881109999999999E-2</v>
      </c>
      <c r="W981">
        <v>-9.8880800000000005E-2</v>
      </c>
      <c r="X981">
        <v>0.99498799999999998</v>
      </c>
      <c r="Y981">
        <v>0.1394812</v>
      </c>
      <c r="Z981">
        <v>-2.269471E-2</v>
      </c>
      <c r="AA981">
        <v>0.98996459999999997</v>
      </c>
      <c r="AB981">
        <v>19</v>
      </c>
      <c r="AC981">
        <v>0.55960000000001697</v>
      </c>
      <c r="AD981">
        <v>-0.2332583</v>
      </c>
      <c r="AE981">
        <v>-0.109899999999981</v>
      </c>
      <c r="AF981">
        <v>9.5214066214776599E-2</v>
      </c>
      <c r="AG981">
        <v>-0.2332583</v>
      </c>
      <c r="AH981">
        <v>0.47918854290011698</v>
      </c>
      <c r="AI981">
        <v>115.521859359895</v>
      </c>
      <c r="AJ981">
        <v>78.761785326058302</v>
      </c>
      <c r="AK981">
        <v>0.54138416357590202</v>
      </c>
      <c r="AL981">
        <v>95.674725674101495</v>
      </c>
      <c r="AM981">
        <v>89.143144205606504</v>
      </c>
      <c r="AN981">
        <v>0.99999999009373597</v>
      </c>
    </row>
    <row r="982" spans="1:40" x14ac:dyDescent="0.25">
      <c r="A982" t="str">
        <f>"20190303154438575"</f>
        <v>20190303154438575</v>
      </c>
      <c r="B982" t="str">
        <f>"1551599078571260"</f>
        <v>1551599078571260</v>
      </c>
      <c r="C982" t="s">
        <v>40</v>
      </c>
      <c r="D982">
        <v>4.7972849999999996</v>
      </c>
      <c r="E982">
        <v>0.54830129999999999</v>
      </c>
      <c r="F982" t="s">
        <v>42</v>
      </c>
      <c r="G982">
        <v>-225.1585</v>
      </c>
      <c r="H982">
        <v>0.89584920000000001</v>
      </c>
      <c r="I982">
        <v>367.45420000000001</v>
      </c>
      <c r="J982">
        <v>-225.70269999999999</v>
      </c>
      <c r="K982">
        <v>1.1211469999999999</v>
      </c>
      <c r="L982">
        <v>367.56209999999999</v>
      </c>
      <c r="M982">
        <v>0.99990230000000002</v>
      </c>
      <c r="N982">
        <v>-1.380282E-2</v>
      </c>
      <c r="O982">
        <v>2.2212550000000001E-3</v>
      </c>
      <c r="P982">
        <v>0.99355079999999996</v>
      </c>
      <c r="Q982">
        <v>-0.1127172</v>
      </c>
      <c r="R982">
        <v>-1.2327100000000001E-2</v>
      </c>
      <c r="S982">
        <v>2.912277</v>
      </c>
      <c r="T982">
        <v>-0.89712739999999902</v>
      </c>
      <c r="U982">
        <v>-0.42755130000000002</v>
      </c>
      <c r="V982">
        <v>1.453013E-2</v>
      </c>
      <c r="W982">
        <v>-9.8993639999999994E-2</v>
      </c>
      <c r="X982">
        <v>0.99498200000000003</v>
      </c>
      <c r="Y982">
        <v>0.14066519999999999</v>
      </c>
      <c r="Z982">
        <v>-2.2703669999999999E-2</v>
      </c>
      <c r="AA982">
        <v>0.98979689999999998</v>
      </c>
      <c r="AB982">
        <v>19</v>
      </c>
      <c r="AC982">
        <v>0.54419999999998903</v>
      </c>
      <c r="AD982">
        <v>-0.22529779999999899</v>
      </c>
      <c r="AE982">
        <v>-0.107899999999972</v>
      </c>
      <c r="AF982">
        <v>9.3662616247526101E-2</v>
      </c>
      <c r="AG982">
        <v>-0.22529779999999899</v>
      </c>
      <c r="AH982">
        <v>0.46695304798112203</v>
      </c>
      <c r="AI982">
        <v>115.317066698975</v>
      </c>
      <c r="AJ982">
        <v>78.6579792112082</v>
      </c>
      <c r="AK982">
        <v>0.52685570452072705</v>
      </c>
      <c r="AL982">
        <v>95.681222620075403</v>
      </c>
      <c r="AM982">
        <v>89.163345717069404</v>
      </c>
      <c r="AN982">
        <v>1.0000000228811301</v>
      </c>
    </row>
    <row r="983" spans="1:40" x14ac:dyDescent="0.25">
      <c r="A983" t="str">
        <f>"20190303154438598"</f>
        <v>20190303154438598</v>
      </c>
      <c r="B983" t="str">
        <f>"1551599078591756"</f>
        <v>1551599078591756</v>
      </c>
      <c r="C983" t="s">
        <v>40</v>
      </c>
      <c r="D983">
        <v>4.9680070000000001</v>
      </c>
      <c r="E983">
        <v>0.54781400000000002</v>
      </c>
      <c r="F983" t="s">
        <v>42</v>
      </c>
      <c r="G983">
        <v>-224.9871</v>
      </c>
      <c r="H983">
        <v>0.90341349999999998</v>
      </c>
      <c r="I983">
        <v>367.45589999999999</v>
      </c>
      <c r="J983">
        <v>-225.5061</v>
      </c>
      <c r="K983">
        <v>1.121135</v>
      </c>
      <c r="L983">
        <v>367.56259999999997</v>
      </c>
      <c r="M983">
        <v>0.99990310000000004</v>
      </c>
      <c r="N983">
        <v>-1.374585E-2</v>
      </c>
      <c r="O983">
        <v>2.2213509999999999E-3</v>
      </c>
      <c r="P983">
        <v>0.99349790000000004</v>
      </c>
      <c r="Q983">
        <v>-0.1132722</v>
      </c>
      <c r="R983">
        <v>-1.147512E-2</v>
      </c>
      <c r="S983">
        <v>2.9135589999999998</v>
      </c>
      <c r="T983">
        <v>-0.88656229999999903</v>
      </c>
      <c r="U983">
        <v>-0.43179319999999999</v>
      </c>
      <c r="V983">
        <v>1.367818E-2</v>
      </c>
      <c r="W983">
        <v>-9.9605899999999997E-2</v>
      </c>
      <c r="X983">
        <v>0.99493290000000001</v>
      </c>
      <c r="Y983">
        <v>0.1421067</v>
      </c>
      <c r="Z983">
        <v>-2.2666769999999999E-2</v>
      </c>
      <c r="AA983">
        <v>0.98959180000000002</v>
      </c>
      <c r="AB983">
        <v>19</v>
      </c>
      <c r="AC983">
        <v>0.51900000000000501</v>
      </c>
      <c r="AD983">
        <v>-0.21772150000000001</v>
      </c>
      <c r="AE983">
        <v>-0.106699999999989</v>
      </c>
      <c r="AF983">
        <v>9.2272876227877207E-2</v>
      </c>
      <c r="AG983">
        <v>-0.21772150000000001</v>
      </c>
      <c r="AH983">
        <v>0.44382403317538199</v>
      </c>
      <c r="AI983">
        <v>115.65441295714299</v>
      </c>
      <c r="AJ983">
        <v>78.255278374899902</v>
      </c>
      <c r="AK983">
        <v>0.50288836502118195</v>
      </c>
      <c r="AL983">
        <v>95.716477183392897</v>
      </c>
      <c r="AM983">
        <v>89.212356313706806</v>
      </c>
      <c r="AN983">
        <v>0.99999995171266498</v>
      </c>
    </row>
    <row r="984" spans="1:40" x14ac:dyDescent="0.25">
      <c r="A984" t="str">
        <f>"20190303154438621"</f>
        <v>20190303154438621</v>
      </c>
      <c r="B984" t="str">
        <f>"1551599078611277"</f>
        <v>1551599078611277</v>
      </c>
      <c r="C984" t="s">
        <v>40</v>
      </c>
      <c r="D984">
        <v>4.9480750000000002</v>
      </c>
      <c r="E984">
        <v>0.54804849999999905</v>
      </c>
      <c r="F984" t="s">
        <v>42</v>
      </c>
      <c r="G984">
        <v>-224.81700000000001</v>
      </c>
      <c r="H984">
        <v>0.90910159999999995</v>
      </c>
      <c r="I984">
        <v>367.46159999999998</v>
      </c>
      <c r="J984">
        <v>-225.31989999999999</v>
      </c>
      <c r="K984">
        <v>1.121129</v>
      </c>
      <c r="L984">
        <v>367.56299999999999</v>
      </c>
      <c r="M984">
        <v>0.99990380000000001</v>
      </c>
      <c r="N984">
        <v>-1.369916E-2</v>
      </c>
      <c r="O984">
        <v>2.221495E-3</v>
      </c>
      <c r="P984">
        <v>0.99351160000000005</v>
      </c>
      <c r="Q984">
        <v>-0.1132131</v>
      </c>
      <c r="R984">
        <v>-1.083775E-2</v>
      </c>
      <c r="S984">
        <v>2.912582</v>
      </c>
      <c r="T984">
        <v>-0.89611219999999903</v>
      </c>
      <c r="U984">
        <v>-0.42578129999999997</v>
      </c>
      <c r="V984">
        <v>1.30411E-2</v>
      </c>
      <c r="W984">
        <v>-9.9593130000000002E-2</v>
      </c>
      <c r="X984">
        <v>0.99494280000000002</v>
      </c>
      <c r="Y984">
        <v>0.1401058</v>
      </c>
      <c r="Z984">
        <v>-2.258394E-2</v>
      </c>
      <c r="AA984">
        <v>0.98987899999999995</v>
      </c>
      <c r="AB984">
        <v>19</v>
      </c>
      <c r="AC984">
        <v>0.50289999999998203</v>
      </c>
      <c r="AD984">
        <v>-0.2120274</v>
      </c>
      <c r="AE984">
        <v>-0.101400000000069</v>
      </c>
      <c r="AF984">
        <v>8.75607661395464E-2</v>
      </c>
      <c r="AG984">
        <v>-0.2120274</v>
      </c>
      <c r="AH984">
        <v>0.42933811797834298</v>
      </c>
      <c r="AI984">
        <v>115.82171349476801</v>
      </c>
      <c r="AJ984">
        <v>78.472971411516198</v>
      </c>
      <c r="AK984">
        <v>0.48677892894710401</v>
      </c>
      <c r="AL984">
        <v>95.715741476625396</v>
      </c>
      <c r="AM984">
        <v>89.249045066638303</v>
      </c>
      <c r="AN984">
        <v>1.0000000185521201</v>
      </c>
    </row>
    <row r="985" spans="1:40" x14ac:dyDescent="0.25">
      <c r="A985" t="str">
        <f>"20190303154438642"</f>
        <v>20190303154438642</v>
      </c>
      <c r="B985" t="str">
        <f>"1551599078631773"</f>
        <v>1551599078631773</v>
      </c>
      <c r="C985" t="s">
        <v>40</v>
      </c>
      <c r="D985">
        <v>4.8237209999999999</v>
      </c>
      <c r="E985">
        <v>0.54861959999999999</v>
      </c>
      <c r="F985" t="s">
        <v>42</v>
      </c>
      <c r="G985">
        <v>-224.6465</v>
      </c>
      <c r="H985">
        <v>0.91504050000000003</v>
      </c>
      <c r="I985">
        <v>367.46429999999998</v>
      </c>
      <c r="J985">
        <v>-225.1369</v>
      </c>
      <c r="K985">
        <v>1.1211249999999999</v>
      </c>
      <c r="L985">
        <v>367.5634</v>
      </c>
      <c r="M985">
        <v>0.99990429999999997</v>
      </c>
      <c r="N985">
        <v>-1.365949E-2</v>
      </c>
      <c r="O985">
        <v>2.2215899999999998E-3</v>
      </c>
      <c r="P985">
        <v>0.99353670000000005</v>
      </c>
      <c r="Q985">
        <v>-0.1130096</v>
      </c>
      <c r="R985">
        <v>-1.0685210000000001E-2</v>
      </c>
      <c r="S985">
        <v>2.9133450000000001</v>
      </c>
      <c r="T985">
        <v>-0.89166429999999997</v>
      </c>
      <c r="U985">
        <v>-0.42590329999999899</v>
      </c>
      <c r="V985">
        <v>1.288864E-2</v>
      </c>
      <c r="W985">
        <v>-9.9428710000000003E-2</v>
      </c>
      <c r="X985">
        <v>0.99496119999999999</v>
      </c>
      <c r="Y985">
        <v>0.1401743</v>
      </c>
      <c r="Z985">
        <v>-2.248356E-2</v>
      </c>
      <c r="AA985">
        <v>0.98987150000000002</v>
      </c>
      <c r="AB985">
        <v>19</v>
      </c>
      <c r="AC985">
        <v>0.49039999999999401</v>
      </c>
      <c r="AD985">
        <v>-0.206084499999999</v>
      </c>
      <c r="AE985">
        <v>-9.9100000000021199E-2</v>
      </c>
      <c r="AF985">
        <v>8.5655996650193994E-2</v>
      </c>
      <c r="AG985">
        <v>-0.206084499999999</v>
      </c>
      <c r="AH985">
        <v>0.419073962724274</v>
      </c>
      <c r="AI985">
        <v>115.724794687676</v>
      </c>
      <c r="AJ985">
        <v>78.448225825937797</v>
      </c>
      <c r="AK985">
        <v>0.47479548980146602</v>
      </c>
      <c r="AL985">
        <v>95.7062740901967</v>
      </c>
      <c r="AM985">
        <v>89.257837015066002</v>
      </c>
      <c r="AN985">
        <v>0.99999998745937602</v>
      </c>
    </row>
    <row r="986" spans="1:40" x14ac:dyDescent="0.25">
      <c r="A986" t="str">
        <f>"20190303154438663"</f>
        <v>20190303154438663</v>
      </c>
      <c r="B986" t="str">
        <f>"1551599078651292"</f>
        <v>1551599078651292</v>
      </c>
      <c r="C986" t="s">
        <v>40</v>
      </c>
      <c r="D986">
        <v>4.6603649999999996</v>
      </c>
      <c r="E986">
        <v>0.54962259999999996</v>
      </c>
      <c r="F986" t="s">
        <v>42</v>
      </c>
      <c r="G986">
        <v>-224.32749999999999</v>
      </c>
      <c r="H986">
        <v>0.87628320000000004</v>
      </c>
      <c r="I986">
        <v>367.44389999999999</v>
      </c>
      <c r="J986">
        <v>-224.9556</v>
      </c>
      <c r="K986">
        <v>1.121119</v>
      </c>
      <c r="L986">
        <v>367.56380000000001</v>
      </c>
      <c r="M986">
        <v>0.99990480000000004</v>
      </c>
      <c r="N986">
        <v>-1.362535E-2</v>
      </c>
      <c r="O986">
        <v>2.222005E-3</v>
      </c>
      <c r="P986">
        <v>0.99355539999999998</v>
      </c>
      <c r="Q986">
        <v>-0.1128422</v>
      </c>
      <c r="R986">
        <v>-1.0709110000000001E-2</v>
      </c>
      <c r="S986">
        <v>2.9145970000000001</v>
      </c>
      <c r="T986">
        <v>-0.88167410000000002</v>
      </c>
      <c r="U986">
        <v>-0.4295349</v>
      </c>
      <c r="V986">
        <v>1.291288E-2</v>
      </c>
      <c r="W986">
        <v>-9.9295010000000003E-2</v>
      </c>
      <c r="X986">
        <v>0.99497429999999998</v>
      </c>
      <c r="Y986">
        <v>0.14141429999999999</v>
      </c>
      <c r="Z986">
        <v>-2.243065E-2</v>
      </c>
      <c r="AA986">
        <v>0.98969629999999997</v>
      </c>
      <c r="AB986">
        <v>19</v>
      </c>
      <c r="AC986">
        <v>0.62810000000001698</v>
      </c>
      <c r="AD986">
        <v>-0.24483579999999899</v>
      </c>
      <c r="AE986">
        <v>-0.119900000000029</v>
      </c>
      <c r="AF986">
        <v>0.105786650590964</v>
      </c>
      <c r="AG986">
        <v>-0.24483579999999899</v>
      </c>
      <c r="AH986">
        <v>0.54755748475808996</v>
      </c>
      <c r="AI986">
        <v>113.70260155117499</v>
      </c>
      <c r="AJ986">
        <v>79.065325772516502</v>
      </c>
      <c r="AK986">
        <v>0.60906041040236802</v>
      </c>
      <c r="AL986">
        <v>95.698575191982499</v>
      </c>
      <c r="AM986">
        <v>89.256451155149506</v>
      </c>
      <c r="AN986">
        <v>1.00000004957064</v>
      </c>
    </row>
    <row r="987" spans="1:40" x14ac:dyDescent="0.25">
      <c r="A987" t="str">
        <f>"20190303154438687"</f>
        <v>20190303154438687</v>
      </c>
      <c r="B987" t="str">
        <f>"1551599078681552"</f>
        <v>1551599078681552</v>
      </c>
      <c r="C987" t="s">
        <v>40</v>
      </c>
      <c r="D987">
        <v>4.7101009999999999</v>
      </c>
      <c r="E987">
        <v>0.54997600000000002</v>
      </c>
      <c r="F987" t="s">
        <v>42</v>
      </c>
      <c r="G987">
        <v>-224.15719999999999</v>
      </c>
      <c r="H987">
        <v>0.88348869999999902</v>
      </c>
      <c r="I987">
        <v>367.44380000000001</v>
      </c>
      <c r="J987">
        <v>-224.76320000000001</v>
      </c>
      <c r="K987">
        <v>1.1211089999999999</v>
      </c>
      <c r="L987">
        <v>367.56420000000003</v>
      </c>
      <c r="M987">
        <v>0.99990520000000005</v>
      </c>
      <c r="N987">
        <v>-1.359377E-2</v>
      </c>
      <c r="O987">
        <v>2.2222230000000002E-3</v>
      </c>
      <c r="P987">
        <v>0.99349419999999999</v>
      </c>
      <c r="Q987">
        <v>-0.11334809999999999</v>
      </c>
      <c r="R987">
        <v>-1.103145E-2</v>
      </c>
      <c r="S987">
        <v>2.9161679999999999</v>
      </c>
      <c r="T987">
        <v>-0.86805669999999902</v>
      </c>
      <c r="U987">
        <v>-0.43725589999999998</v>
      </c>
      <c r="V987">
        <v>1.3235480000000001E-2</v>
      </c>
      <c r="W987">
        <v>-9.9833149999999996E-2</v>
      </c>
      <c r="X987">
        <v>0.99491609999999997</v>
      </c>
      <c r="Y987">
        <v>0.143989899999999</v>
      </c>
      <c r="Z987">
        <v>-2.2486639999999999E-2</v>
      </c>
      <c r="AA987">
        <v>0.98932359999999997</v>
      </c>
      <c r="AB987">
        <v>19</v>
      </c>
      <c r="AC987">
        <v>0.60600000000002296</v>
      </c>
      <c r="AD987">
        <v>-0.23762030000000001</v>
      </c>
      <c r="AE987">
        <v>-0.12040000000001699</v>
      </c>
      <c r="AF987">
        <v>0.106058928219987</v>
      </c>
      <c r="AG987">
        <v>-0.23762030000000001</v>
      </c>
      <c r="AH987">
        <v>0.52767985591422895</v>
      </c>
      <c r="AI987">
        <v>113.82061449822299</v>
      </c>
      <c r="AJ987">
        <v>78.635478933696604</v>
      </c>
      <c r="AK987">
        <v>0.58835187903577202</v>
      </c>
      <c r="AL987">
        <v>95.729562936586902</v>
      </c>
      <c r="AM987">
        <v>89.237832804627104</v>
      </c>
      <c r="AN987">
        <v>0.99999994090447897</v>
      </c>
    </row>
    <row r="988" spans="1:40" x14ac:dyDescent="0.25">
      <c r="A988" t="str">
        <f>"20190303154438708"</f>
        <v>20190303154438708</v>
      </c>
      <c r="B988" t="str">
        <f>"1551599078701068"</f>
        <v>1551599078701068</v>
      </c>
      <c r="C988" t="s">
        <v>40</v>
      </c>
      <c r="D988">
        <v>4.7035479999999996</v>
      </c>
      <c r="E988">
        <v>0.55256149999999904</v>
      </c>
      <c r="F988" t="s">
        <v>42</v>
      </c>
      <c r="G988">
        <v>-223.9872</v>
      </c>
      <c r="H988">
        <v>0.89106059999999998</v>
      </c>
      <c r="I988">
        <v>367.44659999999999</v>
      </c>
      <c r="J988">
        <v>-224.5814</v>
      </c>
      <c r="K988">
        <v>1.121102</v>
      </c>
      <c r="L988">
        <v>367.56459999999998</v>
      </c>
      <c r="M988">
        <v>0.99990559999999995</v>
      </c>
      <c r="N988">
        <v>-1.356775E-2</v>
      </c>
      <c r="O988">
        <v>2.2220450000000002E-3</v>
      </c>
      <c r="P988">
        <v>0.99347209999999997</v>
      </c>
      <c r="Q988">
        <v>-0.1135273</v>
      </c>
      <c r="R988">
        <v>-1.1181139999999999E-2</v>
      </c>
      <c r="S988">
        <v>2.9161380000000001</v>
      </c>
      <c r="T988">
        <v>-0.86446859999999903</v>
      </c>
      <c r="U988">
        <v>-0.44128420000000002</v>
      </c>
      <c r="V988">
        <v>1.3385070000000001E-2</v>
      </c>
      <c r="W988">
        <v>-0.10003860000000001</v>
      </c>
      <c r="X988">
        <v>0.99489360000000004</v>
      </c>
      <c r="Y988">
        <v>0.14532200000000001</v>
      </c>
      <c r="Z988">
        <v>-2.2599049999999999E-2</v>
      </c>
      <c r="AA988">
        <v>0.98912630000000001</v>
      </c>
      <c r="AB988">
        <v>19</v>
      </c>
      <c r="AC988">
        <v>0.59419999999999995</v>
      </c>
      <c r="AD988">
        <v>-0.23004140000000001</v>
      </c>
      <c r="AE988">
        <v>-0.117999999999994</v>
      </c>
      <c r="AF988">
        <v>0.10428311609821</v>
      </c>
      <c r="AG988">
        <v>-0.23004140000000001</v>
      </c>
      <c r="AH988">
        <v>0.51908683445172199</v>
      </c>
      <c r="AI988">
        <v>113.484196274135</v>
      </c>
      <c r="AJ988">
        <v>78.640644837502705</v>
      </c>
      <c r="AK988">
        <v>0.57727390008402701</v>
      </c>
      <c r="AL988">
        <v>95.741392788453894</v>
      </c>
      <c r="AM988">
        <v>89.229202244955303</v>
      </c>
      <c r="AN988">
        <v>1.0000000784548999</v>
      </c>
    </row>
    <row r="989" spans="1:40" x14ac:dyDescent="0.25">
      <c r="A989" t="str">
        <f>"20190303154438731"</f>
        <v>20190303154438731</v>
      </c>
      <c r="B989" t="str">
        <f>"1551599078721565"</f>
        <v>1551599078721565</v>
      </c>
      <c r="C989" t="s">
        <v>40</v>
      </c>
      <c r="D989">
        <v>4.7534890000000001</v>
      </c>
      <c r="E989">
        <v>0.55227899999999996</v>
      </c>
      <c r="F989" t="s">
        <v>42</v>
      </c>
      <c r="G989">
        <v>-223.77160000000001</v>
      </c>
      <c r="H989">
        <v>0.99534710000000004</v>
      </c>
      <c r="I989">
        <v>367.44</v>
      </c>
      <c r="J989">
        <v>-224.39250000000001</v>
      </c>
      <c r="K989">
        <v>1.121097</v>
      </c>
      <c r="L989">
        <v>367.565</v>
      </c>
      <c r="M989">
        <v>0.99990590000000001</v>
      </c>
      <c r="N989">
        <v>-1.35409E-2</v>
      </c>
      <c r="O989">
        <v>2.222229E-3</v>
      </c>
      <c r="P989">
        <v>0.99347079999999999</v>
      </c>
      <c r="Q989">
        <v>-0.1134429</v>
      </c>
      <c r="R989">
        <v>-1.2108549999999999E-2</v>
      </c>
      <c r="S989">
        <v>2.9620060000000001</v>
      </c>
      <c r="T989">
        <v>-0.46012370000000002</v>
      </c>
      <c r="U989">
        <v>-0.45507809999999999</v>
      </c>
      <c r="V989">
        <v>1.431254E-2</v>
      </c>
      <c r="W989">
        <v>-9.9980959999999994E-2</v>
      </c>
      <c r="X989">
        <v>0.99488639999999995</v>
      </c>
      <c r="Y989">
        <v>0.15208869999999999</v>
      </c>
      <c r="Z989">
        <v>-1.3028909999999999E-2</v>
      </c>
      <c r="AA989">
        <v>0.98828099999999997</v>
      </c>
      <c r="AB989">
        <v>19</v>
      </c>
      <c r="AC989">
        <v>0.620900000000006</v>
      </c>
      <c r="AD989">
        <v>-0.1257499</v>
      </c>
      <c r="AE989">
        <v>-0.125</v>
      </c>
      <c r="AF989">
        <v>0.12158664590142</v>
      </c>
      <c r="AG989">
        <v>-0.1257499</v>
      </c>
      <c r="AH989">
        <v>0.59708358705350395</v>
      </c>
      <c r="AI989">
        <v>101.66051938042899</v>
      </c>
      <c r="AJ989">
        <v>78.489991800683399</v>
      </c>
      <c r="AK989">
        <v>0.62217775574207601</v>
      </c>
      <c r="AL989">
        <v>95.738074099456597</v>
      </c>
      <c r="AM989">
        <v>89.175793768267695</v>
      </c>
      <c r="AN989">
        <v>0.99999999503436598</v>
      </c>
    </row>
    <row r="990" spans="1:40" x14ac:dyDescent="0.25">
      <c r="A990" t="str">
        <f>"20190303154438753"</f>
        <v>20190303154438753</v>
      </c>
      <c r="B990" t="str">
        <f>"1551599078751821"</f>
        <v>1551599078751821</v>
      </c>
      <c r="C990" t="s">
        <v>40</v>
      </c>
      <c r="D990">
        <v>4.7172130000000001</v>
      </c>
      <c r="E990">
        <v>0.55013630000000002</v>
      </c>
      <c r="F990" t="s">
        <v>42</v>
      </c>
      <c r="G990">
        <v>-223.59280000000001</v>
      </c>
      <c r="H990">
        <v>1.0207189999999999</v>
      </c>
      <c r="I990">
        <v>367.44279999999998</v>
      </c>
      <c r="J990">
        <v>-224.2089</v>
      </c>
      <c r="K990">
        <v>1.1210910000000001</v>
      </c>
      <c r="L990">
        <v>367.56540000000001</v>
      </c>
      <c r="M990">
        <v>0.99990639999999997</v>
      </c>
      <c r="N990">
        <v>-1.349554E-2</v>
      </c>
      <c r="O990">
        <v>2.2223590000000001E-3</v>
      </c>
      <c r="P990">
        <v>0.99351849999999997</v>
      </c>
      <c r="Q990">
        <v>-0.1129715</v>
      </c>
      <c r="R990">
        <v>-1.257872E-2</v>
      </c>
      <c r="S990">
        <v>2.9715729999999998</v>
      </c>
      <c r="T990">
        <v>-0.37310480000000001</v>
      </c>
      <c r="U990">
        <v>-0.45397949999999998</v>
      </c>
      <c r="V990">
        <v>1.4783080000000001E-2</v>
      </c>
      <c r="W990">
        <v>-9.9554110000000001E-2</v>
      </c>
      <c r="X990">
        <v>0.99492230000000004</v>
      </c>
      <c r="Y990">
        <v>0.15191070000000001</v>
      </c>
      <c r="Z990">
        <v>-1.072737E-2</v>
      </c>
      <c r="AA990">
        <v>0.98833599999999999</v>
      </c>
      <c r="AB990">
        <v>19</v>
      </c>
      <c r="AC990">
        <v>0.61609999999998799</v>
      </c>
      <c r="AD990">
        <v>-0.100371999999999</v>
      </c>
      <c r="AE990">
        <v>-0.122600000000034</v>
      </c>
      <c r="AF990">
        <v>0.12088283392853801</v>
      </c>
      <c r="AG990">
        <v>-0.100371999999999</v>
      </c>
      <c r="AH990">
        <v>0.60049512964775997</v>
      </c>
      <c r="AI990">
        <v>99.305874291522798</v>
      </c>
      <c r="AJ990">
        <v>78.618175575410007</v>
      </c>
      <c r="AK990">
        <v>0.62071055948265796</v>
      </c>
      <c r="AL990">
        <v>95.713494897801397</v>
      </c>
      <c r="AM990">
        <v>89.148731747706606</v>
      </c>
      <c r="AN990">
        <v>0.99999997165473298</v>
      </c>
    </row>
    <row r="991" spans="1:40" x14ac:dyDescent="0.25">
      <c r="A991" t="str">
        <f>"20190303154438777"</f>
        <v>20190303154438777</v>
      </c>
      <c r="B991" t="str">
        <f>"1551599078771340"</f>
        <v>1551599078771340</v>
      </c>
      <c r="C991" t="s">
        <v>40</v>
      </c>
      <c r="D991">
        <v>4.7165860000000004</v>
      </c>
      <c r="E991">
        <v>0.54950390000000005</v>
      </c>
      <c r="F991" t="s">
        <v>42</v>
      </c>
      <c r="G991">
        <v>-223.42009999999999</v>
      </c>
      <c r="H991">
        <v>1.0339069999999999</v>
      </c>
      <c r="I991">
        <v>367.44920000000002</v>
      </c>
      <c r="J991">
        <v>-224.01560000000001</v>
      </c>
      <c r="K991">
        <v>1.1210690000000001</v>
      </c>
      <c r="L991">
        <v>367.5659</v>
      </c>
      <c r="M991">
        <v>0.99990789999999996</v>
      </c>
      <c r="N991">
        <v>-1.3394710000000001E-2</v>
      </c>
      <c r="O991">
        <v>2.2223859999999998E-3</v>
      </c>
      <c r="P991">
        <v>0.99362059999999996</v>
      </c>
      <c r="Q991">
        <v>-0.11200590000000001</v>
      </c>
      <c r="R991">
        <v>-1.316231E-2</v>
      </c>
      <c r="S991">
        <v>2.9765779999999999</v>
      </c>
      <c r="T991">
        <v>-0.32940530000000001</v>
      </c>
      <c r="U991">
        <v>-0.43731690000000001</v>
      </c>
      <c r="V991">
        <v>1.5366640000000001E-2</v>
      </c>
      <c r="W991">
        <v>-9.8687549999999999E-2</v>
      </c>
      <c r="X991">
        <v>0.99499979999999999</v>
      </c>
      <c r="Y991">
        <v>0.1465629</v>
      </c>
      <c r="Z991">
        <v>-9.246822E-3</v>
      </c>
      <c r="AA991">
        <v>0.98915819999999999</v>
      </c>
      <c r="AB991">
        <v>19</v>
      </c>
      <c r="AC991">
        <v>0.59550000000001502</v>
      </c>
      <c r="AD991">
        <v>-8.7162000000000101E-2</v>
      </c>
      <c r="AE991">
        <v>-0.11669999999998</v>
      </c>
      <c r="AF991">
        <v>0.115637520777571</v>
      </c>
      <c r="AG991">
        <v>-8.7162000000000101E-2</v>
      </c>
      <c r="AH991">
        <v>0.58320689706263995</v>
      </c>
      <c r="AI991">
        <v>98.340097013561902</v>
      </c>
      <c r="AJ991">
        <v>78.784927409144302</v>
      </c>
      <c r="AK991">
        <v>0.60091558079069296</v>
      </c>
      <c r="AL991">
        <v>95.663598876130706</v>
      </c>
      <c r="AM991">
        <v>89.115202205806199</v>
      </c>
      <c r="AN991">
        <v>0.99999998407496504</v>
      </c>
    </row>
    <row r="992" spans="1:40" x14ac:dyDescent="0.25">
      <c r="A992" t="str">
        <f>"20190303154438799"</f>
        <v>20190303154438799</v>
      </c>
      <c r="B992" t="str">
        <f>"1551599078791837"</f>
        <v>1551599078791837</v>
      </c>
      <c r="C992" t="s">
        <v>40</v>
      </c>
      <c r="D992">
        <v>4.7196350000000002</v>
      </c>
      <c r="E992">
        <v>0.54907709999999998</v>
      </c>
      <c r="F992" t="s">
        <v>42</v>
      </c>
      <c r="G992">
        <v>-223.2499</v>
      </c>
      <c r="H992">
        <v>1.040683</v>
      </c>
      <c r="I992">
        <v>367.45409999999998</v>
      </c>
      <c r="J992">
        <v>-223.83070000000001</v>
      </c>
      <c r="K992">
        <v>1.1210249999999999</v>
      </c>
      <c r="L992">
        <v>367.56619999999998</v>
      </c>
      <c r="M992">
        <v>0.99990999999999997</v>
      </c>
      <c r="N992">
        <v>-1.323527E-2</v>
      </c>
      <c r="O992">
        <v>2.2226189999999999E-3</v>
      </c>
      <c r="P992">
        <v>0.99364079999999999</v>
      </c>
      <c r="Q992">
        <v>-0.11183750000000001</v>
      </c>
      <c r="R992">
        <v>-1.3063730000000001E-2</v>
      </c>
      <c r="S992">
        <v>2.9782259999999998</v>
      </c>
      <c r="T992">
        <v>-0.31286229999999998</v>
      </c>
      <c r="U992">
        <v>-0.43380740000000001</v>
      </c>
      <c r="V992">
        <v>1.5268500000000001E-2</v>
      </c>
      <c r="W992">
        <v>-9.8677570000000006E-2</v>
      </c>
      <c r="X992">
        <v>0.99500230000000001</v>
      </c>
      <c r="Y992">
        <v>0.14544399999999999</v>
      </c>
      <c r="Z992">
        <v>-8.7517719999999997E-3</v>
      </c>
      <c r="AA992">
        <v>0.98932779999999998</v>
      </c>
      <c r="AB992">
        <v>19</v>
      </c>
      <c r="AC992">
        <v>0.58080000000000997</v>
      </c>
      <c r="AD992">
        <v>-8.03419999999999E-2</v>
      </c>
      <c r="AE992">
        <v>-0.11209999999999801</v>
      </c>
      <c r="AF992">
        <v>0.111336800449962</v>
      </c>
      <c r="AG992">
        <v>-8.03419999999999E-2</v>
      </c>
      <c r="AH992">
        <v>0.57003345444711995</v>
      </c>
      <c r="AI992">
        <v>97.875676119194296</v>
      </c>
      <c r="AJ992">
        <v>78.948335646017199</v>
      </c>
      <c r="AK992">
        <v>0.58633510835302305</v>
      </c>
      <c r="AL992">
        <v>95.663024263015302</v>
      </c>
      <c r="AM992">
        <v>89.120854340634395</v>
      </c>
      <c r="AN992">
        <v>0.99999998345932195</v>
      </c>
    </row>
    <row r="993" spans="1:40" x14ac:dyDescent="0.25">
      <c r="A993" t="str">
        <f>"20190303154438824"</f>
        <v>20190303154438824</v>
      </c>
      <c r="B993" t="str">
        <f>"1551599078821117"</f>
        <v>1551599078821117</v>
      </c>
      <c r="C993" t="s">
        <v>40</v>
      </c>
      <c r="D993">
        <v>4.744084</v>
      </c>
      <c r="E993">
        <v>0.54836479999999999</v>
      </c>
      <c r="F993" t="s">
        <v>42</v>
      </c>
      <c r="G993">
        <v>-223.0806</v>
      </c>
      <c r="H993">
        <v>1.0444199999999999</v>
      </c>
      <c r="I993">
        <v>367.45769999999999</v>
      </c>
      <c r="J993">
        <v>-223.63069999999999</v>
      </c>
      <c r="K993">
        <v>1.1209830000000001</v>
      </c>
      <c r="L993">
        <v>367.56670000000003</v>
      </c>
      <c r="M993">
        <v>0.99991289999999999</v>
      </c>
      <c r="N993">
        <v>-1.3020210000000001E-2</v>
      </c>
      <c r="O993">
        <v>2.2226669999999998E-3</v>
      </c>
      <c r="P993">
        <v>0.99366160000000003</v>
      </c>
      <c r="Q993">
        <v>-0.1116441</v>
      </c>
      <c r="R993">
        <v>-1.313214E-2</v>
      </c>
      <c r="S993">
        <v>2.979263</v>
      </c>
      <c r="T993">
        <v>-0.30438890000000002</v>
      </c>
      <c r="U993">
        <v>-0.43020629999999999</v>
      </c>
      <c r="V993">
        <v>1.533695E-2</v>
      </c>
      <c r="W993">
        <v>-9.8697939999999998E-2</v>
      </c>
      <c r="X993">
        <v>0.99499919999999997</v>
      </c>
      <c r="Y993">
        <v>0.1442773</v>
      </c>
      <c r="Z993">
        <v>-8.4570469999999901E-3</v>
      </c>
      <c r="AA993">
        <v>0.98950119999999997</v>
      </c>
      <c r="AB993">
        <v>19</v>
      </c>
      <c r="AC993">
        <v>0.55009999999998604</v>
      </c>
      <c r="AD993">
        <v>-7.6562999999999895E-2</v>
      </c>
      <c r="AE993">
        <v>-0.109000000000037</v>
      </c>
      <c r="AF993">
        <v>0.1082056455859</v>
      </c>
      <c r="AG993">
        <v>-7.6562999999999895E-2</v>
      </c>
      <c r="AH993">
        <v>0.53979494858180299</v>
      </c>
      <c r="AI993">
        <v>97.917375342233399</v>
      </c>
      <c r="AJ993">
        <v>78.664895756709996</v>
      </c>
      <c r="AK993">
        <v>0.55583175621773595</v>
      </c>
      <c r="AL993">
        <v>95.664197255420305</v>
      </c>
      <c r="AM993">
        <v>89.116910926819898</v>
      </c>
      <c r="AN993">
        <v>0.99999995669809205</v>
      </c>
    </row>
    <row r="994" spans="1:40" x14ac:dyDescent="0.25">
      <c r="A994" t="str">
        <f>"20190303154438845"</f>
        <v>20190303154438845</v>
      </c>
      <c r="B994" t="str">
        <f>"1551599078841613"</f>
        <v>1551599078841613</v>
      </c>
      <c r="C994" t="s">
        <v>40</v>
      </c>
      <c r="D994">
        <v>4.7653889999999999</v>
      </c>
      <c r="E994">
        <v>0.54805380000000004</v>
      </c>
      <c r="F994" t="s">
        <v>42</v>
      </c>
      <c r="G994">
        <v>-222.75409999999999</v>
      </c>
      <c r="H994">
        <v>1.033487</v>
      </c>
      <c r="I994">
        <v>367.44159999999999</v>
      </c>
      <c r="J994">
        <v>-223.45099999999999</v>
      </c>
      <c r="K994">
        <v>1.120949</v>
      </c>
      <c r="L994">
        <v>367.56709999999998</v>
      </c>
      <c r="M994">
        <v>0.99991540000000001</v>
      </c>
      <c r="N994">
        <v>-1.2820109999999999E-2</v>
      </c>
      <c r="O994">
        <v>2.2229540000000001E-3</v>
      </c>
      <c r="P994">
        <v>0.99375219999999997</v>
      </c>
      <c r="Q994">
        <v>-0.1108977</v>
      </c>
      <c r="R994">
        <v>-1.257343E-2</v>
      </c>
      <c r="S994">
        <v>2.9800719999999998</v>
      </c>
      <c r="T994">
        <v>-0.29769469999999998</v>
      </c>
      <c r="U994">
        <v>-0.42446899999999999</v>
      </c>
      <c r="V994">
        <v>1.477911E-2</v>
      </c>
      <c r="W994">
        <v>-9.8149539999999993E-2</v>
      </c>
      <c r="X994">
        <v>0.99506190000000005</v>
      </c>
      <c r="Y994">
        <v>0.14241899999999999</v>
      </c>
      <c r="Z994">
        <v>-8.1726279999999995E-3</v>
      </c>
      <c r="AA994">
        <v>0.98977269999999995</v>
      </c>
      <c r="AB994">
        <v>19</v>
      </c>
      <c r="AC994">
        <v>0.69689999999999896</v>
      </c>
      <c r="AD994">
        <v>-8.7461999999999901E-2</v>
      </c>
      <c r="AE994">
        <v>-0.12549999999998801</v>
      </c>
      <c r="AF994">
        <v>0.12513987478306901</v>
      </c>
      <c r="AG994">
        <v>-8.7461999999999901E-2</v>
      </c>
      <c r="AH994">
        <v>0.68615143000644996</v>
      </c>
      <c r="AI994">
        <v>97.147525836522206</v>
      </c>
      <c r="AJ994">
        <v>79.664031064833793</v>
      </c>
      <c r="AK994">
        <v>0.70293198433747395</v>
      </c>
      <c r="AL994">
        <v>95.632622869414206</v>
      </c>
      <c r="AM994">
        <v>89.149079699556495</v>
      </c>
      <c r="AN994">
        <v>0.99999996956310599</v>
      </c>
    </row>
    <row r="995" spans="1:40" x14ac:dyDescent="0.25">
      <c r="A995" t="str">
        <f>"20190303154438866"</f>
        <v>20190303154438866</v>
      </c>
      <c r="B995" t="str">
        <f>"1551599078861134"</f>
        <v>1551599078861134</v>
      </c>
      <c r="C995" t="s">
        <v>40</v>
      </c>
      <c r="D995">
        <v>4.7464339999999998</v>
      </c>
      <c r="E995">
        <v>0.54777559999999903</v>
      </c>
      <c r="F995" t="s">
        <v>42</v>
      </c>
      <c r="G995">
        <v>-222.58600000000001</v>
      </c>
      <c r="H995">
        <v>1.0361769999999999</v>
      </c>
      <c r="I995">
        <v>367.44490000000002</v>
      </c>
      <c r="J995">
        <v>-223.27340000000001</v>
      </c>
      <c r="K995">
        <v>1.1209199999999999</v>
      </c>
      <c r="L995">
        <v>367.5675</v>
      </c>
      <c r="M995">
        <v>0.99991790000000003</v>
      </c>
      <c r="N995">
        <v>-1.2629710000000001E-2</v>
      </c>
      <c r="O995">
        <v>2.222861E-3</v>
      </c>
      <c r="P995">
        <v>0.99379700000000004</v>
      </c>
      <c r="Q995">
        <v>-0.110541899999999</v>
      </c>
      <c r="R995">
        <v>-1.2177459999999999E-2</v>
      </c>
      <c r="S995">
        <v>2.980896</v>
      </c>
      <c r="T995">
        <v>-0.29236420000000002</v>
      </c>
      <c r="U995">
        <v>-0.42034909999999998</v>
      </c>
      <c r="V995">
        <v>1.4382839999999999E-2</v>
      </c>
      <c r="W995">
        <v>-9.7982669999999994E-2</v>
      </c>
      <c r="X995">
        <v>0.99508419999999997</v>
      </c>
      <c r="Y995">
        <v>0.141074799999999</v>
      </c>
      <c r="Z995">
        <v>-7.9541879999999992E-3</v>
      </c>
      <c r="AA995">
        <v>0.98996700000000004</v>
      </c>
      <c r="AB995">
        <v>19</v>
      </c>
      <c r="AC995">
        <v>0.68740000000002499</v>
      </c>
      <c r="AD995">
        <v>-8.4742999999999999E-2</v>
      </c>
      <c r="AE995">
        <v>-0.12259999999997701</v>
      </c>
      <c r="AF995">
        <v>0.122326008589494</v>
      </c>
      <c r="AG995">
        <v>-8.4742999999999999E-2</v>
      </c>
      <c r="AH995">
        <v>0.67715163068157602</v>
      </c>
      <c r="AI995">
        <v>97.020791899124703</v>
      </c>
      <c r="AJ995">
        <v>79.760074353539196</v>
      </c>
      <c r="AK995">
        <v>0.69331043505860701</v>
      </c>
      <c r="AL995">
        <v>95.623015344634993</v>
      </c>
      <c r="AM995">
        <v>89.171910628948496</v>
      </c>
      <c r="AN995">
        <v>1.00000001739821</v>
      </c>
    </row>
    <row r="996" spans="1:40" x14ac:dyDescent="0.25">
      <c r="A996" t="str">
        <f>"20190303154438888"</f>
        <v>20190303154438888</v>
      </c>
      <c r="B996" t="str">
        <f>"1551599078881629"</f>
        <v>1551599078881629</v>
      </c>
      <c r="C996" t="s">
        <v>40</v>
      </c>
      <c r="D996">
        <v>4.7652850000000004</v>
      </c>
      <c r="E996">
        <v>0.54753969999999996</v>
      </c>
      <c r="F996" t="s">
        <v>42</v>
      </c>
      <c r="G996">
        <v>-222.4178</v>
      </c>
      <c r="H996">
        <v>1.0380339999999999</v>
      </c>
      <c r="I996">
        <v>367.4477</v>
      </c>
      <c r="J996">
        <v>-223.08510000000001</v>
      </c>
      <c r="K996">
        <v>1.120886</v>
      </c>
      <c r="L996">
        <v>367.56790000000001</v>
      </c>
      <c r="M996">
        <v>0.99992040000000004</v>
      </c>
      <c r="N996">
        <v>-1.242452E-2</v>
      </c>
      <c r="O996">
        <v>2.2231389999999998E-3</v>
      </c>
      <c r="P996">
        <v>0.99377499999999996</v>
      </c>
      <c r="Q996">
        <v>-0.11074580000000001</v>
      </c>
      <c r="R996">
        <v>-1.2117070000000001E-2</v>
      </c>
      <c r="S996">
        <v>2.9814759999999998</v>
      </c>
      <c r="T996">
        <v>-0.28902169999999999</v>
      </c>
      <c r="U996">
        <v>-0.41683959999999998</v>
      </c>
      <c r="V996">
        <v>1.4322680000000001E-2</v>
      </c>
      <c r="W996">
        <v>-9.8390989999999998E-2</v>
      </c>
      <c r="X996">
        <v>0.99504479999999995</v>
      </c>
      <c r="Y996">
        <v>0.13992929999999901</v>
      </c>
      <c r="Z996">
        <v>-7.7962589999999998E-3</v>
      </c>
      <c r="AA996">
        <v>0.99013079999999998</v>
      </c>
      <c r="AB996">
        <v>19</v>
      </c>
      <c r="AC996">
        <v>0.667300000000011</v>
      </c>
      <c r="AD996">
        <v>-8.2851999999999898E-2</v>
      </c>
      <c r="AE996">
        <v>-0.12020000000001101</v>
      </c>
      <c r="AF996">
        <v>0.11989316297941199</v>
      </c>
      <c r="AG996">
        <v>-8.2851999999999898E-2</v>
      </c>
      <c r="AH996">
        <v>0.65721802095423998</v>
      </c>
      <c r="AI996">
        <v>97.069611048930994</v>
      </c>
      <c r="AJ996">
        <v>79.661487624191096</v>
      </c>
      <c r="AK996">
        <v>0.67318225726783298</v>
      </c>
      <c r="AL996">
        <v>95.646523822419198</v>
      </c>
      <c r="AM996">
        <v>89.175341203035302</v>
      </c>
      <c r="AN996">
        <v>1.0000000400413001</v>
      </c>
    </row>
    <row r="997" spans="1:40" x14ac:dyDescent="0.25">
      <c r="A997" t="str">
        <f>"20190303154438909"</f>
        <v>20190303154438909</v>
      </c>
      <c r="B997" t="str">
        <f>"1551599078901148"</f>
        <v>1551599078901148</v>
      </c>
      <c r="C997" t="s">
        <v>40</v>
      </c>
      <c r="D997">
        <v>4.7731539999999999</v>
      </c>
      <c r="E997">
        <v>0.54737150000000001</v>
      </c>
      <c r="F997" t="s">
        <v>42</v>
      </c>
      <c r="G997">
        <v>-222.24930000000001</v>
      </c>
      <c r="H997">
        <v>1.0400959999999999</v>
      </c>
      <c r="I997">
        <v>367.45150000000001</v>
      </c>
      <c r="J997">
        <v>-222.90469999999999</v>
      </c>
      <c r="K997">
        <v>1.1208560000000001</v>
      </c>
      <c r="L997">
        <v>367.56830000000002</v>
      </c>
      <c r="M997">
        <v>0.99992309999999995</v>
      </c>
      <c r="N997">
        <v>-1.2209569999999999E-2</v>
      </c>
      <c r="O997">
        <v>2.223278E-3</v>
      </c>
      <c r="P997">
        <v>0.99370789999999998</v>
      </c>
      <c r="Q997">
        <v>-0.11128250000000001</v>
      </c>
      <c r="R997">
        <v>-1.269579E-2</v>
      </c>
      <c r="S997">
        <v>2.9815830000000001</v>
      </c>
      <c r="T997">
        <v>-0.2883984</v>
      </c>
      <c r="U997">
        <v>-0.41467290000000001</v>
      </c>
      <c r="V997">
        <v>1.490123E-2</v>
      </c>
      <c r="W997">
        <v>-9.9142419999999995E-2</v>
      </c>
      <c r="X997">
        <v>0.99496169999999995</v>
      </c>
      <c r="Y997">
        <v>0.13922679999999901</v>
      </c>
      <c r="Z997">
        <v>-7.7286589999999997E-3</v>
      </c>
      <c r="AA997">
        <v>0.99023039999999996</v>
      </c>
      <c r="AB997">
        <v>19</v>
      </c>
      <c r="AC997">
        <v>0.65539999999998599</v>
      </c>
      <c r="AD997">
        <v>-8.0759999999999901E-2</v>
      </c>
      <c r="AE997">
        <v>-0.11680000000001101</v>
      </c>
      <c r="AF997">
        <v>0.116541880356657</v>
      </c>
      <c r="AG997">
        <v>-8.0759999999999901E-2</v>
      </c>
      <c r="AH997">
        <v>0.64563723227465597</v>
      </c>
      <c r="AI997">
        <v>97.017600578542897</v>
      </c>
      <c r="AJ997">
        <v>79.767905166614995</v>
      </c>
      <c r="AK997">
        <v>0.66102316387275295</v>
      </c>
      <c r="AL997">
        <v>95.6897892142849</v>
      </c>
      <c r="AM997">
        <v>89.141963190432094</v>
      </c>
      <c r="AN997">
        <v>1.00000002528292</v>
      </c>
    </row>
    <row r="998" spans="1:40" x14ac:dyDescent="0.25">
      <c r="A998" t="str">
        <f>"20190303154438933"</f>
        <v>20190303154438933</v>
      </c>
      <c r="B998" t="str">
        <f>"1551599078921644"</f>
        <v>1551599078921644</v>
      </c>
      <c r="C998" t="s">
        <v>40</v>
      </c>
      <c r="D998">
        <v>4.7045450000000004</v>
      </c>
      <c r="E998">
        <v>0.54719609999999996</v>
      </c>
      <c r="F998" t="s">
        <v>42</v>
      </c>
      <c r="G998">
        <v>-222.08099999999999</v>
      </c>
      <c r="H998">
        <v>1.041288</v>
      </c>
      <c r="I998">
        <v>367.45339999999999</v>
      </c>
      <c r="J998">
        <v>-222.7088</v>
      </c>
      <c r="K998">
        <v>1.1208129999999901</v>
      </c>
      <c r="L998">
        <v>367.56869999999998</v>
      </c>
      <c r="M998">
        <v>0.99992630000000005</v>
      </c>
      <c r="N998">
        <v>-1.1951389999999999E-2</v>
      </c>
      <c r="O998">
        <v>2.2233560000000001E-3</v>
      </c>
      <c r="P998">
        <v>0.99375610000000003</v>
      </c>
      <c r="Q998">
        <v>-0.1107823</v>
      </c>
      <c r="R998">
        <v>-1.327823E-2</v>
      </c>
      <c r="S998">
        <v>2.9814150000000001</v>
      </c>
      <c r="T998">
        <v>-0.28826629999999998</v>
      </c>
      <c r="U998">
        <v>-0.41516110000000001</v>
      </c>
      <c r="V998">
        <v>1.5484120000000001E-2</v>
      </c>
      <c r="W998">
        <v>-9.8898550000000002E-2</v>
      </c>
      <c r="X998">
        <v>0.99497709999999995</v>
      </c>
      <c r="Y998">
        <v>0.13939489999999999</v>
      </c>
      <c r="Z998">
        <v>-7.7173759999999997E-3</v>
      </c>
      <c r="AA998">
        <v>0.99020680000000005</v>
      </c>
      <c r="AB998">
        <v>19</v>
      </c>
      <c r="AC998">
        <v>0.62780000000000702</v>
      </c>
      <c r="AD998">
        <v>-7.9524999999999804E-2</v>
      </c>
      <c r="AE998">
        <v>-0.11529999999998999</v>
      </c>
      <c r="AF998">
        <v>0.114911933427449</v>
      </c>
      <c r="AG998">
        <v>-7.9524999999999804E-2</v>
      </c>
      <c r="AH998">
        <v>0.61795003674661997</v>
      </c>
      <c r="AI998">
        <v>97.210899773608602</v>
      </c>
      <c r="AJ998">
        <v>79.465791472923499</v>
      </c>
      <c r="AK998">
        <v>0.63355443805894296</v>
      </c>
      <c r="AL998">
        <v>95.675747312114694</v>
      </c>
      <c r="AM998">
        <v>89.108418559782805</v>
      </c>
      <c r="AN998">
        <v>1.00000005534434</v>
      </c>
    </row>
    <row r="999" spans="1:40" x14ac:dyDescent="0.25">
      <c r="A999" t="str">
        <f>"20190303154438954"</f>
        <v>20190303154438954</v>
      </c>
      <c r="B999" t="str">
        <f>"1551599078951901"</f>
        <v>1551599078951901</v>
      </c>
      <c r="C999" t="s">
        <v>40</v>
      </c>
      <c r="D999">
        <v>4.7050519999999896</v>
      </c>
      <c r="E999">
        <v>0.54716849999999995</v>
      </c>
      <c r="F999" t="s">
        <v>42</v>
      </c>
      <c r="G999">
        <v>-221.9109</v>
      </c>
      <c r="H999">
        <v>1.0443800000000001</v>
      </c>
      <c r="I999">
        <v>367.45749999999998</v>
      </c>
      <c r="J999">
        <v>-222.5273</v>
      </c>
      <c r="K999">
        <v>1.1207689999999999</v>
      </c>
      <c r="L999">
        <v>367.56909999999999</v>
      </c>
      <c r="M999">
        <v>0.99992919999999996</v>
      </c>
      <c r="N999">
        <v>-1.1694700000000001E-2</v>
      </c>
      <c r="O999">
        <v>2.2235110000000001E-3</v>
      </c>
      <c r="P999">
        <v>0.99373089999999997</v>
      </c>
      <c r="Q999">
        <v>-0.1109598</v>
      </c>
      <c r="R999">
        <v>-1.367349E-2</v>
      </c>
      <c r="S999">
        <v>2.98143</v>
      </c>
      <c r="T999">
        <v>-0.2856302</v>
      </c>
      <c r="U999">
        <v>-0.41543580000000002</v>
      </c>
      <c r="V999">
        <v>1.587947E-2</v>
      </c>
      <c r="W999">
        <v>-9.9331840000000005E-2</v>
      </c>
      <c r="X999">
        <v>0.99492760000000002</v>
      </c>
      <c r="Y999">
        <v>0.1394975</v>
      </c>
      <c r="Z999">
        <v>-7.6424459999999998E-3</v>
      </c>
      <c r="AA999">
        <v>0.99019290000000004</v>
      </c>
      <c r="AB999">
        <v>19</v>
      </c>
      <c r="AC999">
        <v>0.61639999999999795</v>
      </c>
      <c r="AD999">
        <v>-7.6389000000000207E-2</v>
      </c>
      <c r="AE999">
        <v>-0.111600000000009</v>
      </c>
      <c r="AF999">
        <v>0.111315067081956</v>
      </c>
      <c r="AG999">
        <v>-7.6389000000000207E-2</v>
      </c>
      <c r="AH999">
        <v>0.60712204077367704</v>
      </c>
      <c r="AI999">
        <v>97.054967576427103</v>
      </c>
      <c r="AJ999">
        <v>79.610287618000001</v>
      </c>
      <c r="AK999">
        <v>0.62195136134078399</v>
      </c>
      <c r="AL999">
        <v>95.700696445625894</v>
      </c>
      <c r="AM999">
        <v>89.085612492064797</v>
      </c>
      <c r="AN999">
        <v>0.99999995062351199</v>
      </c>
    </row>
    <row r="1000" spans="1:40" x14ac:dyDescent="0.25">
      <c r="A1000" t="str">
        <f>"20190303154438977"</f>
        <v>20190303154438977</v>
      </c>
      <c r="B1000" t="str">
        <f>"1551599078971424"</f>
        <v>1551599078971424</v>
      </c>
      <c r="C1000" t="s">
        <v>40</v>
      </c>
      <c r="D1000">
        <v>4.7606349999999997</v>
      </c>
      <c r="E1000">
        <v>0.54715649999999905</v>
      </c>
      <c r="F1000" t="s">
        <v>42</v>
      </c>
      <c r="G1000">
        <v>-221.7414</v>
      </c>
      <c r="H1000">
        <v>1.0460370000000001</v>
      </c>
      <c r="I1000">
        <v>367.45909999999998</v>
      </c>
      <c r="J1000">
        <v>-222.3355</v>
      </c>
      <c r="K1000">
        <v>1.1207279999999999</v>
      </c>
      <c r="L1000">
        <v>367.56950000000001</v>
      </c>
      <c r="M1000">
        <v>0.9999325</v>
      </c>
      <c r="N1000">
        <v>-1.1413919999999999E-2</v>
      </c>
      <c r="O1000">
        <v>2.2237709999999998E-3</v>
      </c>
      <c r="P1000">
        <v>0.99371739999999997</v>
      </c>
      <c r="Q1000">
        <v>-0.1110872</v>
      </c>
      <c r="R1000">
        <v>-1.361888E-2</v>
      </c>
      <c r="S1000">
        <v>2.981506</v>
      </c>
      <c r="T1000">
        <v>-0.28388859999999999</v>
      </c>
      <c r="U1000">
        <v>-0.41638180000000002</v>
      </c>
      <c r="V1000">
        <v>1.5824939999999999E-2</v>
      </c>
      <c r="W1000">
        <v>-9.9738750000000001E-2</v>
      </c>
      <c r="X1000">
        <v>0.99488779999999999</v>
      </c>
      <c r="Y1000">
        <v>0.13981099999999999</v>
      </c>
      <c r="Z1000">
        <v>-7.5980869999999999E-3</v>
      </c>
      <c r="AA1000">
        <v>0.9901491</v>
      </c>
      <c r="AB1000">
        <v>19</v>
      </c>
      <c r="AC1000">
        <v>0.59409999999999696</v>
      </c>
      <c r="AD1000">
        <v>-7.4690999999999994E-2</v>
      </c>
      <c r="AE1000">
        <v>-0.11040000000002601</v>
      </c>
      <c r="AF1000">
        <v>0.110039740621549</v>
      </c>
      <c r="AG1000">
        <v>-7.4690999999999994E-2</v>
      </c>
      <c r="AH1000">
        <v>0.58491651005526402</v>
      </c>
      <c r="AI1000">
        <v>97.152865754285202</v>
      </c>
      <c r="AJ1000">
        <v>79.345535271988695</v>
      </c>
      <c r="AK1000">
        <v>0.59984565825909597</v>
      </c>
      <c r="AL1000">
        <v>95.724126797471001</v>
      </c>
      <c r="AM1000">
        <v>89.088715514739206</v>
      </c>
      <c r="AN1000">
        <v>0.99999999078320301</v>
      </c>
    </row>
    <row r="1001" spans="1:40" x14ac:dyDescent="0.25">
      <c r="A1001" t="str">
        <f>"20190303154439000"</f>
        <v>20190303154439000</v>
      </c>
      <c r="B1001" t="str">
        <f>"1551599078991917"</f>
        <v>1551599078991917</v>
      </c>
      <c r="C1001" t="s">
        <v>40</v>
      </c>
      <c r="D1001">
        <v>4.7576970000000003</v>
      </c>
      <c r="E1001">
        <v>0.547207</v>
      </c>
      <c r="F1001" t="s">
        <v>42</v>
      </c>
      <c r="G1001">
        <v>-221.57140000000001</v>
      </c>
      <c r="H1001">
        <v>1.0481339999999999</v>
      </c>
      <c r="I1001">
        <v>367.46269999999998</v>
      </c>
      <c r="J1001">
        <v>-222.1463</v>
      </c>
      <c r="K1001">
        <v>1.120689</v>
      </c>
      <c r="L1001">
        <v>367.57</v>
      </c>
      <c r="M1001">
        <v>0.99993540000000003</v>
      </c>
      <c r="N1001">
        <v>-1.1137960000000001E-2</v>
      </c>
      <c r="O1001">
        <v>2.2242030000000001E-3</v>
      </c>
      <c r="P1001">
        <v>0.9937184</v>
      </c>
      <c r="Q1001">
        <v>-0.1111912</v>
      </c>
      <c r="R1001">
        <v>-1.266022E-2</v>
      </c>
      <c r="S1001">
        <v>2.9815369999999999</v>
      </c>
      <c r="T1001">
        <v>-0.2835087</v>
      </c>
      <c r="U1001">
        <v>-0.41601559999999999</v>
      </c>
      <c r="V1001">
        <v>1.4866570000000001E-2</v>
      </c>
      <c r="W1001">
        <v>-0.1001172</v>
      </c>
      <c r="X1001">
        <v>0.99486459999999999</v>
      </c>
      <c r="Y1001">
        <v>0.13969479999999901</v>
      </c>
      <c r="Z1001">
        <v>-7.5640500000000001E-3</v>
      </c>
      <c r="AA1001">
        <v>0.99016570000000004</v>
      </c>
      <c r="AB1001">
        <v>19</v>
      </c>
      <c r="AC1001">
        <v>0.57489999999998498</v>
      </c>
      <c r="AD1001">
        <v>-7.2554999999999897E-2</v>
      </c>
      <c r="AE1001">
        <v>-0.107300000000009</v>
      </c>
      <c r="AF1001">
        <v>0.106932661622262</v>
      </c>
      <c r="AG1001">
        <v>-7.2554999999999897E-2</v>
      </c>
      <c r="AH1001">
        <v>0.56594913884945697</v>
      </c>
      <c r="AI1001">
        <v>97.179827619678406</v>
      </c>
      <c r="AJ1001">
        <v>79.300443614653901</v>
      </c>
      <c r="AK1001">
        <v>0.580514642288257</v>
      </c>
      <c r="AL1001">
        <v>95.745919293739803</v>
      </c>
      <c r="AM1001">
        <v>89.143875133440503</v>
      </c>
      <c r="AN1001">
        <v>1.00000002048628</v>
      </c>
    </row>
    <row r="1002" spans="1:40" x14ac:dyDescent="0.25">
      <c r="A1002" t="str">
        <f>"20190303154439023"</f>
        <v>20190303154439023</v>
      </c>
      <c r="B1002" t="str">
        <f>"1551599079011436"</f>
        <v>1551599079011436</v>
      </c>
      <c r="C1002" t="s">
        <v>40</v>
      </c>
      <c r="D1002">
        <v>5.1156439999999996</v>
      </c>
      <c r="E1002">
        <v>0.58029519999999901</v>
      </c>
      <c r="F1002" t="s">
        <v>42</v>
      </c>
      <c r="G1002">
        <v>-221.4008</v>
      </c>
      <c r="H1002">
        <v>1.050279</v>
      </c>
      <c r="I1002">
        <v>367.46629999999999</v>
      </c>
      <c r="J1002">
        <v>-221.95609999999999</v>
      </c>
      <c r="K1002">
        <v>1.120654</v>
      </c>
      <c r="L1002">
        <v>367.57040000000001</v>
      </c>
      <c r="M1002">
        <v>0.99993840000000001</v>
      </c>
      <c r="N1002">
        <v>-1.0872659999999999E-2</v>
      </c>
      <c r="O1002">
        <v>2.2242999999999998E-3</v>
      </c>
      <c r="P1002">
        <v>0.99374680000000004</v>
      </c>
      <c r="Q1002">
        <v>-0.11104840000000001</v>
      </c>
      <c r="R1002">
        <v>-1.1643590000000001E-2</v>
      </c>
      <c r="S1002">
        <v>2.9821469999999999</v>
      </c>
      <c r="T1002">
        <v>-0.28196549999999998</v>
      </c>
      <c r="U1002">
        <v>-0.41354370000000001</v>
      </c>
      <c r="V1002">
        <v>1.385028E-2</v>
      </c>
      <c r="W1002">
        <v>-0.10023799999999999</v>
      </c>
      <c r="X1002">
        <v>0.9948671</v>
      </c>
      <c r="Y1002">
        <v>0.1388751</v>
      </c>
      <c r="Z1002">
        <v>-7.4650699999999999E-3</v>
      </c>
      <c r="AA1002">
        <v>0.99028179999999999</v>
      </c>
      <c r="AB1002">
        <v>19</v>
      </c>
      <c r="AC1002">
        <v>0.55529999999998803</v>
      </c>
      <c r="AD1002">
        <v>-7.0374999999999799E-2</v>
      </c>
      <c r="AE1002">
        <v>-0.104100000000016</v>
      </c>
      <c r="AF1002">
        <v>0.10372555941518299</v>
      </c>
      <c r="AG1002">
        <v>-7.0374999999999799E-2</v>
      </c>
      <c r="AH1002">
        <v>0.54658620970650595</v>
      </c>
      <c r="AI1002">
        <v>97.209403624571294</v>
      </c>
      <c r="AJ1002">
        <v>79.254763010467698</v>
      </c>
      <c r="AK1002">
        <v>0.56077456873713305</v>
      </c>
      <c r="AL1002">
        <v>95.752875638438795</v>
      </c>
      <c r="AM1002">
        <v>89.202394644497005</v>
      </c>
      <c r="AN1002">
        <v>1.00000001678124</v>
      </c>
    </row>
    <row r="1003" spans="1:40" x14ac:dyDescent="0.25">
      <c r="A1003" t="str">
        <f>"20190303154439044"</f>
        <v>20190303154439044</v>
      </c>
      <c r="B1003" t="str">
        <f>"1551599079041692"</f>
        <v>1551599079041692</v>
      </c>
      <c r="C1003" t="s">
        <v>40</v>
      </c>
      <c r="D1003">
        <v>4.9528299999999996</v>
      </c>
      <c r="E1003">
        <v>0.64397399999999905</v>
      </c>
      <c r="F1003" t="s">
        <v>50</v>
      </c>
      <c r="G1003">
        <v>-206.167</v>
      </c>
      <c r="H1003" s="1">
        <v>-4.7410019999999996E-6</v>
      </c>
      <c r="I1003">
        <v>364.01260000000002</v>
      </c>
      <c r="J1003">
        <v>-221.7704</v>
      </c>
      <c r="K1003">
        <v>1.12063</v>
      </c>
      <c r="L1003">
        <v>367.57080000000002</v>
      </c>
      <c r="M1003">
        <v>0.99994110000000003</v>
      </c>
      <c r="N1003">
        <v>-1.063362E-2</v>
      </c>
      <c r="O1003">
        <v>2.2242220000000001E-3</v>
      </c>
      <c r="P1003">
        <v>0.99374340000000005</v>
      </c>
      <c r="Q1003">
        <v>-0.1111885</v>
      </c>
      <c r="R1003">
        <v>-1.05554E-2</v>
      </c>
      <c r="S1003">
        <v>2.9872890000000001</v>
      </c>
      <c r="T1003">
        <v>-0.21202750000000001</v>
      </c>
      <c r="U1003">
        <v>-0.67312620000000001</v>
      </c>
      <c r="V1003">
        <v>1.2761959999999999E-2</v>
      </c>
      <c r="W1003">
        <v>-0.10061589999999999</v>
      </c>
      <c r="X1003">
        <v>0.99484349999999999</v>
      </c>
      <c r="Y1003">
        <v>0.2213714</v>
      </c>
      <c r="Z1003">
        <v>-9.0750559999999997E-3</v>
      </c>
      <c r="AA1003">
        <v>0.9751474</v>
      </c>
      <c r="AB1003">
        <v>19</v>
      </c>
      <c r="AC1003">
        <v>15.603399999999899</v>
      </c>
      <c r="AD1003">
        <v>-1.1206347410019999</v>
      </c>
      <c r="AE1003">
        <v>-3.5581999999999998</v>
      </c>
      <c r="AF1003">
        <v>3.5753681030532301</v>
      </c>
      <c r="AG1003">
        <v>-1.1206347410019999</v>
      </c>
      <c r="AH1003">
        <v>15.51935338913</v>
      </c>
      <c r="AI1003">
        <v>94.025020423574006</v>
      </c>
      <c r="AJ1003">
        <v>77.026490444752397</v>
      </c>
      <c r="AK1003">
        <v>15.965256305859</v>
      </c>
      <c r="AL1003">
        <v>95.7746377825612</v>
      </c>
      <c r="AM1003">
        <v>89.265043857575293</v>
      </c>
      <c r="AN1003">
        <v>1.0000000082240501</v>
      </c>
    </row>
    <row r="1004" spans="1:40" x14ac:dyDescent="0.25">
      <c r="A1004" t="str">
        <f>"20190303154439067"</f>
        <v>20190303154439067</v>
      </c>
      <c r="B1004" t="str">
        <f>"1551599079061213"</f>
        <v>1551599079061213</v>
      </c>
      <c r="C1004" t="s">
        <v>40</v>
      </c>
      <c r="D1004">
        <v>4.9485679999999999</v>
      </c>
      <c r="E1004">
        <v>0.64694309999999999</v>
      </c>
      <c r="F1004" t="s">
        <v>41</v>
      </c>
      <c r="G1004">
        <v>-210.19309999999999</v>
      </c>
      <c r="H1004" s="1">
        <v>-5.3664869999999996E-6</v>
      </c>
      <c r="I1004">
        <v>362.98079999999999</v>
      </c>
      <c r="J1004">
        <v>-221.57669999999999</v>
      </c>
      <c r="K1004">
        <v>1.120606</v>
      </c>
      <c r="L1004">
        <v>367.57119999999998</v>
      </c>
      <c r="M1004">
        <v>0.99994340000000004</v>
      </c>
      <c r="N1004">
        <v>-1.0407400000000001E-2</v>
      </c>
      <c r="O1004">
        <v>2.224406E-3</v>
      </c>
      <c r="P1004">
        <v>0.99380610000000003</v>
      </c>
      <c r="Q1004">
        <v>-0.11069320000000001</v>
      </c>
      <c r="R1004">
        <v>-9.8179059999999995E-3</v>
      </c>
      <c r="S1004">
        <v>2.974167</v>
      </c>
      <c r="T1004">
        <v>-0.287885</v>
      </c>
      <c r="U1004">
        <v>-1.179138</v>
      </c>
      <c r="V1004">
        <v>1.202494E-2</v>
      </c>
      <c r="W1004">
        <v>-0.100345</v>
      </c>
      <c r="X1004">
        <v>0.99487999999999999</v>
      </c>
      <c r="Y1004">
        <v>0.36894080000000001</v>
      </c>
      <c r="Z1004">
        <v>-1.9347590000000001E-2</v>
      </c>
      <c r="AA1004">
        <v>0.92925150000000001</v>
      </c>
      <c r="AB1004">
        <v>19</v>
      </c>
      <c r="AC1004">
        <v>11.383599999999999</v>
      </c>
      <c r="AD1004">
        <v>-1.1206113664870001</v>
      </c>
      <c r="AE1004">
        <v>-4.5903999999999803</v>
      </c>
      <c r="AF1004">
        <v>4.5775567801096804</v>
      </c>
      <c r="AG1004">
        <v>-1.1206113664870001</v>
      </c>
      <c r="AH1004">
        <v>11.279344456869</v>
      </c>
      <c r="AI1004">
        <v>95.259736138164996</v>
      </c>
      <c r="AJ1004">
        <v>67.910946466034304</v>
      </c>
      <c r="AK1004">
        <v>12.2242957787567</v>
      </c>
      <c r="AL1004">
        <v>95.759037645201005</v>
      </c>
      <c r="AM1004">
        <v>89.307509687010807</v>
      </c>
      <c r="AN1004">
        <v>0.99999996630350096</v>
      </c>
    </row>
    <row r="1005" spans="1:40" x14ac:dyDescent="0.25">
      <c r="A1005" t="str">
        <f>"20190303154439088"</f>
        <v>20190303154439088</v>
      </c>
      <c r="B1005" t="str">
        <f>"1551599079081709"</f>
        <v>1551599079081709</v>
      </c>
      <c r="C1005" t="s">
        <v>40</v>
      </c>
      <c r="D1005">
        <v>4.9642160000000004</v>
      </c>
      <c r="E1005">
        <v>0.64875629999999995</v>
      </c>
      <c r="F1005" t="s">
        <v>50</v>
      </c>
      <c r="G1005">
        <v>-209.80850000000001</v>
      </c>
      <c r="H1005" s="1">
        <v>-6.2822060000000003E-6</v>
      </c>
      <c r="I1005">
        <v>362.82190000000003</v>
      </c>
      <c r="J1005">
        <v>-221.3905</v>
      </c>
      <c r="K1005">
        <v>1.1205940000000001</v>
      </c>
      <c r="L1005">
        <v>367.57159999999999</v>
      </c>
      <c r="M1005">
        <v>0.99994530000000004</v>
      </c>
      <c r="N1005">
        <v>-1.0211420000000001E-2</v>
      </c>
      <c r="O1005">
        <v>2.224588E-3</v>
      </c>
      <c r="P1005">
        <v>0.99381969999999997</v>
      </c>
      <c r="Q1005">
        <v>-0.11057400000000001</v>
      </c>
      <c r="R1005">
        <v>-9.7850929999999999E-3</v>
      </c>
      <c r="S1005">
        <v>2.9752809999999998</v>
      </c>
      <c r="T1005">
        <v>-0.28331849999999997</v>
      </c>
      <c r="U1005">
        <v>-1.200745</v>
      </c>
      <c r="V1005">
        <v>1.199223E-2</v>
      </c>
      <c r="W1005">
        <v>-0.1004206</v>
      </c>
      <c r="X1005">
        <v>0.9948728</v>
      </c>
      <c r="Y1005">
        <v>0.3746662</v>
      </c>
      <c r="Z1005">
        <v>-1.9302360000000001E-2</v>
      </c>
      <c r="AA1005">
        <v>0.92695879999999997</v>
      </c>
      <c r="AB1005">
        <v>19</v>
      </c>
      <c r="AC1005">
        <v>11.581999999999899</v>
      </c>
      <c r="AD1005">
        <v>-1.1206002822059999</v>
      </c>
      <c r="AE1005">
        <v>-4.7496999999999598</v>
      </c>
      <c r="AF1005">
        <v>4.7374905713353499</v>
      </c>
      <c r="AG1005">
        <v>-1.1206002822059999</v>
      </c>
      <c r="AH1005">
        <v>11.4794136095969</v>
      </c>
      <c r="AI1005">
        <v>95.156171306818806</v>
      </c>
      <c r="AJ1005">
        <v>67.574330865004697</v>
      </c>
      <c r="AK1005">
        <v>12.469021562503199</v>
      </c>
      <c r="AL1005">
        <v>95.7633910055456</v>
      </c>
      <c r="AM1005">
        <v>89.309388205035205</v>
      </c>
      <c r="AN1005">
        <v>0.999999999332286</v>
      </c>
    </row>
    <row r="1006" spans="1:40" x14ac:dyDescent="0.25">
      <c r="A1006" t="str">
        <f>"20190303154439110"</f>
        <v>20190303154439110</v>
      </c>
      <c r="B1006" t="str">
        <f>"1551599079101229"</f>
        <v>1551599079101229</v>
      </c>
      <c r="C1006" t="s">
        <v>40</v>
      </c>
      <c r="D1006">
        <v>4.935988</v>
      </c>
      <c r="E1006">
        <v>0.65124559999999998</v>
      </c>
      <c r="F1006" t="s">
        <v>50</v>
      </c>
      <c r="G1006">
        <v>-209.35230000000001</v>
      </c>
      <c r="H1006" s="1">
        <v>-6.1551279999999997E-6</v>
      </c>
      <c r="I1006">
        <v>362.65780000000001</v>
      </c>
      <c r="J1006">
        <v>-221.19980000000001</v>
      </c>
      <c r="K1006">
        <v>1.120573</v>
      </c>
      <c r="L1006">
        <v>367.57209999999998</v>
      </c>
      <c r="M1006">
        <v>0.99994720000000004</v>
      </c>
      <c r="N1006">
        <v>-1.0031719999999999E-2</v>
      </c>
      <c r="O1006">
        <v>2.224668E-3</v>
      </c>
      <c r="P1006">
        <v>0.99374689999999999</v>
      </c>
      <c r="Q1006">
        <v>-0.1111089</v>
      </c>
      <c r="R1006">
        <v>-1.105105E-2</v>
      </c>
      <c r="S1006">
        <v>2.9758909999999998</v>
      </c>
      <c r="T1006">
        <v>-0.2770183</v>
      </c>
      <c r="U1006">
        <v>-1.2147220000000001</v>
      </c>
      <c r="V1006">
        <v>1.3257959999999999E-2</v>
      </c>
      <c r="W1006">
        <v>-0.10113510000000001</v>
      </c>
      <c r="X1006">
        <v>0.99478440000000001</v>
      </c>
      <c r="Y1006">
        <v>0.37839460000000003</v>
      </c>
      <c r="Z1006">
        <v>-1.9053569999999999E-2</v>
      </c>
      <c r="AA1006">
        <v>0.92544820000000005</v>
      </c>
      <c r="AB1006">
        <v>19</v>
      </c>
      <c r="AC1006">
        <v>11.847499999999901</v>
      </c>
      <c r="AD1006">
        <v>-1.120579155128</v>
      </c>
      <c r="AE1006">
        <v>-4.9142999999999599</v>
      </c>
      <c r="AF1006">
        <v>4.9032206685702997</v>
      </c>
      <c r="AG1006">
        <v>-1.120579155128</v>
      </c>
      <c r="AH1006">
        <v>11.7468760143858</v>
      </c>
      <c r="AI1006">
        <v>95.0309316545641</v>
      </c>
      <c r="AJ1006">
        <v>67.344033029250198</v>
      </c>
      <c r="AK1006">
        <v>12.778355397505401</v>
      </c>
      <c r="AL1006">
        <v>95.804538074074799</v>
      </c>
      <c r="AM1006">
        <v>89.236437380301993</v>
      </c>
      <c r="AN1006">
        <v>1.00000004221936</v>
      </c>
    </row>
    <row r="1007" spans="1:40" x14ac:dyDescent="0.25">
      <c r="A1007" t="str">
        <f>"20190303154439133"</f>
        <v>20190303154439133</v>
      </c>
      <c r="B1007" t="str">
        <f>"1551599079121522"</f>
        <v>1551599079121522</v>
      </c>
      <c r="C1007" t="s">
        <v>40</v>
      </c>
      <c r="D1007">
        <v>5.0187480000000004</v>
      </c>
      <c r="E1007">
        <v>0.65142060000000002</v>
      </c>
      <c r="F1007" t="s">
        <v>50</v>
      </c>
      <c r="G1007">
        <v>-206.1404</v>
      </c>
      <c r="H1007" s="1">
        <v>-5.28907299999999E-6</v>
      </c>
      <c r="I1007">
        <v>361.31889999999999</v>
      </c>
      <c r="J1007">
        <v>-221.00800000000001</v>
      </c>
      <c r="K1007">
        <v>1.12056</v>
      </c>
      <c r="L1007">
        <v>367.57249999999999</v>
      </c>
      <c r="M1007">
        <v>0.99994879999999997</v>
      </c>
      <c r="N1007">
        <v>-9.8714960000000004E-3</v>
      </c>
      <c r="O1007">
        <v>2.2248150000000002E-3</v>
      </c>
      <c r="P1007">
        <v>0.993699</v>
      </c>
      <c r="Q1007">
        <v>-0.1114361</v>
      </c>
      <c r="R1007">
        <v>-1.2016890000000001E-2</v>
      </c>
      <c r="S1007">
        <v>2.9803009999999999</v>
      </c>
      <c r="T1007">
        <v>-0.22176589999999999</v>
      </c>
      <c r="U1007">
        <v>-1.2375179999999999</v>
      </c>
      <c r="V1007">
        <v>1.422375E-2</v>
      </c>
      <c r="W1007">
        <v>-0.1016222</v>
      </c>
      <c r="X1007">
        <v>0.99472139999999998</v>
      </c>
      <c r="Y1007">
        <v>0.38449299999999997</v>
      </c>
      <c r="Z1007">
        <v>-1.5833320000000001E-2</v>
      </c>
      <c r="AA1007">
        <v>0.92299209999999998</v>
      </c>
      <c r="AB1007">
        <v>19</v>
      </c>
      <c r="AC1007">
        <v>14.8675999999999</v>
      </c>
      <c r="AD1007">
        <v>-1.120565289073</v>
      </c>
      <c r="AE1007">
        <v>-6.2535999999999996</v>
      </c>
      <c r="AF1007">
        <v>6.2564660477163203</v>
      </c>
      <c r="AG1007">
        <v>-1.120565289073</v>
      </c>
      <c r="AH1007">
        <v>14.7823004922734</v>
      </c>
      <c r="AI1007">
        <v>93.993304997658001</v>
      </c>
      <c r="AJ1007">
        <v>67.059957897151804</v>
      </c>
      <c r="AK1007">
        <v>16.090849630059001</v>
      </c>
      <c r="AL1007">
        <v>95.832591480610304</v>
      </c>
      <c r="AM1007">
        <v>89.180770307949899</v>
      </c>
      <c r="AN1007">
        <v>1.0000000251074299</v>
      </c>
    </row>
    <row r="1008" spans="1:40" x14ac:dyDescent="0.25">
      <c r="A1008" t="str">
        <f>"20190303154439155"</f>
        <v>20190303154439155</v>
      </c>
      <c r="B1008" t="str">
        <f>"1551599079151779"</f>
        <v>1551599079151779</v>
      </c>
      <c r="C1008" t="s">
        <v>40</v>
      </c>
      <c r="D1008">
        <v>5.0110580000000002</v>
      </c>
      <c r="E1008">
        <v>0.65186769999999905</v>
      </c>
      <c r="F1008" t="s">
        <v>50</v>
      </c>
      <c r="G1008">
        <v>-206.9</v>
      </c>
      <c r="H1008" s="1">
        <v>-5.4857599999999998E-6</v>
      </c>
      <c r="I1008">
        <v>361.68770000000001</v>
      </c>
      <c r="J1008">
        <v>-220.81379999999999</v>
      </c>
      <c r="K1008">
        <v>1.1205430000000001</v>
      </c>
      <c r="L1008">
        <v>367.5729</v>
      </c>
      <c r="M1008">
        <v>0.99995020000000001</v>
      </c>
      <c r="N1008">
        <v>-9.7289630000000002E-3</v>
      </c>
      <c r="O1008">
        <v>2.224981E-3</v>
      </c>
      <c r="P1008">
        <v>0.9936256</v>
      </c>
      <c r="Q1008">
        <v>-0.1119098</v>
      </c>
      <c r="R1008">
        <v>-1.3572580000000001E-2</v>
      </c>
      <c r="S1008">
        <v>2.9774929999999999</v>
      </c>
      <c r="T1008">
        <v>-0.23649590000000001</v>
      </c>
      <c r="U1008">
        <v>-1.2420040000000001</v>
      </c>
      <c r="V1008">
        <v>1.5779649999999999E-2</v>
      </c>
      <c r="W1008">
        <v>-0.1022385</v>
      </c>
      <c r="X1008">
        <v>0.99463469999999998</v>
      </c>
      <c r="Y1008">
        <v>0.38584889999999999</v>
      </c>
      <c r="Z1008">
        <v>-1.6792649999999999E-2</v>
      </c>
      <c r="AA1008">
        <v>0.92240919999999904</v>
      </c>
      <c r="AB1008">
        <v>19</v>
      </c>
      <c r="AC1008">
        <v>13.913799999999901</v>
      </c>
      <c r="AD1008">
        <v>-1.1205484857600001</v>
      </c>
      <c r="AE1008">
        <v>-5.8851999999999904</v>
      </c>
      <c r="AF1008">
        <v>5.8837746112254301</v>
      </c>
      <c r="AG1008">
        <v>-1.1205484857600001</v>
      </c>
      <c r="AH1008">
        <v>13.8246128677035</v>
      </c>
      <c r="AI1008">
        <v>94.265274235025004</v>
      </c>
      <c r="AJ1008">
        <v>66.945328273414006</v>
      </c>
      <c r="AK1008">
        <v>15.06633178735</v>
      </c>
      <c r="AL1008">
        <v>95.868088208135006</v>
      </c>
      <c r="AM1008">
        <v>89.091091928743893</v>
      </c>
      <c r="AN1008">
        <v>0.99999994734022901</v>
      </c>
    </row>
    <row r="1009" spans="1:40" x14ac:dyDescent="0.25">
      <c r="A1009" t="str">
        <f>"20190303154439178"</f>
        <v>20190303154439178</v>
      </c>
      <c r="B1009" t="str">
        <f>"1551599079171298"</f>
        <v>1551599079171298</v>
      </c>
      <c r="C1009" t="s">
        <v>40</v>
      </c>
      <c r="D1009">
        <v>4.651491</v>
      </c>
      <c r="E1009">
        <v>0.6539893</v>
      </c>
      <c r="F1009" t="s">
        <v>50</v>
      </c>
      <c r="G1009">
        <v>-207.4496</v>
      </c>
      <c r="H1009" s="1">
        <v>-5.6282410000000002E-6</v>
      </c>
      <c r="I1009">
        <v>361.95330000000001</v>
      </c>
      <c r="J1009">
        <v>-220.619</v>
      </c>
      <c r="K1009">
        <v>1.120536</v>
      </c>
      <c r="L1009">
        <v>367.57339999999999</v>
      </c>
      <c r="M1009">
        <v>0.99995149999999999</v>
      </c>
      <c r="N1009">
        <v>-9.6075899999999992E-3</v>
      </c>
      <c r="O1009">
        <v>2.2250939999999999E-3</v>
      </c>
      <c r="P1009">
        <v>0.99358040000000003</v>
      </c>
      <c r="Q1009">
        <v>-0.11211690000000001</v>
      </c>
      <c r="R1009">
        <v>-1.510063E-2</v>
      </c>
      <c r="S1009">
        <v>2.9740600000000001</v>
      </c>
      <c r="T1009">
        <v>-0.24936620000000001</v>
      </c>
      <c r="U1009">
        <v>-1.25058</v>
      </c>
      <c r="V1009">
        <v>1.7307610000000001E-2</v>
      </c>
      <c r="W1009">
        <v>-0.1025669</v>
      </c>
      <c r="X1009">
        <v>0.9945756</v>
      </c>
      <c r="Y1009">
        <v>0.38835639999999999</v>
      </c>
      <c r="Z1009">
        <v>-1.7697649999999999E-2</v>
      </c>
      <c r="AA1009">
        <v>0.92133929999999997</v>
      </c>
      <c r="AB1009">
        <v>19</v>
      </c>
      <c r="AC1009">
        <v>13.1694</v>
      </c>
      <c r="AD1009">
        <v>-1.1205416282409999</v>
      </c>
      <c r="AE1009">
        <v>-5.6200999999999697</v>
      </c>
      <c r="AF1009">
        <v>5.6150021369934402</v>
      </c>
      <c r="AG1009">
        <v>-1.1205416282409999</v>
      </c>
      <c r="AH1009">
        <v>13.076774332071301</v>
      </c>
      <c r="AI1009">
        <v>94.502052586963998</v>
      </c>
      <c r="AJ1009">
        <v>66.761923993362203</v>
      </c>
      <c r="AK1009">
        <v>14.275359521601599</v>
      </c>
      <c r="AL1009">
        <v>95.887002837128804</v>
      </c>
      <c r="AM1009">
        <v>89.003039161677606</v>
      </c>
      <c r="AN1009">
        <v>1.0000000732274299</v>
      </c>
    </row>
    <row r="1010" spans="1:40" x14ac:dyDescent="0.25">
      <c r="A1010" t="str">
        <f>"20190303154439201"</f>
        <v>20190303154439201</v>
      </c>
      <c r="B1010" t="str">
        <f>"1551599079191798"</f>
        <v>1551599079191798</v>
      </c>
      <c r="C1010" t="s">
        <v>40</v>
      </c>
      <c r="D1010">
        <v>5.0313850000000002</v>
      </c>
      <c r="E1010">
        <v>0.6542017</v>
      </c>
      <c r="F1010" t="s">
        <v>50</v>
      </c>
      <c r="G1010">
        <v>-203.68190000000001</v>
      </c>
      <c r="H1010" s="1">
        <v>-4.3474260000000004E-6</v>
      </c>
      <c r="I1010">
        <v>360.34449999999998</v>
      </c>
      <c r="J1010">
        <v>-220.41980000000001</v>
      </c>
      <c r="K1010">
        <v>1.12053</v>
      </c>
      <c r="L1010">
        <v>367.57380000000001</v>
      </c>
      <c r="M1010">
        <v>0.99995239999999996</v>
      </c>
      <c r="N1010">
        <v>-9.5100199999999992E-3</v>
      </c>
      <c r="O1010">
        <v>2.225206E-3</v>
      </c>
      <c r="P1010">
        <v>0.99363360000000001</v>
      </c>
      <c r="Q1010">
        <v>-0.1114657</v>
      </c>
      <c r="R1010">
        <v>-1.6368299999999999E-2</v>
      </c>
      <c r="S1010">
        <v>2.9778440000000002</v>
      </c>
      <c r="T1010">
        <v>-0.19701099999999999</v>
      </c>
      <c r="U1010">
        <v>-1.270966</v>
      </c>
      <c r="V1010">
        <v>1.857553E-2</v>
      </c>
      <c r="W1010">
        <v>-0.1020122</v>
      </c>
      <c r="X1010">
        <v>0.99460970000000004</v>
      </c>
      <c r="Y1010">
        <v>0.3937428</v>
      </c>
      <c r="Z1010">
        <v>-1.4541480000000001E-2</v>
      </c>
      <c r="AA1010">
        <v>0.91910559999999997</v>
      </c>
      <c r="AB1010">
        <v>19</v>
      </c>
      <c r="AC1010">
        <v>16.7378999999999</v>
      </c>
      <c r="AD1010">
        <v>-1.1205343474259899</v>
      </c>
      <c r="AE1010">
        <v>-7.2293000000000198</v>
      </c>
      <c r="AF1010">
        <v>7.2391856375251598</v>
      </c>
      <c r="AG1010">
        <v>-1.1205343474259899</v>
      </c>
      <c r="AH1010">
        <v>16.658848343794499</v>
      </c>
      <c r="AI1010">
        <v>93.530136155038704</v>
      </c>
      <c r="AJ1010">
        <v>66.512403552366493</v>
      </c>
      <c r="AK1010">
        <v>18.198314044434301</v>
      </c>
      <c r="AL1010">
        <v>95.855053730242304</v>
      </c>
      <c r="AM1010">
        <v>88.930056931483094</v>
      </c>
      <c r="AN1010">
        <v>0.99999999729885503</v>
      </c>
    </row>
    <row r="1011" spans="1:40" x14ac:dyDescent="0.25">
      <c r="A1011" t="str">
        <f>"20190303154439224"</f>
        <v>20190303154439224</v>
      </c>
      <c r="B1011" t="str">
        <f>"1551599079211315"</f>
        <v>1551599079211315</v>
      </c>
      <c r="C1011" t="s">
        <v>40</v>
      </c>
      <c r="D1011">
        <v>4.9920429999999998</v>
      </c>
      <c r="E1011">
        <v>0.65440259999999995</v>
      </c>
      <c r="F1011" t="s">
        <v>50</v>
      </c>
      <c r="G1011">
        <v>-204.1474</v>
      </c>
      <c r="H1011" s="1">
        <v>-4.5268810000000003E-6</v>
      </c>
      <c r="I1011">
        <v>360.5917</v>
      </c>
      <c r="J1011">
        <v>-220.22710000000001</v>
      </c>
      <c r="K1011">
        <v>1.120536</v>
      </c>
      <c r="L1011">
        <v>367.57429999999999</v>
      </c>
      <c r="M1011">
        <v>0.99995299999999998</v>
      </c>
      <c r="N1011">
        <v>-9.4436499999999996E-3</v>
      </c>
      <c r="O1011">
        <v>2.2257010000000001E-3</v>
      </c>
      <c r="P1011">
        <v>0.99356960000000005</v>
      </c>
      <c r="Q1011">
        <v>-0.1118058</v>
      </c>
      <c r="R1011">
        <v>-1.786753E-2</v>
      </c>
      <c r="S1011">
        <v>2.9751889999999999</v>
      </c>
      <c r="T1011">
        <v>-0.20487459999999999</v>
      </c>
      <c r="U1011">
        <v>-1.276581</v>
      </c>
      <c r="V1011">
        <v>2.007492E-2</v>
      </c>
      <c r="W1011">
        <v>-0.102419</v>
      </c>
      <c r="X1011">
        <v>0.99453879999999995</v>
      </c>
      <c r="Y1011">
        <v>0.39543660000000003</v>
      </c>
      <c r="Z1011">
        <v>-1.5101430000000001E-2</v>
      </c>
      <c r="AA1011">
        <v>0.91836910000000005</v>
      </c>
      <c r="AB1011">
        <v>19</v>
      </c>
      <c r="AC1011">
        <v>16.079699999999999</v>
      </c>
      <c r="AD1011">
        <v>-1.120540526881</v>
      </c>
      <c r="AE1011">
        <v>-6.9825999999999899</v>
      </c>
      <c r="AF1011">
        <v>6.9898141515660299</v>
      </c>
      <c r="AG1011">
        <v>-1.120540526881</v>
      </c>
      <c r="AH1011">
        <v>15.998751133054601</v>
      </c>
      <c r="AI1011">
        <v>93.672273066415201</v>
      </c>
      <c r="AJ1011">
        <v>66.399604102687206</v>
      </c>
      <c r="AK1011">
        <v>17.4949464349918</v>
      </c>
      <c r="AL1011">
        <v>95.878484129005301</v>
      </c>
      <c r="AM1011">
        <v>88.843632833184103</v>
      </c>
      <c r="AN1011">
        <v>1.0000000393397199</v>
      </c>
    </row>
    <row r="1012" spans="1:40" x14ac:dyDescent="0.25">
      <c r="A1012" t="str">
        <f>"20190303154439245"</f>
        <v>20190303154439245</v>
      </c>
      <c r="B1012" t="str">
        <f>"1551599079241575"</f>
        <v>1551599079241575</v>
      </c>
      <c r="C1012" t="s">
        <v>40</v>
      </c>
      <c r="D1012">
        <v>5.0351800000000004</v>
      </c>
      <c r="E1012">
        <v>0.6544179</v>
      </c>
      <c r="F1012" t="s">
        <v>50</v>
      </c>
      <c r="G1012">
        <v>-204.69139999999999</v>
      </c>
      <c r="H1012" s="1">
        <v>-4.7392630000000001E-6</v>
      </c>
      <c r="I1012">
        <v>360.86849999999998</v>
      </c>
      <c r="J1012">
        <v>-220.03659999999999</v>
      </c>
      <c r="K1012">
        <v>1.1205400000000001</v>
      </c>
      <c r="L1012">
        <v>367.57470000000001</v>
      </c>
      <c r="M1012">
        <v>0.99995339999999999</v>
      </c>
      <c r="N1012">
        <v>-9.3985860000000004E-3</v>
      </c>
      <c r="O1012">
        <v>2.2259150000000002E-3</v>
      </c>
      <c r="P1012">
        <v>0.99351540000000005</v>
      </c>
      <c r="Q1012">
        <v>-0.1118942</v>
      </c>
      <c r="R1012">
        <v>-2.017948E-2</v>
      </c>
      <c r="S1012">
        <v>2.9722439999999999</v>
      </c>
      <c r="T1012">
        <v>-0.2143795</v>
      </c>
      <c r="U1012">
        <v>-1.2829280000000001</v>
      </c>
      <c r="V1012">
        <v>2.238706E-2</v>
      </c>
      <c r="W1012">
        <v>-0.1025529</v>
      </c>
      <c r="X1012">
        <v>0.99447560000000002</v>
      </c>
      <c r="Y1012">
        <v>0.39733410000000002</v>
      </c>
      <c r="Z1012">
        <v>-1.578481E-2</v>
      </c>
      <c r="AA1012">
        <v>0.91753830000000003</v>
      </c>
      <c r="AB1012">
        <v>19</v>
      </c>
      <c r="AC1012">
        <v>15.3452</v>
      </c>
      <c r="AD1012">
        <v>-1.1205447392629999</v>
      </c>
      <c r="AE1012">
        <v>-6.7062000000000204</v>
      </c>
      <c r="AF1012">
        <v>6.7102987141476103</v>
      </c>
      <c r="AG1012">
        <v>-1.1205447392629999</v>
      </c>
      <c r="AH1012">
        <v>15.2619034351405</v>
      </c>
      <c r="AI1012">
        <v>93.845146061408698</v>
      </c>
      <c r="AJ1012">
        <v>66.266041110464897</v>
      </c>
      <c r="AK1012">
        <v>16.709560910129699</v>
      </c>
      <c r="AL1012">
        <v>95.886196886182404</v>
      </c>
      <c r="AM1012">
        <v>88.710408332985196</v>
      </c>
      <c r="AN1012">
        <v>0.99999999837460596</v>
      </c>
    </row>
    <row r="1013" spans="1:40" x14ac:dyDescent="0.25">
      <c r="A1013" t="str">
        <f>"20190303154439267"</f>
        <v>20190303154439267</v>
      </c>
      <c r="B1013" t="str">
        <f>"1551599079261098"</f>
        <v>1551599079261098</v>
      </c>
      <c r="C1013" t="s">
        <v>40</v>
      </c>
      <c r="D1013">
        <v>5.0313429999999997</v>
      </c>
      <c r="E1013">
        <v>0.65475969999999994</v>
      </c>
      <c r="F1013" t="s">
        <v>50</v>
      </c>
      <c r="G1013">
        <v>-205.44370000000001</v>
      </c>
      <c r="H1013" s="1">
        <v>-5.0210080000000001E-6</v>
      </c>
      <c r="I1013">
        <v>361.23039999999997</v>
      </c>
      <c r="J1013">
        <v>-219.8383</v>
      </c>
      <c r="K1013">
        <v>1.120539</v>
      </c>
      <c r="L1013">
        <v>367.57510000000002</v>
      </c>
      <c r="M1013">
        <v>0.99995369999999995</v>
      </c>
      <c r="N1013">
        <v>-9.3641030000000004E-3</v>
      </c>
      <c r="O1013">
        <v>2.2262570000000001E-3</v>
      </c>
      <c r="P1013">
        <v>0.99337149999999996</v>
      </c>
      <c r="Q1013">
        <v>-0.11253680000000001</v>
      </c>
      <c r="R1013">
        <v>-2.342584E-2</v>
      </c>
      <c r="S1013">
        <v>2.9677120000000001</v>
      </c>
      <c r="T1013">
        <v>-0.227883</v>
      </c>
      <c r="U1013">
        <v>-1.290222</v>
      </c>
      <c r="V1013">
        <v>2.5633449999999999E-2</v>
      </c>
      <c r="W1013">
        <v>-0.1032314</v>
      </c>
      <c r="X1013">
        <v>0.99432699999999996</v>
      </c>
      <c r="Y1013">
        <v>0.39961160000000001</v>
      </c>
      <c r="Z1013">
        <v>-1.6758080000000002E-2</v>
      </c>
      <c r="AA1013">
        <v>0.91653130000000005</v>
      </c>
      <c r="AB1013">
        <v>20</v>
      </c>
      <c r="AC1013">
        <v>14.394599999999899</v>
      </c>
      <c r="AD1013">
        <v>-1.120544021008</v>
      </c>
      <c r="AE1013">
        <v>-6.3447000000000404</v>
      </c>
      <c r="AF1013">
        <v>6.3445393549989797</v>
      </c>
      <c r="AG1013">
        <v>-1.120544021008</v>
      </c>
      <c r="AH1013">
        <v>14.3078403150428</v>
      </c>
      <c r="AI1013">
        <v>94.095028901845893</v>
      </c>
      <c r="AJ1013">
        <v>66.086019389503605</v>
      </c>
      <c r="AK1013">
        <v>15.6914974750949</v>
      </c>
      <c r="AL1013">
        <v>95.925279557572196</v>
      </c>
      <c r="AM1013">
        <v>88.523259180246299</v>
      </c>
      <c r="AN1013">
        <v>0.99999998931693102</v>
      </c>
    </row>
    <row r="1014" spans="1:40" x14ac:dyDescent="0.25">
      <c r="A1014" t="str">
        <f>"20190303154439289"</f>
        <v>20190303154439289</v>
      </c>
      <c r="B1014" t="str">
        <f>"1551599079281591"</f>
        <v>1551599079281591</v>
      </c>
      <c r="C1014" t="s">
        <v>40</v>
      </c>
      <c r="D1014">
        <v>5.0054650000000001</v>
      </c>
      <c r="E1014">
        <v>0.6555879</v>
      </c>
      <c r="F1014" t="s">
        <v>50</v>
      </c>
      <c r="G1014">
        <v>-205.852</v>
      </c>
      <c r="H1014" s="1">
        <v>-5.1679720000000004E-6</v>
      </c>
      <c r="I1014">
        <v>361.42529999999999</v>
      </c>
      <c r="J1014">
        <v>-219.6472</v>
      </c>
      <c r="K1014">
        <v>1.1205369999999999</v>
      </c>
      <c r="L1014">
        <v>367.57549999999998</v>
      </c>
      <c r="M1014">
        <v>0.99995389999999995</v>
      </c>
      <c r="N1014">
        <v>-9.3371449999999998E-3</v>
      </c>
      <c r="O1014">
        <v>2.2265620000000001E-3</v>
      </c>
      <c r="P1014">
        <v>0.99324520000000005</v>
      </c>
      <c r="Q1014">
        <v>-0.11300830000000001</v>
      </c>
      <c r="R1014">
        <v>-2.632197E-2</v>
      </c>
      <c r="S1014">
        <v>2.962418</v>
      </c>
      <c r="T1014">
        <v>-0.23734050000000001</v>
      </c>
      <c r="U1014">
        <v>-1.3025819999999999</v>
      </c>
      <c r="V1014">
        <v>2.8529720000000001E-2</v>
      </c>
      <c r="W1014">
        <v>-0.103731</v>
      </c>
      <c r="X1014">
        <v>0.99419610000000003</v>
      </c>
      <c r="Y1014">
        <v>0.40331420000000001</v>
      </c>
      <c r="Z1014">
        <v>-1.754052E-2</v>
      </c>
      <c r="AA1014">
        <v>0.91489339999999997</v>
      </c>
      <c r="AB1014">
        <v>20</v>
      </c>
      <c r="AC1014">
        <v>13.7951999999999</v>
      </c>
      <c r="AD1014">
        <v>-1.120542167972</v>
      </c>
      <c r="AE1014">
        <v>-6.1501999999999803</v>
      </c>
      <c r="AF1014">
        <v>6.1470692080084204</v>
      </c>
      <c r="AG1014">
        <v>-1.120542167972</v>
      </c>
      <c r="AH1014">
        <v>13.7060349809787</v>
      </c>
      <c r="AI1014">
        <v>94.266162351124095</v>
      </c>
      <c r="AJ1014">
        <v>65.844070070988394</v>
      </c>
      <c r="AK1014">
        <v>15.063116194800401</v>
      </c>
      <c r="AL1014">
        <v>95.954059118798298</v>
      </c>
      <c r="AM1014">
        <v>88.356275915048499</v>
      </c>
      <c r="AN1014">
        <v>0.99999997526974305</v>
      </c>
    </row>
    <row r="1015" spans="1:40" x14ac:dyDescent="0.25">
      <c r="A1015" t="str">
        <f>"20190303154439312"</f>
        <v>20190303154439312</v>
      </c>
      <c r="B1015" t="str">
        <f>"1551599079301111"</f>
        <v>1551599079301111</v>
      </c>
      <c r="C1015" t="s">
        <v>40</v>
      </c>
      <c r="D1015">
        <v>5.0381749999999998</v>
      </c>
      <c r="E1015">
        <v>0.65616830000000004</v>
      </c>
      <c r="F1015" t="s">
        <v>50</v>
      </c>
      <c r="G1015">
        <v>-205.63140000000001</v>
      </c>
      <c r="H1015" s="1">
        <v>-5.0860549999999997E-6</v>
      </c>
      <c r="I1015">
        <v>361.3313</v>
      </c>
      <c r="J1015">
        <v>-219.4478</v>
      </c>
      <c r="K1015">
        <v>1.1205320000000001</v>
      </c>
      <c r="L1015">
        <v>367.57600000000002</v>
      </c>
      <c r="M1015">
        <v>0.99995420000000002</v>
      </c>
      <c r="N1015">
        <v>-9.3145429999999998E-3</v>
      </c>
      <c r="O1015">
        <v>2.2268470000000001E-3</v>
      </c>
      <c r="P1015">
        <v>0.99321859999999995</v>
      </c>
      <c r="Q1015">
        <v>-0.1128226</v>
      </c>
      <c r="R1015">
        <v>-2.8068039999999999E-2</v>
      </c>
      <c r="S1015">
        <v>2.9585569999999999</v>
      </c>
      <c r="T1015">
        <v>-0.23653289999999999</v>
      </c>
      <c r="U1015">
        <v>-1.318085</v>
      </c>
      <c r="V1015">
        <v>3.0275880000000002E-2</v>
      </c>
      <c r="W1015">
        <v>-0.1035681</v>
      </c>
      <c r="X1015">
        <v>0.99416150000000003</v>
      </c>
      <c r="Y1015">
        <v>0.40775220000000001</v>
      </c>
      <c r="Z1015">
        <v>-1.767854E-2</v>
      </c>
      <c r="AA1015">
        <v>0.91292150000000005</v>
      </c>
      <c r="AB1015">
        <v>20</v>
      </c>
      <c r="AC1015">
        <v>13.8163999999999</v>
      </c>
      <c r="AD1015">
        <v>-1.1205370860549999</v>
      </c>
      <c r="AE1015">
        <v>-6.2446999999999599</v>
      </c>
      <c r="AF1015">
        <v>6.2413639223236901</v>
      </c>
      <c r="AG1015">
        <v>-1.1205370860549999</v>
      </c>
      <c r="AH1015">
        <v>13.7274827038346</v>
      </c>
      <c r="AI1015">
        <v>94.249694712909601</v>
      </c>
      <c r="AJ1015">
        <v>65.550514150115902</v>
      </c>
      <c r="AK1015">
        <v>15.121309743411301</v>
      </c>
      <c r="AL1015">
        <v>95.9446747412088</v>
      </c>
      <c r="AM1015">
        <v>88.255671558124305</v>
      </c>
      <c r="AN1015">
        <v>1.0000000341648101</v>
      </c>
    </row>
    <row r="1016" spans="1:40" x14ac:dyDescent="0.25">
      <c r="A1016" t="str">
        <f>"20190303154439346"</f>
        <v>20190303154439346</v>
      </c>
      <c r="B1016" t="str">
        <f>"1551599079341635"</f>
        <v>1551599079341635</v>
      </c>
      <c r="C1016" t="s">
        <v>40</v>
      </c>
      <c r="D1016">
        <v>5.0508439999999997</v>
      </c>
      <c r="E1016">
        <v>0.65694889999999995</v>
      </c>
      <c r="F1016" t="s">
        <v>50</v>
      </c>
      <c r="G1016">
        <v>-205.5052</v>
      </c>
      <c r="H1016" s="1">
        <v>-5.0313319999999996E-6</v>
      </c>
      <c r="I1016">
        <v>361.31299999999999</v>
      </c>
      <c r="J1016">
        <v>-219.15119999999999</v>
      </c>
      <c r="K1016">
        <v>1.120533</v>
      </c>
      <c r="L1016">
        <v>367.57659999999998</v>
      </c>
      <c r="M1016">
        <v>0.99995449999999997</v>
      </c>
      <c r="N1016">
        <v>-9.2911390000000003E-3</v>
      </c>
      <c r="O1016">
        <v>2.227255E-3</v>
      </c>
      <c r="P1016">
        <v>0.99319199999999996</v>
      </c>
      <c r="Q1016">
        <v>-0.1119594</v>
      </c>
      <c r="R1016">
        <v>-3.2172699999999999E-2</v>
      </c>
      <c r="S1016">
        <v>2.955978</v>
      </c>
      <c r="T1016">
        <v>-0.23756540000000001</v>
      </c>
      <c r="U1016">
        <v>-1.32782</v>
      </c>
      <c r="V1016">
        <v>3.4381000000000002E-2</v>
      </c>
      <c r="W1016">
        <v>-0.10272870000000001</v>
      </c>
      <c r="X1016">
        <v>0.99411510000000003</v>
      </c>
      <c r="Y1016">
        <v>0.41053309999999998</v>
      </c>
      <c r="Z1016">
        <v>-1.7865780000000001E-2</v>
      </c>
      <c r="AA1016">
        <v>0.91167069999999995</v>
      </c>
      <c r="AB1016">
        <v>20</v>
      </c>
      <c r="AC1016">
        <v>13.6459999999999</v>
      </c>
      <c r="AD1016">
        <v>-1.1205380313319999</v>
      </c>
      <c r="AE1016">
        <v>-6.2635999999999399</v>
      </c>
      <c r="AF1016">
        <v>6.2591191727283704</v>
      </c>
      <c r="AG1016">
        <v>-1.1205380313319999</v>
      </c>
      <c r="AH1016">
        <v>13.556512880821501</v>
      </c>
      <c r="AI1016">
        <v>94.291674212880807</v>
      </c>
      <c r="AJ1016">
        <v>65.2169609147751</v>
      </c>
      <c r="AK1016">
        <v>14.9736842422283</v>
      </c>
      <c r="AL1016">
        <v>95.896322745563594</v>
      </c>
      <c r="AM1016">
        <v>88.019242065751897</v>
      </c>
      <c r="AN1016">
        <v>1.0000000355063401</v>
      </c>
    </row>
    <row r="1017" spans="1:40" x14ac:dyDescent="0.25">
      <c r="A1017" t="str">
        <f>"20190303154439367"</f>
        <v>20190303154439367</v>
      </c>
      <c r="B1017" t="str">
        <f>"1551599079361162"</f>
        <v>1551599079361162</v>
      </c>
      <c r="C1017" t="s">
        <v>40</v>
      </c>
      <c r="D1017">
        <v>5.0502440000000002</v>
      </c>
      <c r="E1017">
        <v>0.65698080000000003</v>
      </c>
      <c r="F1017" t="s">
        <v>50</v>
      </c>
      <c r="G1017">
        <v>-205.5479</v>
      </c>
      <c r="H1017" s="1">
        <v>-5.0395099999999996E-6</v>
      </c>
      <c r="I1017">
        <v>361.36579999999998</v>
      </c>
      <c r="J1017">
        <v>-218.95359999999999</v>
      </c>
      <c r="K1017">
        <v>1.12053</v>
      </c>
      <c r="L1017">
        <v>367.577</v>
      </c>
      <c r="M1017">
        <v>0.99995449999999997</v>
      </c>
      <c r="N1017">
        <v>-9.2807280000000002E-3</v>
      </c>
      <c r="O1017">
        <v>2.227662E-3</v>
      </c>
      <c r="P1017">
        <v>0.9931951</v>
      </c>
      <c r="Q1017">
        <v>-0.1110207</v>
      </c>
      <c r="R1017">
        <v>-3.5184060000000003E-2</v>
      </c>
      <c r="S1017">
        <v>2.9495849999999999</v>
      </c>
      <c r="T1017">
        <v>-0.2429644</v>
      </c>
      <c r="U1017">
        <v>-1.3466800000000001</v>
      </c>
      <c r="V1017">
        <v>3.7392670000000003E-2</v>
      </c>
      <c r="W1017">
        <v>-0.1018006</v>
      </c>
      <c r="X1017">
        <v>0.99410180000000004</v>
      </c>
      <c r="Y1017">
        <v>0.41602689999999998</v>
      </c>
      <c r="Z1017">
        <v>-1.8480030000000001E-2</v>
      </c>
      <c r="AA1017">
        <v>0.90916450000000004</v>
      </c>
      <c r="AB1017">
        <v>20</v>
      </c>
      <c r="AC1017">
        <v>13.4056999999999</v>
      </c>
      <c r="AD1017">
        <v>-1.12053503951</v>
      </c>
      <c r="AE1017">
        <v>-6.2112000000000096</v>
      </c>
      <c r="AF1017">
        <v>6.2053564747443302</v>
      </c>
      <c r="AG1017">
        <v>-1.12053503951</v>
      </c>
      <c r="AH1017">
        <v>13.3152413709421</v>
      </c>
      <c r="AI1017">
        <v>94.361943858838302</v>
      </c>
      <c r="AJ1017">
        <v>65.012875842093194</v>
      </c>
      <c r="AK1017">
        <v>14.732878215741501</v>
      </c>
      <c r="AL1017">
        <v>95.8428665899294</v>
      </c>
      <c r="AM1017">
        <v>87.845861843089693</v>
      </c>
      <c r="AN1017">
        <v>0.99999998134666401</v>
      </c>
    </row>
    <row r="1018" spans="1:40" x14ac:dyDescent="0.25">
      <c r="A1018" t="str">
        <f>"20190303154439390"</f>
        <v>20190303154439390</v>
      </c>
      <c r="B1018" t="str">
        <f>"1551599079381652"</f>
        <v>1551599079381652</v>
      </c>
      <c r="C1018" t="s">
        <v>40</v>
      </c>
      <c r="D1018">
        <v>5.1891150000000001</v>
      </c>
      <c r="E1018">
        <v>0.65482689999999999</v>
      </c>
      <c r="F1018" t="s">
        <v>50</v>
      </c>
      <c r="G1018">
        <v>-205.5136</v>
      </c>
      <c r="H1018" s="1">
        <v>-5.0180759999999996E-6</v>
      </c>
      <c r="I1018">
        <v>361.39030000000002</v>
      </c>
      <c r="J1018">
        <v>-218.75649999999999</v>
      </c>
      <c r="K1018">
        <v>1.120522</v>
      </c>
      <c r="L1018">
        <v>367.57740000000001</v>
      </c>
      <c r="M1018">
        <v>0.99995449999999997</v>
      </c>
      <c r="N1018">
        <v>-9.2722680000000002E-3</v>
      </c>
      <c r="O1018">
        <v>2.2278799999999998E-3</v>
      </c>
      <c r="P1018">
        <v>0.99308960000000002</v>
      </c>
      <c r="Q1018">
        <v>-0.1110101</v>
      </c>
      <c r="R1018">
        <v>-3.8076449999999998E-2</v>
      </c>
      <c r="S1018">
        <v>2.9450989999999999</v>
      </c>
      <c r="T1018">
        <v>-0.24554049999999999</v>
      </c>
      <c r="U1018">
        <v>-1.3556820000000001</v>
      </c>
      <c r="V1018">
        <v>4.0285120000000001E-2</v>
      </c>
      <c r="W1018">
        <v>-0.1017995</v>
      </c>
      <c r="X1018">
        <v>0.99398889999999995</v>
      </c>
      <c r="Y1018">
        <v>0.41880699999999998</v>
      </c>
      <c r="Z1018">
        <v>-1.8790439999999999E-2</v>
      </c>
      <c r="AA1018">
        <v>0.90788080000000004</v>
      </c>
      <c r="AB1018">
        <v>20</v>
      </c>
      <c r="AC1018">
        <v>13.242899999999899</v>
      </c>
      <c r="AD1018">
        <v>-1.1205270180760001</v>
      </c>
      <c r="AE1018">
        <v>-6.1870999999999796</v>
      </c>
      <c r="AF1018">
        <v>6.1802700059568503</v>
      </c>
      <c r="AG1018">
        <v>-1.1205270180760001</v>
      </c>
      <c r="AH1018">
        <v>13.151793476641</v>
      </c>
      <c r="AI1018">
        <v>94.409354539755995</v>
      </c>
      <c r="AJ1018">
        <v>64.830304091400905</v>
      </c>
      <c r="AK1018">
        <v>14.574669457555</v>
      </c>
      <c r="AL1018">
        <v>95.842803236246993</v>
      </c>
      <c r="AM1018">
        <v>87.679144289374307</v>
      </c>
      <c r="AN1018">
        <v>0.99999998120843703</v>
      </c>
    </row>
    <row r="1019" spans="1:40" x14ac:dyDescent="0.25">
      <c r="A1019" t="str">
        <f>"20190303154439415"</f>
        <v>20190303154439415</v>
      </c>
      <c r="B1019" t="str">
        <f>"1551599079410931"</f>
        <v>1551599079410931</v>
      </c>
      <c r="C1019" t="s">
        <v>40</v>
      </c>
      <c r="D1019">
        <v>4.8835379999999997</v>
      </c>
      <c r="E1019">
        <v>0.55703549999999902</v>
      </c>
      <c r="F1019" t="s">
        <v>50</v>
      </c>
      <c r="G1019">
        <v>-205.5181</v>
      </c>
      <c r="H1019" s="1">
        <v>-4.993126E-6</v>
      </c>
      <c r="I1019">
        <v>361.51240000000001</v>
      </c>
      <c r="J1019">
        <v>-218.54329999999999</v>
      </c>
      <c r="K1019">
        <v>1.1205210000000001</v>
      </c>
      <c r="L1019">
        <v>367.5779</v>
      </c>
      <c r="M1019">
        <v>0.99995460000000003</v>
      </c>
      <c r="N1019">
        <v>-9.2647500000000004E-3</v>
      </c>
      <c r="O1019">
        <v>2.2282130000000002E-3</v>
      </c>
      <c r="P1019">
        <v>0.99295599999999995</v>
      </c>
      <c r="Q1019">
        <v>-0.111155</v>
      </c>
      <c r="R1019">
        <v>-4.1022839999999998E-2</v>
      </c>
      <c r="S1019">
        <v>2.9413909999999999</v>
      </c>
      <c r="T1019">
        <v>-0.2489654</v>
      </c>
      <c r="U1019">
        <v>-1.3475649999999999</v>
      </c>
      <c r="V1019">
        <v>4.3231539999999999E-2</v>
      </c>
      <c r="W1019">
        <v>-0.10195319999999999</v>
      </c>
      <c r="X1019">
        <v>0.99384939999999999</v>
      </c>
      <c r="Y1019">
        <v>0.4171376</v>
      </c>
      <c r="Z1019">
        <v>-1.897476E-2</v>
      </c>
      <c r="AA1019">
        <v>0.90864520000000004</v>
      </c>
      <c r="AB1019">
        <v>20</v>
      </c>
      <c r="AC1019">
        <v>13.0251999999999</v>
      </c>
      <c r="AD1019">
        <v>-1.1205259931260001</v>
      </c>
      <c r="AE1019">
        <v>-6.0654999999999797</v>
      </c>
      <c r="AF1019">
        <v>6.0576671625575997</v>
      </c>
      <c r="AG1019">
        <v>-1.1205259931260001</v>
      </c>
      <c r="AH1019">
        <v>12.9329950615413</v>
      </c>
      <c r="AI1019">
        <v>94.486273106748897</v>
      </c>
      <c r="AJ1019">
        <v>64.902145023842706</v>
      </c>
      <c r="AK1019">
        <v>14.325266881124801</v>
      </c>
      <c r="AL1019">
        <v>95.851655396408205</v>
      </c>
      <c r="AM1019">
        <v>87.509256168317805</v>
      </c>
      <c r="AN1019">
        <v>1.00000002546068</v>
      </c>
    </row>
    <row r="1020" spans="1:40" x14ac:dyDescent="0.25">
      <c r="A1020" t="str">
        <f>"20190303154439436"</f>
        <v>20190303154439436</v>
      </c>
      <c r="B1020" t="str">
        <f>"1551599079431878"</f>
        <v>1551599079431878</v>
      </c>
      <c r="C1020" t="s">
        <v>40</v>
      </c>
      <c r="D1020">
        <v>4.9130940000000001</v>
      </c>
      <c r="E1020">
        <v>0.55231109999999894</v>
      </c>
      <c r="F1020" t="s">
        <v>50</v>
      </c>
      <c r="G1020">
        <v>-202.56790000000001</v>
      </c>
      <c r="H1020" s="1">
        <v>-2.8700820000000002E-6</v>
      </c>
      <c r="I1020">
        <v>364.47899999999998</v>
      </c>
      <c r="J1020">
        <v>-218.34979999999999</v>
      </c>
      <c r="K1020">
        <v>1.120514</v>
      </c>
      <c r="L1020">
        <v>367.57830000000001</v>
      </c>
      <c r="M1020">
        <v>0.99995460000000003</v>
      </c>
      <c r="N1020">
        <v>-9.2593390000000001E-3</v>
      </c>
      <c r="O1020">
        <v>2.2285959999999998E-3</v>
      </c>
      <c r="P1020">
        <v>0.99279450000000002</v>
      </c>
      <c r="Q1020">
        <v>-0.1113463</v>
      </c>
      <c r="R1020">
        <v>-4.428634E-2</v>
      </c>
      <c r="S1020">
        <v>2.974091</v>
      </c>
      <c r="T1020">
        <v>-0.20860429999999999</v>
      </c>
      <c r="U1020">
        <v>-0.57690430000000004</v>
      </c>
      <c r="V1020">
        <v>4.6494929999999997E-2</v>
      </c>
      <c r="W1020">
        <v>-0.1021516</v>
      </c>
      <c r="X1020">
        <v>0.9936817</v>
      </c>
      <c r="Y1020">
        <v>0.19209380000000001</v>
      </c>
      <c r="Z1020">
        <v>-7.6996399999999998E-3</v>
      </c>
      <c r="AA1020">
        <v>0.98134639999999995</v>
      </c>
      <c r="AB1020">
        <v>20</v>
      </c>
      <c r="AC1020">
        <v>15.781899999999901</v>
      </c>
      <c r="AD1020">
        <v>-1.1205168700820001</v>
      </c>
      <c r="AE1020">
        <v>-3.0992999999999702</v>
      </c>
      <c r="AF1020">
        <v>3.1193246404928701</v>
      </c>
      <c r="AG1020">
        <v>-1.1205168700820001</v>
      </c>
      <c r="AH1020">
        <v>15.698754439068599</v>
      </c>
      <c r="AI1020">
        <v>94.004603382659695</v>
      </c>
      <c r="AJ1020">
        <v>78.761767853330795</v>
      </c>
      <c r="AK1020">
        <v>16.0448320404765</v>
      </c>
      <c r="AL1020">
        <v>95.863082545826998</v>
      </c>
      <c r="AM1020">
        <v>87.321051917062306</v>
      </c>
      <c r="AN1020">
        <v>1.0000000244065701</v>
      </c>
    </row>
    <row r="1021" spans="1:40" x14ac:dyDescent="0.25">
      <c r="A1021" t="str">
        <f>"20190303154439458"</f>
        <v>20190303154439458</v>
      </c>
      <c r="B1021" t="str">
        <f>"1551599079451398"</f>
        <v>1551599079451398</v>
      </c>
      <c r="C1021" t="s">
        <v>40</v>
      </c>
      <c r="D1021">
        <v>4.9082369999999997</v>
      </c>
      <c r="E1021">
        <v>0.54969780000000001</v>
      </c>
      <c r="F1021" t="s">
        <v>50</v>
      </c>
      <c r="G1021">
        <v>-204.26820000000001</v>
      </c>
      <c r="H1021" s="1">
        <v>-3.6156510000000001E-6</v>
      </c>
      <c r="I1021">
        <v>364.97550000000001</v>
      </c>
      <c r="J1021">
        <v>-218.15639999999999</v>
      </c>
      <c r="K1021">
        <v>1.1205069999999999</v>
      </c>
      <c r="L1021">
        <v>367.57859999999999</v>
      </c>
      <c r="M1021">
        <v>0.99995460000000003</v>
      </c>
      <c r="N1021">
        <v>-9.2550270000000007E-3</v>
      </c>
      <c r="O1021">
        <v>2.2289739999999999E-3</v>
      </c>
      <c r="P1021">
        <v>0.99257410000000001</v>
      </c>
      <c r="Q1021">
        <v>-0.1123646</v>
      </c>
      <c r="R1021">
        <v>-4.6592920000000003E-2</v>
      </c>
      <c r="S1021">
        <v>2.9707949999999999</v>
      </c>
      <c r="T1021">
        <v>-0.23639540000000001</v>
      </c>
      <c r="U1021">
        <v>-0.5491028</v>
      </c>
      <c r="V1021">
        <v>4.8801310000000001E-2</v>
      </c>
      <c r="W1021">
        <v>-0.1031764</v>
      </c>
      <c r="X1021">
        <v>0.99346520000000005</v>
      </c>
      <c r="Y1021">
        <v>0.1833137</v>
      </c>
      <c r="Z1021">
        <v>-8.2331079999999994E-3</v>
      </c>
      <c r="AA1021">
        <v>0.98302</v>
      </c>
      <c r="AB1021">
        <v>20</v>
      </c>
      <c r="AC1021">
        <v>13.8881999999999</v>
      </c>
      <c r="AD1021">
        <v>-1.1205106156510001</v>
      </c>
      <c r="AE1021">
        <v>-2.60309999999998</v>
      </c>
      <c r="AF1021">
        <v>2.6175906675456599</v>
      </c>
      <c r="AG1021">
        <v>-1.1205106156510001</v>
      </c>
      <c r="AH1021">
        <v>13.795609778299401</v>
      </c>
      <c r="AI1021">
        <v>94.562450812056099</v>
      </c>
      <c r="AJ1021">
        <v>79.256364682442893</v>
      </c>
      <c r="AK1021">
        <v>14.086382576719901</v>
      </c>
      <c r="AL1021">
        <v>95.9221111869672</v>
      </c>
      <c r="AM1021">
        <v>87.187759226182607</v>
      </c>
      <c r="AN1021">
        <v>1.0000000204928501</v>
      </c>
    </row>
    <row r="1022" spans="1:40" x14ac:dyDescent="0.25">
      <c r="A1022" t="str">
        <f>"20190303154439479"</f>
        <v>20190303154439479</v>
      </c>
      <c r="B1022" t="str">
        <f>"1551599079471894"</f>
        <v>1551599079471894</v>
      </c>
      <c r="C1022" t="s">
        <v>40</v>
      </c>
      <c r="D1022">
        <v>4.892144</v>
      </c>
      <c r="E1022">
        <v>0.54798119999999995</v>
      </c>
      <c r="F1022" t="s">
        <v>50</v>
      </c>
      <c r="G1022">
        <v>-204.8168</v>
      </c>
      <c r="H1022" s="1">
        <v>-3.8476659999999999E-6</v>
      </c>
      <c r="I1022">
        <v>365.17410000000001</v>
      </c>
      <c r="J1022">
        <v>-217.96039999999999</v>
      </c>
      <c r="K1022">
        <v>1.120501</v>
      </c>
      <c r="L1022">
        <v>367.57909999999998</v>
      </c>
      <c r="M1022">
        <v>0.99995480000000003</v>
      </c>
      <c r="N1022">
        <v>-9.2514980000000004E-3</v>
      </c>
      <c r="O1022">
        <v>2.229109E-3</v>
      </c>
      <c r="P1022">
        <v>0.99227310000000002</v>
      </c>
      <c r="Q1022">
        <v>-0.114091</v>
      </c>
      <c r="R1022">
        <v>-4.8762489999999999E-2</v>
      </c>
      <c r="S1022">
        <v>2.9690859999999999</v>
      </c>
      <c r="T1022">
        <v>-0.24939890000000001</v>
      </c>
      <c r="U1022">
        <v>-0.53518679999999996</v>
      </c>
      <c r="V1022">
        <v>5.0970439999999999E-2</v>
      </c>
      <c r="W1022">
        <v>-0.10490910000000001</v>
      </c>
      <c r="X1022">
        <v>0.99317469999999997</v>
      </c>
      <c r="Y1022">
        <v>0.17890220000000001</v>
      </c>
      <c r="Z1022">
        <v>-8.4416779999999993E-3</v>
      </c>
      <c r="AA1022">
        <v>0.9838306</v>
      </c>
      <c r="AB1022">
        <v>20</v>
      </c>
      <c r="AC1022">
        <v>13.1435999999999</v>
      </c>
      <c r="AD1022">
        <v>-1.120504847666</v>
      </c>
      <c r="AE1022">
        <v>-2.4049999999999701</v>
      </c>
      <c r="AF1022">
        <v>2.4172946973962302</v>
      </c>
      <c r="AG1022">
        <v>-1.120504847666</v>
      </c>
      <c r="AH1022">
        <v>13.0464597353958</v>
      </c>
      <c r="AI1022">
        <v>94.8270846382255</v>
      </c>
      <c r="AJ1022">
        <v>79.503072691132999</v>
      </c>
      <c r="AK1022">
        <v>13.315740925498901</v>
      </c>
      <c r="AL1022">
        <v>96.021929782537697</v>
      </c>
      <c r="AM1022">
        <v>87.062116854591494</v>
      </c>
      <c r="AN1022">
        <v>0.99999994486834498</v>
      </c>
    </row>
    <row r="1023" spans="1:40" x14ac:dyDescent="0.25">
      <c r="A1023" t="str">
        <f>"20190303154439503"</f>
        <v>20190303154439503</v>
      </c>
      <c r="B1023" t="str">
        <f>"1551599079491414"</f>
        <v>1551599079491414</v>
      </c>
      <c r="C1023" t="s">
        <v>40</v>
      </c>
      <c r="D1023">
        <v>4.9742329999999999</v>
      </c>
      <c r="E1023">
        <v>0.54701</v>
      </c>
      <c r="F1023" t="s">
        <v>50</v>
      </c>
      <c r="G1023">
        <v>-205.23070000000001</v>
      </c>
      <c r="H1023" s="1">
        <v>-4.0166060000000004E-6</v>
      </c>
      <c r="I1023">
        <v>365.31270000000001</v>
      </c>
      <c r="J1023">
        <v>-217.75659999999999</v>
      </c>
      <c r="K1023">
        <v>1.12049</v>
      </c>
      <c r="L1023">
        <v>367.5795</v>
      </c>
      <c r="M1023">
        <v>0.99995480000000003</v>
      </c>
      <c r="N1023">
        <v>-9.2536709999999998E-3</v>
      </c>
      <c r="O1023">
        <v>2.2294569999999998E-3</v>
      </c>
      <c r="P1023">
        <v>0.99192080000000005</v>
      </c>
      <c r="Q1023">
        <v>-0.1164439</v>
      </c>
      <c r="R1023">
        <v>-5.0341589999999999E-2</v>
      </c>
      <c r="S1023">
        <v>2.9673609999999999</v>
      </c>
      <c r="T1023">
        <v>-0.26119530000000002</v>
      </c>
      <c r="U1023">
        <v>-0.52828980000000003</v>
      </c>
      <c r="V1023">
        <v>5.2548869999999998E-2</v>
      </c>
      <c r="W1023">
        <v>-0.1072631</v>
      </c>
      <c r="X1023">
        <v>0.99284099999999997</v>
      </c>
      <c r="Y1023">
        <v>0.1767312</v>
      </c>
      <c r="Z1023">
        <v>-8.7026789999999996E-3</v>
      </c>
      <c r="AA1023">
        <v>0.98422069999999995</v>
      </c>
      <c r="AB1023">
        <v>20</v>
      </c>
      <c r="AC1023">
        <v>12.525899999999901</v>
      </c>
      <c r="AD1023">
        <v>-1.120494016606</v>
      </c>
      <c r="AE1023">
        <v>-2.2667999999999799</v>
      </c>
      <c r="AF1023">
        <v>2.2770780443057701</v>
      </c>
      <c r="AG1023">
        <v>-1.120494016606</v>
      </c>
      <c r="AH1023">
        <v>12.424545884912501</v>
      </c>
      <c r="AI1023">
        <v>95.069235684216807</v>
      </c>
      <c r="AJ1023">
        <v>79.614512326242107</v>
      </c>
      <c r="AK1023">
        <v>12.6810855886791</v>
      </c>
      <c r="AL1023">
        <v>96.157569145274906</v>
      </c>
      <c r="AM1023">
        <v>86.970288571944707</v>
      </c>
      <c r="AN1023">
        <v>1.00000000382044</v>
      </c>
    </row>
    <row r="1024" spans="1:40" x14ac:dyDescent="0.25">
      <c r="A1024" t="str">
        <f>"20190303154439524"</f>
        <v>20190303154439524</v>
      </c>
      <c r="B1024" t="str">
        <f>"1551599079521670"</f>
        <v>1551599079521670</v>
      </c>
      <c r="C1024" t="s">
        <v>40</v>
      </c>
      <c r="D1024">
        <v>4.9320909999999998</v>
      </c>
      <c r="E1024">
        <v>0.54581869999999999</v>
      </c>
      <c r="F1024" t="s">
        <v>50</v>
      </c>
      <c r="G1024">
        <v>-205.51859999999999</v>
      </c>
      <c r="H1024" s="1">
        <v>-4.1289929999999998E-6</v>
      </c>
      <c r="I1024">
        <v>365.41059999999999</v>
      </c>
      <c r="J1024">
        <v>-217.5557</v>
      </c>
      <c r="K1024">
        <v>1.1204769999999999</v>
      </c>
      <c r="L1024">
        <v>367.57990000000001</v>
      </c>
      <c r="M1024">
        <v>0.99995480000000003</v>
      </c>
      <c r="N1024">
        <v>-9.2672850000000001E-3</v>
      </c>
      <c r="O1024">
        <v>2.2297509999999999E-3</v>
      </c>
      <c r="P1024">
        <v>0.99161140000000003</v>
      </c>
      <c r="Q1024">
        <v>-0.11872779999999999</v>
      </c>
      <c r="R1024">
        <v>-5.1098449999999997E-2</v>
      </c>
      <c r="S1024">
        <v>2.965881</v>
      </c>
      <c r="T1024">
        <v>-0.27155089999999998</v>
      </c>
      <c r="U1024">
        <v>-0.52563479999999996</v>
      </c>
      <c r="V1024">
        <v>5.3305239999999997E-2</v>
      </c>
      <c r="W1024">
        <v>-0.1095363</v>
      </c>
      <c r="X1024">
        <v>0.99255249999999995</v>
      </c>
      <c r="Y1024">
        <v>0.17590790000000001</v>
      </c>
      <c r="Z1024">
        <v>-8.9792959999999995E-3</v>
      </c>
      <c r="AA1024">
        <v>0.98436559999999995</v>
      </c>
      <c r="AB1024">
        <v>20</v>
      </c>
      <c r="AC1024">
        <v>12.037100000000001</v>
      </c>
      <c r="AD1024">
        <v>-1.1204811289929999</v>
      </c>
      <c r="AE1024">
        <v>-2.1693000000000202</v>
      </c>
      <c r="AF1024">
        <v>2.17785810936536</v>
      </c>
      <c r="AG1024">
        <v>-1.1204811289929999</v>
      </c>
      <c r="AH1024">
        <v>11.9320943799923</v>
      </c>
      <c r="AI1024">
        <v>95.277928541654802</v>
      </c>
      <c r="AJ1024">
        <v>79.656176989843303</v>
      </c>
      <c r="AK1024">
        <v>12.180862867547701</v>
      </c>
      <c r="AL1024">
        <v>96.288585632494204</v>
      </c>
      <c r="AM1024">
        <v>86.925871403257901</v>
      </c>
      <c r="AN1024">
        <v>1.0000000574426899</v>
      </c>
    </row>
    <row r="1025" spans="1:40" x14ac:dyDescent="0.25">
      <c r="A1025" t="str">
        <f>"20190303154439547"</f>
        <v>20190303154439547</v>
      </c>
      <c r="B1025" t="str">
        <f>"1551599079541190"</f>
        <v>1551599079541190</v>
      </c>
      <c r="C1025" t="s">
        <v>40</v>
      </c>
      <c r="D1025">
        <v>4.9782630000000001</v>
      </c>
      <c r="E1025">
        <v>0.54505689999999996</v>
      </c>
      <c r="F1025" t="s">
        <v>50</v>
      </c>
      <c r="G1025">
        <v>-205.84100000000001</v>
      </c>
      <c r="H1025" s="1">
        <v>-4.2524070000000001E-6</v>
      </c>
      <c r="I1025">
        <v>365.53140000000002</v>
      </c>
      <c r="J1025">
        <v>-217.35069999999999</v>
      </c>
      <c r="K1025">
        <v>1.1204590000000001</v>
      </c>
      <c r="L1025">
        <v>367.58030000000002</v>
      </c>
      <c r="M1025">
        <v>0.99995440000000002</v>
      </c>
      <c r="N1025">
        <v>-9.2881100000000005E-3</v>
      </c>
      <c r="O1025">
        <v>2.2301310000000002E-3</v>
      </c>
      <c r="P1025">
        <v>0.99131740000000002</v>
      </c>
      <c r="Q1025">
        <v>-0.1210958</v>
      </c>
      <c r="R1025">
        <v>-5.1240109999999998E-2</v>
      </c>
      <c r="S1025">
        <v>2.9647060000000001</v>
      </c>
      <c r="T1025">
        <v>-0.28356599999999998</v>
      </c>
      <c r="U1025">
        <v>-0.51843260000000002</v>
      </c>
      <c r="V1025">
        <v>5.3446590000000002E-2</v>
      </c>
      <c r="W1025">
        <v>-0.11188620000000001</v>
      </c>
      <c r="X1025">
        <v>0.99228269999999996</v>
      </c>
      <c r="Y1025">
        <v>0.1735971</v>
      </c>
      <c r="Z1025">
        <v>-9.2261489999999995E-3</v>
      </c>
      <c r="AA1025">
        <v>0.98477360000000003</v>
      </c>
      <c r="AB1025">
        <v>20</v>
      </c>
      <c r="AC1025">
        <v>11.5097</v>
      </c>
      <c r="AD1025">
        <v>-1.120463252407</v>
      </c>
      <c r="AE1025">
        <v>-2.0489000000000002</v>
      </c>
      <c r="AF1025">
        <v>2.0556810191710801</v>
      </c>
      <c r="AG1025">
        <v>-1.120463252407</v>
      </c>
      <c r="AH1025">
        <v>11.4003799425436</v>
      </c>
      <c r="AI1025">
        <v>95.524640772854795</v>
      </c>
      <c r="AJ1025">
        <v>79.778440777934193</v>
      </c>
      <c r="AK1025">
        <v>11.6382956306723</v>
      </c>
      <c r="AL1025">
        <v>96.424058126683605</v>
      </c>
      <c r="AM1025">
        <v>86.916898959320406</v>
      </c>
      <c r="AN1025">
        <v>1.00000000822617</v>
      </c>
    </row>
    <row r="1026" spans="1:40" x14ac:dyDescent="0.25">
      <c r="A1026" t="str">
        <f>"20190303154439569"</f>
        <v>20190303154439569</v>
      </c>
      <c r="B1026" t="str">
        <f>"1551599079561705"</f>
        <v>1551599079561705</v>
      </c>
      <c r="C1026" t="s">
        <v>40</v>
      </c>
      <c r="D1026">
        <v>4.9633349999999998</v>
      </c>
      <c r="E1026">
        <v>0.54450790000000004</v>
      </c>
      <c r="F1026" t="s">
        <v>42</v>
      </c>
      <c r="G1026">
        <v>-216.49430000000001</v>
      </c>
      <c r="H1026">
        <v>1.035898</v>
      </c>
      <c r="I1026">
        <v>367.43209999999999</v>
      </c>
      <c r="J1026">
        <v>-217.15020000000001</v>
      </c>
      <c r="K1026">
        <v>1.1204559999999999</v>
      </c>
      <c r="L1026">
        <v>367.58080000000001</v>
      </c>
      <c r="M1026">
        <v>0.99995429999999996</v>
      </c>
      <c r="N1026">
        <v>-9.3126070000000005E-3</v>
      </c>
      <c r="O1026">
        <v>2.2293550000000001E-3</v>
      </c>
      <c r="P1026">
        <v>0.99120660000000005</v>
      </c>
      <c r="Q1026">
        <v>-0.1214582</v>
      </c>
      <c r="R1026">
        <v>-5.2512940000000001E-2</v>
      </c>
      <c r="S1026">
        <v>2.9640200000000001</v>
      </c>
      <c r="T1026">
        <v>-0.2928751</v>
      </c>
      <c r="U1026">
        <v>-0.51229859999999905</v>
      </c>
      <c r="V1026">
        <v>5.4718379999999997E-2</v>
      </c>
      <c r="W1026">
        <v>-0.11222550000000001</v>
      </c>
      <c r="X1026">
        <v>0.99217500000000003</v>
      </c>
      <c r="Y1026">
        <v>0.1716115</v>
      </c>
      <c r="Z1026">
        <v>-9.4007129999999998E-3</v>
      </c>
      <c r="AA1026">
        <v>0.98511990000000005</v>
      </c>
      <c r="AB1026">
        <v>20</v>
      </c>
      <c r="AC1026">
        <v>0.65590000000000204</v>
      </c>
      <c r="AD1026">
        <v>-8.4557999999999897E-2</v>
      </c>
      <c r="AE1026">
        <v>-0.14870000000001901</v>
      </c>
      <c r="AF1026">
        <v>0.147825160993865</v>
      </c>
      <c r="AG1026">
        <v>-8.4557999999999897E-2</v>
      </c>
      <c r="AH1026">
        <v>0.64536515200667599</v>
      </c>
      <c r="AI1026">
        <v>97.278180280173203</v>
      </c>
      <c r="AJ1026">
        <v>77.098582019939897</v>
      </c>
      <c r="AK1026">
        <v>0.66745674991827098</v>
      </c>
      <c r="AL1026">
        <v>96.443622192665302</v>
      </c>
      <c r="AM1026">
        <v>86.843339625647303</v>
      </c>
      <c r="AN1026">
        <v>0.99999994729253505</v>
      </c>
    </row>
    <row r="1027" spans="1:40" x14ac:dyDescent="0.25">
      <c r="A1027" t="str">
        <f>"20190303154439591"</f>
        <v>20190303154439591</v>
      </c>
      <c r="B1027" t="str">
        <f>"1551599079581206"</f>
        <v>1551599079581206</v>
      </c>
      <c r="C1027" t="s">
        <v>40</v>
      </c>
      <c r="D1027">
        <v>4.9937110000000002</v>
      </c>
      <c r="E1027">
        <v>0.54412209999999905</v>
      </c>
      <c r="F1027" t="s">
        <v>42</v>
      </c>
      <c r="G1027">
        <v>-216.31280000000001</v>
      </c>
      <c r="H1027">
        <v>1.037345</v>
      </c>
      <c r="I1027">
        <v>367.43599999999998</v>
      </c>
      <c r="J1027">
        <v>-216.9485</v>
      </c>
      <c r="K1027">
        <v>1.120463</v>
      </c>
      <c r="L1027">
        <v>367.58109999999999</v>
      </c>
      <c r="M1027">
        <v>0.99995389999999995</v>
      </c>
      <c r="N1027">
        <v>-9.3430969999999999E-3</v>
      </c>
      <c r="O1027">
        <v>2.2183680000000001E-3</v>
      </c>
      <c r="P1027">
        <v>0.99145910000000004</v>
      </c>
      <c r="Q1027">
        <v>-0.11809310000000001</v>
      </c>
      <c r="R1027">
        <v>-5.5343660000000003E-2</v>
      </c>
      <c r="S1027">
        <v>2.963409</v>
      </c>
      <c r="T1027">
        <v>-0.29420839999999998</v>
      </c>
      <c r="U1027">
        <v>-0.51217650000000003</v>
      </c>
      <c r="V1027">
        <v>5.7537440000000002E-2</v>
      </c>
      <c r="W1027">
        <v>-0.1088288</v>
      </c>
      <c r="X1027">
        <v>0.992394</v>
      </c>
      <c r="Y1027">
        <v>0.17158699999999999</v>
      </c>
      <c r="Z1027">
        <v>-9.4418209999999995E-3</v>
      </c>
      <c r="AA1027">
        <v>0.98512370000000005</v>
      </c>
      <c r="AB1027">
        <v>20</v>
      </c>
      <c r="AC1027">
        <v>0.63569999999998505</v>
      </c>
      <c r="AD1027">
        <v>-8.3117999999999803E-2</v>
      </c>
      <c r="AE1027">
        <v>-0.145100000000013</v>
      </c>
      <c r="AF1027">
        <v>0.14416733281553501</v>
      </c>
      <c r="AG1027">
        <v>-8.3117999999999803E-2</v>
      </c>
      <c r="AH1027">
        <v>0.625217322846365</v>
      </c>
      <c r="AI1027">
        <v>97.381174457759201</v>
      </c>
      <c r="AJ1027">
        <v>77.015266632872994</v>
      </c>
      <c r="AK1027">
        <v>0.64698494770923398</v>
      </c>
      <c r="AL1027">
        <v>96.247805068834495</v>
      </c>
      <c r="AM1027">
        <v>86.681795726437997</v>
      </c>
      <c r="AN1027">
        <v>1.0000000579735899</v>
      </c>
    </row>
    <row r="1028" spans="1:40" x14ac:dyDescent="0.25">
      <c r="A1028" t="str">
        <f>"20190303154439615"</f>
        <v>20190303154439615</v>
      </c>
      <c r="B1028" t="str">
        <f>"1551599079611462"</f>
        <v>1551599079611462</v>
      </c>
      <c r="C1028" t="s">
        <v>40</v>
      </c>
      <c r="D1028">
        <v>5.0282439999999999</v>
      </c>
      <c r="E1028">
        <v>0.54360319999999995</v>
      </c>
      <c r="F1028" t="s">
        <v>42</v>
      </c>
      <c r="G1028">
        <v>-216.1232</v>
      </c>
      <c r="H1028">
        <v>1.0410790000000001</v>
      </c>
      <c r="I1028">
        <v>367.43680000000001</v>
      </c>
      <c r="J1028">
        <v>-216.74039999999999</v>
      </c>
      <c r="K1028">
        <v>1.1204529999999999</v>
      </c>
      <c r="L1028">
        <v>367.58150000000001</v>
      </c>
      <c r="M1028">
        <v>0.9999536</v>
      </c>
      <c r="N1028">
        <v>-9.3879610000000002E-3</v>
      </c>
      <c r="O1028">
        <v>2.1748679999999999E-3</v>
      </c>
      <c r="P1028">
        <v>0.9915408</v>
      </c>
      <c r="Q1028">
        <v>-0.11553289999999999</v>
      </c>
      <c r="R1028">
        <v>-5.9154159999999997E-2</v>
      </c>
      <c r="S1028">
        <v>2.9629819999999998</v>
      </c>
      <c r="T1028">
        <v>-0.28520299999999998</v>
      </c>
      <c r="U1028">
        <v>-0.51745609999999997</v>
      </c>
      <c r="V1028">
        <v>6.1300649999999998E-2</v>
      </c>
      <c r="W1028">
        <v>-0.10622620000000001</v>
      </c>
      <c r="X1028">
        <v>0.99245059999999996</v>
      </c>
      <c r="Y1028">
        <v>0.17331529999999901</v>
      </c>
      <c r="Z1028">
        <v>-9.2687099999999994E-3</v>
      </c>
      <c r="AA1028">
        <v>0.9848228</v>
      </c>
      <c r="AB1028">
        <v>20</v>
      </c>
      <c r="AC1028">
        <v>0.61719999999999597</v>
      </c>
      <c r="AD1028">
        <v>-7.9374E-2</v>
      </c>
      <c r="AE1028">
        <v>-0.1447</v>
      </c>
      <c r="AF1028">
        <v>0.14378786363416701</v>
      </c>
      <c r="AG1028">
        <v>-7.9374E-2</v>
      </c>
      <c r="AH1028">
        <v>0.60736212485872598</v>
      </c>
      <c r="AI1028">
        <v>97.247474411315395</v>
      </c>
      <c r="AJ1028">
        <v>76.680923096411703</v>
      </c>
      <c r="AK1028">
        <v>0.629177186742642</v>
      </c>
      <c r="AL1028">
        <v>96.097817876639297</v>
      </c>
      <c r="AM1028">
        <v>86.465504575179494</v>
      </c>
      <c r="AN1028">
        <v>0.99999998434861104</v>
      </c>
    </row>
    <row r="1029" spans="1:40" x14ac:dyDescent="0.25">
      <c r="A1029" t="str">
        <f>"20190303154439637"</f>
        <v>20190303154439637</v>
      </c>
      <c r="B1029" t="str">
        <f>"1551599079630982"</f>
        <v>1551599079630982</v>
      </c>
      <c r="C1029" t="s">
        <v>40</v>
      </c>
      <c r="D1029">
        <v>5.0371389999999998</v>
      </c>
      <c r="E1029">
        <v>0.54318429999999995</v>
      </c>
      <c r="F1029" t="s">
        <v>50</v>
      </c>
      <c r="G1029">
        <v>-204.86539999999999</v>
      </c>
      <c r="H1029" s="1">
        <v>-3.8051019999999998E-6</v>
      </c>
      <c r="I1029">
        <v>365.47660000000002</v>
      </c>
      <c r="J1029">
        <v>-216.53450000000001</v>
      </c>
      <c r="K1029">
        <v>1.1204069999999999</v>
      </c>
      <c r="L1029">
        <v>367.58179999999999</v>
      </c>
      <c r="M1029">
        <v>0.99995330000000004</v>
      </c>
      <c r="N1029">
        <v>-9.445719E-3</v>
      </c>
      <c r="O1029">
        <v>2.0763140000000001E-3</v>
      </c>
      <c r="P1029">
        <v>0.99090710000000004</v>
      </c>
      <c r="Q1029">
        <v>-0.1184525</v>
      </c>
      <c r="R1029">
        <v>-6.3812350000000004E-2</v>
      </c>
      <c r="S1029">
        <v>2.961716</v>
      </c>
      <c r="T1029">
        <v>-0.27945130000000001</v>
      </c>
      <c r="U1029">
        <v>-0.52499390000000001</v>
      </c>
      <c r="V1029">
        <v>6.5850339999999993E-2</v>
      </c>
      <c r="W1029">
        <v>-0.1091003</v>
      </c>
      <c r="X1029">
        <v>0.99184720000000004</v>
      </c>
      <c r="Y1029">
        <v>0.17574119999999999</v>
      </c>
      <c r="Z1029">
        <v>-9.2220189999999997E-3</v>
      </c>
      <c r="AA1029">
        <v>0.98439319999999997</v>
      </c>
      <c r="AB1029">
        <v>20</v>
      </c>
      <c r="AC1029">
        <v>11.6691</v>
      </c>
      <c r="AD1029">
        <v>-1.1204108051020001</v>
      </c>
      <c r="AE1029">
        <v>-2.10519999999996</v>
      </c>
      <c r="AF1029">
        <v>2.1105813009008498</v>
      </c>
      <c r="AG1029">
        <v>-1.1204108051020001</v>
      </c>
      <c r="AH1029">
        <v>11.561478951726601</v>
      </c>
      <c r="AI1029">
        <v>95.445746307938805</v>
      </c>
      <c r="AJ1029">
        <v>79.654410643060103</v>
      </c>
      <c r="AK1029">
        <v>11.8058320058825</v>
      </c>
      <c r="AL1029">
        <v>96.263454382187504</v>
      </c>
      <c r="AM1029">
        <v>86.201614872816194</v>
      </c>
      <c r="AN1029">
        <v>1.00000000544302</v>
      </c>
    </row>
    <row r="1030" spans="1:40" x14ac:dyDescent="0.25">
      <c r="A1030" t="str">
        <f>"20190303154439658"</f>
        <v>20190303154439658</v>
      </c>
      <c r="B1030" t="str">
        <f>"1551599079651478"</f>
        <v>1551599079651478</v>
      </c>
      <c r="C1030" t="s">
        <v>40</v>
      </c>
      <c r="D1030">
        <v>5.0423280000000004</v>
      </c>
      <c r="E1030">
        <v>0.54289309999999902</v>
      </c>
      <c r="F1030" t="s">
        <v>50</v>
      </c>
      <c r="G1030">
        <v>-205.12119999999999</v>
      </c>
      <c r="H1030" s="1">
        <v>-3.920532E-6</v>
      </c>
      <c r="I1030">
        <v>365.51589999999999</v>
      </c>
      <c r="J1030">
        <v>-216.34139999999999</v>
      </c>
      <c r="K1030">
        <v>1.1203320000000001</v>
      </c>
      <c r="L1030">
        <v>367.58210000000003</v>
      </c>
      <c r="M1030">
        <v>0.99995299999999998</v>
      </c>
      <c r="N1030">
        <v>-9.5078920000000004E-3</v>
      </c>
      <c r="O1030">
        <v>1.9120369999999999E-3</v>
      </c>
      <c r="P1030">
        <v>0.98979030000000001</v>
      </c>
      <c r="Q1030">
        <v>-0.1246352</v>
      </c>
      <c r="R1030">
        <v>-6.9147459999999994E-2</v>
      </c>
      <c r="S1030">
        <v>2.9583279999999998</v>
      </c>
      <c r="T1030">
        <v>-0.29040880000000002</v>
      </c>
      <c r="U1030">
        <v>-0.53549190000000002</v>
      </c>
      <c r="V1030">
        <v>7.1005180000000001E-2</v>
      </c>
      <c r="W1030">
        <v>-0.11524139999999999</v>
      </c>
      <c r="X1030">
        <v>0.99079649999999997</v>
      </c>
      <c r="Y1030">
        <v>0.17907439999999999</v>
      </c>
      <c r="Z1030">
        <v>-9.7264369999999992E-3</v>
      </c>
      <c r="AA1030">
        <v>0.98378750000000004</v>
      </c>
      <c r="AB1030">
        <v>20</v>
      </c>
      <c r="AC1030">
        <v>11.2202</v>
      </c>
      <c r="AD1030">
        <v>-1.12033592053199</v>
      </c>
      <c r="AE1030">
        <v>-2.06620000000003</v>
      </c>
      <c r="AF1030">
        <v>2.0677116899213202</v>
      </c>
      <c r="AG1030">
        <v>-1.12033592053199</v>
      </c>
      <c r="AH1030">
        <v>11.1091035960646</v>
      </c>
      <c r="AI1030">
        <v>95.662125778168004</v>
      </c>
      <c r="AJ1030">
        <v>79.4563212658867</v>
      </c>
      <c r="AK1030">
        <v>11.355296866025499</v>
      </c>
      <c r="AL1030">
        <v>96.617548754618099</v>
      </c>
      <c r="AM1030">
        <v>85.900920301253905</v>
      </c>
      <c r="AN1030">
        <v>1.0000000101365201</v>
      </c>
    </row>
    <row r="1031" spans="1:40" x14ac:dyDescent="0.25">
      <c r="A1031" t="str">
        <f>"20190303154439692"</f>
        <v>20190303154439692</v>
      </c>
      <c r="B1031" t="str">
        <f>"1551599079680762"</f>
        <v>1551599079680762</v>
      </c>
      <c r="C1031" t="s">
        <v>40</v>
      </c>
      <c r="D1031">
        <v>5.0447879999999996</v>
      </c>
      <c r="E1031">
        <v>0.5422129</v>
      </c>
      <c r="F1031" t="s">
        <v>50</v>
      </c>
      <c r="G1031">
        <v>-205.2808</v>
      </c>
      <c r="H1031" s="1">
        <v>-3.992679E-6</v>
      </c>
      <c r="I1031">
        <v>365.5258</v>
      </c>
      <c r="J1031">
        <v>-216.03139999999999</v>
      </c>
      <c r="K1031">
        <v>1.1202160000000001</v>
      </c>
      <c r="L1031">
        <v>367.58210000000003</v>
      </c>
      <c r="M1031">
        <v>0.99995259999999997</v>
      </c>
      <c r="N1031">
        <v>-9.6367039999999994E-3</v>
      </c>
      <c r="O1031">
        <v>1.4497189999999999E-3</v>
      </c>
      <c r="P1031">
        <v>0.9885948</v>
      </c>
      <c r="Q1031">
        <v>-0.12927269999999999</v>
      </c>
      <c r="R1031">
        <v>-7.7259480000000005E-2</v>
      </c>
      <c r="S1031">
        <v>2.9548800000000002</v>
      </c>
      <c r="T1031">
        <v>-0.2993015</v>
      </c>
      <c r="U1031">
        <v>-0.54934689999999997</v>
      </c>
      <c r="V1031">
        <v>7.8624050000000001E-2</v>
      </c>
      <c r="W1031">
        <v>-0.11978610000000001</v>
      </c>
      <c r="X1031">
        <v>0.98968149999999999</v>
      </c>
      <c r="Y1031">
        <v>0.18320400000000001</v>
      </c>
      <c r="Z1031">
        <v>-1.020078E-2</v>
      </c>
      <c r="AA1031">
        <v>0.98302199999999995</v>
      </c>
      <c r="AB1031">
        <v>20</v>
      </c>
      <c r="AC1031">
        <v>10.750599999999899</v>
      </c>
      <c r="AD1031">
        <v>-1.120219992679</v>
      </c>
      <c r="AE1031">
        <v>-2.0563000000000198</v>
      </c>
      <c r="AF1031">
        <v>2.0504067835091302</v>
      </c>
      <c r="AG1031">
        <v>-1.120219992679</v>
      </c>
      <c r="AH1031">
        <v>10.6361979195148</v>
      </c>
      <c r="AI1031">
        <v>95.904388753346396</v>
      </c>
      <c r="AJ1031">
        <v>79.088583993899405</v>
      </c>
      <c r="AK1031">
        <v>10.8898010538737</v>
      </c>
      <c r="AL1031">
        <v>96.879758236205305</v>
      </c>
      <c r="AM1031">
        <v>85.457745918270106</v>
      </c>
      <c r="AN1031">
        <v>0.99999996121693002</v>
      </c>
    </row>
    <row r="1032" spans="1:40" x14ac:dyDescent="0.25">
      <c r="A1032" t="str">
        <f>"20190303154439713"</f>
        <v>20190303154439713</v>
      </c>
      <c r="B1032" t="str">
        <f>"1551599079711014"</f>
        <v>1551599079711014</v>
      </c>
      <c r="C1032" t="s">
        <v>40</v>
      </c>
      <c r="D1032">
        <v>4.9786140000000003</v>
      </c>
      <c r="E1032">
        <v>0.54174820000000001</v>
      </c>
      <c r="F1032" t="s">
        <v>42</v>
      </c>
      <c r="G1032">
        <v>-215.22130000000001</v>
      </c>
      <c r="H1032">
        <v>1.033393</v>
      </c>
      <c r="I1032">
        <v>367.42599999999999</v>
      </c>
      <c r="J1032">
        <v>-215.83179999999999</v>
      </c>
      <c r="K1032">
        <v>1.1201620000000001</v>
      </c>
      <c r="L1032">
        <v>367.58190000000002</v>
      </c>
      <c r="M1032">
        <v>0.99995199999999995</v>
      </c>
      <c r="N1032">
        <v>-9.7481110000000003E-3</v>
      </c>
      <c r="O1032">
        <v>1.0199359999999999E-3</v>
      </c>
      <c r="P1032">
        <v>0.98817370000000004</v>
      </c>
      <c r="Q1032">
        <v>-0.1288067</v>
      </c>
      <c r="R1032">
        <v>-8.3197579999999993E-2</v>
      </c>
      <c r="S1032">
        <v>2.9488979999999998</v>
      </c>
      <c r="T1032">
        <v>-0.31603340000000002</v>
      </c>
      <c r="U1032">
        <v>-0.56823729999999995</v>
      </c>
      <c r="V1032">
        <v>8.4115190000000006E-2</v>
      </c>
      <c r="W1032">
        <v>-0.1192323</v>
      </c>
      <c r="X1032">
        <v>0.98929690000000003</v>
      </c>
      <c r="Y1032">
        <v>0.1890684</v>
      </c>
      <c r="Z1032">
        <v>-1.104191E-2</v>
      </c>
      <c r="AA1032">
        <v>0.98190180000000005</v>
      </c>
      <c r="AB1032">
        <v>20</v>
      </c>
      <c r="AC1032">
        <v>0.61049999999997295</v>
      </c>
      <c r="AD1032">
        <v>-8.6769000000000096E-2</v>
      </c>
      <c r="AE1032">
        <v>-0.15590000000003101</v>
      </c>
      <c r="AF1032">
        <v>0.15360961852899399</v>
      </c>
      <c r="AG1032">
        <v>-8.6769000000000096E-2</v>
      </c>
      <c r="AH1032">
        <v>0.59898177892439397</v>
      </c>
      <c r="AI1032">
        <v>97.987595836408403</v>
      </c>
      <c r="AJ1032">
        <v>75.616402231163505</v>
      </c>
      <c r="AK1032">
        <v>0.62442289015462504</v>
      </c>
      <c r="AL1032">
        <v>96.847798298151304</v>
      </c>
      <c r="AM1032">
        <v>85.140102252342601</v>
      </c>
      <c r="AN1032">
        <v>1.00000003145081</v>
      </c>
    </row>
    <row r="1033" spans="1:40" x14ac:dyDescent="0.25">
      <c r="A1033" t="str">
        <f>"20190303154439739"</f>
        <v>20190303154439739</v>
      </c>
      <c r="B1033" t="str">
        <f>"1551599079731510"</f>
        <v>1551599079731510</v>
      </c>
      <c r="C1033" t="s">
        <v>40</v>
      </c>
      <c r="D1033">
        <v>5.0686200000000001</v>
      </c>
      <c r="E1033">
        <v>0.54124850000000002</v>
      </c>
      <c r="F1033" t="s">
        <v>42</v>
      </c>
      <c r="G1033">
        <v>-215.02969999999999</v>
      </c>
      <c r="H1033">
        <v>1.0340739999999999</v>
      </c>
      <c r="I1033">
        <v>367.42320000000001</v>
      </c>
      <c r="J1033">
        <v>-215.60669999999999</v>
      </c>
      <c r="K1033">
        <v>1.120104</v>
      </c>
      <c r="L1033">
        <v>367.58150000000001</v>
      </c>
      <c r="M1033">
        <v>0.99995109999999998</v>
      </c>
      <c r="N1033">
        <v>-9.8986920000000006E-3</v>
      </c>
      <c r="O1033">
        <v>3.990663E-4</v>
      </c>
      <c r="P1033">
        <v>0.98758509999999999</v>
      </c>
      <c r="Q1033">
        <v>-0.12872059999999999</v>
      </c>
      <c r="R1033">
        <v>-9.0039129999999995E-2</v>
      </c>
      <c r="S1033">
        <v>2.9456790000000002</v>
      </c>
      <c r="T1033">
        <v>-0.31634469999999998</v>
      </c>
      <c r="U1033">
        <v>-0.58197019999999899</v>
      </c>
      <c r="V1033">
        <v>9.0318809999999999E-2</v>
      </c>
      <c r="W1033">
        <v>-0.1190257</v>
      </c>
      <c r="X1033">
        <v>0.98877470000000001</v>
      </c>
      <c r="Y1033">
        <v>0.1930402</v>
      </c>
      <c r="Z1033">
        <v>-1.1243650000000001E-2</v>
      </c>
      <c r="AA1033">
        <v>0.98112639999999995</v>
      </c>
      <c r="AB1033">
        <v>20</v>
      </c>
      <c r="AC1033">
        <v>0.57699999999999796</v>
      </c>
      <c r="AD1033">
        <v>-8.6029999999999995E-2</v>
      </c>
      <c r="AE1033">
        <v>-0.158299999999996</v>
      </c>
      <c r="AF1033">
        <v>0.15531914024164101</v>
      </c>
      <c r="AG1033">
        <v>-8.6029999999999995E-2</v>
      </c>
      <c r="AH1033">
        <v>0.56525059956499002</v>
      </c>
      <c r="AI1033">
        <v>98.349036399642699</v>
      </c>
      <c r="AJ1033">
        <v>74.635507782264696</v>
      </c>
      <c r="AK1033">
        <v>0.59248074781716198</v>
      </c>
      <c r="AL1033">
        <v>96.835876264450107</v>
      </c>
      <c r="AM1033">
        <v>84.780847869227998</v>
      </c>
      <c r="AN1033">
        <v>1.0000000060301899</v>
      </c>
    </row>
    <row r="1034" spans="1:40" x14ac:dyDescent="0.25">
      <c r="A1034" t="str">
        <f>"20190303154439761"</f>
        <v>20190303154439761</v>
      </c>
      <c r="B1034" t="str">
        <f>"1551599079751030"</f>
        <v>1551599079751030</v>
      </c>
      <c r="C1034" t="s">
        <v>40</v>
      </c>
      <c r="D1034">
        <v>5.0438739999999997</v>
      </c>
      <c r="E1034">
        <v>0.54061930000000002</v>
      </c>
      <c r="F1034" t="s">
        <v>50</v>
      </c>
      <c r="G1034">
        <v>-205.20519999999999</v>
      </c>
      <c r="H1034" s="1">
        <v>-3.9710679999999999E-6</v>
      </c>
      <c r="I1034">
        <v>365.46449999999999</v>
      </c>
      <c r="J1034">
        <v>-215.39490000000001</v>
      </c>
      <c r="K1034">
        <v>1.120047</v>
      </c>
      <c r="L1034">
        <v>367.58069999999998</v>
      </c>
      <c r="M1034">
        <v>0.99994919999999998</v>
      </c>
      <c r="N1034">
        <v>-1.00781E-2</v>
      </c>
      <c r="O1034">
        <v>-3.4943519999999897E-4</v>
      </c>
      <c r="P1034">
        <v>0.9867804</v>
      </c>
      <c r="Q1034">
        <v>-0.1295897</v>
      </c>
      <c r="R1034">
        <v>-9.7319039999999996E-2</v>
      </c>
      <c r="S1034">
        <v>2.9418030000000002</v>
      </c>
      <c r="T1034">
        <v>-0.31679439999999998</v>
      </c>
      <c r="U1034">
        <v>-0.59872440000000005</v>
      </c>
      <c r="V1034">
        <v>9.6834199999999995E-2</v>
      </c>
      <c r="W1034">
        <v>-0.1197513</v>
      </c>
      <c r="X1034">
        <v>0.98807020000000001</v>
      </c>
      <c r="Y1034">
        <v>0.19788810000000001</v>
      </c>
      <c r="Z1034">
        <v>-1.149408E-2</v>
      </c>
      <c r="AA1034">
        <v>0.98015719999999995</v>
      </c>
      <c r="AB1034">
        <v>20</v>
      </c>
      <c r="AC1034">
        <v>10.1897</v>
      </c>
      <c r="AD1034">
        <v>-1.120050971068</v>
      </c>
      <c r="AE1034">
        <v>-2.1161999999999899</v>
      </c>
      <c r="AF1034">
        <v>2.0884489458100401</v>
      </c>
      <c r="AG1034">
        <v>-1.120050971068</v>
      </c>
      <c r="AH1034">
        <v>10.0737564965583</v>
      </c>
      <c r="AI1034">
        <v>96.213322702562195</v>
      </c>
      <c r="AJ1034">
        <v>78.287597309921296</v>
      </c>
      <c r="AK1034">
        <v>10.3487536993107</v>
      </c>
      <c r="AL1034">
        <v>96.877749769623904</v>
      </c>
      <c r="AM1034">
        <v>84.402695464183793</v>
      </c>
      <c r="AN1034">
        <v>0.999999978134684</v>
      </c>
    </row>
    <row r="1035" spans="1:40" x14ac:dyDescent="0.25">
      <c r="A1035" t="str">
        <f>"20190303154439783"</f>
        <v>20190303154439783</v>
      </c>
      <c r="B1035" t="str">
        <f>"1551599079771526"</f>
        <v>1551599079771526</v>
      </c>
      <c r="C1035" t="s">
        <v>40</v>
      </c>
      <c r="D1035">
        <v>5.0720739999999997</v>
      </c>
      <c r="E1035">
        <v>0.53996299999999997</v>
      </c>
      <c r="F1035" t="s">
        <v>50</v>
      </c>
      <c r="G1035">
        <v>-205.13159999999999</v>
      </c>
      <c r="H1035" s="1">
        <v>-3.9440489999999997E-6</v>
      </c>
      <c r="I1035">
        <v>365.4316</v>
      </c>
      <c r="J1035">
        <v>-215.2028</v>
      </c>
      <c r="K1035">
        <v>1.119988</v>
      </c>
      <c r="L1035">
        <v>367.5797</v>
      </c>
      <c r="M1035">
        <v>0.99994649999999996</v>
      </c>
      <c r="N1035">
        <v>-1.0278310000000001E-2</v>
      </c>
      <c r="O1035">
        <v>-1.1876059999999999E-3</v>
      </c>
      <c r="P1035">
        <v>0.98589939999999998</v>
      </c>
      <c r="Q1035">
        <v>-0.13117599999999999</v>
      </c>
      <c r="R1035">
        <v>-0.1039003</v>
      </c>
      <c r="S1035">
        <v>2.937408</v>
      </c>
      <c r="T1035">
        <v>-0.32056200000000001</v>
      </c>
      <c r="U1035">
        <v>-0.61508180000000001</v>
      </c>
      <c r="V1035">
        <v>0.10256079999999999</v>
      </c>
      <c r="W1035">
        <v>-0.1211772</v>
      </c>
      <c r="X1035">
        <v>0.98731829999999998</v>
      </c>
      <c r="Y1035">
        <v>0.20252919999999999</v>
      </c>
      <c r="Z1035">
        <v>-1.1840679999999999E-2</v>
      </c>
      <c r="AA1035">
        <v>0.97920469999999904</v>
      </c>
      <c r="AB1035">
        <v>20</v>
      </c>
      <c r="AC1035">
        <v>10.071199999999999</v>
      </c>
      <c r="AD1035">
        <v>-1.119991944049</v>
      </c>
      <c r="AE1035">
        <v>-2.1480999999999901</v>
      </c>
      <c r="AF1035">
        <v>2.1111643811865202</v>
      </c>
      <c r="AG1035">
        <v>-1.119991944049</v>
      </c>
      <c r="AH1035">
        <v>9.9559754076515397</v>
      </c>
      <c r="AI1035">
        <v>96.279987348216494</v>
      </c>
      <c r="AJ1035">
        <v>78.027773206488106</v>
      </c>
      <c r="AK1035">
        <v>10.238791106223699</v>
      </c>
      <c r="AL1035">
        <v>96.960046795449898</v>
      </c>
      <c r="AM1035">
        <v>84.069490685882002</v>
      </c>
      <c r="AN1035">
        <v>1.00000002850568</v>
      </c>
    </row>
    <row r="1036" spans="1:40" x14ac:dyDescent="0.25">
      <c r="A1036" t="str">
        <f>"20190303154439803"</f>
        <v>20190303154439803</v>
      </c>
      <c r="B1036" t="str">
        <f>"1551599079791047"</f>
        <v>1551599079791047</v>
      </c>
      <c r="C1036" t="s">
        <v>40</v>
      </c>
      <c r="D1036">
        <v>5.0070009999999998</v>
      </c>
      <c r="E1036">
        <v>0.53932340000000001</v>
      </c>
      <c r="F1036" t="s">
        <v>50</v>
      </c>
      <c r="G1036">
        <v>-205.13659999999999</v>
      </c>
      <c r="H1036" s="1">
        <v>-3.9491519999999998E-6</v>
      </c>
      <c r="I1036">
        <v>365.41930000000002</v>
      </c>
      <c r="J1036">
        <v>-215.01259999999999</v>
      </c>
      <c r="K1036">
        <v>1.119928</v>
      </c>
      <c r="L1036">
        <v>367.57850000000002</v>
      </c>
      <c r="M1036">
        <v>0.99994280000000002</v>
      </c>
      <c r="N1036">
        <v>-1.0486530000000001E-2</v>
      </c>
      <c r="O1036">
        <v>-2.1378180000000001E-3</v>
      </c>
      <c r="P1036">
        <v>0.98481189999999996</v>
      </c>
      <c r="Q1036">
        <v>-0.1323599</v>
      </c>
      <c r="R1036">
        <v>-0.1123678</v>
      </c>
      <c r="S1036">
        <v>2.9331360000000002</v>
      </c>
      <c r="T1036">
        <v>-0.32635130000000001</v>
      </c>
      <c r="U1036">
        <v>-0.62951659999999998</v>
      </c>
      <c r="V1036">
        <v>0.1100657</v>
      </c>
      <c r="W1036">
        <v>-0.1222</v>
      </c>
      <c r="X1036">
        <v>0.98638369999999997</v>
      </c>
      <c r="Y1036">
        <v>0.206426</v>
      </c>
      <c r="Z1036">
        <v>-1.220649E-2</v>
      </c>
      <c r="AA1036">
        <v>0.97838599999999998</v>
      </c>
      <c r="AB1036">
        <v>20</v>
      </c>
      <c r="AC1036">
        <v>9.8759999999999994</v>
      </c>
      <c r="AD1036">
        <v>-1.1199319491519999</v>
      </c>
      <c r="AE1036">
        <v>-2.15919999999999</v>
      </c>
      <c r="AF1036">
        <v>2.1121587579904402</v>
      </c>
      <c r="AG1036">
        <v>-1.1199319491519999</v>
      </c>
      <c r="AH1036">
        <v>9.7608015013370597</v>
      </c>
      <c r="AI1036">
        <v>96.398540849264293</v>
      </c>
      <c r="AJ1036">
        <v>77.789913136664495</v>
      </c>
      <c r="AK1036">
        <v>10.0493138142955</v>
      </c>
      <c r="AL1036">
        <v>97.019087533883393</v>
      </c>
      <c r="AM1036">
        <v>83.632984644118693</v>
      </c>
      <c r="AN1036">
        <v>1.00000005097108</v>
      </c>
    </row>
    <row r="1037" spans="1:40" x14ac:dyDescent="0.25">
      <c r="A1037" t="str">
        <f>"20190303154439828"</f>
        <v>20190303154439828</v>
      </c>
      <c r="B1037" t="str">
        <f>"1551599079821302"</f>
        <v>1551599079821302</v>
      </c>
      <c r="C1037" t="s">
        <v>40</v>
      </c>
      <c r="D1037">
        <v>4.9876569999999996</v>
      </c>
      <c r="E1037">
        <v>0.53843640000000004</v>
      </c>
      <c r="F1037" t="s">
        <v>50</v>
      </c>
      <c r="G1037">
        <v>-205.0608</v>
      </c>
      <c r="H1037" s="1">
        <v>-3.9249999999999997E-6</v>
      </c>
      <c r="I1037">
        <v>365.3689</v>
      </c>
      <c r="J1037">
        <v>-214.79920000000001</v>
      </c>
      <c r="K1037">
        <v>1.1198600000000001</v>
      </c>
      <c r="L1037">
        <v>367.57670000000002</v>
      </c>
      <c r="M1037">
        <v>0.99993690000000002</v>
      </c>
      <c r="N1037">
        <v>-1.073524E-2</v>
      </c>
      <c r="O1037">
        <v>-3.3573629999999999E-3</v>
      </c>
      <c r="P1037">
        <v>0.98344430000000005</v>
      </c>
      <c r="Q1037">
        <v>-0.13310849999999999</v>
      </c>
      <c r="R1037">
        <v>-0.1229614</v>
      </c>
      <c r="S1037">
        <v>2.9278110000000002</v>
      </c>
      <c r="T1037">
        <v>-0.32948359999999999</v>
      </c>
      <c r="U1037">
        <v>-0.65005489999999999</v>
      </c>
      <c r="V1037">
        <v>0.11943139999999899</v>
      </c>
      <c r="W1037">
        <v>-0.1227606</v>
      </c>
      <c r="X1037">
        <v>0.98522379999999998</v>
      </c>
      <c r="Y1037">
        <v>0.2120841</v>
      </c>
      <c r="Z1037">
        <v>-1.257347E-2</v>
      </c>
      <c r="AA1037">
        <v>0.97717050000000005</v>
      </c>
      <c r="AB1037">
        <v>20</v>
      </c>
      <c r="AC1037">
        <v>9.7384000000000093</v>
      </c>
      <c r="AD1037">
        <v>-1.119863925</v>
      </c>
      <c r="AE1037">
        <v>-2.20780000000001</v>
      </c>
      <c r="AF1037">
        <v>2.1480733191002201</v>
      </c>
      <c r="AG1037">
        <v>-1.119863925</v>
      </c>
      <c r="AH1037">
        <v>9.62470489068685</v>
      </c>
      <c r="AI1037">
        <v>96.478708774892198</v>
      </c>
      <c r="AJ1037">
        <v>77.418729062918004</v>
      </c>
      <c r="AK1037">
        <v>9.9248807764908697</v>
      </c>
      <c r="AL1037">
        <v>97.051451716515402</v>
      </c>
      <c r="AM1037">
        <v>83.088180647114299</v>
      </c>
      <c r="AN1037">
        <v>0.99999998015237901</v>
      </c>
    </row>
    <row r="1038" spans="1:40" x14ac:dyDescent="0.25">
      <c r="A1038" t="str">
        <f>"20190303154439849"</f>
        <v>20190303154439849</v>
      </c>
      <c r="B1038" t="str">
        <f>"1551599079840822"</f>
        <v>1551599079840822</v>
      </c>
      <c r="C1038" t="s">
        <v>40</v>
      </c>
      <c r="D1038">
        <v>5.0227810000000002</v>
      </c>
      <c r="E1038">
        <v>0.53800199999999998</v>
      </c>
      <c r="F1038" t="s">
        <v>50</v>
      </c>
      <c r="G1038">
        <v>-204.9384</v>
      </c>
      <c r="H1038" s="1">
        <v>-3.8806090000000002E-6</v>
      </c>
      <c r="I1038">
        <v>365.30149999999998</v>
      </c>
      <c r="J1038">
        <v>-214.5994</v>
      </c>
      <c r="K1038">
        <v>1.119804</v>
      </c>
      <c r="L1038">
        <v>367.57440000000003</v>
      </c>
      <c r="M1038">
        <v>0.99992879999999995</v>
      </c>
      <c r="N1038">
        <v>-1.0989179999999999E-2</v>
      </c>
      <c r="O1038">
        <v>-4.6595159999999998E-3</v>
      </c>
      <c r="P1038">
        <v>0.98173200000000005</v>
      </c>
      <c r="Q1038">
        <v>-0.13286539999999999</v>
      </c>
      <c r="R1038">
        <v>-0.13619629999999999</v>
      </c>
      <c r="S1038">
        <v>2.9213100000000001</v>
      </c>
      <c r="T1038">
        <v>-0.331764</v>
      </c>
      <c r="U1038">
        <v>-0.67401119999999903</v>
      </c>
      <c r="V1038">
        <v>0.13136419999999999</v>
      </c>
      <c r="W1038">
        <v>-0.1223375</v>
      </c>
      <c r="X1038">
        <v>0.98375650000000003</v>
      </c>
      <c r="Y1038">
        <v>0.21882550000000001</v>
      </c>
      <c r="Z1038">
        <v>-1.297856E-2</v>
      </c>
      <c r="AA1038">
        <v>0.97567769999999998</v>
      </c>
      <c r="AB1038">
        <v>20</v>
      </c>
      <c r="AC1038">
        <v>9.6609999999999996</v>
      </c>
      <c r="AD1038">
        <v>-1.1198078806089999</v>
      </c>
      <c r="AE1038">
        <v>-2.2729000000000399</v>
      </c>
      <c r="AF1038">
        <v>2.1998517481862399</v>
      </c>
      <c r="AG1038">
        <v>-1.1198078806089999</v>
      </c>
      <c r="AH1038">
        <v>9.5499109546721304</v>
      </c>
      <c r="AI1038">
        <v>96.518688058831302</v>
      </c>
      <c r="AJ1038">
        <v>77.028021402908905</v>
      </c>
      <c r="AK1038">
        <v>9.8637780107643795</v>
      </c>
      <c r="AL1038">
        <v>97.027026084948204</v>
      </c>
      <c r="AM1038">
        <v>82.394102773413806</v>
      </c>
      <c r="AN1038">
        <v>0.99999993412006705</v>
      </c>
    </row>
    <row r="1039" spans="1:40" x14ac:dyDescent="0.25">
      <c r="A1039" t="str">
        <f>"20190303154439871"</f>
        <v>20190303154439871</v>
      </c>
      <c r="B1039" t="str">
        <f>"1551599079861318"</f>
        <v>1551599079861318</v>
      </c>
      <c r="C1039" t="s">
        <v>40</v>
      </c>
      <c r="D1039">
        <v>5.4224389999999998</v>
      </c>
      <c r="E1039">
        <v>0.57143840000000001</v>
      </c>
      <c r="F1039" t="s">
        <v>50</v>
      </c>
      <c r="G1039">
        <v>-204.73079999999999</v>
      </c>
      <c r="H1039" s="1">
        <v>-3.805513E-6</v>
      </c>
      <c r="I1039">
        <v>365.16919999999999</v>
      </c>
      <c r="J1039">
        <v>-214.39850000000001</v>
      </c>
      <c r="K1039">
        <v>1.119739</v>
      </c>
      <c r="L1039">
        <v>367.5718</v>
      </c>
      <c r="M1039">
        <v>0.99991779999999997</v>
      </c>
      <c r="N1039">
        <v>-1.1253310000000001E-2</v>
      </c>
      <c r="O1039">
        <v>-6.1512850000000003E-3</v>
      </c>
      <c r="P1039">
        <v>0.97975159999999994</v>
      </c>
      <c r="Q1039">
        <v>-0.13008140000000001</v>
      </c>
      <c r="R1039">
        <v>-0.152202799999999</v>
      </c>
      <c r="S1039">
        <v>2.9126280000000002</v>
      </c>
      <c r="T1039">
        <v>-0.33050180000000001</v>
      </c>
      <c r="U1039">
        <v>-0.70989990000000003</v>
      </c>
      <c r="V1039">
        <v>0.1458921</v>
      </c>
      <c r="W1039">
        <v>-0.1193811</v>
      </c>
      <c r="X1039">
        <v>0.98207109999999997</v>
      </c>
      <c r="Y1039">
        <v>0.22931489999999999</v>
      </c>
      <c r="Z1039">
        <v>-1.3479039999999999E-2</v>
      </c>
      <c r="AA1039">
        <v>0.97325899999999999</v>
      </c>
      <c r="AB1039">
        <v>20</v>
      </c>
      <c r="AC1039">
        <v>9.6677000000000195</v>
      </c>
      <c r="AD1039">
        <v>-1.1197428055130001</v>
      </c>
      <c r="AE1039">
        <v>-2.4026000000000001</v>
      </c>
      <c r="AF1039">
        <v>2.3138473384221001</v>
      </c>
      <c r="AG1039">
        <v>-1.1197428055130001</v>
      </c>
      <c r="AH1039">
        <v>9.5614909599654201</v>
      </c>
      <c r="AI1039">
        <v>96.493696166166302</v>
      </c>
      <c r="AJ1039">
        <v>76.396154925280499</v>
      </c>
      <c r="AK1039">
        <v>9.9010011025916693</v>
      </c>
      <c r="AL1039">
        <v>96.856385468434098</v>
      </c>
      <c r="AM1039">
        <v>81.550191943185197</v>
      </c>
      <c r="AN1039">
        <v>0.99999999866741496</v>
      </c>
    </row>
    <row r="1040" spans="1:40" x14ac:dyDescent="0.25">
      <c r="A1040" t="str">
        <f>"20190303154439893"</f>
        <v>20190303154439893</v>
      </c>
      <c r="B1040" t="str">
        <f>"1551599079891574"</f>
        <v>1551599079891574</v>
      </c>
      <c r="C1040" t="s">
        <v>40</v>
      </c>
      <c r="D1040">
        <v>5.0940969999999997</v>
      </c>
      <c r="E1040">
        <v>0.64903120000000003</v>
      </c>
      <c r="F1040" t="s">
        <v>50</v>
      </c>
      <c r="G1040">
        <v>-202.3484</v>
      </c>
      <c r="H1040" s="1">
        <v>-3.0258459999999999E-6</v>
      </c>
      <c r="I1040">
        <v>363.27850000000001</v>
      </c>
      <c r="J1040">
        <v>-214.1909</v>
      </c>
      <c r="K1040">
        <v>1.1196630000000001</v>
      </c>
      <c r="L1040">
        <v>367.56849999999997</v>
      </c>
      <c r="M1040">
        <v>0.99990250000000003</v>
      </c>
      <c r="N1040">
        <v>-1.1513839999999999E-2</v>
      </c>
      <c r="O1040">
        <v>-7.8965589999999992E-3</v>
      </c>
      <c r="P1040">
        <v>0.9776764</v>
      </c>
      <c r="Q1040">
        <v>-0.1267085</v>
      </c>
      <c r="R1040">
        <v>-0.1676125</v>
      </c>
      <c r="S1040">
        <v>2.8678889999999999</v>
      </c>
      <c r="T1040">
        <v>-0.26649689999999998</v>
      </c>
      <c r="U1040">
        <v>-1.02179</v>
      </c>
      <c r="V1040">
        <v>0.1595809</v>
      </c>
      <c r="W1040">
        <v>-0.11585040000000001</v>
      </c>
      <c r="X1040">
        <v>0.98036350000000005</v>
      </c>
      <c r="Y1040">
        <v>0.32677509999999999</v>
      </c>
      <c r="Z1040">
        <v>-1.6019700000000001E-2</v>
      </c>
      <c r="AA1040">
        <v>0.94496639999999998</v>
      </c>
      <c r="AB1040">
        <v>20</v>
      </c>
      <c r="AC1040">
        <v>11.842499999999999</v>
      </c>
      <c r="AD1040">
        <v>-1.1196660258459901</v>
      </c>
      <c r="AE1040">
        <v>-4.2899999999999601</v>
      </c>
      <c r="AF1040">
        <v>4.1634452614217903</v>
      </c>
      <c r="AG1040">
        <v>-1.1196660258459901</v>
      </c>
      <c r="AH1040">
        <v>11.7829001098335</v>
      </c>
      <c r="AI1040">
        <v>95.119798330752701</v>
      </c>
      <c r="AJ1040">
        <v>70.539322315214406</v>
      </c>
      <c r="AK1040">
        <v>12.5468985591103</v>
      </c>
      <c r="AL1040">
        <v>96.652677334475499</v>
      </c>
      <c r="AM1040">
        <v>80.754636409318294</v>
      </c>
      <c r="AN1040">
        <v>0.99999998547860902</v>
      </c>
    </row>
    <row r="1041" spans="1:40" x14ac:dyDescent="0.25">
      <c r="A1041" t="str">
        <f>"20190303154439915"</f>
        <v>20190303154439915</v>
      </c>
      <c r="B1041" t="str">
        <f>"1551599079911094"</f>
        <v>1551599079911094</v>
      </c>
      <c r="C1041" t="s">
        <v>40</v>
      </c>
      <c r="D1041">
        <v>5.1164019999999999</v>
      </c>
      <c r="E1041">
        <v>0.659161199999999</v>
      </c>
      <c r="F1041" t="s">
        <v>50</v>
      </c>
      <c r="G1041">
        <v>-204.32079999999999</v>
      </c>
      <c r="H1041" s="1">
        <v>-4.4048609999999999E-6</v>
      </c>
      <c r="I1041">
        <v>361.53550000000001</v>
      </c>
      <c r="J1041">
        <v>-213.99299999999999</v>
      </c>
      <c r="K1041">
        <v>1.1195850000000001</v>
      </c>
      <c r="L1041">
        <v>367.56479999999999</v>
      </c>
      <c r="M1041">
        <v>0.99988350000000004</v>
      </c>
      <c r="N1041">
        <v>-1.1744549999999999E-2</v>
      </c>
      <c r="O1041">
        <v>-9.7488869999999995E-3</v>
      </c>
      <c r="P1041">
        <v>0.97519730000000004</v>
      </c>
      <c r="Q1041">
        <v>-0.12372130000000001</v>
      </c>
      <c r="R1041">
        <v>-0.1835299</v>
      </c>
      <c r="S1041">
        <v>2.7409669999999999</v>
      </c>
      <c r="T1041">
        <v>-0.3109345</v>
      </c>
      <c r="U1041">
        <v>-1.6753849999999999</v>
      </c>
      <c r="V1041">
        <v>0.17368449999999999</v>
      </c>
      <c r="W1041">
        <v>-0.1127474</v>
      </c>
      <c r="X1041">
        <v>0.97832600000000003</v>
      </c>
      <c r="Y1041">
        <v>0.51052339999999996</v>
      </c>
      <c r="Z1041">
        <v>-2.8930150000000002E-2</v>
      </c>
      <c r="AA1041">
        <v>0.8593771</v>
      </c>
      <c r="AB1041">
        <v>20</v>
      </c>
      <c r="AC1041">
        <v>9.6722000000000001</v>
      </c>
      <c r="AD1041">
        <v>-1.119589404861</v>
      </c>
      <c r="AE1041">
        <v>-6.0292999999999699</v>
      </c>
      <c r="AF1041">
        <v>5.8779952722270199</v>
      </c>
      <c r="AG1041">
        <v>-1.119589404861</v>
      </c>
      <c r="AH1041">
        <v>9.6375280207835701</v>
      </c>
      <c r="AI1041">
        <v>95.663995637190197</v>
      </c>
      <c r="AJ1041">
        <v>58.620694871054397</v>
      </c>
      <c r="AK1041">
        <v>11.343996438962201</v>
      </c>
      <c r="AL1041">
        <v>96.473715372880307</v>
      </c>
      <c r="AM1041">
        <v>79.933034538627894</v>
      </c>
      <c r="AN1041">
        <v>1.0000000220115</v>
      </c>
    </row>
    <row r="1042" spans="1:40" x14ac:dyDescent="0.25">
      <c r="A1042" t="str">
        <f>"20190303154439938"</f>
        <v>20190303154439938</v>
      </c>
      <c r="B1042" t="str">
        <f>"1551599079931590"</f>
        <v>1551599079931590</v>
      </c>
      <c r="C1042" t="s">
        <v>40</v>
      </c>
      <c r="D1042">
        <v>5.0042339999999896</v>
      </c>
      <c r="E1042">
        <v>0.6628887</v>
      </c>
      <c r="F1042" t="s">
        <v>50</v>
      </c>
      <c r="G1042">
        <v>-198.73570000000001</v>
      </c>
      <c r="H1042" s="1">
        <v>-5.9265769999999997E-6</v>
      </c>
      <c r="I1042">
        <v>357.43430000000001</v>
      </c>
      <c r="J1042">
        <v>-213.7869</v>
      </c>
      <c r="K1042">
        <v>1.1194809999999999</v>
      </c>
      <c r="L1042">
        <v>367.56040000000002</v>
      </c>
      <c r="M1042">
        <v>0.99985809999999997</v>
      </c>
      <c r="N1042">
        <v>-1.196797E-2</v>
      </c>
      <c r="O1042">
        <v>-1.185492E-2</v>
      </c>
      <c r="P1042">
        <v>0.97162839999999995</v>
      </c>
      <c r="Q1042">
        <v>-0.124057</v>
      </c>
      <c r="R1042">
        <v>-0.20136589999999999</v>
      </c>
      <c r="S1042">
        <v>2.7121279999999999</v>
      </c>
      <c r="T1042">
        <v>-0.199018</v>
      </c>
      <c r="U1042">
        <v>-1.8008120000000001</v>
      </c>
      <c r="V1042">
        <v>0.18947149999999999</v>
      </c>
      <c r="W1042">
        <v>-0.11299919999999999</v>
      </c>
      <c r="X1042">
        <v>0.97536239999999996</v>
      </c>
      <c r="Y1042">
        <v>0.54202240000000002</v>
      </c>
      <c r="Z1042">
        <v>-2.0940170000000001E-2</v>
      </c>
      <c r="AA1042">
        <v>0.84010309999999899</v>
      </c>
      <c r="AB1042">
        <v>20</v>
      </c>
      <c r="AC1042">
        <v>15.0511999999999</v>
      </c>
      <c r="AD1042">
        <v>-1.119486926577</v>
      </c>
      <c r="AE1042">
        <v>-10.126099999999999</v>
      </c>
      <c r="AF1042">
        <v>9.9092066631652997</v>
      </c>
      <c r="AG1042">
        <v>-1.119486926577</v>
      </c>
      <c r="AH1042">
        <v>15.112640081494501</v>
      </c>
      <c r="AI1042">
        <v>93.544781111910893</v>
      </c>
      <c r="AJ1042">
        <v>56.747545696688803</v>
      </c>
      <c r="AK1042">
        <v>18.106283934173</v>
      </c>
      <c r="AL1042">
        <v>96.488235123989995</v>
      </c>
      <c r="AM1042">
        <v>79.006778233791593</v>
      </c>
      <c r="AN1042">
        <v>1.00000003992332</v>
      </c>
    </row>
    <row r="1043" spans="1:40" x14ac:dyDescent="0.25">
      <c r="A1043" t="str">
        <f>"20190303154439959"</f>
        <v>20190303154439959</v>
      </c>
      <c r="B1043" t="str">
        <f>"1551599079951111"</f>
        <v>1551599079951111</v>
      </c>
      <c r="C1043" t="s">
        <v>40</v>
      </c>
      <c r="D1043">
        <v>4.896382</v>
      </c>
      <c r="E1043">
        <v>0.66327130000000001</v>
      </c>
      <c r="F1043" t="s">
        <v>50</v>
      </c>
      <c r="G1043">
        <v>-194.2276</v>
      </c>
      <c r="H1043" s="1">
        <v>-3.5059300000000002E-6</v>
      </c>
      <c r="I1043">
        <v>353.8261</v>
      </c>
      <c r="J1043">
        <v>-213.58959999999999</v>
      </c>
      <c r="K1043">
        <v>1.1193959999999901</v>
      </c>
      <c r="L1043">
        <v>367.55549999999999</v>
      </c>
      <c r="M1043">
        <v>0.99982760000000004</v>
      </c>
      <c r="N1043">
        <v>-1.216445E-2</v>
      </c>
      <c r="O1043">
        <v>-1.403077E-2</v>
      </c>
      <c r="P1043">
        <v>0.96709160000000005</v>
      </c>
      <c r="Q1043">
        <v>-0.12637280000000001</v>
      </c>
      <c r="R1043">
        <v>-0.22082540000000001</v>
      </c>
      <c r="S1043">
        <v>2.6782840000000001</v>
      </c>
      <c r="T1043">
        <v>-0.15329209999999999</v>
      </c>
      <c r="U1043">
        <v>-1.880646</v>
      </c>
      <c r="V1043">
        <v>0.20684</v>
      </c>
      <c r="W1043">
        <v>-0.1152719</v>
      </c>
      <c r="X1043">
        <v>0.97156039999999999</v>
      </c>
      <c r="Y1043">
        <v>0.56233480000000002</v>
      </c>
      <c r="Z1043">
        <v>-1.7673330000000001E-2</v>
      </c>
      <c r="AA1043">
        <v>0.82672080000000003</v>
      </c>
      <c r="AB1043">
        <v>20</v>
      </c>
      <c r="AC1043">
        <v>19.361999999999899</v>
      </c>
      <c r="AD1043">
        <v>-1.1193995059299999</v>
      </c>
      <c r="AE1043">
        <v>-13.729399999999901</v>
      </c>
      <c r="AF1043">
        <v>13.426501775106001</v>
      </c>
      <c r="AG1043">
        <v>-1.1193995059299999</v>
      </c>
      <c r="AH1043">
        <v>19.509350173625599</v>
      </c>
      <c r="AI1043">
        <v>92.706122550579806</v>
      </c>
      <c r="AJ1043">
        <v>55.463918627670999</v>
      </c>
      <c r="AK1043">
        <v>23.709465396080699</v>
      </c>
      <c r="AL1043">
        <v>96.619308042802501</v>
      </c>
      <c r="AM1043">
        <v>77.981468235584998</v>
      </c>
      <c r="AN1043">
        <v>1.0000000036888801</v>
      </c>
    </row>
    <row r="1044" spans="1:40" x14ac:dyDescent="0.25">
      <c r="A1044" t="str">
        <f>"20190303154439983"</f>
        <v>20190303154439983</v>
      </c>
      <c r="B1044" t="str">
        <f>"1551599079971607"</f>
        <v>1551599079971607</v>
      </c>
      <c r="C1044" t="s">
        <v>40</v>
      </c>
      <c r="D1044">
        <v>5.0371169999999896</v>
      </c>
      <c r="E1044">
        <v>0.66115059999999903</v>
      </c>
      <c r="F1044" t="s">
        <v>50</v>
      </c>
      <c r="G1044">
        <v>-197.50550000000001</v>
      </c>
      <c r="H1044" s="1">
        <v>-5.1505629999999999E-6</v>
      </c>
      <c r="I1044">
        <v>355.73430000000002</v>
      </c>
      <c r="J1044">
        <v>-213.38390000000001</v>
      </c>
      <c r="K1044">
        <v>1.1193500000000001</v>
      </c>
      <c r="L1044">
        <v>367.54969999999997</v>
      </c>
      <c r="M1044">
        <v>0.99978860000000003</v>
      </c>
      <c r="N1044">
        <v>-1.2347759999999999E-2</v>
      </c>
      <c r="O1044">
        <v>-1.6435930000000001E-2</v>
      </c>
      <c r="P1044">
        <v>0.96251240000000005</v>
      </c>
      <c r="Q1044">
        <v>-0.12507599999999999</v>
      </c>
      <c r="R1044">
        <v>-0.240678</v>
      </c>
      <c r="S1044">
        <v>2.6357729999999999</v>
      </c>
      <c r="T1044">
        <v>-0.1834412</v>
      </c>
      <c r="U1044">
        <v>-1.937195</v>
      </c>
      <c r="V1044">
        <v>0.22441729999999999</v>
      </c>
      <c r="W1044">
        <v>-0.1139397</v>
      </c>
      <c r="X1044">
        <v>0.96780920000000004</v>
      </c>
      <c r="Y1044">
        <v>0.57777829999999997</v>
      </c>
      <c r="Z1044">
        <v>-2.1044899999999998E-2</v>
      </c>
      <c r="AA1044">
        <v>0.81592240000000005</v>
      </c>
      <c r="AB1044">
        <v>20</v>
      </c>
      <c r="AC1044">
        <v>15.878399999999999</v>
      </c>
      <c r="AD1044">
        <v>-1.1193551505629999</v>
      </c>
      <c r="AE1044">
        <v>-11.815399999999901</v>
      </c>
      <c r="AF1044">
        <v>11.5159732364181</v>
      </c>
      <c r="AG1044">
        <v>-1.1193551505629999</v>
      </c>
      <c r="AH1044">
        <v>16.019228572471398</v>
      </c>
      <c r="AI1044">
        <v>93.247283251927499</v>
      </c>
      <c r="AJ1044">
        <v>54.288232087857899</v>
      </c>
      <c r="AK1044">
        <v>19.760725684854702</v>
      </c>
      <c r="AL1044">
        <v>96.542472267162395</v>
      </c>
      <c r="AM1044">
        <v>76.944877757917098</v>
      </c>
      <c r="AN1044">
        <v>1.00000001369001</v>
      </c>
    </row>
    <row r="1045" spans="1:40" x14ac:dyDescent="0.25">
      <c r="A1045" t="str">
        <f>"20190303154440004"</f>
        <v>20190303154440004</v>
      </c>
      <c r="B1045" t="str">
        <f>"1551599080000888"</f>
        <v>1551599080000888</v>
      </c>
      <c r="C1045" t="s">
        <v>40</v>
      </c>
      <c r="D1045">
        <v>5.0270809999999999</v>
      </c>
      <c r="E1045">
        <v>0.65775550000000005</v>
      </c>
      <c r="F1045" t="s">
        <v>50</v>
      </c>
      <c r="G1045">
        <v>-200.4855</v>
      </c>
      <c r="H1045">
        <v>7.9987500000000003E-2</v>
      </c>
      <c r="I1045">
        <v>357.74250000000001</v>
      </c>
      <c r="J1045">
        <v>-213.1842</v>
      </c>
      <c r="K1045">
        <v>1.119351</v>
      </c>
      <c r="L1045">
        <v>367.54349999999999</v>
      </c>
      <c r="M1045">
        <v>0.99974410000000002</v>
      </c>
      <c r="N1045">
        <v>-1.2503759999999999E-2</v>
      </c>
      <c r="O1045">
        <v>-1.8857789999999999E-2</v>
      </c>
      <c r="P1045">
        <v>0.95714920000000003</v>
      </c>
      <c r="Q1045">
        <v>-0.12435549999999999</v>
      </c>
      <c r="R1045">
        <v>-0.26153690000000002</v>
      </c>
      <c r="S1045">
        <v>2.5960999999999999</v>
      </c>
      <c r="T1045">
        <v>-0.2091942</v>
      </c>
      <c r="U1045">
        <v>-1.9739070000000001</v>
      </c>
      <c r="V1045">
        <v>0.2430274</v>
      </c>
      <c r="W1045">
        <v>-0.11320620000000001</v>
      </c>
      <c r="X1045">
        <v>0.96339090000000005</v>
      </c>
      <c r="Y1045">
        <v>0.58868619999999905</v>
      </c>
      <c r="Z1045">
        <v>-2.3969799999999999E-2</v>
      </c>
      <c r="AA1045">
        <v>0.80800620000000001</v>
      </c>
      <c r="AB1045">
        <v>20</v>
      </c>
      <c r="AC1045">
        <v>12.698700000000001</v>
      </c>
      <c r="AD1045">
        <v>-1.0393635000000001</v>
      </c>
      <c r="AE1045">
        <v>-9.8009999999999806</v>
      </c>
      <c r="AF1045">
        <v>9.51980235813304</v>
      </c>
      <c r="AG1045">
        <v>-1.0393635000000001</v>
      </c>
      <c r="AH1045">
        <v>12.827428534018599</v>
      </c>
      <c r="AI1045">
        <v>93.722750340174201</v>
      </c>
      <c r="AJ1045">
        <v>53.419254994397797</v>
      </c>
      <c r="AK1045">
        <v>16.007805477903599</v>
      </c>
      <c r="AL1045">
        <v>96.500172247684901</v>
      </c>
      <c r="AM1045">
        <v>75.841815152375204</v>
      </c>
      <c r="AN1045">
        <v>0.99999999353600499</v>
      </c>
    </row>
    <row r="1046" spans="1:40" x14ac:dyDescent="0.25">
      <c r="A1046" t="str">
        <f>"20190303154440029"</f>
        <v>20190303154440029</v>
      </c>
      <c r="B1046" t="str">
        <f>"1551599080021382"</f>
        <v>1551599080021382</v>
      </c>
      <c r="C1046" t="s">
        <v>40</v>
      </c>
      <c r="D1046">
        <v>4.9864139999999999</v>
      </c>
      <c r="E1046">
        <v>0.65644449999999999</v>
      </c>
      <c r="F1046" t="s">
        <v>50</v>
      </c>
      <c r="G1046">
        <v>-202.06970000000001</v>
      </c>
      <c r="H1046">
        <v>7.9987379999999997E-2</v>
      </c>
      <c r="I1046">
        <v>358.83420000000001</v>
      </c>
      <c r="J1046">
        <v>-212.97450000000001</v>
      </c>
      <c r="K1046">
        <v>1.119375</v>
      </c>
      <c r="L1046">
        <v>367.53640000000001</v>
      </c>
      <c r="M1046">
        <v>0.99969050000000004</v>
      </c>
      <c r="N1046">
        <v>-1.2646839999999999E-2</v>
      </c>
      <c r="O1046">
        <v>-2.1430620000000001E-2</v>
      </c>
      <c r="P1046">
        <v>0.95061329999999999</v>
      </c>
      <c r="Q1046">
        <v>-0.1241413</v>
      </c>
      <c r="R1046">
        <v>-0.28447060000000002</v>
      </c>
      <c r="S1046">
        <v>2.5559690000000002</v>
      </c>
      <c r="T1046">
        <v>-0.2390207</v>
      </c>
      <c r="U1046">
        <v>-2.002869</v>
      </c>
      <c r="V1046">
        <v>0.26362289999999999</v>
      </c>
      <c r="W1046">
        <v>-0.11299289999999899</v>
      </c>
      <c r="X1046">
        <v>0.95798519999999998</v>
      </c>
      <c r="Y1046">
        <v>0.59789749999999997</v>
      </c>
      <c r="Z1046">
        <v>-2.7305969999999999E-2</v>
      </c>
      <c r="AA1046">
        <v>0.80110729999999997</v>
      </c>
      <c r="AB1046">
        <v>20</v>
      </c>
      <c r="AC1046">
        <v>10.9047999999999</v>
      </c>
      <c r="AD1046">
        <v>-1.0393876200000001</v>
      </c>
      <c r="AE1046">
        <v>-8.7021999999999995</v>
      </c>
      <c r="AF1046">
        <v>8.4197536819640604</v>
      </c>
      <c r="AG1046">
        <v>-1.0393876200000001</v>
      </c>
      <c r="AH1046">
        <v>11.027597143999399</v>
      </c>
      <c r="AI1046">
        <v>94.284243751045295</v>
      </c>
      <c r="AJ1046">
        <v>52.637664558333</v>
      </c>
      <c r="AK1046">
        <v>13.913320145094801</v>
      </c>
      <c r="AL1046">
        <v>96.487871858550506</v>
      </c>
      <c r="AM1046">
        <v>74.613909046118096</v>
      </c>
      <c r="AN1046">
        <v>1.0000000361369199</v>
      </c>
    </row>
    <row r="1047" spans="1:40" x14ac:dyDescent="0.25">
      <c r="A1047" t="str">
        <f>"20190303154440052"</f>
        <v>20190303154440052</v>
      </c>
      <c r="B1047" t="str">
        <f>"1551599080040902"</f>
        <v>1551599080040902</v>
      </c>
      <c r="C1047" t="s">
        <v>40</v>
      </c>
      <c r="D1047">
        <v>4.9880760000000004</v>
      </c>
      <c r="E1047">
        <v>0.65419119999999997</v>
      </c>
      <c r="F1047" t="s">
        <v>50</v>
      </c>
      <c r="G1047">
        <v>-201.4316</v>
      </c>
      <c r="H1047">
        <v>7.9987630000000004E-2</v>
      </c>
      <c r="I1047">
        <v>358.09539999999998</v>
      </c>
      <c r="J1047">
        <v>-212.75380000000001</v>
      </c>
      <c r="K1047">
        <v>1.1194299999999999</v>
      </c>
      <c r="L1047">
        <v>367.5283</v>
      </c>
      <c r="M1047">
        <v>0.99962790000000001</v>
      </c>
      <c r="N1047">
        <v>-1.2777439999999999E-2</v>
      </c>
      <c r="O1047">
        <v>-2.410327E-2</v>
      </c>
      <c r="P1047">
        <v>0.94401740000000001</v>
      </c>
      <c r="Q1047">
        <v>-0.1242258</v>
      </c>
      <c r="R1047">
        <v>-0.30561349999999998</v>
      </c>
      <c r="S1047">
        <v>2.5115810000000001</v>
      </c>
      <c r="T1047">
        <v>-0.2261571</v>
      </c>
      <c r="U1047">
        <v>-2.05423</v>
      </c>
      <c r="V1047">
        <v>0.2823734</v>
      </c>
      <c r="W1047">
        <v>-0.11305560000000001</v>
      </c>
      <c r="X1047">
        <v>0.95261940000000001</v>
      </c>
      <c r="Y1047">
        <v>0.61251560000000005</v>
      </c>
      <c r="Z1047">
        <v>-2.6831770000000001E-2</v>
      </c>
      <c r="AA1047">
        <v>0.79000289999999995</v>
      </c>
      <c r="AB1047">
        <v>20</v>
      </c>
      <c r="AC1047">
        <v>11.3222</v>
      </c>
      <c r="AD1047">
        <v>-1.0394423699999999</v>
      </c>
      <c r="AE1047">
        <v>-9.4329000000000107</v>
      </c>
      <c r="AF1047">
        <v>9.1119025867887</v>
      </c>
      <c r="AG1047">
        <v>-1.0394423699999999</v>
      </c>
      <c r="AH1047">
        <v>11.489133346049</v>
      </c>
      <c r="AI1047">
        <v>94.0546258012848</v>
      </c>
      <c r="AJ1047">
        <v>51.582461068241102</v>
      </c>
      <c r="AK1047">
        <v>14.7005916287397</v>
      </c>
      <c r="AL1047">
        <v>96.491487619474299</v>
      </c>
      <c r="AM1047">
        <v>73.489236086657698</v>
      </c>
      <c r="AN1047">
        <v>1.0000000134876399</v>
      </c>
    </row>
    <row r="1048" spans="1:40" x14ac:dyDescent="0.25">
      <c r="A1048" t="str">
        <f>"20190303154440072"</f>
        <v>20190303154440072</v>
      </c>
      <c r="B1048" t="str">
        <f>"1551599080061399"</f>
        <v>1551599080061399</v>
      </c>
      <c r="C1048" t="s">
        <v>40</v>
      </c>
      <c r="D1048">
        <v>4.9903409999999999</v>
      </c>
      <c r="E1048">
        <v>0.65182379999999995</v>
      </c>
      <c r="F1048" t="s">
        <v>50</v>
      </c>
      <c r="G1048">
        <v>-202.08539999999999</v>
      </c>
      <c r="H1048">
        <v>7.9987470000000005E-2</v>
      </c>
      <c r="I1048">
        <v>358.48570000000001</v>
      </c>
      <c r="J1048">
        <v>-212.57859999999999</v>
      </c>
      <c r="K1048">
        <v>1.1195120000000001</v>
      </c>
      <c r="L1048">
        <v>367.5215</v>
      </c>
      <c r="M1048">
        <v>0.99957560000000001</v>
      </c>
      <c r="N1048">
        <v>-1.286728E-2</v>
      </c>
      <c r="O1048">
        <v>-2.6138600000000001E-2</v>
      </c>
      <c r="P1048">
        <v>0.93787209999999999</v>
      </c>
      <c r="Q1048">
        <v>-0.1243932</v>
      </c>
      <c r="R1048">
        <v>-0.32391769999999998</v>
      </c>
      <c r="S1048">
        <v>2.4688110000000001</v>
      </c>
      <c r="T1048">
        <v>-0.24054130000000001</v>
      </c>
      <c r="U1048">
        <v>-2.09259</v>
      </c>
      <c r="V1048">
        <v>0.29891380000000001</v>
      </c>
      <c r="W1048">
        <v>-0.11320959999999999</v>
      </c>
      <c r="X1048">
        <v>0.94754110000000003</v>
      </c>
      <c r="Y1048">
        <v>0.6244227</v>
      </c>
      <c r="Z1048">
        <v>-2.8946900000000001E-2</v>
      </c>
      <c r="AA1048">
        <v>0.78054999999999997</v>
      </c>
      <c r="AB1048">
        <v>20</v>
      </c>
      <c r="AC1048">
        <v>10.4932</v>
      </c>
      <c r="AD1048">
        <v>-1.03952453</v>
      </c>
      <c r="AE1048">
        <v>-9.0357999999999894</v>
      </c>
      <c r="AF1048">
        <v>8.7093310977430995</v>
      </c>
      <c r="AG1048">
        <v>-1.03952453</v>
      </c>
      <c r="AH1048">
        <v>10.6657109488998</v>
      </c>
      <c r="AI1048">
        <v>94.317217584462497</v>
      </c>
      <c r="AJ1048">
        <v>50.765854096367498</v>
      </c>
      <c r="AK1048">
        <v>13.809071274494499</v>
      </c>
      <c r="AL1048">
        <v>96.500368240403702</v>
      </c>
      <c r="AM1048">
        <v>72.491462252097904</v>
      </c>
      <c r="AN1048">
        <v>1.0000000047758999</v>
      </c>
    </row>
    <row r="1049" spans="1:40" x14ac:dyDescent="0.25">
      <c r="A1049" t="str">
        <f>"20190303154440094"</f>
        <v>20190303154440094</v>
      </c>
      <c r="B1049" t="str">
        <f>"1551599080091655"</f>
        <v>1551599080091655</v>
      </c>
      <c r="C1049" t="s">
        <v>40</v>
      </c>
      <c r="D1049">
        <v>4.9912979999999996</v>
      </c>
      <c r="E1049">
        <v>0.64804759999999995</v>
      </c>
      <c r="F1049" t="s">
        <v>50</v>
      </c>
      <c r="G1049">
        <v>-202.36959999999999</v>
      </c>
      <c r="H1049">
        <v>7.9987459999999996E-2</v>
      </c>
      <c r="I1049">
        <v>358.62029999999999</v>
      </c>
      <c r="J1049">
        <v>-212.3767</v>
      </c>
      <c r="K1049">
        <v>1.119634</v>
      </c>
      <c r="L1049">
        <v>367.51339999999999</v>
      </c>
      <c r="M1049">
        <v>0.99951429999999997</v>
      </c>
      <c r="N1049">
        <v>-1.295692E-2</v>
      </c>
      <c r="O1049">
        <v>-2.8343050000000002E-2</v>
      </c>
      <c r="P1049">
        <v>0.93184160000000005</v>
      </c>
      <c r="Q1049">
        <v>-0.1236857</v>
      </c>
      <c r="R1049">
        <v>-0.34113520000000003</v>
      </c>
      <c r="S1049">
        <v>2.433182</v>
      </c>
      <c r="T1049">
        <v>-0.24775469999999999</v>
      </c>
      <c r="U1049">
        <v>-2.1214599999999999</v>
      </c>
      <c r="V1049">
        <v>0.31424170000000001</v>
      </c>
      <c r="W1049">
        <v>-0.11244419999999999</v>
      </c>
      <c r="X1049">
        <v>0.94266030000000001</v>
      </c>
      <c r="Y1049">
        <v>0.63339069999999997</v>
      </c>
      <c r="Z1049">
        <v>-3.0206070000000002E-2</v>
      </c>
      <c r="AA1049">
        <v>0.7732424</v>
      </c>
      <c r="AB1049">
        <v>20</v>
      </c>
      <c r="AC1049">
        <v>10.007099999999999</v>
      </c>
      <c r="AD1049">
        <v>-1.0396465399999999</v>
      </c>
      <c r="AE1049">
        <v>-8.8931000000000004</v>
      </c>
      <c r="AF1049">
        <v>8.5542834090750901</v>
      </c>
      <c r="AG1049">
        <v>-1.0396465399999999</v>
      </c>
      <c r="AH1049">
        <v>10.193683452996799</v>
      </c>
      <c r="AI1049">
        <v>94.467183718248094</v>
      </c>
      <c r="AJ1049">
        <v>49.997468979381701</v>
      </c>
      <c r="AK1049">
        <v>13.3479515998078</v>
      </c>
      <c r="AL1049">
        <v>96.456232304879407</v>
      </c>
      <c r="AM1049">
        <v>71.563869603718999</v>
      </c>
      <c r="AN1049">
        <v>0.99999999266430994</v>
      </c>
    </row>
    <row r="1050" spans="1:40" x14ac:dyDescent="0.25">
      <c r="A1050" t="str">
        <f>"20190303154440117"</f>
        <v>20190303154440117</v>
      </c>
      <c r="B1050" t="str">
        <f>"1551599080111174"</f>
        <v>1551599080111174</v>
      </c>
      <c r="C1050" t="s">
        <v>40</v>
      </c>
      <c r="D1050">
        <v>4.9674779999999998</v>
      </c>
      <c r="E1050">
        <v>0.64569239999999894</v>
      </c>
      <c r="F1050" t="s">
        <v>50</v>
      </c>
      <c r="G1050">
        <v>-202.73079999999999</v>
      </c>
      <c r="H1050">
        <v>7.9987429999999998E-2</v>
      </c>
      <c r="I1050">
        <v>358.93270000000001</v>
      </c>
      <c r="J1050">
        <v>-212.17320000000001</v>
      </c>
      <c r="K1050">
        <v>1.1197729999999999</v>
      </c>
      <c r="L1050">
        <v>367.505</v>
      </c>
      <c r="M1050">
        <v>0.99945309999999998</v>
      </c>
      <c r="N1050">
        <v>-1.303412E-2</v>
      </c>
      <c r="O1050">
        <v>-3.039182E-2</v>
      </c>
      <c r="P1050">
        <v>0.92534439999999996</v>
      </c>
      <c r="Q1050">
        <v>-0.1238211</v>
      </c>
      <c r="R1050">
        <v>-0.35833779999999998</v>
      </c>
      <c r="S1050">
        <v>2.4026339999999999</v>
      </c>
      <c r="T1050">
        <v>-0.25895980000000002</v>
      </c>
      <c r="U1050">
        <v>-2.1373289999999998</v>
      </c>
      <c r="V1050">
        <v>0.32974059999999999</v>
      </c>
      <c r="W1050">
        <v>-0.1125153</v>
      </c>
      <c r="X1050">
        <v>0.93734280000000003</v>
      </c>
      <c r="Y1050">
        <v>0.63926260000000001</v>
      </c>
      <c r="Z1050">
        <v>-3.1739089999999998E-2</v>
      </c>
      <c r="AA1050">
        <v>0.76833319999999905</v>
      </c>
      <c r="AB1050">
        <v>20</v>
      </c>
      <c r="AC1050">
        <v>9.4424000000000099</v>
      </c>
      <c r="AD1050">
        <v>-1.0397855699999901</v>
      </c>
      <c r="AE1050">
        <v>-8.5722999999999807</v>
      </c>
      <c r="AF1050">
        <v>8.2266575129747803</v>
      </c>
      <c r="AG1050">
        <v>-1.0397855699999901</v>
      </c>
      <c r="AH1050">
        <v>9.6345427606721898</v>
      </c>
      <c r="AI1050">
        <v>94.691950988180395</v>
      </c>
      <c r="AJ1050">
        <v>49.506944546308503</v>
      </c>
      <c r="AK1050">
        <v>12.711548374395001</v>
      </c>
      <c r="AL1050">
        <v>96.460331742268494</v>
      </c>
      <c r="AM1050">
        <v>70.619030758188899</v>
      </c>
      <c r="AN1050">
        <v>1.0000000403671401</v>
      </c>
    </row>
    <row r="1051" spans="1:40" x14ac:dyDescent="0.25">
      <c r="A1051" t="str">
        <f>"20190303154440138"</f>
        <v>20190303154440138</v>
      </c>
      <c r="B1051" t="str">
        <f>"1551599080131670"</f>
        <v>1551599080131670</v>
      </c>
      <c r="C1051" t="s">
        <v>40</v>
      </c>
      <c r="D1051">
        <v>4.4866349999999997</v>
      </c>
      <c r="E1051">
        <v>0.66106500000000001</v>
      </c>
      <c r="F1051" t="s">
        <v>50</v>
      </c>
      <c r="G1051">
        <v>-203.11519999999999</v>
      </c>
      <c r="H1051">
        <v>7.9987299999999997E-2</v>
      </c>
      <c r="I1051">
        <v>359.22629999999998</v>
      </c>
      <c r="J1051">
        <v>-211.97790000000001</v>
      </c>
      <c r="K1051">
        <v>1.119899</v>
      </c>
      <c r="L1051">
        <v>367.49669999999998</v>
      </c>
      <c r="M1051">
        <v>0.99939529999999999</v>
      </c>
      <c r="N1051">
        <v>-1.3097879999999999E-2</v>
      </c>
      <c r="O1051">
        <v>-3.2210219999999998E-2</v>
      </c>
      <c r="P1051">
        <v>0.91843439999999998</v>
      </c>
      <c r="Q1051">
        <v>-0.12602869999999999</v>
      </c>
      <c r="R1051">
        <v>-0.37495990000000001</v>
      </c>
      <c r="S1051">
        <v>2.367661</v>
      </c>
      <c r="T1051">
        <v>-0.27178750000000002</v>
      </c>
      <c r="U1051">
        <v>-2.1639400000000002</v>
      </c>
      <c r="V1051">
        <v>0.34490140000000002</v>
      </c>
      <c r="W1051">
        <v>-0.1146773</v>
      </c>
      <c r="X1051">
        <v>0.93160719999999997</v>
      </c>
      <c r="Y1051">
        <v>0.64787189999999995</v>
      </c>
      <c r="Z1051">
        <v>-3.364495E-2</v>
      </c>
      <c r="AA1051">
        <v>0.76100590000000001</v>
      </c>
      <c r="AB1051">
        <v>20</v>
      </c>
      <c r="AC1051">
        <v>8.8627000000000091</v>
      </c>
      <c r="AD1051">
        <v>-1.0399117</v>
      </c>
      <c r="AE1051">
        <v>-8.2703999999999898</v>
      </c>
      <c r="AF1051">
        <v>7.9223117788294903</v>
      </c>
      <c r="AG1051">
        <v>-1.0399117</v>
      </c>
      <c r="AH1051">
        <v>9.0578559205710203</v>
      </c>
      <c r="AI1051">
        <v>94.939074072264503</v>
      </c>
      <c r="AJ1051">
        <v>48.825943111237997</v>
      </c>
      <c r="AK1051">
        <v>12.078459924286699</v>
      </c>
      <c r="AL1051">
        <v>96.585013112473106</v>
      </c>
      <c r="AM1051">
        <v>69.684343445971507</v>
      </c>
      <c r="AN1051">
        <v>0.99999991697454105</v>
      </c>
    </row>
    <row r="1052" spans="1:40" x14ac:dyDescent="0.25">
      <c r="A1052" t="str">
        <f>"20190303154440161"</f>
        <v>20190303154440161</v>
      </c>
      <c r="B1052" t="str">
        <f>"1551599080151191"</f>
        <v>1551599080151191</v>
      </c>
      <c r="C1052" t="s">
        <v>40</v>
      </c>
      <c r="D1052">
        <v>4.978459</v>
      </c>
      <c r="E1052">
        <v>0.63489300000000004</v>
      </c>
      <c r="F1052" t="s">
        <v>46</v>
      </c>
      <c r="G1052">
        <v>-168.4007</v>
      </c>
      <c r="H1052">
        <v>2.0496050000000001</v>
      </c>
      <c r="I1052">
        <v>323.51209999999998</v>
      </c>
      <c r="J1052">
        <v>-211.77010000000001</v>
      </c>
      <c r="K1052">
        <v>1.1199779999999999</v>
      </c>
      <c r="L1052">
        <v>367.48759999999999</v>
      </c>
      <c r="M1052">
        <v>0.99933419999999895</v>
      </c>
      <c r="N1052">
        <v>-1.315645E-2</v>
      </c>
      <c r="O1052">
        <v>-3.4034719999999997E-2</v>
      </c>
      <c r="P1052">
        <v>0.91240469999999896</v>
      </c>
      <c r="Q1052">
        <v>-0.1292565</v>
      </c>
      <c r="R1052">
        <v>-0.38834380000000002</v>
      </c>
      <c r="S1052">
        <v>2.317993</v>
      </c>
      <c r="T1052">
        <v>4.945397E-2</v>
      </c>
      <c r="U1052">
        <v>-2.339661</v>
      </c>
      <c r="V1052">
        <v>0.3568017</v>
      </c>
      <c r="W1052">
        <v>-0.1178676</v>
      </c>
      <c r="X1052">
        <v>0.9267145</v>
      </c>
      <c r="Y1052">
        <v>0.68602259999999904</v>
      </c>
      <c r="Z1052">
        <v>-2.215086E-4</v>
      </c>
      <c r="AA1052">
        <v>0.72758020000000001</v>
      </c>
      <c r="AB1052">
        <v>20</v>
      </c>
      <c r="AC1052">
        <v>43.369399999999999</v>
      </c>
      <c r="AD1052">
        <v>0.92962699999999998</v>
      </c>
      <c r="AE1052">
        <v>-43.975499999999997</v>
      </c>
      <c r="AF1052">
        <v>42.464205521721098</v>
      </c>
      <c r="AG1052">
        <v>0.92962699999999998</v>
      </c>
      <c r="AH1052">
        <v>44.830936644957397</v>
      </c>
      <c r="AI1052">
        <v>89.137490435785594</v>
      </c>
      <c r="AJ1052">
        <v>46.553013038926402</v>
      </c>
      <c r="AK1052">
        <v>61.756666339871998</v>
      </c>
      <c r="AL1052">
        <v>96.769051680181505</v>
      </c>
      <c r="AM1052">
        <v>68.942399636539903</v>
      </c>
      <c r="AN1052">
        <v>0.99999999438145004</v>
      </c>
    </row>
    <row r="1053" spans="1:40" x14ac:dyDescent="0.25">
      <c r="A1053" t="str">
        <f>"20190303154440195"</f>
        <v>20190303154440195</v>
      </c>
      <c r="B1053" t="str">
        <f>"1551599080191207"</f>
        <v>1551599080191207</v>
      </c>
      <c r="C1053" t="s">
        <v>40</v>
      </c>
      <c r="D1053">
        <v>5.0278780000000003</v>
      </c>
      <c r="E1053">
        <v>0.60219699999999998</v>
      </c>
      <c r="F1053" t="s">
        <v>50</v>
      </c>
      <c r="G1053">
        <v>-195.89439999999999</v>
      </c>
      <c r="H1053" s="1">
        <v>-3.3506699999999898E-6</v>
      </c>
      <c r="I1053">
        <v>352.78309999999999</v>
      </c>
      <c r="J1053">
        <v>-211.47669999999999</v>
      </c>
      <c r="K1053">
        <v>1.1199509999999999</v>
      </c>
      <c r="L1053">
        <v>367.47430000000003</v>
      </c>
      <c r="M1053">
        <v>0.99924449999999998</v>
      </c>
      <c r="N1053">
        <v>-1.322481E-2</v>
      </c>
      <c r="O1053">
        <v>-3.654632E-2</v>
      </c>
      <c r="P1053">
        <v>0.9046999</v>
      </c>
      <c r="Q1053">
        <v>-0.13499720000000001</v>
      </c>
      <c r="R1053">
        <v>-0.40409650000000003</v>
      </c>
      <c r="S1053">
        <v>2.3415370000000002</v>
      </c>
      <c r="T1053">
        <v>-0.165188</v>
      </c>
      <c r="U1053">
        <v>-2.168793</v>
      </c>
      <c r="V1053">
        <v>0.37048920000000002</v>
      </c>
      <c r="W1053">
        <v>-0.1236482</v>
      </c>
      <c r="X1053">
        <v>0.92056990000000005</v>
      </c>
      <c r="Y1053">
        <v>0.65115990000000001</v>
      </c>
      <c r="Z1053">
        <v>-2.2634729999999999E-2</v>
      </c>
      <c r="AA1053">
        <v>0.75860300000000003</v>
      </c>
      <c r="AB1053">
        <v>20</v>
      </c>
      <c r="AC1053">
        <v>15.5823</v>
      </c>
      <c r="AD1053">
        <v>-1.1199543506699901</v>
      </c>
      <c r="AE1053">
        <v>-14.6912</v>
      </c>
      <c r="AF1053">
        <v>14.0733702970105</v>
      </c>
      <c r="AG1053">
        <v>-1.1199543506699901</v>
      </c>
      <c r="AH1053">
        <v>16.064910120156899</v>
      </c>
      <c r="AI1053">
        <v>93.001758541707602</v>
      </c>
      <c r="AJ1053">
        <v>48.7806130083071</v>
      </c>
      <c r="AK1053">
        <v>21.386804025685599</v>
      </c>
      <c r="AL1053">
        <v>97.102697506172206</v>
      </c>
      <c r="AM1053">
        <v>68.077367190618901</v>
      </c>
      <c r="AN1053">
        <v>1.0000000327329399</v>
      </c>
    </row>
    <row r="1054" spans="1:40" x14ac:dyDescent="0.25">
      <c r="A1054" t="str">
        <f>"20190303154440217"</f>
        <v>20190303154440217</v>
      </c>
      <c r="B1054" t="str">
        <f>"1551599080211706"</f>
        <v>1551599080211706</v>
      </c>
      <c r="C1054" t="s">
        <v>40</v>
      </c>
      <c r="D1054">
        <v>5.039669</v>
      </c>
      <c r="E1054">
        <v>0.60041250000000002</v>
      </c>
      <c r="F1054" t="s">
        <v>50</v>
      </c>
      <c r="G1054">
        <v>-204.19479999999999</v>
      </c>
      <c r="H1054" s="1">
        <v>-4.3500059999999996E-6</v>
      </c>
      <c r="I1054">
        <v>361.49700000000001</v>
      </c>
      <c r="J1054">
        <v>-211.27269999999999</v>
      </c>
      <c r="K1054">
        <v>1.1198790000000001</v>
      </c>
      <c r="L1054">
        <v>367.46449999999999</v>
      </c>
      <c r="M1054">
        <v>0.99917690000000003</v>
      </c>
      <c r="N1054">
        <v>-1.326565E-2</v>
      </c>
      <c r="O1054">
        <v>-3.833396E-2</v>
      </c>
      <c r="P1054">
        <v>0.90028649999999999</v>
      </c>
      <c r="Q1054">
        <v>-0.13784759999999999</v>
      </c>
      <c r="R1054">
        <v>-0.41289540000000002</v>
      </c>
      <c r="S1054">
        <v>2.3863370000000002</v>
      </c>
      <c r="T1054">
        <v>-0.36701699999999998</v>
      </c>
      <c r="U1054">
        <v>-1.958801</v>
      </c>
      <c r="V1054">
        <v>0.37778469999999997</v>
      </c>
      <c r="W1054">
        <v>-0.1265676</v>
      </c>
      <c r="X1054">
        <v>0.91720190000000001</v>
      </c>
      <c r="Y1054">
        <v>0.59985959999999905</v>
      </c>
      <c r="Z1054">
        <v>-3.9908529999999998E-2</v>
      </c>
      <c r="AA1054">
        <v>0.79910930000000002</v>
      </c>
      <c r="AB1054">
        <v>20</v>
      </c>
      <c r="AC1054">
        <v>7.0778999999999996</v>
      </c>
      <c r="AD1054">
        <v>-1.1198833500059999</v>
      </c>
      <c r="AE1054">
        <v>-5.9675000000000296</v>
      </c>
      <c r="AF1054">
        <v>5.6096802147372102</v>
      </c>
      <c r="AG1054">
        <v>-1.1198833500059999</v>
      </c>
      <c r="AH1054">
        <v>7.1961750077671001</v>
      </c>
      <c r="AI1054">
        <v>96.997254359034798</v>
      </c>
      <c r="AJ1054">
        <v>52.062288303911799</v>
      </c>
      <c r="AK1054">
        <v>9.1928007468696205</v>
      </c>
      <c r="AL1054">
        <v>97.271291858688699</v>
      </c>
      <c r="AM1054">
        <v>67.613812060989005</v>
      </c>
      <c r="AN1054">
        <v>0.99999998114372901</v>
      </c>
    </row>
    <row r="1055" spans="1:40" x14ac:dyDescent="0.25">
      <c r="A1055" t="str">
        <f>"20190303154440240"</f>
        <v>20190303154440240</v>
      </c>
      <c r="B1055" t="str">
        <f>"1551599080231224"</f>
        <v>1551599080231224</v>
      </c>
      <c r="C1055" t="s">
        <v>40</v>
      </c>
      <c r="D1055">
        <v>4.6688320000000001</v>
      </c>
      <c r="E1055">
        <v>0.59994939999999997</v>
      </c>
      <c r="F1055" t="s">
        <v>50</v>
      </c>
      <c r="G1055">
        <v>-204.15289999999999</v>
      </c>
      <c r="H1055" s="1">
        <v>-4.3162490000000002E-6</v>
      </c>
      <c r="I1055">
        <v>361.55419999999998</v>
      </c>
      <c r="J1055">
        <v>-211.0746</v>
      </c>
      <c r="K1055">
        <v>1.1197809999999999</v>
      </c>
      <c r="L1055">
        <v>367.45460000000003</v>
      </c>
      <c r="M1055">
        <v>0.99910299999999996</v>
      </c>
      <c r="N1055">
        <v>-1.330102E-2</v>
      </c>
      <c r="O1055">
        <v>-4.0205329999999997E-2</v>
      </c>
      <c r="P1055">
        <v>0.89688020000000002</v>
      </c>
      <c r="Q1055">
        <v>-0.1385661</v>
      </c>
      <c r="R1055">
        <v>-0.42000670000000001</v>
      </c>
      <c r="S1055">
        <v>2.3720400000000001</v>
      </c>
      <c r="T1055">
        <v>-0.37310450000000001</v>
      </c>
      <c r="U1055">
        <v>-1.9691160000000001</v>
      </c>
      <c r="V1055">
        <v>0.38328200000000001</v>
      </c>
      <c r="W1055">
        <v>-0.127383199999999</v>
      </c>
      <c r="X1055">
        <v>0.91480510000000004</v>
      </c>
      <c r="Y1055">
        <v>0.60260340000000001</v>
      </c>
      <c r="Z1055">
        <v>-4.0603199999999999E-2</v>
      </c>
      <c r="AA1055">
        <v>0.79700729999999997</v>
      </c>
      <c r="AB1055">
        <v>20</v>
      </c>
      <c r="AC1055">
        <v>6.9217000000000102</v>
      </c>
      <c r="AD1055">
        <v>-1.1197853162489999</v>
      </c>
      <c r="AE1055">
        <v>-5.9004000000000403</v>
      </c>
      <c r="AF1055">
        <v>5.5334400234749603</v>
      </c>
      <c r="AG1055">
        <v>-1.1197853162489999</v>
      </c>
      <c r="AH1055">
        <v>7.0465412128071403</v>
      </c>
      <c r="AI1055">
        <v>97.1240554155805</v>
      </c>
      <c r="AJ1055">
        <v>51.858502875246202</v>
      </c>
      <c r="AK1055">
        <v>9.0292093071138293</v>
      </c>
      <c r="AL1055">
        <v>97.318403701771004</v>
      </c>
      <c r="AM1055">
        <v>67.267452786675193</v>
      </c>
      <c r="AN1055">
        <v>0.99999997107612404</v>
      </c>
    </row>
    <row r="1056" spans="1:40" x14ac:dyDescent="0.25">
      <c r="A1056" t="str">
        <f>"20190303154440263"</f>
        <v>20190303154440263</v>
      </c>
      <c r="B1056" t="str">
        <f>"1551599080251719"</f>
        <v>1551599080251719</v>
      </c>
      <c r="C1056" t="s">
        <v>40</v>
      </c>
      <c r="D1056">
        <v>5.0760059999999996</v>
      </c>
      <c r="E1056">
        <v>0.63419609999999904</v>
      </c>
      <c r="F1056" t="s">
        <v>50</v>
      </c>
      <c r="G1056">
        <v>-203.93039999999999</v>
      </c>
      <c r="H1056" s="1">
        <v>-4.2291410000000004E-6</v>
      </c>
      <c r="I1056">
        <v>361.44200000000001</v>
      </c>
      <c r="J1056">
        <v>-210.86949999999999</v>
      </c>
      <c r="K1056">
        <v>1.1196549999999901</v>
      </c>
      <c r="L1056">
        <v>367.44369999999998</v>
      </c>
      <c r="M1056">
        <v>0.99901229999999996</v>
      </c>
      <c r="N1056">
        <v>-1.333469E-2</v>
      </c>
      <c r="O1056">
        <v>-4.2388229999999999E-2</v>
      </c>
      <c r="P1056">
        <v>0.89388619999999996</v>
      </c>
      <c r="Q1056">
        <v>-0.13773089999999999</v>
      </c>
      <c r="R1056">
        <v>-0.42661199999999999</v>
      </c>
      <c r="S1056">
        <v>2.3583530000000001</v>
      </c>
      <c r="T1056">
        <v>-0.36964799999999998</v>
      </c>
      <c r="U1056">
        <v>-1.984802</v>
      </c>
      <c r="V1056">
        <v>0.38797350000000003</v>
      </c>
      <c r="W1056">
        <v>-0.12668099999999999</v>
      </c>
      <c r="X1056">
        <v>0.91292300000000004</v>
      </c>
      <c r="Y1056">
        <v>0.60628749999999998</v>
      </c>
      <c r="Z1056">
        <v>-4.0399280000000003E-2</v>
      </c>
      <c r="AA1056">
        <v>0.79421869999999894</v>
      </c>
      <c r="AB1056">
        <v>20</v>
      </c>
      <c r="AC1056">
        <v>6.9390999999999901</v>
      </c>
      <c r="AD1056">
        <v>-1.1196592291409999</v>
      </c>
      <c r="AE1056">
        <v>-6.00170000000002</v>
      </c>
      <c r="AF1056">
        <v>5.6184620459515804</v>
      </c>
      <c r="AG1056">
        <v>-1.1196592291409999</v>
      </c>
      <c r="AH1056">
        <v>7.0818108371000399</v>
      </c>
      <c r="AI1056">
        <v>97.060579817736297</v>
      </c>
      <c r="AJ1056">
        <v>51.572740593680798</v>
      </c>
      <c r="AK1056">
        <v>9.1089405137845993</v>
      </c>
      <c r="AL1056">
        <v>97.277842091247095</v>
      </c>
      <c r="AM1056">
        <v>66.975506058409593</v>
      </c>
      <c r="AN1056">
        <v>0.99999995819612397</v>
      </c>
    </row>
    <row r="1057" spans="1:40" x14ac:dyDescent="0.25">
      <c r="A1057" t="str">
        <f>"20190303154440284"</f>
        <v>20190303154440284</v>
      </c>
      <c r="B1057" t="str">
        <f>"1551599080281975"</f>
        <v>1551599080281975</v>
      </c>
      <c r="C1057" t="s">
        <v>40</v>
      </c>
      <c r="D1057">
        <v>5.1292080000000002</v>
      </c>
      <c r="E1057">
        <v>0.61249200000000004</v>
      </c>
      <c r="F1057" t="s">
        <v>46</v>
      </c>
      <c r="G1057">
        <v>-168.40020000000001</v>
      </c>
      <c r="H1057">
        <v>0.57576000000000005</v>
      </c>
      <c r="I1057">
        <v>324.91460000000001</v>
      </c>
      <c r="J1057">
        <v>-210.67500000000001</v>
      </c>
      <c r="K1057">
        <v>1.119521</v>
      </c>
      <c r="L1057">
        <v>367.43259999999998</v>
      </c>
      <c r="M1057">
        <v>0.99891019999999997</v>
      </c>
      <c r="N1057">
        <v>-1.336495E-2</v>
      </c>
      <c r="O1057">
        <v>-4.4721089999999998E-2</v>
      </c>
      <c r="P1057">
        <v>0.89089479999999999</v>
      </c>
      <c r="Q1057">
        <v>-0.13660839999999999</v>
      </c>
      <c r="R1057">
        <v>-0.43318050000000002</v>
      </c>
      <c r="S1057">
        <v>2.2678069999999999</v>
      </c>
      <c r="T1057">
        <v>-2.904296E-2</v>
      </c>
      <c r="U1057">
        <v>-2.2709959999999998</v>
      </c>
      <c r="V1057">
        <v>0.39249719999999999</v>
      </c>
      <c r="W1057">
        <v>-0.1257115</v>
      </c>
      <c r="X1057">
        <v>0.91112159999999998</v>
      </c>
      <c r="Y1057">
        <v>0.67520639999999998</v>
      </c>
      <c r="Z1057">
        <v>-8.8948869999999902E-3</v>
      </c>
      <c r="AA1057">
        <v>0.73757519999999999</v>
      </c>
      <c r="AB1057">
        <v>20</v>
      </c>
      <c r="AC1057">
        <v>42.274799999999999</v>
      </c>
      <c r="AD1057">
        <v>-0.54376099999999905</v>
      </c>
      <c r="AE1057">
        <v>-42.517999999999901</v>
      </c>
      <c r="AF1057">
        <v>40.5813720744707</v>
      </c>
      <c r="AG1057">
        <v>-0.54376099999999905</v>
      </c>
      <c r="AH1057">
        <v>44.130488332798599</v>
      </c>
      <c r="AI1057">
        <v>90.519647369355596</v>
      </c>
      <c r="AJ1057">
        <v>47.399079973837303</v>
      </c>
      <c r="AK1057">
        <v>59.955345349376699</v>
      </c>
      <c r="AL1057">
        <v>97.221845842168904</v>
      </c>
      <c r="AM1057">
        <v>66.694364262104102</v>
      </c>
      <c r="AN1057">
        <v>1.0000000016133199</v>
      </c>
    </row>
    <row r="1058" spans="1:40" x14ac:dyDescent="0.25">
      <c r="A1058" t="str">
        <f>"20190303154440318"</f>
        <v>20190303154440318</v>
      </c>
      <c r="B1058" t="str">
        <f>"1551599080311255"</f>
        <v>1551599080311255</v>
      </c>
      <c r="C1058" t="s">
        <v>40</v>
      </c>
      <c r="D1058">
        <v>5.1690079999999998</v>
      </c>
      <c r="E1058">
        <v>0.60048419999999902</v>
      </c>
      <c r="F1058" t="s">
        <v>41</v>
      </c>
      <c r="G1058">
        <v>-189.53280000000001</v>
      </c>
      <c r="H1058" s="1">
        <v>-3.682497E-6</v>
      </c>
      <c r="I1058">
        <v>348.02359999999999</v>
      </c>
      <c r="J1058">
        <v>-210.38409999999999</v>
      </c>
      <c r="K1058">
        <v>1.119319</v>
      </c>
      <c r="L1058">
        <v>367.41489999999999</v>
      </c>
      <c r="M1058">
        <v>0.99872760000000005</v>
      </c>
      <c r="N1058">
        <v>-1.340586E-2</v>
      </c>
      <c r="O1058">
        <v>-4.8616310000000003E-2</v>
      </c>
      <c r="P1058">
        <v>0.88517950000000001</v>
      </c>
      <c r="Q1058">
        <v>-0.13615429999999901</v>
      </c>
      <c r="R1058">
        <v>-0.44488149999999999</v>
      </c>
      <c r="S1058">
        <v>2.3151860000000002</v>
      </c>
      <c r="T1058">
        <v>-0.12259399999999999</v>
      </c>
      <c r="U1058">
        <v>-2.125397</v>
      </c>
      <c r="V1058">
        <v>0.40084940000000002</v>
      </c>
      <c r="W1058">
        <v>-0.1255038</v>
      </c>
      <c r="X1058">
        <v>0.90750679999999995</v>
      </c>
      <c r="Y1058">
        <v>0.63899019999999995</v>
      </c>
      <c r="Z1058">
        <v>-1.7665810000000001E-2</v>
      </c>
      <c r="AA1058">
        <v>0.76901200000000003</v>
      </c>
      <c r="AB1058">
        <v>20</v>
      </c>
      <c r="AC1058">
        <v>20.851299999999899</v>
      </c>
      <c r="AD1058">
        <v>-1.119322682497</v>
      </c>
      <c r="AE1058">
        <v>-19.391300000000001</v>
      </c>
      <c r="AF1058">
        <v>18.3262433520168</v>
      </c>
      <c r="AG1058">
        <v>-1.119322682497</v>
      </c>
      <c r="AH1058">
        <v>21.735870388326699</v>
      </c>
      <c r="AI1058">
        <v>92.254590168446498</v>
      </c>
      <c r="AJ1058">
        <v>49.864635755046201</v>
      </c>
      <c r="AK1058">
        <v>28.452629759005202</v>
      </c>
      <c r="AL1058">
        <v>97.209850382013201</v>
      </c>
      <c r="AM1058">
        <v>66.168759790014406</v>
      </c>
      <c r="AN1058">
        <v>1.00000001867051</v>
      </c>
    </row>
    <row r="1059" spans="1:40" x14ac:dyDescent="0.25">
      <c r="A1059" t="str">
        <f>"20190303154440340"</f>
        <v>20190303154440340</v>
      </c>
      <c r="B1059" t="str">
        <f>"1551599080331754"</f>
        <v>1551599080331754</v>
      </c>
      <c r="C1059" t="s">
        <v>40</v>
      </c>
      <c r="D1059">
        <v>5.0958329999999998</v>
      </c>
      <c r="E1059">
        <v>0.59656119999999901</v>
      </c>
      <c r="F1059" t="s">
        <v>50</v>
      </c>
      <c r="G1059">
        <v>-199.09299999999999</v>
      </c>
      <c r="H1059" s="1">
        <v>-5.9589720000000001E-6</v>
      </c>
      <c r="I1059">
        <v>357.36430000000001</v>
      </c>
      <c r="J1059">
        <v>-210.18969999999999</v>
      </c>
      <c r="K1059">
        <v>1.1191960000000001</v>
      </c>
      <c r="L1059">
        <v>367.40219999999999</v>
      </c>
      <c r="M1059">
        <v>0.99858369999999996</v>
      </c>
      <c r="N1059">
        <v>-1.3429139999999999E-2</v>
      </c>
      <c r="O1059">
        <v>-5.1482239999999999E-2</v>
      </c>
      <c r="P1059">
        <v>0.88109850000000001</v>
      </c>
      <c r="Q1059">
        <v>-0.13615439999999901</v>
      </c>
      <c r="R1059">
        <v>-0.45291029999999999</v>
      </c>
      <c r="S1059">
        <v>2.3171689999999998</v>
      </c>
      <c r="T1059">
        <v>-0.22970879999999999</v>
      </c>
      <c r="U1059">
        <v>-2.062592</v>
      </c>
      <c r="V1059">
        <v>0.40643810000000002</v>
      </c>
      <c r="W1059">
        <v>-0.12566250000000001</v>
      </c>
      <c r="X1059">
        <v>0.90499560000000001</v>
      </c>
      <c r="Y1059">
        <v>0.6235965</v>
      </c>
      <c r="Z1059">
        <v>-2.7451420000000001E-2</v>
      </c>
      <c r="AA1059">
        <v>0.78126419999999996</v>
      </c>
      <c r="AB1059">
        <v>20</v>
      </c>
      <c r="AC1059">
        <v>11.096699999999901</v>
      </c>
      <c r="AD1059">
        <v>-1.1192019589719999</v>
      </c>
      <c r="AE1059">
        <v>-10.037899999999899</v>
      </c>
      <c r="AF1059">
        <v>9.4006589288007802</v>
      </c>
      <c r="AG1059">
        <v>-1.1192019589719999</v>
      </c>
      <c r="AH1059">
        <v>11.534272447012</v>
      </c>
      <c r="AI1059">
        <v>94.301438262189393</v>
      </c>
      <c r="AJ1059">
        <v>50.819288707136003</v>
      </c>
      <c r="AK1059">
        <v>14.921944987249701</v>
      </c>
      <c r="AL1059">
        <v>97.219015813710101</v>
      </c>
      <c r="AM1059">
        <v>65.814910531515395</v>
      </c>
      <c r="AN1059">
        <v>1.0000000145286001</v>
      </c>
    </row>
    <row r="1060" spans="1:40" x14ac:dyDescent="0.25">
      <c r="A1060" t="str">
        <f>"20190303154440362"</f>
        <v>20190303154440362</v>
      </c>
      <c r="B1060" t="str">
        <f>"1551599080351271"</f>
        <v>1551599080351271</v>
      </c>
      <c r="C1060" t="s">
        <v>40</v>
      </c>
      <c r="D1060">
        <v>5.0756309999999996</v>
      </c>
      <c r="E1060">
        <v>0.57210729999999999</v>
      </c>
      <c r="F1060" t="s">
        <v>50</v>
      </c>
      <c r="G1060">
        <v>-199.58789999999999</v>
      </c>
      <c r="H1060" s="1">
        <v>-6.2399930000000004E-6</v>
      </c>
      <c r="I1060">
        <v>357.97289999999998</v>
      </c>
      <c r="J1060">
        <v>-209.98820000000001</v>
      </c>
      <c r="K1060">
        <v>1.119073</v>
      </c>
      <c r="L1060">
        <v>367.38810000000001</v>
      </c>
      <c r="M1060">
        <v>0.99841279999999999</v>
      </c>
      <c r="N1060">
        <v>-1.345085E-2</v>
      </c>
      <c r="O1060">
        <v>-5.4690610000000001E-2</v>
      </c>
      <c r="P1060">
        <v>0.87716669999999997</v>
      </c>
      <c r="Q1060">
        <v>-0.13534689999999999</v>
      </c>
      <c r="R1060">
        <v>-0.4607174</v>
      </c>
      <c r="S1060">
        <v>2.31073</v>
      </c>
      <c r="T1060">
        <v>-0.2439374</v>
      </c>
      <c r="U1060">
        <v>-2.0551759999999999</v>
      </c>
      <c r="V1060">
        <v>0.41150979999999998</v>
      </c>
      <c r="W1060">
        <v>-0.1250086</v>
      </c>
      <c r="X1060">
        <v>0.90279160000000003</v>
      </c>
      <c r="Y1060">
        <v>0.62055329999999997</v>
      </c>
      <c r="Z1060">
        <v>-2.848239E-2</v>
      </c>
      <c r="AA1060">
        <v>0.78364679999999998</v>
      </c>
      <c r="AB1060">
        <v>20</v>
      </c>
      <c r="AC1060">
        <v>10.4003</v>
      </c>
      <c r="AD1060">
        <v>-1.1190792399930001</v>
      </c>
      <c r="AE1060">
        <v>-9.41520000000002</v>
      </c>
      <c r="AF1060">
        <v>8.7764107071295001</v>
      </c>
      <c r="AG1060">
        <v>-1.1190792399930001</v>
      </c>
      <c r="AH1060">
        <v>10.830783656976701</v>
      </c>
      <c r="AI1060">
        <v>94.589673786038801</v>
      </c>
      <c r="AJ1060">
        <v>50.981425966953203</v>
      </c>
      <c r="AK1060">
        <v>13.985120588319299</v>
      </c>
      <c r="AL1060">
        <v>97.181251920415804</v>
      </c>
      <c r="AM1060">
        <v>65.4955877313201</v>
      </c>
      <c r="AN1060">
        <v>1.00000006930027</v>
      </c>
    </row>
    <row r="1061" spans="1:40" x14ac:dyDescent="0.25">
      <c r="A1061" t="str">
        <f>"20190303154440386"</f>
        <v>20190303154440386</v>
      </c>
      <c r="B1061" t="str">
        <f>"1551599080381528"</f>
        <v>1551599080381528</v>
      </c>
      <c r="C1061" t="s">
        <v>40</v>
      </c>
      <c r="D1061">
        <v>5.1317510000000004</v>
      </c>
      <c r="E1061">
        <v>0.57004860000000002</v>
      </c>
      <c r="F1061" t="s">
        <v>50</v>
      </c>
      <c r="G1061">
        <v>-197.49260000000001</v>
      </c>
      <c r="H1061" s="1">
        <v>-5.7245029999999999E-6</v>
      </c>
      <c r="I1061">
        <v>357.41059999999999</v>
      </c>
      <c r="J1061">
        <v>-209.78749999999999</v>
      </c>
      <c r="K1061">
        <v>1.118978</v>
      </c>
      <c r="L1061">
        <v>367.3732</v>
      </c>
      <c r="M1061">
        <v>0.99822</v>
      </c>
      <c r="N1061">
        <v>-1.347134E-2</v>
      </c>
      <c r="O1061">
        <v>-5.8099110000000002E-2</v>
      </c>
      <c r="P1061">
        <v>0.87238369999999998</v>
      </c>
      <c r="Q1061">
        <v>-0.1346213</v>
      </c>
      <c r="R1061">
        <v>-0.46991939999999999</v>
      </c>
      <c r="S1061">
        <v>2.3863370000000002</v>
      </c>
      <c r="T1061">
        <v>-0.21371589999999999</v>
      </c>
      <c r="U1061">
        <v>-1.905457</v>
      </c>
      <c r="V1061">
        <v>0.4178637</v>
      </c>
      <c r="W1061">
        <v>-0.12444719999999999</v>
      </c>
      <c r="X1061">
        <v>0.89994599999999902</v>
      </c>
      <c r="Y1061">
        <v>0.57591119999999996</v>
      </c>
      <c r="Z1061">
        <v>-2.3111909999999999E-2</v>
      </c>
      <c r="AA1061">
        <v>0.81718550000000001</v>
      </c>
      <c r="AB1061">
        <v>20</v>
      </c>
      <c r="AC1061">
        <v>12.294899999999901</v>
      </c>
      <c r="AD1061">
        <v>-1.1189837245029901</v>
      </c>
      <c r="AE1061">
        <v>-9.9626000000000001</v>
      </c>
      <c r="AF1061">
        <v>9.1854522664981495</v>
      </c>
      <c r="AG1061">
        <v>-1.1189837245029901</v>
      </c>
      <c r="AH1061">
        <v>12.7890515765232</v>
      </c>
      <c r="AI1061">
        <v>94.064903848614193</v>
      </c>
      <c r="AJ1061">
        <v>54.3130420358995</v>
      </c>
      <c r="AK1061">
        <v>15.7855788029071</v>
      </c>
      <c r="AL1061">
        <v>97.1488334799391</v>
      </c>
      <c r="AM1061">
        <v>65.093574647468898</v>
      </c>
      <c r="AN1061">
        <v>0.99999999014076402</v>
      </c>
    </row>
    <row r="1062" spans="1:40" x14ac:dyDescent="0.25">
      <c r="A1062" t="str">
        <f>"20190303154440408"</f>
        <v>20190303154440408</v>
      </c>
      <c r="B1062" t="str">
        <f>"1551599080401047"</f>
        <v>1551599080401047</v>
      </c>
      <c r="C1062" t="s">
        <v>40</v>
      </c>
      <c r="D1062">
        <v>5.1765739999999996</v>
      </c>
      <c r="E1062">
        <v>0.56886910000000002</v>
      </c>
      <c r="F1062" t="s">
        <v>50</v>
      </c>
      <c r="G1062">
        <v>-197.46629999999999</v>
      </c>
      <c r="H1062" s="1">
        <v>-5.7263170000000004E-6</v>
      </c>
      <c r="I1062">
        <v>357.42829999999998</v>
      </c>
      <c r="J1062">
        <v>-209.58760000000001</v>
      </c>
      <c r="K1062">
        <v>1.1188940000000001</v>
      </c>
      <c r="L1062">
        <v>367.35750000000002</v>
      </c>
      <c r="M1062">
        <v>0.99800750000000005</v>
      </c>
      <c r="N1062">
        <v>-1.348998E-2</v>
      </c>
      <c r="O1062">
        <v>-6.1637009999999999E-2</v>
      </c>
      <c r="P1062">
        <v>0.86768919999999905</v>
      </c>
      <c r="Q1062">
        <v>-0.1341465</v>
      </c>
      <c r="R1062">
        <v>-0.47866520000000001</v>
      </c>
      <c r="S1062">
        <v>2.3736109999999999</v>
      </c>
      <c r="T1062">
        <v>-0.21556690000000001</v>
      </c>
      <c r="U1062">
        <v>-1.9158329999999999</v>
      </c>
      <c r="V1062">
        <v>0.42366920000000002</v>
      </c>
      <c r="W1062">
        <v>-0.1241167</v>
      </c>
      <c r="X1062">
        <v>0.89727330000000005</v>
      </c>
      <c r="Y1062">
        <v>0.57728610000000002</v>
      </c>
      <c r="Z1062">
        <v>-2.3165649999999999E-2</v>
      </c>
      <c r="AA1062">
        <v>0.81621339999999998</v>
      </c>
      <c r="AB1062">
        <v>20</v>
      </c>
      <c r="AC1062">
        <v>12.1213</v>
      </c>
      <c r="AD1062">
        <v>-1.118899726317</v>
      </c>
      <c r="AE1062">
        <v>-9.92920000000003</v>
      </c>
      <c r="AF1062">
        <v>9.1166410136060403</v>
      </c>
      <c r="AG1062">
        <v>-1.118899726317</v>
      </c>
      <c r="AH1062">
        <v>12.6458266676175</v>
      </c>
      <c r="AI1062">
        <v>94.105250967654698</v>
      </c>
      <c r="AJ1062">
        <v>54.211377581068398</v>
      </c>
      <c r="AK1062">
        <v>15.6295237315774</v>
      </c>
      <c r="AL1062">
        <v>97.129749475446403</v>
      </c>
      <c r="AM1062">
        <v>64.724532946762807</v>
      </c>
      <c r="AN1062">
        <v>0.99999996057020901</v>
      </c>
    </row>
    <row r="1063" spans="1:40" x14ac:dyDescent="0.25">
      <c r="A1063" t="str">
        <f>"20190303154440432"</f>
        <v>20190303154440432</v>
      </c>
      <c r="B1063" t="str">
        <f>"1551599080421542"</f>
        <v>1551599080421542</v>
      </c>
      <c r="C1063" t="s">
        <v>40</v>
      </c>
      <c r="D1063">
        <v>5.1809820000000002</v>
      </c>
      <c r="E1063">
        <v>0.56769060000000005</v>
      </c>
      <c r="F1063" t="s">
        <v>50</v>
      </c>
      <c r="G1063">
        <v>-197.47839999999999</v>
      </c>
      <c r="H1063" s="1">
        <v>-5.7326570000000001E-6</v>
      </c>
      <c r="I1063">
        <v>357.44159999999999</v>
      </c>
      <c r="J1063">
        <v>-209.38480000000001</v>
      </c>
      <c r="K1063">
        <v>1.1188209999999901</v>
      </c>
      <c r="L1063">
        <v>367.34059999999999</v>
      </c>
      <c r="M1063">
        <v>0.99777130000000003</v>
      </c>
      <c r="N1063">
        <v>-1.350604E-2</v>
      </c>
      <c r="O1063">
        <v>-6.5344689999999997E-2</v>
      </c>
      <c r="P1063">
        <v>0.86316879999999996</v>
      </c>
      <c r="Q1063">
        <v>-0.13441349999999999</v>
      </c>
      <c r="R1063">
        <v>-0.48669620000000002</v>
      </c>
      <c r="S1063">
        <v>2.3583829999999999</v>
      </c>
      <c r="T1063">
        <v>-0.21791669999999999</v>
      </c>
      <c r="U1063">
        <v>-1.9312130000000001</v>
      </c>
      <c r="V1063">
        <v>0.4286237</v>
      </c>
      <c r="W1063">
        <v>-0.1245047</v>
      </c>
      <c r="X1063">
        <v>0.89486330000000003</v>
      </c>
      <c r="Y1063">
        <v>0.579978199999999</v>
      </c>
      <c r="Z1063">
        <v>-2.3314029999999999E-2</v>
      </c>
      <c r="AA1063">
        <v>0.81429830000000003</v>
      </c>
      <c r="AB1063">
        <v>20</v>
      </c>
      <c r="AC1063">
        <v>11.9064</v>
      </c>
      <c r="AD1063">
        <v>-1.1188267326569901</v>
      </c>
      <c r="AE1063">
        <v>-9.8989999999999991</v>
      </c>
      <c r="AF1063">
        <v>9.0524845209780693</v>
      </c>
      <c r="AG1063">
        <v>-1.1188267326569901</v>
      </c>
      <c r="AH1063">
        <v>12.462785031943801</v>
      </c>
      <c r="AI1063">
        <v>94.154353339458297</v>
      </c>
      <c r="AJ1063">
        <v>54.006797391425899</v>
      </c>
      <c r="AK1063">
        <v>15.444101139681001</v>
      </c>
      <c r="AL1063">
        <v>97.1521536600264</v>
      </c>
      <c r="AM1063">
        <v>64.406403053484794</v>
      </c>
      <c r="AN1063">
        <v>1.00000001110533</v>
      </c>
    </row>
    <row r="1064" spans="1:40" x14ac:dyDescent="0.25">
      <c r="A1064" t="str">
        <f>"20190303154440453"</f>
        <v>20190303154440453</v>
      </c>
      <c r="B1064" t="str">
        <f>"1551599080441064"</f>
        <v>1551599080441064</v>
      </c>
      <c r="C1064" t="s">
        <v>40</v>
      </c>
      <c r="D1064">
        <v>5.2458669999999996</v>
      </c>
      <c r="E1064">
        <v>0.5665983</v>
      </c>
      <c r="F1064" t="s">
        <v>50</v>
      </c>
      <c r="G1064">
        <v>-197.62710000000001</v>
      </c>
      <c r="H1064" s="1">
        <v>-5.8053400000000004E-6</v>
      </c>
      <c r="I1064">
        <v>357.58940000000001</v>
      </c>
      <c r="J1064">
        <v>-209.19390000000001</v>
      </c>
      <c r="K1064">
        <v>1.1187579999999999</v>
      </c>
      <c r="L1064">
        <v>367.32389999999998</v>
      </c>
      <c r="M1064">
        <v>0.99752890000000005</v>
      </c>
      <c r="N1064">
        <v>-1.3518840000000001E-2</v>
      </c>
      <c r="O1064">
        <v>-6.894583E-2</v>
      </c>
      <c r="P1064">
        <v>0.85907809999999996</v>
      </c>
      <c r="Q1064">
        <v>-0.1352844</v>
      </c>
      <c r="R1064">
        <v>-0.49364269999999999</v>
      </c>
      <c r="S1064">
        <v>2.3444820000000002</v>
      </c>
      <c r="T1064">
        <v>-0.22309290000000001</v>
      </c>
      <c r="U1064">
        <v>-1.9443969999999999</v>
      </c>
      <c r="V1064">
        <v>0.43258780000000002</v>
      </c>
      <c r="W1064">
        <v>-0.12547069999999999</v>
      </c>
      <c r="X1064">
        <v>0.89281849999999996</v>
      </c>
      <c r="Y1064">
        <v>0.58204350000000005</v>
      </c>
      <c r="Z1064">
        <v>-2.366265E-2</v>
      </c>
      <c r="AA1064">
        <v>0.81281329999999996</v>
      </c>
      <c r="AB1064">
        <v>20</v>
      </c>
      <c r="AC1064">
        <v>11.566800000000001</v>
      </c>
      <c r="AD1064">
        <v>-1.11876380534</v>
      </c>
      <c r="AE1064">
        <v>-9.7344999999999597</v>
      </c>
      <c r="AF1064">
        <v>8.8652268758686894</v>
      </c>
      <c r="AG1064">
        <v>-1.11876380534</v>
      </c>
      <c r="AH1064">
        <v>12.1439801595492</v>
      </c>
      <c r="AI1064">
        <v>94.255410248468294</v>
      </c>
      <c r="AJ1064">
        <v>53.870182332249001</v>
      </c>
      <c r="AK1064">
        <v>15.0771394544286</v>
      </c>
      <c r="AL1064">
        <v>97.207939006093994</v>
      </c>
      <c r="AM1064">
        <v>64.148915921694396</v>
      </c>
      <c r="AN1064">
        <v>0.99999998760478903</v>
      </c>
    </row>
    <row r="1065" spans="1:40" x14ac:dyDescent="0.25">
      <c r="A1065" t="str">
        <f>"20190303154440475"</f>
        <v>20190303154440475</v>
      </c>
      <c r="B1065" t="str">
        <f>"1551599080471319"</f>
        <v>1551599080471319</v>
      </c>
      <c r="C1065" t="s">
        <v>40</v>
      </c>
      <c r="D1065">
        <v>5.3542389999999997</v>
      </c>
      <c r="E1065">
        <v>0.56479780000000002</v>
      </c>
      <c r="F1065" t="s">
        <v>50</v>
      </c>
      <c r="G1065">
        <v>-197.86259999999999</v>
      </c>
      <c r="H1065" s="1">
        <v>-5.9196759999999996E-6</v>
      </c>
      <c r="I1065">
        <v>357.82100000000003</v>
      </c>
      <c r="J1065">
        <v>-209.00190000000001</v>
      </c>
      <c r="K1065">
        <v>1.118703</v>
      </c>
      <c r="L1065">
        <v>367.30630000000002</v>
      </c>
      <c r="M1065">
        <v>0.99726409999999999</v>
      </c>
      <c r="N1065">
        <v>-1.353062E-2</v>
      </c>
      <c r="O1065">
        <v>-7.2671059999999996E-2</v>
      </c>
      <c r="P1065">
        <v>0.85526999999999997</v>
      </c>
      <c r="Q1065">
        <v>-0.13588939999999999</v>
      </c>
      <c r="R1065">
        <v>-0.50004700000000002</v>
      </c>
      <c r="S1065">
        <v>2.3320470000000002</v>
      </c>
      <c r="T1065">
        <v>-0.2302477</v>
      </c>
      <c r="U1065">
        <v>-1.9557500000000001</v>
      </c>
      <c r="V1065">
        <v>0.4359034</v>
      </c>
      <c r="W1065">
        <v>-0.1261544</v>
      </c>
      <c r="X1065">
        <v>0.89110789999999995</v>
      </c>
      <c r="Y1065">
        <v>0.58335999999999999</v>
      </c>
      <c r="Z1065">
        <v>-2.4111460000000001E-2</v>
      </c>
      <c r="AA1065">
        <v>0.81185569999999996</v>
      </c>
      <c r="AB1065">
        <v>20</v>
      </c>
      <c r="AC1065">
        <v>11.1393</v>
      </c>
      <c r="AD1065">
        <v>-1.1187089196760001</v>
      </c>
      <c r="AE1065">
        <v>-9.4853000000000502</v>
      </c>
      <c r="AF1065">
        <v>8.6003535259269608</v>
      </c>
      <c r="AG1065">
        <v>-1.1187089196760001</v>
      </c>
      <c r="AH1065">
        <v>11.7306266731463</v>
      </c>
      <c r="AI1065">
        <v>94.397995475197902</v>
      </c>
      <c r="AJ1065">
        <v>53.752852021619603</v>
      </c>
      <c r="AK1065">
        <v>14.5885294859563</v>
      </c>
      <c r="AL1065">
        <v>97.247425816878803</v>
      </c>
      <c r="AM1065">
        <v>63.933498973010202</v>
      </c>
      <c r="AN1065">
        <v>0.99999999810666496</v>
      </c>
    </row>
    <row r="1066" spans="1:40" x14ac:dyDescent="0.25">
      <c r="A1066" t="str">
        <f>"20190303154440497"</f>
        <v>20190303154440497</v>
      </c>
      <c r="B1066" t="str">
        <f>"1551599080491815"</f>
        <v>1551599080491815</v>
      </c>
      <c r="C1066" t="s">
        <v>40</v>
      </c>
      <c r="D1066">
        <v>5.3462889999999996</v>
      </c>
      <c r="E1066">
        <v>0.56272939999999905</v>
      </c>
      <c r="F1066" t="s">
        <v>50</v>
      </c>
      <c r="G1066">
        <v>-198.31720000000001</v>
      </c>
      <c r="H1066" s="1">
        <v>-6.1493529999999997E-6</v>
      </c>
      <c r="I1066">
        <v>358.29500000000002</v>
      </c>
      <c r="J1066">
        <v>-208.8083</v>
      </c>
      <c r="K1066">
        <v>1.118663</v>
      </c>
      <c r="L1066">
        <v>367.28769999999997</v>
      </c>
      <c r="M1066">
        <v>0.99697599999999997</v>
      </c>
      <c r="N1066">
        <v>-1.3541930000000001E-2</v>
      </c>
      <c r="O1066">
        <v>-7.6520370000000004E-2</v>
      </c>
      <c r="P1066">
        <v>0.851863699999999</v>
      </c>
      <c r="Q1066">
        <v>-0.13564309999999999</v>
      </c>
      <c r="R1066">
        <v>-0.50589470000000003</v>
      </c>
      <c r="S1066">
        <v>2.3233640000000002</v>
      </c>
      <c r="T1066">
        <v>-0.24326010000000001</v>
      </c>
      <c r="U1066">
        <v>-1.959473</v>
      </c>
      <c r="V1066">
        <v>0.43854700000000002</v>
      </c>
      <c r="W1066">
        <v>-0.12597179999999999</v>
      </c>
      <c r="X1066">
        <v>0.88983579999999995</v>
      </c>
      <c r="Y1066">
        <v>0.5822986</v>
      </c>
      <c r="Z1066">
        <v>-2.487176E-2</v>
      </c>
      <c r="AA1066">
        <v>0.8125945</v>
      </c>
      <c r="AB1066">
        <v>20</v>
      </c>
      <c r="AC1066">
        <v>10.4910999999999</v>
      </c>
      <c r="AD1066">
        <v>-1.1186691493530001</v>
      </c>
      <c r="AE1066">
        <v>-8.9926999999999495</v>
      </c>
      <c r="AF1066">
        <v>8.1103149331938695</v>
      </c>
      <c r="AG1066">
        <v>-1.1186691493530001</v>
      </c>
      <c r="AH1066">
        <v>11.0759277736801</v>
      </c>
      <c r="AI1066">
        <v>94.658689548391706</v>
      </c>
      <c r="AJ1066">
        <v>53.786658564933099</v>
      </c>
      <c r="AK1066">
        <v>13.7733367427461</v>
      </c>
      <c r="AL1066">
        <v>97.236879033311098</v>
      </c>
      <c r="AM1066">
        <v>63.764061262120997</v>
      </c>
      <c r="AN1066">
        <v>1.00000005828293</v>
      </c>
    </row>
    <row r="1067" spans="1:40" x14ac:dyDescent="0.25">
      <c r="A1067" t="str">
        <f>"20190303154440520"</f>
        <v>20190303154440520</v>
      </c>
      <c r="B1067" t="str">
        <f>"1551599080511335"</f>
        <v>1551599080511335</v>
      </c>
      <c r="C1067" t="s">
        <v>40</v>
      </c>
      <c r="D1067">
        <v>5.4806660000000003</v>
      </c>
      <c r="E1067">
        <v>0.56083950000000005</v>
      </c>
      <c r="F1067" t="s">
        <v>50</v>
      </c>
      <c r="G1067">
        <v>-198.75360000000001</v>
      </c>
      <c r="H1067" s="1">
        <v>-6.3800050000000003E-6</v>
      </c>
      <c r="I1067">
        <v>358.78050000000002</v>
      </c>
      <c r="J1067">
        <v>-208.61099999999999</v>
      </c>
      <c r="K1067">
        <v>1.11863</v>
      </c>
      <c r="L1067">
        <v>367.26780000000002</v>
      </c>
      <c r="M1067">
        <v>0.9966604</v>
      </c>
      <c r="N1067">
        <v>-1.3552389999999999E-2</v>
      </c>
      <c r="O1067">
        <v>-8.052666E-2</v>
      </c>
      <c r="P1067">
        <v>0.84969479999999997</v>
      </c>
      <c r="Q1067">
        <v>-0.1342641</v>
      </c>
      <c r="R1067">
        <v>-0.50989410000000002</v>
      </c>
      <c r="S1067">
        <v>2.3166199999999999</v>
      </c>
      <c r="T1067">
        <v>-0.2577411</v>
      </c>
      <c r="U1067">
        <v>-1.9600519999999999</v>
      </c>
      <c r="V1067">
        <v>0.43913249999999998</v>
      </c>
      <c r="W1067">
        <v>-0.1246246</v>
      </c>
      <c r="X1067">
        <v>0.88973670000000005</v>
      </c>
      <c r="Y1067">
        <v>0.58011140000000005</v>
      </c>
      <c r="Z1067">
        <v>-2.5625660000000001E-2</v>
      </c>
      <c r="AA1067">
        <v>0.81413389999999997</v>
      </c>
      <c r="AB1067">
        <v>19</v>
      </c>
      <c r="AC1067">
        <v>9.8573999999999806</v>
      </c>
      <c r="AD1067">
        <v>-1.1186363800049901</v>
      </c>
      <c r="AE1067">
        <v>-8.4872999999999994</v>
      </c>
      <c r="AF1067">
        <v>7.6095984915114698</v>
      </c>
      <c r="AG1067">
        <v>-1.1186363800049901</v>
      </c>
      <c r="AH1067">
        <v>10.431749810988499</v>
      </c>
      <c r="AI1067">
        <v>94.951366778165905</v>
      </c>
      <c r="AJ1067">
        <v>53.890550263849299</v>
      </c>
      <c r="AK1067">
        <v>12.9606612744776</v>
      </c>
      <c r="AL1067">
        <v>97.159077289390893</v>
      </c>
      <c r="AM1067">
        <v>63.731204294103698</v>
      </c>
      <c r="AN1067">
        <v>1.0000000194041401</v>
      </c>
    </row>
    <row r="1068" spans="1:40" x14ac:dyDescent="0.25">
      <c r="A1068" t="str">
        <f>"20190303154440543"</f>
        <v>20190303154440543</v>
      </c>
      <c r="B1068" t="str">
        <f>"1551599080531832"</f>
        <v>1551599080531832</v>
      </c>
      <c r="C1068" t="s">
        <v>40</v>
      </c>
      <c r="D1068">
        <v>5.3961649999999999</v>
      </c>
      <c r="E1068">
        <v>0.55950149999999998</v>
      </c>
      <c r="F1068" t="s">
        <v>50</v>
      </c>
      <c r="G1068">
        <v>-198.81039999999999</v>
      </c>
      <c r="H1068" s="1">
        <v>-6.4564139999999997E-6</v>
      </c>
      <c r="I1068">
        <v>358.98219999999998</v>
      </c>
      <c r="J1068">
        <v>-208.4111</v>
      </c>
      <c r="K1068">
        <v>1.118598</v>
      </c>
      <c r="L1068">
        <v>367.24669999999998</v>
      </c>
      <c r="M1068">
        <v>0.99631700000000001</v>
      </c>
      <c r="N1068">
        <v>-1.356155E-2</v>
      </c>
      <c r="O1068">
        <v>-8.4667790000000007E-2</v>
      </c>
      <c r="P1068">
        <v>0.84770119999999904</v>
      </c>
      <c r="Q1068">
        <v>-0.13298699999999999</v>
      </c>
      <c r="R1068">
        <v>-0.51353420000000005</v>
      </c>
      <c r="S1068">
        <v>2.314651</v>
      </c>
      <c r="T1068">
        <v>-0.26419350000000003</v>
      </c>
      <c r="U1068">
        <v>-1.9568479999999999</v>
      </c>
      <c r="V1068">
        <v>0.43923190000000001</v>
      </c>
      <c r="W1068">
        <v>-0.12337089999999901</v>
      </c>
      <c r="X1068">
        <v>0.88986229999999999</v>
      </c>
      <c r="Y1068">
        <v>0.57633619999999997</v>
      </c>
      <c r="Z1068">
        <v>-2.5587209999999999E-2</v>
      </c>
      <c r="AA1068">
        <v>0.81681199999999998</v>
      </c>
      <c r="AB1068">
        <v>19</v>
      </c>
      <c r="AC1068">
        <v>9.6007000000000104</v>
      </c>
      <c r="AD1068">
        <v>-1.1186044564139901</v>
      </c>
      <c r="AE1068">
        <v>-8.2644999999999893</v>
      </c>
      <c r="AF1068">
        <v>7.36445101592426</v>
      </c>
      <c r="AG1068">
        <v>-1.1186044564139901</v>
      </c>
      <c r="AH1068">
        <v>10.1865930761586</v>
      </c>
      <c r="AI1068">
        <v>95.085405690309898</v>
      </c>
      <c r="AJ1068">
        <v>54.1347543440381</v>
      </c>
      <c r="AK1068">
        <v>12.619552020380899</v>
      </c>
      <c r="AL1068">
        <v>97.086687196470095</v>
      </c>
      <c r="AM1068">
        <v>63.729267435495601</v>
      </c>
      <c r="AN1068">
        <v>0.99999997695285403</v>
      </c>
    </row>
    <row r="1069" spans="1:40" x14ac:dyDescent="0.25">
      <c r="A1069" t="str">
        <f>"20190303154440565"</f>
        <v>20190303154440565</v>
      </c>
      <c r="B1069" t="str">
        <f>"1551599080561111"</f>
        <v>1551599080561111</v>
      </c>
      <c r="C1069" t="s">
        <v>40</v>
      </c>
      <c r="D1069">
        <v>5.4075569999999997</v>
      </c>
      <c r="E1069">
        <v>0.5579075</v>
      </c>
      <c r="F1069" t="s">
        <v>50</v>
      </c>
      <c r="G1069">
        <v>-198.74180000000001</v>
      </c>
      <c r="H1069" s="1">
        <v>-6.4719669999999998E-6</v>
      </c>
      <c r="I1069">
        <v>359.0607</v>
      </c>
      <c r="J1069">
        <v>-208.22329999999999</v>
      </c>
      <c r="K1069">
        <v>1.1185590000000001</v>
      </c>
      <c r="L1069">
        <v>367.226</v>
      </c>
      <c r="M1069">
        <v>0.99597080000000004</v>
      </c>
      <c r="N1069">
        <v>-1.356922E-2</v>
      </c>
      <c r="O1069">
        <v>-8.8646290000000003E-2</v>
      </c>
      <c r="P1069">
        <v>0.84658789999999995</v>
      </c>
      <c r="Q1069">
        <v>-0.13429949999999999</v>
      </c>
      <c r="R1069">
        <v>-0.51502720000000002</v>
      </c>
      <c r="S1069">
        <v>2.3115230000000002</v>
      </c>
      <c r="T1069">
        <v>-0.26741219999999999</v>
      </c>
      <c r="U1069">
        <v>-1.9569399999999999</v>
      </c>
      <c r="V1069">
        <v>0.4372511</v>
      </c>
      <c r="W1069">
        <v>-0.1246862</v>
      </c>
      <c r="X1069">
        <v>0.890654099999999</v>
      </c>
      <c r="Y1069">
        <v>0.57360999999999995</v>
      </c>
      <c r="Z1069">
        <v>-2.5356630000000002E-2</v>
      </c>
      <c r="AA1069">
        <v>0.81873600000000002</v>
      </c>
      <c r="AB1069">
        <v>19</v>
      </c>
      <c r="AC1069">
        <v>9.4814999999999792</v>
      </c>
      <c r="AD1069">
        <v>-1.118565471967</v>
      </c>
      <c r="AE1069">
        <v>-8.1653000000000002</v>
      </c>
      <c r="AF1069">
        <v>7.2347571884236004</v>
      </c>
      <c r="AG1069">
        <v>-1.118565471967</v>
      </c>
      <c r="AH1069">
        <v>10.087445482695101</v>
      </c>
      <c r="AI1069">
        <v>95.148893057478801</v>
      </c>
      <c r="AJ1069">
        <v>54.351754308872998</v>
      </c>
      <c r="AK1069">
        <v>12.463926213552</v>
      </c>
      <c r="AL1069">
        <v>97.162634959044098</v>
      </c>
      <c r="AM1069">
        <v>63.852075086425899</v>
      </c>
      <c r="AN1069">
        <v>0.99999994938422798</v>
      </c>
    </row>
    <row r="1070" spans="1:40" x14ac:dyDescent="0.25">
      <c r="A1070" t="str">
        <f>"20190303154440586"</f>
        <v>20190303154440586</v>
      </c>
      <c r="B1070" t="str">
        <f>"1551599080581607"</f>
        <v>1551599080581607</v>
      </c>
      <c r="C1070" t="s">
        <v>40</v>
      </c>
      <c r="D1070">
        <v>5.3934179999999996</v>
      </c>
      <c r="E1070">
        <v>0.55695919999999999</v>
      </c>
      <c r="F1070" t="s">
        <v>50</v>
      </c>
      <c r="G1070">
        <v>-199.0153</v>
      </c>
      <c r="H1070" s="1">
        <v>-6.651264E-6</v>
      </c>
      <c r="I1070">
        <v>359.46870000000001</v>
      </c>
      <c r="J1070">
        <v>-208.03550000000001</v>
      </c>
      <c r="K1070">
        <v>1.118498</v>
      </c>
      <c r="L1070">
        <v>367.2045</v>
      </c>
      <c r="M1070">
        <v>0.99560179999999998</v>
      </c>
      <c r="N1070">
        <v>-1.357656E-2</v>
      </c>
      <c r="O1070">
        <v>-9.2696470000000003E-2</v>
      </c>
      <c r="P1070">
        <v>0.84478229999999999</v>
      </c>
      <c r="Q1070">
        <v>-0.1386648</v>
      </c>
      <c r="R1070">
        <v>-0.51683179999999995</v>
      </c>
      <c r="S1070">
        <v>2.3133849999999998</v>
      </c>
      <c r="T1070">
        <v>-0.28102640000000001</v>
      </c>
      <c r="U1070">
        <v>-1.948944</v>
      </c>
      <c r="V1070">
        <v>0.43556349999999999</v>
      </c>
      <c r="W1070">
        <v>-0.12906110000000001</v>
      </c>
      <c r="X1070">
        <v>0.89085789999999998</v>
      </c>
      <c r="Y1070">
        <v>0.56811809999999996</v>
      </c>
      <c r="Z1070">
        <v>-2.5672629999999998E-2</v>
      </c>
      <c r="AA1070">
        <v>0.82254649999999996</v>
      </c>
      <c r="AB1070">
        <v>19</v>
      </c>
      <c r="AC1070">
        <v>9.0202000000000098</v>
      </c>
      <c r="AD1070">
        <v>-1.118504651264</v>
      </c>
      <c r="AE1070">
        <v>-7.7357999999999798</v>
      </c>
      <c r="AF1070">
        <v>6.8059698091268297</v>
      </c>
      <c r="AG1070">
        <v>-1.118504651264</v>
      </c>
      <c r="AH1070">
        <v>9.6133315140572009</v>
      </c>
      <c r="AI1070">
        <v>95.424545666308404</v>
      </c>
      <c r="AJ1070">
        <v>54.702573797022602</v>
      </c>
      <c r="AK1070">
        <v>11.831670232761301</v>
      </c>
      <c r="AL1070">
        <v>97.415339779268507</v>
      </c>
      <c r="AM1070">
        <v>63.944793233251602</v>
      </c>
      <c r="AN1070">
        <v>1.0000000640289299</v>
      </c>
    </row>
    <row r="1071" spans="1:40" x14ac:dyDescent="0.25">
      <c r="A1071" t="str">
        <f>"20190303154440608"</f>
        <v>20190303154440608</v>
      </c>
      <c r="B1071" t="str">
        <f>"1551599080601127"</f>
        <v>1551599080601127</v>
      </c>
      <c r="C1071" t="s">
        <v>40</v>
      </c>
      <c r="D1071">
        <v>5.4234090000000004</v>
      </c>
      <c r="E1071">
        <v>0.55635659999999998</v>
      </c>
      <c r="F1071" t="s">
        <v>50</v>
      </c>
      <c r="G1071">
        <v>-199.4084</v>
      </c>
      <c r="H1071" s="1">
        <v>-1.009979E-5</v>
      </c>
      <c r="I1071">
        <v>359.93579999999997</v>
      </c>
      <c r="J1071">
        <v>-207.83789999999999</v>
      </c>
      <c r="K1071">
        <v>1.1184459999999901</v>
      </c>
      <c r="L1071">
        <v>367.18090000000001</v>
      </c>
      <c r="M1071">
        <v>0.99518689999999999</v>
      </c>
      <c r="N1071">
        <v>-1.3583949999999999E-2</v>
      </c>
      <c r="O1071">
        <v>-9.7050730000000002E-2</v>
      </c>
      <c r="P1071">
        <v>0.84289419999999904</v>
      </c>
      <c r="Q1071">
        <v>-0.142338299999999</v>
      </c>
      <c r="R1071">
        <v>-0.51891179999999903</v>
      </c>
      <c r="S1071">
        <v>2.310883</v>
      </c>
      <c r="T1071">
        <v>-0.29960720000000002</v>
      </c>
      <c r="U1071">
        <v>-1.9470209999999999</v>
      </c>
      <c r="V1071">
        <v>0.43389329999999998</v>
      </c>
      <c r="W1071">
        <v>-0.13274739999999999</v>
      </c>
      <c r="X1071">
        <v>0.89113120000000001</v>
      </c>
      <c r="Y1071">
        <v>0.56428710000000004</v>
      </c>
      <c r="Z1071">
        <v>-2.6357269999999999E-2</v>
      </c>
      <c r="AA1071">
        <v>0.82515780000000005</v>
      </c>
      <c r="AB1071">
        <v>19</v>
      </c>
      <c r="AC1071">
        <v>8.4294999999999902</v>
      </c>
      <c r="AD1071">
        <v>-1.1184560997899999</v>
      </c>
      <c r="AE1071">
        <v>-7.2451000000000301</v>
      </c>
      <c r="AF1071">
        <v>6.3286495871831496</v>
      </c>
      <c r="AG1071">
        <v>-1.1184560997899999</v>
      </c>
      <c r="AH1071">
        <v>9.0017632754400001</v>
      </c>
      <c r="AI1071">
        <v>95.803768200721706</v>
      </c>
      <c r="AJ1071">
        <v>54.891035208973101</v>
      </c>
      <c r="AK1071">
        <v>11.060492381063799</v>
      </c>
      <c r="AL1071">
        <v>97.628382725848496</v>
      </c>
      <c r="AM1071">
        <v>64.038470310891796</v>
      </c>
      <c r="AN1071">
        <v>1.0000000418025401</v>
      </c>
    </row>
    <row r="1072" spans="1:40" x14ac:dyDescent="0.25">
      <c r="A1072" t="str">
        <f>"20190303154440632"</f>
        <v>20190303154440632</v>
      </c>
      <c r="B1072" t="str">
        <f>"1551599080621623"</f>
        <v>1551599080621623</v>
      </c>
      <c r="C1072" t="s">
        <v>40</v>
      </c>
      <c r="D1072">
        <v>5.3942100000000002</v>
      </c>
      <c r="E1072">
        <v>0.55576630000000005</v>
      </c>
      <c r="F1072" t="s">
        <v>50</v>
      </c>
      <c r="G1072">
        <v>-199.74160000000001</v>
      </c>
      <c r="H1072" s="1">
        <v>-1.0159220000000001E-5</v>
      </c>
      <c r="I1072">
        <v>360.34309999999999</v>
      </c>
      <c r="J1072">
        <v>-207.64019999999999</v>
      </c>
      <c r="K1072">
        <v>1.1184099999999999</v>
      </c>
      <c r="L1072">
        <v>367.15640000000002</v>
      </c>
      <c r="M1072">
        <v>0.9947414</v>
      </c>
      <c r="N1072">
        <v>-1.359147E-2</v>
      </c>
      <c r="O1072">
        <v>-0.10151250000000001</v>
      </c>
      <c r="P1072">
        <v>0.84170929999999999</v>
      </c>
      <c r="Q1072">
        <v>-0.141708</v>
      </c>
      <c r="R1072">
        <v>-0.52100340000000001</v>
      </c>
      <c r="S1072">
        <v>2.306244</v>
      </c>
      <c r="T1072">
        <v>-0.31859589999999999</v>
      </c>
      <c r="U1072">
        <v>-1.947784</v>
      </c>
      <c r="V1072">
        <v>0.43209239999999999</v>
      </c>
      <c r="W1072">
        <v>-0.13212989999999999</v>
      </c>
      <c r="X1072">
        <v>0.89209749999999999</v>
      </c>
      <c r="Y1072">
        <v>0.56127299999999902</v>
      </c>
      <c r="Z1072">
        <v>-2.7037749999999999E-2</v>
      </c>
      <c r="AA1072">
        <v>0.82718899999999995</v>
      </c>
      <c r="AB1072">
        <v>19</v>
      </c>
      <c r="AC1072">
        <v>7.8985999999999796</v>
      </c>
      <c r="AD1072">
        <v>-1.11842015922</v>
      </c>
      <c r="AE1072">
        <v>-6.8133000000000203</v>
      </c>
      <c r="AF1072">
        <v>5.90829550210678</v>
      </c>
      <c r="AG1072">
        <v>-1.11842015922</v>
      </c>
      <c r="AH1072">
        <v>8.4523217866877207</v>
      </c>
      <c r="AI1072">
        <v>96.189640240411507</v>
      </c>
      <c r="AJ1072">
        <v>55.045893250039697</v>
      </c>
      <c r="AK1072">
        <v>10.373069120490801</v>
      </c>
      <c r="AL1072">
        <v>97.592688086048199</v>
      </c>
      <c r="AM1072">
        <v>64.156513794526703</v>
      </c>
      <c r="AN1072">
        <v>1.0000000510589999</v>
      </c>
    </row>
    <row r="1073" spans="1:40" x14ac:dyDescent="0.25">
      <c r="A1073" t="str">
        <f>"20190303154440654"</f>
        <v>20190303154440654</v>
      </c>
      <c r="B1073" t="str">
        <f>"1551599080651879"</f>
        <v>1551599080651879</v>
      </c>
      <c r="C1073" t="s">
        <v>40</v>
      </c>
      <c r="D1073">
        <v>5.3038080000000001</v>
      </c>
      <c r="E1073">
        <v>0.55603459999999905</v>
      </c>
      <c r="F1073" t="s">
        <v>50</v>
      </c>
      <c r="G1073">
        <v>-199.66399999999999</v>
      </c>
      <c r="H1073" s="1">
        <v>-1.01219E-5</v>
      </c>
      <c r="I1073">
        <v>360.40660000000003</v>
      </c>
      <c r="J1073">
        <v>-207.44489999999999</v>
      </c>
      <c r="K1073">
        <v>1.118374</v>
      </c>
      <c r="L1073">
        <v>367.1311</v>
      </c>
      <c r="M1073">
        <v>0.99426789999999998</v>
      </c>
      <c r="N1073">
        <v>-1.359959E-2</v>
      </c>
      <c r="O1073">
        <v>-0.1060493</v>
      </c>
      <c r="P1073">
        <v>0.84141169999999998</v>
      </c>
      <c r="Q1073">
        <v>-0.13872599999999999</v>
      </c>
      <c r="R1073">
        <v>-0.52228490000000005</v>
      </c>
      <c r="S1073">
        <v>2.303299</v>
      </c>
      <c r="T1073">
        <v>-0.32296740000000002</v>
      </c>
      <c r="U1073">
        <v>-1.9491579999999999</v>
      </c>
      <c r="V1073">
        <v>0.42933270000000001</v>
      </c>
      <c r="W1073">
        <v>-0.12915889999999999</v>
      </c>
      <c r="X1073">
        <v>0.89386319999999997</v>
      </c>
      <c r="Y1073">
        <v>0.55827289999999996</v>
      </c>
      <c r="Z1073">
        <v>-2.6666499999999999E-2</v>
      </c>
      <c r="AA1073">
        <v>0.82922870000000004</v>
      </c>
      <c r="AB1073">
        <v>19</v>
      </c>
      <c r="AC1073">
        <v>7.7808999999999697</v>
      </c>
      <c r="AD1073">
        <v>-1.1183841218999999</v>
      </c>
      <c r="AE1073">
        <v>-6.7244999999999697</v>
      </c>
      <c r="AF1073">
        <v>5.7928286466090704</v>
      </c>
      <c r="AG1073">
        <v>-1.1183841218999999</v>
      </c>
      <c r="AH1073">
        <v>8.3514407575560305</v>
      </c>
      <c r="AI1073">
        <v>96.279319753936406</v>
      </c>
      <c r="AJ1073">
        <v>55.2535755518211</v>
      </c>
      <c r="AK1073">
        <v>10.2251752796742</v>
      </c>
      <c r="AL1073">
        <v>97.420991046012205</v>
      </c>
      <c r="AM1073">
        <v>64.344494257484499</v>
      </c>
      <c r="AN1073">
        <v>1.0000000045263699</v>
      </c>
    </row>
    <row r="1074" spans="1:40" x14ac:dyDescent="0.25">
      <c r="A1074" t="str">
        <f>"20190303154440676"</f>
        <v>20190303154440676</v>
      </c>
      <c r="B1074" t="str">
        <f>"1551599080671399"</f>
        <v>1551599080671399</v>
      </c>
      <c r="C1074" t="s">
        <v>40</v>
      </c>
      <c r="D1074">
        <v>5.3178130000000001</v>
      </c>
      <c r="E1074">
        <v>0.55637040000000004</v>
      </c>
      <c r="F1074" t="s">
        <v>50</v>
      </c>
      <c r="G1074">
        <v>-199.22069999999999</v>
      </c>
      <c r="H1074" s="1">
        <v>-1.00012E-5</v>
      </c>
      <c r="I1074">
        <v>360.14510000000001</v>
      </c>
      <c r="J1074">
        <v>-207.2552</v>
      </c>
      <c r="K1074">
        <v>1.118328</v>
      </c>
      <c r="L1074">
        <v>367.10550000000001</v>
      </c>
      <c r="M1074">
        <v>0.99377329999999997</v>
      </c>
      <c r="N1074">
        <v>-1.3608530000000001E-2</v>
      </c>
      <c r="O1074">
        <v>-0.1105874</v>
      </c>
      <c r="P1074">
        <v>0.84206130000000001</v>
      </c>
      <c r="Q1074">
        <v>-0.13433220000000001</v>
      </c>
      <c r="R1074">
        <v>-0.52238640000000003</v>
      </c>
      <c r="S1074">
        <v>2.300735</v>
      </c>
      <c r="T1074">
        <v>-0.31287100000000001</v>
      </c>
      <c r="U1074">
        <v>-1.9543459999999999</v>
      </c>
      <c r="V1074">
        <v>0.4252901</v>
      </c>
      <c r="W1074">
        <v>-0.1247709</v>
      </c>
      <c r="X1074">
        <v>0.89641539999999997</v>
      </c>
      <c r="Y1074">
        <v>0.55624130000000005</v>
      </c>
      <c r="Z1074">
        <v>-2.542181E-2</v>
      </c>
      <c r="AA1074">
        <v>0.83063189999999998</v>
      </c>
      <c r="AB1074">
        <v>19</v>
      </c>
      <c r="AC1074">
        <v>8.0344999999999995</v>
      </c>
      <c r="AD1074">
        <v>-1.1183380011999999</v>
      </c>
      <c r="AE1074">
        <v>-6.9603999999999902</v>
      </c>
      <c r="AF1074">
        <v>5.9631038888238104</v>
      </c>
      <c r="AG1074">
        <v>-1.1183380011999999</v>
      </c>
      <c r="AH1074">
        <v>8.6591751048639498</v>
      </c>
      <c r="AI1074">
        <v>96.0716426652575</v>
      </c>
      <c r="AJ1074">
        <v>55.4469249263907</v>
      </c>
      <c r="AK1074">
        <v>10.573107460464399</v>
      </c>
      <c r="AL1074">
        <v>97.167525684926304</v>
      </c>
      <c r="AM1074">
        <v>64.618739038461101</v>
      </c>
      <c r="AN1074">
        <v>1.0000000080009901</v>
      </c>
    </row>
    <row r="1075" spans="1:40" x14ac:dyDescent="0.25">
      <c r="A1075" t="str">
        <f>"20190303154440698"</f>
        <v>20190303154440698</v>
      </c>
      <c r="B1075" t="str">
        <f>"1551599080691899"</f>
        <v>1551599080691899</v>
      </c>
      <c r="C1075" t="s">
        <v>40</v>
      </c>
      <c r="D1075">
        <v>5.3502239999999999</v>
      </c>
      <c r="E1075">
        <v>0.55665669999999901</v>
      </c>
      <c r="F1075" t="s">
        <v>50</v>
      </c>
      <c r="G1075">
        <v>-198.60480000000001</v>
      </c>
      <c r="H1075" s="1">
        <v>-9.8466080000000001E-6</v>
      </c>
      <c r="I1075">
        <v>359.75080000000003</v>
      </c>
      <c r="J1075">
        <v>-207.0635</v>
      </c>
      <c r="K1075">
        <v>1.1182510000000001</v>
      </c>
      <c r="L1075">
        <v>367.07859999999999</v>
      </c>
      <c r="M1075">
        <v>0.99323470000000003</v>
      </c>
      <c r="N1075">
        <v>-1.361856E-2</v>
      </c>
      <c r="O1075">
        <v>-0.1153228</v>
      </c>
      <c r="P1075">
        <v>0.84175999999999995</v>
      </c>
      <c r="Q1075">
        <v>-0.13199839999999999</v>
      </c>
      <c r="R1075">
        <v>-0.52346559999999998</v>
      </c>
      <c r="S1075">
        <v>2.3013759999999999</v>
      </c>
      <c r="T1075">
        <v>-0.29752410000000001</v>
      </c>
      <c r="U1075">
        <v>-1.9566650000000001</v>
      </c>
      <c r="V1075">
        <v>0.42211739999999998</v>
      </c>
      <c r="W1075">
        <v>-0.1224698</v>
      </c>
      <c r="X1075">
        <v>0.89823059999999999</v>
      </c>
      <c r="Y1075">
        <v>0.55294699999999997</v>
      </c>
      <c r="Z1075">
        <v>-2.3784429999999999E-2</v>
      </c>
      <c r="AA1075">
        <v>0.83287690000000003</v>
      </c>
      <c r="AB1075">
        <v>19</v>
      </c>
      <c r="AC1075">
        <v>8.4586999999999897</v>
      </c>
      <c r="AD1075">
        <v>-1.118260846608</v>
      </c>
      <c r="AE1075">
        <v>-7.3277999999999599</v>
      </c>
      <c r="AF1075">
        <v>6.2410161413857397</v>
      </c>
      <c r="AG1075">
        <v>-1.118260846608</v>
      </c>
      <c r="AH1075">
        <v>9.1559775868742292</v>
      </c>
      <c r="AI1075">
        <v>95.762754305204993</v>
      </c>
      <c r="AJ1075">
        <v>55.720368080132999</v>
      </c>
      <c r="AK1075">
        <v>11.136997592234501</v>
      </c>
      <c r="AL1075">
        <v>97.034662710537404</v>
      </c>
      <c r="AM1075">
        <v>64.8291391493389</v>
      </c>
      <c r="AN1075">
        <v>1.00000008103557</v>
      </c>
    </row>
    <row r="1076" spans="1:40" x14ac:dyDescent="0.25">
      <c r="A1076" t="str">
        <f>"20190303154440720"</f>
        <v>20190303154440720</v>
      </c>
      <c r="B1076" t="str">
        <f>"1551599080711415"</f>
        <v>1551599080711415</v>
      </c>
      <c r="C1076" t="s">
        <v>40</v>
      </c>
      <c r="D1076">
        <v>5.3589729999999998</v>
      </c>
      <c r="E1076">
        <v>0.53321339999999995</v>
      </c>
      <c r="F1076" t="s">
        <v>50</v>
      </c>
      <c r="G1076">
        <v>-198.17670000000001</v>
      </c>
      <c r="H1076" s="1">
        <v>-6.5297640000000004E-6</v>
      </c>
      <c r="I1076">
        <v>359.49700000000001</v>
      </c>
      <c r="J1076">
        <v>-206.8783</v>
      </c>
      <c r="K1076">
        <v>1.11817099999999</v>
      </c>
      <c r="L1076">
        <v>367.05149999999998</v>
      </c>
      <c r="M1076">
        <v>0.99267380000000005</v>
      </c>
      <c r="N1076">
        <v>-1.3628929999999999E-2</v>
      </c>
      <c r="O1076">
        <v>-0.120055</v>
      </c>
      <c r="P1076">
        <v>0.84047719999999904</v>
      </c>
      <c r="Q1076">
        <v>-0.13127449999999999</v>
      </c>
      <c r="R1076">
        <v>-0.52570479999999997</v>
      </c>
      <c r="S1076">
        <v>2.2989350000000002</v>
      </c>
      <c r="T1076">
        <v>-0.28928179999999998</v>
      </c>
      <c r="U1076">
        <v>-1.961273</v>
      </c>
      <c r="V1076">
        <v>0.42019620000000002</v>
      </c>
      <c r="W1076">
        <v>-0.12179909999999999</v>
      </c>
      <c r="X1076">
        <v>0.89922199999999997</v>
      </c>
      <c r="Y1076">
        <v>0.5505428</v>
      </c>
      <c r="Z1076">
        <v>-2.270401E-2</v>
      </c>
      <c r="AA1076">
        <v>0.83449819999999997</v>
      </c>
      <c r="AB1076">
        <v>19</v>
      </c>
      <c r="AC1076">
        <v>8.7015999999999796</v>
      </c>
      <c r="AD1076">
        <v>-1.11817752976399</v>
      </c>
      <c r="AE1076">
        <v>-7.5545000000000098</v>
      </c>
      <c r="AF1076">
        <v>6.3948690236757599</v>
      </c>
      <c r="AG1076">
        <v>-1.11817752976399</v>
      </c>
      <c r="AH1076">
        <v>9.4566485307171799</v>
      </c>
      <c r="AI1076">
        <v>95.594231907145797</v>
      </c>
      <c r="AJ1076">
        <v>55.932264523745097</v>
      </c>
      <c r="AK1076">
        <v>11.4705218822664</v>
      </c>
      <c r="AL1076">
        <v>96.9959448875276</v>
      </c>
      <c r="AM1076">
        <v>64.953851322285999</v>
      </c>
      <c r="AN1076">
        <v>1.00000003626962</v>
      </c>
    </row>
    <row r="1077" spans="1:40" x14ac:dyDescent="0.25">
      <c r="A1077" t="str">
        <f>"20190303154440743"</f>
        <v>20190303154440743</v>
      </c>
      <c r="B1077" t="str">
        <f>"1551599080731911"</f>
        <v>1551599080731911</v>
      </c>
      <c r="C1077" t="s">
        <v>40</v>
      </c>
      <c r="D1077">
        <v>5.2200680000000004</v>
      </c>
      <c r="E1077">
        <v>0.52828310000000001</v>
      </c>
      <c r="F1077" t="s">
        <v>50</v>
      </c>
      <c r="G1077">
        <v>-198.30439999999999</v>
      </c>
      <c r="H1077" s="1">
        <v>-9.6134280000000001E-6</v>
      </c>
      <c r="I1077">
        <v>360.5686</v>
      </c>
      <c r="J1077">
        <v>-206.68270000000001</v>
      </c>
      <c r="K1077">
        <v>1.1180859999999999</v>
      </c>
      <c r="L1077">
        <v>367.02170000000001</v>
      </c>
      <c r="M1077">
        <v>0.99203430000000004</v>
      </c>
      <c r="N1077">
        <v>-1.364026E-2</v>
      </c>
      <c r="O1077">
        <v>-0.12522739999999999</v>
      </c>
      <c r="P1077">
        <v>0.83865049999999997</v>
      </c>
      <c r="Q1077">
        <v>-0.13090309999999999</v>
      </c>
      <c r="R1077">
        <v>-0.52870600000000001</v>
      </c>
      <c r="S1077">
        <v>2.3902739999999998</v>
      </c>
      <c r="T1077">
        <v>-0.31173379999999901</v>
      </c>
      <c r="U1077">
        <v>-1.8073429999999999</v>
      </c>
      <c r="V1077">
        <v>0.41869430000000002</v>
      </c>
      <c r="W1077">
        <v>-0.12149</v>
      </c>
      <c r="X1077">
        <v>0.89996399999999999</v>
      </c>
      <c r="Y1077">
        <v>0.49598969999999998</v>
      </c>
      <c r="Z1077">
        <v>-1.965244E-2</v>
      </c>
      <c r="AA1077">
        <v>0.86810599999999905</v>
      </c>
      <c r="AB1077">
        <v>19</v>
      </c>
      <c r="AC1077">
        <v>8.3783000000000207</v>
      </c>
      <c r="AD1077">
        <v>-1.118095613428</v>
      </c>
      <c r="AE1077">
        <v>-6.4531000000000001</v>
      </c>
      <c r="AF1077">
        <v>5.29382701182824</v>
      </c>
      <c r="AG1077">
        <v>-1.118095613428</v>
      </c>
      <c r="AH1077">
        <v>9.0196916054574601</v>
      </c>
      <c r="AI1077">
        <v>96.102212025355897</v>
      </c>
      <c r="AJ1077">
        <v>59.590524176069898</v>
      </c>
      <c r="AK1077">
        <v>10.5180596542085</v>
      </c>
      <c r="AL1077">
        <v>96.978102729299707</v>
      </c>
      <c r="AM1077">
        <v>65.050526233458598</v>
      </c>
      <c r="AN1077">
        <v>0.99999996912424405</v>
      </c>
    </row>
    <row r="1078" spans="1:40" x14ac:dyDescent="0.25">
      <c r="A1078" t="str">
        <f>"20190303154440766"</f>
        <v>20190303154440766</v>
      </c>
      <c r="B1078" t="str">
        <f>"1551599080761191"</f>
        <v>1551599080761191</v>
      </c>
      <c r="C1078" t="s">
        <v>40</v>
      </c>
      <c r="D1078">
        <v>5.1549659999999999</v>
      </c>
      <c r="E1078">
        <v>0.52614869999999903</v>
      </c>
      <c r="F1078" t="s">
        <v>50</v>
      </c>
      <c r="G1078">
        <v>-196.94829999999999</v>
      </c>
      <c r="H1078" s="1">
        <v>-9.2556179999999992E-6</v>
      </c>
      <c r="I1078">
        <v>359.81189999999998</v>
      </c>
      <c r="J1078">
        <v>-206.49199999999999</v>
      </c>
      <c r="K1078">
        <v>1.1180129999999999</v>
      </c>
      <c r="L1078">
        <v>366.9914</v>
      </c>
      <c r="M1078">
        <v>0.99136120000000005</v>
      </c>
      <c r="N1078">
        <v>-1.365181E-2</v>
      </c>
      <c r="O1078">
        <v>-0.13044710000000001</v>
      </c>
      <c r="P1078">
        <v>0.83686450000000001</v>
      </c>
      <c r="Q1078">
        <v>-0.12939000000000001</v>
      </c>
      <c r="R1078">
        <v>-0.53189869999999995</v>
      </c>
      <c r="S1078">
        <v>2.409103</v>
      </c>
      <c r="T1078">
        <v>-0.27670939999999999</v>
      </c>
      <c r="U1078">
        <v>-1.7843020000000001</v>
      </c>
      <c r="V1078">
        <v>0.41734529999999997</v>
      </c>
      <c r="W1078">
        <v>-0.12003080000000001</v>
      </c>
      <c r="X1078">
        <v>0.90078599999999998</v>
      </c>
      <c r="Y1078">
        <v>0.48332560000000002</v>
      </c>
      <c r="Z1078">
        <v>-1.6800550000000001E-2</v>
      </c>
      <c r="AA1078">
        <v>0.87527940000000004</v>
      </c>
      <c r="AB1078">
        <v>19</v>
      </c>
      <c r="AC1078">
        <v>9.5437000000000296</v>
      </c>
      <c r="AD1078">
        <v>-1.1180222556179999</v>
      </c>
      <c r="AE1078">
        <v>-7.1795000000000098</v>
      </c>
      <c r="AF1078">
        <v>5.8220535657724204</v>
      </c>
      <c r="AG1078">
        <v>-1.1180222556179999</v>
      </c>
      <c r="AH1078">
        <v>10.308426591747599</v>
      </c>
      <c r="AI1078">
        <v>95.394795791747896</v>
      </c>
      <c r="AJ1078">
        <v>60.542853027313697</v>
      </c>
      <c r="AK1078">
        <v>11.8915911586394</v>
      </c>
      <c r="AL1078">
        <v>96.893880448610403</v>
      </c>
      <c r="AM1078">
        <v>65.141126886828204</v>
      </c>
      <c r="AN1078">
        <v>0.99999995508836403</v>
      </c>
    </row>
    <row r="1079" spans="1:40" x14ac:dyDescent="0.25">
      <c r="A1079" t="str">
        <f>"20190303154440787"</f>
        <v>20190303154440787</v>
      </c>
      <c r="B1079" t="str">
        <f>"1551599080781691"</f>
        <v>1551599080781691</v>
      </c>
      <c r="C1079" t="s">
        <v>40</v>
      </c>
      <c r="D1079">
        <v>5.1551330000000002</v>
      </c>
      <c r="E1079">
        <v>0.52725649999999902</v>
      </c>
      <c r="F1079" t="s">
        <v>50</v>
      </c>
      <c r="G1079">
        <v>-196.33449999999999</v>
      </c>
      <c r="H1079" s="1">
        <v>-6.2436200000000004E-6</v>
      </c>
      <c r="I1079">
        <v>359.50170000000003</v>
      </c>
      <c r="J1079">
        <v>-206.30170000000001</v>
      </c>
      <c r="K1079">
        <v>1.1179539999999999</v>
      </c>
      <c r="L1079">
        <v>366.9599</v>
      </c>
      <c r="M1079">
        <v>0.99064240000000003</v>
      </c>
      <c r="N1079">
        <v>-1.366291E-2</v>
      </c>
      <c r="O1079">
        <v>-0.1357978</v>
      </c>
      <c r="P1079">
        <v>0.83427450000000003</v>
      </c>
      <c r="Q1079">
        <v>-0.12746109999999999</v>
      </c>
      <c r="R1079">
        <v>-0.53641380000000005</v>
      </c>
      <c r="S1079">
        <v>2.4129179999999999</v>
      </c>
      <c r="T1079">
        <v>-0.26558589999999999</v>
      </c>
      <c r="U1079">
        <v>-1.779175</v>
      </c>
      <c r="V1079">
        <v>0.4173037</v>
      </c>
      <c r="W1079">
        <v>-0.1181577</v>
      </c>
      <c r="X1079">
        <v>0.90105290000000005</v>
      </c>
      <c r="Y1079">
        <v>0.47690670000000002</v>
      </c>
      <c r="Z1079">
        <v>-1.5528490000000001E-2</v>
      </c>
      <c r="AA1079">
        <v>0.87881679999999995</v>
      </c>
      <c r="AB1079">
        <v>19</v>
      </c>
      <c r="AC1079">
        <v>9.9672000000000196</v>
      </c>
      <c r="AD1079">
        <v>-1.11796024362</v>
      </c>
      <c r="AE1079">
        <v>-7.4581999999999704</v>
      </c>
      <c r="AF1079">
        <v>5.9871618327614096</v>
      </c>
      <c r="AG1079">
        <v>-1.11796024362</v>
      </c>
      <c r="AH1079">
        <v>10.800646460612001</v>
      </c>
      <c r="AI1079">
        <v>95.172871880204596</v>
      </c>
      <c r="AJ1079">
        <v>60.998921647626098</v>
      </c>
      <c r="AK1079">
        <v>12.3995929725584</v>
      </c>
      <c r="AL1079">
        <v>96.785790289448997</v>
      </c>
      <c r="AM1079">
        <v>65.149778782314499</v>
      </c>
      <c r="AN1079">
        <v>0.99999997435069399</v>
      </c>
    </row>
    <row r="1080" spans="1:40" x14ac:dyDescent="0.25">
      <c r="A1080" t="str">
        <f>"20190303154440809"</f>
        <v>20190303154440809</v>
      </c>
      <c r="B1080" t="str">
        <f>"1551599080801207"</f>
        <v>1551599080801207</v>
      </c>
      <c r="C1080" t="s">
        <v>40</v>
      </c>
      <c r="D1080">
        <v>5.2696990000000001</v>
      </c>
      <c r="E1080">
        <v>0.52708540000000004</v>
      </c>
      <c r="F1080" t="s">
        <v>50</v>
      </c>
      <c r="G1080">
        <v>-195.4684</v>
      </c>
      <c r="H1080" s="1">
        <v>-5.8865630000000001E-6</v>
      </c>
      <c r="I1080">
        <v>358.83920000000001</v>
      </c>
      <c r="J1080">
        <v>-206.11539999999999</v>
      </c>
      <c r="K1080">
        <v>1.117902</v>
      </c>
      <c r="L1080">
        <v>366.928</v>
      </c>
      <c r="M1080">
        <v>0.98989119999999997</v>
      </c>
      <c r="N1080">
        <v>-1.367326E-2</v>
      </c>
      <c r="O1080">
        <v>-0.1411693</v>
      </c>
      <c r="P1080">
        <v>0.83063089999999995</v>
      </c>
      <c r="Q1080">
        <v>-0.1260685</v>
      </c>
      <c r="R1080">
        <v>-0.54236479999999998</v>
      </c>
      <c r="S1080">
        <v>2.4009399999999999</v>
      </c>
      <c r="T1080">
        <v>-0.2477676</v>
      </c>
      <c r="U1080">
        <v>-1.79974399999999</v>
      </c>
      <c r="V1080">
        <v>0.41881800000000002</v>
      </c>
      <c r="W1080">
        <v>-0.1168337</v>
      </c>
      <c r="X1080">
        <v>0.90052279999999996</v>
      </c>
      <c r="Y1080">
        <v>0.47927350000000002</v>
      </c>
      <c r="Z1080">
        <v>-1.4587620000000001E-2</v>
      </c>
      <c r="AA1080">
        <v>0.8775444</v>
      </c>
      <c r="AB1080">
        <v>19</v>
      </c>
      <c r="AC1080">
        <v>10.646999999999901</v>
      </c>
      <c r="AD1080">
        <v>-1.1179078865630001</v>
      </c>
      <c r="AE1080">
        <v>-8.08880000000004</v>
      </c>
      <c r="AF1080">
        <v>6.4594580172220697</v>
      </c>
      <c r="AG1080">
        <v>-1.1179078865630001</v>
      </c>
      <c r="AH1080">
        <v>11.601259622577899</v>
      </c>
      <c r="AI1080">
        <v>94.812408795649503</v>
      </c>
      <c r="AJ1080">
        <v>60.891404635655498</v>
      </c>
      <c r="AK1080">
        <v>13.3252970229391</v>
      </c>
      <c r="AL1080">
        <v>96.709401570853302</v>
      </c>
      <c r="AM1080">
        <v>65.057654290668296</v>
      </c>
      <c r="AN1080">
        <v>0.99999997194976398</v>
      </c>
    </row>
    <row r="1081" spans="1:40" x14ac:dyDescent="0.25">
      <c r="A1081" t="str">
        <f>"20190303154440833"</f>
        <v>20190303154440833</v>
      </c>
      <c r="B1081" t="str">
        <f>"1551599080821703"</f>
        <v>1551599080821703</v>
      </c>
      <c r="C1081" t="s">
        <v>40</v>
      </c>
      <c r="D1081">
        <v>5.2164679999999999</v>
      </c>
      <c r="E1081">
        <v>0.52609280000000003</v>
      </c>
      <c r="F1081" t="s">
        <v>50</v>
      </c>
      <c r="G1081">
        <v>-195.42519999999999</v>
      </c>
      <c r="H1081" s="1">
        <v>-5.8680829999999999E-6</v>
      </c>
      <c r="I1081">
        <v>358.80419999999998</v>
      </c>
      <c r="J1081">
        <v>-205.91650000000001</v>
      </c>
      <c r="K1081">
        <v>1.1178429999999999</v>
      </c>
      <c r="L1081">
        <v>366.89260000000002</v>
      </c>
      <c r="M1081">
        <v>0.98903300000000005</v>
      </c>
      <c r="N1081">
        <v>-1.3684399999999999E-2</v>
      </c>
      <c r="O1081">
        <v>-0.1470601</v>
      </c>
      <c r="P1081">
        <v>0.82584950000000001</v>
      </c>
      <c r="Q1081">
        <v>-0.1262006</v>
      </c>
      <c r="R1081">
        <v>-0.54958759999999995</v>
      </c>
      <c r="S1081">
        <v>2.3885800000000001</v>
      </c>
      <c r="T1081">
        <v>-0.24978149999999999</v>
      </c>
      <c r="U1081">
        <v>-1.8151550000000001</v>
      </c>
      <c r="V1081">
        <v>0.42128690000000002</v>
      </c>
      <c r="W1081">
        <v>-0.1170568</v>
      </c>
      <c r="X1081">
        <v>0.89934150000000002</v>
      </c>
      <c r="Y1081">
        <v>0.4798154</v>
      </c>
      <c r="Z1081">
        <v>-1.426936E-2</v>
      </c>
      <c r="AA1081">
        <v>0.87725339999999996</v>
      </c>
      <c r="AB1081">
        <v>19</v>
      </c>
      <c r="AC1081">
        <v>10.491300000000001</v>
      </c>
      <c r="AD1081">
        <v>-1.1178488680830001</v>
      </c>
      <c r="AE1081">
        <v>-8.0884000000000302</v>
      </c>
      <c r="AF1081">
        <v>6.4117912422128001</v>
      </c>
      <c r="AG1081">
        <v>-1.1178488680830001</v>
      </c>
      <c r="AH1081">
        <v>11.485024738326301</v>
      </c>
      <c r="AI1081">
        <v>94.857571792932404</v>
      </c>
      <c r="AJ1081">
        <v>60.826510579535203</v>
      </c>
      <c r="AK1081">
        <v>13.201001714474399</v>
      </c>
      <c r="AL1081">
        <v>96.722272115711803</v>
      </c>
      <c r="AM1081">
        <v>64.899761908015506</v>
      </c>
      <c r="AN1081">
        <v>1.00000004008004</v>
      </c>
    </row>
    <row r="1082" spans="1:40" x14ac:dyDescent="0.25">
      <c r="A1082" t="str">
        <f>"20190303154440856"</f>
        <v>20190303154440856</v>
      </c>
      <c r="B1082" t="str">
        <f>"1551599080850983"</f>
        <v>1551599080850983</v>
      </c>
      <c r="C1082" t="s">
        <v>40</v>
      </c>
      <c r="D1082">
        <v>5.2914969999999997</v>
      </c>
      <c r="E1082">
        <v>0.52563740000000003</v>
      </c>
      <c r="F1082" t="s">
        <v>50</v>
      </c>
      <c r="G1082">
        <v>-196.0487</v>
      </c>
      <c r="H1082" s="1">
        <v>-6.1302850000000002E-6</v>
      </c>
      <c r="I1082">
        <v>359.29649999999998</v>
      </c>
      <c r="J1082">
        <v>-205.7234</v>
      </c>
      <c r="K1082">
        <v>1.1177649999999999</v>
      </c>
      <c r="L1082">
        <v>366.85680000000002</v>
      </c>
      <c r="M1082">
        <v>0.98813949999999995</v>
      </c>
      <c r="N1082">
        <v>-1.3696710000000001E-2</v>
      </c>
      <c r="O1082">
        <v>-0.1529481</v>
      </c>
      <c r="P1082">
        <v>0.819882</v>
      </c>
      <c r="Q1082">
        <v>-0.1266234</v>
      </c>
      <c r="R1082">
        <v>-0.5583553</v>
      </c>
      <c r="S1082">
        <v>2.374908</v>
      </c>
      <c r="T1082">
        <v>-0.26903510000000003</v>
      </c>
      <c r="U1082">
        <v>-1.8281559999999999</v>
      </c>
      <c r="V1082">
        <v>0.4254851</v>
      </c>
      <c r="W1082">
        <v>-0.11760669999999999</v>
      </c>
      <c r="X1082">
        <v>0.89729099999999995</v>
      </c>
      <c r="Y1082">
        <v>0.47984379999999999</v>
      </c>
      <c r="Z1082">
        <v>-1.449073E-2</v>
      </c>
      <c r="AA1082">
        <v>0.87723430000000002</v>
      </c>
      <c r="AB1082">
        <v>19</v>
      </c>
      <c r="AC1082">
        <v>9.6746999999999996</v>
      </c>
      <c r="AD1082">
        <v>-1.117771130285</v>
      </c>
      <c r="AE1082">
        <v>-7.5603000000000398</v>
      </c>
      <c r="AF1082">
        <v>5.9422185653333699</v>
      </c>
      <c r="AG1082">
        <v>-1.117771130285</v>
      </c>
      <c r="AH1082">
        <v>10.6292000651174</v>
      </c>
      <c r="AI1082">
        <v>95.244505171516195</v>
      </c>
      <c r="AJ1082">
        <v>60.792773690627797</v>
      </c>
      <c r="AK1082">
        <v>12.2286249350523</v>
      </c>
      <c r="AL1082">
        <v>96.753998322887796</v>
      </c>
      <c r="AM1082">
        <v>64.6302286066351</v>
      </c>
      <c r="AN1082">
        <v>1.00000002244394</v>
      </c>
    </row>
    <row r="1083" spans="1:40" x14ac:dyDescent="0.25">
      <c r="A1083" t="str">
        <f>"20190303154440878"</f>
        <v>20190303154440878</v>
      </c>
      <c r="B1083" t="str">
        <f>"1551599080871479"</f>
        <v>1551599080871479</v>
      </c>
      <c r="C1083" t="s">
        <v>40</v>
      </c>
      <c r="D1083">
        <v>5.5049229999999998</v>
      </c>
      <c r="E1083">
        <v>0.58156419999999998</v>
      </c>
      <c r="F1083" t="s">
        <v>50</v>
      </c>
      <c r="G1083">
        <v>-196.57980000000001</v>
      </c>
      <c r="H1083" s="1">
        <v>-9.147121E-6</v>
      </c>
      <c r="I1083">
        <v>359.67840000000001</v>
      </c>
      <c r="J1083">
        <v>-205.53970000000001</v>
      </c>
      <c r="K1083">
        <v>1.1176630000000001</v>
      </c>
      <c r="L1083">
        <v>366.82150000000001</v>
      </c>
      <c r="M1083">
        <v>0.98722849999999995</v>
      </c>
      <c r="N1083">
        <v>-1.3710709999999999E-2</v>
      </c>
      <c r="O1083">
        <v>-0.1587199</v>
      </c>
      <c r="P1083">
        <v>0.81278439999999996</v>
      </c>
      <c r="Q1083">
        <v>-0.12813740000000001</v>
      </c>
      <c r="R1083">
        <v>-0.56829799999999997</v>
      </c>
      <c r="S1083">
        <v>2.3553160000000002</v>
      </c>
      <c r="T1083">
        <v>-0.28793029999999997</v>
      </c>
      <c r="U1083">
        <v>-1.849091</v>
      </c>
      <c r="V1083">
        <v>0.4311487</v>
      </c>
      <c r="W1083">
        <v>-0.11928709999999999</v>
      </c>
      <c r="X1083">
        <v>0.89436079999999996</v>
      </c>
      <c r="Y1083">
        <v>0.4828558</v>
      </c>
      <c r="Z1083">
        <v>-1.482818E-2</v>
      </c>
      <c r="AA1083">
        <v>0.87557439999999997</v>
      </c>
      <c r="AB1083">
        <v>19</v>
      </c>
      <c r="AC1083">
        <v>8.9598999999999993</v>
      </c>
      <c r="AD1083">
        <v>-1.1176721471209901</v>
      </c>
      <c r="AE1083">
        <v>-7.1430999999999996</v>
      </c>
      <c r="AF1083">
        <v>5.5772260469532204</v>
      </c>
      <c r="AG1083">
        <v>-1.1176721471209901</v>
      </c>
      <c r="AH1083">
        <v>9.8861043757135505</v>
      </c>
      <c r="AI1083">
        <v>95.623583107438293</v>
      </c>
      <c r="AJ1083">
        <v>60.570568617470798</v>
      </c>
      <c r="AK1083">
        <v>11.4056872276407</v>
      </c>
      <c r="AL1083">
        <v>96.850961394299304</v>
      </c>
      <c r="AM1083">
        <v>64.262461024294595</v>
      </c>
      <c r="AN1083">
        <v>0.99999992715736696</v>
      </c>
    </row>
    <row r="1084" spans="1:40" x14ac:dyDescent="0.25">
      <c r="A1084" t="str">
        <f>"20190303154440899"</f>
        <v>20190303154440899</v>
      </c>
      <c r="B1084" t="str">
        <f>"1551599080891975"</f>
        <v>1551599080891975</v>
      </c>
      <c r="C1084" t="s">
        <v>40</v>
      </c>
      <c r="D1084">
        <v>5.4284420000000004</v>
      </c>
      <c r="E1084">
        <v>0.6018656</v>
      </c>
      <c r="F1084" t="s">
        <v>50</v>
      </c>
      <c r="G1084">
        <v>-196.6104</v>
      </c>
      <c r="H1084" s="1">
        <v>-5.5113699999999897E-6</v>
      </c>
      <c r="I1084">
        <v>357.18549999999999</v>
      </c>
      <c r="J1084">
        <v>-205.35849999999999</v>
      </c>
      <c r="K1084">
        <v>1.117542</v>
      </c>
      <c r="L1084">
        <v>366.78530000000001</v>
      </c>
      <c r="M1084">
        <v>0.98626550000000002</v>
      </c>
      <c r="N1084">
        <v>-1.3726550000000001E-2</v>
      </c>
      <c r="O1084">
        <v>-0.16459689999999999</v>
      </c>
      <c r="P1084">
        <v>0.805454</v>
      </c>
      <c r="Q1084">
        <v>-0.130273</v>
      </c>
      <c r="R1084">
        <v>-0.5781636</v>
      </c>
      <c r="S1084">
        <v>2.080292</v>
      </c>
      <c r="T1084">
        <v>-0.26038810000000001</v>
      </c>
      <c r="U1084">
        <v>-2.2449340000000002</v>
      </c>
      <c r="V1084">
        <v>0.43671270000000001</v>
      </c>
      <c r="W1084">
        <v>-0.1216101</v>
      </c>
      <c r="X1084">
        <v>0.89134340000000001</v>
      </c>
      <c r="Y1084">
        <v>0.60950329999999997</v>
      </c>
      <c r="Z1084">
        <v>-2.1383639999999999E-2</v>
      </c>
      <c r="AA1084">
        <v>0.79249510000000001</v>
      </c>
      <c r="AB1084">
        <v>19</v>
      </c>
      <c r="AC1084">
        <v>8.7480999999999902</v>
      </c>
      <c r="AD1084">
        <v>-1.11754751137</v>
      </c>
      <c r="AE1084">
        <v>-9.5998000000000108</v>
      </c>
      <c r="AF1084">
        <v>7.9697903436003701</v>
      </c>
      <c r="AG1084">
        <v>-1.11754751137</v>
      </c>
      <c r="AH1084">
        <v>10.1339774717572</v>
      </c>
      <c r="AI1084">
        <v>94.954150920549395</v>
      </c>
      <c r="AJ1084">
        <v>51.816985795492698</v>
      </c>
      <c r="AK1084">
        <v>12.9407870687682</v>
      </c>
      <c r="AL1084">
        <v>96.985034944462001</v>
      </c>
      <c r="AM1084">
        <v>63.897507940085397</v>
      </c>
      <c r="AN1084">
        <v>1.00000002774342</v>
      </c>
    </row>
    <row r="1085" spans="1:40" x14ac:dyDescent="0.25">
      <c r="A1085" t="str">
        <f>"20190303154440922"</f>
        <v>20190303154440922</v>
      </c>
      <c r="B1085" t="str">
        <f>"1551599080911495"</f>
        <v>1551599080911495</v>
      </c>
      <c r="C1085" t="s">
        <v>40</v>
      </c>
      <c r="D1085">
        <v>5.3896470000000001</v>
      </c>
      <c r="E1085">
        <v>0.61134509999999997</v>
      </c>
      <c r="F1085" t="s">
        <v>50</v>
      </c>
      <c r="G1085">
        <v>-198.45609999999999</v>
      </c>
      <c r="H1085" s="1">
        <v>-6.1735189999999997E-6</v>
      </c>
      <c r="I1085">
        <v>358.30239999999998</v>
      </c>
      <c r="J1085">
        <v>-205.17320000000001</v>
      </c>
      <c r="K1085">
        <v>1.1174090000000001</v>
      </c>
      <c r="L1085">
        <v>366.74689999999998</v>
      </c>
      <c r="M1085">
        <v>0.98520589999999997</v>
      </c>
      <c r="N1085">
        <v>-1.374501E-2</v>
      </c>
      <c r="O1085">
        <v>-0.17082329999999901</v>
      </c>
      <c r="P1085">
        <v>0.79832049999999999</v>
      </c>
      <c r="Q1085">
        <v>-0.1306862</v>
      </c>
      <c r="R1085">
        <v>-0.58788260000000003</v>
      </c>
      <c r="S1085">
        <v>1.951721</v>
      </c>
      <c r="T1085">
        <v>-0.31599959999999999</v>
      </c>
      <c r="U1085">
        <v>-2.3986510000000001</v>
      </c>
      <c r="V1085">
        <v>0.4418378</v>
      </c>
      <c r="W1085">
        <v>-0.122222</v>
      </c>
      <c r="X1085">
        <v>0.88872999999999902</v>
      </c>
      <c r="Y1085">
        <v>0.65333180000000002</v>
      </c>
      <c r="Z1085">
        <v>-2.735607E-2</v>
      </c>
      <c r="AA1085">
        <v>0.75657739999999996</v>
      </c>
      <c r="AB1085">
        <v>19</v>
      </c>
      <c r="AC1085">
        <v>6.7171000000000101</v>
      </c>
      <c r="AD1085">
        <v>-1.1174151735189899</v>
      </c>
      <c r="AE1085">
        <v>-8.4444999999999997</v>
      </c>
      <c r="AF1085">
        <v>7.0967039456699004</v>
      </c>
      <c r="AG1085">
        <v>-1.1174151735189899</v>
      </c>
      <c r="AH1085">
        <v>7.9754734742821496</v>
      </c>
      <c r="AI1085">
        <v>95.975314790890096</v>
      </c>
      <c r="AJ1085">
        <v>48.336800475451</v>
      </c>
      <c r="AK1085">
        <v>10.734057979230201</v>
      </c>
      <c r="AL1085">
        <v>97.020358373195506</v>
      </c>
      <c r="AM1085">
        <v>63.5654384252055</v>
      </c>
      <c r="AN1085">
        <v>0.999999935846417</v>
      </c>
    </row>
    <row r="1086" spans="1:40" x14ac:dyDescent="0.25">
      <c r="A1086" t="str">
        <f>"20190303154440944"</f>
        <v>20190303154440944</v>
      </c>
      <c r="B1086" t="str">
        <f>"1551599080941873"</f>
        <v>1551599080941873</v>
      </c>
      <c r="C1086" t="s">
        <v>40</v>
      </c>
      <c r="D1086">
        <v>5.3416920000000001</v>
      </c>
      <c r="E1086">
        <v>0.61755649999999995</v>
      </c>
      <c r="F1086" t="s">
        <v>50</v>
      </c>
      <c r="G1086">
        <v>-198.8322</v>
      </c>
      <c r="H1086" s="1">
        <v>-6.24989699999999E-6</v>
      </c>
      <c r="I1086">
        <v>358.35509999999999</v>
      </c>
      <c r="J1086">
        <v>-204.9837</v>
      </c>
      <c r="K1086">
        <v>1.1172799999999901</v>
      </c>
      <c r="L1086">
        <v>366.70600000000002</v>
      </c>
      <c r="M1086">
        <v>0.98403189999999996</v>
      </c>
      <c r="N1086">
        <v>-1.3766759999999999E-2</v>
      </c>
      <c r="O1086">
        <v>-0.1774597</v>
      </c>
      <c r="P1086">
        <v>0.79174480000000003</v>
      </c>
      <c r="Q1086">
        <v>-0.12932449999999901</v>
      </c>
      <c r="R1086">
        <v>-0.59700520000000001</v>
      </c>
      <c r="S1086">
        <v>1.8757630000000001</v>
      </c>
      <c r="T1086">
        <v>-0.33055020000000002</v>
      </c>
      <c r="U1086">
        <v>-2.4824519999999999</v>
      </c>
      <c r="V1086">
        <v>0.44596419999999998</v>
      </c>
      <c r="W1086">
        <v>-0.1210545</v>
      </c>
      <c r="X1086">
        <v>0.88682680000000003</v>
      </c>
      <c r="Y1086">
        <v>0.67476099999999894</v>
      </c>
      <c r="Z1086">
        <v>-2.9431949999999998E-2</v>
      </c>
      <c r="AA1086">
        <v>0.73744919999999903</v>
      </c>
      <c r="AB1086">
        <v>19</v>
      </c>
      <c r="AC1086">
        <v>6.1514999999999898</v>
      </c>
      <c r="AD1086">
        <v>-1.11728624989699</v>
      </c>
      <c r="AE1086">
        <v>-8.3508999999999602</v>
      </c>
      <c r="AF1086">
        <v>7.0448356449059499</v>
      </c>
      <c r="AG1086">
        <v>-1.11728624989699</v>
      </c>
      <c r="AH1086">
        <v>7.4494906085169204</v>
      </c>
      <c r="AI1086">
        <v>96.219057949760199</v>
      </c>
      <c r="AJ1086">
        <v>46.599177521695303</v>
      </c>
      <c r="AK1086">
        <v>10.313726201248899</v>
      </c>
      <c r="AL1086">
        <v>96.952964550486499</v>
      </c>
      <c r="AM1086">
        <v>63.303259649203099</v>
      </c>
      <c r="AN1086">
        <v>1.00000001642506</v>
      </c>
    </row>
    <row r="1087" spans="1:40" x14ac:dyDescent="0.25">
      <c r="A1087" t="str">
        <f>"20190303154440966"</f>
        <v>20190303154440966</v>
      </c>
      <c r="B1087" t="str">
        <f>"1551599080961393"</f>
        <v>1551599080961393</v>
      </c>
      <c r="C1087" t="s">
        <v>40</v>
      </c>
      <c r="D1087">
        <v>5.3451700000000004</v>
      </c>
      <c r="E1087">
        <v>0.61963519999999905</v>
      </c>
      <c r="F1087" t="s">
        <v>50</v>
      </c>
      <c r="G1087">
        <v>-198.81389999999999</v>
      </c>
      <c r="H1087" s="1">
        <v>-6.1534069999999901E-6</v>
      </c>
      <c r="I1087">
        <v>358.0754</v>
      </c>
      <c r="J1087">
        <v>-204.79560000000001</v>
      </c>
      <c r="K1087">
        <v>1.1171519999999999</v>
      </c>
      <c r="L1087">
        <v>366.66370000000001</v>
      </c>
      <c r="M1087">
        <v>0.98277820000000005</v>
      </c>
      <c r="N1087">
        <v>-1.378923E-2</v>
      </c>
      <c r="O1087">
        <v>-0.1842744</v>
      </c>
      <c r="P1087">
        <v>0.78523330000000002</v>
      </c>
      <c r="Q1087">
        <v>-0.12737809999999999</v>
      </c>
      <c r="R1087">
        <v>-0.60595730000000003</v>
      </c>
      <c r="S1087">
        <v>1.8179019999999999</v>
      </c>
      <c r="T1087">
        <v>-0.32920110000000002</v>
      </c>
      <c r="U1087">
        <v>-2.5429379999999999</v>
      </c>
      <c r="V1087">
        <v>0.44979920000000001</v>
      </c>
      <c r="W1087">
        <v>-0.11928080000000001</v>
      </c>
      <c r="X1087">
        <v>0.88512869999999999</v>
      </c>
      <c r="Y1087">
        <v>0.68896939999999995</v>
      </c>
      <c r="Z1087">
        <v>-2.9890650000000001E-2</v>
      </c>
      <c r="AA1087">
        <v>0.72417379999999998</v>
      </c>
      <c r="AB1087">
        <v>19</v>
      </c>
      <c r="AC1087">
        <v>5.9817000000000098</v>
      </c>
      <c r="AD1087">
        <v>-1.1171581534070001</v>
      </c>
      <c r="AE1087">
        <v>-8.5883000000000003</v>
      </c>
      <c r="AF1087">
        <v>7.2561438490338999</v>
      </c>
      <c r="AG1087">
        <v>-1.1171581534070001</v>
      </c>
      <c r="AH1087">
        <v>7.37793625618903</v>
      </c>
      <c r="AI1087">
        <v>96.161594336865207</v>
      </c>
      <c r="AJ1087">
        <v>45.476834194567303</v>
      </c>
      <c r="AK1087">
        <v>10.4083432542352</v>
      </c>
      <c r="AL1087">
        <v>96.850597178372894</v>
      </c>
      <c r="AM1087">
        <v>63.0615164511714</v>
      </c>
      <c r="AN1087">
        <v>1.00000002256648</v>
      </c>
    </row>
    <row r="1088" spans="1:40" x14ac:dyDescent="0.25">
      <c r="A1088" t="str">
        <f>"20190303154440988"</f>
        <v>20190303154440988</v>
      </c>
      <c r="B1088" t="str">
        <f>"1551599080980913"</f>
        <v>1551599080980913</v>
      </c>
      <c r="C1088" t="s">
        <v>40</v>
      </c>
      <c r="D1088">
        <v>5.3441460000000003</v>
      </c>
      <c r="E1088">
        <v>0.62065909999999902</v>
      </c>
      <c r="F1088" t="s">
        <v>50</v>
      </c>
      <c r="G1088">
        <v>-198.64599999999999</v>
      </c>
      <c r="H1088" s="1">
        <v>-6.0217880000000002E-6</v>
      </c>
      <c r="I1088">
        <v>357.76049999999998</v>
      </c>
      <c r="J1088">
        <v>-204.61109999999999</v>
      </c>
      <c r="K1088">
        <v>1.1170530000000001</v>
      </c>
      <c r="L1088">
        <v>366.6207</v>
      </c>
      <c r="M1088">
        <v>0.98145830000000001</v>
      </c>
      <c r="N1088">
        <v>-1.38108E-2</v>
      </c>
      <c r="O1088">
        <v>-0.1911784</v>
      </c>
      <c r="P1088">
        <v>0.77881800000000001</v>
      </c>
      <c r="Q1088">
        <v>-0.12704660000000001</v>
      </c>
      <c r="R1088">
        <v>-0.6142495</v>
      </c>
      <c r="S1088">
        <v>1.7797240000000001</v>
      </c>
      <c r="T1088">
        <v>-0.32331339999999997</v>
      </c>
      <c r="U1088">
        <v>-2.5766300000000002</v>
      </c>
      <c r="V1088">
        <v>0.45291559999999997</v>
      </c>
      <c r="W1088">
        <v>-0.11909790000000001</v>
      </c>
      <c r="X1088">
        <v>0.88356279999999998</v>
      </c>
      <c r="Y1088">
        <v>0.69565299999999997</v>
      </c>
      <c r="Z1088">
        <v>-2.9413430000000001E-2</v>
      </c>
      <c r="AA1088">
        <v>0.71777559999999996</v>
      </c>
      <c r="AB1088">
        <v>19</v>
      </c>
      <c r="AC1088">
        <v>5.9650999999999996</v>
      </c>
      <c r="AD1088">
        <v>-1.1170590217880001</v>
      </c>
      <c r="AE1088">
        <v>-8.8602000000000096</v>
      </c>
      <c r="AF1088">
        <v>7.4744851988351702</v>
      </c>
      <c r="AG1088">
        <v>-1.1170590217880001</v>
      </c>
      <c r="AH1088">
        <v>7.4674190148541104</v>
      </c>
      <c r="AI1088">
        <v>96.035278771319994</v>
      </c>
      <c r="AJ1088">
        <v>44.972904224026202</v>
      </c>
      <c r="AK1088">
        <v>10.624410411367201</v>
      </c>
      <c r="AL1088">
        <v>96.840042449741503</v>
      </c>
      <c r="AM1088">
        <v>62.860255637637103</v>
      </c>
      <c r="AN1088">
        <v>1.0000000360257999</v>
      </c>
    </row>
    <row r="1089" spans="1:40" x14ac:dyDescent="0.25">
      <c r="A1089" t="str">
        <f>"20190303154441012"</f>
        <v>20190303154441012</v>
      </c>
      <c r="B1089" t="str">
        <f>"1551599081001409"</f>
        <v>1551599081001409</v>
      </c>
      <c r="C1089" t="s">
        <v>40</v>
      </c>
      <c r="D1089">
        <v>5.3266309999999999</v>
      </c>
      <c r="E1089">
        <v>0.62163359999999901</v>
      </c>
      <c r="F1089" t="s">
        <v>50</v>
      </c>
      <c r="G1089">
        <v>-198.54640000000001</v>
      </c>
      <c r="H1089" s="1">
        <v>-5.9489790000000002E-6</v>
      </c>
      <c r="I1089">
        <v>357.58949999999999</v>
      </c>
      <c r="J1089">
        <v>-204.4204</v>
      </c>
      <c r="K1089">
        <v>1.1169439999999999</v>
      </c>
      <c r="L1089">
        <v>366.5745</v>
      </c>
      <c r="M1089">
        <v>0.97998949999999996</v>
      </c>
      <c r="N1089">
        <v>-1.383356E-2</v>
      </c>
      <c r="O1089">
        <v>-0.19856850000000001</v>
      </c>
      <c r="P1089">
        <v>0.77226530000000004</v>
      </c>
      <c r="Q1089">
        <v>-0.12695380000000001</v>
      </c>
      <c r="R1089">
        <v>-0.62248649999999905</v>
      </c>
      <c r="S1089">
        <v>1.7473299999999901</v>
      </c>
      <c r="T1089">
        <v>-0.32184049999999997</v>
      </c>
      <c r="U1089">
        <v>-2.60202</v>
      </c>
      <c r="V1089">
        <v>0.45560210000000001</v>
      </c>
      <c r="W1089">
        <v>-0.1191458</v>
      </c>
      <c r="X1089">
        <v>0.88217400000000001</v>
      </c>
      <c r="Y1089">
        <v>0.69967290000000004</v>
      </c>
      <c r="Z1089">
        <v>-2.8959780000000001E-2</v>
      </c>
      <c r="AA1089">
        <v>0.71387619999999996</v>
      </c>
      <c r="AB1089">
        <v>19</v>
      </c>
      <c r="AC1089">
        <v>5.8739999999999899</v>
      </c>
      <c r="AD1089">
        <v>-1.116949948979</v>
      </c>
      <c r="AE1089">
        <v>-8.9850000000000101</v>
      </c>
      <c r="AF1089">
        <v>7.5577210473957201</v>
      </c>
      <c r="AG1089">
        <v>-1.116949948979</v>
      </c>
      <c r="AH1089">
        <v>7.4605457313199404</v>
      </c>
      <c r="AI1089">
        <v>96.004110154527794</v>
      </c>
      <c r="AJ1089">
        <v>44.629274278687497</v>
      </c>
      <c r="AK1089">
        <v>10.6783176216054</v>
      </c>
      <c r="AL1089">
        <v>96.842806979406603</v>
      </c>
      <c r="AM1089">
        <v>62.685736876324498</v>
      </c>
      <c r="AN1089">
        <v>0.99999998072902396</v>
      </c>
    </row>
    <row r="1090" spans="1:40" x14ac:dyDescent="0.25">
      <c r="A1090" t="str">
        <f>"20190303154441035"</f>
        <v>20190303154441035</v>
      </c>
      <c r="B1090" t="str">
        <f>"1551599081031129"</f>
        <v>1551599081031129</v>
      </c>
      <c r="C1090" t="s">
        <v>40</v>
      </c>
      <c r="D1090">
        <v>5.3496860000000002</v>
      </c>
      <c r="E1090">
        <v>0.62239160000000004</v>
      </c>
      <c r="F1090" t="s">
        <v>50</v>
      </c>
      <c r="G1090">
        <v>-198.48519999999999</v>
      </c>
      <c r="H1090" s="1">
        <v>-5.9042839999999999E-6</v>
      </c>
      <c r="I1090">
        <v>357.4846</v>
      </c>
      <c r="J1090">
        <v>-204.23140000000001</v>
      </c>
      <c r="K1090">
        <v>1.116838</v>
      </c>
      <c r="L1090">
        <v>366.52690000000001</v>
      </c>
      <c r="M1090">
        <v>0.97842289999999998</v>
      </c>
      <c r="N1090">
        <v>-1.385863E-2</v>
      </c>
      <c r="O1090">
        <v>-0.20614750000000001</v>
      </c>
      <c r="P1090">
        <v>0.76559500000000003</v>
      </c>
      <c r="Q1090">
        <v>-0.1260859</v>
      </c>
      <c r="R1090">
        <v>-0.63084649999999998</v>
      </c>
      <c r="S1090">
        <v>1.7147669999999999</v>
      </c>
      <c r="T1090">
        <v>-0.32270359999999998</v>
      </c>
      <c r="U1090">
        <v>-2.6262210000000001</v>
      </c>
      <c r="V1090">
        <v>0.45830520000000002</v>
      </c>
      <c r="W1090">
        <v>-0.1184238</v>
      </c>
      <c r="X1090">
        <v>0.88087009999999899</v>
      </c>
      <c r="Y1090">
        <v>0.70335360000000002</v>
      </c>
      <c r="Z1090">
        <v>-2.861153E-2</v>
      </c>
      <c r="AA1090">
        <v>0.71026409999999995</v>
      </c>
      <c r="AB1090">
        <v>19</v>
      </c>
      <c r="AC1090">
        <v>5.7462000000000097</v>
      </c>
      <c r="AD1090">
        <v>-1.1168439042839999</v>
      </c>
      <c r="AE1090">
        <v>-9.0423000000000098</v>
      </c>
      <c r="AF1090">
        <v>7.5809809160102102</v>
      </c>
      <c r="AG1090">
        <v>-1.1168439042839999</v>
      </c>
      <c r="AH1090">
        <v>7.4064927491413801</v>
      </c>
      <c r="AI1090">
        <v>96.015509072285894</v>
      </c>
      <c r="AJ1090">
        <v>44.332977384675601</v>
      </c>
      <c r="AK1090">
        <v>10.657145340030301</v>
      </c>
      <c r="AL1090">
        <v>96.8011443718473</v>
      </c>
      <c r="AM1090">
        <v>62.512629186534397</v>
      </c>
      <c r="AN1090">
        <v>0.99999999291374397</v>
      </c>
    </row>
    <row r="1091" spans="1:40" x14ac:dyDescent="0.25">
      <c r="A1091" t="str">
        <f>"20190303154441061"</f>
        <v>20190303154441061</v>
      </c>
      <c r="B1091" t="str">
        <f>"1551599081051624"</f>
        <v>1551599081051624</v>
      </c>
      <c r="C1091" t="s">
        <v>40</v>
      </c>
      <c r="D1091">
        <v>5.3917349999999997</v>
      </c>
      <c r="E1091">
        <v>0.62261840000000002</v>
      </c>
      <c r="F1091" t="s">
        <v>50</v>
      </c>
      <c r="G1091">
        <v>-198.44659999999999</v>
      </c>
      <c r="H1091" s="1">
        <v>-5.8756330000000004E-6</v>
      </c>
      <c r="I1091">
        <v>357.41699999999997</v>
      </c>
      <c r="J1091">
        <v>-204.0136</v>
      </c>
      <c r="K1091">
        <v>1.1167009999999999</v>
      </c>
      <c r="L1091">
        <v>366.4699</v>
      </c>
      <c r="M1091">
        <v>0.97647349999999999</v>
      </c>
      <c r="N1091">
        <v>-1.389169E-2</v>
      </c>
      <c r="O1091">
        <v>-0.21518979999999999</v>
      </c>
      <c r="P1091">
        <v>0.75789329999999999</v>
      </c>
      <c r="Q1091">
        <v>-0.12500999999999901</v>
      </c>
      <c r="R1091">
        <v>-0.64028969999999996</v>
      </c>
      <c r="S1091">
        <v>1.682175</v>
      </c>
      <c r="T1091">
        <v>-0.32477119999999998</v>
      </c>
      <c r="U1091">
        <v>-2.6491090000000002</v>
      </c>
      <c r="V1091">
        <v>0.46099990000000002</v>
      </c>
      <c r="W1091">
        <v>-0.1175292</v>
      </c>
      <c r="X1091">
        <v>0.8795828</v>
      </c>
      <c r="Y1091">
        <v>0.70577679999999998</v>
      </c>
      <c r="Z1091">
        <v>-2.8075599999999999E-2</v>
      </c>
      <c r="AA1091">
        <v>0.7078778</v>
      </c>
      <c r="AB1091">
        <v>19</v>
      </c>
      <c r="AC1091">
        <v>5.5670000000000002</v>
      </c>
      <c r="AD1091">
        <v>-1.1167068756330001</v>
      </c>
      <c r="AE1091">
        <v>-9.0529000000000206</v>
      </c>
      <c r="AF1091">
        <v>7.55923138455677</v>
      </c>
      <c r="AG1091">
        <v>-1.1167068756330001</v>
      </c>
      <c r="AH1091">
        <v>7.3041868310719504</v>
      </c>
      <c r="AI1091">
        <v>96.064127217091496</v>
      </c>
      <c r="AJ1091">
        <v>44.016946012295698</v>
      </c>
      <c r="AK1091">
        <v>10.5707217650716</v>
      </c>
      <c r="AL1091">
        <v>96.749527304218901</v>
      </c>
      <c r="AM1091">
        <v>62.340427065470102</v>
      </c>
      <c r="AN1091">
        <v>0.99999996135424396</v>
      </c>
    </row>
    <row r="1092" spans="1:40" x14ac:dyDescent="0.25">
      <c r="A1092" t="str">
        <f>"20190303154441079"</f>
        <v>20190303154441079</v>
      </c>
      <c r="B1092" t="str">
        <f>"1551599081071145"</f>
        <v>1551599081071145</v>
      </c>
      <c r="C1092" t="s">
        <v>40</v>
      </c>
      <c r="D1092">
        <v>5.3715210000000004</v>
      </c>
      <c r="E1092">
        <v>0.62265429999999999</v>
      </c>
      <c r="F1092" t="s">
        <v>50</v>
      </c>
      <c r="G1092">
        <v>-198.37289999999999</v>
      </c>
      <c r="H1092" s="1">
        <v>-5.8344049999999999E-6</v>
      </c>
      <c r="I1092">
        <v>357.32819999999998</v>
      </c>
      <c r="J1092">
        <v>-203.86330000000001</v>
      </c>
      <c r="K1092">
        <v>1.1165959999999999</v>
      </c>
      <c r="L1092">
        <v>366.4289</v>
      </c>
      <c r="M1092">
        <v>0.97502259999999996</v>
      </c>
      <c r="N1092">
        <v>-1.3917519999999999E-2</v>
      </c>
      <c r="O1092">
        <v>-0.22166939999999999</v>
      </c>
      <c r="P1092">
        <v>0.75146869999999999</v>
      </c>
      <c r="Q1092">
        <v>-0.12308089999999999</v>
      </c>
      <c r="R1092">
        <v>-0.64818659999999995</v>
      </c>
      <c r="S1092">
        <v>1.64802599999999</v>
      </c>
      <c r="T1092">
        <v>-0.32626529999999998</v>
      </c>
      <c r="U1092">
        <v>-2.6709290000000001</v>
      </c>
      <c r="V1092">
        <v>0.4642715</v>
      </c>
      <c r="W1092">
        <v>-0.1157632</v>
      </c>
      <c r="X1092">
        <v>0.87809499999999996</v>
      </c>
      <c r="Y1092">
        <v>0.71016789999999996</v>
      </c>
      <c r="Z1092">
        <v>-2.7944400000000001E-2</v>
      </c>
      <c r="AA1092">
        <v>0.70347760000000004</v>
      </c>
      <c r="AB1092">
        <v>19</v>
      </c>
      <c r="AC1092">
        <v>5.4904000000000197</v>
      </c>
      <c r="AD1092">
        <v>-1.1166018344049999</v>
      </c>
      <c r="AE1092">
        <v>-9.1007000000000104</v>
      </c>
      <c r="AF1092">
        <v>7.5734884956464601</v>
      </c>
      <c r="AG1092">
        <v>-1.1166018344049999</v>
      </c>
      <c r="AH1092">
        <v>7.29085648245941</v>
      </c>
      <c r="AI1092">
        <v>96.062983993189107</v>
      </c>
      <c r="AJ1092">
        <v>43.910704075151699</v>
      </c>
      <c r="AK1092">
        <v>10.5717130067982</v>
      </c>
      <c r="AL1092">
        <v>96.647647291604699</v>
      </c>
      <c r="AM1092">
        <v>62.1334354634429</v>
      </c>
      <c r="AN1092">
        <v>0.99999998660574496</v>
      </c>
    </row>
    <row r="1093" spans="1:40" x14ac:dyDescent="0.25">
      <c r="A1093" t="str">
        <f>"20190303154441102"</f>
        <v>20190303154441102</v>
      </c>
      <c r="B1093" t="str">
        <f>"1551599081091640"</f>
        <v>1551599081091640</v>
      </c>
      <c r="C1093" t="s">
        <v>40</v>
      </c>
      <c r="D1093">
        <v>5.3724990000000004</v>
      </c>
      <c r="E1093">
        <v>0.62251290000000004</v>
      </c>
      <c r="F1093" t="s">
        <v>50</v>
      </c>
      <c r="G1093">
        <v>-198.31649999999999</v>
      </c>
      <c r="H1093" s="1">
        <v>-5.7900280000000004E-6</v>
      </c>
      <c r="I1093">
        <v>357.22199999999998</v>
      </c>
      <c r="J1093">
        <v>-203.6859</v>
      </c>
      <c r="K1093">
        <v>1.116452</v>
      </c>
      <c r="L1093">
        <v>366.37889999999999</v>
      </c>
      <c r="M1093">
        <v>0.97319979999999995</v>
      </c>
      <c r="N1093">
        <v>-1.3949710000000001E-2</v>
      </c>
      <c r="O1093">
        <v>-0.22953799999999999</v>
      </c>
      <c r="P1093">
        <v>0.74382569999999903</v>
      </c>
      <c r="Q1093">
        <v>-0.122687</v>
      </c>
      <c r="R1093">
        <v>-0.65701719999999997</v>
      </c>
      <c r="S1093">
        <v>1.6197360000000001</v>
      </c>
      <c r="T1093">
        <v>-0.32605980000000001</v>
      </c>
      <c r="U1093">
        <v>-2.6885379999999999</v>
      </c>
      <c r="V1093">
        <v>0.46748810000000002</v>
      </c>
      <c r="W1093">
        <v>-0.1155668</v>
      </c>
      <c r="X1093">
        <v>0.87641270000000004</v>
      </c>
      <c r="Y1093">
        <v>0.71197769999999905</v>
      </c>
      <c r="Z1093">
        <v>-2.7327250000000001E-2</v>
      </c>
      <c r="AA1093">
        <v>0.70167019999999902</v>
      </c>
      <c r="AB1093">
        <v>19</v>
      </c>
      <c r="AC1093">
        <v>5.3694000000000104</v>
      </c>
      <c r="AD1093">
        <v>-1.1164577900279999</v>
      </c>
      <c r="AE1093">
        <v>-9.1569000000000091</v>
      </c>
      <c r="AF1093">
        <v>7.5957332936478403</v>
      </c>
      <c r="AG1093">
        <v>-1.1164577900279999</v>
      </c>
      <c r="AH1093">
        <v>7.2478906019310303</v>
      </c>
      <c r="AI1093">
        <v>96.070042208940094</v>
      </c>
      <c r="AJ1093">
        <v>43.657587164501102</v>
      </c>
      <c r="AK1093">
        <v>10.558104017422099</v>
      </c>
      <c r="AL1093">
        <v>96.636318175717093</v>
      </c>
      <c r="AM1093">
        <v>61.924052467459802</v>
      </c>
      <c r="AN1093">
        <v>1.0000000148125701</v>
      </c>
    </row>
    <row r="1094" spans="1:40" x14ac:dyDescent="0.25">
      <c r="A1094" t="str">
        <f>"20190303154441123"</f>
        <v>20190303154441123</v>
      </c>
      <c r="B1094" t="str">
        <f>"1551599081111160"</f>
        <v>1551599081111160</v>
      </c>
      <c r="C1094" t="s">
        <v>40</v>
      </c>
      <c r="D1094">
        <v>5.3773589999999896</v>
      </c>
      <c r="E1094">
        <v>0.62233729999999998</v>
      </c>
      <c r="F1094" t="s">
        <v>50</v>
      </c>
      <c r="G1094">
        <v>-198.2895</v>
      </c>
      <c r="H1094" s="1">
        <v>-5.774233E-6</v>
      </c>
      <c r="I1094">
        <v>357.18729999999999</v>
      </c>
      <c r="J1094">
        <v>-203.50370000000001</v>
      </c>
      <c r="K1094">
        <v>1.1163050000000001</v>
      </c>
      <c r="L1094">
        <v>366.3254</v>
      </c>
      <c r="M1094">
        <v>0.97118459999999995</v>
      </c>
      <c r="N1094">
        <v>-1.398489E-2</v>
      </c>
      <c r="O1094">
        <v>-0.2379183</v>
      </c>
      <c r="P1094">
        <v>0.73550859999999996</v>
      </c>
      <c r="Q1094">
        <v>-0.1228287</v>
      </c>
      <c r="R1094">
        <v>-0.66628869999999996</v>
      </c>
      <c r="S1094">
        <v>1.5887450000000001</v>
      </c>
      <c r="T1094">
        <v>-0.32869169999999998</v>
      </c>
      <c r="U1094">
        <v>-2.7060550000000001</v>
      </c>
      <c r="V1094">
        <v>0.47087020000000002</v>
      </c>
      <c r="W1094">
        <v>-0.11591360000000001</v>
      </c>
      <c r="X1094">
        <v>0.87455430000000001</v>
      </c>
      <c r="Y1094">
        <v>0.71386110000000003</v>
      </c>
      <c r="Z1094">
        <v>-2.682472E-2</v>
      </c>
      <c r="AA1094">
        <v>0.69977339999999999</v>
      </c>
      <c r="AB1094">
        <v>19</v>
      </c>
      <c r="AC1094">
        <v>5.2141999999999999</v>
      </c>
      <c r="AD1094">
        <v>-1.1163107742329901</v>
      </c>
      <c r="AE1094">
        <v>-9.1380999999999997</v>
      </c>
      <c r="AF1094">
        <v>7.5499785341318102</v>
      </c>
      <c r="AG1094">
        <v>-1.1163107742329901</v>
      </c>
      <c r="AH1094">
        <v>7.1581940046223904</v>
      </c>
      <c r="AI1094">
        <v>96.124232110886894</v>
      </c>
      <c r="AJ1094">
        <v>43.474161690747003</v>
      </c>
      <c r="AK1094">
        <v>10.4636545727738</v>
      </c>
      <c r="AL1094">
        <v>96.656323120321105</v>
      </c>
      <c r="AM1094">
        <v>61.701461397014</v>
      </c>
      <c r="AN1094">
        <v>0.99999996578074402</v>
      </c>
    </row>
    <row r="1095" spans="1:40" x14ac:dyDescent="0.25">
      <c r="A1095" t="str">
        <f>"20190303154441146"</f>
        <v>20190303154441146</v>
      </c>
      <c r="B1095" t="str">
        <f>"1551599081141417"</f>
        <v>1551599081141417</v>
      </c>
      <c r="C1095" t="s">
        <v>40</v>
      </c>
      <c r="D1095">
        <v>5.3600820000000002</v>
      </c>
      <c r="E1095">
        <v>0.62211749999999999</v>
      </c>
      <c r="F1095" t="s">
        <v>50</v>
      </c>
      <c r="G1095">
        <v>-198.26990000000001</v>
      </c>
      <c r="H1095" s="1">
        <v>-5.7611239999999996E-6</v>
      </c>
      <c r="I1095">
        <v>357.15730000000002</v>
      </c>
      <c r="J1095">
        <v>-203.32329999999999</v>
      </c>
      <c r="K1095">
        <v>1.116185</v>
      </c>
      <c r="L1095">
        <v>366.27050000000003</v>
      </c>
      <c r="M1095">
        <v>0.96905649999999999</v>
      </c>
      <c r="N1095">
        <v>-1.4018930000000001E-2</v>
      </c>
      <c r="O1095">
        <v>-0.2464411</v>
      </c>
      <c r="P1095">
        <v>0.72675089999999998</v>
      </c>
      <c r="Q1095">
        <v>-0.1236144</v>
      </c>
      <c r="R1095">
        <v>-0.67568709999999998</v>
      </c>
      <c r="S1095">
        <v>1.555328</v>
      </c>
      <c r="T1095">
        <v>-0.33173750000000002</v>
      </c>
      <c r="U1095">
        <v>-2.7245180000000002</v>
      </c>
      <c r="V1095">
        <v>0.47440670000000001</v>
      </c>
      <c r="W1095">
        <v>-0.1168778</v>
      </c>
      <c r="X1095">
        <v>0.87251229999999902</v>
      </c>
      <c r="Y1095">
        <v>0.71618979999999999</v>
      </c>
      <c r="Z1095">
        <v>-2.635494E-2</v>
      </c>
      <c r="AA1095">
        <v>0.69740780000000002</v>
      </c>
      <c r="AB1095">
        <v>19</v>
      </c>
      <c r="AC1095">
        <v>5.0533999999999804</v>
      </c>
      <c r="AD1095">
        <v>-1.1161907611240001</v>
      </c>
      <c r="AE1095">
        <v>-9.1132000000000009</v>
      </c>
      <c r="AF1095">
        <v>7.5005271401308802</v>
      </c>
      <c r="AG1095">
        <v>-1.1161907611240001</v>
      </c>
      <c r="AH1095">
        <v>7.0625655467800597</v>
      </c>
      <c r="AI1095">
        <v>96.183515032838898</v>
      </c>
      <c r="AJ1095">
        <v>43.277440743785903</v>
      </c>
      <c r="AK1095">
        <v>10.3626068775006</v>
      </c>
      <c r="AL1095">
        <v>96.711946059113401</v>
      </c>
      <c r="AM1095">
        <v>61.465971492406297</v>
      </c>
      <c r="AN1095">
        <v>0.99999992539450699</v>
      </c>
    </row>
    <row r="1096" spans="1:40" x14ac:dyDescent="0.25">
      <c r="A1096" t="str">
        <f>"20190303154441168"</f>
        <v>20190303154441168</v>
      </c>
      <c r="B1096" t="str">
        <f>"1551599081161912"</f>
        <v>1551599081161912</v>
      </c>
      <c r="C1096" t="s">
        <v>40</v>
      </c>
      <c r="D1096">
        <v>5.3978809999999999</v>
      </c>
      <c r="E1096">
        <v>0.62186960000000002</v>
      </c>
      <c r="F1096" t="s">
        <v>50</v>
      </c>
      <c r="G1096">
        <v>-198.2861</v>
      </c>
      <c r="H1096" s="1">
        <v>-5.7730189999999999E-6</v>
      </c>
      <c r="I1096">
        <v>357.18529999999998</v>
      </c>
      <c r="J1096">
        <v>-203.13849999999999</v>
      </c>
      <c r="K1096">
        <v>1.116085</v>
      </c>
      <c r="L1096">
        <v>366.2122</v>
      </c>
      <c r="M1096">
        <v>0.96673200000000004</v>
      </c>
      <c r="N1096">
        <v>-1.4051050000000001E-2</v>
      </c>
      <c r="O1096">
        <v>-0.2554054</v>
      </c>
      <c r="P1096">
        <v>0.7182655</v>
      </c>
      <c r="Q1096">
        <v>-0.1233549</v>
      </c>
      <c r="R1096">
        <v>-0.68474699999999999</v>
      </c>
      <c r="S1096">
        <v>1.5206759999999999</v>
      </c>
      <c r="T1096">
        <v>-0.33696079999999901</v>
      </c>
      <c r="U1096">
        <v>-2.7426759999999999</v>
      </c>
      <c r="V1096">
        <v>0.47722409999999998</v>
      </c>
      <c r="W1096">
        <v>-0.1167521</v>
      </c>
      <c r="X1096">
        <v>0.87099150000000003</v>
      </c>
      <c r="Y1096">
        <v>0.71835609999999905</v>
      </c>
      <c r="Z1096">
        <v>-2.59116E-2</v>
      </c>
      <c r="AA1096">
        <v>0.69519280000000006</v>
      </c>
      <c r="AB1096">
        <v>19</v>
      </c>
      <c r="AC1096">
        <v>4.8523999999999798</v>
      </c>
      <c r="AD1096">
        <v>-1.1160907730189999</v>
      </c>
      <c r="AE1096">
        <v>-9.0269000000000101</v>
      </c>
      <c r="AF1096">
        <v>7.4002363291431097</v>
      </c>
      <c r="AG1096">
        <v>-1.1160907730189999</v>
      </c>
      <c r="AH1096">
        <v>6.9151662413102999</v>
      </c>
      <c r="AI1096">
        <v>96.288335698301907</v>
      </c>
      <c r="AJ1096">
        <v>43.059304356573598</v>
      </c>
      <c r="AK1096">
        <v>10.189635934897</v>
      </c>
      <c r="AL1096">
        <v>96.704693534221306</v>
      </c>
      <c r="AM1096">
        <v>61.281267713533197</v>
      </c>
      <c r="AN1096">
        <v>1.00000004377373</v>
      </c>
    </row>
    <row r="1097" spans="1:40" x14ac:dyDescent="0.25">
      <c r="A1097" t="str">
        <f>"20190303154441190"</f>
        <v>20190303154441190</v>
      </c>
      <c r="B1097" t="str">
        <f>"1551599081181435"</f>
        <v>1551599081181435</v>
      </c>
      <c r="C1097" t="s">
        <v>40</v>
      </c>
      <c r="D1097">
        <v>5.4221159999999999</v>
      </c>
      <c r="E1097">
        <v>0.62162919999999999</v>
      </c>
      <c r="F1097" t="s">
        <v>50</v>
      </c>
      <c r="G1097">
        <v>-198.20769999999999</v>
      </c>
      <c r="H1097" s="1">
        <v>-5.7198660000000004E-6</v>
      </c>
      <c r="I1097">
        <v>357.06310000000002</v>
      </c>
      <c r="J1097">
        <v>-202.9684</v>
      </c>
      <c r="K1097">
        <v>1.116023</v>
      </c>
      <c r="L1097">
        <v>366.15660000000003</v>
      </c>
      <c r="M1097">
        <v>0.96446069999999995</v>
      </c>
      <c r="N1097">
        <v>-1.407859E-2</v>
      </c>
      <c r="O1097">
        <v>-0.2638509</v>
      </c>
      <c r="P1097">
        <v>0.70983799999999997</v>
      </c>
      <c r="Q1097">
        <v>-0.1228732</v>
      </c>
      <c r="R1097">
        <v>-0.69356509999999905</v>
      </c>
      <c r="S1097">
        <v>1.487549</v>
      </c>
      <c r="T1097">
        <v>-0.33671089999999998</v>
      </c>
      <c r="U1097">
        <v>-2.7601619999999998</v>
      </c>
      <c r="V1097">
        <v>0.48031819999999997</v>
      </c>
      <c r="W1097">
        <v>-0.1163839</v>
      </c>
      <c r="X1097">
        <v>0.86933839999999996</v>
      </c>
      <c r="Y1097">
        <v>0.72060199999999996</v>
      </c>
      <c r="Z1097">
        <v>-2.5239689999999999E-2</v>
      </c>
      <c r="AA1097">
        <v>0.69288950000000005</v>
      </c>
      <c r="AB1097">
        <v>19</v>
      </c>
      <c r="AC1097">
        <v>4.7607000000000097</v>
      </c>
      <c r="AD1097">
        <v>-1.1160287198659999</v>
      </c>
      <c r="AE1097">
        <v>-9.0935000000000006</v>
      </c>
      <c r="AF1097">
        <v>7.4271495329006596</v>
      </c>
      <c r="AG1097">
        <v>-1.1160287198659999</v>
      </c>
      <c r="AH1097">
        <v>6.9098410881982701</v>
      </c>
      <c r="AI1097">
        <v>96.278118119611406</v>
      </c>
      <c r="AJ1097">
        <v>42.933545563926998</v>
      </c>
      <c r="AK1097">
        <v>10.205585438953699</v>
      </c>
      <c r="AL1097">
        <v>96.683452584743605</v>
      </c>
      <c r="AM1097">
        <v>61.078908646943802</v>
      </c>
      <c r="AN1097">
        <v>1.0000000195725001</v>
      </c>
    </row>
    <row r="1098" spans="1:40" x14ac:dyDescent="0.25">
      <c r="A1098" t="str">
        <f>"20190303154441213"</f>
        <v>20190303154441213</v>
      </c>
      <c r="B1098" t="str">
        <f>"1551599081201928"</f>
        <v>1551599081201928</v>
      </c>
      <c r="C1098" t="s">
        <v>40</v>
      </c>
      <c r="D1098">
        <v>5.380935</v>
      </c>
      <c r="E1098">
        <v>0.6213687</v>
      </c>
      <c r="F1098" t="s">
        <v>50</v>
      </c>
      <c r="G1098">
        <v>-198.13829999999999</v>
      </c>
      <c r="H1098" s="1">
        <v>-5.6669699999999997E-6</v>
      </c>
      <c r="I1098">
        <v>356.9375</v>
      </c>
      <c r="J1098">
        <v>-202.78479999999999</v>
      </c>
      <c r="K1098">
        <v>1.115958</v>
      </c>
      <c r="L1098">
        <v>366.09440000000001</v>
      </c>
      <c r="M1098">
        <v>0.96185949999999998</v>
      </c>
      <c r="N1098">
        <v>-1.41087E-2</v>
      </c>
      <c r="O1098">
        <v>-0.27318019999999998</v>
      </c>
      <c r="P1098">
        <v>0.70067069999999998</v>
      </c>
      <c r="Q1098">
        <v>-0.12185319999999999</v>
      </c>
      <c r="R1098">
        <v>-0.70300269999999898</v>
      </c>
      <c r="S1098">
        <v>1.45488</v>
      </c>
      <c r="T1098">
        <v>-0.33615820000000002</v>
      </c>
      <c r="U1098">
        <v>-2.7768860000000002</v>
      </c>
      <c r="V1098">
        <v>0.4834678</v>
      </c>
      <c r="W1098">
        <v>-0.1154753</v>
      </c>
      <c r="X1098">
        <v>0.86771209999999899</v>
      </c>
      <c r="Y1098">
        <v>0.7220432</v>
      </c>
      <c r="Z1098">
        <v>-2.4377780000000002E-2</v>
      </c>
      <c r="AA1098">
        <v>0.69141839999999999</v>
      </c>
      <c r="AB1098">
        <v>18</v>
      </c>
      <c r="AC1098">
        <v>4.6464999999999996</v>
      </c>
      <c r="AD1098">
        <v>-1.1159636669699999</v>
      </c>
      <c r="AE1098">
        <v>-9.1569000000000091</v>
      </c>
      <c r="AF1098">
        <v>7.4510620386453796</v>
      </c>
      <c r="AG1098">
        <v>-1.1159636669699999</v>
      </c>
      <c r="AH1098">
        <v>6.8900760807632997</v>
      </c>
      <c r="AI1098">
        <v>96.275244574505194</v>
      </c>
      <c r="AJ1098">
        <v>42.759888488300099</v>
      </c>
      <c r="AK1098">
        <v>10.209644891397801</v>
      </c>
      <c r="AL1098">
        <v>96.631040551667795</v>
      </c>
      <c r="AM1098">
        <v>60.874525467862</v>
      </c>
      <c r="AN1098">
        <v>0.99999997351666903</v>
      </c>
    </row>
    <row r="1099" spans="1:40" x14ac:dyDescent="0.25">
      <c r="A1099" t="str">
        <f>"20190303154441236"</f>
        <v>20190303154441236</v>
      </c>
      <c r="B1099" t="str">
        <f>"1551599081231715"</f>
        <v>1551599081231715</v>
      </c>
      <c r="C1099" t="s">
        <v>40</v>
      </c>
      <c r="D1099">
        <v>5.3956730000000004</v>
      </c>
      <c r="E1099">
        <v>0.62101580000000001</v>
      </c>
      <c r="F1099" t="s">
        <v>50</v>
      </c>
      <c r="G1099">
        <v>-198.0428</v>
      </c>
      <c r="H1099" s="1">
        <v>-5.5929710000000003E-6</v>
      </c>
      <c r="I1099">
        <v>356.76100000000002</v>
      </c>
      <c r="J1099">
        <v>-202.60390000000001</v>
      </c>
      <c r="K1099">
        <v>1.115888</v>
      </c>
      <c r="L1099">
        <v>366.03109999999998</v>
      </c>
      <c r="M1099">
        <v>0.95914279999999996</v>
      </c>
      <c r="N1099">
        <v>-1.4140059999999999E-2</v>
      </c>
      <c r="O1099">
        <v>-0.28256930000000002</v>
      </c>
      <c r="P1099">
        <v>0.69153759999999997</v>
      </c>
      <c r="Q1099">
        <v>-0.1221501</v>
      </c>
      <c r="R1099">
        <v>-0.71193790000000001</v>
      </c>
      <c r="S1099">
        <v>1.4197850000000001</v>
      </c>
      <c r="T1099">
        <v>-0.3341268</v>
      </c>
      <c r="U1099">
        <v>-2.794495</v>
      </c>
      <c r="V1099">
        <v>0.48610730000000002</v>
      </c>
      <c r="W1099">
        <v>-0.1158815</v>
      </c>
      <c r="X1099">
        <v>0.86618200000000001</v>
      </c>
      <c r="Y1099">
        <v>0.72400469999999995</v>
      </c>
      <c r="Z1099">
        <v>-2.3499340000000001E-2</v>
      </c>
      <c r="AA1099">
        <v>0.68939459999999997</v>
      </c>
      <c r="AB1099">
        <v>18</v>
      </c>
      <c r="AC1099">
        <v>4.5610999999999997</v>
      </c>
      <c r="AD1099">
        <v>-1.1158935929710001</v>
      </c>
      <c r="AE1099">
        <v>-9.27010000000001</v>
      </c>
      <c r="AF1099">
        <v>7.5156043474677396</v>
      </c>
      <c r="AG1099">
        <v>-1.1158935929710001</v>
      </c>
      <c r="AH1099">
        <v>6.9142283596797203</v>
      </c>
      <c r="AI1099">
        <v>96.235950984049694</v>
      </c>
      <c r="AJ1099">
        <v>42.613528954132697</v>
      </c>
      <c r="AK1099">
        <v>10.273075538917601</v>
      </c>
      <c r="AL1099">
        <v>96.654470930522393</v>
      </c>
      <c r="AM1099">
        <v>60.698559700615903</v>
      </c>
      <c r="AN1099">
        <v>1.00000004313976</v>
      </c>
    </row>
    <row r="1100" spans="1:40" x14ac:dyDescent="0.25">
      <c r="A1100" t="str">
        <f>"20190303154441259"</f>
        <v>20190303154441259</v>
      </c>
      <c r="B1100" t="str">
        <f>"1551599081251236"</f>
        <v>1551599081251236</v>
      </c>
      <c r="C1100" t="s">
        <v>40</v>
      </c>
      <c r="D1100">
        <v>5.4346399999999999</v>
      </c>
      <c r="E1100">
        <v>0.62070789999999998</v>
      </c>
      <c r="F1100" t="s">
        <v>50</v>
      </c>
      <c r="G1100">
        <v>-197.98830000000001</v>
      </c>
      <c r="H1100" s="1">
        <v>-5.5526510000000003E-6</v>
      </c>
      <c r="I1100">
        <v>356.666</v>
      </c>
      <c r="J1100">
        <v>-202.42670000000001</v>
      </c>
      <c r="K1100">
        <v>1.1157950000000001</v>
      </c>
      <c r="L1100">
        <v>365.96690000000001</v>
      </c>
      <c r="M1100">
        <v>0.95632930000000005</v>
      </c>
      <c r="N1100">
        <v>-1.4171660000000001E-2</v>
      </c>
      <c r="O1100">
        <v>-0.29194759999999997</v>
      </c>
      <c r="P1100">
        <v>0.68301149999999999</v>
      </c>
      <c r="Q1100">
        <v>-0.1232297</v>
      </c>
      <c r="R1100">
        <v>-0.71993750000000001</v>
      </c>
      <c r="S1100">
        <v>1.3853</v>
      </c>
      <c r="T1100">
        <v>-0.334918099999999</v>
      </c>
      <c r="U1100">
        <v>-2.810791</v>
      </c>
      <c r="V1100">
        <v>0.48772290000000001</v>
      </c>
      <c r="W1100">
        <v>-0.117062899999999</v>
      </c>
      <c r="X1100">
        <v>0.8651143</v>
      </c>
      <c r="Y1100">
        <v>0.7256589</v>
      </c>
      <c r="Z1100">
        <v>-2.2707020000000001E-2</v>
      </c>
      <c r="AA1100">
        <v>0.68767990000000001</v>
      </c>
      <c r="AB1100">
        <v>18</v>
      </c>
      <c r="AC1100">
        <v>4.4383999999999997</v>
      </c>
      <c r="AD1100">
        <v>-1.115800552651</v>
      </c>
      <c r="AE1100">
        <v>-9.3009000000000093</v>
      </c>
      <c r="AF1100">
        <v>7.5116502799837903</v>
      </c>
      <c r="AG1100">
        <v>-1.115800552651</v>
      </c>
      <c r="AH1100">
        <v>6.87999516588979</v>
      </c>
      <c r="AI1100">
        <v>96.251263070728797</v>
      </c>
      <c r="AJ1100">
        <v>42.486878068282898</v>
      </c>
      <c r="AK1100">
        <v>10.2471573758161</v>
      </c>
      <c r="AL1100">
        <v>96.722623966385001</v>
      </c>
      <c r="AM1100">
        <v>60.587130587310199</v>
      </c>
      <c r="AN1100">
        <v>1.0000000509026501</v>
      </c>
    </row>
    <row r="1101" spans="1:40" x14ac:dyDescent="0.25">
      <c r="A1101" t="str">
        <f>"20190303154441284"</f>
        <v>20190303154441284</v>
      </c>
      <c r="B1101" t="str">
        <f>"1551599081271732"</f>
        <v>1551599081271732</v>
      </c>
      <c r="C1101" t="s">
        <v>40</v>
      </c>
      <c r="D1101">
        <v>4.8981519999999996</v>
      </c>
      <c r="E1101">
        <v>0.62051829999999997</v>
      </c>
      <c r="F1101" t="s">
        <v>50</v>
      </c>
      <c r="G1101">
        <v>-197.9562</v>
      </c>
      <c r="H1101" s="1">
        <v>-5.5385969999999999E-6</v>
      </c>
      <c r="I1101">
        <v>356.63889999999998</v>
      </c>
      <c r="J1101">
        <v>-202.23230000000001</v>
      </c>
      <c r="K1101">
        <v>1.1156870000000001</v>
      </c>
      <c r="L1101">
        <v>365.8938</v>
      </c>
      <c r="M1101">
        <v>0.95305700000000004</v>
      </c>
      <c r="N1101">
        <v>-1.420603E-2</v>
      </c>
      <c r="O1101">
        <v>-0.3024578</v>
      </c>
      <c r="P1101">
        <v>0.67413800000000001</v>
      </c>
      <c r="Q1101">
        <v>-0.12471</v>
      </c>
      <c r="R1101">
        <v>-0.72800149999999997</v>
      </c>
      <c r="S1101">
        <v>1.353775</v>
      </c>
      <c r="T1101">
        <v>-0.33789269999999999</v>
      </c>
      <c r="U1101">
        <v>-2.824738</v>
      </c>
      <c r="V1101">
        <v>0.48851230000000001</v>
      </c>
      <c r="W1101">
        <v>-0.11864619999999999</v>
      </c>
      <c r="X1101">
        <v>0.86445289999999997</v>
      </c>
      <c r="Y1101">
        <v>0.72565619999999997</v>
      </c>
      <c r="Z1101">
        <v>-2.1692980000000001E-2</v>
      </c>
      <c r="AA1101">
        <v>0.68771549999999904</v>
      </c>
      <c r="AB1101">
        <v>18</v>
      </c>
      <c r="AC1101">
        <v>4.2761000000000102</v>
      </c>
      <c r="AD1101">
        <v>-1.115692538597</v>
      </c>
      <c r="AE1101">
        <v>-9.2549000000000099</v>
      </c>
      <c r="AF1101">
        <v>7.4387791646022601</v>
      </c>
      <c r="AG1101">
        <v>-1.115692538597</v>
      </c>
      <c r="AH1101">
        <v>6.7939126276014603</v>
      </c>
      <c r="AI1101">
        <v>96.319513864468803</v>
      </c>
      <c r="AJ1101">
        <v>42.405769823618797</v>
      </c>
      <c r="AK1101">
        <v>10.1359486034551</v>
      </c>
      <c r="AL1101">
        <v>96.813977364598301</v>
      </c>
      <c r="AM1101">
        <v>60.528708099804703</v>
      </c>
      <c r="AN1101">
        <v>1.0000000021720701</v>
      </c>
    </row>
    <row r="1102" spans="1:40" x14ac:dyDescent="0.25">
      <c r="A1102" t="str">
        <f>"20190303154441302"</f>
        <v>20190303154441302</v>
      </c>
      <c r="B1102" t="str">
        <f>"1551599081291252"</f>
        <v>1551599081291252</v>
      </c>
      <c r="C1102" t="s">
        <v>40</v>
      </c>
      <c r="D1102">
        <v>4.909033</v>
      </c>
      <c r="E1102">
        <v>0.65620369999999995</v>
      </c>
      <c r="F1102" t="s">
        <v>50</v>
      </c>
      <c r="G1102">
        <v>-197.93379999999999</v>
      </c>
      <c r="H1102" s="1">
        <v>-5.5384509999999997E-6</v>
      </c>
      <c r="I1102">
        <v>356.64890000000003</v>
      </c>
      <c r="J1102">
        <v>-202.07650000000001</v>
      </c>
      <c r="K1102">
        <v>1.115612</v>
      </c>
      <c r="L1102">
        <v>365.83319999999998</v>
      </c>
      <c r="M1102">
        <v>0.95028829999999997</v>
      </c>
      <c r="N1102">
        <v>-1.4233239999999999E-2</v>
      </c>
      <c r="O1102">
        <v>-0.3110463</v>
      </c>
      <c r="P1102">
        <v>0.66674080000000002</v>
      </c>
      <c r="Q1102">
        <v>-0.12467010000000001</v>
      </c>
      <c r="R1102">
        <v>-0.73478880000000002</v>
      </c>
      <c r="S1102">
        <v>1.3203129999999901</v>
      </c>
      <c r="T1102">
        <v>-0.34269569999999999</v>
      </c>
      <c r="U1102">
        <v>-2.839661</v>
      </c>
      <c r="V1102">
        <v>0.48943740000000002</v>
      </c>
      <c r="W1102">
        <v>-0.1186899</v>
      </c>
      <c r="X1102">
        <v>0.86392340000000001</v>
      </c>
      <c r="Y1102">
        <v>0.72744189999999997</v>
      </c>
      <c r="Z1102">
        <v>-2.1096210000000001E-2</v>
      </c>
      <c r="AA1102">
        <v>0.68584489999999998</v>
      </c>
      <c r="AB1102">
        <v>18</v>
      </c>
      <c r="AC1102">
        <v>4.1427000000000103</v>
      </c>
      <c r="AD1102">
        <v>-1.1156175384510001</v>
      </c>
      <c r="AE1102">
        <v>-9.18429999999994</v>
      </c>
      <c r="AF1102">
        <v>7.3498019589804997</v>
      </c>
      <c r="AG1102">
        <v>-1.1156175384510001</v>
      </c>
      <c r="AH1102">
        <v>6.7118981811988601</v>
      </c>
      <c r="AI1102">
        <v>96.395284389176894</v>
      </c>
      <c r="AJ1102">
        <v>42.402579160352303</v>
      </c>
      <c r="AK1102">
        <v>10.0156761390888</v>
      </c>
      <c r="AL1102">
        <v>96.816499358781101</v>
      </c>
      <c r="AM1102">
        <v>60.467201659568403</v>
      </c>
      <c r="AN1102">
        <v>0.99999995097416305</v>
      </c>
    </row>
    <row r="1103" spans="1:40" x14ac:dyDescent="0.25">
      <c r="A1103" t="str">
        <f>"20190303154441325"</f>
        <v>20190303154441325</v>
      </c>
      <c r="B1103" t="str">
        <f>"1551599081321508"</f>
        <v>1551599081321508</v>
      </c>
      <c r="C1103" t="s">
        <v>40</v>
      </c>
      <c r="D1103">
        <v>5.4611269999999896</v>
      </c>
      <c r="E1103">
        <v>0.65620369999999995</v>
      </c>
      <c r="F1103" t="s">
        <v>51</v>
      </c>
      <c r="G1103">
        <v>-167.9427</v>
      </c>
      <c r="H1103">
        <v>2.0235050000000001</v>
      </c>
      <c r="I1103">
        <v>272.61509999999998</v>
      </c>
      <c r="J1103">
        <v>-201.90209999999999</v>
      </c>
      <c r="K1103">
        <v>1.1155600000000001</v>
      </c>
      <c r="L1103">
        <v>365.76310000000001</v>
      </c>
      <c r="M1103">
        <v>0.94703499999999996</v>
      </c>
      <c r="N1103">
        <v>-1.426173E-2</v>
      </c>
      <c r="O1103">
        <v>-0.3208143</v>
      </c>
      <c r="P1103">
        <v>0.65826260000000003</v>
      </c>
      <c r="Q1103">
        <v>-0.12374110000000001</v>
      </c>
      <c r="R1103">
        <v>-0.74254909999999996</v>
      </c>
      <c r="S1103">
        <v>1.1235809999999999</v>
      </c>
      <c r="T1103">
        <v>2.9887560000000001E-2</v>
      </c>
      <c r="U1103">
        <v>-3.068451</v>
      </c>
      <c r="V1103">
        <v>0.49059819999999998</v>
      </c>
      <c r="W1103">
        <v>-0.117832199999999</v>
      </c>
      <c r="X1103">
        <v>0.86338230000000005</v>
      </c>
      <c r="Y1103">
        <v>0.77908369999999905</v>
      </c>
      <c r="Z1103">
        <v>-9.8301429999999995E-3</v>
      </c>
      <c r="AA1103">
        <v>0.62684289999999998</v>
      </c>
      <c r="AB1103">
        <v>18</v>
      </c>
      <c r="AC1103">
        <v>33.959399999999903</v>
      </c>
      <c r="AD1103">
        <v>0.907945</v>
      </c>
      <c r="AE1103">
        <v>-93.147999999999996</v>
      </c>
      <c r="AF1103">
        <v>77.321115632960101</v>
      </c>
      <c r="AG1103">
        <v>0.907945</v>
      </c>
      <c r="AH1103">
        <v>62.045042580114497</v>
      </c>
      <c r="AI1103">
        <v>89.475271908208498</v>
      </c>
      <c r="AJ1103">
        <v>38.744720346668103</v>
      </c>
      <c r="AK1103">
        <v>99.141144816956995</v>
      </c>
      <c r="AL1103">
        <v>96.767009079714398</v>
      </c>
      <c r="AM1103">
        <v>60.393538864814097</v>
      </c>
      <c r="AN1103">
        <v>1.00000000857668</v>
      </c>
    </row>
    <row r="1104" spans="1:40" x14ac:dyDescent="0.25">
      <c r="A1104" t="str">
        <f>"20190303154441347"</f>
        <v>20190303154441347</v>
      </c>
      <c r="B1104" t="str">
        <f>"1551599081342004"</f>
        <v>1551599081342004</v>
      </c>
      <c r="C1104" t="s">
        <v>40</v>
      </c>
      <c r="D1104">
        <v>5.5151240000000001</v>
      </c>
      <c r="E1104">
        <v>0.65620369999999995</v>
      </c>
      <c r="F1104" t="s">
        <v>51</v>
      </c>
      <c r="G1104">
        <v>-168.35050000000001</v>
      </c>
      <c r="H1104">
        <v>2.1176300000000001</v>
      </c>
      <c r="I1104">
        <v>270.72829999999999</v>
      </c>
      <c r="J1104">
        <v>-201.7313</v>
      </c>
      <c r="K1104">
        <v>1.1155310000000001</v>
      </c>
      <c r="L1104">
        <v>365.69229999999999</v>
      </c>
      <c r="M1104">
        <v>0.94368989999999997</v>
      </c>
      <c r="N1104">
        <v>-1.428667E-2</v>
      </c>
      <c r="O1104">
        <v>-0.3305227</v>
      </c>
      <c r="P1104">
        <v>0.65002629999999995</v>
      </c>
      <c r="Q1104">
        <v>-0.1216917</v>
      </c>
      <c r="R1104">
        <v>-0.75010449999999995</v>
      </c>
      <c r="S1104">
        <v>1.0878300000000001</v>
      </c>
      <c r="T1104">
        <v>3.2492159999999999E-2</v>
      </c>
      <c r="U1104">
        <v>-3.0812680000000001</v>
      </c>
      <c r="V1104">
        <v>0.49159229999999998</v>
      </c>
      <c r="W1104">
        <v>-0.1158247</v>
      </c>
      <c r="X1104">
        <v>0.86308839999999998</v>
      </c>
      <c r="Y1104">
        <v>0.77993480000000004</v>
      </c>
      <c r="Z1104">
        <v>-9.9753169999999992E-3</v>
      </c>
      <c r="AA1104">
        <v>0.62578120000000004</v>
      </c>
      <c r="AB1104">
        <v>18</v>
      </c>
      <c r="AC1104">
        <v>33.380799999999901</v>
      </c>
      <c r="AD1104">
        <v>1.0020990000000001</v>
      </c>
      <c r="AE1104">
        <v>-94.963999999999999</v>
      </c>
      <c r="AF1104">
        <v>78.583688627554395</v>
      </c>
      <c r="AG1104">
        <v>1.0020990000000001</v>
      </c>
      <c r="AH1104">
        <v>62.889068048819098</v>
      </c>
      <c r="AI1104">
        <v>89.429566594944106</v>
      </c>
      <c r="AJ1104">
        <v>38.669639665024597</v>
      </c>
      <c r="AK1104">
        <v>100.65503067789101</v>
      </c>
      <c r="AL1104">
        <v>96.651194967337801</v>
      </c>
      <c r="AM1104">
        <v>60.335306389357498</v>
      </c>
      <c r="AN1104">
        <v>0.99999996838196903</v>
      </c>
    </row>
    <row r="1105" spans="1:40" x14ac:dyDescent="0.25">
      <c r="A1105" t="str">
        <f>"20190303154441371"</f>
        <v>20190303154441371</v>
      </c>
      <c r="B1105" t="str">
        <f>"1551599081361527"</f>
        <v>1551599081361527</v>
      </c>
      <c r="C1105" t="s">
        <v>40</v>
      </c>
      <c r="D1105">
        <v>4.9504239999999999</v>
      </c>
      <c r="E1105">
        <v>0.65631490000000003</v>
      </c>
      <c r="F1105" t="s">
        <v>52</v>
      </c>
      <c r="G1105">
        <v>-157.8382</v>
      </c>
      <c r="H1105">
        <v>2.7029709999999998</v>
      </c>
      <c r="I1105">
        <v>236.65969999999999</v>
      </c>
      <c r="J1105">
        <v>-201.55619999999999</v>
      </c>
      <c r="K1105">
        <v>1.11551</v>
      </c>
      <c r="L1105">
        <v>365.61739999999998</v>
      </c>
      <c r="M1105">
        <v>0.94009609999999999</v>
      </c>
      <c r="N1105">
        <v>-1.430937E-2</v>
      </c>
      <c r="O1105">
        <v>-0.340609</v>
      </c>
      <c r="P1105">
        <v>0.64106200000000002</v>
      </c>
      <c r="Q1105">
        <v>-0.1221836</v>
      </c>
      <c r="R1105">
        <v>-0.75770099999999996</v>
      </c>
      <c r="S1105">
        <v>1.0523830000000001</v>
      </c>
      <c r="T1105">
        <v>3.8061860000000003E-2</v>
      </c>
      <c r="U1105">
        <v>-3.0936889999999999</v>
      </c>
      <c r="V1105">
        <v>0.49252249999999997</v>
      </c>
      <c r="W1105">
        <v>-0.11634410000000001</v>
      </c>
      <c r="X1105">
        <v>0.86248799999999903</v>
      </c>
      <c r="Y1105">
        <v>0.78043339999999894</v>
      </c>
      <c r="Z1105">
        <v>-1.004319E-2</v>
      </c>
      <c r="AA1105">
        <v>0.62515829999999994</v>
      </c>
      <c r="AB1105">
        <v>18</v>
      </c>
      <c r="AC1105">
        <v>43.717999999999897</v>
      </c>
      <c r="AD1105">
        <v>1.58746099999999</v>
      </c>
      <c r="AE1105">
        <v>-128.95769999999999</v>
      </c>
      <c r="AF1105">
        <v>106.33832646565401</v>
      </c>
      <c r="AG1105">
        <v>1.58746099999999</v>
      </c>
      <c r="AH1105">
        <v>85.020428135002206</v>
      </c>
      <c r="AI1105">
        <v>89.331972499205193</v>
      </c>
      <c r="AJ1105">
        <v>38.643300861547097</v>
      </c>
      <c r="AK1105">
        <v>136.15738286336699</v>
      </c>
      <c r="AL1105">
        <v>96.681157039545695</v>
      </c>
      <c r="AM1105">
        <v>60.271536444423703</v>
      </c>
      <c r="AN1105">
        <v>0.99999995637752803</v>
      </c>
    </row>
    <row r="1106" spans="1:40" x14ac:dyDescent="0.25">
      <c r="A1106" t="str">
        <f>"20190303154441392"</f>
        <v>20190303154441392</v>
      </c>
      <c r="B1106" t="str">
        <f>"1551599081382019"</f>
        <v>1551599081382019</v>
      </c>
      <c r="C1106" t="s">
        <v>40</v>
      </c>
      <c r="D1106">
        <v>4.9307049999999997</v>
      </c>
      <c r="E1106">
        <v>0.65542519999999904</v>
      </c>
      <c r="F1106" t="s">
        <v>52</v>
      </c>
      <c r="G1106">
        <v>-157.25</v>
      </c>
      <c r="H1106">
        <v>2.2542900000000001</v>
      </c>
      <c r="I1106">
        <v>229.917</v>
      </c>
      <c r="J1106">
        <v>-201.38579999999999</v>
      </c>
      <c r="K1106">
        <v>1.1155010000000001</v>
      </c>
      <c r="L1106">
        <v>365.54219999999998</v>
      </c>
      <c r="M1106">
        <v>0.9364365</v>
      </c>
      <c r="N1106">
        <v>-1.432984E-2</v>
      </c>
      <c r="O1106">
        <v>-0.35054459999999998</v>
      </c>
      <c r="P1106">
        <v>0.63223300000000004</v>
      </c>
      <c r="Q1106">
        <v>-0.12239899999999999</v>
      </c>
      <c r="R1106">
        <v>-0.76504910000000004</v>
      </c>
      <c r="S1106">
        <v>1.0139769999999999</v>
      </c>
      <c r="T1106">
        <v>2.6062970000000001E-2</v>
      </c>
      <c r="U1106">
        <v>-3.105591</v>
      </c>
      <c r="V1106">
        <v>0.49335050000000003</v>
      </c>
      <c r="W1106">
        <v>-0.11657389999999999</v>
      </c>
      <c r="X1106">
        <v>0.86198369999999902</v>
      </c>
      <c r="Y1106">
        <v>0.78148439999999997</v>
      </c>
      <c r="Z1106">
        <v>-1.0683140000000001E-2</v>
      </c>
      <c r="AA1106">
        <v>0.62383319999999998</v>
      </c>
      <c r="AB1106">
        <v>18</v>
      </c>
      <c r="AC1106">
        <v>44.135799999999897</v>
      </c>
      <c r="AD1106">
        <v>1.1387890000000001</v>
      </c>
      <c r="AE1106">
        <v>-135.62519999999901</v>
      </c>
      <c r="AF1106">
        <v>111.537153668747</v>
      </c>
      <c r="AG1106">
        <v>1.1387890000000001</v>
      </c>
      <c r="AH1106">
        <v>88.876507781224007</v>
      </c>
      <c r="AI1106">
        <v>89.542505603217094</v>
      </c>
      <c r="AJ1106">
        <v>38.549000686873001</v>
      </c>
      <c r="AK1106">
        <v>142.621411871774</v>
      </c>
      <c r="AL1106">
        <v>96.694413223138696</v>
      </c>
      <c r="AM1106">
        <v>60.215629905816797</v>
      </c>
      <c r="AN1106">
        <v>1.0000000445385699</v>
      </c>
    </row>
    <row r="1107" spans="1:40" x14ac:dyDescent="0.25">
      <c r="A1107" t="str">
        <f>"20190303154441416"</f>
        <v>20190303154441416</v>
      </c>
      <c r="B1107" t="str">
        <f>"1551599081411300"</f>
        <v>1551599081411300</v>
      </c>
      <c r="C1107" t="s">
        <v>40</v>
      </c>
      <c r="D1107">
        <v>4.9805840000000003</v>
      </c>
      <c r="E1107">
        <v>0.65709419999999996</v>
      </c>
      <c r="F1107" t="s">
        <v>52</v>
      </c>
      <c r="G1107">
        <v>-165.6283</v>
      </c>
      <c r="H1107">
        <v>1.965417</v>
      </c>
      <c r="I1107">
        <v>252.31030000000001</v>
      </c>
      <c r="J1107">
        <v>-201.20910000000001</v>
      </c>
      <c r="K1107">
        <v>1.1154759999999999</v>
      </c>
      <c r="L1107">
        <v>365.46190000000001</v>
      </c>
      <c r="M1107">
        <v>0.9324751</v>
      </c>
      <c r="N1107">
        <v>-1.434963E-2</v>
      </c>
      <c r="O1107">
        <v>-0.36094929999999997</v>
      </c>
      <c r="P1107">
        <v>0.62193880000000001</v>
      </c>
      <c r="Q1107">
        <v>-0.1233191</v>
      </c>
      <c r="R1107">
        <v>-0.773294699999999</v>
      </c>
      <c r="S1107">
        <v>0.98297120000000004</v>
      </c>
      <c r="T1107">
        <v>2.336562E-2</v>
      </c>
      <c r="U1107">
        <v>-3.1127319999999998</v>
      </c>
      <c r="V1107">
        <v>0.49513170000000001</v>
      </c>
      <c r="W1107">
        <v>-0.11752749999999999</v>
      </c>
      <c r="X1107">
        <v>0.86083209999999999</v>
      </c>
      <c r="Y1107">
        <v>0.78058839999999996</v>
      </c>
      <c r="Z1107">
        <v>-1.098531E-2</v>
      </c>
      <c r="AA1107">
        <v>0.62494890000000003</v>
      </c>
      <c r="AB1107">
        <v>18</v>
      </c>
      <c r="AC1107">
        <v>35.580800000000004</v>
      </c>
      <c r="AD1107">
        <v>0.84994099999999895</v>
      </c>
      <c r="AE1107">
        <v>-113.1516</v>
      </c>
      <c r="AF1107">
        <v>92.672962892921902</v>
      </c>
      <c r="AG1107">
        <v>0.84994099999999895</v>
      </c>
      <c r="AH1107">
        <v>74.024017532888095</v>
      </c>
      <c r="AI1107">
        <v>89.589427012543993</v>
      </c>
      <c r="AJ1107">
        <v>38.6166728494387</v>
      </c>
      <c r="AK1107">
        <v>118.610942255618</v>
      </c>
      <c r="AL1107">
        <v>96.749428898582394</v>
      </c>
      <c r="AM1107">
        <v>60.093433476245998</v>
      </c>
      <c r="AN1107">
        <v>1.0000000089957699</v>
      </c>
    </row>
    <row r="1108" spans="1:40" x14ac:dyDescent="0.25">
      <c r="A1108" t="str">
        <f>"20190303154441439"</f>
        <v>20190303154441439</v>
      </c>
      <c r="B1108" t="str">
        <f>"1551599081431796"</f>
        <v>1551599081431796</v>
      </c>
      <c r="C1108" t="s">
        <v>40</v>
      </c>
      <c r="D1108">
        <v>4.9604229999999996</v>
      </c>
      <c r="E1108">
        <v>0.65621770000000001</v>
      </c>
      <c r="F1108" t="s">
        <v>52</v>
      </c>
      <c r="G1108">
        <v>-167.60669999999999</v>
      </c>
      <c r="H1108">
        <v>1.954566</v>
      </c>
      <c r="I1108">
        <v>252.31030000000001</v>
      </c>
      <c r="J1108">
        <v>-201.03720000000001</v>
      </c>
      <c r="K1108">
        <v>1.1154660000000001</v>
      </c>
      <c r="L1108">
        <v>365.38130000000001</v>
      </c>
      <c r="M1108">
        <v>0.92845860000000002</v>
      </c>
      <c r="N1108">
        <v>-1.436716E-2</v>
      </c>
      <c r="O1108">
        <v>-0.3711585</v>
      </c>
      <c r="P1108">
        <v>0.6123556</v>
      </c>
      <c r="Q1108">
        <v>-0.124504</v>
      </c>
      <c r="R1108">
        <v>-0.78071740000000001</v>
      </c>
      <c r="S1108">
        <v>0.93086239999999998</v>
      </c>
      <c r="T1108">
        <v>2.324617E-2</v>
      </c>
      <c r="U1108">
        <v>-3.1345519999999998</v>
      </c>
      <c r="V1108">
        <v>0.49610700000000002</v>
      </c>
      <c r="W1108">
        <v>-0.1187309</v>
      </c>
      <c r="X1108">
        <v>0.86010520000000001</v>
      </c>
      <c r="Y1108">
        <v>0.7844681</v>
      </c>
      <c r="Z1108">
        <v>-1.1234900000000001E-2</v>
      </c>
      <c r="AA1108">
        <v>0.62006749999999999</v>
      </c>
      <c r="AB1108">
        <v>18</v>
      </c>
      <c r="AC1108">
        <v>33.430500000000002</v>
      </c>
      <c r="AD1108">
        <v>0.83909999999999996</v>
      </c>
      <c r="AE1108">
        <v>-113.071</v>
      </c>
      <c r="AF1108">
        <v>92.578575937278998</v>
      </c>
      <c r="AG1108">
        <v>0.83909999999999996</v>
      </c>
      <c r="AH1108">
        <v>73.009921093111103</v>
      </c>
      <c r="AI1108">
        <v>89.592242244111901</v>
      </c>
      <c r="AJ1108">
        <v>38.260249251605998</v>
      </c>
      <c r="AK1108">
        <v>117.90651122566</v>
      </c>
      <c r="AL1108">
        <v>96.818864409369795</v>
      </c>
      <c r="AM1108">
        <v>60.023735653646497</v>
      </c>
      <c r="AN1108">
        <v>1.00000006856542</v>
      </c>
    </row>
    <row r="1109" spans="1:40" x14ac:dyDescent="0.25">
      <c r="A1109" t="str">
        <f>"20190303154441461"</f>
        <v>20190303154441461</v>
      </c>
      <c r="B1109" t="str">
        <f>"1551599081451315"</f>
        <v>1551599081451315</v>
      </c>
      <c r="C1109" t="s">
        <v>40</v>
      </c>
      <c r="D1109">
        <v>4.9725999999999999</v>
      </c>
      <c r="E1109">
        <v>0.65519019999999994</v>
      </c>
      <c r="F1109" t="s">
        <v>52</v>
      </c>
      <c r="G1109">
        <v>-168.35059999999999</v>
      </c>
      <c r="H1109">
        <v>1.8635740000000001</v>
      </c>
      <c r="I1109">
        <v>251.09909999999999</v>
      </c>
      <c r="J1109">
        <v>-200.8724</v>
      </c>
      <c r="K1109">
        <v>1.1154550000000001</v>
      </c>
      <c r="L1109">
        <v>365.30189999999999</v>
      </c>
      <c r="M1109">
        <v>0.92445949999999999</v>
      </c>
      <c r="N1109">
        <v>-1.4381639999999999E-2</v>
      </c>
      <c r="O1109">
        <v>-0.38100889999999998</v>
      </c>
      <c r="P1109">
        <v>0.60426480000000005</v>
      </c>
      <c r="Q1109">
        <v>-0.12497129999999999</v>
      </c>
      <c r="R1109">
        <v>-0.78692220000000002</v>
      </c>
      <c r="S1109">
        <v>0.8984375</v>
      </c>
      <c r="T1109">
        <v>2.0564320000000001E-2</v>
      </c>
      <c r="U1109">
        <v>-3.1412049999999998</v>
      </c>
      <c r="V1109">
        <v>0.49576379999999998</v>
      </c>
      <c r="W1109">
        <v>-0.1191874</v>
      </c>
      <c r="X1109">
        <v>0.86023989999999995</v>
      </c>
      <c r="Y1109">
        <v>0.78412769999999898</v>
      </c>
      <c r="Z1109">
        <v>-1.1496279999999999E-2</v>
      </c>
      <c r="AA1109">
        <v>0.62049309999999902</v>
      </c>
      <c r="AB1109">
        <v>18</v>
      </c>
      <c r="AC1109">
        <v>32.521799999999999</v>
      </c>
      <c r="AD1109">
        <v>0.74811899999999998</v>
      </c>
      <c r="AE1109">
        <v>-114.2028</v>
      </c>
      <c r="AF1109">
        <v>93.190708214685102</v>
      </c>
      <c r="AG1109">
        <v>0.74811899999999998</v>
      </c>
      <c r="AH1109">
        <v>73.582060368635098</v>
      </c>
      <c r="AI1109">
        <v>89.639009254088094</v>
      </c>
      <c r="AJ1109">
        <v>38.294120454812301</v>
      </c>
      <c r="AK1109">
        <v>118.74084127917401</v>
      </c>
      <c r="AL1109">
        <v>96.845207226122199</v>
      </c>
      <c r="AM1109">
        <v>60.044775248414297</v>
      </c>
      <c r="AN1109">
        <v>1.0000000336306001</v>
      </c>
    </row>
    <row r="1110" spans="1:40" x14ac:dyDescent="0.25">
      <c r="A1110" t="str">
        <f>"20190303154441484"</f>
        <v>20190303154441484</v>
      </c>
      <c r="B1110" t="str">
        <f>"1551599081471811"</f>
        <v>1551599081471811</v>
      </c>
      <c r="C1110" t="s">
        <v>40</v>
      </c>
      <c r="D1110">
        <v>4.9815259999999997</v>
      </c>
      <c r="E1110">
        <v>0.65475269999999997</v>
      </c>
      <c r="F1110" t="s">
        <v>53</v>
      </c>
      <c r="G1110">
        <v>-157.61949999999999</v>
      </c>
      <c r="H1110">
        <v>1.9436040000000001</v>
      </c>
      <c r="I1110">
        <v>209.34100000000001</v>
      </c>
      <c r="J1110">
        <v>-200.7046</v>
      </c>
      <c r="K1110">
        <v>1.115443</v>
      </c>
      <c r="L1110">
        <v>365.21839999999997</v>
      </c>
      <c r="M1110">
        <v>0.92023239999999995</v>
      </c>
      <c r="N1110">
        <v>-1.439374E-2</v>
      </c>
      <c r="O1110">
        <v>-0.39110800000000001</v>
      </c>
      <c r="P1110">
        <v>0.59592619999999996</v>
      </c>
      <c r="Q1110">
        <v>-0.1252479</v>
      </c>
      <c r="R1110">
        <v>-0.79321219999999903</v>
      </c>
      <c r="S1110">
        <v>0.87223819999999996</v>
      </c>
      <c r="T1110">
        <v>1.67011E-2</v>
      </c>
      <c r="U1110">
        <v>-3.145111</v>
      </c>
      <c r="V1110">
        <v>0.4953806</v>
      </c>
      <c r="W1110">
        <v>-0.1194474</v>
      </c>
      <c r="X1110">
        <v>0.86042450000000004</v>
      </c>
      <c r="Y1110">
        <v>0.78231419999999996</v>
      </c>
      <c r="Z1110">
        <v>-1.1747230000000001E-2</v>
      </c>
      <c r="AA1110">
        <v>0.62277320000000003</v>
      </c>
      <c r="AB1110">
        <v>18</v>
      </c>
      <c r="AC1110">
        <v>43.085099999999997</v>
      </c>
      <c r="AD1110">
        <v>0.82816100000000004</v>
      </c>
      <c r="AE1110">
        <v>-155.87739999999999</v>
      </c>
      <c r="AF1110">
        <v>126.60228230945501</v>
      </c>
      <c r="AG1110">
        <v>0.82816100000000004</v>
      </c>
      <c r="AH1110">
        <v>100.62097266215</v>
      </c>
      <c r="AI1110">
        <v>89.706589808336702</v>
      </c>
      <c r="AJ1110">
        <v>38.476978019101701</v>
      </c>
      <c r="AK1110">
        <v>161.720140601232</v>
      </c>
      <c r="AL1110">
        <v>96.860211752273898</v>
      </c>
      <c r="AM1110">
        <v>60.069254553499498</v>
      </c>
      <c r="AN1110">
        <v>0.99999997021168396</v>
      </c>
    </row>
    <row r="1111" spans="1:40" x14ac:dyDescent="0.25">
      <c r="A1111" t="str">
        <f>"20190303154441505"</f>
        <v>20190303154441505</v>
      </c>
      <c r="B1111" t="str">
        <f>"1551599081502069"</f>
        <v>1551599081502069</v>
      </c>
      <c r="C1111" t="s">
        <v>40</v>
      </c>
      <c r="D1111">
        <v>5.1328060000000004</v>
      </c>
      <c r="E1111">
        <v>0.65173859999999995</v>
      </c>
      <c r="F1111" t="s">
        <v>53</v>
      </c>
      <c r="G1111">
        <v>-159.0762</v>
      </c>
      <c r="H1111">
        <v>1.855742</v>
      </c>
      <c r="I1111">
        <v>209.3415</v>
      </c>
      <c r="J1111">
        <v>-200.542</v>
      </c>
      <c r="K1111">
        <v>1.11544</v>
      </c>
      <c r="L1111">
        <v>365.13529999999997</v>
      </c>
      <c r="M1111">
        <v>0.91598820000000003</v>
      </c>
      <c r="N1111">
        <v>-1.4403060000000001E-2</v>
      </c>
      <c r="O1111">
        <v>-0.40094669999999999</v>
      </c>
      <c r="P1111">
        <v>0.58770679999999997</v>
      </c>
      <c r="Q1111">
        <v>-0.12675449999999999</v>
      </c>
      <c r="R1111">
        <v>-0.79908380000000001</v>
      </c>
      <c r="S1111">
        <v>0.84178159999999902</v>
      </c>
      <c r="T1111">
        <v>1.497042E-2</v>
      </c>
      <c r="U1111">
        <v>-3.1520389999999998</v>
      </c>
      <c r="V1111">
        <v>0.494807</v>
      </c>
      <c r="W1111">
        <v>-0.12092799999999999</v>
      </c>
      <c r="X1111">
        <v>0.86054779999999997</v>
      </c>
      <c r="Y1111">
        <v>0.78159080000000003</v>
      </c>
      <c r="Z1111">
        <v>-1.1943179999999999E-2</v>
      </c>
      <c r="AA1111">
        <v>0.62367709999999998</v>
      </c>
      <c r="AB1111">
        <v>18</v>
      </c>
      <c r="AC1111">
        <v>41.465800000000002</v>
      </c>
      <c r="AD1111">
        <v>0.74030199999999902</v>
      </c>
      <c r="AE1111">
        <v>-155.79379999999901</v>
      </c>
      <c r="AF1111">
        <v>126.090122086549</v>
      </c>
      <c r="AG1111">
        <v>0.74030199999999902</v>
      </c>
      <c r="AH1111">
        <v>100.455491342404</v>
      </c>
      <c r="AI1111">
        <v>89.736897389628993</v>
      </c>
      <c r="AJ1111">
        <v>38.544190768908301</v>
      </c>
      <c r="AK1111">
        <v>161.21591942390799</v>
      </c>
      <c r="AL1111">
        <v>96.945662883629893</v>
      </c>
      <c r="AM1111">
        <v>60.101497709068703</v>
      </c>
      <c r="AN1111">
        <v>1.00000003225891</v>
      </c>
    </row>
    <row r="1112" spans="1:40" x14ac:dyDescent="0.25">
      <c r="A1112" t="str">
        <f>"20190303154441527"</f>
        <v>20190303154441527</v>
      </c>
      <c r="B1112" t="str">
        <f>"1551599081521588"</f>
        <v>1551599081521588</v>
      </c>
      <c r="C1112" t="s">
        <v>40</v>
      </c>
      <c r="D1112">
        <v>5.145086</v>
      </c>
      <c r="E1112">
        <v>0.65000749999999996</v>
      </c>
      <c r="F1112" t="s">
        <v>53</v>
      </c>
      <c r="G1112">
        <v>-159.51230000000001</v>
      </c>
      <c r="H1112">
        <v>1.036556</v>
      </c>
      <c r="I1112">
        <v>209.34190000000001</v>
      </c>
      <c r="J1112">
        <v>-200.38560000000001</v>
      </c>
      <c r="K1112">
        <v>1.115453</v>
      </c>
      <c r="L1112">
        <v>365.05329999999998</v>
      </c>
      <c r="M1112">
        <v>0.9117712</v>
      </c>
      <c r="N1112">
        <v>-1.4409750000000001E-2</v>
      </c>
      <c r="O1112">
        <v>-0.41044619999999998</v>
      </c>
      <c r="P1112">
        <v>0.57955419999999902</v>
      </c>
      <c r="Q1112">
        <v>-0.12770529999999999</v>
      </c>
      <c r="R1112">
        <v>-0.80486579999999996</v>
      </c>
      <c r="S1112">
        <v>0.82824709999999901</v>
      </c>
      <c r="T1112">
        <v>-1.5916820000000001E-3</v>
      </c>
      <c r="U1112">
        <v>-3.1449280000000002</v>
      </c>
      <c r="V1112">
        <v>0.49446499999999999</v>
      </c>
      <c r="W1112">
        <v>-0.1218477</v>
      </c>
      <c r="X1112">
        <v>0.86061460000000001</v>
      </c>
      <c r="Y1112">
        <v>0.77720330000000004</v>
      </c>
      <c r="Z1112">
        <v>-1.2195920000000001E-2</v>
      </c>
      <c r="AA1112">
        <v>0.62913149999999995</v>
      </c>
      <c r="AB1112">
        <v>18</v>
      </c>
      <c r="AC1112">
        <v>40.8733</v>
      </c>
      <c r="AD1112">
        <v>-7.8896999999999995E-2</v>
      </c>
      <c r="AE1112">
        <v>-155.711399999999</v>
      </c>
      <c r="AF1112">
        <v>125.209821438886</v>
      </c>
      <c r="AG1112">
        <v>-7.8896999999999995E-2</v>
      </c>
      <c r="AH1112">
        <v>101.188709393012</v>
      </c>
      <c r="AI1112">
        <v>90.028079774747695</v>
      </c>
      <c r="AJ1112">
        <v>38.943519076193802</v>
      </c>
      <c r="AK1112">
        <v>160.986522784107</v>
      </c>
      <c r="AL1112">
        <v>96.998750655516901</v>
      </c>
      <c r="AM1112">
        <v>60.120534594218299</v>
      </c>
      <c r="AN1112">
        <v>0.99999999397672501</v>
      </c>
    </row>
    <row r="1113" spans="1:40" x14ac:dyDescent="0.25">
      <c r="A1113" t="str">
        <f>"20190303154441549"</f>
        <v>20190303154441549</v>
      </c>
      <c r="B1113" t="str">
        <f>"1551599081542084"</f>
        <v>1551599081542084</v>
      </c>
      <c r="C1113" t="s">
        <v>40</v>
      </c>
      <c r="D1113">
        <v>5.5627659999999999</v>
      </c>
      <c r="E1113">
        <v>0.61790279999999997</v>
      </c>
      <c r="F1113" t="s">
        <v>53</v>
      </c>
      <c r="G1113">
        <v>-160.42230000000001</v>
      </c>
      <c r="H1113">
        <v>0.55930709999999995</v>
      </c>
      <c r="I1113">
        <v>209.3424</v>
      </c>
      <c r="J1113">
        <v>-200.2193</v>
      </c>
      <c r="K1113">
        <v>1.1154839999999999</v>
      </c>
      <c r="L1113">
        <v>364.96370000000002</v>
      </c>
      <c r="M1113">
        <v>0.90714399999999995</v>
      </c>
      <c r="N1113">
        <v>-1.441459E-2</v>
      </c>
      <c r="O1113">
        <v>-0.42057339999999999</v>
      </c>
      <c r="P1113">
        <v>0.57095240000000003</v>
      </c>
      <c r="Q1113">
        <v>-0.12824240000000001</v>
      </c>
      <c r="R1113">
        <v>-0.81090530000000005</v>
      </c>
      <c r="S1113">
        <v>0.80702209999999996</v>
      </c>
      <c r="T1113">
        <v>-1.1230230000000001E-2</v>
      </c>
      <c r="U1113">
        <v>-3.1444399999999999</v>
      </c>
      <c r="V1113">
        <v>0.49396909999999999</v>
      </c>
      <c r="W1113">
        <v>-0.1223388</v>
      </c>
      <c r="X1113">
        <v>0.86082969999999903</v>
      </c>
      <c r="Y1113">
        <v>0.77411370000000002</v>
      </c>
      <c r="Z1113">
        <v>-1.229602E-2</v>
      </c>
      <c r="AA1113">
        <v>0.63292720000000002</v>
      </c>
      <c r="AB1113">
        <v>18</v>
      </c>
      <c r="AC1113">
        <v>39.796999999999997</v>
      </c>
      <c r="AD1113">
        <v>-0.55617689999999997</v>
      </c>
      <c r="AE1113">
        <v>-155.62129999999999</v>
      </c>
      <c r="AF1113">
        <v>124.44480632510999</v>
      </c>
      <c r="AG1113">
        <v>-0.55617689999999997</v>
      </c>
      <c r="AH1113">
        <v>101.56112320683</v>
      </c>
      <c r="AI1113">
        <v>90.198387420491201</v>
      </c>
      <c r="AJ1113">
        <v>39.218358818283903</v>
      </c>
      <c r="AK1113">
        <v>160.62839381962101</v>
      </c>
      <c r="AL1113">
        <v>97.027100575597203</v>
      </c>
      <c r="AM1113">
        <v>60.151543407254799</v>
      </c>
      <c r="AN1113">
        <v>1.0000000130711699</v>
      </c>
    </row>
    <row r="1114" spans="1:40" x14ac:dyDescent="0.25">
      <c r="A1114" t="str">
        <f>"20190303154441572"</f>
        <v>20190303154441572</v>
      </c>
      <c r="B1114" t="str">
        <f>"1551599081561607"</f>
        <v>1551599081561607</v>
      </c>
      <c r="C1114" t="s">
        <v>40</v>
      </c>
      <c r="D1114">
        <v>5.5807549999999999</v>
      </c>
      <c r="E1114">
        <v>0.60762439999999995</v>
      </c>
      <c r="F1114" t="s">
        <v>50</v>
      </c>
      <c r="G1114">
        <v>-195.47020000000001</v>
      </c>
      <c r="H1114" s="1">
        <v>-1.7994869999999999E-6</v>
      </c>
      <c r="I1114">
        <v>350.18380000000002</v>
      </c>
      <c r="J1114">
        <v>-200.0609</v>
      </c>
      <c r="K1114">
        <v>1.1155120000000001</v>
      </c>
      <c r="L1114">
        <v>364.87619999999998</v>
      </c>
      <c r="M1114">
        <v>0.90259889999999998</v>
      </c>
      <c r="N1114">
        <v>-1.4416999999999999E-2</v>
      </c>
      <c r="O1114">
        <v>-0.43024119999999999</v>
      </c>
      <c r="P1114">
        <v>0.56279389999999996</v>
      </c>
      <c r="Q1114">
        <v>-0.12848789999999999</v>
      </c>
      <c r="R1114">
        <v>-0.81655009999999995</v>
      </c>
      <c r="S1114">
        <v>0.96006769999999997</v>
      </c>
      <c r="T1114">
        <v>-0.2255046</v>
      </c>
      <c r="U1114">
        <v>-2.9878849999999999</v>
      </c>
      <c r="V1114">
        <v>0.4933748</v>
      </c>
      <c r="W1114">
        <v>-0.1225323</v>
      </c>
      <c r="X1114">
        <v>0.86114290000000004</v>
      </c>
      <c r="Y1114">
        <v>0.72645159999999998</v>
      </c>
      <c r="Z1114">
        <v>-8.8259689999999995E-3</v>
      </c>
      <c r="AA1114">
        <v>0.68716100000000002</v>
      </c>
      <c r="AB1114">
        <v>18</v>
      </c>
      <c r="AC1114">
        <v>4.5906999999999902</v>
      </c>
      <c r="AD1114">
        <v>-1.1155137994869999</v>
      </c>
      <c r="AE1114">
        <v>-14.6923999999999</v>
      </c>
      <c r="AF1114">
        <v>11.228438579073501</v>
      </c>
      <c r="AG1114">
        <v>-1.1155137994869999</v>
      </c>
      <c r="AH1114">
        <v>10.4112457698514</v>
      </c>
      <c r="AI1114">
        <v>94.1666371435835</v>
      </c>
      <c r="AJ1114">
        <v>42.837331637864203</v>
      </c>
      <c r="AK1114">
        <v>15.353053196062399</v>
      </c>
      <c r="AL1114">
        <v>97.038271614621493</v>
      </c>
      <c r="AM1114">
        <v>60.190300705518901</v>
      </c>
      <c r="AN1114">
        <v>0.99999997601936896</v>
      </c>
    </row>
    <row r="1115" spans="1:40" x14ac:dyDescent="0.25">
      <c r="A1115" t="str">
        <f>"20190303154441593"</f>
        <v>20190303154441593</v>
      </c>
      <c r="B1115" t="str">
        <f>"1551599081591860"</f>
        <v>1551599081591860</v>
      </c>
      <c r="C1115" t="s">
        <v>40</v>
      </c>
      <c r="D1115">
        <v>5.6355510000000004</v>
      </c>
      <c r="E1115">
        <v>0.60535430000000001</v>
      </c>
      <c r="F1115" t="s">
        <v>50</v>
      </c>
      <c r="G1115">
        <v>-196.67769999999999</v>
      </c>
      <c r="H1115" s="1">
        <v>-4.5296169999999996E-6</v>
      </c>
      <c r="I1115">
        <v>354.7953</v>
      </c>
      <c r="J1115">
        <v>-199.90389999999999</v>
      </c>
      <c r="K1115">
        <v>1.1155489999999999</v>
      </c>
      <c r="L1115">
        <v>364.78719999999998</v>
      </c>
      <c r="M1115">
        <v>0.89796500000000001</v>
      </c>
      <c r="N1115">
        <v>-1.441745E-2</v>
      </c>
      <c r="O1115">
        <v>-0.43983060000000002</v>
      </c>
      <c r="P1115">
        <v>0.55420329999999995</v>
      </c>
      <c r="Q1115">
        <v>-0.1287288</v>
      </c>
      <c r="R1115">
        <v>-0.82236699999999996</v>
      </c>
      <c r="S1115">
        <v>0.98742680000000005</v>
      </c>
      <c r="T1115">
        <v>-0.32557390000000003</v>
      </c>
      <c r="U1115">
        <v>-2.9422000000000001</v>
      </c>
      <c r="V1115">
        <v>0.49320330000000001</v>
      </c>
      <c r="W1115">
        <v>-0.1227279</v>
      </c>
      <c r="X1115">
        <v>0.86121329999999996</v>
      </c>
      <c r="Y1115">
        <v>0.70917209999999997</v>
      </c>
      <c r="Z1115">
        <v>-4.7879000000000003E-3</v>
      </c>
      <c r="AA1115">
        <v>0.70501919999999996</v>
      </c>
      <c r="AB1115">
        <v>18</v>
      </c>
      <c r="AC1115">
        <v>3.2262</v>
      </c>
      <c r="AD1115">
        <v>-1.1155535296169901</v>
      </c>
      <c r="AE1115">
        <v>-9.9918999999999798</v>
      </c>
      <c r="AF1115">
        <v>7.4698606591061099</v>
      </c>
      <c r="AG1115">
        <v>-1.1155535296169901</v>
      </c>
      <c r="AH1115">
        <v>7.2111172021289303</v>
      </c>
      <c r="AI1115">
        <v>96.132572915723202</v>
      </c>
      <c r="AJ1115">
        <v>43.990300678961098</v>
      </c>
      <c r="AK1115">
        <v>10.442389058388001</v>
      </c>
      <c r="AL1115">
        <v>97.049563797085</v>
      </c>
      <c r="AM1115">
        <v>60.200912155318001</v>
      </c>
      <c r="AN1115">
        <v>0.99999999033309495</v>
      </c>
    </row>
    <row r="1116" spans="1:40" x14ac:dyDescent="0.25">
      <c r="A1116" t="str">
        <f>"20190303154441616"</f>
        <v>20190303154441616</v>
      </c>
      <c r="B1116" t="str">
        <f>"1551599081611380"</f>
        <v>1551599081611380</v>
      </c>
      <c r="C1116" t="s">
        <v>40</v>
      </c>
      <c r="D1116">
        <v>5.6381949999999996</v>
      </c>
      <c r="E1116">
        <v>0.6102978</v>
      </c>
      <c r="F1116" t="s">
        <v>50</v>
      </c>
      <c r="G1116">
        <v>-196.86770000000001</v>
      </c>
      <c r="H1116" s="1">
        <v>-4.9336030000000004E-6</v>
      </c>
      <c r="I1116">
        <v>355.57209999999998</v>
      </c>
      <c r="J1116">
        <v>-199.74260000000001</v>
      </c>
      <c r="K1116">
        <v>1.115594</v>
      </c>
      <c r="L1116">
        <v>364.69349999999997</v>
      </c>
      <c r="M1116">
        <v>0.89307230000000004</v>
      </c>
      <c r="N1116">
        <v>-1.4416119999999999E-2</v>
      </c>
      <c r="O1116">
        <v>-0.44968219999999998</v>
      </c>
      <c r="P1116">
        <v>0.54483769999999998</v>
      </c>
      <c r="Q1116">
        <v>-0.12755419999999901</v>
      </c>
      <c r="R1116">
        <v>-0.82878339999999995</v>
      </c>
      <c r="S1116">
        <v>0.96853639999999996</v>
      </c>
      <c r="T1116">
        <v>-0.3558538</v>
      </c>
      <c r="U1116">
        <v>-2.9395449999999999</v>
      </c>
      <c r="V1116">
        <v>0.49368780000000001</v>
      </c>
      <c r="W1116">
        <v>-0.121517</v>
      </c>
      <c r="X1116">
        <v>0.86110739999999997</v>
      </c>
      <c r="Y1116">
        <v>0.70502629999999999</v>
      </c>
      <c r="Z1116">
        <v>-2.4759550000000002E-3</v>
      </c>
      <c r="AA1116">
        <v>0.70917680000000005</v>
      </c>
      <c r="AB1116">
        <v>18</v>
      </c>
      <c r="AC1116">
        <v>2.87489999999999</v>
      </c>
      <c r="AD1116">
        <v>-1.1155989336030001</v>
      </c>
      <c r="AE1116">
        <v>-9.1213999999999906</v>
      </c>
      <c r="AF1116">
        <v>6.7619804016246396</v>
      </c>
      <c r="AG1116">
        <v>-1.1155989336030001</v>
      </c>
      <c r="AH1116">
        <v>6.58037877780058</v>
      </c>
      <c r="AI1116">
        <v>96.743125511956094</v>
      </c>
      <c r="AJ1116">
        <v>44.220200565991902</v>
      </c>
      <c r="AK1116">
        <v>9.5010696656713396</v>
      </c>
      <c r="AL1116">
        <v>96.979661117912002</v>
      </c>
      <c r="AM1116">
        <v>60.173605205385897</v>
      </c>
      <c r="AN1116">
        <v>0.9999999897463</v>
      </c>
    </row>
    <row r="1117" spans="1:40" x14ac:dyDescent="0.25">
      <c r="A1117" t="str">
        <f>"20190303154441639"</f>
        <v>20190303154441639</v>
      </c>
      <c r="B1117" t="str">
        <f>"1551599081631876"</f>
        <v>1551599081631876</v>
      </c>
      <c r="C1117" t="s">
        <v>40</v>
      </c>
      <c r="D1117">
        <v>5.6142649999999996</v>
      </c>
      <c r="E1117">
        <v>0.6126414</v>
      </c>
      <c r="F1117" t="s">
        <v>50</v>
      </c>
      <c r="G1117">
        <v>-196.91730000000001</v>
      </c>
      <c r="H1117" s="1">
        <v>-4.8557199999999996E-6</v>
      </c>
      <c r="I1117">
        <v>355.38130000000001</v>
      </c>
      <c r="J1117">
        <v>-199.58179999999999</v>
      </c>
      <c r="K1117">
        <v>1.1156410000000001</v>
      </c>
      <c r="L1117">
        <v>364.59769999999997</v>
      </c>
      <c r="M1117">
        <v>0.88806149999999995</v>
      </c>
      <c r="N1117">
        <v>-1.4412950000000001E-2</v>
      </c>
      <c r="O1117">
        <v>-0.45949909999999999</v>
      </c>
      <c r="P1117">
        <v>0.53441349999999999</v>
      </c>
      <c r="Q1117">
        <v>-0.126336</v>
      </c>
      <c r="R1117">
        <v>-0.83572860000000004</v>
      </c>
      <c r="S1117">
        <v>0.9017792</v>
      </c>
      <c r="T1117">
        <v>-0.3560702</v>
      </c>
      <c r="U1117">
        <v>-2.9721980000000001</v>
      </c>
      <c r="V1117">
        <v>0.49517040000000001</v>
      </c>
      <c r="W1117">
        <v>-0.12028460000000001</v>
      </c>
      <c r="X1117">
        <v>0.86042890000000005</v>
      </c>
      <c r="Y1117">
        <v>0.71394840000000004</v>
      </c>
      <c r="Z1117">
        <v>-2.1021849999999999E-3</v>
      </c>
      <c r="AA1117">
        <v>0.70019509999999996</v>
      </c>
      <c r="AB1117">
        <v>18</v>
      </c>
      <c r="AC1117">
        <v>2.6644999999999701</v>
      </c>
      <c r="AD1117">
        <v>-1.11564585572</v>
      </c>
      <c r="AE1117">
        <v>-9.2163999999999593</v>
      </c>
      <c r="AF1117">
        <v>6.8682381512451904</v>
      </c>
      <c r="AG1117">
        <v>-1.11564585572</v>
      </c>
      <c r="AH1117">
        <v>6.5137670812588198</v>
      </c>
      <c r="AI1117">
        <v>96.721892276158002</v>
      </c>
      <c r="AJ1117">
        <v>43.482667744429001</v>
      </c>
      <c r="AK1117">
        <v>9.5313442161374198</v>
      </c>
      <c r="AL1117">
        <v>96.908527925422305</v>
      </c>
      <c r="AM1117">
        <v>60.079894906169102</v>
      </c>
      <c r="AN1117">
        <v>1.00000000099426</v>
      </c>
    </row>
    <row r="1118" spans="1:40" x14ac:dyDescent="0.25">
      <c r="A1118" t="str">
        <f>"20190303154441663"</f>
        <v>20190303154441663</v>
      </c>
      <c r="B1118" t="str">
        <f>"1551599081651396"</f>
        <v>1551599081651396</v>
      </c>
      <c r="C1118" t="s">
        <v>40</v>
      </c>
      <c r="D1118">
        <v>5.6087300000000004</v>
      </c>
      <c r="E1118">
        <v>0.61394720000000003</v>
      </c>
      <c r="F1118" t="s">
        <v>50</v>
      </c>
      <c r="G1118">
        <v>-196.95330000000001</v>
      </c>
      <c r="H1118" s="1">
        <v>-4.8344209999999998E-6</v>
      </c>
      <c r="I1118">
        <v>355.3184</v>
      </c>
      <c r="J1118">
        <v>-199.42189999999999</v>
      </c>
      <c r="K1118">
        <v>1.11568</v>
      </c>
      <c r="L1118">
        <v>364.50020000000001</v>
      </c>
      <c r="M1118">
        <v>0.88294850000000002</v>
      </c>
      <c r="N1118">
        <v>-1.4408239999999999E-2</v>
      </c>
      <c r="O1118">
        <v>-0.46924870000000002</v>
      </c>
      <c r="P1118">
        <v>0.52428299999999906</v>
      </c>
      <c r="Q1118">
        <v>-0.126328</v>
      </c>
      <c r="R1118">
        <v>-0.84212140000000002</v>
      </c>
      <c r="S1118">
        <v>0.84782409999999997</v>
      </c>
      <c r="T1118">
        <v>-0.35986190000000001</v>
      </c>
      <c r="U1118">
        <v>-2.993134</v>
      </c>
      <c r="V1118">
        <v>0.4960966</v>
      </c>
      <c r="W1118">
        <v>-0.12025420000000001</v>
      </c>
      <c r="X1118">
        <v>0.85989950000000004</v>
      </c>
      <c r="Y1118">
        <v>0.71917779999999998</v>
      </c>
      <c r="Z1118">
        <v>-1.2515409999999999E-3</v>
      </c>
      <c r="AA1118">
        <v>0.69482489999999997</v>
      </c>
      <c r="AB1118">
        <v>18</v>
      </c>
      <c r="AC1118">
        <v>2.4685999999999799</v>
      </c>
      <c r="AD1118">
        <v>-1.115684834421</v>
      </c>
      <c r="AE1118">
        <v>-9.1818000000000097</v>
      </c>
      <c r="AF1118">
        <v>6.8550008421589697</v>
      </c>
      <c r="AG1118">
        <v>-1.115684834421</v>
      </c>
      <c r="AH1118">
        <v>6.4007332464079996</v>
      </c>
      <c r="AI1118">
        <v>96.7839768199334</v>
      </c>
      <c r="AJ1118">
        <v>43.037269451554501</v>
      </c>
      <c r="AK1118">
        <v>9.4448491405331492</v>
      </c>
      <c r="AL1118">
        <v>96.906773199416705</v>
      </c>
      <c r="AM1118">
        <v>60.018323906582303</v>
      </c>
      <c r="AN1118">
        <v>1.00000002962472</v>
      </c>
    </row>
    <row r="1119" spans="1:40" x14ac:dyDescent="0.25">
      <c r="A1119" t="str">
        <f>"20190303154441685"</f>
        <v>20190303154441685</v>
      </c>
      <c r="B1119" t="str">
        <f>"1551599081681652"</f>
        <v>1551599081681652</v>
      </c>
      <c r="C1119" t="s">
        <v>40</v>
      </c>
      <c r="D1119">
        <v>5.6219799999999998</v>
      </c>
      <c r="E1119">
        <v>0.61537189999999997</v>
      </c>
      <c r="F1119" t="s">
        <v>50</v>
      </c>
      <c r="G1119">
        <v>-196.95920000000001</v>
      </c>
      <c r="H1119" s="1">
        <v>-4.8116450000000004E-6</v>
      </c>
      <c r="I1119">
        <v>355.26670000000001</v>
      </c>
      <c r="J1119">
        <v>-199.26439999999999</v>
      </c>
      <c r="K1119">
        <v>1.11571</v>
      </c>
      <c r="L1119">
        <v>364.40140000000002</v>
      </c>
      <c r="M1119">
        <v>0.87777809999999901</v>
      </c>
      <c r="N1119">
        <v>-1.440203E-2</v>
      </c>
      <c r="O1119">
        <v>-0.47885080000000002</v>
      </c>
      <c r="P1119">
        <v>0.51502420000000004</v>
      </c>
      <c r="Q1119">
        <v>-0.12708030000000001</v>
      </c>
      <c r="R1119">
        <v>-0.8477034</v>
      </c>
      <c r="S1119">
        <v>0.80238339999999997</v>
      </c>
      <c r="T1119">
        <v>-0.36350389999999999</v>
      </c>
      <c r="U1119">
        <v>-3.008362</v>
      </c>
      <c r="V1119">
        <v>0.49604310000000001</v>
      </c>
      <c r="W1119">
        <v>-0.1209662</v>
      </c>
      <c r="X1119">
        <v>0.85983050000000005</v>
      </c>
      <c r="Y1119">
        <v>0.72226269999999904</v>
      </c>
      <c r="Z1119">
        <v>-1.8012900000000001E-4</v>
      </c>
      <c r="AA1119">
        <v>0.69161870000000003</v>
      </c>
      <c r="AB1119">
        <v>18</v>
      </c>
      <c r="AC1119">
        <v>2.3051999999999802</v>
      </c>
      <c r="AD1119">
        <v>-1.115714811645</v>
      </c>
      <c r="AE1119">
        <v>-9.1347000000000094</v>
      </c>
      <c r="AF1119">
        <v>6.81946673501161</v>
      </c>
      <c r="AG1119">
        <v>-1.115714811645</v>
      </c>
      <c r="AH1119">
        <v>6.3097812181733799</v>
      </c>
      <c r="AI1119">
        <v>96.847770847084703</v>
      </c>
      <c r="AJ1119">
        <v>42.776858781162503</v>
      </c>
      <c r="AK1119">
        <v>9.3575255870378307</v>
      </c>
      <c r="AL1119">
        <v>96.947867758678498</v>
      </c>
      <c r="AM1119">
        <v>60.019008462838102</v>
      </c>
      <c r="AN1119">
        <v>1.00000003366514</v>
      </c>
    </row>
    <row r="1120" spans="1:40" x14ac:dyDescent="0.25">
      <c r="A1120" t="str">
        <f>"20190303154441707"</f>
        <v>20190303154441707</v>
      </c>
      <c r="B1120" t="str">
        <f>"1551599081701172"</f>
        <v>1551599081701172</v>
      </c>
      <c r="C1120" t="s">
        <v>40</v>
      </c>
      <c r="D1120">
        <v>5.6185340000000004</v>
      </c>
      <c r="E1120">
        <v>0.61600080000000002</v>
      </c>
      <c r="F1120" t="s">
        <v>50</v>
      </c>
      <c r="G1120">
        <v>-196.95779999999999</v>
      </c>
      <c r="H1120" s="1">
        <v>-4.7905589999999999E-6</v>
      </c>
      <c r="I1120">
        <v>355.22210000000001</v>
      </c>
      <c r="J1120">
        <v>-199.11799999999999</v>
      </c>
      <c r="K1120">
        <v>1.11574</v>
      </c>
      <c r="L1120">
        <v>364.30770000000001</v>
      </c>
      <c r="M1120">
        <v>0.87286030000000003</v>
      </c>
      <c r="N1120">
        <v>-1.439548E-2</v>
      </c>
      <c r="O1120">
        <v>-0.48775770000000002</v>
      </c>
      <c r="P1120">
        <v>0.50645829999999903</v>
      </c>
      <c r="Q1120">
        <v>-0.12735060000000001</v>
      </c>
      <c r="R1120">
        <v>-0.85280820000000002</v>
      </c>
      <c r="S1120">
        <v>0.75946040000000004</v>
      </c>
      <c r="T1120">
        <v>-0.36736679999999999</v>
      </c>
      <c r="U1120">
        <v>-3.0224299999999999</v>
      </c>
      <c r="V1120">
        <v>0.49592770000000003</v>
      </c>
      <c r="W1120">
        <v>-0.12119820000000001</v>
      </c>
      <c r="X1120">
        <v>0.85986439999999997</v>
      </c>
      <c r="Y1120">
        <v>0.72521059999999904</v>
      </c>
      <c r="Z1120">
        <v>8.4772329999999998E-4</v>
      </c>
      <c r="AA1120">
        <v>0.68852659999999999</v>
      </c>
      <c r="AB1120">
        <v>18</v>
      </c>
      <c r="AC1120">
        <v>2.1602000000000001</v>
      </c>
      <c r="AD1120">
        <v>-1.1157447905590001</v>
      </c>
      <c r="AE1120">
        <v>-9.0855999999999995</v>
      </c>
      <c r="AF1120">
        <v>6.78073130772498</v>
      </c>
      <c r="AG1120">
        <v>-1.1157447905590001</v>
      </c>
      <c r="AH1120">
        <v>6.2288692882443302</v>
      </c>
      <c r="AI1120">
        <v>96.909327725102798</v>
      </c>
      <c r="AJ1120">
        <v>42.570992339288203</v>
      </c>
      <c r="AK1120">
        <v>9.2748054489166893</v>
      </c>
      <c r="AL1120">
        <v>96.961258882402404</v>
      </c>
      <c r="AM1120">
        <v>60.025756007024803</v>
      </c>
      <c r="AN1120">
        <v>1.0000000368489399</v>
      </c>
    </row>
    <row r="1121" spans="1:40" x14ac:dyDescent="0.25">
      <c r="A1121" t="str">
        <f>"20190303154441730"</f>
        <v>20190303154441730</v>
      </c>
      <c r="B1121" t="str">
        <f>"1551599081721668"</f>
        <v>1551599081721668</v>
      </c>
      <c r="C1121" t="s">
        <v>40</v>
      </c>
      <c r="D1121">
        <v>5.6153899999999997</v>
      </c>
      <c r="E1121">
        <v>0.61635660000000003</v>
      </c>
      <c r="F1121" t="s">
        <v>50</v>
      </c>
      <c r="G1121">
        <v>-196.92609999999999</v>
      </c>
      <c r="H1121" s="1">
        <v>-4.7434030000000001E-6</v>
      </c>
      <c r="I1121">
        <v>355.13600000000002</v>
      </c>
      <c r="J1121">
        <v>-198.96530000000001</v>
      </c>
      <c r="K1121">
        <v>1.115764</v>
      </c>
      <c r="L1121">
        <v>364.20760000000001</v>
      </c>
      <c r="M1121">
        <v>0.86760820000000005</v>
      </c>
      <c r="N1121">
        <v>-1.4387749999999999E-2</v>
      </c>
      <c r="O1121">
        <v>-0.4970406</v>
      </c>
      <c r="P1121">
        <v>0.49741429999999998</v>
      </c>
      <c r="Q1121">
        <v>-0.12815219999999999</v>
      </c>
      <c r="R1121">
        <v>-0.85799579999999998</v>
      </c>
      <c r="S1121">
        <v>0.72468569999999999</v>
      </c>
      <c r="T1121">
        <v>-0.36888799999999999</v>
      </c>
      <c r="U1121">
        <v>-3.032349</v>
      </c>
      <c r="V1121">
        <v>0.4957434</v>
      </c>
      <c r="W1121">
        <v>-0.12196079999999999</v>
      </c>
      <c r="X1121">
        <v>0.85986280000000004</v>
      </c>
      <c r="Y1121">
        <v>0.72587769999999996</v>
      </c>
      <c r="Z1121">
        <v>2.0981020000000001E-3</v>
      </c>
      <c r="AA1121">
        <v>0.6878206</v>
      </c>
      <c r="AB1121">
        <v>18</v>
      </c>
      <c r="AC1121">
        <v>2.0392000000000201</v>
      </c>
      <c r="AD1121">
        <v>-1.1157687434029999</v>
      </c>
      <c r="AE1121">
        <v>-9.0716000000000392</v>
      </c>
      <c r="AF1121">
        <v>6.7603862819535996</v>
      </c>
      <c r="AG1121">
        <v>-1.1157687434029999</v>
      </c>
      <c r="AH1121">
        <v>6.1896953840827003</v>
      </c>
      <c r="AI1121">
        <v>96.940432505783605</v>
      </c>
      <c r="AJ1121">
        <v>42.4766925543341</v>
      </c>
      <c r="AK1121">
        <v>9.2336391264612594</v>
      </c>
      <c r="AL1121">
        <v>97.005279493313196</v>
      </c>
      <c r="AM1121">
        <v>60.034925925251201</v>
      </c>
      <c r="AN1121">
        <v>0.99999999510201998</v>
      </c>
    </row>
    <row r="1122" spans="1:40" x14ac:dyDescent="0.25">
      <c r="A1122" t="str">
        <f>"20190303154441751"</f>
        <v>20190303154441751</v>
      </c>
      <c r="B1122" t="str">
        <f>"1551599081741188"</f>
        <v>1551599081741188</v>
      </c>
      <c r="C1122" t="s">
        <v>40</v>
      </c>
      <c r="D1122">
        <v>5.6417929999999998</v>
      </c>
      <c r="E1122">
        <v>0.6163805</v>
      </c>
      <c r="F1122" t="s">
        <v>50</v>
      </c>
      <c r="G1122">
        <v>-196.90309999999999</v>
      </c>
      <c r="H1122" s="1">
        <v>-4.7311819999999996E-6</v>
      </c>
      <c r="I1122">
        <v>355.1207</v>
      </c>
      <c r="J1122">
        <v>-198.81489999999999</v>
      </c>
      <c r="K1122">
        <v>1.1157900000000001</v>
      </c>
      <c r="L1122">
        <v>364.1069</v>
      </c>
      <c r="M1122">
        <v>0.86231899999999995</v>
      </c>
      <c r="N1122">
        <v>-1.4379319999999999E-2</v>
      </c>
      <c r="O1122">
        <v>-0.50616130000000004</v>
      </c>
      <c r="P1122">
        <v>0.48877340000000002</v>
      </c>
      <c r="Q1122">
        <v>-0.12926029999999999</v>
      </c>
      <c r="R1122">
        <v>-0.86278189999999999</v>
      </c>
      <c r="S1122">
        <v>0.69006350000000005</v>
      </c>
      <c r="T1122">
        <v>-0.37336780000000003</v>
      </c>
      <c r="U1122">
        <v>-3.0407410000000001</v>
      </c>
      <c r="V1122">
        <v>0.49516680000000002</v>
      </c>
      <c r="W1122">
        <v>-0.12302159999999999</v>
      </c>
      <c r="X1122">
        <v>0.86004389999999997</v>
      </c>
      <c r="Y1122">
        <v>0.72648009999999996</v>
      </c>
      <c r="Z1122">
        <v>3.4830569999999999E-3</v>
      </c>
      <c r="AA1122">
        <v>0.68717869999999903</v>
      </c>
      <c r="AB1122">
        <v>18</v>
      </c>
      <c r="AC1122">
        <v>1.91179999999999</v>
      </c>
      <c r="AD1122">
        <v>-1.115794731182</v>
      </c>
      <c r="AE1122">
        <v>-8.9861999999999895</v>
      </c>
      <c r="AF1122">
        <v>6.6834125350565303</v>
      </c>
      <c r="AG1122">
        <v>-1.115794731182</v>
      </c>
      <c r="AH1122">
        <v>6.1076016605278101</v>
      </c>
      <c r="AI1122">
        <v>97.025754233782905</v>
      </c>
      <c r="AJ1122">
        <v>42.4224659968136</v>
      </c>
      <c r="AK1122">
        <v>9.12226940183014</v>
      </c>
      <c r="AL1122">
        <v>97.066520047966904</v>
      </c>
      <c r="AM1122">
        <v>60.068988043310902</v>
      </c>
      <c r="AN1122">
        <v>0.99999999190800404</v>
      </c>
    </row>
    <row r="1123" spans="1:40" x14ac:dyDescent="0.25">
      <c r="A1123" t="str">
        <f>"20190303154441773"</f>
        <v>20190303154441773</v>
      </c>
      <c r="B1123" t="str">
        <f>"1551599081771444"</f>
        <v>1551599081771444</v>
      </c>
      <c r="C1123" t="s">
        <v>40</v>
      </c>
      <c r="D1123">
        <v>5.6080030000000001</v>
      </c>
      <c r="E1123">
        <v>0.61624749999999995</v>
      </c>
      <c r="F1123" t="s">
        <v>50</v>
      </c>
      <c r="G1123">
        <v>-196.87139999999999</v>
      </c>
      <c r="H1123" s="1">
        <v>-4.7247340000000004E-6</v>
      </c>
      <c r="I1123">
        <v>355.12200000000001</v>
      </c>
      <c r="J1123">
        <v>-198.6687</v>
      </c>
      <c r="K1123">
        <v>1.1158250000000001</v>
      </c>
      <c r="L1123">
        <v>364.00670000000002</v>
      </c>
      <c r="M1123">
        <v>0.85706199999999999</v>
      </c>
      <c r="N1123">
        <v>-1.436986E-2</v>
      </c>
      <c r="O1123">
        <v>-0.515013099999999</v>
      </c>
      <c r="P1123">
        <v>0.48051179999999899</v>
      </c>
      <c r="Q1123">
        <v>-0.1296833</v>
      </c>
      <c r="R1123">
        <v>-0.86734750000000005</v>
      </c>
      <c r="S1123">
        <v>0.65911869999999995</v>
      </c>
      <c r="T1123">
        <v>-0.37839349999999999</v>
      </c>
      <c r="U1123">
        <v>-3.0469970000000002</v>
      </c>
      <c r="V1123">
        <v>0.4944788</v>
      </c>
      <c r="W1123">
        <v>-0.1233915</v>
      </c>
      <c r="X1123">
        <v>0.86038669999999995</v>
      </c>
      <c r="Y1123">
        <v>0.72635810000000001</v>
      </c>
      <c r="Z1123">
        <v>4.9726700000000002E-3</v>
      </c>
      <c r="AA1123">
        <v>0.68729849999999904</v>
      </c>
      <c r="AB1123">
        <v>18</v>
      </c>
      <c r="AC1123">
        <v>1.7972999999999999</v>
      </c>
      <c r="AD1123">
        <v>-1.1158297247339899</v>
      </c>
      <c r="AE1123">
        <v>-8.8847000000000609</v>
      </c>
      <c r="AF1123">
        <v>6.5899397029011704</v>
      </c>
      <c r="AG1123">
        <v>-1.1158297247339899</v>
      </c>
      <c r="AH1123">
        <v>6.0254627186031904</v>
      </c>
      <c r="AI1123">
        <v>97.122864930071799</v>
      </c>
      <c r="AJ1123">
        <v>42.438005594367397</v>
      </c>
      <c r="AK1123">
        <v>8.9988100455421396</v>
      </c>
      <c r="AL1123">
        <v>97.087876343689899</v>
      </c>
      <c r="AM1123">
        <v>60.113288590076102</v>
      </c>
      <c r="AN1123">
        <v>1.00000000972929</v>
      </c>
    </row>
    <row r="1124" spans="1:40" x14ac:dyDescent="0.25">
      <c r="A1124" t="str">
        <f>"20190303154441795"</f>
        <v>20190303154441795</v>
      </c>
      <c r="B1124" t="str">
        <f>"1551599081791940"</f>
        <v>1551599081791940</v>
      </c>
      <c r="C1124" t="s">
        <v>40</v>
      </c>
      <c r="D1124">
        <v>5.589359</v>
      </c>
      <c r="E1124">
        <v>0.61570530000000001</v>
      </c>
      <c r="F1124" t="s">
        <v>50</v>
      </c>
      <c r="G1124">
        <v>-196.8092</v>
      </c>
      <c r="H1124" s="1">
        <v>-4.6603110000000002E-6</v>
      </c>
      <c r="I1124">
        <v>355.01330000000002</v>
      </c>
      <c r="J1124">
        <v>-198.5172</v>
      </c>
      <c r="K1124">
        <v>1.115877</v>
      </c>
      <c r="L1124">
        <v>363.90069999999997</v>
      </c>
      <c r="M1124">
        <v>0.85150630000000005</v>
      </c>
      <c r="N1124">
        <v>-1.435848E-2</v>
      </c>
      <c r="O1124">
        <v>-0.52414780000000005</v>
      </c>
      <c r="P1124">
        <v>0.47169680000000003</v>
      </c>
      <c r="Q1124">
        <v>-0.12953870000000001</v>
      </c>
      <c r="R1124">
        <v>-0.87219389999999997</v>
      </c>
      <c r="S1124">
        <v>0.63111879999999998</v>
      </c>
      <c r="T1124">
        <v>-0.37872640000000002</v>
      </c>
      <c r="U1124">
        <v>-3.0524900000000001</v>
      </c>
      <c r="V1124">
        <v>0.49403350000000001</v>
      </c>
      <c r="W1124">
        <v>-0.1231913</v>
      </c>
      <c r="X1124">
        <v>0.86067109999999902</v>
      </c>
      <c r="Y1124">
        <v>0.72535369999999999</v>
      </c>
      <c r="Z1124">
        <v>6.3996499999999998E-3</v>
      </c>
      <c r="AA1124">
        <v>0.68834659999999903</v>
      </c>
      <c r="AB1124">
        <v>18</v>
      </c>
      <c r="AC1124">
        <v>1.70799999999999</v>
      </c>
      <c r="AD1124">
        <v>-1.115881660311</v>
      </c>
      <c r="AE1124">
        <v>-8.8873999999999498</v>
      </c>
      <c r="AF1124">
        <v>6.57318673018057</v>
      </c>
      <c r="AG1124">
        <v>-1.115881660311</v>
      </c>
      <c r="AH1124">
        <v>6.02176371568072</v>
      </c>
      <c r="AI1124">
        <v>97.134941403192002</v>
      </c>
      <c r="AJ1124">
        <v>42.493118517593302</v>
      </c>
      <c r="AK1124">
        <v>8.9840755738767708</v>
      </c>
      <c r="AL1124">
        <v>97.076317831031503</v>
      </c>
      <c r="AM1124">
        <v>60.143761032683301</v>
      </c>
      <c r="AN1124">
        <v>0.99999996894657395</v>
      </c>
    </row>
    <row r="1125" spans="1:40" x14ac:dyDescent="0.25">
      <c r="A1125" t="str">
        <f>"20190303154441820"</f>
        <v>20190303154441820</v>
      </c>
      <c r="B1125" t="str">
        <f>"1551599081811460"</f>
        <v>1551599081811460</v>
      </c>
      <c r="C1125" t="s">
        <v>40</v>
      </c>
      <c r="D1125">
        <v>5.5520699999999996</v>
      </c>
      <c r="E1125">
        <v>0.61543939999999997</v>
      </c>
      <c r="F1125" t="s">
        <v>50</v>
      </c>
      <c r="G1125">
        <v>-196.74639999999999</v>
      </c>
      <c r="H1125" s="1">
        <v>-4.6102280000000003E-6</v>
      </c>
      <c r="I1125">
        <v>354.9357</v>
      </c>
      <c r="J1125">
        <v>-198.3595</v>
      </c>
      <c r="K1125">
        <v>1.1159330000000001</v>
      </c>
      <c r="L1125">
        <v>363.78800000000001</v>
      </c>
      <c r="M1125">
        <v>0.84560820000000003</v>
      </c>
      <c r="N1125">
        <v>-1.4344890000000001E-2</v>
      </c>
      <c r="O1125">
        <v>-0.53361169999999902</v>
      </c>
      <c r="P1125">
        <v>0.46150659999999999</v>
      </c>
      <c r="Q1125">
        <v>-0.12997059999999999</v>
      </c>
      <c r="R1125">
        <v>-0.87756469999999898</v>
      </c>
      <c r="S1125">
        <v>0.60374450000000002</v>
      </c>
      <c r="T1125">
        <v>-0.38045010000000001</v>
      </c>
      <c r="U1125">
        <v>-3.056549</v>
      </c>
      <c r="V1125">
        <v>0.4944153</v>
      </c>
      <c r="W1125">
        <v>-0.12357750000000001</v>
      </c>
      <c r="X1125">
        <v>0.86039650000000001</v>
      </c>
      <c r="Y1125">
        <v>0.72382489999999999</v>
      </c>
      <c r="Z1125">
        <v>8.0192419999999993E-3</v>
      </c>
      <c r="AA1125">
        <v>0.68993719999999903</v>
      </c>
      <c r="AB1125">
        <v>18</v>
      </c>
      <c r="AC1125">
        <v>1.6131</v>
      </c>
      <c r="AD1125">
        <v>-1.1159376102280001</v>
      </c>
      <c r="AE1125">
        <v>-8.8523000000000103</v>
      </c>
      <c r="AF1125">
        <v>6.5251265478111398</v>
      </c>
      <c r="AG1125">
        <v>-1.1159376102280001</v>
      </c>
      <c r="AH1125">
        <v>5.9961406685481702</v>
      </c>
      <c r="AI1125">
        <v>97.177315437591204</v>
      </c>
      <c r="AJ1125">
        <v>42.580864192883702</v>
      </c>
      <c r="AK1125">
        <v>8.9317577291308297</v>
      </c>
      <c r="AL1125">
        <v>97.098615532786397</v>
      </c>
      <c r="AM1125">
        <v>60.116749339617499</v>
      </c>
      <c r="AN1125">
        <v>1.00000001229629</v>
      </c>
    </row>
    <row r="1126" spans="1:40" x14ac:dyDescent="0.25">
      <c r="A1126" t="str">
        <f>"20190303154441841"</f>
        <v>20190303154441841</v>
      </c>
      <c r="B1126" t="str">
        <f>"1551599081831959"</f>
        <v>1551599081831959</v>
      </c>
      <c r="C1126" t="s">
        <v>40</v>
      </c>
      <c r="D1126">
        <v>5.5879999999999903</v>
      </c>
      <c r="E1126">
        <v>0.61481609999999998</v>
      </c>
      <c r="F1126" t="s">
        <v>50</v>
      </c>
      <c r="G1126">
        <v>-196.69489999999999</v>
      </c>
      <c r="H1126" s="1">
        <v>-4.5564939999999997E-6</v>
      </c>
      <c r="I1126">
        <v>354.84480000000002</v>
      </c>
      <c r="J1126">
        <v>-198.22149999999999</v>
      </c>
      <c r="K1126">
        <v>1.115985</v>
      </c>
      <c r="L1126">
        <v>363.68700000000001</v>
      </c>
      <c r="M1126">
        <v>0.84034750000000003</v>
      </c>
      <c r="N1126">
        <v>-1.43316E-2</v>
      </c>
      <c r="O1126">
        <v>-0.54185890000000003</v>
      </c>
      <c r="P1126">
        <v>0.45285819999999999</v>
      </c>
      <c r="Q1126">
        <v>-0.131194899999999</v>
      </c>
      <c r="R1126">
        <v>-0.88187719999999903</v>
      </c>
      <c r="S1126">
        <v>0.569992099999999</v>
      </c>
      <c r="T1126">
        <v>-0.38210840000000001</v>
      </c>
      <c r="U1126">
        <v>-3.0622250000000002</v>
      </c>
      <c r="V1126">
        <v>0.49430390000000002</v>
      </c>
      <c r="W1126">
        <v>-0.12475029999999999</v>
      </c>
      <c r="X1126">
        <v>0.86029120000000003</v>
      </c>
      <c r="Y1126">
        <v>0.72467179999999998</v>
      </c>
      <c r="Z1126">
        <v>9.2411490000000006E-3</v>
      </c>
      <c r="AA1126">
        <v>0.68903219999999898</v>
      </c>
      <c r="AB1126">
        <v>18</v>
      </c>
      <c r="AC1126">
        <v>1.5266</v>
      </c>
      <c r="AD1126">
        <v>-1.1159895564939999</v>
      </c>
      <c r="AE1126">
        <v>-8.8421999999999308</v>
      </c>
      <c r="AF1126">
        <v>6.5033991293244604</v>
      </c>
      <c r="AG1126">
        <v>-1.1159895564939999</v>
      </c>
      <c r="AH1126">
        <v>5.9821875369061903</v>
      </c>
      <c r="AI1126">
        <v>97.198092930187599</v>
      </c>
      <c r="AJ1126">
        <v>42.609572033698299</v>
      </c>
      <c r="AK1126">
        <v>8.9065257341018</v>
      </c>
      <c r="AL1126">
        <v>97.166336401124497</v>
      </c>
      <c r="AM1126">
        <v>60.119297389731798</v>
      </c>
      <c r="AN1126">
        <v>0.99999996585136897</v>
      </c>
    </row>
    <row r="1127" spans="1:40" x14ac:dyDescent="0.25">
      <c r="A1127" t="str">
        <f>"20190303154441864"</f>
        <v>20190303154441864</v>
      </c>
      <c r="B1127" t="str">
        <f>"1551599081861236"</f>
        <v>1551599081861236</v>
      </c>
      <c r="C1127" t="s">
        <v>40</v>
      </c>
      <c r="D1127">
        <v>5.5522580000000001</v>
      </c>
      <c r="E1127">
        <v>0.61395809999999995</v>
      </c>
      <c r="F1127" t="s">
        <v>50</v>
      </c>
      <c r="G1127">
        <v>-196.64789999999999</v>
      </c>
      <c r="H1127" s="1">
        <v>-4.5371269999999998E-6</v>
      </c>
      <c r="I1127">
        <v>354.82560000000001</v>
      </c>
      <c r="J1127">
        <v>-198.07429999999999</v>
      </c>
      <c r="K1127">
        <v>1.1160429999999999</v>
      </c>
      <c r="L1127">
        <v>363.577</v>
      </c>
      <c r="M1127">
        <v>0.83464380000000005</v>
      </c>
      <c r="N1127">
        <v>-1.431607E-2</v>
      </c>
      <c r="O1127">
        <v>-0.55060399999999998</v>
      </c>
      <c r="P1127">
        <v>0.44341580000000003</v>
      </c>
      <c r="Q1127">
        <v>-0.13150999999999999</v>
      </c>
      <c r="R1127">
        <v>-0.88661590000000001</v>
      </c>
      <c r="S1127">
        <v>0.54426569999999996</v>
      </c>
      <c r="T1127">
        <v>-0.38599099999999997</v>
      </c>
      <c r="U1127">
        <v>-3.0649109999999999</v>
      </c>
      <c r="V1127">
        <v>0.49448150000000002</v>
      </c>
      <c r="W1127">
        <v>-0.12501180000000001</v>
      </c>
      <c r="X1127">
        <v>0.86015119999999901</v>
      </c>
      <c r="Y1127">
        <v>0.72320189999999995</v>
      </c>
      <c r="Z1127">
        <v>1.0930489999999999E-2</v>
      </c>
      <c r="AA1127">
        <v>0.69055029999999995</v>
      </c>
      <c r="AB1127">
        <v>18</v>
      </c>
      <c r="AC1127">
        <v>1.4263999999999999</v>
      </c>
      <c r="AD1127">
        <v>-1.116047537127</v>
      </c>
      <c r="AE1127">
        <v>-8.7513999999999896</v>
      </c>
      <c r="AF1127">
        <v>6.4179126663392703</v>
      </c>
      <c r="AG1127">
        <v>-1.116047537127</v>
      </c>
      <c r="AH1127">
        <v>5.91598376954851</v>
      </c>
      <c r="AI1127">
        <v>97.286360094151604</v>
      </c>
      <c r="AJ1127">
        <v>42.669629560420397</v>
      </c>
      <c r="AK1127">
        <v>8.7996607354742196</v>
      </c>
      <c r="AL1127">
        <v>97.181437249890493</v>
      </c>
      <c r="AM1127">
        <v>60.106376783294102</v>
      </c>
      <c r="AN1127">
        <v>0.99999999542146401</v>
      </c>
    </row>
    <row r="1128" spans="1:40" x14ac:dyDescent="0.25">
      <c r="A1128" t="str">
        <f>"20190303154441887"</f>
        <v>20190303154441887</v>
      </c>
      <c r="B1128" t="str">
        <f>"1551599081881732"</f>
        <v>1551599081881732</v>
      </c>
      <c r="C1128" t="s">
        <v>40</v>
      </c>
      <c r="D1128">
        <v>5.487082</v>
      </c>
      <c r="E1128">
        <v>0.61334080000000002</v>
      </c>
      <c r="F1128" t="s">
        <v>50</v>
      </c>
      <c r="G1128">
        <v>-196.57990000000001</v>
      </c>
      <c r="H1128" s="1">
        <v>-4.473385E-6</v>
      </c>
      <c r="I1128">
        <v>354.72109999999998</v>
      </c>
      <c r="J1128">
        <v>-197.92590000000001</v>
      </c>
      <c r="K1128">
        <v>1.1160939999999999</v>
      </c>
      <c r="L1128">
        <v>363.46379999999999</v>
      </c>
      <c r="M1128">
        <v>0.82878929999999995</v>
      </c>
      <c r="N1128">
        <v>-1.430001E-2</v>
      </c>
      <c r="O1128">
        <v>-0.55937829999999999</v>
      </c>
      <c r="P1128">
        <v>0.43412040000000002</v>
      </c>
      <c r="Q1128">
        <v>-0.13072220000000001</v>
      </c>
      <c r="R1128">
        <v>-0.89132019999999901</v>
      </c>
      <c r="S1128">
        <v>0.51760859999999997</v>
      </c>
      <c r="T1128">
        <v>-0.38656449999999998</v>
      </c>
      <c r="U1128">
        <v>-3.0674130000000002</v>
      </c>
      <c r="V1128">
        <v>0.49452430000000003</v>
      </c>
      <c r="W1128">
        <v>-0.124171</v>
      </c>
      <c r="X1128">
        <v>0.86024840000000002</v>
      </c>
      <c r="Y1128">
        <v>0.72188869999999905</v>
      </c>
      <c r="Z1128">
        <v>1.243117E-2</v>
      </c>
      <c r="AA1128">
        <v>0.6918976</v>
      </c>
      <c r="AB1128">
        <v>18</v>
      </c>
      <c r="AC1128">
        <v>1.3460000000000001</v>
      </c>
      <c r="AD1128">
        <v>-1.1160984733849999</v>
      </c>
      <c r="AE1128">
        <v>-8.7427000000000099</v>
      </c>
      <c r="AF1128">
        <v>6.3918387406550403</v>
      </c>
      <c r="AG1128">
        <v>-1.1160984733849999</v>
      </c>
      <c r="AH1128">
        <v>5.9125138548740601</v>
      </c>
      <c r="AI1128">
        <v>97.304496055902703</v>
      </c>
      <c r="AJ1128">
        <v>42.769129817641399</v>
      </c>
      <c r="AK1128">
        <v>8.7783311838246707</v>
      </c>
      <c r="AL1128">
        <v>97.132884500152002</v>
      </c>
      <c r="AM1128">
        <v>60.107031473877001</v>
      </c>
      <c r="AN1128">
        <v>1.0000000151170201</v>
      </c>
    </row>
    <row r="1129" spans="1:40" x14ac:dyDescent="0.25">
      <c r="A1129" t="str">
        <f>"20190303154441910"</f>
        <v>20190303154441910</v>
      </c>
      <c r="B1129" t="str">
        <f>"1551599081901253"</f>
        <v>1551599081901253</v>
      </c>
      <c r="C1129" t="s">
        <v>40</v>
      </c>
      <c r="D1129">
        <v>5.504378</v>
      </c>
      <c r="E1129">
        <v>0.61295549999999999</v>
      </c>
      <c r="F1129" t="s">
        <v>50</v>
      </c>
      <c r="G1129">
        <v>-196.50129999999999</v>
      </c>
      <c r="H1129" s="1">
        <v>-4.3684730000000001E-6</v>
      </c>
      <c r="I1129">
        <v>354.53829999999999</v>
      </c>
      <c r="J1129">
        <v>-197.78620000000001</v>
      </c>
      <c r="K1129">
        <v>1.116144</v>
      </c>
      <c r="L1129">
        <v>363.35509999999999</v>
      </c>
      <c r="M1129">
        <v>0.82318539999999996</v>
      </c>
      <c r="N1129">
        <v>-1.4285269999999999E-2</v>
      </c>
      <c r="O1129">
        <v>-0.56759289999999996</v>
      </c>
      <c r="P1129">
        <v>0.4265834</v>
      </c>
      <c r="Q1129">
        <v>-0.12998850000000001</v>
      </c>
      <c r="R1129">
        <v>-0.89505859999999904</v>
      </c>
      <c r="S1129">
        <v>0.490097</v>
      </c>
      <c r="T1129">
        <v>-0.3839822</v>
      </c>
      <c r="U1129">
        <v>-3.0707399999999998</v>
      </c>
      <c r="V1129">
        <v>0.49334070000000002</v>
      </c>
      <c r="W1129">
        <v>-0.123369699999999</v>
      </c>
      <c r="X1129">
        <v>0.86104290000000006</v>
      </c>
      <c r="Y1129">
        <v>0.72123630000000005</v>
      </c>
      <c r="Z1129">
        <v>1.356912E-2</v>
      </c>
      <c r="AA1129">
        <v>0.69255619999999996</v>
      </c>
      <c r="AB1129">
        <v>18</v>
      </c>
      <c r="AC1129">
        <v>1.2849000000000199</v>
      </c>
      <c r="AD1129">
        <v>-1.116148368473</v>
      </c>
      <c r="AE1129">
        <v>-8.8168000000000006</v>
      </c>
      <c r="AF1129">
        <v>6.4283497415708997</v>
      </c>
      <c r="AG1129">
        <v>-1.116148368473</v>
      </c>
      <c r="AH1129">
        <v>5.9690133932662697</v>
      </c>
      <c r="AI1129">
        <v>97.251118944690901</v>
      </c>
      <c r="AJ1129">
        <v>42.878097080405702</v>
      </c>
      <c r="AK1129">
        <v>8.8429965774838895</v>
      </c>
      <c r="AL1129">
        <v>97.0866177310089</v>
      </c>
      <c r="AM1129">
        <v>60.189138800461301</v>
      </c>
      <c r="AN1129">
        <v>1.00000000239749</v>
      </c>
    </row>
    <row r="1130" spans="1:40" x14ac:dyDescent="0.25">
      <c r="A1130" t="str">
        <f>"20190303154441942"</f>
        <v>20190303154441942</v>
      </c>
      <c r="B1130" t="str">
        <f>"1551599081931511"</f>
        <v>1551599081931511</v>
      </c>
      <c r="C1130" t="s">
        <v>40</v>
      </c>
      <c r="D1130">
        <v>5.4736219999999998</v>
      </c>
      <c r="E1130">
        <v>0.61202809999999996</v>
      </c>
      <c r="F1130" t="s">
        <v>50</v>
      </c>
      <c r="G1130">
        <v>-196.4126</v>
      </c>
      <c r="H1130" s="1">
        <v>-4.2353389999999999E-6</v>
      </c>
      <c r="I1130">
        <v>354.31279999999998</v>
      </c>
      <c r="J1130">
        <v>-197.58709999999999</v>
      </c>
      <c r="K1130">
        <v>1.1162080000000001</v>
      </c>
      <c r="L1130">
        <v>363.19659999999999</v>
      </c>
      <c r="M1130">
        <v>0.81503749999999997</v>
      </c>
      <c r="N1130">
        <v>-1.426475E-2</v>
      </c>
      <c r="O1130">
        <v>-0.57923269999999905</v>
      </c>
      <c r="P1130">
        <v>0.41675489999999998</v>
      </c>
      <c r="Q1130">
        <v>-0.13029499999999999</v>
      </c>
      <c r="R1130">
        <v>-0.89963259999999901</v>
      </c>
      <c r="S1130">
        <v>0.46698000000000001</v>
      </c>
      <c r="T1130">
        <v>-0.37944840000000002</v>
      </c>
      <c r="U1130">
        <v>-3.074036</v>
      </c>
      <c r="V1130">
        <v>0.49051709999999898</v>
      </c>
      <c r="W1130">
        <v>-0.12357029999999999</v>
      </c>
      <c r="X1130">
        <v>0.8626258</v>
      </c>
      <c r="Y1130">
        <v>0.71671319999999905</v>
      </c>
      <c r="Z1130">
        <v>1.5422379999999999E-2</v>
      </c>
      <c r="AA1130">
        <v>0.69719750000000003</v>
      </c>
      <c r="AB1130">
        <v>17</v>
      </c>
      <c r="AC1130">
        <v>1.1744999999999901</v>
      </c>
      <c r="AD1130">
        <v>-1.1162122353389901</v>
      </c>
      <c r="AE1130">
        <v>-8.8838000000000008</v>
      </c>
      <c r="AF1130">
        <v>6.4607456334520004</v>
      </c>
      <c r="AG1130">
        <v>-1.1162122353389901</v>
      </c>
      <c r="AH1130">
        <v>6.0104139998329904</v>
      </c>
      <c r="AI1130">
        <v>97.209317500504994</v>
      </c>
      <c r="AJ1130">
        <v>42.931956860580598</v>
      </c>
      <c r="AK1130">
        <v>8.8945061888717607</v>
      </c>
      <c r="AL1130">
        <v>97.0982002069007</v>
      </c>
      <c r="AM1130">
        <v>60.376030899035001</v>
      </c>
      <c r="AN1130">
        <v>0.99999995763006899</v>
      </c>
    </row>
    <row r="1131" spans="1:40" x14ac:dyDescent="0.25">
      <c r="A1131" t="str">
        <f>"20190303154441963"</f>
        <v>20190303154441963</v>
      </c>
      <c r="B1131" t="str">
        <f>"1551599081961764"</f>
        <v>1551599081961764</v>
      </c>
      <c r="C1131" t="s">
        <v>40</v>
      </c>
      <c r="D1131">
        <v>5.4484629999999896</v>
      </c>
      <c r="E1131">
        <v>0.61108879999999999</v>
      </c>
      <c r="F1131" t="s">
        <v>50</v>
      </c>
      <c r="G1131">
        <v>-196.2936</v>
      </c>
      <c r="H1131" s="1">
        <v>-4.1301999999999999E-6</v>
      </c>
      <c r="I1131">
        <v>354.15629999999999</v>
      </c>
      <c r="J1131">
        <v>-197.4485</v>
      </c>
      <c r="K1131">
        <v>1.1162379999999901</v>
      </c>
      <c r="L1131">
        <v>363.08339999999998</v>
      </c>
      <c r="M1131">
        <v>0.80924469999999904</v>
      </c>
      <c r="N1131">
        <v>-1.42506E-2</v>
      </c>
      <c r="O1131">
        <v>-0.58729900000000002</v>
      </c>
      <c r="P1131">
        <v>0.40988659999999999</v>
      </c>
      <c r="Q1131">
        <v>-0.13042480000000001</v>
      </c>
      <c r="R1131">
        <v>-0.90276369999999895</v>
      </c>
      <c r="S1131">
        <v>0.4400635</v>
      </c>
      <c r="T1131">
        <v>-0.37977139999999998</v>
      </c>
      <c r="U1131">
        <v>-3.075806</v>
      </c>
      <c r="V1131">
        <v>0.48852000000000001</v>
      </c>
      <c r="W1131">
        <v>-0.1236337</v>
      </c>
      <c r="X1131">
        <v>0.86374930000000005</v>
      </c>
      <c r="Y1131">
        <v>0.71585779999999999</v>
      </c>
      <c r="Z1131">
        <v>1.6758180000000001E-2</v>
      </c>
      <c r="AA1131">
        <v>0.69804500000000003</v>
      </c>
      <c r="AB1131">
        <v>17</v>
      </c>
      <c r="AC1131">
        <v>1.15489999999999</v>
      </c>
      <c r="AD1131">
        <v>-1.1162421301999901</v>
      </c>
      <c r="AE1131">
        <v>-8.9270999999999905</v>
      </c>
      <c r="AF1131">
        <v>6.4474547826136304</v>
      </c>
      <c r="AG1131">
        <v>-1.1162421301999901</v>
      </c>
      <c r="AH1131">
        <v>6.0845350780643601</v>
      </c>
      <c r="AI1131">
        <v>97.176529353865703</v>
      </c>
      <c r="AJ1131">
        <v>43.341208568966898</v>
      </c>
      <c r="AK1131">
        <v>8.9351685369262306</v>
      </c>
      <c r="AL1131">
        <v>97.101860757622305</v>
      </c>
      <c r="AM1131">
        <v>60.508334056308399</v>
      </c>
      <c r="AN1131">
        <v>0.99999996771308897</v>
      </c>
    </row>
    <row r="1132" spans="1:40" x14ac:dyDescent="0.25">
      <c r="A1132" t="str">
        <f>"20190303154441987"</f>
        <v>20190303154441987</v>
      </c>
      <c r="B1132" t="str">
        <f>"1551599081981284"</f>
        <v>1551599081981284</v>
      </c>
      <c r="C1132" t="s">
        <v>40</v>
      </c>
      <c r="D1132">
        <v>5.450113</v>
      </c>
      <c r="E1132">
        <v>0.61064619999999903</v>
      </c>
      <c r="F1132" t="s">
        <v>50</v>
      </c>
      <c r="G1132">
        <v>-196.20349999999999</v>
      </c>
      <c r="H1132" s="1">
        <v>-4.0538559999999999E-6</v>
      </c>
      <c r="I1132">
        <v>354.04430000000002</v>
      </c>
      <c r="J1132">
        <v>-197.30410000000001</v>
      </c>
      <c r="K1132">
        <v>1.1162719999999999</v>
      </c>
      <c r="L1132">
        <v>362.96300000000002</v>
      </c>
      <c r="M1132">
        <v>0.80308819999999903</v>
      </c>
      <c r="N1132">
        <v>-1.4237029999999999E-2</v>
      </c>
      <c r="O1132">
        <v>-0.59569039999999995</v>
      </c>
      <c r="P1132">
        <v>0.4033486</v>
      </c>
      <c r="Q1132">
        <v>-0.1301128</v>
      </c>
      <c r="R1132">
        <v>-0.90574909999999997</v>
      </c>
      <c r="S1132">
        <v>0.42367549999999998</v>
      </c>
      <c r="T1132">
        <v>-0.37984259999999997</v>
      </c>
      <c r="U1132">
        <v>-3.0758969999999999</v>
      </c>
      <c r="V1132">
        <v>0.48582629999999999</v>
      </c>
      <c r="W1132">
        <v>-0.1232473</v>
      </c>
      <c r="X1132">
        <v>0.86532240000000005</v>
      </c>
      <c r="Y1132">
        <v>0.71229489999999995</v>
      </c>
      <c r="Z1132">
        <v>1.8379670000000001E-2</v>
      </c>
      <c r="AA1132">
        <v>0.70163969999999998</v>
      </c>
      <c r="AB1132">
        <v>17</v>
      </c>
      <c r="AC1132">
        <v>1.10060000000001</v>
      </c>
      <c r="AD1132">
        <v>-1.1162760538559999</v>
      </c>
      <c r="AE1132">
        <v>-8.9186999999999994</v>
      </c>
      <c r="AF1132">
        <v>6.4086561829567996</v>
      </c>
      <c r="AG1132">
        <v>-1.1162760538559999</v>
      </c>
      <c r="AH1132">
        <v>6.10311636124153</v>
      </c>
      <c r="AI1132">
        <v>97.189081809255001</v>
      </c>
      <c r="AJ1132">
        <v>43.601104396912902</v>
      </c>
      <c r="AK1132">
        <v>8.9199201576368896</v>
      </c>
      <c r="AL1132">
        <v>97.079551002286195</v>
      </c>
      <c r="AM1132">
        <v>60.6884187260057</v>
      </c>
      <c r="AN1132">
        <v>0.99999997333536905</v>
      </c>
    </row>
    <row r="1133" spans="1:40" x14ac:dyDescent="0.25">
      <c r="A1133" t="str">
        <f>"20190303154442020"</f>
        <v>20190303154442020</v>
      </c>
      <c r="B1133" t="str">
        <f>"1551599082011540"</f>
        <v>1551599082011540</v>
      </c>
      <c r="C1133" t="s">
        <v>40</v>
      </c>
      <c r="D1133">
        <v>5.4441059999999997</v>
      </c>
      <c r="E1133">
        <v>0.610116199999999</v>
      </c>
      <c r="F1133" t="s">
        <v>50</v>
      </c>
      <c r="G1133">
        <v>-196.10640000000001</v>
      </c>
      <c r="H1133" s="1">
        <v>-3.9381609999999998E-6</v>
      </c>
      <c r="I1133">
        <v>353.85719999999998</v>
      </c>
      <c r="J1133">
        <v>-197.1046</v>
      </c>
      <c r="K1133">
        <v>1.116303</v>
      </c>
      <c r="L1133">
        <v>362.7928</v>
      </c>
      <c r="M1133">
        <v>0.79436779999999996</v>
      </c>
      <c r="N1133">
        <v>-1.4221340000000001E-2</v>
      </c>
      <c r="O1133">
        <v>-0.60727050000000005</v>
      </c>
      <c r="P1133">
        <v>0.39684340000000001</v>
      </c>
      <c r="Q1133">
        <v>-0.12909849999999901</v>
      </c>
      <c r="R1133">
        <v>-0.90876250000000003</v>
      </c>
      <c r="S1133">
        <v>0.4048157</v>
      </c>
      <c r="T1133">
        <v>-0.37729069999999998</v>
      </c>
      <c r="U1133">
        <v>-3.0776979999999998</v>
      </c>
      <c r="V1133">
        <v>0.4796203</v>
      </c>
      <c r="W1133">
        <v>-0.12209639999999999</v>
      </c>
      <c r="X1133">
        <v>0.86894009999999999</v>
      </c>
      <c r="Y1133">
        <v>0.70648909999999998</v>
      </c>
      <c r="Z1133">
        <v>2.0439019999999999E-2</v>
      </c>
      <c r="AA1133">
        <v>0.70742879999999997</v>
      </c>
      <c r="AB1133">
        <v>17</v>
      </c>
      <c r="AC1133">
        <v>0.99819999999999698</v>
      </c>
      <c r="AD1133">
        <v>-1.116306938161</v>
      </c>
      <c r="AE1133">
        <v>-8.9356000000000204</v>
      </c>
      <c r="AF1133">
        <v>6.3940700314591501</v>
      </c>
      <c r="AG1133">
        <v>-1.116306938161</v>
      </c>
      <c r="AH1133">
        <v>6.1254715069322998</v>
      </c>
      <c r="AI1133">
        <v>97.185347391682001</v>
      </c>
      <c r="AJ1133">
        <v>43.7709453074389</v>
      </c>
      <c r="AK1133">
        <v>8.9247786487749892</v>
      </c>
      <c r="AL1133">
        <v>97.0131070539544</v>
      </c>
      <c r="AM1133">
        <v>61.103052833489599</v>
      </c>
      <c r="AN1133">
        <v>1.00000003022652</v>
      </c>
    </row>
    <row r="1134" spans="1:40" x14ac:dyDescent="0.25">
      <c r="A1134" t="str">
        <f>"20190303154442043"</f>
        <v>20190303154442043</v>
      </c>
      <c r="B1134" t="str">
        <f>"1551599082031060"</f>
        <v>1551599082031060</v>
      </c>
      <c r="C1134" t="s">
        <v>40</v>
      </c>
      <c r="D1134">
        <v>5.4491630000000004</v>
      </c>
      <c r="E1134">
        <v>0.59746619999999995</v>
      </c>
      <c r="F1134" t="s">
        <v>50</v>
      </c>
      <c r="G1134">
        <v>-195.9452</v>
      </c>
      <c r="H1134" s="1">
        <v>-3.7500500000000002E-6</v>
      </c>
      <c r="I1134">
        <v>353.55439999999999</v>
      </c>
      <c r="J1134">
        <v>-196.9709</v>
      </c>
      <c r="K1134">
        <v>1.116314</v>
      </c>
      <c r="L1134">
        <v>362.67579999999998</v>
      </c>
      <c r="M1134">
        <v>0.78836349999999999</v>
      </c>
      <c r="N1134">
        <v>-1.421334E-2</v>
      </c>
      <c r="O1134">
        <v>-0.61504550000000002</v>
      </c>
      <c r="P1134">
        <v>0.39220899999999997</v>
      </c>
      <c r="Q1134">
        <v>-0.12803610000000001</v>
      </c>
      <c r="R1134">
        <v>-0.91092249999999997</v>
      </c>
      <c r="S1134">
        <v>0.3864899</v>
      </c>
      <c r="T1134">
        <v>-0.37211169999999999</v>
      </c>
      <c r="U1134">
        <v>-3.0795590000000002</v>
      </c>
      <c r="V1134">
        <v>0.47564469999999998</v>
      </c>
      <c r="W1134">
        <v>-0.1209578</v>
      </c>
      <c r="X1134">
        <v>0.87128139999999998</v>
      </c>
      <c r="Y1134">
        <v>0.70381939999999998</v>
      </c>
      <c r="Z1134">
        <v>2.1372820000000001E-2</v>
      </c>
      <c r="AA1134">
        <v>0.71005739999999995</v>
      </c>
      <c r="AB1134">
        <v>17</v>
      </c>
      <c r="AC1134">
        <v>1.0257000000000001</v>
      </c>
      <c r="AD1134">
        <v>-1.1163177500499999</v>
      </c>
      <c r="AE1134">
        <v>-9.1213999999999906</v>
      </c>
      <c r="AF1134">
        <v>6.4651636383747002</v>
      </c>
      <c r="AG1134">
        <v>-1.1163177500499999</v>
      </c>
      <c r="AH1134">
        <v>6.3257847004718899</v>
      </c>
      <c r="AI1134">
        <v>97.035684198846496</v>
      </c>
      <c r="AJ1134">
        <v>44.3756906342782</v>
      </c>
      <c r="AK1134">
        <v>9.1137291086998697</v>
      </c>
      <c r="AL1134">
        <v>96.947383330542806</v>
      </c>
      <c r="AM1134">
        <v>61.369256427158703</v>
      </c>
      <c r="AN1134">
        <v>0.999999974002444</v>
      </c>
    </row>
    <row r="1135" spans="1:40" x14ac:dyDescent="0.25">
      <c r="A1135" t="str">
        <f>"20190303154442066"</f>
        <v>20190303154442066</v>
      </c>
      <c r="B1135" t="str">
        <f>"1551599082061316"</f>
        <v>1551599082061316</v>
      </c>
      <c r="C1135" t="s">
        <v>40</v>
      </c>
      <c r="D1135">
        <v>5.4418069999999998</v>
      </c>
      <c r="E1135">
        <v>0.59738219999999997</v>
      </c>
      <c r="F1135" t="s">
        <v>50</v>
      </c>
      <c r="G1135">
        <v>-195.589</v>
      </c>
      <c r="H1135" s="1">
        <v>-3.6945590000000001E-6</v>
      </c>
      <c r="I1135">
        <v>353.60109999999997</v>
      </c>
      <c r="J1135">
        <v>-196.83760000000001</v>
      </c>
      <c r="K1135">
        <v>1.1163050000000001</v>
      </c>
      <c r="L1135">
        <v>362.55669999999998</v>
      </c>
      <c r="M1135">
        <v>0.78222630000000004</v>
      </c>
      <c r="N1135">
        <v>-1.4207620000000001E-2</v>
      </c>
      <c r="O1135">
        <v>-0.62283269999999902</v>
      </c>
      <c r="P1135">
        <v>0.3871211</v>
      </c>
      <c r="Q1135">
        <v>-0.12719510000000001</v>
      </c>
      <c r="R1135">
        <v>-0.91321379999999996</v>
      </c>
      <c r="S1135">
        <v>0.4631653</v>
      </c>
      <c r="T1135">
        <v>-0.37413200000000002</v>
      </c>
      <c r="U1135">
        <v>-3.041382</v>
      </c>
      <c r="V1135">
        <v>0.47196840000000001</v>
      </c>
      <c r="W1135">
        <v>-0.1200589</v>
      </c>
      <c r="X1135">
        <v>0.87340239999999902</v>
      </c>
      <c r="Y1135">
        <v>0.67784</v>
      </c>
      <c r="Z1135">
        <v>2.5250120000000001E-2</v>
      </c>
      <c r="AA1135">
        <v>0.73477579999999998</v>
      </c>
      <c r="AB1135">
        <v>17</v>
      </c>
      <c r="AC1135">
        <v>1.2485999999999799</v>
      </c>
      <c r="AD1135">
        <v>-1.1163086945589999</v>
      </c>
      <c r="AE1135">
        <v>-8.9556000000000004</v>
      </c>
      <c r="AF1135">
        <v>6.1347633241708603</v>
      </c>
      <c r="AG1135">
        <v>-1.1163086945589999</v>
      </c>
      <c r="AH1135">
        <v>6.4567796911866502</v>
      </c>
      <c r="AI1135">
        <v>97.144012232204503</v>
      </c>
      <c r="AJ1135">
        <v>46.464964063018002</v>
      </c>
      <c r="AK1135">
        <v>8.9761612132169493</v>
      </c>
      <c r="AL1135">
        <v>96.895501660390096</v>
      </c>
      <c r="AM1135">
        <v>61.614139522477601</v>
      </c>
      <c r="AN1135">
        <v>1.0000000311967601</v>
      </c>
    </row>
    <row r="1136" spans="1:40" x14ac:dyDescent="0.25">
      <c r="A1136" t="str">
        <f>"20190303154442090"</f>
        <v>20190303154442090</v>
      </c>
      <c r="B1136" t="str">
        <f>"1551599082081812"</f>
        <v>1551599082081812</v>
      </c>
      <c r="C1136" t="s">
        <v>40</v>
      </c>
      <c r="D1136">
        <v>5.4678420000000001</v>
      </c>
      <c r="E1136">
        <v>0.59673509999999996</v>
      </c>
      <c r="F1136" t="s">
        <v>50</v>
      </c>
      <c r="G1136">
        <v>-195.49369999999999</v>
      </c>
      <c r="H1136" s="1">
        <v>-3.5731959999999998E-6</v>
      </c>
      <c r="I1136">
        <v>353.40190000000001</v>
      </c>
      <c r="J1136">
        <v>-196.69390000000001</v>
      </c>
      <c r="K1136">
        <v>1.116298</v>
      </c>
      <c r="L1136">
        <v>362.4255</v>
      </c>
      <c r="M1136">
        <v>0.7754337</v>
      </c>
      <c r="N1136">
        <v>-1.420387E-2</v>
      </c>
      <c r="O1136">
        <v>-0.63126930000000003</v>
      </c>
      <c r="P1136">
        <v>0.38065520000000003</v>
      </c>
      <c r="Q1136">
        <v>-0.1282509</v>
      </c>
      <c r="R1136">
        <v>-0.91578029999999999</v>
      </c>
      <c r="S1136">
        <v>0.44685360000000002</v>
      </c>
      <c r="T1136">
        <v>-0.37117620000000001</v>
      </c>
      <c r="U1136">
        <v>-3.044006</v>
      </c>
      <c r="V1136">
        <v>0.4685549</v>
      </c>
      <c r="W1136">
        <v>-0.1210749</v>
      </c>
      <c r="X1136">
        <v>0.87509840000000005</v>
      </c>
      <c r="Y1136">
        <v>0.6738923</v>
      </c>
      <c r="Z1136">
        <v>2.6519830000000001E-2</v>
      </c>
      <c r="AA1136">
        <v>0.7383535</v>
      </c>
      <c r="AB1136">
        <v>17</v>
      </c>
      <c r="AC1136">
        <v>1.2002000000000199</v>
      </c>
      <c r="AD1136">
        <v>-1.116301573196</v>
      </c>
      <c r="AE1136">
        <v>-9.0235999999999805</v>
      </c>
      <c r="AF1136">
        <v>6.1477342236892003</v>
      </c>
      <c r="AG1136">
        <v>-1.116301573196</v>
      </c>
      <c r="AH1136">
        <v>6.5294757581000002</v>
      </c>
      <c r="AI1136">
        <v>97.095298363103794</v>
      </c>
      <c r="AJ1136">
        <v>46.724793664142801</v>
      </c>
      <c r="AK1136">
        <v>9.0374121828682199</v>
      </c>
      <c r="AL1136">
        <v>96.954142036359897</v>
      </c>
      <c r="AM1136">
        <v>61.834018527767697</v>
      </c>
      <c r="AN1136">
        <v>1.0000000177032899</v>
      </c>
    </row>
    <row r="1137" spans="1:40" x14ac:dyDescent="0.25">
      <c r="A1137" t="str">
        <f>"20190303154442111"</f>
        <v>20190303154442111</v>
      </c>
      <c r="B1137" t="str">
        <f>"1551599082101332"</f>
        <v>1551599082101332</v>
      </c>
      <c r="C1137" t="s">
        <v>40</v>
      </c>
      <c r="D1137">
        <v>5.4432010000000002</v>
      </c>
      <c r="E1137">
        <v>0.59623870000000001</v>
      </c>
      <c r="F1137" t="s">
        <v>50</v>
      </c>
      <c r="G1137">
        <v>-195.40190000000001</v>
      </c>
      <c r="H1137" s="1">
        <v>-3.4912909999999999E-6</v>
      </c>
      <c r="I1137">
        <v>353.27960000000002</v>
      </c>
      <c r="J1137">
        <v>-196.57470000000001</v>
      </c>
      <c r="K1137">
        <v>1.116263</v>
      </c>
      <c r="L1137">
        <v>362.31450000000001</v>
      </c>
      <c r="M1137">
        <v>0.76964519999999903</v>
      </c>
      <c r="N1137">
        <v>-1.418372E-2</v>
      </c>
      <c r="O1137">
        <v>-0.63831439999999995</v>
      </c>
      <c r="P1137">
        <v>0.37421959999999999</v>
      </c>
      <c r="Q1137">
        <v>-0.12757249999999901</v>
      </c>
      <c r="R1137">
        <v>-0.91852330000000004</v>
      </c>
      <c r="S1137">
        <v>0.4301758</v>
      </c>
      <c r="T1137">
        <v>-0.37166310000000002</v>
      </c>
      <c r="U1137">
        <v>-3.0450439999999999</v>
      </c>
      <c r="V1137">
        <v>0.46679159999999997</v>
      </c>
      <c r="W1137">
        <v>-0.12040720000000001</v>
      </c>
      <c r="X1137">
        <v>0.87613220000000003</v>
      </c>
      <c r="Y1137">
        <v>0.67119039999999996</v>
      </c>
      <c r="Z1137">
        <v>2.787303E-2</v>
      </c>
      <c r="AA1137">
        <v>0.7407608</v>
      </c>
      <c r="AB1137">
        <v>17</v>
      </c>
      <c r="AC1137">
        <v>1.1727999999999901</v>
      </c>
      <c r="AD1137">
        <v>-1.1162664912909901</v>
      </c>
      <c r="AE1137">
        <v>-9.0348999999999897</v>
      </c>
      <c r="AF1137">
        <v>6.1138955206196197</v>
      </c>
      <c r="AG1137">
        <v>-1.1162664912909901</v>
      </c>
      <c r="AH1137">
        <v>6.5717631934472003</v>
      </c>
      <c r="AI1137">
        <v>97.089012556280693</v>
      </c>
      <c r="AJ1137">
        <v>47.0670981963857</v>
      </c>
      <c r="AK1137">
        <v>9.0451003746436704</v>
      </c>
      <c r="AL1137">
        <v>96.915604088068804</v>
      </c>
      <c r="AM1137">
        <v>61.951901677261901</v>
      </c>
      <c r="AN1137">
        <v>0.99999996175961903</v>
      </c>
    </row>
    <row r="1138" spans="1:40" x14ac:dyDescent="0.25">
      <c r="A1138" t="str">
        <f>"20190303154442133"</f>
        <v>20190303154442133</v>
      </c>
      <c r="B1138" t="str">
        <f>"1551599082131897"</f>
        <v>1551599082131897</v>
      </c>
      <c r="C1138" t="s">
        <v>40</v>
      </c>
      <c r="D1138">
        <v>5.4385870000000001</v>
      </c>
      <c r="E1138">
        <v>0.59616389999999997</v>
      </c>
      <c r="F1138" t="s">
        <v>50</v>
      </c>
      <c r="G1138">
        <v>-195.33240000000001</v>
      </c>
      <c r="H1138" s="1">
        <v>-3.4043519999999999E-6</v>
      </c>
      <c r="I1138">
        <v>353.13740000000001</v>
      </c>
      <c r="J1138">
        <v>-196.4434</v>
      </c>
      <c r="K1138">
        <v>1.116185</v>
      </c>
      <c r="L1138">
        <v>362.18979999999999</v>
      </c>
      <c r="M1138">
        <v>0.76307179999999997</v>
      </c>
      <c r="N1138">
        <v>-1.407773E-2</v>
      </c>
      <c r="O1138">
        <v>-0.64616059999999997</v>
      </c>
      <c r="P1138">
        <v>0.36574859999999998</v>
      </c>
      <c r="Q1138">
        <v>-0.12803970000000001</v>
      </c>
      <c r="R1138">
        <v>-0.92186500000000005</v>
      </c>
      <c r="S1138">
        <v>0.41239930000000002</v>
      </c>
      <c r="T1138">
        <v>-0.37057319999999999</v>
      </c>
      <c r="U1138">
        <v>-3.04657</v>
      </c>
      <c r="V1138">
        <v>0.46581850000000002</v>
      </c>
      <c r="W1138">
        <v>-0.1210093</v>
      </c>
      <c r="X1138">
        <v>0.87656710000000004</v>
      </c>
      <c r="Y1138">
        <v>0.66795159999999998</v>
      </c>
      <c r="Z1138">
        <v>2.928975E-2</v>
      </c>
      <c r="AA1138">
        <v>0.74362810000000001</v>
      </c>
      <c r="AB1138">
        <v>17</v>
      </c>
      <c r="AC1138">
        <v>1.11099999999999</v>
      </c>
      <c r="AD1138">
        <v>-1.1161884043520001</v>
      </c>
      <c r="AE1138">
        <v>-9.0523999999999702</v>
      </c>
      <c r="AF1138">
        <v>6.0990081945146297</v>
      </c>
      <c r="AG1138">
        <v>-1.1161884043520001</v>
      </c>
      <c r="AH1138">
        <v>6.5989012404273701</v>
      </c>
      <c r="AI1138">
        <v>97.080887431427996</v>
      </c>
      <c r="AJ1138">
        <v>47.254463919116702</v>
      </c>
      <c r="AK1138">
        <v>9.0547929347766001</v>
      </c>
      <c r="AL1138">
        <v>96.950355694181994</v>
      </c>
      <c r="AM1138">
        <v>62.013275762133098</v>
      </c>
      <c r="AN1138">
        <v>1.00000000321557</v>
      </c>
    </row>
    <row r="1139" spans="1:40" x14ac:dyDescent="0.25">
      <c r="A1139" t="str">
        <f>"20190303154442154"</f>
        <v>20190303154442154</v>
      </c>
      <c r="B1139" t="str">
        <f>"1551599082151416"</f>
        <v>1551599082151416</v>
      </c>
      <c r="C1139" t="s">
        <v>40</v>
      </c>
      <c r="D1139">
        <v>5.4361610000000002</v>
      </c>
      <c r="E1139">
        <v>0.59600439999999999</v>
      </c>
      <c r="F1139" t="s">
        <v>50</v>
      </c>
      <c r="G1139">
        <v>-195.28569999999999</v>
      </c>
      <c r="H1139" s="1">
        <v>-3.333923E-6</v>
      </c>
      <c r="I1139">
        <v>353.01799999999997</v>
      </c>
      <c r="J1139">
        <v>-196.3279</v>
      </c>
      <c r="K1139">
        <v>1.1160650000000001</v>
      </c>
      <c r="L1139">
        <v>362.07780000000002</v>
      </c>
      <c r="M1139">
        <v>0.75710010000000005</v>
      </c>
      <c r="N1139">
        <v>-1.387705E-2</v>
      </c>
      <c r="O1139">
        <v>-0.65315190000000001</v>
      </c>
      <c r="P1139">
        <v>0.35808139999999999</v>
      </c>
      <c r="Q1139">
        <v>-0.1261388</v>
      </c>
      <c r="R1139">
        <v>-0.92513109999999998</v>
      </c>
      <c r="S1139">
        <v>0.38497920000000002</v>
      </c>
      <c r="T1139">
        <v>-0.3711758</v>
      </c>
      <c r="U1139">
        <v>-3.049957</v>
      </c>
      <c r="V1139">
        <v>0.4652347</v>
      </c>
      <c r="W1139">
        <v>-0.1193506</v>
      </c>
      <c r="X1139">
        <v>0.87710429999999995</v>
      </c>
      <c r="Y1139">
        <v>0.66782710000000001</v>
      </c>
      <c r="Z1139">
        <v>3.0607200000000001E-2</v>
      </c>
      <c r="AA1139">
        <v>0.74368690000000004</v>
      </c>
      <c r="AB1139">
        <v>17</v>
      </c>
      <c r="AC1139">
        <v>1.0422</v>
      </c>
      <c r="AD1139">
        <v>-1.11606833392299</v>
      </c>
      <c r="AE1139">
        <v>-9.0597999999999903</v>
      </c>
      <c r="AF1139">
        <v>6.0878736921176104</v>
      </c>
      <c r="AG1139">
        <v>-1.11606833392299</v>
      </c>
      <c r="AH1139">
        <v>6.6081468178906402</v>
      </c>
      <c r="AI1139">
        <v>97.080723233665694</v>
      </c>
      <c r="AJ1139">
        <v>47.3466238699963</v>
      </c>
      <c r="AK1139">
        <v>9.0540277768494608</v>
      </c>
      <c r="AL1139">
        <v>96.854625888005302</v>
      </c>
      <c r="AM1139">
        <v>62.057573705000699</v>
      </c>
      <c r="AN1139">
        <v>0.99999992244146696</v>
      </c>
    </row>
    <row r="1140" spans="1:40" x14ac:dyDescent="0.25">
      <c r="A1140" t="str">
        <f>"20190303154442177"</f>
        <v>20190303154442177</v>
      </c>
      <c r="B1140" t="str">
        <f>"1551599082171912"</f>
        <v>1551599082171912</v>
      </c>
      <c r="C1140" t="s">
        <v>40</v>
      </c>
      <c r="D1140">
        <v>5.3036159999999999</v>
      </c>
      <c r="E1140">
        <v>0.59601959999999998</v>
      </c>
      <c r="F1140" t="s">
        <v>50</v>
      </c>
      <c r="G1140">
        <v>-195.22</v>
      </c>
      <c r="H1140" s="1">
        <v>-3.159684E-6</v>
      </c>
      <c r="I1140">
        <v>352.70080000000002</v>
      </c>
      <c r="J1140">
        <v>-196.19659999999999</v>
      </c>
      <c r="K1140">
        <v>1.115899</v>
      </c>
      <c r="L1140">
        <v>361.94779999999997</v>
      </c>
      <c r="M1140">
        <v>0.75008989999999998</v>
      </c>
      <c r="N1140">
        <v>-1.3556199999999999E-2</v>
      </c>
      <c r="O1140">
        <v>-0.66119680000000003</v>
      </c>
      <c r="P1140">
        <v>0.34944540000000002</v>
      </c>
      <c r="Q1140">
        <v>-0.1243851</v>
      </c>
      <c r="R1140">
        <v>-0.92866360000000003</v>
      </c>
      <c r="S1140">
        <v>0.36079410000000001</v>
      </c>
      <c r="T1140">
        <v>-0.36344169999999998</v>
      </c>
      <c r="U1140">
        <v>-3.0535890000000001</v>
      </c>
      <c r="V1140">
        <v>0.46421659999999998</v>
      </c>
      <c r="W1140">
        <v>-0.1179635</v>
      </c>
      <c r="X1140">
        <v>0.87783120000000003</v>
      </c>
      <c r="Y1140">
        <v>0.6659022</v>
      </c>
      <c r="Z1140">
        <v>3.133089E-2</v>
      </c>
      <c r="AA1140">
        <v>0.74538090000000001</v>
      </c>
      <c r="AB1140">
        <v>17</v>
      </c>
      <c r="AC1140">
        <v>0.97659999999999003</v>
      </c>
      <c r="AD1140">
        <v>-1.115902159684</v>
      </c>
      <c r="AE1140">
        <v>-9.2469999999999501</v>
      </c>
      <c r="AF1140">
        <v>6.2016172638381502</v>
      </c>
      <c r="AG1140">
        <v>-1.115902159684</v>
      </c>
      <c r="AH1140">
        <v>6.7500379803403998</v>
      </c>
      <c r="AI1140">
        <v>96.940930434391802</v>
      </c>
      <c r="AJ1140">
        <v>47.424665587300503</v>
      </c>
      <c r="AK1140">
        <v>9.2340839856025099</v>
      </c>
      <c r="AL1140">
        <v>96.774584723074497</v>
      </c>
      <c r="AM1140">
        <v>62.129121330910799</v>
      </c>
      <c r="AN1140">
        <v>1.00000002737062</v>
      </c>
    </row>
    <row r="1141" spans="1:40" x14ac:dyDescent="0.25">
      <c r="A1141" t="str">
        <f>"20190303154442199"</f>
        <v>20190303154442199</v>
      </c>
      <c r="B1141" t="str">
        <f>"1551599082191433"</f>
        <v>1551599082191433</v>
      </c>
      <c r="C1141" t="s">
        <v>40</v>
      </c>
      <c r="D1141">
        <v>5.3231989999999998</v>
      </c>
      <c r="E1141">
        <v>0.595503</v>
      </c>
      <c r="F1141" t="s">
        <v>50</v>
      </c>
      <c r="G1141">
        <v>-195.15209999999999</v>
      </c>
      <c r="H1141" s="1">
        <v>-2.9662690000000001E-6</v>
      </c>
      <c r="I1141">
        <v>352.34629999999999</v>
      </c>
      <c r="J1141">
        <v>-196.07660000000001</v>
      </c>
      <c r="K1141">
        <v>1.1157459999999999</v>
      </c>
      <c r="L1141">
        <v>361.82650000000001</v>
      </c>
      <c r="M1141">
        <v>0.74347479999999999</v>
      </c>
      <c r="N1141">
        <v>-1.321745E-2</v>
      </c>
      <c r="O1141">
        <v>-0.66863359999999905</v>
      </c>
      <c r="P1141">
        <v>0.34112989999999999</v>
      </c>
      <c r="Q1141">
        <v>-0.12281160000000001</v>
      </c>
      <c r="R1141">
        <v>-0.93195950000000005</v>
      </c>
      <c r="S1141">
        <v>0.33262629999999999</v>
      </c>
      <c r="T1141">
        <v>-0.35537469999999999</v>
      </c>
      <c r="U1141">
        <v>-3.0577390000000002</v>
      </c>
      <c r="V1141">
        <v>0.4634741</v>
      </c>
      <c r="W1141">
        <v>-0.1167641</v>
      </c>
      <c r="X1141">
        <v>0.87838369999999999</v>
      </c>
      <c r="Y1141">
        <v>0.6654677</v>
      </c>
      <c r="Z1141">
        <v>3.1776569999999997E-2</v>
      </c>
      <c r="AA1141">
        <v>0.74575000000000002</v>
      </c>
      <c r="AB1141">
        <v>17</v>
      </c>
      <c r="AC1141">
        <v>0.92450000000002297</v>
      </c>
      <c r="AD1141">
        <v>-1.1157489662690001</v>
      </c>
      <c r="AE1141">
        <v>-9.4802000000000195</v>
      </c>
      <c r="AF1141">
        <v>6.3436569539241603</v>
      </c>
      <c r="AG1141">
        <v>-1.1157489662690001</v>
      </c>
      <c r="AH1141">
        <v>6.9316260278613404</v>
      </c>
      <c r="AI1141">
        <v>96.771828379795394</v>
      </c>
      <c r="AJ1141">
        <v>47.536002000614701</v>
      </c>
      <c r="AK1141">
        <v>9.4622575897576109</v>
      </c>
      <c r="AL1141">
        <v>96.705386043162804</v>
      </c>
      <c r="AM1141">
        <v>62.181888179858397</v>
      </c>
      <c r="AN1141">
        <v>1.0000000104226501</v>
      </c>
    </row>
    <row r="1142" spans="1:40" x14ac:dyDescent="0.25">
      <c r="A1142" t="str">
        <f>"20190303154442220"</f>
        <v>20190303154442220</v>
      </c>
      <c r="B1142" t="str">
        <f>"1551599082210971"</f>
        <v>1551599082210971</v>
      </c>
      <c r="C1142" t="s">
        <v>40</v>
      </c>
      <c r="D1142">
        <v>5.3184380000000004</v>
      </c>
      <c r="E1142">
        <v>0.57044510000000004</v>
      </c>
      <c r="F1142" t="s">
        <v>50</v>
      </c>
      <c r="G1142">
        <v>-195.0652</v>
      </c>
      <c r="H1142" s="1">
        <v>-2.6680059999999999E-6</v>
      </c>
      <c r="I1142">
        <v>351.83319999999998</v>
      </c>
      <c r="J1142">
        <v>-195.952</v>
      </c>
      <c r="K1142">
        <v>1.115602</v>
      </c>
      <c r="L1142">
        <v>361.69779999999997</v>
      </c>
      <c r="M1142">
        <v>0.73637549999999996</v>
      </c>
      <c r="N1142">
        <v>-1.283138E-2</v>
      </c>
      <c r="O1142">
        <v>-0.67645169999999999</v>
      </c>
      <c r="P1142">
        <v>0.33148529999999998</v>
      </c>
      <c r="Q1142">
        <v>-0.12155729999999999</v>
      </c>
      <c r="R1142">
        <v>-0.93559689999999995</v>
      </c>
      <c r="S1142">
        <v>0.30973820000000002</v>
      </c>
      <c r="T1142">
        <v>-0.34171550000000001</v>
      </c>
      <c r="U1142">
        <v>-3.0606080000000002</v>
      </c>
      <c r="V1142">
        <v>0.46338040000000003</v>
      </c>
      <c r="W1142">
        <v>-0.1159331</v>
      </c>
      <c r="X1142">
        <v>0.87854319999999897</v>
      </c>
      <c r="Y1142">
        <v>0.66330519999999904</v>
      </c>
      <c r="Z1142">
        <v>3.1692650000000003E-2</v>
      </c>
      <c r="AA1142">
        <v>0.747677699999999</v>
      </c>
      <c r="AB1142">
        <v>17</v>
      </c>
      <c r="AC1142">
        <v>0.88679999999999304</v>
      </c>
      <c r="AD1142">
        <v>-1.1156046680060001</v>
      </c>
      <c r="AE1142">
        <v>-9.8645999999999905</v>
      </c>
      <c r="AF1142">
        <v>6.5812223219696797</v>
      </c>
      <c r="AG1142">
        <v>-1.1156046680060001</v>
      </c>
      <c r="AH1142">
        <v>7.2347559931340797</v>
      </c>
      <c r="AI1142">
        <v>96.5074066969283</v>
      </c>
      <c r="AJ1142">
        <v>47.708228803610503</v>
      </c>
      <c r="AK1142">
        <v>9.8437165393289501</v>
      </c>
      <c r="AL1142">
        <v>96.657447632282796</v>
      </c>
      <c r="AM1142">
        <v>62.190962260585898</v>
      </c>
      <c r="AN1142">
        <v>1.0000000165230001</v>
      </c>
    </row>
    <row r="1143" spans="1:40" x14ac:dyDescent="0.25">
      <c r="A1143" t="str">
        <f>"20190303154442244"</f>
        <v>20190303154442244</v>
      </c>
      <c r="B1143" t="str">
        <f>"1551599082241209"</f>
        <v>1551599082241209</v>
      </c>
      <c r="C1143" t="s">
        <v>40</v>
      </c>
      <c r="D1143">
        <v>5.2834430000000001</v>
      </c>
      <c r="E1143">
        <v>0.56662139999999905</v>
      </c>
      <c r="F1143" t="s">
        <v>41</v>
      </c>
      <c r="G1143">
        <v>-193.36240000000001</v>
      </c>
      <c r="H1143" s="1">
        <v>-3.3783419999999998E-6</v>
      </c>
      <c r="I1143">
        <v>345.37869999999998</v>
      </c>
      <c r="J1143">
        <v>-195.82650000000001</v>
      </c>
      <c r="K1143">
        <v>1.115464</v>
      </c>
      <c r="L1143">
        <v>361.5652</v>
      </c>
      <c r="M1143">
        <v>0.72897009999999995</v>
      </c>
      <c r="N1143">
        <v>-1.23952E-2</v>
      </c>
      <c r="O1143">
        <v>-0.68443350000000003</v>
      </c>
      <c r="P1143">
        <v>0.32190419999999997</v>
      </c>
      <c r="Q1143">
        <v>-0.12071800000000001</v>
      </c>
      <c r="R1143">
        <v>-0.93904500000000002</v>
      </c>
      <c r="S1143">
        <v>0.47770689999999999</v>
      </c>
      <c r="T1143">
        <v>-0.20580090000000001</v>
      </c>
      <c r="U1143">
        <v>-3.0104679999999999</v>
      </c>
      <c r="V1143">
        <v>0.46285890000000002</v>
      </c>
      <c r="W1143">
        <v>-0.115551399999999</v>
      </c>
      <c r="X1143">
        <v>0.87886830000000005</v>
      </c>
      <c r="Y1143">
        <v>0.61219869999999899</v>
      </c>
      <c r="Z1143">
        <v>1.777668E-2</v>
      </c>
      <c r="AA1143">
        <v>0.79050419999999999</v>
      </c>
      <c r="AB1143">
        <v>17</v>
      </c>
      <c r="AC1143">
        <v>2.4641000000000002</v>
      </c>
      <c r="AD1143">
        <v>-1.1154673783419999</v>
      </c>
      <c r="AE1143">
        <v>-16.186499999999999</v>
      </c>
      <c r="AF1143">
        <v>10.067011565553599</v>
      </c>
      <c r="AG1143">
        <v>-1.1154673783419999</v>
      </c>
      <c r="AH1143">
        <v>12.816338534981</v>
      </c>
      <c r="AI1143">
        <v>93.9154889691319</v>
      </c>
      <c r="AJ1143">
        <v>51.850980185227499</v>
      </c>
      <c r="AK1143">
        <v>16.335468244784799</v>
      </c>
      <c r="AL1143">
        <v>96.635430048005901</v>
      </c>
      <c r="AM1143">
        <v>62.2263178683625</v>
      </c>
      <c r="AN1143">
        <v>0.99999998804803003</v>
      </c>
    </row>
    <row r="1144" spans="1:40" x14ac:dyDescent="0.25">
      <c r="A1144" t="str">
        <f>"20190303154442265"</f>
        <v>20190303154442265</v>
      </c>
      <c r="B1144" t="str">
        <f>"1551599082261705"</f>
        <v>1551599082261705</v>
      </c>
      <c r="C1144" t="s">
        <v>40</v>
      </c>
      <c r="D1144">
        <v>5.3163939999999998</v>
      </c>
      <c r="E1144">
        <v>0.56545299999999998</v>
      </c>
      <c r="F1144" t="s">
        <v>41</v>
      </c>
      <c r="G1144">
        <v>-193.25700000000001</v>
      </c>
      <c r="H1144" s="1">
        <v>-3.327426E-6</v>
      </c>
      <c r="I1144">
        <v>345.3254</v>
      </c>
      <c r="J1144">
        <v>-195.70930000000001</v>
      </c>
      <c r="K1144">
        <v>1.1153299999999999</v>
      </c>
      <c r="L1144">
        <v>361.43860000000001</v>
      </c>
      <c r="M1144">
        <v>0.7218329</v>
      </c>
      <c r="N1144">
        <v>-1.195186E-2</v>
      </c>
      <c r="O1144">
        <v>-0.69196429999999998</v>
      </c>
      <c r="P1144">
        <v>0.31262610000000002</v>
      </c>
      <c r="Q1144">
        <v>-0.11972770000000001</v>
      </c>
      <c r="R1144">
        <v>-0.94230100000000006</v>
      </c>
      <c r="S1144">
        <v>0.47549439999999998</v>
      </c>
      <c r="T1144">
        <v>-0.20641570000000001</v>
      </c>
      <c r="U1144">
        <v>-3.0051570000000001</v>
      </c>
      <c r="V1144">
        <v>0.4624875</v>
      </c>
      <c r="W1144">
        <v>-0.115024399999999</v>
      </c>
      <c r="X1144">
        <v>0.87913289999999999</v>
      </c>
      <c r="Y1144">
        <v>0.60435249999999996</v>
      </c>
      <c r="Z1144">
        <v>1.9262930000000001E-2</v>
      </c>
      <c r="AA1144">
        <v>0.79648419999999998</v>
      </c>
      <c r="AB1144">
        <v>18</v>
      </c>
      <c r="AC1144">
        <v>2.4523000000000001</v>
      </c>
      <c r="AD1144">
        <v>-1.115333327426</v>
      </c>
      <c r="AE1144">
        <v>-16.113199999999999</v>
      </c>
      <c r="AF1144">
        <v>9.8885369986989993</v>
      </c>
      <c r="AG1144">
        <v>-1.115333327426</v>
      </c>
      <c r="AH1144">
        <v>12.860608687167</v>
      </c>
      <c r="AI1144">
        <v>93.932958016934805</v>
      </c>
      <c r="AJ1144">
        <v>52.443274381667898</v>
      </c>
      <c r="AK1144">
        <v>16.261069712978301</v>
      </c>
      <c r="AL1144">
        <v>96.6050325504374</v>
      </c>
      <c r="AM1144">
        <v>62.252383485297798</v>
      </c>
      <c r="AN1144">
        <v>0.99999997805700902</v>
      </c>
    </row>
    <row r="1145" spans="1:40" x14ac:dyDescent="0.25">
      <c r="A1145" t="str">
        <f>"20190303154442292"</f>
        <v>20190303154442292</v>
      </c>
      <c r="B1145" t="str">
        <f>"1551599082281225"</f>
        <v>1551599082281225</v>
      </c>
      <c r="C1145" t="s">
        <v>40</v>
      </c>
      <c r="D1145">
        <v>5.316173</v>
      </c>
      <c r="E1145">
        <v>0.56464609999999904</v>
      </c>
      <c r="F1145" t="s">
        <v>41</v>
      </c>
      <c r="G1145">
        <v>-193.226</v>
      </c>
      <c r="H1145" s="1">
        <v>-3.1860559999999999E-6</v>
      </c>
      <c r="I1145">
        <v>345.01499999999999</v>
      </c>
      <c r="J1145">
        <v>-195.56360000000001</v>
      </c>
      <c r="K1145">
        <v>1.1151709999999999</v>
      </c>
      <c r="L1145">
        <v>361.27749999999997</v>
      </c>
      <c r="M1145">
        <v>0.7126981</v>
      </c>
      <c r="N1145">
        <v>-1.1394329999999999E-2</v>
      </c>
      <c r="O1145">
        <v>-0.70137850000000002</v>
      </c>
      <c r="P1145">
        <v>0.30105009999999999</v>
      </c>
      <c r="Q1145">
        <v>-0.118128</v>
      </c>
      <c r="R1145">
        <v>-0.94626390000000005</v>
      </c>
      <c r="S1145">
        <v>0.45465090000000002</v>
      </c>
      <c r="T1145">
        <v>-0.20420189999999999</v>
      </c>
      <c r="U1145">
        <v>-3.0069270000000001</v>
      </c>
      <c r="V1145">
        <v>0.46186630000000001</v>
      </c>
      <c r="W1145">
        <v>-0.11400200000000001</v>
      </c>
      <c r="X1145">
        <v>0.879592499999999</v>
      </c>
      <c r="Y1145">
        <v>0.5993984</v>
      </c>
      <c r="Z1145">
        <v>2.042975E-2</v>
      </c>
      <c r="AA1145">
        <v>0.80019019999999996</v>
      </c>
      <c r="AB1145">
        <v>18</v>
      </c>
      <c r="AC1145">
        <v>2.3376000000000001</v>
      </c>
      <c r="AD1145">
        <v>-1.1151741860559901</v>
      </c>
      <c r="AE1145">
        <v>-16.2624999999999</v>
      </c>
      <c r="AF1145">
        <v>9.9057186502050492</v>
      </c>
      <c r="AG1145">
        <v>-1.1151741860559901</v>
      </c>
      <c r="AH1145">
        <v>13.0130655316082</v>
      </c>
      <c r="AI1145">
        <v>93.900871266983501</v>
      </c>
      <c r="AJ1145">
        <v>52.721126490643101</v>
      </c>
      <c r="AK1145">
        <v>16.392277144198001</v>
      </c>
      <c r="AL1145">
        <v>96.546065620432799</v>
      </c>
      <c r="AM1145">
        <v>62.296430067303199</v>
      </c>
      <c r="AN1145">
        <v>0.99999995056796798</v>
      </c>
    </row>
    <row r="1146" spans="1:40" x14ac:dyDescent="0.25">
      <c r="A1146" t="str">
        <f>"20190303154442313"</f>
        <v>20190303154442313</v>
      </c>
      <c r="B1146" t="str">
        <f>"1551599082301720"</f>
        <v>1551599082301720</v>
      </c>
      <c r="C1146" t="s">
        <v>40</v>
      </c>
      <c r="D1146">
        <v>5.1955640000000001</v>
      </c>
      <c r="E1146">
        <v>0.56313789999999997</v>
      </c>
      <c r="F1146" t="s">
        <v>41</v>
      </c>
      <c r="G1146">
        <v>-193.2423</v>
      </c>
      <c r="H1146" s="1">
        <v>-3.084021E-6</v>
      </c>
      <c r="I1146">
        <v>344.76710000000003</v>
      </c>
      <c r="J1146">
        <v>-195.44909999999999</v>
      </c>
      <c r="K1146">
        <v>1.1150519999999999</v>
      </c>
      <c r="L1146">
        <v>361.14780000000002</v>
      </c>
      <c r="M1146">
        <v>0.70531779999999999</v>
      </c>
      <c r="N1146">
        <v>-1.095957E-2</v>
      </c>
      <c r="O1146">
        <v>-0.70880659999999995</v>
      </c>
      <c r="P1146">
        <v>0.29290640000000001</v>
      </c>
      <c r="Q1146">
        <v>-0.1174116</v>
      </c>
      <c r="R1146">
        <v>-0.94890490000000005</v>
      </c>
      <c r="S1146">
        <v>0.42323300000000003</v>
      </c>
      <c r="T1146">
        <v>-0.20332600000000001</v>
      </c>
      <c r="U1146">
        <v>-3.010284</v>
      </c>
      <c r="V1146">
        <v>0.46026450000000002</v>
      </c>
      <c r="W1146">
        <v>-0.113716</v>
      </c>
      <c r="X1146">
        <v>0.88046880000000005</v>
      </c>
      <c r="Y1146">
        <v>0.59935019999999894</v>
      </c>
      <c r="Z1146">
        <v>2.1323950000000001E-2</v>
      </c>
      <c r="AA1146">
        <v>0.80020290000000005</v>
      </c>
      <c r="AB1146">
        <v>18</v>
      </c>
      <c r="AC1146">
        <v>2.2067999999999799</v>
      </c>
      <c r="AD1146">
        <v>-1.1150550840210001</v>
      </c>
      <c r="AE1146">
        <v>-16.380699999999901</v>
      </c>
      <c r="AF1146">
        <v>9.9447448097397793</v>
      </c>
      <c r="AG1146">
        <v>-1.1150550840210001</v>
      </c>
      <c r="AH1146">
        <v>13.108376218495801</v>
      </c>
      <c r="AI1146">
        <v>93.8769415811025</v>
      </c>
      <c r="AJ1146">
        <v>52.814019046363597</v>
      </c>
      <c r="AK1146">
        <v>16.491537959113199</v>
      </c>
      <c r="AL1146">
        <v>96.529571289453898</v>
      </c>
      <c r="AM1146">
        <v>62.4017103033014</v>
      </c>
      <c r="AN1146">
        <v>1.00000002319484</v>
      </c>
    </row>
    <row r="1147" spans="1:40" x14ac:dyDescent="0.25">
      <c r="A1147" t="str">
        <f>"20190303154442335"</f>
        <v>20190303154442335</v>
      </c>
      <c r="B1147" t="str">
        <f>"1551599082331001"</f>
        <v>1551599082331001</v>
      </c>
      <c r="C1147" t="s">
        <v>40</v>
      </c>
      <c r="D1147">
        <v>5.3419489999999996</v>
      </c>
      <c r="E1147">
        <v>0.56190010000000001</v>
      </c>
      <c r="F1147" t="s">
        <v>41</v>
      </c>
      <c r="G1147">
        <v>-192.9888</v>
      </c>
      <c r="H1147" s="1">
        <v>-2.289099E-6</v>
      </c>
      <c r="I1147">
        <v>343.07139999999998</v>
      </c>
      <c r="J1147">
        <v>-195.32929999999999</v>
      </c>
      <c r="K1147">
        <v>1.1149180000000001</v>
      </c>
      <c r="L1147">
        <v>361.0093</v>
      </c>
      <c r="M1147">
        <v>0.69740579999999996</v>
      </c>
      <c r="N1147">
        <v>-1.050325E-2</v>
      </c>
      <c r="O1147">
        <v>-0.7165996</v>
      </c>
      <c r="P1147">
        <v>0.28435519999999997</v>
      </c>
      <c r="Q1147">
        <v>-0.1164975</v>
      </c>
      <c r="R1147">
        <v>-0.95161479999999998</v>
      </c>
      <c r="S1147">
        <v>0.40994259999999899</v>
      </c>
      <c r="T1147">
        <v>-0.18579609999999999</v>
      </c>
      <c r="U1147">
        <v>-3.0119929999999999</v>
      </c>
      <c r="V1147">
        <v>0.45847559999999898</v>
      </c>
      <c r="W1147">
        <v>-0.1132533</v>
      </c>
      <c r="X1147">
        <v>0.881461099999999</v>
      </c>
      <c r="Y1147">
        <v>0.5940472</v>
      </c>
      <c r="Z1147">
        <v>1.9797100000000002E-2</v>
      </c>
      <c r="AA1147">
        <v>0.80418650000000003</v>
      </c>
      <c r="AB1147">
        <v>18</v>
      </c>
      <c r="AC1147">
        <v>2.3404999999999898</v>
      </c>
      <c r="AD1147">
        <v>-1.114920289099</v>
      </c>
      <c r="AE1147">
        <v>-17.937899999999999</v>
      </c>
      <c r="AF1147">
        <v>10.7923958734922</v>
      </c>
      <c r="AG1147">
        <v>-1.114920289099</v>
      </c>
      <c r="AH1147">
        <v>14.432546110755</v>
      </c>
      <c r="AI1147">
        <v>93.540157092670697</v>
      </c>
      <c r="AJ1147">
        <v>53.211527399335303</v>
      </c>
      <c r="AK1147">
        <v>18.0559475846682</v>
      </c>
      <c r="AL1147">
        <v>96.502888772759803</v>
      </c>
      <c r="AM1147">
        <v>62.519642270749799</v>
      </c>
      <c r="AN1147">
        <v>0.99999992828472695</v>
      </c>
    </row>
    <row r="1148" spans="1:40" x14ac:dyDescent="0.25">
      <c r="A1148" t="str">
        <f>"20190303154442357"</f>
        <v>20190303154442357</v>
      </c>
      <c r="B1148" t="str">
        <f>"1551599082351497"</f>
        <v>1551599082351497</v>
      </c>
      <c r="C1148" t="s">
        <v>40</v>
      </c>
      <c r="D1148">
        <v>5.3271509999999997</v>
      </c>
      <c r="E1148">
        <v>0.5613226</v>
      </c>
      <c r="F1148" t="s">
        <v>41</v>
      </c>
      <c r="G1148">
        <v>-193.0634</v>
      </c>
      <c r="H1148" s="1">
        <v>-2.5257400000000001E-6</v>
      </c>
      <c r="I1148">
        <v>343.57670000000002</v>
      </c>
      <c r="J1148">
        <v>-195.21270000000001</v>
      </c>
      <c r="K1148">
        <v>1.1147959999999999</v>
      </c>
      <c r="L1148">
        <v>360.87139999999999</v>
      </c>
      <c r="M1148">
        <v>0.68949819999999995</v>
      </c>
      <c r="N1148">
        <v>-1.005519E-2</v>
      </c>
      <c r="O1148">
        <v>-0.72421759999999902</v>
      </c>
      <c r="P1148">
        <v>0.27689809999999998</v>
      </c>
      <c r="Q1148">
        <v>-0.1164304</v>
      </c>
      <c r="R1148">
        <v>-0.95381959999999999</v>
      </c>
      <c r="S1148">
        <v>0.39149479999999998</v>
      </c>
      <c r="T1148">
        <v>-0.19263230000000001</v>
      </c>
      <c r="U1148">
        <v>-3.0119630000000002</v>
      </c>
      <c r="V1148">
        <v>0.45567839999999998</v>
      </c>
      <c r="W1148">
        <v>-0.11361300000000001</v>
      </c>
      <c r="X1148">
        <v>0.88286419999999999</v>
      </c>
      <c r="Y1148">
        <v>0.59005569999999996</v>
      </c>
      <c r="Z1148">
        <v>2.2072290000000001E-2</v>
      </c>
      <c r="AA1148">
        <v>0.80706080000000002</v>
      </c>
      <c r="AB1148">
        <v>18</v>
      </c>
      <c r="AC1148">
        <v>2.14930000000001</v>
      </c>
      <c r="AD1148">
        <v>-1.1147985257399999</v>
      </c>
      <c r="AE1148">
        <v>-17.294699999999899</v>
      </c>
      <c r="AF1148">
        <v>10.3263746887921</v>
      </c>
      <c r="AG1148">
        <v>-1.1147985257399999</v>
      </c>
      <c r="AH1148">
        <v>13.9506897855121</v>
      </c>
      <c r="AI1148">
        <v>93.674981884590096</v>
      </c>
      <c r="AJ1148">
        <v>53.490958484934602</v>
      </c>
      <c r="AK1148">
        <v>17.392485028250299</v>
      </c>
      <c r="AL1148">
        <v>96.523631763438701</v>
      </c>
      <c r="AM1148">
        <v>62.700091879210198</v>
      </c>
      <c r="AN1148">
        <v>0.99999995681859899</v>
      </c>
    </row>
    <row r="1149" spans="1:40" x14ac:dyDescent="0.25">
      <c r="A1149" t="str">
        <f>"20190303154442379"</f>
        <v>20190303154442379</v>
      </c>
      <c r="B1149" t="str">
        <f>"1551599082371017"</f>
        <v>1551599082371017</v>
      </c>
      <c r="C1149" t="s">
        <v>40</v>
      </c>
      <c r="D1149">
        <v>5.3214689999999996</v>
      </c>
      <c r="E1149">
        <v>0.5606894</v>
      </c>
      <c r="F1149" t="s">
        <v>41</v>
      </c>
      <c r="G1149">
        <v>-193.10570000000001</v>
      </c>
      <c r="H1149" s="1">
        <v>-2.6300400000000001E-6</v>
      </c>
      <c r="I1149">
        <v>343.79360000000003</v>
      </c>
      <c r="J1149">
        <v>-195.09219999999999</v>
      </c>
      <c r="K1149">
        <v>1.114663</v>
      </c>
      <c r="L1149">
        <v>360.72559999999999</v>
      </c>
      <c r="M1149">
        <v>0.68112459999999997</v>
      </c>
      <c r="N1149">
        <v>-9.5978650000000006E-3</v>
      </c>
      <c r="O1149">
        <v>-0.7321048</v>
      </c>
      <c r="P1149">
        <v>0.26829330000000001</v>
      </c>
      <c r="Q1149">
        <v>-0.1168025</v>
      </c>
      <c r="R1149">
        <v>-0.95623029999999998</v>
      </c>
      <c r="S1149">
        <v>0.37176510000000001</v>
      </c>
      <c r="T1149">
        <v>-0.1966975</v>
      </c>
      <c r="U1149">
        <v>-3.013245</v>
      </c>
      <c r="V1149">
        <v>0.45341559999999997</v>
      </c>
      <c r="W1149">
        <v>-0.1144333</v>
      </c>
      <c r="X1149">
        <v>0.8839226</v>
      </c>
      <c r="Y1149">
        <v>0.58602339999999997</v>
      </c>
      <c r="Z1149">
        <v>2.3960889999999999E-2</v>
      </c>
      <c r="AA1149">
        <v>0.80993970000000004</v>
      </c>
      <c r="AB1149">
        <v>18</v>
      </c>
      <c r="AC1149">
        <v>1.98649999999997</v>
      </c>
      <c r="AD1149">
        <v>-1.11466563004</v>
      </c>
      <c r="AE1149">
        <v>-16.931999999999899</v>
      </c>
      <c r="AF1149">
        <v>10.0360343853591</v>
      </c>
      <c r="AG1149">
        <v>-1.11466563004</v>
      </c>
      <c r="AH1149">
        <v>13.691154281793199</v>
      </c>
      <c r="AI1149">
        <v>93.756817369177099</v>
      </c>
      <c r="AJ1149">
        <v>53.757445152898804</v>
      </c>
      <c r="AK1149">
        <v>17.0121183636479</v>
      </c>
      <c r="AL1149">
        <v>96.570940247396393</v>
      </c>
      <c r="AM1149">
        <v>62.844059378254897</v>
      </c>
      <c r="AN1149">
        <v>0.999999924631502</v>
      </c>
    </row>
    <row r="1150" spans="1:40" x14ac:dyDescent="0.25">
      <c r="A1150" t="str">
        <f>"20190303154442403"</f>
        <v>20190303154442403</v>
      </c>
      <c r="B1150" t="str">
        <f>"1551599082391513"</f>
        <v>1551599082391513</v>
      </c>
      <c r="C1150" t="s">
        <v>40</v>
      </c>
      <c r="D1150">
        <v>5.3356899999999996</v>
      </c>
      <c r="E1150">
        <v>0.56011630000000001</v>
      </c>
      <c r="F1150" t="s">
        <v>41</v>
      </c>
      <c r="G1150">
        <v>-193.17590000000001</v>
      </c>
      <c r="H1150" s="1">
        <v>-2.8092670000000001E-6</v>
      </c>
      <c r="I1150">
        <v>344.1678</v>
      </c>
      <c r="J1150">
        <v>-194.97149999999999</v>
      </c>
      <c r="K1150">
        <v>1.114541</v>
      </c>
      <c r="L1150">
        <v>360.5761</v>
      </c>
      <c r="M1150">
        <v>0.67253229999999997</v>
      </c>
      <c r="N1150">
        <v>-9.1646160000000004E-3</v>
      </c>
      <c r="O1150">
        <v>-0.74001130000000004</v>
      </c>
      <c r="P1150">
        <v>0.25989089999999998</v>
      </c>
      <c r="Q1150">
        <v>-0.11802219999999999</v>
      </c>
      <c r="R1150">
        <v>-0.95839859999999999</v>
      </c>
      <c r="S1150">
        <v>0.34889219999999999</v>
      </c>
      <c r="T1150">
        <v>-0.2029427</v>
      </c>
      <c r="U1150">
        <v>-3.014618</v>
      </c>
      <c r="V1150">
        <v>0.45071030000000001</v>
      </c>
      <c r="W1150">
        <v>-0.116069699999999</v>
      </c>
      <c r="X1150">
        <v>0.88509210000000005</v>
      </c>
      <c r="Y1150">
        <v>0.58267239999999998</v>
      </c>
      <c r="Z1150">
        <v>2.6218789999999999E-2</v>
      </c>
      <c r="AA1150">
        <v>0.81228409999999995</v>
      </c>
      <c r="AB1150">
        <v>18</v>
      </c>
      <c r="AC1150">
        <v>1.7955999999999701</v>
      </c>
      <c r="AD1150">
        <v>-1.1145438092669999</v>
      </c>
      <c r="AE1150">
        <v>-16.408299999999901</v>
      </c>
      <c r="AF1150">
        <v>9.66269807374381</v>
      </c>
      <c r="AG1150">
        <v>-1.1145438092669999</v>
      </c>
      <c r="AH1150">
        <v>13.289891889432599</v>
      </c>
      <c r="AI1150">
        <v>93.880449538712696</v>
      </c>
      <c r="AJ1150">
        <v>53.980178267855003</v>
      </c>
      <c r="AK1150">
        <v>16.4690973765994</v>
      </c>
      <c r="AL1150">
        <v>96.665327625205293</v>
      </c>
      <c r="AM1150">
        <v>63.013705364861799</v>
      </c>
      <c r="AN1150">
        <v>0.99999998763329401</v>
      </c>
    </row>
    <row r="1151" spans="1:40" x14ac:dyDescent="0.25">
      <c r="A1151" t="str">
        <f>"20190303154442424"</f>
        <v>20190303154442424</v>
      </c>
      <c r="B1151" t="str">
        <f>"1551599082421769"</f>
        <v>1551599082421769</v>
      </c>
      <c r="C1151" t="s">
        <v>40</v>
      </c>
      <c r="D1151">
        <v>5.3635780000000004</v>
      </c>
      <c r="E1151">
        <v>0.55922039999999995</v>
      </c>
      <c r="F1151" t="s">
        <v>41</v>
      </c>
      <c r="G1151">
        <v>-193.23439999999999</v>
      </c>
      <c r="H1151" s="1">
        <v>-2.9871160000000002E-6</v>
      </c>
      <c r="I1151">
        <v>344.54610000000002</v>
      </c>
      <c r="J1151">
        <v>-194.85550000000001</v>
      </c>
      <c r="K1151">
        <v>1.1144240000000001</v>
      </c>
      <c r="L1151">
        <v>360.4289</v>
      </c>
      <c r="M1151">
        <v>0.66407709999999998</v>
      </c>
      <c r="N1151">
        <v>-8.7813070000000003E-3</v>
      </c>
      <c r="O1151">
        <v>-0.74761269999999902</v>
      </c>
      <c r="P1151">
        <v>0.2520001</v>
      </c>
      <c r="Q1151">
        <v>-0.1192501</v>
      </c>
      <c r="R1151">
        <v>-0.96035190000000004</v>
      </c>
      <c r="S1151">
        <v>0.32681270000000001</v>
      </c>
      <c r="T1151">
        <v>-0.2096847</v>
      </c>
      <c r="U1151">
        <v>-3.0158079999999998</v>
      </c>
      <c r="V1151">
        <v>0.44778610000000002</v>
      </c>
      <c r="W1151">
        <v>-0.117659</v>
      </c>
      <c r="X1151">
        <v>0.88636559999999898</v>
      </c>
      <c r="Y1151">
        <v>0.57934699999999995</v>
      </c>
      <c r="Z1151">
        <v>2.8543329999999999E-2</v>
      </c>
      <c r="AA1151">
        <v>0.81458109999999995</v>
      </c>
      <c r="AB1151">
        <v>18</v>
      </c>
      <c r="AC1151">
        <v>1.62110000000001</v>
      </c>
      <c r="AD1151">
        <v>-1.114426987116</v>
      </c>
      <c r="AE1151">
        <v>-15.8827999999999</v>
      </c>
      <c r="AF1151">
        <v>9.2905398017073999</v>
      </c>
      <c r="AG1151">
        <v>-1.114426987116</v>
      </c>
      <c r="AH1151">
        <v>12.8884177855375</v>
      </c>
      <c r="AI1151">
        <v>94.012332838906502</v>
      </c>
      <c r="AJ1151">
        <v>54.2142743029681</v>
      </c>
      <c r="AK1151">
        <v>15.926939138807599</v>
      </c>
      <c r="AL1151">
        <v>96.757015965776702</v>
      </c>
      <c r="AM1151">
        <v>63.197393231247297</v>
      </c>
      <c r="AN1151">
        <v>1.00000000424878</v>
      </c>
    </row>
    <row r="1152" spans="1:40" x14ac:dyDescent="0.25">
      <c r="A1152" t="str">
        <f>"20190303154442447"</f>
        <v>20190303154442447</v>
      </c>
      <c r="B1152" t="str">
        <f>"1551599082441290"</f>
        <v>1551599082441290</v>
      </c>
      <c r="C1152" t="s">
        <v>40</v>
      </c>
      <c r="D1152">
        <v>5.3552580000000001</v>
      </c>
      <c r="E1152">
        <v>0.55861459999999996</v>
      </c>
      <c r="F1152" t="s">
        <v>41</v>
      </c>
      <c r="G1152">
        <v>-193.2867</v>
      </c>
      <c r="H1152" s="1">
        <v>-3.2330530000000002E-6</v>
      </c>
      <c r="I1152">
        <v>345.08699999999999</v>
      </c>
      <c r="J1152">
        <v>-194.73910000000001</v>
      </c>
      <c r="K1152">
        <v>1.1143179999999999</v>
      </c>
      <c r="L1152">
        <v>360.27769999999998</v>
      </c>
      <c r="M1152">
        <v>0.65540129999999996</v>
      </c>
      <c r="N1152">
        <v>-8.4281169999999902E-3</v>
      </c>
      <c r="O1152">
        <v>-0.75523390000000001</v>
      </c>
      <c r="P1152">
        <v>0.2439673</v>
      </c>
      <c r="Q1152">
        <v>-0.1204394</v>
      </c>
      <c r="R1152">
        <v>-0.96227580000000001</v>
      </c>
      <c r="S1152">
        <v>0.30838009999999999</v>
      </c>
      <c r="T1152">
        <v>-0.21906439999999999</v>
      </c>
      <c r="U1152">
        <v>-3.0157780000000001</v>
      </c>
      <c r="V1152">
        <v>0.4448204</v>
      </c>
      <c r="W1152">
        <v>-0.1191807</v>
      </c>
      <c r="X1152">
        <v>0.88765469999999902</v>
      </c>
      <c r="Y1152">
        <v>0.57485559999999902</v>
      </c>
      <c r="Z1152">
        <v>3.1421989999999997E-2</v>
      </c>
      <c r="AA1152">
        <v>0.81765129999999997</v>
      </c>
      <c r="AB1152">
        <v>18</v>
      </c>
      <c r="AC1152">
        <v>1.4524000000000099</v>
      </c>
      <c r="AD1152">
        <v>-1.1143212330529999</v>
      </c>
      <c r="AE1152">
        <v>-15.1906999999999</v>
      </c>
      <c r="AF1152">
        <v>8.8124264986317495</v>
      </c>
      <c r="AG1152">
        <v>-1.1143212330529999</v>
      </c>
      <c r="AH1152">
        <v>12.358975322525399</v>
      </c>
      <c r="AI1152">
        <v>94.198657838800003</v>
      </c>
      <c r="AJ1152">
        <v>54.509664397938799</v>
      </c>
      <c r="AK1152">
        <v>15.2198831673246</v>
      </c>
      <c r="AL1152">
        <v>96.844820496783598</v>
      </c>
      <c r="AM1152">
        <v>63.3836927579231</v>
      </c>
      <c r="AN1152">
        <v>1.00000004697036</v>
      </c>
    </row>
    <row r="1153" spans="1:40" x14ac:dyDescent="0.25">
      <c r="A1153" t="str">
        <f>"20190303154442469"</f>
        <v>20190303154442469</v>
      </c>
      <c r="B1153" t="str">
        <f>"1551599082461785"</f>
        <v>1551599082461785</v>
      </c>
      <c r="C1153" t="s">
        <v>40</v>
      </c>
      <c r="D1153">
        <v>5.3477759999999996</v>
      </c>
      <c r="E1153">
        <v>0.55805749999999998</v>
      </c>
      <c r="F1153" t="s">
        <v>41</v>
      </c>
      <c r="G1153">
        <v>-193.32919999999999</v>
      </c>
      <c r="H1153" s="1">
        <v>-3.407762E-6</v>
      </c>
      <c r="I1153">
        <v>345.46780000000001</v>
      </c>
      <c r="J1153">
        <v>-194.62549999999999</v>
      </c>
      <c r="K1153">
        <v>1.1142270000000001</v>
      </c>
      <c r="L1153">
        <v>360.12670000000003</v>
      </c>
      <c r="M1153">
        <v>0.64674019999999899</v>
      </c>
      <c r="N1153">
        <v>-8.1147540000000001E-3</v>
      </c>
      <c r="O1153">
        <v>-0.76266719999999999</v>
      </c>
      <c r="P1153">
        <v>0.23615449999999999</v>
      </c>
      <c r="Q1153">
        <v>-0.121384199999999</v>
      </c>
      <c r="R1153">
        <v>-0.96410430000000003</v>
      </c>
      <c r="S1153">
        <v>0.2871552</v>
      </c>
      <c r="T1153">
        <v>-0.22695660000000001</v>
      </c>
      <c r="U1153">
        <v>-3.0163570000000002</v>
      </c>
      <c r="V1153">
        <v>0.44177719999999998</v>
      </c>
      <c r="W1153">
        <v>-0.1204192</v>
      </c>
      <c r="X1153">
        <v>0.88900630000000003</v>
      </c>
      <c r="Y1153">
        <v>0.57123259999999998</v>
      </c>
      <c r="Z1153">
        <v>3.401361E-2</v>
      </c>
      <c r="AA1153">
        <v>0.82008320000000001</v>
      </c>
      <c r="AB1153">
        <v>19</v>
      </c>
      <c r="AC1153">
        <v>1.2963</v>
      </c>
      <c r="AD1153">
        <v>-1.114230407762</v>
      </c>
      <c r="AE1153">
        <v>-14.658899999999999</v>
      </c>
      <c r="AF1153">
        <v>8.4437281359366292</v>
      </c>
      <c r="AG1153">
        <v>-1.114230407762</v>
      </c>
      <c r="AH1153">
        <v>11.9501200441218</v>
      </c>
      <c r="AI1153">
        <v>94.354617567733996</v>
      </c>
      <c r="AJ1153">
        <v>54.755697489998198</v>
      </c>
      <c r="AK1153">
        <v>14.6745842634165</v>
      </c>
      <c r="AL1153">
        <v>96.916296134406906</v>
      </c>
      <c r="AM1153">
        <v>63.575669458831001</v>
      </c>
      <c r="AN1153">
        <v>1.00000003980408</v>
      </c>
    </row>
    <row r="1154" spans="1:40" x14ac:dyDescent="0.25">
      <c r="A1154" t="str">
        <f>"20190303154442493"</f>
        <v>20190303154442493</v>
      </c>
      <c r="B1154" t="str">
        <f>"1551599082481305"</f>
        <v>1551599082481305</v>
      </c>
      <c r="C1154" t="s">
        <v>40</v>
      </c>
      <c r="D1154">
        <v>5.3200289999999999</v>
      </c>
      <c r="E1154">
        <v>0.55751969999999995</v>
      </c>
      <c r="F1154" t="s">
        <v>41</v>
      </c>
      <c r="G1154">
        <v>-193.34780000000001</v>
      </c>
      <c r="H1154" s="1">
        <v>-3.5033960000000001E-6</v>
      </c>
      <c r="I1154">
        <v>345.67919999999998</v>
      </c>
      <c r="J1154">
        <v>-194.5051</v>
      </c>
      <c r="K1154">
        <v>1.114133</v>
      </c>
      <c r="L1154">
        <v>359.96260000000001</v>
      </c>
      <c r="M1154">
        <v>0.63732679999999997</v>
      </c>
      <c r="N1154">
        <v>-7.8170369999999902E-3</v>
      </c>
      <c r="O1154">
        <v>-0.77055419999999997</v>
      </c>
      <c r="P1154">
        <v>0.22699349999999999</v>
      </c>
      <c r="Q1154">
        <v>-0.1215864</v>
      </c>
      <c r="R1154">
        <v>-0.9662771</v>
      </c>
      <c r="S1154">
        <v>0.26681519999999997</v>
      </c>
      <c r="T1154">
        <v>-0.23267840000000001</v>
      </c>
      <c r="U1154">
        <v>-3.0169980000000001</v>
      </c>
      <c r="V1154">
        <v>0.4392549</v>
      </c>
      <c r="W1154">
        <v>-0.1209157</v>
      </c>
      <c r="X1154">
        <v>0.89018790000000003</v>
      </c>
      <c r="Y1154">
        <v>0.56665659999999995</v>
      </c>
      <c r="Z1154">
        <v>3.632411E-2</v>
      </c>
      <c r="AA1154">
        <v>0.82315300000000002</v>
      </c>
      <c r="AB1154">
        <v>19</v>
      </c>
      <c r="AC1154">
        <v>1.15729999999999</v>
      </c>
      <c r="AD1154">
        <v>-1.114136503396</v>
      </c>
      <c r="AE1154">
        <v>-14.2834</v>
      </c>
      <c r="AF1154">
        <v>8.1623421978308297</v>
      </c>
      <c r="AG1154">
        <v>-1.114136503396</v>
      </c>
      <c r="AH1154">
        <v>11.673506673286299</v>
      </c>
      <c r="AI1154">
        <v>94.472418948377793</v>
      </c>
      <c r="AJ1154">
        <v>55.0380080888077</v>
      </c>
      <c r="AK1154">
        <v>14.287613109051801</v>
      </c>
      <c r="AL1154">
        <v>96.944953262374597</v>
      </c>
      <c r="AM1154">
        <v>63.736395216224302</v>
      </c>
      <c r="AN1154">
        <v>0.99999998549345503</v>
      </c>
    </row>
    <row r="1155" spans="1:40" x14ac:dyDescent="0.25">
      <c r="A1155" t="str">
        <f>"20190303154442515"</f>
        <v>20190303154442515</v>
      </c>
      <c r="B1155" t="str">
        <f>"1551599082511561"</f>
        <v>1551599082511561</v>
      </c>
      <c r="C1155" t="s">
        <v>40</v>
      </c>
      <c r="D1155">
        <v>5.2115869999999997</v>
      </c>
      <c r="E1155">
        <v>0.55639569999999905</v>
      </c>
      <c r="F1155" t="s">
        <v>41</v>
      </c>
      <c r="G1155">
        <v>-193.34649999999999</v>
      </c>
      <c r="H1155" s="1">
        <v>-3.440396E-6</v>
      </c>
      <c r="I1155">
        <v>345.53320000000002</v>
      </c>
      <c r="J1155">
        <v>-194.3913</v>
      </c>
      <c r="K1155">
        <v>1.1140429999999999</v>
      </c>
      <c r="L1155">
        <v>359.8039</v>
      </c>
      <c r="M1155">
        <v>0.62821359999999904</v>
      </c>
      <c r="N1155">
        <v>-7.5683619999999899E-3</v>
      </c>
      <c r="O1155">
        <v>-0.77800400000000003</v>
      </c>
      <c r="P1155">
        <v>0.2169584</v>
      </c>
      <c r="Q1155">
        <v>-0.1227645</v>
      </c>
      <c r="R1155">
        <v>-0.96843089999999998</v>
      </c>
      <c r="S1155">
        <v>0.24237059999999999</v>
      </c>
      <c r="T1155">
        <v>-0.23306160000000001</v>
      </c>
      <c r="U1155">
        <v>-3.0184329999999999</v>
      </c>
      <c r="V1155">
        <v>0.43787769999999998</v>
      </c>
      <c r="W1155">
        <v>-0.1223645</v>
      </c>
      <c r="X1155">
        <v>0.89066829999999997</v>
      </c>
      <c r="Y1155">
        <v>0.56362650000000003</v>
      </c>
      <c r="Z1155">
        <v>3.7505869999999997E-2</v>
      </c>
      <c r="AA1155">
        <v>0.82517779999999996</v>
      </c>
      <c r="AB1155">
        <v>19</v>
      </c>
      <c r="AC1155">
        <v>1.0448</v>
      </c>
      <c r="AD1155">
        <v>-1.114046440396</v>
      </c>
      <c r="AE1155">
        <v>-14.2706999999999</v>
      </c>
      <c r="AF1155">
        <v>8.1033036303599992</v>
      </c>
      <c r="AG1155">
        <v>-1.114046440396</v>
      </c>
      <c r="AH1155">
        <v>11.688504837472999</v>
      </c>
      <c r="AI1155">
        <v>94.478768319758998</v>
      </c>
      <c r="AJ1155">
        <v>55.267545243820599</v>
      </c>
      <c r="AK1155">
        <v>14.2662459859907</v>
      </c>
      <c r="AL1155">
        <v>97.028584416534699</v>
      </c>
      <c r="AM1155">
        <v>63.819964983470598</v>
      </c>
      <c r="AN1155">
        <v>0.99999998582121497</v>
      </c>
    </row>
    <row r="1156" spans="1:40" x14ac:dyDescent="0.25">
      <c r="A1156" t="str">
        <f>"20190303154442535"</f>
        <v>20190303154442535</v>
      </c>
      <c r="B1156" t="str">
        <f>"1551599082531980"</f>
        <v>1551599082531980</v>
      </c>
      <c r="C1156" t="s">
        <v>40</v>
      </c>
      <c r="D1156">
        <v>5.3114990000000004</v>
      </c>
      <c r="E1156">
        <v>0.555658599999999</v>
      </c>
      <c r="F1156" t="s">
        <v>41</v>
      </c>
      <c r="G1156">
        <v>-193.3109</v>
      </c>
      <c r="H1156" s="1">
        <v>-3.2029950000000002E-6</v>
      </c>
      <c r="I1156">
        <v>345.00189999999998</v>
      </c>
      <c r="J1156">
        <v>-194.28649999999999</v>
      </c>
      <c r="K1156">
        <v>1.11395</v>
      </c>
      <c r="L1156">
        <v>359.654</v>
      </c>
      <c r="M1156">
        <v>0.6196064</v>
      </c>
      <c r="N1156">
        <v>-7.365379E-3</v>
      </c>
      <c r="O1156">
        <v>-0.78487810000000002</v>
      </c>
      <c r="P1156">
        <v>0.20595450000000001</v>
      </c>
      <c r="Q1156">
        <v>-0.12370399999999999</v>
      </c>
      <c r="R1156">
        <v>-0.97071099999999999</v>
      </c>
      <c r="S1156">
        <v>0.2204132</v>
      </c>
      <c r="T1156">
        <v>-0.22726399999999999</v>
      </c>
      <c r="U1156">
        <v>-3.0195919999999998</v>
      </c>
      <c r="V1156">
        <v>0.43806390000000001</v>
      </c>
      <c r="W1156">
        <v>-0.1235594</v>
      </c>
      <c r="X1156">
        <v>0.89041170000000003</v>
      </c>
      <c r="Y1156">
        <v>0.56054040000000005</v>
      </c>
      <c r="Z1156">
        <v>3.7385330000000001E-2</v>
      </c>
      <c r="AA1156">
        <v>0.82728279999999998</v>
      </c>
      <c r="AB1156">
        <v>19</v>
      </c>
      <c r="AC1156">
        <v>0.97559999999998503</v>
      </c>
      <c r="AD1156">
        <v>-1.1139532029949999</v>
      </c>
      <c r="AE1156">
        <v>-14.652100000000001</v>
      </c>
      <c r="AF1156">
        <v>8.2654692349914498</v>
      </c>
      <c r="AG1156">
        <v>-1.1139532029949999</v>
      </c>
      <c r="AH1156">
        <v>12.0356688149591</v>
      </c>
      <c r="AI1156">
        <v>94.362953407280003</v>
      </c>
      <c r="AJ1156">
        <v>55.520752197060098</v>
      </c>
      <c r="AK1156">
        <v>14.642957257208399</v>
      </c>
      <c r="AL1156">
        <v>97.097570909642101</v>
      </c>
      <c r="AM1156">
        <v>63.8037804802347</v>
      </c>
      <c r="AN1156">
        <v>0.99999995065422798</v>
      </c>
    </row>
    <row r="1157" spans="1:40" x14ac:dyDescent="0.25">
      <c r="A1157" t="str">
        <f>"20190303154442559"</f>
        <v>20190303154442559</v>
      </c>
      <c r="B1157" t="str">
        <f>"1551599082551480"</f>
        <v>1551599082551480</v>
      </c>
      <c r="C1157" t="s">
        <v>40</v>
      </c>
      <c r="D1157">
        <v>5.355226</v>
      </c>
      <c r="E1157">
        <v>0.5551682</v>
      </c>
      <c r="F1157" t="s">
        <v>41</v>
      </c>
      <c r="G1157">
        <v>-193.34460000000001</v>
      </c>
      <c r="H1157" s="1">
        <v>-3.1319029999999999E-6</v>
      </c>
      <c r="I1157">
        <v>344.8152</v>
      </c>
      <c r="J1157">
        <v>-194.17320000000001</v>
      </c>
      <c r="K1157">
        <v>1.113858</v>
      </c>
      <c r="L1157">
        <v>359.48809999999997</v>
      </c>
      <c r="M1157">
        <v>0.61007210000000001</v>
      </c>
      <c r="N1157">
        <v>-7.1707109999999998E-3</v>
      </c>
      <c r="O1157">
        <v>-0.79231370000000001</v>
      </c>
      <c r="P1157">
        <v>0.1934168</v>
      </c>
      <c r="Q1157">
        <v>-0.124292899999999</v>
      </c>
      <c r="R1157">
        <v>-0.97321199999999997</v>
      </c>
      <c r="S1157">
        <v>0.19175719999999999</v>
      </c>
      <c r="T1157">
        <v>-0.22678400000000001</v>
      </c>
      <c r="U1157">
        <v>-3.0209350000000001</v>
      </c>
      <c r="V1157">
        <v>0.4387028</v>
      </c>
      <c r="W1157">
        <v>-0.12441290000000001</v>
      </c>
      <c r="X1157">
        <v>0.8899783</v>
      </c>
      <c r="Y1157">
        <v>0.55837879999999995</v>
      </c>
      <c r="Z1157">
        <v>3.8302460000000003E-2</v>
      </c>
      <c r="AA1157">
        <v>0.82870140000000003</v>
      </c>
      <c r="AB1157">
        <v>19</v>
      </c>
      <c r="AC1157">
        <v>0.82859999999999401</v>
      </c>
      <c r="AD1157">
        <v>-1.1138611319030001</v>
      </c>
      <c r="AE1157">
        <v>-14.672899999999901</v>
      </c>
      <c r="AF1157">
        <v>8.2478482166326401</v>
      </c>
      <c r="AG1157">
        <v>-1.1138611319030001</v>
      </c>
      <c r="AH1157">
        <v>12.0620652237898</v>
      </c>
      <c r="AI1157">
        <v>94.359080742855795</v>
      </c>
      <c r="AJ1157">
        <v>55.636300930273002</v>
      </c>
      <c r="AK1157">
        <v>14.6547297582976</v>
      </c>
      <c r="AL1157">
        <v>97.146852444624002</v>
      </c>
      <c r="AM1157">
        <v>63.759629094405</v>
      </c>
      <c r="AN1157">
        <v>1.0000000454425599</v>
      </c>
    </row>
    <row r="1158" spans="1:40" x14ac:dyDescent="0.25">
      <c r="A1158" t="str">
        <f>"20190303154442579"</f>
        <v>20190303154442579</v>
      </c>
      <c r="B1158" t="str">
        <f>"1551599082571974"</f>
        <v>1551599082571974</v>
      </c>
      <c r="C1158" t="s">
        <v>40</v>
      </c>
      <c r="D1158">
        <v>5.3366470000000001</v>
      </c>
      <c r="E1158">
        <v>0.55464029999999998</v>
      </c>
      <c r="F1158" t="s">
        <v>41</v>
      </c>
      <c r="G1158">
        <v>-193.41569999999999</v>
      </c>
      <c r="H1158" s="1">
        <v>-3.1664369999999998E-6</v>
      </c>
      <c r="I1158">
        <v>344.85169999999999</v>
      </c>
      <c r="J1158">
        <v>-194.06989999999999</v>
      </c>
      <c r="K1158">
        <v>1.1137779999999999</v>
      </c>
      <c r="L1158">
        <v>359.33300000000003</v>
      </c>
      <c r="M1158">
        <v>0.60116250000000004</v>
      </c>
      <c r="N1158">
        <v>-7.0145449999999996E-3</v>
      </c>
      <c r="O1158">
        <v>-0.79909619999999904</v>
      </c>
      <c r="P1158">
        <v>0.18180499999999999</v>
      </c>
      <c r="Q1158">
        <v>-0.12384439999999999</v>
      </c>
      <c r="R1158">
        <v>-0.97550479999999995</v>
      </c>
      <c r="S1158">
        <v>0.1564026</v>
      </c>
      <c r="T1158">
        <v>-0.22999230000000001</v>
      </c>
      <c r="U1158">
        <v>-3.0221559999999998</v>
      </c>
      <c r="V1158">
        <v>0.43936049999999899</v>
      </c>
      <c r="W1158">
        <v>-0.1241893</v>
      </c>
      <c r="X1158">
        <v>0.88968499999999995</v>
      </c>
      <c r="Y1158">
        <v>0.55877699999999997</v>
      </c>
      <c r="Z1158">
        <v>3.9783720000000002E-2</v>
      </c>
      <c r="AA1158">
        <v>0.82836309999999902</v>
      </c>
      <c r="AB1158">
        <v>19</v>
      </c>
      <c r="AC1158">
        <v>0.654200000000002</v>
      </c>
      <c r="AD1158">
        <v>-1.1137811664370001</v>
      </c>
      <c r="AE1158">
        <v>-14.481299999999999</v>
      </c>
      <c r="AF1158">
        <v>8.1350219451055299</v>
      </c>
      <c r="AG1158">
        <v>-1.1137811664370001</v>
      </c>
      <c r="AH1158">
        <v>11.8953026928009</v>
      </c>
      <c r="AI1158">
        <v>94.4194274979006</v>
      </c>
      <c r="AJ1158">
        <v>55.632351795440897</v>
      </c>
      <c r="AK1158">
        <v>14.4539723497527</v>
      </c>
      <c r="AL1158">
        <v>97.133941191359</v>
      </c>
      <c r="AM1158">
        <v>63.718077311658703</v>
      </c>
      <c r="AN1158">
        <v>1.00000001520986</v>
      </c>
    </row>
    <row r="1159" spans="1:40" x14ac:dyDescent="0.25">
      <c r="A1159" t="str">
        <f>"20190303154442604"</f>
        <v>20190303154442604</v>
      </c>
      <c r="B1159" t="str">
        <f>"1551599082591494"</f>
        <v>1551599082591494</v>
      </c>
      <c r="C1159" t="s">
        <v>40</v>
      </c>
      <c r="D1159">
        <v>5.2693649999999996</v>
      </c>
      <c r="E1159">
        <v>0.53697479999999997</v>
      </c>
      <c r="F1159" t="s">
        <v>41</v>
      </c>
      <c r="G1159">
        <v>-193.46809999999999</v>
      </c>
      <c r="H1159" s="1">
        <v>-3.1163499999999998E-6</v>
      </c>
      <c r="I1159">
        <v>344.70240000000001</v>
      </c>
      <c r="J1159">
        <v>-193.95269999999999</v>
      </c>
      <c r="K1159">
        <v>1.1136870000000001</v>
      </c>
      <c r="L1159">
        <v>359.1524</v>
      </c>
      <c r="M1159">
        <v>0.59077939999999995</v>
      </c>
      <c r="N1159">
        <v>-6.8636849999999996E-3</v>
      </c>
      <c r="O1159">
        <v>-0.80680390000000002</v>
      </c>
      <c r="P1159">
        <v>0.168098</v>
      </c>
      <c r="Q1159">
        <v>-0.1228081</v>
      </c>
      <c r="R1159">
        <v>-0.97809080000000004</v>
      </c>
      <c r="S1159">
        <v>0.12434389999999899</v>
      </c>
      <c r="T1159">
        <v>-0.2301272</v>
      </c>
      <c r="U1159">
        <v>-3.0229490000000001</v>
      </c>
      <c r="V1159">
        <v>0.44040580000000001</v>
      </c>
      <c r="W1159">
        <v>-0.12339170000000001</v>
      </c>
      <c r="X1159">
        <v>0.88927900000000004</v>
      </c>
      <c r="Y1159">
        <v>0.55684069999999997</v>
      </c>
      <c r="Z1159">
        <v>4.0825519999999997E-2</v>
      </c>
      <c r="AA1159">
        <v>0.8296154</v>
      </c>
      <c r="AB1159">
        <v>19</v>
      </c>
      <c r="AC1159">
        <v>0.48459999999999998</v>
      </c>
      <c r="AD1159">
        <v>-1.1136901163499999</v>
      </c>
      <c r="AE1159">
        <v>-14.4499999999999</v>
      </c>
      <c r="AF1159">
        <v>8.0979288865856507</v>
      </c>
      <c r="AG1159">
        <v>-1.1136901163499999</v>
      </c>
      <c r="AH1159">
        <v>11.8744337942329</v>
      </c>
      <c r="AI1159">
        <v>94.430751375264506</v>
      </c>
      <c r="AJ1159">
        <v>55.707444654813699</v>
      </c>
      <c r="AK1159">
        <v>14.415926465582301</v>
      </c>
      <c r="AL1159">
        <v>97.087888244863805</v>
      </c>
      <c r="AM1159">
        <v>63.6535841736587</v>
      </c>
      <c r="AN1159">
        <v>0.99999996007176395</v>
      </c>
    </row>
    <row r="1160" spans="1:40" x14ac:dyDescent="0.25">
      <c r="A1160" t="str">
        <f>"20190303154442625"</f>
        <v>20190303154442625</v>
      </c>
      <c r="B1160" t="str">
        <f>"1551599082621750"</f>
        <v>1551599082621750</v>
      </c>
      <c r="C1160" t="s">
        <v>40</v>
      </c>
      <c r="D1160">
        <v>5.4150539999999996</v>
      </c>
      <c r="E1160">
        <v>0.53905800000000004</v>
      </c>
      <c r="F1160" t="s">
        <v>41</v>
      </c>
      <c r="G1160">
        <v>-189.8066</v>
      </c>
      <c r="H1160" s="1">
        <v>-2.1849960000000001E-6</v>
      </c>
      <c r="I1160">
        <v>304.64609999999999</v>
      </c>
      <c r="J1160">
        <v>-193.84899999999999</v>
      </c>
      <c r="K1160">
        <v>1.1136159999999999</v>
      </c>
      <c r="L1160">
        <v>358.98809999999997</v>
      </c>
      <c r="M1160">
        <v>0.58133179999999995</v>
      </c>
      <c r="N1160">
        <v>-6.752531E-3</v>
      </c>
      <c r="O1160">
        <v>-0.81363859999999999</v>
      </c>
      <c r="P1160">
        <v>0.15536810000000001</v>
      </c>
      <c r="Q1160">
        <v>-0.121794</v>
      </c>
      <c r="R1160">
        <v>-0.98031979999999996</v>
      </c>
      <c r="S1160">
        <v>0.22972110000000001</v>
      </c>
      <c r="T1160">
        <v>-6.1704639999999998E-2</v>
      </c>
      <c r="U1160">
        <v>-3.0199579999999999</v>
      </c>
      <c r="V1160">
        <v>0.44166149999999998</v>
      </c>
      <c r="W1160">
        <v>-0.12257659999999999</v>
      </c>
      <c r="X1160">
        <v>0.88876889999999997</v>
      </c>
      <c r="Y1160">
        <v>0.51789649999999998</v>
      </c>
      <c r="Z1160">
        <v>6.6794469999999998E-3</v>
      </c>
      <c r="AA1160">
        <v>0.85541719999999899</v>
      </c>
      <c r="AB1160">
        <v>19</v>
      </c>
      <c r="AC1160">
        <v>4.0424000000000104</v>
      </c>
      <c r="AD1160">
        <v>-1.1136181849959901</v>
      </c>
      <c r="AE1160">
        <v>-54.341999999999899</v>
      </c>
      <c r="AF1160">
        <v>28.290509508494001</v>
      </c>
      <c r="AG1160">
        <v>-1.1136181849959901</v>
      </c>
      <c r="AH1160">
        <v>46.546345673252198</v>
      </c>
      <c r="AI1160">
        <v>91.171239953235499</v>
      </c>
      <c r="AJ1160">
        <v>58.709088857363597</v>
      </c>
      <c r="AK1160">
        <v>54.480779814958801</v>
      </c>
      <c r="AL1160">
        <v>97.040828710815902</v>
      </c>
      <c r="AM1160">
        <v>63.575551994210599</v>
      </c>
      <c r="AN1160">
        <v>1.0000000305285</v>
      </c>
    </row>
    <row r="1161" spans="1:40" x14ac:dyDescent="0.25">
      <c r="A1161" t="str">
        <f>"20190303154442648"</f>
        <v>20190303154442648</v>
      </c>
      <c r="B1161" t="str">
        <f>"1551599082641847"</f>
        <v>1551599082641847</v>
      </c>
      <c r="C1161" t="s">
        <v>40</v>
      </c>
      <c r="D1161">
        <v>5.4247699999999996</v>
      </c>
      <c r="E1161">
        <v>0.53937619999999997</v>
      </c>
      <c r="F1161" t="s">
        <v>41</v>
      </c>
      <c r="G1161">
        <v>-192.7362</v>
      </c>
      <c r="H1161" s="1">
        <v>-4.5987480000000002E-6</v>
      </c>
      <c r="I1161">
        <v>339.07420000000002</v>
      </c>
      <c r="J1161">
        <v>-193.7381</v>
      </c>
      <c r="K1161">
        <v>1.113524</v>
      </c>
      <c r="L1161">
        <v>358.80759999999998</v>
      </c>
      <c r="M1161">
        <v>0.5709476</v>
      </c>
      <c r="N1161">
        <v>-6.6514319999999997E-3</v>
      </c>
      <c r="O1161">
        <v>-0.82095969999999996</v>
      </c>
      <c r="P1161">
        <v>0.1424019</v>
      </c>
      <c r="Q1161">
        <v>-0.1216539</v>
      </c>
      <c r="R1161">
        <v>-0.98230490000000004</v>
      </c>
      <c r="S1161">
        <v>0.16835020000000001</v>
      </c>
      <c r="T1161">
        <v>-0.1684736</v>
      </c>
      <c r="U1161">
        <v>-3.0126650000000001</v>
      </c>
      <c r="V1161">
        <v>0.44209910000000002</v>
      </c>
      <c r="W1161">
        <v>-0.1226196</v>
      </c>
      <c r="X1161">
        <v>0.88854539999999904</v>
      </c>
      <c r="Y1161">
        <v>0.52410380000000001</v>
      </c>
      <c r="Z1161">
        <v>3.023791E-2</v>
      </c>
      <c r="AA1161">
        <v>0.85111740000000002</v>
      </c>
      <c r="AB1161">
        <v>20</v>
      </c>
      <c r="AC1161">
        <v>1.0019</v>
      </c>
      <c r="AD1161">
        <v>-1.1135285987479999</v>
      </c>
      <c r="AE1161">
        <v>-19.7333999999999</v>
      </c>
      <c r="AF1161">
        <v>10.41138110122</v>
      </c>
      <c r="AG1161">
        <v>-1.1135285987479999</v>
      </c>
      <c r="AH1161">
        <v>16.7196260495739</v>
      </c>
      <c r="AI1161">
        <v>93.235773604436304</v>
      </c>
      <c r="AJ1161">
        <v>58.089305364925004</v>
      </c>
      <c r="AK1161">
        <v>19.727713947963199</v>
      </c>
      <c r="AL1161">
        <v>97.043310988309599</v>
      </c>
      <c r="AM1161">
        <v>63.5471861281221</v>
      </c>
      <c r="AN1161">
        <v>1.00000005419306</v>
      </c>
    </row>
    <row r="1162" spans="1:40" x14ac:dyDescent="0.25">
      <c r="A1162" t="str">
        <f>"20190303154442670"</f>
        <v>20190303154442670</v>
      </c>
      <c r="B1162" t="str">
        <f>"1551599082661368"</f>
        <v>1551599082661368</v>
      </c>
      <c r="C1162" t="s">
        <v>40</v>
      </c>
      <c r="D1162">
        <v>5.3936929999999998</v>
      </c>
      <c r="E1162">
        <v>0.53980930000000005</v>
      </c>
      <c r="F1162" t="s">
        <v>41</v>
      </c>
      <c r="G1162">
        <v>-193.01300000000001</v>
      </c>
      <c r="H1162" s="1">
        <v>-1.5532079999999901E-6</v>
      </c>
      <c r="I1162">
        <v>341.34100000000001</v>
      </c>
      <c r="J1162">
        <v>-193.63910000000001</v>
      </c>
      <c r="K1162">
        <v>1.1134459999999999</v>
      </c>
      <c r="L1162">
        <v>358.64240000000001</v>
      </c>
      <c r="M1162">
        <v>0.56143699999999996</v>
      </c>
      <c r="N1162">
        <v>-6.5746149999999998E-3</v>
      </c>
      <c r="O1162">
        <v>-0.82749329999999999</v>
      </c>
      <c r="P1162">
        <v>0.13127329999999901</v>
      </c>
      <c r="Q1162">
        <v>-0.1216571</v>
      </c>
      <c r="R1162">
        <v>-0.98385319999999998</v>
      </c>
      <c r="S1162">
        <v>0.12504580000000001</v>
      </c>
      <c r="T1162">
        <v>-0.1920309</v>
      </c>
      <c r="U1162">
        <v>-3.0121769999999999</v>
      </c>
      <c r="V1162">
        <v>0.44188189999999999</v>
      </c>
      <c r="W1162">
        <v>-0.1227647</v>
      </c>
      <c r="X1162">
        <v>0.88863340000000002</v>
      </c>
      <c r="Y1162">
        <v>0.52644840000000004</v>
      </c>
      <c r="Z1162">
        <v>3.5977929999999998E-2</v>
      </c>
      <c r="AA1162">
        <v>0.84944549999999996</v>
      </c>
      <c r="AB1162">
        <v>20</v>
      </c>
      <c r="AC1162">
        <v>0.62610000000000798</v>
      </c>
      <c r="AD1162">
        <v>-1.1134475532079999</v>
      </c>
      <c r="AE1162">
        <v>-17.301400000000001</v>
      </c>
      <c r="AF1162">
        <v>9.1578723859237208</v>
      </c>
      <c r="AG1162">
        <v>-1.1134475532079999</v>
      </c>
      <c r="AH1162">
        <v>14.608202669242401</v>
      </c>
      <c r="AI1162">
        <v>93.6950214318001</v>
      </c>
      <c r="AJ1162">
        <v>57.916428641669</v>
      </c>
      <c r="AK1162">
        <v>17.277325525563</v>
      </c>
      <c r="AL1162">
        <v>97.051687907890198</v>
      </c>
      <c r="AM1162">
        <v>63.560675900198497</v>
      </c>
      <c r="AN1162">
        <v>1.00000005235462</v>
      </c>
    </row>
    <row r="1163" spans="1:40" x14ac:dyDescent="0.25">
      <c r="A1163" t="str">
        <f>"20190303154442695"</f>
        <v>20190303154442695</v>
      </c>
      <c r="B1163" t="str">
        <f>"1551599082691623"</f>
        <v>1551599082691623</v>
      </c>
      <c r="C1163" t="s">
        <v>40</v>
      </c>
      <c r="D1163">
        <v>5.3890349999999998</v>
      </c>
      <c r="E1163">
        <v>0.53881469999999998</v>
      </c>
      <c r="F1163" t="s">
        <v>41</v>
      </c>
      <c r="G1163">
        <v>-193.16390000000001</v>
      </c>
      <c r="H1163" s="1">
        <v>-1.9421680000000002E-6</v>
      </c>
      <c r="I1163">
        <v>342.154</v>
      </c>
      <c r="J1163">
        <v>-193.52449999999999</v>
      </c>
      <c r="K1163">
        <v>1.1133489999999999</v>
      </c>
      <c r="L1163">
        <v>358.44549999999998</v>
      </c>
      <c r="M1163">
        <v>0.55009969999999997</v>
      </c>
      <c r="N1163">
        <v>-6.5033740000000001E-3</v>
      </c>
      <c r="O1163">
        <v>-0.83507359999999897</v>
      </c>
      <c r="P1163">
        <v>0.11847870000000001</v>
      </c>
      <c r="Q1163">
        <v>-0.1211974</v>
      </c>
      <c r="R1163">
        <v>-0.98553230000000003</v>
      </c>
      <c r="S1163">
        <v>8.6822510000000006E-2</v>
      </c>
      <c r="T1163">
        <v>-0.20342850000000001</v>
      </c>
      <c r="U1163">
        <v>-3.012451</v>
      </c>
      <c r="V1163">
        <v>0.44132149999999998</v>
      </c>
      <c r="W1163">
        <v>-0.1224485</v>
      </c>
      <c r="X1163">
        <v>0.88895539999999995</v>
      </c>
      <c r="Y1163">
        <v>0.52561150000000001</v>
      </c>
      <c r="Z1163">
        <v>3.9296360000000002E-2</v>
      </c>
      <c r="AA1163">
        <v>0.84981659999999903</v>
      </c>
      <c r="AB1163">
        <v>20</v>
      </c>
      <c r="AC1163">
        <v>0.360599999999976</v>
      </c>
      <c r="AD1163">
        <v>-1.1133509421679999</v>
      </c>
      <c r="AE1163">
        <v>-16.2914999999999</v>
      </c>
      <c r="AF1163">
        <v>8.6207637674878104</v>
      </c>
      <c r="AG1163">
        <v>-1.1133509421679999</v>
      </c>
      <c r="AH1163">
        <v>13.7391261447875</v>
      </c>
      <c r="AI1163">
        <v>93.926712894339204</v>
      </c>
      <c r="AJ1163">
        <v>57.8933383048237</v>
      </c>
      <c r="AK1163">
        <v>16.257942842735101</v>
      </c>
      <c r="AL1163">
        <v>97.033433611817003</v>
      </c>
      <c r="AM1163">
        <v>63.597920902596002</v>
      </c>
      <c r="AN1163">
        <v>1.0000000023518201</v>
      </c>
    </row>
    <row r="1164" spans="1:40" x14ac:dyDescent="0.25">
      <c r="A1164" t="str">
        <f>"20190303154442718"</f>
        <v>20190303154442718</v>
      </c>
      <c r="B1164" t="str">
        <f>"1551599082711144"</f>
        <v>1551599082711144</v>
      </c>
      <c r="C1164" t="s">
        <v>40</v>
      </c>
      <c r="D1164">
        <v>5.4624509999999997</v>
      </c>
      <c r="E1164">
        <v>0.53801699999999997</v>
      </c>
      <c r="F1164" t="s">
        <v>41</v>
      </c>
      <c r="G1164">
        <v>-193.2415</v>
      </c>
      <c r="H1164" s="1">
        <v>-2.284203E-6</v>
      </c>
      <c r="I1164">
        <v>342.90320000000003</v>
      </c>
      <c r="J1164">
        <v>-193.41800000000001</v>
      </c>
      <c r="K1164">
        <v>1.1132649999999999</v>
      </c>
      <c r="L1164">
        <v>358.25699999999898</v>
      </c>
      <c r="M1164">
        <v>0.53923719999999997</v>
      </c>
      <c r="N1164">
        <v>-6.4515880000000003E-3</v>
      </c>
      <c r="O1164">
        <v>-0.84212949999999998</v>
      </c>
      <c r="P1164">
        <v>0.107016</v>
      </c>
      <c r="Q1164">
        <v>-0.12173109999999999</v>
      </c>
      <c r="R1164">
        <v>-0.98677740000000003</v>
      </c>
      <c r="S1164">
        <v>5.4840090000000001E-2</v>
      </c>
      <c r="T1164">
        <v>-0.21568560000000001</v>
      </c>
      <c r="U1164">
        <v>-3.0109560000000002</v>
      </c>
      <c r="V1164">
        <v>0.44007170000000001</v>
      </c>
      <c r="W1164">
        <v>-0.12309009999999999</v>
      </c>
      <c r="X1164">
        <v>0.88948629999999995</v>
      </c>
      <c r="Y1164">
        <v>0.52358909999999903</v>
      </c>
      <c r="Z1164">
        <v>4.2880830000000002E-2</v>
      </c>
      <c r="AA1164">
        <v>0.85089119999999996</v>
      </c>
      <c r="AB1164">
        <v>20</v>
      </c>
      <c r="AC1164">
        <v>0.17650000000000399</v>
      </c>
      <c r="AD1164">
        <v>-1.113267284203</v>
      </c>
      <c r="AE1164">
        <v>-15.3537999999999</v>
      </c>
      <c r="AF1164">
        <v>8.0883538359315708</v>
      </c>
      <c r="AG1164">
        <v>-1.113267284203</v>
      </c>
      <c r="AH1164">
        <v>12.9572195887202</v>
      </c>
      <c r="AI1164">
        <v>94.168571244924806</v>
      </c>
      <c r="AJ1164">
        <v>58.0261344443498</v>
      </c>
      <c r="AK1164">
        <v>15.315037423774699</v>
      </c>
      <c r="AL1164">
        <v>97.070474269811797</v>
      </c>
      <c r="AM1164">
        <v>63.676181309959098</v>
      </c>
      <c r="AN1164">
        <v>1.0000000758732901</v>
      </c>
    </row>
    <row r="1165" spans="1:40" x14ac:dyDescent="0.25">
      <c r="A1165" t="str">
        <f>"20190303154442738"</f>
        <v>20190303154442738</v>
      </c>
      <c r="B1165" t="str">
        <f>"1551599082731640"</f>
        <v>1551599082731640</v>
      </c>
      <c r="C1165" t="s">
        <v>40</v>
      </c>
      <c r="D1165">
        <v>5.3937790000000003</v>
      </c>
      <c r="E1165">
        <v>0.53733969999999998</v>
      </c>
      <c r="F1165" t="s">
        <v>41</v>
      </c>
      <c r="G1165">
        <v>-193.28739999999999</v>
      </c>
      <c r="H1165" s="1">
        <v>-2.3975010000000002E-6</v>
      </c>
      <c r="I1165">
        <v>343.1388</v>
      </c>
      <c r="J1165">
        <v>-193.32570000000001</v>
      </c>
      <c r="K1165">
        <v>1.1131789999999999</v>
      </c>
      <c r="L1165">
        <v>358.089</v>
      </c>
      <c r="M1165">
        <v>0.52956099999999995</v>
      </c>
      <c r="N1165">
        <v>-6.414721E-3</v>
      </c>
      <c r="O1165">
        <v>-0.84824759999999999</v>
      </c>
      <c r="P1165">
        <v>9.8396529999999996E-2</v>
      </c>
      <c r="Q1165">
        <v>-0.1225226</v>
      </c>
      <c r="R1165">
        <v>-0.98757609999999996</v>
      </c>
      <c r="S1165">
        <v>2.598572E-2</v>
      </c>
      <c r="T1165">
        <v>-0.22165199999999999</v>
      </c>
      <c r="U1165">
        <v>-3.01004</v>
      </c>
      <c r="V1165">
        <v>0.43756980000000001</v>
      </c>
      <c r="W1165">
        <v>-0.12393949999999999</v>
      </c>
      <c r="X1165">
        <v>0.89060189999999995</v>
      </c>
      <c r="Y1165">
        <v>0.52198129999999998</v>
      </c>
      <c r="Z1165">
        <v>4.4968029999999999E-2</v>
      </c>
      <c r="AA1165">
        <v>0.85177080000000005</v>
      </c>
      <c r="AB1165">
        <v>20</v>
      </c>
      <c r="AC1165">
        <v>3.8300000000020797E-2</v>
      </c>
      <c r="AD1165">
        <v>-1.1131813975010001</v>
      </c>
      <c r="AE1165">
        <v>-14.950199999999899</v>
      </c>
      <c r="AF1165">
        <v>7.8412441946564</v>
      </c>
      <c r="AG1165">
        <v>-1.1131813975010001</v>
      </c>
      <c r="AH1165">
        <v>12.631981235613299</v>
      </c>
      <c r="AI1165">
        <v>94.281852781800694</v>
      </c>
      <c r="AJ1165">
        <v>58.170247974706797</v>
      </c>
      <c r="AK1165">
        <v>14.9094343715938</v>
      </c>
      <c r="AL1165">
        <v>97.119517113738794</v>
      </c>
      <c r="AM1165">
        <v>63.834228042027704</v>
      </c>
      <c r="AN1165">
        <v>1.00000003690794</v>
      </c>
    </row>
    <row r="1166" spans="1:40" x14ac:dyDescent="0.25">
      <c r="A1166" t="str">
        <f>"20190303154442760"</f>
        <v>20190303154442760</v>
      </c>
      <c r="B1166" t="str">
        <f>"1551599082751160"</f>
        <v>1551599082751160</v>
      </c>
      <c r="C1166" t="s">
        <v>40</v>
      </c>
      <c r="D1166">
        <v>5.3409950000000004</v>
      </c>
      <c r="E1166">
        <v>0.53650209999999998</v>
      </c>
      <c r="F1166" t="s">
        <v>41</v>
      </c>
      <c r="G1166">
        <v>-193.3013</v>
      </c>
      <c r="H1166" s="1">
        <v>-2.5609080000000001E-6</v>
      </c>
      <c r="I1166">
        <v>343.5111</v>
      </c>
      <c r="J1166">
        <v>-193.22669999999999</v>
      </c>
      <c r="K1166">
        <v>1.1130949999999999</v>
      </c>
      <c r="L1166">
        <v>357.90379999999999</v>
      </c>
      <c r="M1166">
        <v>0.51889220000000003</v>
      </c>
      <c r="N1166">
        <v>-6.3804200000000004E-3</v>
      </c>
      <c r="O1166">
        <v>-0.85481600000000002</v>
      </c>
      <c r="P1166">
        <v>9.0180940000000001E-2</v>
      </c>
      <c r="Q1166">
        <v>-0.1247465</v>
      </c>
      <c r="R1166">
        <v>-0.98808229999999997</v>
      </c>
      <c r="S1166">
        <v>5.0353999999999998E-3</v>
      </c>
      <c r="T1166">
        <v>-0.22974919999999999</v>
      </c>
      <c r="U1166">
        <v>-3.0087280000000001</v>
      </c>
      <c r="V1166">
        <v>0.43361470000000002</v>
      </c>
      <c r="W1166">
        <v>-0.1261948</v>
      </c>
      <c r="X1166">
        <v>0.89221810000000001</v>
      </c>
      <c r="Y1166">
        <v>0.5172099</v>
      </c>
      <c r="Z1166">
        <v>4.7729279999999999E-2</v>
      </c>
      <c r="AA1166">
        <v>0.85452659999999903</v>
      </c>
      <c r="AB1166">
        <v>20</v>
      </c>
      <c r="AC1166">
        <v>-7.4600000000003705E-2</v>
      </c>
      <c r="AD1166">
        <v>-1.113097560908</v>
      </c>
      <c r="AE1166">
        <v>-14.3926999999999</v>
      </c>
      <c r="AF1166">
        <v>7.4873997630343396</v>
      </c>
      <c r="AG1166">
        <v>-1.113097560908</v>
      </c>
      <c r="AH1166">
        <v>12.1917310443777</v>
      </c>
      <c r="AI1166">
        <v>94.448602322659497</v>
      </c>
      <c r="AJ1166">
        <v>58.4443522422416</v>
      </c>
      <c r="AK1166">
        <v>14.3505556425536</v>
      </c>
      <c r="AL1166">
        <v>97.249759297293707</v>
      </c>
      <c r="AM1166">
        <v>64.080419346479005</v>
      </c>
      <c r="AN1166">
        <v>0.99999998678536905</v>
      </c>
    </row>
    <row r="1167" spans="1:40" x14ac:dyDescent="0.25">
      <c r="A1167" t="str">
        <f>"20190303154442783"</f>
        <v>20190303154442783</v>
      </c>
      <c r="B1167" t="str">
        <f>"1551599082771658"</f>
        <v>1551599082771658</v>
      </c>
      <c r="C1167" t="s">
        <v>40</v>
      </c>
      <c r="D1167">
        <v>5.3449859999999996</v>
      </c>
      <c r="E1167">
        <v>0.53556409999999999</v>
      </c>
      <c r="F1167" t="s">
        <v>41</v>
      </c>
      <c r="G1167">
        <v>-193.28899999999999</v>
      </c>
      <c r="H1167" s="1">
        <v>-2.7737479999999999E-6</v>
      </c>
      <c r="I1167">
        <v>344.01490000000001</v>
      </c>
      <c r="J1167">
        <v>-193.13570000000001</v>
      </c>
      <c r="K1167">
        <v>1.1130199999999999</v>
      </c>
      <c r="L1167">
        <v>357.72809999999998</v>
      </c>
      <c r="M1167">
        <v>0.50878659999999998</v>
      </c>
      <c r="N1167">
        <v>-6.3532450000000004E-3</v>
      </c>
      <c r="O1167">
        <v>-0.86086949999999995</v>
      </c>
      <c r="P1167">
        <v>8.3276359999999994E-2</v>
      </c>
      <c r="Q1167">
        <v>-0.12568560000000001</v>
      </c>
      <c r="R1167">
        <v>-0.98856909999999998</v>
      </c>
      <c r="S1167">
        <v>-1.3473509999999999E-2</v>
      </c>
      <c r="T1167">
        <v>-0.24098910000000001</v>
      </c>
      <c r="U1167">
        <v>-3.0069889999999999</v>
      </c>
      <c r="V1167">
        <v>0.42924099999999998</v>
      </c>
      <c r="W1167">
        <v>-0.12713820000000001</v>
      </c>
      <c r="X1167">
        <v>0.89419689999999996</v>
      </c>
      <c r="Y1167">
        <v>0.51236839999999995</v>
      </c>
      <c r="Z1167">
        <v>5.1242360000000001E-2</v>
      </c>
      <c r="AA1167">
        <v>0.85723559999999999</v>
      </c>
      <c r="AB1167">
        <v>20</v>
      </c>
      <c r="AC1167">
        <v>-0.15330000000000099</v>
      </c>
      <c r="AD1167">
        <v>-1.1130227737480001</v>
      </c>
      <c r="AE1167">
        <v>-13.713199999999899</v>
      </c>
      <c r="AF1167">
        <v>7.0626848479406004</v>
      </c>
      <c r="AG1167">
        <v>-1.1130227737480001</v>
      </c>
      <c r="AH1167">
        <v>11.6507710008595</v>
      </c>
      <c r="AI1167">
        <v>94.6703412979153</v>
      </c>
      <c r="AJ1167">
        <v>58.775801499221402</v>
      </c>
      <c r="AK1167">
        <v>13.669703796011101</v>
      </c>
      <c r="AL1167">
        <v>97.304250754829496</v>
      </c>
      <c r="AM1167">
        <v>64.357614784977599</v>
      </c>
      <c r="AN1167">
        <v>1.0000000269749201</v>
      </c>
    </row>
    <row r="1168" spans="1:40" x14ac:dyDescent="0.25">
      <c r="A1168" t="str">
        <f>"20190303154442805"</f>
        <v>20190303154442805</v>
      </c>
      <c r="B1168" t="str">
        <f>"1551599082801911"</f>
        <v>1551599082801911</v>
      </c>
      <c r="C1168" t="s">
        <v>40</v>
      </c>
      <c r="D1168">
        <v>5.335286</v>
      </c>
      <c r="E1168">
        <v>0.53431030000000002</v>
      </c>
      <c r="F1168" t="s">
        <v>41</v>
      </c>
      <c r="G1168">
        <v>-193.25800000000001</v>
      </c>
      <c r="H1168" s="1">
        <v>-2.881543E-6</v>
      </c>
      <c r="I1168">
        <v>344.28539999999998</v>
      </c>
      <c r="J1168">
        <v>-193.0352</v>
      </c>
      <c r="K1168">
        <v>1.112941</v>
      </c>
      <c r="L1168">
        <v>357.52809999999999</v>
      </c>
      <c r="M1168">
        <v>0.4973072</v>
      </c>
      <c r="N1168">
        <v>-6.3276039999999997E-3</v>
      </c>
      <c r="O1168">
        <v>-0.86755159999999998</v>
      </c>
      <c r="P1168">
        <v>7.4336020000000003E-2</v>
      </c>
      <c r="Q1168">
        <v>-0.12700129999999901</v>
      </c>
      <c r="R1168">
        <v>-0.98911349999999998</v>
      </c>
      <c r="S1168">
        <v>-2.734375E-2</v>
      </c>
      <c r="T1168">
        <v>-0.2488351</v>
      </c>
      <c r="U1168">
        <v>-3.005341</v>
      </c>
      <c r="V1168">
        <v>0.4253226</v>
      </c>
      <c r="W1168">
        <v>-0.1284651</v>
      </c>
      <c r="X1168">
        <v>0.89587799999999995</v>
      </c>
      <c r="Y1168">
        <v>0.50489859999999998</v>
      </c>
      <c r="Z1168">
        <v>5.4158570000000003E-2</v>
      </c>
      <c r="AA1168">
        <v>0.86147790000000002</v>
      </c>
      <c r="AB1168">
        <v>20</v>
      </c>
      <c r="AC1168">
        <v>-0.22279999999997799</v>
      </c>
      <c r="AD1168">
        <v>-1.1129438815429999</v>
      </c>
      <c r="AE1168">
        <v>-13.242699999999999</v>
      </c>
      <c r="AF1168">
        <v>6.7315831762515002</v>
      </c>
      <c r="AG1168">
        <v>-1.1129438815429999</v>
      </c>
      <c r="AH1168">
        <v>11.298373179201199</v>
      </c>
      <c r="AI1168">
        <v>94.837046148497905</v>
      </c>
      <c r="AJ1168">
        <v>59.213467680716803</v>
      </c>
      <c r="AK1168">
        <v>13.1987155677645</v>
      </c>
      <c r="AL1168">
        <v>97.380905362588095</v>
      </c>
      <c r="AM1168">
        <v>64.6037341974925</v>
      </c>
      <c r="AN1168">
        <v>0.99999999343638502</v>
      </c>
    </row>
    <row r="1169" spans="1:40" x14ac:dyDescent="0.25">
      <c r="A1169" t="str">
        <f>"20190303154442829"</f>
        <v>20190303154442829</v>
      </c>
      <c r="B1169" t="str">
        <f>"1551599082821432"</f>
        <v>1551599082821432</v>
      </c>
      <c r="C1169" t="s">
        <v>40</v>
      </c>
      <c r="D1169">
        <v>5.3396689999999998</v>
      </c>
      <c r="E1169">
        <v>0.53346359999999904</v>
      </c>
      <c r="F1169" t="s">
        <v>41</v>
      </c>
      <c r="G1169">
        <v>-193.2287</v>
      </c>
      <c r="H1169" s="1">
        <v>-3.0354030000000001E-6</v>
      </c>
      <c r="I1169">
        <v>344.66219999999998</v>
      </c>
      <c r="J1169">
        <v>-192.93780000000001</v>
      </c>
      <c r="K1169">
        <v>1.1128709999999999</v>
      </c>
      <c r="L1169">
        <v>357.32799999999997</v>
      </c>
      <c r="M1169">
        <v>0.48585040000000002</v>
      </c>
      <c r="N1169">
        <v>-6.3059910000000004E-3</v>
      </c>
      <c r="O1169">
        <v>-0.8740194</v>
      </c>
      <c r="P1169">
        <v>6.5549739999999995E-2</v>
      </c>
      <c r="Q1169">
        <v>-0.12787390000000001</v>
      </c>
      <c r="R1169">
        <v>-0.98962209999999995</v>
      </c>
      <c r="S1169">
        <v>-4.5181270000000003E-2</v>
      </c>
      <c r="T1169">
        <v>-0.25977119999999998</v>
      </c>
      <c r="U1169">
        <v>-3.0030209999999999</v>
      </c>
      <c r="V1169">
        <v>0.42140420000000001</v>
      </c>
      <c r="W1169">
        <v>-0.1293387</v>
      </c>
      <c r="X1169">
        <v>0.89760229999999996</v>
      </c>
      <c r="Y1169">
        <v>0.49864190000000003</v>
      </c>
      <c r="Z1169">
        <v>5.7843459999999999E-2</v>
      </c>
      <c r="AA1169">
        <v>0.86487590000000003</v>
      </c>
      <c r="AB1169">
        <v>21</v>
      </c>
      <c r="AC1169">
        <v>-0.290899999999993</v>
      </c>
      <c r="AD1169">
        <v>-1.112874035403</v>
      </c>
      <c r="AE1169">
        <v>-12.665800000000001</v>
      </c>
      <c r="AF1169">
        <v>6.3589960899738198</v>
      </c>
      <c r="AG1169">
        <v>-1.112874035403</v>
      </c>
      <c r="AH1169">
        <v>10.8453529545406</v>
      </c>
      <c r="AI1169">
        <v>95.058586804508806</v>
      </c>
      <c r="AJ1169">
        <v>59.6154664564638</v>
      </c>
      <c r="AK1169">
        <v>12.621291558296999</v>
      </c>
      <c r="AL1169">
        <v>97.431380419477193</v>
      </c>
      <c r="AM1169">
        <v>64.850994801717903</v>
      </c>
      <c r="AN1169">
        <v>0.99999994403030801</v>
      </c>
    </row>
    <row r="1170" spans="1:40" x14ac:dyDescent="0.25">
      <c r="A1170" t="str">
        <f>"20190303154442851"</f>
        <v>20190303154442851</v>
      </c>
      <c r="B1170" t="str">
        <f>"1551599082841459"</f>
        <v>1551599082841459</v>
      </c>
      <c r="C1170" t="s">
        <v>40</v>
      </c>
      <c r="D1170">
        <v>5.3305429999999996</v>
      </c>
      <c r="E1170">
        <v>0.53274880000000002</v>
      </c>
      <c r="F1170" t="s">
        <v>41</v>
      </c>
      <c r="G1170">
        <v>-193.2107</v>
      </c>
      <c r="H1170" s="1">
        <v>-3.0683360000000001E-6</v>
      </c>
      <c r="I1170">
        <v>344.75009999999997</v>
      </c>
      <c r="J1170">
        <v>-192.84909999999999</v>
      </c>
      <c r="K1170">
        <v>1.1128070000000001</v>
      </c>
      <c r="L1170">
        <v>357.14</v>
      </c>
      <c r="M1170">
        <v>0.47511300000000001</v>
      </c>
      <c r="N1170">
        <v>-6.2880710000000001E-3</v>
      </c>
      <c r="O1170">
        <v>-0.87990219999999897</v>
      </c>
      <c r="P1170">
        <v>5.7381399999999999E-2</v>
      </c>
      <c r="Q1170">
        <v>-0.12819610000000001</v>
      </c>
      <c r="R1170">
        <v>-0.99008750000000001</v>
      </c>
      <c r="S1170">
        <v>-6.5124509999999997E-2</v>
      </c>
      <c r="T1170">
        <v>-0.26556790000000002</v>
      </c>
      <c r="U1170">
        <v>-3.0014949999999998</v>
      </c>
      <c r="V1170">
        <v>0.41778179999999998</v>
      </c>
      <c r="W1170">
        <v>-0.12965199999999999</v>
      </c>
      <c r="X1170">
        <v>0.89924899999999997</v>
      </c>
      <c r="Y1170">
        <v>0.49377019999999999</v>
      </c>
      <c r="Z1170">
        <v>6.0194940000000002E-2</v>
      </c>
      <c r="AA1170">
        <v>0.86750649999999996</v>
      </c>
      <c r="AB1170">
        <v>21</v>
      </c>
      <c r="AC1170">
        <v>-0.36160000000000903</v>
      </c>
      <c r="AD1170">
        <v>-1.1128100683359901</v>
      </c>
      <c r="AE1170">
        <v>-12.389900000000001</v>
      </c>
      <c r="AF1170">
        <v>6.1552867315029403</v>
      </c>
      <c r="AG1170">
        <v>-1.1128100683359901</v>
      </c>
      <c r="AH1170">
        <v>10.6445175594785</v>
      </c>
      <c r="AI1170">
        <v>95.171254197049805</v>
      </c>
      <c r="AJ1170">
        <v>59.960970972954101</v>
      </c>
      <c r="AK1170">
        <v>12.346321519758501</v>
      </c>
      <c r="AL1170">
        <v>97.449483056848905</v>
      </c>
      <c r="AM1170">
        <v>65.080905626073104</v>
      </c>
      <c r="AN1170">
        <v>1.00000001875811</v>
      </c>
    </row>
    <row r="1171" spans="1:40" x14ac:dyDescent="0.25">
      <c r="A1171" t="str">
        <f>"20190303154442871"</f>
        <v>20190303154442871</v>
      </c>
      <c r="B1171" t="str">
        <f>"1551599082861955"</f>
        <v>1551599082861955</v>
      </c>
      <c r="C1171" t="s">
        <v>40</v>
      </c>
      <c r="D1171">
        <v>5.3493380000000004</v>
      </c>
      <c r="E1171">
        <v>0.52247379999999999</v>
      </c>
      <c r="F1171" t="s">
        <v>41</v>
      </c>
      <c r="G1171">
        <v>-193.1987</v>
      </c>
      <c r="H1171" s="1">
        <v>-3.0480899999999998E-6</v>
      </c>
      <c r="I1171">
        <v>344.71039999999999</v>
      </c>
      <c r="J1171">
        <v>-192.76740000000001</v>
      </c>
      <c r="K1171">
        <v>1.112751</v>
      </c>
      <c r="L1171">
        <v>356.9615</v>
      </c>
      <c r="M1171">
        <v>0.46496999999999999</v>
      </c>
      <c r="N1171">
        <v>-6.2717719999999897E-3</v>
      </c>
      <c r="O1171">
        <v>-0.88530429999999904</v>
      </c>
      <c r="P1171">
        <v>4.9168040000000003E-2</v>
      </c>
      <c r="Q1171">
        <v>-0.12854469999999901</v>
      </c>
      <c r="R1171">
        <v>-0.99048440000000004</v>
      </c>
      <c r="S1171">
        <v>-8.4381100000000001E-2</v>
      </c>
      <c r="T1171">
        <v>-0.26860060000000002</v>
      </c>
      <c r="U1171">
        <v>-3.0001530000000001</v>
      </c>
      <c r="V1171">
        <v>0.41486879999999998</v>
      </c>
      <c r="W1171">
        <v>-0.12999169999999999</v>
      </c>
      <c r="X1171">
        <v>0.9005476</v>
      </c>
      <c r="Y1171">
        <v>0.48934509999999998</v>
      </c>
      <c r="Z1171">
        <v>6.1807689999999998E-2</v>
      </c>
      <c r="AA1171">
        <v>0.86989719999999904</v>
      </c>
      <c r="AB1171">
        <v>21</v>
      </c>
      <c r="AC1171">
        <v>-0.43129999999999302</v>
      </c>
      <c r="AD1171">
        <v>-1.11275404809</v>
      </c>
      <c r="AE1171">
        <v>-12.251099999999999</v>
      </c>
      <c r="AF1171">
        <v>6.0286705275190497</v>
      </c>
      <c r="AG1171">
        <v>-1.11275404809</v>
      </c>
      <c r="AH1171">
        <v>10.558618955017099</v>
      </c>
      <c r="AI1171">
        <v>95.229177411318801</v>
      </c>
      <c r="AJ1171">
        <v>60.2748644103389</v>
      </c>
      <c r="AK1171">
        <v>12.2093211989104</v>
      </c>
      <c r="AL1171">
        <v>97.469112905136399</v>
      </c>
      <c r="AM1171">
        <v>65.265183475004505</v>
      </c>
      <c r="AN1171">
        <v>0.99999997157404397</v>
      </c>
    </row>
    <row r="1172" spans="1:40" x14ac:dyDescent="0.25">
      <c r="A1172" t="str">
        <f>"20190303154442897"</f>
        <v>20190303154442897</v>
      </c>
      <c r="B1172" t="str">
        <f>"1551599082891235"</f>
        <v>1551599082891235</v>
      </c>
      <c r="C1172" t="s">
        <v>40</v>
      </c>
      <c r="D1172">
        <v>5.2718429999999996</v>
      </c>
      <c r="E1172">
        <v>0.52132000000000001</v>
      </c>
      <c r="F1172" t="s">
        <v>41</v>
      </c>
      <c r="G1172">
        <v>-192.8742</v>
      </c>
      <c r="H1172" s="1">
        <v>-3.3959599999999999E-6</v>
      </c>
      <c r="I1172">
        <v>345.72250000000003</v>
      </c>
      <c r="J1172">
        <v>-192.66560000000001</v>
      </c>
      <c r="K1172">
        <v>1.112711</v>
      </c>
      <c r="L1172">
        <v>356.7319</v>
      </c>
      <c r="M1172">
        <v>0.45199780000000001</v>
      </c>
      <c r="N1172">
        <v>-6.2508719999999898E-3</v>
      </c>
      <c r="O1172">
        <v>-0.89199719999999905</v>
      </c>
      <c r="P1172">
        <v>3.7717430000000003E-2</v>
      </c>
      <c r="Q1172">
        <v>-0.12821089999999999</v>
      </c>
      <c r="R1172">
        <v>-0.99102939999999995</v>
      </c>
      <c r="S1172">
        <v>-2.844238E-2</v>
      </c>
      <c r="T1172">
        <v>-0.29621199999999998</v>
      </c>
      <c r="U1172">
        <v>-2.9917910000000001</v>
      </c>
      <c r="V1172">
        <v>0.41214800000000001</v>
      </c>
      <c r="W1172">
        <v>-0.1296515</v>
      </c>
      <c r="X1172">
        <v>0.90184509999999996</v>
      </c>
      <c r="Y1172">
        <v>0.46014969999999999</v>
      </c>
      <c r="Z1172">
        <v>7.0815840000000005E-2</v>
      </c>
      <c r="AA1172">
        <v>0.88501260000000004</v>
      </c>
      <c r="AB1172">
        <v>21</v>
      </c>
      <c r="AC1172">
        <v>-0.20859999999998899</v>
      </c>
      <c r="AD1172">
        <v>-1.1127143959600001</v>
      </c>
      <c r="AE1172">
        <v>-11.0093999999999</v>
      </c>
      <c r="AF1172">
        <v>5.1102135150753902</v>
      </c>
      <c r="AG1172">
        <v>-1.1127143959600001</v>
      </c>
      <c r="AH1172">
        <v>9.6279422893897202</v>
      </c>
      <c r="AI1172">
        <v>95.828746621788895</v>
      </c>
      <c r="AJ1172">
        <v>62.0420221927603</v>
      </c>
      <c r="AK1172">
        <v>10.9567188621619</v>
      </c>
      <c r="AL1172">
        <v>97.449454044357495</v>
      </c>
      <c r="AM1172">
        <v>65.4393476055766</v>
      </c>
      <c r="AN1172">
        <v>1.0000000348751199</v>
      </c>
    </row>
    <row r="1173" spans="1:40" x14ac:dyDescent="0.25">
      <c r="A1173" t="str">
        <f>"20190303154442919"</f>
        <v>20190303154442919</v>
      </c>
      <c r="B1173" t="str">
        <f>"1551599082911730"</f>
        <v>1551599082911730</v>
      </c>
      <c r="C1173" t="s">
        <v>40</v>
      </c>
      <c r="D1173">
        <v>5.2643930000000001</v>
      </c>
      <c r="E1173">
        <v>0.51525969999999999</v>
      </c>
      <c r="F1173" t="s">
        <v>41</v>
      </c>
      <c r="G1173">
        <v>-192.8648</v>
      </c>
      <c r="H1173" s="1">
        <v>-3.3917530000000001E-6</v>
      </c>
      <c r="I1173">
        <v>345.71859999999998</v>
      </c>
      <c r="J1173">
        <v>-192.5797</v>
      </c>
      <c r="K1173">
        <v>1.112689</v>
      </c>
      <c r="L1173">
        <v>356.53129999999999</v>
      </c>
      <c r="M1173">
        <v>0.4407431</v>
      </c>
      <c r="N1173">
        <v>-6.2327679999999996E-3</v>
      </c>
      <c r="O1173">
        <v>-0.89761190000000002</v>
      </c>
      <c r="P1173">
        <v>2.940572E-2</v>
      </c>
      <c r="Q1173">
        <v>-0.12785070000000001</v>
      </c>
      <c r="R1173">
        <v>-0.99135779999999996</v>
      </c>
      <c r="S1173">
        <v>-5.409241E-2</v>
      </c>
      <c r="T1173">
        <v>-0.30210300000000001</v>
      </c>
      <c r="U1173">
        <v>-2.9901430000000002</v>
      </c>
      <c r="V1173">
        <v>0.40838930000000001</v>
      </c>
      <c r="W1173">
        <v>-0.1292479</v>
      </c>
      <c r="X1173">
        <v>0.90361119999999995</v>
      </c>
      <c r="Y1173">
        <v>0.45657150000000002</v>
      </c>
      <c r="Z1173">
        <v>7.3307910000000004E-2</v>
      </c>
      <c r="AA1173">
        <v>0.88666139999999904</v>
      </c>
      <c r="AB1173">
        <v>21</v>
      </c>
      <c r="AC1173">
        <v>-0.28509999999999902</v>
      </c>
      <c r="AD1173">
        <v>-1.1126923917530001</v>
      </c>
      <c r="AE1173">
        <v>-10.8127</v>
      </c>
      <c r="AF1173">
        <v>4.9690445540481001</v>
      </c>
      <c r="AG1173">
        <v>-1.1126923917530001</v>
      </c>
      <c r="AH1173">
        <v>9.4798179730345495</v>
      </c>
      <c r="AI1173">
        <v>95.935087287569203</v>
      </c>
      <c r="AJ1173">
        <v>62.337780409349797</v>
      </c>
      <c r="AK1173">
        <v>10.760875286920101</v>
      </c>
      <c r="AL1173">
        <v>97.426133355167394</v>
      </c>
      <c r="AM1173">
        <v>65.679293647533299</v>
      </c>
      <c r="AN1173">
        <v>1.00000002038716</v>
      </c>
    </row>
    <row r="1174" spans="1:40" x14ac:dyDescent="0.25">
      <c r="A1174" t="str">
        <f>"20190303154442941"</f>
        <v>20190303154442941</v>
      </c>
      <c r="B1174" t="str">
        <f>"1551599082931251"</f>
        <v>1551599082931251</v>
      </c>
      <c r="C1174" t="s">
        <v>40</v>
      </c>
      <c r="D1174">
        <v>5.208793</v>
      </c>
      <c r="E1174">
        <v>0.5088165</v>
      </c>
      <c r="F1174" t="s">
        <v>41</v>
      </c>
      <c r="G1174">
        <v>-192.7432</v>
      </c>
      <c r="H1174" s="1">
        <v>-4.4509190000000003E-6</v>
      </c>
      <c r="I1174">
        <v>338.6361</v>
      </c>
      <c r="J1174">
        <v>-192.50020000000001</v>
      </c>
      <c r="K1174">
        <v>1.112684</v>
      </c>
      <c r="L1174">
        <v>356.33929999999998</v>
      </c>
      <c r="M1174">
        <v>0.43005280000000001</v>
      </c>
      <c r="N1174">
        <v>-6.2165739999999999E-3</v>
      </c>
      <c r="O1174">
        <v>-0.90278259999999999</v>
      </c>
      <c r="P1174">
        <v>2.3303330000000001E-2</v>
      </c>
      <c r="Q1174">
        <v>-0.1275963</v>
      </c>
      <c r="R1174">
        <v>-0.99155280000000001</v>
      </c>
      <c r="S1174">
        <v>-2.7435299999999999E-2</v>
      </c>
      <c r="T1174">
        <v>-0.1867162</v>
      </c>
      <c r="U1174">
        <v>-3.0028990000000002</v>
      </c>
      <c r="V1174">
        <v>0.40323369999999997</v>
      </c>
      <c r="W1174">
        <v>-0.12891610000000001</v>
      </c>
      <c r="X1174">
        <v>0.90597090000000002</v>
      </c>
      <c r="Y1174">
        <v>0.43813990000000003</v>
      </c>
      <c r="Z1174">
        <v>4.3653409999999997E-2</v>
      </c>
      <c r="AA1174">
        <v>0.89784619999999904</v>
      </c>
      <c r="AB1174">
        <v>21</v>
      </c>
      <c r="AC1174">
        <v>-0.242999999999995</v>
      </c>
      <c r="AD1174">
        <v>-1.112688450919</v>
      </c>
      <c r="AE1174">
        <v>-17.703199999999899</v>
      </c>
      <c r="AF1174">
        <v>7.80202090020531</v>
      </c>
      <c r="AG1174">
        <v>-1.112688450919</v>
      </c>
      <c r="AH1174">
        <v>15.815475050156801</v>
      </c>
      <c r="AI1174">
        <v>93.6102740054055</v>
      </c>
      <c r="AJ1174">
        <v>63.742156635618898</v>
      </c>
      <c r="AK1174">
        <v>17.670281740203801</v>
      </c>
      <c r="AL1174">
        <v>97.406962196948001</v>
      </c>
      <c r="AM1174">
        <v>66.006889875833494</v>
      </c>
      <c r="AN1174">
        <v>1.00000002465085</v>
      </c>
    </row>
    <row r="1175" spans="1:40" x14ac:dyDescent="0.25">
      <c r="A1175" t="str">
        <f>"20190303154442962"</f>
        <v>20190303154442962</v>
      </c>
      <c r="B1175" t="str">
        <f>"1551599082951279"</f>
        <v>1551599082951279</v>
      </c>
      <c r="C1175" t="s">
        <v>40</v>
      </c>
      <c r="D1175">
        <v>5.1955010000000001</v>
      </c>
      <c r="E1175">
        <v>0.50616519999999998</v>
      </c>
      <c r="F1175" t="s">
        <v>41</v>
      </c>
      <c r="G1175">
        <v>-192.4581</v>
      </c>
      <c r="H1175" s="1">
        <v>-3.250682E-6</v>
      </c>
      <c r="I1175">
        <v>335.642</v>
      </c>
      <c r="J1175">
        <v>-192.4229</v>
      </c>
      <c r="K1175">
        <v>1.1126799999999999</v>
      </c>
      <c r="L1175">
        <v>356.14670000000001</v>
      </c>
      <c r="M1175">
        <v>0.41939989999999999</v>
      </c>
      <c r="N1175">
        <v>-6.2025099999999996E-3</v>
      </c>
      <c r="O1175">
        <v>-0.90778060000000005</v>
      </c>
      <c r="P1175">
        <v>1.792144E-2</v>
      </c>
      <c r="Q1175">
        <v>-0.12555819999999901</v>
      </c>
      <c r="R1175">
        <v>-0.99192460000000005</v>
      </c>
      <c r="S1175">
        <v>6.1035159999999998E-3</v>
      </c>
      <c r="T1175">
        <v>-0.16152910000000001</v>
      </c>
      <c r="U1175">
        <v>-3.0046390000000001</v>
      </c>
      <c r="V1175">
        <v>0.39762789999999998</v>
      </c>
      <c r="W1175">
        <v>-0.12678879999999901</v>
      </c>
      <c r="X1175">
        <v>0.90874460000000001</v>
      </c>
      <c r="Y1175">
        <v>0.41745460000000001</v>
      </c>
      <c r="Z1175">
        <v>3.7619989999999999E-2</v>
      </c>
      <c r="AA1175">
        <v>0.90791880000000003</v>
      </c>
      <c r="AB1175">
        <v>21</v>
      </c>
      <c r="AC1175">
        <v>-3.5200000000003201E-2</v>
      </c>
      <c r="AD1175">
        <v>-1.1126832506819999</v>
      </c>
      <c r="AE1175">
        <v>-20.5047</v>
      </c>
      <c r="AF1175">
        <v>8.6064444278332601</v>
      </c>
      <c r="AG1175">
        <v>-1.1126832506819999</v>
      </c>
      <c r="AH1175">
        <v>18.544752402032501</v>
      </c>
      <c r="AI1175">
        <v>93.115220883237399</v>
      </c>
      <c r="AJ1175">
        <v>65.104430776057697</v>
      </c>
      <c r="AK1175">
        <v>20.474784281120499</v>
      </c>
      <c r="AL1175">
        <v>97.284068131819097</v>
      </c>
      <c r="AM1175">
        <v>66.3678632041144</v>
      </c>
      <c r="AN1175">
        <v>1.0000000473465001</v>
      </c>
    </row>
    <row r="1176" spans="1:40" x14ac:dyDescent="0.25">
      <c r="A1176" t="str">
        <f>"20190303154442984"</f>
        <v>20190303154442984</v>
      </c>
      <c r="B1176" t="str">
        <f>"1551599082981536"</f>
        <v>1551599082981536</v>
      </c>
      <c r="C1176" t="s">
        <v>40</v>
      </c>
      <c r="D1176">
        <v>5.2316560000000001</v>
      </c>
      <c r="E1176">
        <v>0.50431959999999998</v>
      </c>
      <c r="F1176" t="s">
        <v>41</v>
      </c>
      <c r="G1176">
        <v>-192.34100000000001</v>
      </c>
      <c r="H1176" s="1">
        <v>-2.4794910000000001E-6</v>
      </c>
      <c r="I1176">
        <v>333.91699999999997</v>
      </c>
      <c r="J1176">
        <v>-192.34180000000001</v>
      </c>
      <c r="K1176">
        <v>1.11267</v>
      </c>
      <c r="L1176">
        <v>355.93699999999899</v>
      </c>
      <c r="M1176">
        <v>0.4078909</v>
      </c>
      <c r="N1176">
        <v>-6.189745E-3</v>
      </c>
      <c r="O1176">
        <v>-0.91300979999999998</v>
      </c>
      <c r="P1176">
        <v>1.1742529999999999E-2</v>
      </c>
      <c r="Q1176">
        <v>-0.1235656</v>
      </c>
      <c r="R1176">
        <v>-0.99226749999999997</v>
      </c>
      <c r="S1176">
        <v>1.107788E-2</v>
      </c>
      <c r="T1176">
        <v>-0.1504211</v>
      </c>
      <c r="U1176">
        <v>-3.005188</v>
      </c>
      <c r="V1176">
        <v>0.39192779999999999</v>
      </c>
      <c r="W1176">
        <v>-0.1247127</v>
      </c>
      <c r="X1176">
        <v>0.91150390000000003</v>
      </c>
      <c r="Y1176">
        <v>0.40443669999999998</v>
      </c>
      <c r="Z1176">
        <v>3.5160089999999998E-2</v>
      </c>
      <c r="AA1176">
        <v>0.91388990000000003</v>
      </c>
      <c r="AB1176">
        <v>22</v>
      </c>
      <c r="AC1176">
        <v>8.0000000002655703E-4</v>
      </c>
      <c r="AD1176">
        <v>-1.1126724794909999</v>
      </c>
      <c r="AE1176">
        <v>-22.0199999999999</v>
      </c>
      <c r="AF1176">
        <v>8.9583251902017391</v>
      </c>
      <c r="AG1176">
        <v>-1.1126724794909999</v>
      </c>
      <c r="AH1176">
        <v>20.0539816838345</v>
      </c>
      <c r="AI1176">
        <v>92.900073643199505</v>
      </c>
      <c r="AJ1176">
        <v>65.929180597557504</v>
      </c>
      <c r="AK1176">
        <v>21.992085204354499</v>
      </c>
      <c r="AL1176">
        <v>97.1641648136615</v>
      </c>
      <c r="AM1176">
        <v>66.733296615432707</v>
      </c>
      <c r="AN1176">
        <v>1.0000000088346599</v>
      </c>
    </row>
    <row r="1177" spans="1:40" x14ac:dyDescent="0.25">
      <c r="A1177" t="str">
        <f>"20190303154443007"</f>
        <v>20190303154443007</v>
      </c>
      <c r="B1177" t="str">
        <f>"1551599083002031"</f>
        <v>1551599083002031</v>
      </c>
      <c r="C1177" t="s">
        <v>40</v>
      </c>
      <c r="D1177">
        <v>5.2371410000000003</v>
      </c>
      <c r="E1177">
        <v>0.50342790000000004</v>
      </c>
      <c r="F1177" t="s">
        <v>41</v>
      </c>
      <c r="G1177">
        <v>-192.28700000000001</v>
      </c>
      <c r="H1177" s="1">
        <v>-1.865932E-6</v>
      </c>
      <c r="I1177">
        <v>332.52019999999999</v>
      </c>
      <c r="J1177">
        <v>-192.2595</v>
      </c>
      <c r="K1177">
        <v>1.1126400000000001</v>
      </c>
      <c r="L1177">
        <v>355.71620000000001</v>
      </c>
      <c r="M1177">
        <v>0.39583230000000003</v>
      </c>
      <c r="N1177">
        <v>-6.1802480000000002E-3</v>
      </c>
      <c r="O1177">
        <v>-0.91830210000000001</v>
      </c>
      <c r="P1177">
        <v>5.998247E-3</v>
      </c>
      <c r="Q1177">
        <v>-0.121284</v>
      </c>
      <c r="R1177">
        <v>-0.99259980000000003</v>
      </c>
      <c r="S1177">
        <v>7.0343019999999897E-3</v>
      </c>
      <c r="T1177">
        <v>-0.1428101</v>
      </c>
      <c r="U1177">
        <v>-3.0055239999999999</v>
      </c>
      <c r="V1177">
        <v>0.38533659999999997</v>
      </c>
      <c r="W1177">
        <v>-0.1223409</v>
      </c>
      <c r="X1177">
        <v>0.91463019999999995</v>
      </c>
      <c r="Y1177">
        <v>0.39360440000000002</v>
      </c>
      <c r="Z1177">
        <v>3.356348E-2</v>
      </c>
      <c r="AA1177">
        <v>0.91866700000000001</v>
      </c>
      <c r="AB1177">
        <v>22</v>
      </c>
      <c r="AC1177">
        <v>-2.75000000000034E-2</v>
      </c>
      <c r="AD1177">
        <v>-1.1126418659319901</v>
      </c>
      <c r="AE1177">
        <v>-23.196000000000002</v>
      </c>
      <c r="AF1177">
        <v>9.1860190344633406</v>
      </c>
      <c r="AG1177">
        <v>-1.1126418659319901</v>
      </c>
      <c r="AH1177">
        <v>21.2415819006901</v>
      </c>
      <c r="AI1177">
        <v>92.752507015491105</v>
      </c>
      <c r="AJ1177">
        <v>66.613710683428494</v>
      </c>
      <c r="AK1177">
        <v>23.1694997629874</v>
      </c>
      <c r="AL1177">
        <v>97.027221921377603</v>
      </c>
      <c r="AM1177">
        <v>67.154153924039406</v>
      </c>
      <c r="AN1177">
        <v>0.99999999693220398</v>
      </c>
    </row>
    <row r="1178" spans="1:40" x14ac:dyDescent="0.25">
      <c r="A1178" t="str">
        <f>"20190303154443029"</f>
        <v>20190303154443029</v>
      </c>
      <c r="B1178" t="str">
        <f>"1551599083021551"</f>
        <v>1551599083021551</v>
      </c>
      <c r="C1178" t="s">
        <v>40</v>
      </c>
      <c r="D1178">
        <v>5.22715</v>
      </c>
      <c r="E1178">
        <v>0.50253420000000004</v>
      </c>
      <c r="F1178" t="s">
        <v>41</v>
      </c>
      <c r="G1178">
        <v>-192.28579999999999</v>
      </c>
      <c r="H1178" s="1">
        <v>-1.051882E-6</v>
      </c>
      <c r="I1178">
        <v>330.6234</v>
      </c>
      <c r="J1178">
        <v>-192.18780000000001</v>
      </c>
      <c r="K1178">
        <v>1.1125910000000001</v>
      </c>
      <c r="L1178">
        <v>355.517</v>
      </c>
      <c r="M1178">
        <v>0.3850035</v>
      </c>
      <c r="N1178">
        <v>-6.1748250000000001E-3</v>
      </c>
      <c r="O1178">
        <v>-0.9228944</v>
      </c>
      <c r="P1178">
        <v>2.731982E-3</v>
      </c>
      <c r="Q1178">
        <v>-0.120820899999999</v>
      </c>
      <c r="R1178">
        <v>-0.99267090000000002</v>
      </c>
      <c r="S1178">
        <v>-3.158569E-3</v>
      </c>
      <c r="T1178">
        <v>-0.13329349999999901</v>
      </c>
      <c r="U1178">
        <v>-3.0061040000000001</v>
      </c>
      <c r="V1178">
        <v>0.3775984</v>
      </c>
      <c r="W1178">
        <v>-0.12176869999999999</v>
      </c>
      <c r="X1178">
        <v>0.91792799999999997</v>
      </c>
      <c r="Y1178">
        <v>0.38590229999999998</v>
      </c>
      <c r="Z1178">
        <v>3.1289989999999997E-2</v>
      </c>
      <c r="AA1178">
        <v>0.92200890000000002</v>
      </c>
      <c r="AB1178">
        <v>22</v>
      </c>
      <c r="AC1178">
        <v>-9.7999999999984697E-2</v>
      </c>
      <c r="AD1178">
        <v>-1.1125920518819901</v>
      </c>
      <c r="AE1178">
        <v>-24.8935999999999</v>
      </c>
      <c r="AF1178">
        <v>9.6554647973943606</v>
      </c>
      <c r="AG1178">
        <v>-1.1125920518819901</v>
      </c>
      <c r="AH1178">
        <v>22.8911467730296</v>
      </c>
      <c r="AI1178">
        <v>92.564153871693804</v>
      </c>
      <c r="AJ1178">
        <v>67.130027272663398</v>
      </c>
      <c r="AK1178">
        <v>24.8690663699306</v>
      </c>
      <c r="AL1178">
        <v>96.994190355022198</v>
      </c>
      <c r="AM1178">
        <v>67.639718814621503</v>
      </c>
      <c r="AN1178">
        <v>0.99999999058312405</v>
      </c>
    </row>
    <row r="1179" spans="1:40" x14ac:dyDescent="0.25">
      <c r="A1179" t="str">
        <f>"20190303154443051"</f>
        <v>20190303154443051</v>
      </c>
      <c r="B1179" t="str">
        <f>"1551599083041512"</f>
        <v>1551599083041512</v>
      </c>
      <c r="C1179" t="s">
        <v>40</v>
      </c>
      <c r="D1179">
        <v>5.2321330000000001</v>
      </c>
      <c r="E1179">
        <v>0.50190159999999995</v>
      </c>
      <c r="F1179" t="s">
        <v>41</v>
      </c>
      <c r="G1179">
        <v>-192.24170000000001</v>
      </c>
      <c r="H1179" s="1">
        <v>-9.3893459999999996E-7</v>
      </c>
      <c r="I1179">
        <v>330.38749999999999</v>
      </c>
      <c r="J1179">
        <v>-192.11600000000001</v>
      </c>
      <c r="K1179">
        <v>1.112533</v>
      </c>
      <c r="L1179">
        <v>355.3098</v>
      </c>
      <c r="M1179">
        <v>0.37377359999999998</v>
      </c>
      <c r="N1179">
        <v>-6.1717079999999997E-3</v>
      </c>
      <c r="O1179">
        <v>-0.92749970000000004</v>
      </c>
      <c r="P1179">
        <v>-7.3926030000000004E-4</v>
      </c>
      <c r="Q1179">
        <v>-0.1209798</v>
      </c>
      <c r="R1179">
        <v>-0.99265490000000001</v>
      </c>
      <c r="S1179">
        <v>-6.4392090000000004E-3</v>
      </c>
      <c r="T1179">
        <v>-0.1330848</v>
      </c>
      <c r="U1179">
        <v>-3.0059200000000001</v>
      </c>
      <c r="V1179">
        <v>0.36963449999999998</v>
      </c>
      <c r="W1179">
        <v>-0.12182</v>
      </c>
      <c r="X1179">
        <v>0.921157</v>
      </c>
      <c r="Y1179">
        <v>0.37569130000000001</v>
      </c>
      <c r="Z1179">
        <v>3.1633639999999998E-2</v>
      </c>
      <c r="AA1179">
        <v>0.9262049</v>
      </c>
      <c r="AB1179">
        <v>22</v>
      </c>
      <c r="AC1179">
        <v>-0.12570000000002299</v>
      </c>
      <c r="AD1179">
        <v>-1.1125339389346001</v>
      </c>
      <c r="AE1179">
        <v>-24.9223</v>
      </c>
      <c r="AF1179">
        <v>9.4133040638625598</v>
      </c>
      <c r="AG1179">
        <v>-1.1125339389346001</v>
      </c>
      <c r="AH1179">
        <v>23.0229985119045</v>
      </c>
      <c r="AI1179">
        <v>92.561046350611406</v>
      </c>
      <c r="AJ1179">
        <v>67.762052903177505</v>
      </c>
      <c r="AK1179">
        <v>24.897921311691299</v>
      </c>
      <c r="AL1179">
        <v>96.9971516271345</v>
      </c>
      <c r="AM1179">
        <v>68.135790925494405</v>
      </c>
      <c r="AN1179">
        <v>0.99999999731962497</v>
      </c>
    </row>
    <row r="1180" spans="1:40" x14ac:dyDescent="0.25">
      <c r="A1180" t="str">
        <f>"20190303154443073"</f>
        <v>20190303154443073</v>
      </c>
      <c r="B1180" t="str">
        <f>"1551599083062009"</f>
        <v>1551599083062009</v>
      </c>
      <c r="C1180" t="s">
        <v>40</v>
      </c>
      <c r="D1180">
        <v>5.229508</v>
      </c>
      <c r="E1180">
        <v>0.50140109999999904</v>
      </c>
      <c r="F1180" t="s">
        <v>41</v>
      </c>
      <c r="G1180">
        <v>-192.2174</v>
      </c>
      <c r="H1180" s="1">
        <v>-9.3917910000000004E-7</v>
      </c>
      <c r="I1180">
        <v>330.40309999999999</v>
      </c>
      <c r="J1180">
        <v>-192.04349999999999</v>
      </c>
      <c r="K1180">
        <v>1.112473</v>
      </c>
      <c r="L1180">
        <v>355.0924</v>
      </c>
      <c r="M1180">
        <v>0.36203410000000003</v>
      </c>
      <c r="N1180">
        <v>-6.1700110000000004E-3</v>
      </c>
      <c r="O1180">
        <v>-0.93214450000000004</v>
      </c>
      <c r="P1180">
        <v>-4.0623129999999997E-3</v>
      </c>
      <c r="Q1180">
        <v>-0.12191680000000001</v>
      </c>
      <c r="R1180">
        <v>-0.99253199999999997</v>
      </c>
      <c r="S1180">
        <v>-1.223755E-2</v>
      </c>
      <c r="T1180">
        <v>-0.1342661</v>
      </c>
      <c r="U1180">
        <v>-3.0058590000000001</v>
      </c>
      <c r="V1180">
        <v>0.36100480000000001</v>
      </c>
      <c r="W1180">
        <v>-0.12263979999999999</v>
      </c>
      <c r="X1180">
        <v>0.92446470000000003</v>
      </c>
      <c r="Y1180">
        <v>0.3657588</v>
      </c>
      <c r="Z1180">
        <v>3.2367680000000003E-2</v>
      </c>
      <c r="AA1180">
        <v>0.93014669999999999</v>
      </c>
      <c r="AB1180">
        <v>22</v>
      </c>
      <c r="AC1180">
        <v>-0.173900000000003</v>
      </c>
      <c r="AD1180">
        <v>-1.1124739391791001</v>
      </c>
      <c r="AE1180">
        <v>-24.689299999999999</v>
      </c>
      <c r="AF1180">
        <v>9.08220231929017</v>
      </c>
      <c r="AG1180">
        <v>-1.1124739391791001</v>
      </c>
      <c r="AH1180">
        <v>22.904971023663698</v>
      </c>
      <c r="AI1180">
        <v>92.585109277645302</v>
      </c>
      <c r="AJ1180">
        <v>68.3708498383901</v>
      </c>
      <c r="AK1180">
        <v>24.6649892525569</v>
      </c>
      <c r="AL1180">
        <v>97.0444776627088</v>
      </c>
      <c r="AM1180">
        <v>68.669283017155607</v>
      </c>
      <c r="AN1180">
        <v>0.99999998385658495</v>
      </c>
    </row>
    <row r="1181" spans="1:40" x14ac:dyDescent="0.25">
      <c r="A1181" t="str">
        <f>"20190303154443097"</f>
        <v>20190303154443097</v>
      </c>
      <c r="B1181" t="str">
        <f>"1551599083091290"</f>
        <v>1551599083091290</v>
      </c>
      <c r="C1181" t="s">
        <v>40</v>
      </c>
      <c r="D1181">
        <v>5.2407320000000004</v>
      </c>
      <c r="E1181">
        <v>0.50075590000000003</v>
      </c>
      <c r="F1181" t="s">
        <v>41</v>
      </c>
      <c r="G1181">
        <v>-192.1917</v>
      </c>
      <c r="H1181" s="1">
        <v>-1.1865650000000001E-6</v>
      </c>
      <c r="I1181">
        <v>330.9957</v>
      </c>
      <c r="J1181">
        <v>-191.9709</v>
      </c>
      <c r="K1181">
        <v>1.1124000000000001</v>
      </c>
      <c r="L1181">
        <v>354.86520000000002</v>
      </c>
      <c r="M1181">
        <v>0.349798</v>
      </c>
      <c r="N1181">
        <v>-6.1722849999999996E-3</v>
      </c>
      <c r="O1181">
        <v>-0.93680490000000005</v>
      </c>
      <c r="P1181">
        <v>-7.0305999999999997E-3</v>
      </c>
      <c r="Q1181">
        <v>-0.1230691</v>
      </c>
      <c r="R1181">
        <v>-0.99237359999999997</v>
      </c>
      <c r="S1181">
        <v>-1.8478390000000001E-2</v>
      </c>
      <c r="T1181">
        <v>-0.13875599999999999</v>
      </c>
      <c r="U1181">
        <v>-3.0055239999999999</v>
      </c>
      <c r="V1181">
        <v>0.3515665</v>
      </c>
      <c r="W1181">
        <v>-0.1236555</v>
      </c>
      <c r="X1181">
        <v>0.92796029999999996</v>
      </c>
      <c r="Y1181">
        <v>0.35548229999999997</v>
      </c>
      <c r="Z1181">
        <v>3.4067449999999999E-2</v>
      </c>
      <c r="AA1181">
        <v>0.93406199999999995</v>
      </c>
      <c r="AB1181">
        <v>22</v>
      </c>
      <c r="AC1181">
        <v>-0.220799999999996</v>
      </c>
      <c r="AD1181">
        <v>-1.1124011865649901</v>
      </c>
      <c r="AE1181">
        <v>-23.869499999999999</v>
      </c>
      <c r="AF1181">
        <v>8.5379703170243992</v>
      </c>
      <c r="AG1181">
        <v>-1.1124011865649901</v>
      </c>
      <c r="AH1181">
        <v>22.235962126311499</v>
      </c>
      <c r="AI1181">
        <v>92.673922728777796</v>
      </c>
      <c r="AJ1181">
        <v>68.994645828917598</v>
      </c>
      <c r="AK1181">
        <v>23.844755926975299</v>
      </c>
      <c r="AL1181">
        <v>97.103119215966601</v>
      </c>
      <c r="AM1181">
        <v>69.2503351866104</v>
      </c>
      <c r="AN1181">
        <v>1.0000000024892901</v>
      </c>
    </row>
    <row r="1182" spans="1:40" x14ac:dyDescent="0.25">
      <c r="A1182" t="str">
        <f>"20190303154443122"</f>
        <v>20190303154443122</v>
      </c>
      <c r="B1182" t="str">
        <f>"1551599083111785"</f>
        <v>1551599083111785</v>
      </c>
      <c r="C1182" t="s">
        <v>40</v>
      </c>
      <c r="D1182">
        <v>5.2409619999999997</v>
      </c>
      <c r="E1182">
        <v>0.50035739999999995</v>
      </c>
      <c r="F1182" t="s">
        <v>41</v>
      </c>
      <c r="G1182">
        <v>-192.14240000000001</v>
      </c>
      <c r="H1182" s="1">
        <v>-1.5528120000000001E-6</v>
      </c>
      <c r="I1182">
        <v>331.88</v>
      </c>
      <c r="J1182">
        <v>-191.8954</v>
      </c>
      <c r="K1182">
        <v>1.112323</v>
      </c>
      <c r="L1182">
        <v>354.61829999999998</v>
      </c>
      <c r="M1182">
        <v>0.33653929999999999</v>
      </c>
      <c r="N1182">
        <v>-6.181438E-3</v>
      </c>
      <c r="O1182">
        <v>-0.94164919999999996</v>
      </c>
      <c r="P1182">
        <v>-9.6301189999999995E-3</v>
      </c>
      <c r="Q1182">
        <v>-0.12555379999999999</v>
      </c>
      <c r="R1182">
        <v>-0.99204029999999999</v>
      </c>
      <c r="S1182">
        <v>-2.241516E-2</v>
      </c>
      <c r="T1182">
        <v>-0.1454241</v>
      </c>
      <c r="U1182">
        <v>-3.0048520000000001</v>
      </c>
      <c r="V1182">
        <v>0.34071620000000002</v>
      </c>
      <c r="W1182">
        <v>-0.12596940000000001</v>
      </c>
      <c r="X1182">
        <v>0.93168879999999998</v>
      </c>
      <c r="Y1182">
        <v>0.3434836</v>
      </c>
      <c r="Z1182">
        <v>3.6455729999999999E-2</v>
      </c>
      <c r="AA1182">
        <v>0.93845089999999998</v>
      </c>
      <c r="AB1182">
        <v>22</v>
      </c>
      <c r="AC1182">
        <v>-0.24700000000001399</v>
      </c>
      <c r="AD1182">
        <v>-1.112324552812</v>
      </c>
      <c r="AE1182">
        <v>-22.738299999999899</v>
      </c>
      <c r="AF1182">
        <v>7.8662471676142403</v>
      </c>
      <c r="AG1182">
        <v>-1.112324552812</v>
      </c>
      <c r="AH1182">
        <v>21.277870492361998</v>
      </c>
      <c r="AI1182">
        <v>92.807118674031599</v>
      </c>
      <c r="AJ1182">
        <v>69.711076808828494</v>
      </c>
      <c r="AK1182">
        <v>22.7126150652565</v>
      </c>
      <c r="AL1182">
        <v>97.236741429959693</v>
      </c>
      <c r="AM1182">
        <v>69.912663748725805</v>
      </c>
      <c r="AN1182">
        <v>0.99999991936211596</v>
      </c>
    </row>
    <row r="1183" spans="1:40" x14ac:dyDescent="0.25">
      <c r="A1183" t="str">
        <f>"20190303154443147"</f>
        <v>20190303154443147</v>
      </c>
      <c r="B1183" t="str">
        <f>"1551599083141570"</f>
        <v>1551599083141570</v>
      </c>
      <c r="C1183" t="s">
        <v>40</v>
      </c>
      <c r="D1183">
        <v>5.2366089999999996</v>
      </c>
      <c r="E1183">
        <v>0.49983169999999999</v>
      </c>
      <c r="F1183" t="s">
        <v>41</v>
      </c>
      <c r="G1183">
        <v>-192.09100000000001</v>
      </c>
      <c r="H1183" s="1">
        <v>-2.0215649999999999E-6</v>
      </c>
      <c r="I1183">
        <v>333.00459999999998</v>
      </c>
      <c r="J1183">
        <v>-191.82599999999999</v>
      </c>
      <c r="K1183">
        <v>1.11225</v>
      </c>
      <c r="L1183">
        <v>354.37860000000001</v>
      </c>
      <c r="M1183">
        <v>0.32371030000000001</v>
      </c>
      <c r="N1183">
        <v>-6.1939739999999997E-3</v>
      </c>
      <c r="O1183">
        <v>-0.94613610000000004</v>
      </c>
      <c r="P1183">
        <v>-9.9124179999999992E-3</v>
      </c>
      <c r="Q1183">
        <v>-0.1284941</v>
      </c>
      <c r="R1183">
        <v>-0.99166080000000001</v>
      </c>
      <c r="S1183">
        <v>-2.7175899999999999E-2</v>
      </c>
      <c r="T1183">
        <v>-0.15460779999999999</v>
      </c>
      <c r="U1183">
        <v>-3.0042110000000002</v>
      </c>
      <c r="V1183">
        <v>0.32810790000000001</v>
      </c>
      <c r="W1183">
        <v>-0.12869249999999999</v>
      </c>
      <c r="X1183">
        <v>0.93583300000000003</v>
      </c>
      <c r="Y1183">
        <v>0.332181</v>
      </c>
      <c r="Z1183">
        <v>3.9587980000000002E-2</v>
      </c>
      <c r="AA1183">
        <v>0.94238449999999996</v>
      </c>
      <c r="AB1183">
        <v>22</v>
      </c>
      <c r="AC1183">
        <v>-0.26499999999998602</v>
      </c>
      <c r="AD1183">
        <v>-1.112252021565</v>
      </c>
      <c r="AE1183">
        <v>-21.373999999999999</v>
      </c>
      <c r="AF1183">
        <v>7.1504867601336697</v>
      </c>
      <c r="AG1183">
        <v>-1.112252021565</v>
      </c>
      <c r="AH1183">
        <v>20.082939107462</v>
      </c>
      <c r="AI1183">
        <v>92.986670451108594</v>
      </c>
      <c r="AJ1183">
        <v>70.401838656933606</v>
      </c>
      <c r="AK1183">
        <v>21.346920355413101</v>
      </c>
      <c r="AL1183">
        <v>97.394043587832797</v>
      </c>
      <c r="AM1183">
        <v>70.679069261449499</v>
      </c>
      <c r="AN1183">
        <v>0.99999997874382895</v>
      </c>
    </row>
    <row r="1184" spans="1:40" x14ac:dyDescent="0.25">
      <c r="A1184" t="str">
        <f>"20190303154443166"</f>
        <v>20190303154443166</v>
      </c>
      <c r="B1184" t="str">
        <f>"1551599083162068"</f>
        <v>1551599083162068</v>
      </c>
      <c r="C1184" t="s">
        <v>40</v>
      </c>
      <c r="D1184">
        <v>5.2335750000000001</v>
      </c>
      <c r="E1184">
        <v>0.49964340000000002</v>
      </c>
      <c r="F1184" t="s">
        <v>41</v>
      </c>
      <c r="G1184">
        <v>-191.99209999999999</v>
      </c>
      <c r="H1184" s="1">
        <v>-2.5004529999999998E-6</v>
      </c>
      <c r="I1184">
        <v>334.18220000000002</v>
      </c>
      <c r="J1184">
        <v>-191.7681</v>
      </c>
      <c r="K1184">
        <v>1.112201</v>
      </c>
      <c r="L1184">
        <v>354.16919999999999</v>
      </c>
      <c r="M1184">
        <v>0.31253059999999899</v>
      </c>
      <c r="N1184">
        <v>-6.2052820000000003E-3</v>
      </c>
      <c r="O1184">
        <v>-0.9498875</v>
      </c>
      <c r="P1184">
        <v>-5.65096E-3</v>
      </c>
      <c r="Q1184">
        <v>-0.12872919999999999</v>
      </c>
      <c r="R1184">
        <v>-0.99166379999999998</v>
      </c>
      <c r="S1184">
        <v>-2.4688720000000001E-2</v>
      </c>
      <c r="T1184">
        <v>-0.1654108</v>
      </c>
      <c r="U1184">
        <v>-3.0035400000000001</v>
      </c>
      <c r="V1184">
        <v>0.31299470000000001</v>
      </c>
      <c r="W1184">
        <v>-0.12864829999999999</v>
      </c>
      <c r="X1184">
        <v>0.94100159999999999</v>
      </c>
      <c r="Y1184">
        <v>0.3202507</v>
      </c>
      <c r="Z1184">
        <v>4.3202940000000002E-2</v>
      </c>
      <c r="AA1184">
        <v>0.94634720000000006</v>
      </c>
      <c r="AB1184">
        <v>23</v>
      </c>
      <c r="AC1184">
        <v>-0.22399999999998901</v>
      </c>
      <c r="AD1184">
        <v>-1.112203500453</v>
      </c>
      <c r="AE1184">
        <v>-19.986999999999899</v>
      </c>
      <c r="AF1184">
        <v>6.4395102595612599</v>
      </c>
      <c r="AG1184">
        <v>-1.112203500453</v>
      </c>
      <c r="AH1184">
        <v>18.8573726115551</v>
      </c>
      <c r="AI1184">
        <v>93.1946565575264</v>
      </c>
      <c r="AJ1184">
        <v>71.145732620627996</v>
      </c>
      <c r="AK1184">
        <v>19.957574773013999</v>
      </c>
      <c r="AL1184">
        <v>97.391489436646594</v>
      </c>
      <c r="AM1184">
        <v>71.601911584492001</v>
      </c>
      <c r="AN1184">
        <v>1.0000000392617601</v>
      </c>
    </row>
    <row r="1185" spans="1:40" x14ac:dyDescent="0.25">
      <c r="A1185" t="str">
        <f>"20190303154443185"</f>
        <v>20190303154443185</v>
      </c>
      <c r="B1185" t="str">
        <f>"1551599083181587"</f>
        <v>1551599083181587</v>
      </c>
      <c r="C1185" t="s">
        <v>40</v>
      </c>
      <c r="D1185">
        <v>5.2055439999999997</v>
      </c>
      <c r="E1185">
        <v>0.49947859999999999</v>
      </c>
      <c r="F1185" t="s">
        <v>41</v>
      </c>
      <c r="G1185">
        <v>-191.8434</v>
      </c>
      <c r="H1185" s="1">
        <v>-2.4192360000000002E-6</v>
      </c>
      <c r="I1185">
        <v>334.08510000000001</v>
      </c>
      <c r="J1185">
        <v>-191.71950000000001</v>
      </c>
      <c r="K1185">
        <v>1.1121799999999999</v>
      </c>
      <c r="L1185">
        <v>353.9864</v>
      </c>
      <c r="M1185">
        <v>0.30279919999999999</v>
      </c>
      <c r="N1185">
        <v>-6.2146739999999999E-3</v>
      </c>
      <c r="O1185">
        <v>-0.9530343</v>
      </c>
      <c r="P1185">
        <v>8.1604360000000001E-4</v>
      </c>
      <c r="Q1185">
        <v>-0.12644439999999901</v>
      </c>
      <c r="R1185">
        <v>-0.99197360000000001</v>
      </c>
      <c r="S1185">
        <v>-1.126099E-2</v>
      </c>
      <c r="T1185">
        <v>-0.1663299</v>
      </c>
      <c r="U1185">
        <v>-3.003571</v>
      </c>
      <c r="V1185">
        <v>0.29732550000000002</v>
      </c>
      <c r="W1185">
        <v>-0.12606239999999999</v>
      </c>
      <c r="X1185">
        <v>0.94641739999999996</v>
      </c>
      <c r="Y1185">
        <v>0.30630099999999999</v>
      </c>
      <c r="Z1185">
        <v>4.3861270000000001E-2</v>
      </c>
      <c r="AA1185">
        <v>0.95092370000000004</v>
      </c>
      <c r="AB1185">
        <v>23</v>
      </c>
      <c r="AC1185">
        <v>-0.123899999999991</v>
      </c>
      <c r="AD1185">
        <v>-1.1121824192359999</v>
      </c>
      <c r="AE1185">
        <v>-19.9012999999999</v>
      </c>
      <c r="AF1185">
        <v>6.1251673207092301</v>
      </c>
      <c r="AG1185">
        <v>-1.1121824192359999</v>
      </c>
      <c r="AH1185">
        <v>18.870534164359199</v>
      </c>
      <c r="AI1185">
        <v>93.208548982234802</v>
      </c>
      <c r="AJ1185">
        <v>72.017141193295402</v>
      </c>
      <c r="AK1185">
        <v>19.870875272332299</v>
      </c>
      <c r="AL1185">
        <v>97.242111890698595</v>
      </c>
      <c r="AM1185">
        <v>72.559421770285496</v>
      </c>
      <c r="AN1185">
        <v>1.00000003833338</v>
      </c>
    </row>
    <row r="1186" spans="1:40" x14ac:dyDescent="0.25">
      <c r="A1186" t="str">
        <f>"20190303154443206"</f>
        <v>20190303154443206</v>
      </c>
      <c r="B1186" t="str">
        <f>"1551599083202083"</f>
        <v>1551599083202083</v>
      </c>
      <c r="C1186" t="s">
        <v>40</v>
      </c>
      <c r="D1186">
        <v>5.2510830000000004</v>
      </c>
      <c r="E1186">
        <v>0.49948150000000002</v>
      </c>
      <c r="F1186" t="s">
        <v>41</v>
      </c>
      <c r="G1186">
        <v>-191.65299999999999</v>
      </c>
      <c r="H1186" s="1">
        <v>-1.919284E-6</v>
      </c>
      <c r="I1186">
        <v>333.0378</v>
      </c>
      <c r="J1186">
        <v>-191.6628</v>
      </c>
      <c r="K1186">
        <v>1.1121540000000001</v>
      </c>
      <c r="L1186">
        <v>353.76280000000003</v>
      </c>
      <c r="M1186">
        <v>0.29095520000000002</v>
      </c>
      <c r="N1186">
        <v>-6.2240230000000004E-3</v>
      </c>
      <c r="O1186">
        <v>-0.95671669999999998</v>
      </c>
      <c r="P1186">
        <v>4.4875280000000002E-3</v>
      </c>
      <c r="Q1186">
        <v>-0.1245757</v>
      </c>
      <c r="R1186">
        <v>-0.99220030000000004</v>
      </c>
      <c r="S1186">
        <v>9.5367430000000003E-3</v>
      </c>
      <c r="T1186">
        <v>-0.159483399999999</v>
      </c>
      <c r="U1186">
        <v>-3.0039669999999998</v>
      </c>
      <c r="V1186">
        <v>0.28215319999999999</v>
      </c>
      <c r="W1186">
        <v>-0.1239001</v>
      </c>
      <c r="X1186">
        <v>0.95133500000000004</v>
      </c>
      <c r="Y1186">
        <v>0.28786200000000001</v>
      </c>
      <c r="Z1186">
        <v>4.2242309999999998E-2</v>
      </c>
      <c r="AA1186">
        <v>0.95673980000000003</v>
      </c>
      <c r="AB1186">
        <v>23</v>
      </c>
      <c r="AC1186">
        <v>9.8000000000126805E-3</v>
      </c>
      <c r="AD1186">
        <v>-1.112155919284</v>
      </c>
      <c r="AE1186">
        <v>-20.725000000000001</v>
      </c>
      <c r="AF1186">
        <v>6.0034977066803998</v>
      </c>
      <c r="AG1186">
        <v>-1.112155919284</v>
      </c>
      <c r="AH1186">
        <v>19.774240803794399</v>
      </c>
      <c r="AI1186">
        <v>93.080518312000507</v>
      </c>
      <c r="AJ1186">
        <v>73.111608657317007</v>
      </c>
      <c r="AK1186">
        <v>20.695397432022499</v>
      </c>
      <c r="AL1186">
        <v>97.117242584831004</v>
      </c>
      <c r="AM1186">
        <v>73.480349776565106</v>
      </c>
      <c r="AN1186">
        <v>0.99999997263762397</v>
      </c>
    </row>
    <row r="1187" spans="1:40" x14ac:dyDescent="0.25">
      <c r="A1187" t="str">
        <f>"20190303154443230"</f>
        <v>20190303154443230</v>
      </c>
      <c r="B1187" t="str">
        <f>"1551599083221602"</f>
        <v>1551599083221602</v>
      </c>
      <c r="C1187" t="s">
        <v>40</v>
      </c>
      <c r="D1187">
        <v>5.2408130000000002</v>
      </c>
      <c r="E1187">
        <v>0.49953110000000001</v>
      </c>
      <c r="F1187" t="s">
        <v>41</v>
      </c>
      <c r="G1187">
        <v>-191.51310000000001</v>
      </c>
      <c r="H1187" s="1">
        <v>-1.489358E-6</v>
      </c>
      <c r="I1187">
        <v>332.12240000000003</v>
      </c>
      <c r="J1187">
        <v>-191.60570000000001</v>
      </c>
      <c r="K1187">
        <v>1.112134</v>
      </c>
      <c r="L1187">
        <v>353.52530000000002</v>
      </c>
      <c r="M1187">
        <v>0.2784703</v>
      </c>
      <c r="N1187">
        <v>-6.2301350000000004E-3</v>
      </c>
      <c r="O1187">
        <v>-0.96042470000000002</v>
      </c>
      <c r="P1187">
        <v>5.8300499999999998E-3</v>
      </c>
      <c r="Q1187">
        <v>-0.1248001</v>
      </c>
      <c r="R1187">
        <v>-0.99216499999999996</v>
      </c>
      <c r="S1187">
        <v>2.0782470000000001E-2</v>
      </c>
      <c r="T1187">
        <v>-0.15438969999999999</v>
      </c>
      <c r="U1187">
        <v>-3.0041199999999999</v>
      </c>
      <c r="V1187">
        <v>0.26844190000000001</v>
      </c>
      <c r="W1187">
        <v>-0.1238544</v>
      </c>
      <c r="X1187">
        <v>0.9553005</v>
      </c>
      <c r="Y1187">
        <v>0.27177430000000002</v>
      </c>
      <c r="Z1187">
        <v>4.1098660000000002E-2</v>
      </c>
      <c r="AA1187">
        <v>0.96148310000000003</v>
      </c>
      <c r="AB1187">
        <v>23</v>
      </c>
      <c r="AC1187">
        <v>9.2600000000004401E-2</v>
      </c>
      <c r="AD1187">
        <v>-1.112135489358</v>
      </c>
      <c r="AE1187">
        <v>-21.402899999999899</v>
      </c>
      <c r="AF1187">
        <v>5.8554406038445501</v>
      </c>
      <c r="AG1187">
        <v>-1.112135489358</v>
      </c>
      <c r="AH1187">
        <v>20.526636604029299</v>
      </c>
      <c r="AI1187">
        <v>92.982511589257797</v>
      </c>
      <c r="AJ1187">
        <v>74.0786396027286</v>
      </c>
      <c r="AK1187">
        <v>21.3744202327388</v>
      </c>
      <c r="AL1187">
        <v>97.114603606501504</v>
      </c>
      <c r="AM1187">
        <v>74.304500272778995</v>
      </c>
      <c r="AN1187">
        <v>1.0000000056876099</v>
      </c>
    </row>
    <row r="1188" spans="1:40" x14ac:dyDescent="0.25">
      <c r="A1188" t="str">
        <f>"20190303154443252"</f>
        <v>20190303154443252</v>
      </c>
      <c r="B1188" t="str">
        <f>"1551599083241123"</f>
        <v>1551599083241123</v>
      </c>
      <c r="C1188" t="s">
        <v>40</v>
      </c>
      <c r="D1188">
        <v>5.2494969999999999</v>
      </c>
      <c r="E1188">
        <v>0.4996776</v>
      </c>
      <c r="F1188" t="s">
        <v>41</v>
      </c>
      <c r="G1188">
        <v>-191.4316</v>
      </c>
      <c r="H1188" s="1">
        <v>-1.4238860000000001E-6</v>
      </c>
      <c r="I1188">
        <v>332.02030000000002</v>
      </c>
      <c r="J1188">
        <v>-191.5521</v>
      </c>
      <c r="K1188">
        <v>1.112131</v>
      </c>
      <c r="L1188">
        <v>353.29050000000001</v>
      </c>
      <c r="M1188">
        <v>0.26623419999999998</v>
      </c>
      <c r="N1188">
        <v>-6.2317359999999999E-3</v>
      </c>
      <c r="O1188">
        <v>-0.96388830000000003</v>
      </c>
      <c r="P1188">
        <v>5.643075E-3</v>
      </c>
      <c r="Q1188">
        <v>-0.12569420000000001</v>
      </c>
      <c r="R1188">
        <v>-0.99205330000000003</v>
      </c>
      <c r="S1188">
        <v>2.4307249999999999E-2</v>
      </c>
      <c r="T1188">
        <v>-0.15535060000000001</v>
      </c>
      <c r="U1188">
        <v>-3.0039669999999998</v>
      </c>
      <c r="V1188">
        <v>0.25641740000000002</v>
      </c>
      <c r="W1188">
        <v>-0.1245042</v>
      </c>
      <c r="X1188">
        <v>0.95851390000000003</v>
      </c>
      <c r="Y1188">
        <v>0.25838499999999998</v>
      </c>
      <c r="Z1188">
        <v>4.1757040000000002E-2</v>
      </c>
      <c r="AA1188">
        <v>0.96513919999999997</v>
      </c>
      <c r="AB1188">
        <v>23</v>
      </c>
      <c r="AC1188">
        <v>0.120499999999992</v>
      </c>
      <c r="AD1188">
        <v>-1.112132423886</v>
      </c>
      <c r="AE1188">
        <v>-21.2701999999999</v>
      </c>
      <c r="AF1188">
        <v>5.5316913001756403</v>
      </c>
      <c r="AG1188">
        <v>-1.112132423886</v>
      </c>
      <c r="AH1188">
        <v>20.478592463857598</v>
      </c>
      <c r="AI1188">
        <v>93.0011574156797</v>
      </c>
      <c r="AJ1188">
        <v>74.883980489350094</v>
      </c>
      <c r="AK1188">
        <v>21.241685349083401</v>
      </c>
      <c r="AL1188">
        <v>97.152124596517197</v>
      </c>
      <c r="AM1188">
        <v>75.023182536524502</v>
      </c>
      <c r="AN1188">
        <v>1.0000000376667999</v>
      </c>
    </row>
    <row r="1189" spans="1:40" x14ac:dyDescent="0.25">
      <c r="A1189" t="str">
        <f>"20190303154443276"</f>
        <v>20190303154443276</v>
      </c>
      <c r="B1189" t="str">
        <f>"1551599083271379"</f>
        <v>1551599083271379</v>
      </c>
      <c r="C1189" t="s">
        <v>40</v>
      </c>
      <c r="D1189">
        <v>5.270276</v>
      </c>
      <c r="E1189">
        <v>0.50004079999999995</v>
      </c>
      <c r="F1189" t="s">
        <v>41</v>
      </c>
      <c r="G1189">
        <v>-191.3981</v>
      </c>
      <c r="H1189" s="1">
        <v>-1.490508E-6</v>
      </c>
      <c r="I1189">
        <v>332.19639999999998</v>
      </c>
      <c r="J1189">
        <v>-191.5001</v>
      </c>
      <c r="K1189">
        <v>1.1121570000000001</v>
      </c>
      <c r="L1189">
        <v>353.04930000000002</v>
      </c>
      <c r="M1189">
        <v>0.2538185</v>
      </c>
      <c r="N1189">
        <v>-6.2284259999999996E-3</v>
      </c>
      <c r="O1189">
        <v>-0.96723190000000003</v>
      </c>
      <c r="P1189">
        <v>5.0759519999999999E-3</v>
      </c>
      <c r="Q1189">
        <v>-0.12677369999999999</v>
      </c>
      <c r="R1189">
        <v>-0.991919</v>
      </c>
      <c r="S1189">
        <v>2.1942139999999999E-2</v>
      </c>
      <c r="T1189">
        <v>-0.15837029999999999</v>
      </c>
      <c r="U1189">
        <v>-3.0038450000000001</v>
      </c>
      <c r="V1189">
        <v>0.24458559999999999</v>
      </c>
      <c r="W1189">
        <v>-0.125334</v>
      </c>
      <c r="X1189">
        <v>0.9614933</v>
      </c>
      <c r="Y1189">
        <v>0.24670690000000001</v>
      </c>
      <c r="Z1189">
        <v>4.3035789999999997E-2</v>
      </c>
      <c r="AA1189">
        <v>0.9681341</v>
      </c>
      <c r="AB1189">
        <v>23</v>
      </c>
      <c r="AC1189">
        <v>0.102000000000003</v>
      </c>
      <c r="AD1189">
        <v>-1.112158490508</v>
      </c>
      <c r="AE1189">
        <v>-20.852900000000002</v>
      </c>
      <c r="AF1189">
        <v>5.1795617250194796</v>
      </c>
      <c r="AG1189">
        <v>-1.112158490508</v>
      </c>
      <c r="AH1189">
        <v>20.138587450809499</v>
      </c>
      <c r="AI1189">
        <v>93.0615235766507</v>
      </c>
      <c r="AJ1189">
        <v>75.576377333517797</v>
      </c>
      <c r="AK1189">
        <v>20.823723506741</v>
      </c>
      <c r="AL1189">
        <v>97.200043925154603</v>
      </c>
      <c r="AM1189">
        <v>75.727755314102595</v>
      </c>
      <c r="AN1189">
        <v>1.0000000466141199</v>
      </c>
    </row>
    <row r="1190" spans="1:40" x14ac:dyDescent="0.25">
      <c r="A1190" t="str">
        <f>"20190303154443297"</f>
        <v>20190303154443297</v>
      </c>
      <c r="B1190" t="str">
        <f>"1551599083291876"</f>
        <v>1551599083291876</v>
      </c>
      <c r="C1190" t="s">
        <v>40</v>
      </c>
      <c r="D1190">
        <v>5.2937629999999896</v>
      </c>
      <c r="E1190">
        <v>0.50032159999999903</v>
      </c>
      <c r="F1190" t="s">
        <v>41</v>
      </c>
      <c r="G1190">
        <v>-191.3835</v>
      </c>
      <c r="H1190" s="1">
        <v>-1.5508409999999999E-6</v>
      </c>
      <c r="I1190">
        <v>332.34609999999998</v>
      </c>
      <c r="J1190">
        <v>-191.45439999999999</v>
      </c>
      <c r="K1190">
        <v>1.1122000000000001</v>
      </c>
      <c r="L1190">
        <v>352.82459999999998</v>
      </c>
      <c r="M1190">
        <v>0.24242320000000001</v>
      </c>
      <c r="N1190">
        <v>-6.2203880000000003E-3</v>
      </c>
      <c r="O1190">
        <v>-0.97015079999999998</v>
      </c>
      <c r="P1190">
        <v>5.5907689999999998E-3</v>
      </c>
      <c r="Q1190">
        <v>-0.1269277</v>
      </c>
      <c r="R1190">
        <v>-0.99189629999999995</v>
      </c>
      <c r="S1190">
        <v>1.6922E-2</v>
      </c>
      <c r="T1190">
        <v>-0.1613559</v>
      </c>
      <c r="U1190">
        <v>-3.0036930000000002</v>
      </c>
      <c r="V1190">
        <v>0.23277619999999999</v>
      </c>
      <c r="W1190">
        <v>-0.1252318</v>
      </c>
      <c r="X1190">
        <v>0.9644336</v>
      </c>
      <c r="Y1190">
        <v>0.23691429999999999</v>
      </c>
      <c r="Z1190">
        <v>4.4271169999999999E-2</v>
      </c>
      <c r="AA1190">
        <v>0.97052130000000003</v>
      </c>
      <c r="AB1190">
        <v>23</v>
      </c>
      <c r="AC1190">
        <v>7.0899999999994606E-2</v>
      </c>
      <c r="AD1190">
        <v>-1.1122015508409999</v>
      </c>
      <c r="AE1190">
        <v>-20.4785</v>
      </c>
      <c r="AF1190">
        <v>4.8813756672523496</v>
      </c>
      <c r="AG1190">
        <v>-1.1122015508409999</v>
      </c>
      <c r="AH1190">
        <v>19.826322885061799</v>
      </c>
      <c r="AI1190">
        <v>93.117852228245596</v>
      </c>
      <c r="AJ1190">
        <v>76.168487946064204</v>
      </c>
      <c r="AK1190">
        <v>20.448664989120001</v>
      </c>
      <c r="AL1190">
        <v>97.194142377862804</v>
      </c>
      <c r="AM1190">
        <v>76.430582683377594</v>
      </c>
      <c r="AN1190">
        <v>0.99999996591331897</v>
      </c>
    </row>
    <row r="1191" spans="1:40" x14ac:dyDescent="0.25">
      <c r="A1191" t="str">
        <f>"20190303154443322"</f>
        <v>20190303154443322</v>
      </c>
      <c r="B1191" t="str">
        <f>"1551599083311395"</f>
        <v>1551599083311395</v>
      </c>
      <c r="C1191" t="s">
        <v>40</v>
      </c>
      <c r="D1191">
        <v>5.2904289999999996</v>
      </c>
      <c r="E1191">
        <v>0.50657220000000003</v>
      </c>
      <c r="F1191" t="s">
        <v>41</v>
      </c>
      <c r="G1191">
        <v>-191.3424</v>
      </c>
      <c r="H1191" s="1">
        <v>-1.4432929999999901E-6</v>
      </c>
      <c r="I1191">
        <v>332.12090000000001</v>
      </c>
      <c r="J1191">
        <v>-191.40639999999999</v>
      </c>
      <c r="K1191">
        <v>1.112282</v>
      </c>
      <c r="L1191">
        <v>352.57499999999999</v>
      </c>
      <c r="M1191">
        <v>0.22998959999999999</v>
      </c>
      <c r="N1191">
        <v>-6.2065269999999999E-3</v>
      </c>
      <c r="O1191">
        <v>-0.97317350000000002</v>
      </c>
      <c r="P1191">
        <v>5.1832249999999996E-3</v>
      </c>
      <c r="Q1191">
        <v>-0.12738389999999999</v>
      </c>
      <c r="R1191">
        <v>-0.9918401</v>
      </c>
      <c r="S1191">
        <v>1.6250609999999999E-2</v>
      </c>
      <c r="T1191">
        <v>-0.16136489999999901</v>
      </c>
      <c r="U1191">
        <v>-3.0038149999999999</v>
      </c>
      <c r="V1191">
        <v>0.22082760000000001</v>
      </c>
      <c r="W1191">
        <v>-0.12542159999999999</v>
      </c>
      <c r="X1191">
        <v>0.96721489999999999</v>
      </c>
      <c r="Y1191">
        <v>0.22468469999999999</v>
      </c>
      <c r="Z1191">
        <v>4.4606229999999997E-2</v>
      </c>
      <c r="AA1191">
        <v>0.97341</v>
      </c>
      <c r="AB1191">
        <v>23</v>
      </c>
      <c r="AC1191">
        <v>6.3999999999992896E-2</v>
      </c>
      <c r="AD1191">
        <v>-1.112283443293</v>
      </c>
      <c r="AE1191">
        <v>-20.454099999999901</v>
      </c>
      <c r="AF1191">
        <v>4.6283491686817904</v>
      </c>
      <c r="AG1191">
        <v>-1.112283443293</v>
      </c>
      <c r="AH1191">
        <v>19.861753953168002</v>
      </c>
      <c r="AI1191">
        <v>93.121820266597794</v>
      </c>
      <c r="AJ1191">
        <v>76.882557883725994</v>
      </c>
      <c r="AK1191">
        <v>20.424202813859001</v>
      </c>
      <c r="AL1191">
        <v>97.205103041773896</v>
      </c>
      <c r="AM1191">
        <v>77.139078549417505</v>
      </c>
      <c r="AN1191">
        <v>1.0000000347251601</v>
      </c>
    </row>
    <row r="1192" spans="1:40" x14ac:dyDescent="0.25">
      <c r="A1192" t="str">
        <f>"20190303154443344"</f>
        <v>20190303154443344</v>
      </c>
      <c r="B1192" t="str">
        <f>"1551599083331891"</f>
        <v>1551599083331891</v>
      </c>
      <c r="C1192" t="s">
        <v>40</v>
      </c>
      <c r="D1192">
        <v>5.2952719999999998</v>
      </c>
      <c r="E1192">
        <v>0.506969</v>
      </c>
      <c r="F1192" t="s">
        <v>41</v>
      </c>
      <c r="G1192">
        <v>-191.65</v>
      </c>
      <c r="H1192" s="1">
        <v>-1.2584300000000001E-6</v>
      </c>
      <c r="I1192">
        <v>331.49919999999997</v>
      </c>
      <c r="J1192">
        <v>-191.36320000000001</v>
      </c>
      <c r="K1192">
        <v>1.112382</v>
      </c>
      <c r="L1192">
        <v>352.33440000000002</v>
      </c>
      <c r="M1192">
        <v>0.21829580000000001</v>
      </c>
      <c r="N1192">
        <v>-6.1879219999999898E-3</v>
      </c>
      <c r="O1192">
        <v>-0.97586320000000004</v>
      </c>
      <c r="P1192">
        <v>4.9921399999999999E-3</v>
      </c>
      <c r="Q1192">
        <v>-0.1263608</v>
      </c>
      <c r="R1192">
        <v>-0.99197210000000002</v>
      </c>
      <c r="S1192">
        <v>-3.4729000000000003E-2</v>
      </c>
      <c r="T1192">
        <v>-0.1585628</v>
      </c>
      <c r="U1192">
        <v>-3.004486</v>
      </c>
      <c r="V1192">
        <v>0.20948140000000001</v>
      </c>
      <c r="W1192">
        <v>-0.1241411</v>
      </c>
      <c r="X1192">
        <v>0.96990030000000005</v>
      </c>
      <c r="Y1192">
        <v>0.22950699999999999</v>
      </c>
      <c r="Z1192">
        <v>4.3902160000000003E-2</v>
      </c>
      <c r="AA1192">
        <v>0.97231639999999997</v>
      </c>
      <c r="AB1192">
        <v>23</v>
      </c>
      <c r="AC1192">
        <v>-0.286799999999999</v>
      </c>
      <c r="AD1192">
        <v>-1.11238325843</v>
      </c>
      <c r="AE1192">
        <v>-20.8352</v>
      </c>
      <c r="AF1192">
        <v>4.81448500219755</v>
      </c>
      <c r="AG1192">
        <v>-1.11238325843</v>
      </c>
      <c r="AH1192">
        <v>20.2124786646127</v>
      </c>
      <c r="AI1192">
        <v>93.064501191367597</v>
      </c>
      <c r="AJ1192">
        <v>76.602163772915404</v>
      </c>
      <c r="AK1192">
        <v>20.8077138609085</v>
      </c>
      <c r="AL1192">
        <v>97.131157885511399</v>
      </c>
      <c r="AM1192">
        <v>77.812329949003896</v>
      </c>
      <c r="AN1192">
        <v>1.00000003079762</v>
      </c>
    </row>
    <row r="1193" spans="1:40" x14ac:dyDescent="0.25">
      <c r="A1193" t="str">
        <f>"20190303154443364"</f>
        <v>20190303154443364</v>
      </c>
      <c r="B1193" t="str">
        <f>"1551599083352387"</f>
        <v>1551599083352387</v>
      </c>
      <c r="C1193" t="s">
        <v>40</v>
      </c>
      <c r="D1193">
        <v>5.2972619999999999</v>
      </c>
      <c r="E1193">
        <v>0.50734429999999997</v>
      </c>
      <c r="F1193" t="s">
        <v>41</v>
      </c>
      <c r="G1193">
        <v>-191.6337</v>
      </c>
      <c r="H1193" s="1">
        <v>-1.0878730000000001E-6</v>
      </c>
      <c r="I1193">
        <v>331.11169999999998</v>
      </c>
      <c r="J1193">
        <v>-191.32679999999999</v>
      </c>
      <c r="K1193">
        <v>1.1124849999999999</v>
      </c>
      <c r="L1193">
        <v>352.1198</v>
      </c>
      <c r="M1193">
        <v>0.20808689999999999</v>
      </c>
      <c r="N1193">
        <v>-6.1686759999999997E-3</v>
      </c>
      <c r="O1193">
        <v>-0.97809100000000004</v>
      </c>
      <c r="P1193">
        <v>4.8679300000000003E-3</v>
      </c>
      <c r="Q1193">
        <v>-0.12439070000000001</v>
      </c>
      <c r="R1193">
        <v>-0.99222149999999998</v>
      </c>
      <c r="S1193">
        <v>-3.8299560000000003E-2</v>
      </c>
      <c r="T1193">
        <v>-0.1574759</v>
      </c>
      <c r="U1193">
        <v>-3.0044249999999999</v>
      </c>
      <c r="V1193">
        <v>0.19958419999999999</v>
      </c>
      <c r="W1193">
        <v>-0.1219462</v>
      </c>
      <c r="X1193">
        <v>0.97226299999999999</v>
      </c>
      <c r="Y1193">
        <v>0.2204853</v>
      </c>
      <c r="Z1193">
        <v>4.3808529999999998E-2</v>
      </c>
      <c r="AA1193">
        <v>0.97440599999999999</v>
      </c>
      <c r="AB1193">
        <v>24</v>
      </c>
      <c r="AC1193">
        <v>-0.306900000000013</v>
      </c>
      <c r="AD1193">
        <v>-1.1124860878730001</v>
      </c>
      <c r="AE1193">
        <v>-21.008099999999999</v>
      </c>
      <c r="AF1193">
        <v>4.6587135405985096</v>
      </c>
      <c r="AG1193">
        <v>-1.1124860878730001</v>
      </c>
      <c r="AH1193">
        <v>20.427088916003701</v>
      </c>
      <c r="AI1193">
        <v>93.039431508643204</v>
      </c>
      <c r="AJ1193">
        <v>77.152551663082406</v>
      </c>
      <c r="AK1193">
        <v>20.981115288072498</v>
      </c>
      <c r="AL1193">
        <v>97.0044364040494</v>
      </c>
      <c r="AM1193">
        <v>78.399589004797207</v>
      </c>
      <c r="AN1193">
        <v>1.0000000348765301</v>
      </c>
    </row>
    <row r="1194" spans="1:40" x14ac:dyDescent="0.25">
      <c r="A1194" t="str">
        <f>"20190303154443387"</f>
        <v>20190303154443387</v>
      </c>
      <c r="B1194" t="str">
        <f>"1551599083381667"</f>
        <v>1551599083381667</v>
      </c>
      <c r="C1194" t="s">
        <v>40</v>
      </c>
      <c r="D1194">
        <v>5.2975409999999998</v>
      </c>
      <c r="E1194">
        <v>0.50840169999999996</v>
      </c>
      <c r="F1194" t="s">
        <v>41</v>
      </c>
      <c r="G1194">
        <v>-191.62790000000001</v>
      </c>
      <c r="H1194" s="1">
        <v>-8.4954479999999996E-7</v>
      </c>
      <c r="I1194">
        <v>330.5598</v>
      </c>
      <c r="J1194">
        <v>-191.2859</v>
      </c>
      <c r="K1194">
        <v>1.1125940000000001</v>
      </c>
      <c r="L1194">
        <v>351.86309999999997</v>
      </c>
      <c r="M1194">
        <v>0.19614619999999999</v>
      </c>
      <c r="N1194">
        <v>-6.1464390000000001E-3</v>
      </c>
      <c r="O1194">
        <v>-0.98055570000000003</v>
      </c>
      <c r="P1194">
        <v>3.3885199999999999E-3</v>
      </c>
      <c r="Q1194">
        <v>-0.1237675</v>
      </c>
      <c r="R1194">
        <v>-0.99230589999999996</v>
      </c>
      <c r="S1194">
        <v>-4.196167E-2</v>
      </c>
      <c r="T1194">
        <v>-0.15501879999999901</v>
      </c>
      <c r="U1194">
        <v>-3.0042719999999998</v>
      </c>
      <c r="V1194">
        <v>0.18923699999999999</v>
      </c>
      <c r="W1194">
        <v>-0.12109549999999999</v>
      </c>
      <c r="X1194">
        <v>0.97443590000000002</v>
      </c>
      <c r="Y1194">
        <v>0.2097716</v>
      </c>
      <c r="Z1194">
        <v>4.3305879999999998E-2</v>
      </c>
      <c r="AA1194">
        <v>0.97679090000000002</v>
      </c>
      <c r="AB1194">
        <v>24</v>
      </c>
      <c r="AC1194">
        <v>-0.34200000000001202</v>
      </c>
      <c r="AD1194">
        <v>-1.1125948495447999</v>
      </c>
      <c r="AE1194">
        <v>-21.303299999999901</v>
      </c>
      <c r="AF1194">
        <v>4.5017196080596804</v>
      </c>
      <c r="AG1194">
        <v>-1.1125948495447999</v>
      </c>
      <c r="AH1194">
        <v>20.765751389497598</v>
      </c>
      <c r="AI1194">
        <v>92.997388640484303</v>
      </c>
      <c r="AJ1194">
        <v>77.768358820367197</v>
      </c>
      <c r="AK1194">
        <v>21.277212634629699</v>
      </c>
      <c r="AL1194">
        <v>96.955330903164295</v>
      </c>
      <c r="AM1194">
        <v>79.009867433434096</v>
      </c>
      <c r="AN1194">
        <v>1.0000000427490201</v>
      </c>
    </row>
    <row r="1195" spans="1:40" x14ac:dyDescent="0.25">
      <c r="A1195" t="str">
        <f>"20190303154443410"</f>
        <v>20190303154443410</v>
      </c>
      <c r="B1195" t="str">
        <f>"1551599083402163"</f>
        <v>1551599083402163</v>
      </c>
      <c r="C1195" t="s">
        <v>40</v>
      </c>
      <c r="D1195">
        <v>5.3050819999999996</v>
      </c>
      <c r="E1195">
        <v>0.50886960000000003</v>
      </c>
      <c r="F1195" t="s">
        <v>41</v>
      </c>
      <c r="G1195">
        <v>-191.6825</v>
      </c>
      <c r="H1195" s="1">
        <v>-6.691538E-7</v>
      </c>
      <c r="I1195">
        <v>330.10539999999997</v>
      </c>
      <c r="J1195">
        <v>-191.24809999999999</v>
      </c>
      <c r="K1195">
        <v>1.1126929999999999</v>
      </c>
      <c r="L1195">
        <v>351.6078</v>
      </c>
      <c r="M1195">
        <v>0.18455630000000001</v>
      </c>
      <c r="N1195">
        <v>-6.1257289999999999E-3</v>
      </c>
      <c r="O1195">
        <v>-0.98280299999999998</v>
      </c>
      <c r="P1195" s="1">
        <v>-9.3288659999999997E-5</v>
      </c>
      <c r="Q1195">
        <v>-0.1239364</v>
      </c>
      <c r="R1195">
        <v>-0.99229049999999996</v>
      </c>
      <c r="S1195">
        <v>-5.476379E-2</v>
      </c>
      <c r="T1195">
        <v>-0.15362690000000001</v>
      </c>
      <c r="U1195">
        <v>-3.0043030000000002</v>
      </c>
      <c r="V1195">
        <v>0.18117659999999999</v>
      </c>
      <c r="W1195">
        <v>-0.121088</v>
      </c>
      <c r="X1195">
        <v>0.97596760000000005</v>
      </c>
      <c r="Y1195">
        <v>0.20238590000000001</v>
      </c>
      <c r="Z1195">
        <v>4.3091200000000003E-2</v>
      </c>
      <c r="AA1195">
        <v>0.97835729999999999</v>
      </c>
      <c r="AB1195">
        <v>24</v>
      </c>
      <c r="AC1195">
        <v>-0.43440000000001</v>
      </c>
      <c r="AD1195">
        <v>-1.1126936691538001</v>
      </c>
      <c r="AE1195">
        <v>-21.502400000000002</v>
      </c>
      <c r="AF1195">
        <v>4.3836810303429203</v>
      </c>
      <c r="AG1195">
        <v>-1.1126936691538001</v>
      </c>
      <c r="AH1195">
        <v>20.996642158968701</v>
      </c>
      <c r="AI1195">
        <v>92.969576469958497</v>
      </c>
      <c r="AJ1195">
        <v>78.207180265888198</v>
      </c>
      <c r="AK1195">
        <v>21.478215208181101</v>
      </c>
      <c r="AL1195">
        <v>96.954898226793503</v>
      </c>
      <c r="AM1195">
        <v>79.483445031200006</v>
      </c>
      <c r="AN1195">
        <v>1.0000000101906501</v>
      </c>
    </row>
    <row r="1196" spans="1:40" x14ac:dyDescent="0.25">
      <c r="A1196" t="str">
        <f>"20190303154443446"</f>
        <v>20190303154443446</v>
      </c>
      <c r="B1196" t="str">
        <f>"1551599083442178"</f>
        <v>1551599083442178</v>
      </c>
      <c r="C1196" t="s">
        <v>40</v>
      </c>
      <c r="D1196">
        <v>5.3354220000000003</v>
      </c>
      <c r="E1196">
        <v>0.50992130000000002</v>
      </c>
      <c r="F1196" t="s">
        <v>41</v>
      </c>
      <c r="G1196">
        <v>-191.7449</v>
      </c>
      <c r="H1196" s="1">
        <v>-6.4151559999999996E-7</v>
      </c>
      <c r="I1196">
        <v>330.00229999999999</v>
      </c>
      <c r="J1196">
        <v>-191.19810000000001</v>
      </c>
      <c r="K1196">
        <v>1.1128499999999999</v>
      </c>
      <c r="L1196">
        <v>351.23970000000003</v>
      </c>
      <c r="M1196">
        <v>0.16838529999999999</v>
      </c>
      <c r="N1196">
        <v>-6.0920430000000001E-3</v>
      </c>
      <c r="O1196">
        <v>-0.98570239999999998</v>
      </c>
      <c r="P1196">
        <v>-5.2613699999999996E-3</v>
      </c>
      <c r="Q1196">
        <v>-0.1247467</v>
      </c>
      <c r="R1196">
        <v>-0.99217460000000002</v>
      </c>
      <c r="S1196">
        <v>-6.9076540000000006E-2</v>
      </c>
      <c r="T1196">
        <v>-0.15470500000000001</v>
      </c>
      <c r="U1196">
        <v>-3.0039669999999998</v>
      </c>
      <c r="V1196">
        <v>0.1702417</v>
      </c>
      <c r="W1196">
        <v>-0.1216623</v>
      </c>
      <c r="X1196">
        <v>0.97786300000000004</v>
      </c>
      <c r="Y1196">
        <v>0.1909467</v>
      </c>
      <c r="Z1196">
        <v>4.375366E-2</v>
      </c>
      <c r="AA1196">
        <v>0.98062479999999996</v>
      </c>
      <c r="AB1196">
        <v>24</v>
      </c>
      <c r="AC1196">
        <v>-0.54679999999998996</v>
      </c>
      <c r="AD1196">
        <v>-1.1128506415156001</v>
      </c>
      <c r="AE1196">
        <v>-21.237400000000001</v>
      </c>
      <c r="AF1196">
        <v>4.1038635418475797</v>
      </c>
      <c r="AG1196">
        <v>-1.1128506415156001</v>
      </c>
      <c r="AH1196">
        <v>20.785036385520399</v>
      </c>
      <c r="AI1196">
        <v>93.006805903095</v>
      </c>
      <c r="AJ1196">
        <v>78.830997476062507</v>
      </c>
      <c r="AK1196">
        <v>21.2155101298044</v>
      </c>
      <c r="AL1196">
        <v>96.988048358286605</v>
      </c>
      <c r="AM1196">
        <v>80.1240376381256</v>
      </c>
      <c r="AN1196">
        <v>0.99999999921459004</v>
      </c>
    </row>
    <row r="1197" spans="1:40" x14ac:dyDescent="0.25">
      <c r="A1197" t="str">
        <f>"20190303154443465"</f>
        <v>20190303154443465</v>
      </c>
      <c r="B1197" t="str">
        <f>"1551599083461699"</f>
        <v>1551599083461699</v>
      </c>
      <c r="C1197" t="s">
        <v>40</v>
      </c>
      <c r="D1197">
        <v>5.286505</v>
      </c>
      <c r="E1197">
        <v>0.51011479999999998</v>
      </c>
      <c r="F1197" t="s">
        <v>41</v>
      </c>
      <c r="G1197">
        <v>-191.85380000000001</v>
      </c>
      <c r="H1197" s="1">
        <v>-6.7732539999999998E-7</v>
      </c>
      <c r="I1197">
        <v>330.01819999999998</v>
      </c>
      <c r="J1197">
        <v>-191.17</v>
      </c>
      <c r="K1197">
        <v>1.112967</v>
      </c>
      <c r="L1197">
        <v>351.01249999999999</v>
      </c>
      <c r="M1197">
        <v>0.1587711</v>
      </c>
      <c r="N1197">
        <v>-6.0664999999999998E-3</v>
      </c>
      <c r="O1197">
        <v>-0.98729679999999997</v>
      </c>
      <c r="P1197">
        <v>-8.1728189999999996E-3</v>
      </c>
      <c r="Q1197">
        <v>-0.12567439999999999</v>
      </c>
      <c r="R1197">
        <v>-0.99203799999999998</v>
      </c>
      <c r="S1197">
        <v>-9.2788700000000002E-2</v>
      </c>
      <c r="T1197">
        <v>-0.15749569999999999</v>
      </c>
      <c r="U1197">
        <v>-3.0033569999999998</v>
      </c>
      <c r="V1197">
        <v>0.16358490000000001</v>
      </c>
      <c r="W1197">
        <v>-0.1224483</v>
      </c>
      <c r="X1197">
        <v>0.97890060000000001</v>
      </c>
      <c r="Y1197">
        <v>0.1891197</v>
      </c>
      <c r="Z1197">
        <v>4.4812369999999997E-2</v>
      </c>
      <c r="AA1197">
        <v>0.980931</v>
      </c>
      <c r="AB1197">
        <v>24</v>
      </c>
      <c r="AC1197">
        <v>-0.68380000000001895</v>
      </c>
      <c r="AD1197">
        <v>-1.1129676773254</v>
      </c>
      <c r="AE1197">
        <v>-20.994299999999999</v>
      </c>
      <c r="AF1197">
        <v>3.9972535203243802</v>
      </c>
      <c r="AG1197">
        <v>-1.1129676773254</v>
      </c>
      <c r="AH1197">
        <v>20.5616920194717</v>
      </c>
      <c r="AI1197">
        <v>93.041465347973798</v>
      </c>
      <c r="AJ1197">
        <v>78.998750184147198</v>
      </c>
      <c r="AK1197">
        <v>20.976174852916401</v>
      </c>
      <c r="AL1197">
        <v>97.033422116468799</v>
      </c>
      <c r="AM1197">
        <v>80.512918225132495</v>
      </c>
      <c r="AN1197">
        <v>0.99999999518062999</v>
      </c>
    </row>
    <row r="1198" spans="1:40" x14ac:dyDescent="0.25">
      <c r="A1198" t="str">
        <f>"20190303154443486"</f>
        <v>20190303154443486</v>
      </c>
      <c r="B1198" t="str">
        <f>"1551599083482196"</f>
        <v>1551599083482196</v>
      </c>
      <c r="C1198" t="s">
        <v>40</v>
      </c>
      <c r="D1198">
        <v>5.3110150000000003</v>
      </c>
      <c r="E1198">
        <v>0.51048019999999905</v>
      </c>
      <c r="F1198" t="s">
        <v>41</v>
      </c>
      <c r="G1198">
        <v>-191.8776</v>
      </c>
      <c r="H1198" s="1">
        <v>-8.2622779999999997E-7</v>
      </c>
      <c r="I1198">
        <v>330.35059999999999</v>
      </c>
      <c r="J1198">
        <v>-191.14330000000001</v>
      </c>
      <c r="K1198">
        <v>1.113073</v>
      </c>
      <c r="L1198">
        <v>350.78039999999999</v>
      </c>
      <c r="M1198">
        <v>0.1491856</v>
      </c>
      <c r="N1198">
        <v>-6.0407809999999899E-3</v>
      </c>
      <c r="O1198">
        <v>-0.98879079999999997</v>
      </c>
      <c r="P1198">
        <v>-1.122223E-2</v>
      </c>
      <c r="Q1198">
        <v>-0.12634119999999999</v>
      </c>
      <c r="R1198">
        <v>-0.99192349999999996</v>
      </c>
      <c r="S1198">
        <v>-0.102829</v>
      </c>
      <c r="T1198">
        <v>-0.161746</v>
      </c>
      <c r="U1198">
        <v>-3.002777</v>
      </c>
      <c r="V1198">
        <v>0.15711129999999901</v>
      </c>
      <c r="W1198">
        <v>-0.12298149999999999</v>
      </c>
      <c r="X1198">
        <v>0.97989369999999998</v>
      </c>
      <c r="Y1198">
        <v>0.18287020000000001</v>
      </c>
      <c r="Z1198">
        <v>4.6366839999999999E-2</v>
      </c>
      <c r="AA1198">
        <v>0.98204309999999995</v>
      </c>
      <c r="AB1198">
        <v>24</v>
      </c>
      <c r="AC1198">
        <v>-0.73429999999998996</v>
      </c>
      <c r="AD1198">
        <v>-1.1130738262277999</v>
      </c>
      <c r="AE1198">
        <v>-20.4298</v>
      </c>
      <c r="AF1198">
        <v>3.7628147036450801</v>
      </c>
      <c r="AG1198">
        <v>-1.1130738262277999</v>
      </c>
      <c r="AH1198">
        <v>20.032230494965901</v>
      </c>
      <c r="AI1198">
        <v>93.125766787936996</v>
      </c>
      <c r="AJ1198">
        <v>79.361635973308594</v>
      </c>
      <c r="AK1198">
        <v>20.4129362522897</v>
      </c>
      <c r="AL1198">
        <v>97.064204589689595</v>
      </c>
      <c r="AM1198">
        <v>80.891006589235204</v>
      </c>
      <c r="AN1198">
        <v>1.0000000366148101</v>
      </c>
    </row>
    <row r="1199" spans="1:40" x14ac:dyDescent="0.25">
      <c r="A1199" t="str">
        <f>"20190303154443513"</f>
        <v>20190303154443513</v>
      </c>
      <c r="B1199" t="str">
        <f>"1551599083501715"</f>
        <v>1551599083501715</v>
      </c>
      <c r="C1199" t="s">
        <v>40</v>
      </c>
      <c r="D1199">
        <v>5.3316720000000002</v>
      </c>
      <c r="E1199">
        <v>0.51082429999999901</v>
      </c>
      <c r="F1199" t="s">
        <v>41</v>
      </c>
      <c r="G1199">
        <v>-191.93010000000001</v>
      </c>
      <c r="H1199" s="1">
        <v>-8.2047720000000001E-7</v>
      </c>
      <c r="I1199">
        <v>330.30450000000002</v>
      </c>
      <c r="J1199">
        <v>-191.11410000000001</v>
      </c>
      <c r="K1199">
        <v>1.113218</v>
      </c>
      <c r="L1199">
        <v>350.50369999999998</v>
      </c>
      <c r="M1199">
        <v>0.138098</v>
      </c>
      <c r="N1199">
        <v>-6.0119290000000001E-3</v>
      </c>
      <c r="O1199">
        <v>-0.99040039999999996</v>
      </c>
      <c r="P1199">
        <v>-1.572254E-2</v>
      </c>
      <c r="Q1199">
        <v>-0.1271571</v>
      </c>
      <c r="R1199">
        <v>-0.99175820000000003</v>
      </c>
      <c r="S1199">
        <v>-0.11537169999999999</v>
      </c>
      <c r="T1199">
        <v>-0.163210299999999</v>
      </c>
      <c r="U1199">
        <v>-3.00238</v>
      </c>
      <c r="V1199">
        <v>0.15059690000000001</v>
      </c>
      <c r="W1199">
        <v>-0.1236603</v>
      </c>
      <c r="X1199">
        <v>0.9808306</v>
      </c>
      <c r="Y1199">
        <v>0.17595259999999999</v>
      </c>
      <c r="Z1199">
        <v>4.7036620000000001E-2</v>
      </c>
      <c r="AA1199">
        <v>0.98327419999999999</v>
      </c>
      <c r="AB1199">
        <v>24</v>
      </c>
      <c r="AC1199">
        <v>-0.81600000000000195</v>
      </c>
      <c r="AD1199">
        <v>-1.1132188204772</v>
      </c>
      <c r="AE1199">
        <v>-20.199199999999902</v>
      </c>
      <c r="AF1199">
        <v>3.5868239525737202</v>
      </c>
      <c r="AG1199">
        <v>-1.1132188204772</v>
      </c>
      <c r="AH1199">
        <v>19.832824977552399</v>
      </c>
      <c r="AI1199">
        <v>93.161468099014499</v>
      </c>
      <c r="AJ1199">
        <v>79.748699263945795</v>
      </c>
      <c r="AK1199">
        <v>20.185279507582901</v>
      </c>
      <c r="AL1199">
        <v>97.103396516333106</v>
      </c>
      <c r="AM1199">
        <v>81.270964585512303</v>
      </c>
      <c r="AN1199">
        <v>0.99999998099102905</v>
      </c>
    </row>
    <row r="1200" spans="1:40" x14ac:dyDescent="0.25">
      <c r="A1200" t="str">
        <f>"20190303154443536"</f>
        <v>20190303154443536</v>
      </c>
      <c r="B1200" t="str">
        <f>"1551599083531971"</f>
        <v>1551599083531971</v>
      </c>
      <c r="C1200" t="s">
        <v>40</v>
      </c>
      <c r="D1200">
        <v>5.3348139999999997</v>
      </c>
      <c r="E1200">
        <v>0.51116010000000001</v>
      </c>
      <c r="F1200" t="s">
        <v>41</v>
      </c>
      <c r="G1200">
        <v>-191.99600000000001</v>
      </c>
      <c r="H1200" s="1">
        <v>-8.8193189999999997E-7</v>
      </c>
      <c r="I1200">
        <v>330.40699999999998</v>
      </c>
      <c r="J1200">
        <v>-191.08680000000001</v>
      </c>
      <c r="K1200">
        <v>1.113367</v>
      </c>
      <c r="L1200">
        <v>350.21980000000002</v>
      </c>
      <c r="M1200">
        <v>0.12707959999999999</v>
      </c>
      <c r="N1200">
        <v>-5.9836999999999998E-3</v>
      </c>
      <c r="O1200">
        <v>-0.9918747</v>
      </c>
      <c r="P1200">
        <v>-2.1591160000000002E-2</v>
      </c>
      <c r="Q1200">
        <v>-0.1266013</v>
      </c>
      <c r="R1200">
        <v>-0.99171880000000001</v>
      </c>
      <c r="S1200">
        <v>-0.13171389999999999</v>
      </c>
      <c r="T1200">
        <v>-0.1662632</v>
      </c>
      <c r="U1200">
        <v>-3.0015260000000001</v>
      </c>
      <c r="V1200">
        <v>0.14556189999999999</v>
      </c>
      <c r="W1200">
        <v>-0.1229941</v>
      </c>
      <c r="X1200">
        <v>0.98167420000000005</v>
      </c>
      <c r="Y1200">
        <v>0.17036019999999999</v>
      </c>
      <c r="Z1200">
        <v>4.821259E-2</v>
      </c>
      <c r="AA1200">
        <v>0.98420169999999996</v>
      </c>
      <c r="AB1200">
        <v>25</v>
      </c>
      <c r="AC1200">
        <v>-0.90919999999996903</v>
      </c>
      <c r="AD1200">
        <v>-1.1133678819318999</v>
      </c>
      <c r="AE1200">
        <v>-19.812799999999999</v>
      </c>
      <c r="AF1200">
        <v>3.4089334927659198</v>
      </c>
      <c r="AG1200">
        <v>-1.1133678819318999</v>
      </c>
      <c r="AH1200">
        <v>19.4752497869097</v>
      </c>
      <c r="AI1200">
        <v>93.223046885198102</v>
      </c>
      <c r="AJ1200">
        <v>80.071571398619298</v>
      </c>
      <c r="AK1200">
        <v>19.802670775962198</v>
      </c>
      <c r="AL1200">
        <v>97.064932120516303</v>
      </c>
      <c r="AM1200">
        <v>81.565681664446601</v>
      </c>
      <c r="AN1200">
        <v>1.0000000251560299</v>
      </c>
    </row>
    <row r="1201" spans="1:40" x14ac:dyDescent="0.25">
      <c r="A1201" t="str">
        <f>"20190303154443558"</f>
        <v>20190303154443558</v>
      </c>
      <c r="B1201" t="str">
        <f>"1551599083551491"</f>
        <v>1551599083551491</v>
      </c>
      <c r="C1201" t="s">
        <v>40</v>
      </c>
      <c r="D1201">
        <v>5.3568470000000001</v>
      </c>
      <c r="E1201">
        <v>0.51117159999999995</v>
      </c>
      <c r="F1201" t="s">
        <v>41</v>
      </c>
      <c r="G1201">
        <v>-192.1123</v>
      </c>
      <c r="H1201" s="1">
        <v>-7.2876459999999897E-7</v>
      </c>
      <c r="I1201">
        <v>329.9778</v>
      </c>
      <c r="J1201">
        <v>-191.065</v>
      </c>
      <c r="K1201">
        <v>1.113504</v>
      </c>
      <c r="L1201">
        <v>349.96839999999997</v>
      </c>
      <c r="M1201">
        <v>0.11762599999999999</v>
      </c>
      <c r="N1201">
        <v>-5.9590199999999998E-3</v>
      </c>
      <c r="O1201">
        <v>-0.99304020000000004</v>
      </c>
      <c r="P1201">
        <v>-2.6124700000000001E-2</v>
      </c>
      <c r="Q1201">
        <v>-0.125338</v>
      </c>
      <c r="R1201">
        <v>-0.99177040000000005</v>
      </c>
      <c r="S1201">
        <v>-0.15200810000000001</v>
      </c>
      <c r="T1201">
        <v>-0.16504170000000001</v>
      </c>
      <c r="U1201">
        <v>-3.00061</v>
      </c>
      <c r="V1201">
        <v>0.14077729999999999</v>
      </c>
      <c r="W1201">
        <v>-0.1216313</v>
      </c>
      <c r="X1201">
        <v>0.98254140000000001</v>
      </c>
      <c r="Y1201">
        <v>0.16763</v>
      </c>
      <c r="Z1201">
        <v>4.7955589999999999E-2</v>
      </c>
      <c r="AA1201">
        <v>0.98468290000000003</v>
      </c>
      <c r="AB1201">
        <v>25</v>
      </c>
      <c r="AC1201">
        <v>-1.0472999999999999</v>
      </c>
      <c r="AD1201">
        <v>-1.1135047287646</v>
      </c>
      <c r="AE1201">
        <v>-19.990599999999901</v>
      </c>
      <c r="AF1201">
        <v>3.3810237398201699</v>
      </c>
      <c r="AG1201">
        <v>-1.1135047287646</v>
      </c>
      <c r="AH1201">
        <v>19.667772637549799</v>
      </c>
      <c r="AI1201">
        <v>93.193635101144196</v>
      </c>
      <c r="AJ1201">
        <v>80.245805673736299</v>
      </c>
      <c r="AK1201">
        <v>19.987308343860601</v>
      </c>
      <c r="AL1201">
        <v>96.986258809678802</v>
      </c>
      <c r="AM1201">
        <v>81.846226067296101</v>
      </c>
      <c r="AN1201">
        <v>1.0000000120244601</v>
      </c>
    </row>
    <row r="1202" spans="1:40" x14ac:dyDescent="0.25">
      <c r="A1202" t="str">
        <f>"20190303154443576"</f>
        <v>20190303154443576</v>
      </c>
      <c r="B1202" t="str">
        <f>"1551599083571988"</f>
        <v>1551599083571988</v>
      </c>
      <c r="C1202" t="s">
        <v>40</v>
      </c>
      <c r="D1202">
        <v>5.3412329999999999</v>
      </c>
      <c r="E1202">
        <v>0.51126649999999996</v>
      </c>
      <c r="F1202" t="s">
        <v>41</v>
      </c>
      <c r="G1202">
        <v>-192.20679999999999</v>
      </c>
      <c r="H1202" s="1">
        <v>-4.586921E-6</v>
      </c>
      <c r="I1202">
        <v>329.31540000000001</v>
      </c>
      <c r="J1202">
        <v>-191.0488</v>
      </c>
      <c r="K1202">
        <v>1.1136109999999999</v>
      </c>
      <c r="L1202">
        <v>349.76299999999998</v>
      </c>
      <c r="M1202">
        <v>0.11012719999999999</v>
      </c>
      <c r="N1202">
        <v>-5.9390989999999998E-3</v>
      </c>
      <c r="O1202">
        <v>-0.99389989999999995</v>
      </c>
      <c r="P1202">
        <v>-2.944687E-2</v>
      </c>
      <c r="Q1202">
        <v>-0.1243715</v>
      </c>
      <c r="R1202">
        <v>-0.99179910000000004</v>
      </c>
      <c r="S1202">
        <v>-0.16586300000000001</v>
      </c>
      <c r="T1202">
        <v>-0.16175220000000001</v>
      </c>
      <c r="U1202">
        <v>-3.0001220000000002</v>
      </c>
      <c r="V1202">
        <v>0.13671220000000001</v>
      </c>
      <c r="W1202">
        <v>-0.12058439999999999</v>
      </c>
      <c r="X1202">
        <v>0.98324420000000001</v>
      </c>
      <c r="Y1202">
        <v>0.16473489999999999</v>
      </c>
      <c r="Z1202">
        <v>4.6987849999999998E-2</v>
      </c>
      <c r="AA1202">
        <v>0.98521800000000004</v>
      </c>
      <c r="AB1202">
        <v>25</v>
      </c>
      <c r="AC1202">
        <v>-1.1579999999999799</v>
      </c>
      <c r="AD1202">
        <v>-1.113615586921</v>
      </c>
      <c r="AE1202">
        <v>-20.447600000000001</v>
      </c>
      <c r="AF1202">
        <v>3.3928013311368401</v>
      </c>
      <c r="AG1202">
        <v>-1.113615586921</v>
      </c>
      <c r="AH1202">
        <v>20.136158675180098</v>
      </c>
      <c r="AI1202">
        <v>93.121565236569694</v>
      </c>
      <c r="AJ1202">
        <v>80.435896243690706</v>
      </c>
      <c r="AK1202">
        <v>20.450333169413899</v>
      </c>
      <c r="AL1202">
        <v>96.925831222106794</v>
      </c>
      <c r="AM1202">
        <v>82.084233168442594</v>
      </c>
      <c r="AN1202">
        <v>0.99999998999291995</v>
      </c>
    </row>
    <row r="1203" spans="1:40" x14ac:dyDescent="0.25">
      <c r="A1203" t="str">
        <f>"20190303154443599"</f>
        <v>20190303154443599</v>
      </c>
      <c r="B1203" t="str">
        <f>"1551599083591507"</f>
        <v>1551599083591507</v>
      </c>
      <c r="C1203" t="s">
        <v>40</v>
      </c>
      <c r="D1203">
        <v>5.4008070000000004</v>
      </c>
      <c r="E1203">
        <v>0.51089079999999998</v>
      </c>
      <c r="F1203" t="s">
        <v>41</v>
      </c>
      <c r="G1203">
        <v>-192.28200000000001</v>
      </c>
      <c r="H1203" s="1">
        <v>-4.4239439999999996E-6</v>
      </c>
      <c r="I1203">
        <v>328.79730000000001</v>
      </c>
      <c r="J1203">
        <v>-191.03020000000001</v>
      </c>
      <c r="K1203">
        <v>1.1137360000000001</v>
      </c>
      <c r="L1203">
        <v>349.5052</v>
      </c>
      <c r="M1203">
        <v>0.1009388</v>
      </c>
      <c r="N1203">
        <v>-5.9154790000000004E-3</v>
      </c>
      <c r="O1203">
        <v>-0.99487499999999995</v>
      </c>
      <c r="P1203">
        <v>-3.3673410000000001E-2</v>
      </c>
      <c r="Q1203">
        <v>-0.1238949</v>
      </c>
      <c r="R1203">
        <v>-0.99172369999999999</v>
      </c>
      <c r="S1203">
        <v>-0.17643739999999999</v>
      </c>
      <c r="T1203">
        <v>-0.15932679999999999</v>
      </c>
      <c r="U1203">
        <v>-2.999603</v>
      </c>
      <c r="V1203">
        <v>0.1318677</v>
      </c>
      <c r="W1203">
        <v>-0.1200152</v>
      </c>
      <c r="X1203">
        <v>0.98397520000000005</v>
      </c>
      <c r="Y1203">
        <v>0.15909329999999999</v>
      </c>
      <c r="Z1203">
        <v>4.6326050000000001E-2</v>
      </c>
      <c r="AA1203">
        <v>0.9861761</v>
      </c>
      <c r="AB1203">
        <v>25</v>
      </c>
      <c r="AC1203">
        <v>-1.2518</v>
      </c>
      <c r="AD1203">
        <v>-1.1137404239440001</v>
      </c>
      <c r="AE1203">
        <v>-20.707899999999899</v>
      </c>
      <c r="AF1203">
        <v>3.3260874557544202</v>
      </c>
      <c r="AG1203">
        <v>-1.1137404239440001</v>
      </c>
      <c r="AH1203">
        <v>20.416932101716</v>
      </c>
      <c r="AI1203">
        <v>93.081834191490003</v>
      </c>
      <c r="AJ1203">
        <v>80.747323883016193</v>
      </c>
      <c r="AK1203">
        <v>20.716041898522398</v>
      </c>
      <c r="AL1203">
        <v>96.892980047904004</v>
      </c>
      <c r="AM1203">
        <v>82.366970575720401</v>
      </c>
      <c r="AN1203">
        <v>0.99999996637468402</v>
      </c>
    </row>
    <row r="1204" spans="1:40" x14ac:dyDescent="0.25">
      <c r="A1204" t="str">
        <f>"20190303154443620"</f>
        <v>20190303154443620</v>
      </c>
      <c r="B1204" t="str">
        <f>"1551599083612003"</f>
        <v>1551599083612003</v>
      </c>
      <c r="C1204" t="s">
        <v>40</v>
      </c>
      <c r="D1204">
        <v>5.3698759999999996</v>
      </c>
      <c r="E1204">
        <v>0.4876895</v>
      </c>
      <c r="F1204" t="s">
        <v>41</v>
      </c>
      <c r="G1204">
        <v>-192.3329</v>
      </c>
      <c r="H1204" s="1">
        <v>-4.3318639999999998E-6</v>
      </c>
      <c r="I1204">
        <v>328.50020000000001</v>
      </c>
      <c r="J1204">
        <v>-191.0145</v>
      </c>
      <c r="K1204">
        <v>1.1138319999999999</v>
      </c>
      <c r="L1204">
        <v>349.26080000000002</v>
      </c>
      <c r="M1204">
        <v>9.2464379999999999E-2</v>
      </c>
      <c r="N1204">
        <v>-5.8955980000000002E-3</v>
      </c>
      <c r="O1204">
        <v>-0.99569879999999999</v>
      </c>
      <c r="P1204">
        <v>-3.6819560000000001E-2</v>
      </c>
      <c r="Q1204">
        <v>-0.1230991</v>
      </c>
      <c r="R1204">
        <v>-0.99171129999999996</v>
      </c>
      <c r="S1204">
        <v>-0.1859894</v>
      </c>
      <c r="T1204">
        <v>-0.15900639999999999</v>
      </c>
      <c r="U1204">
        <v>-2.99884</v>
      </c>
      <c r="V1204">
        <v>0.12666369999999999</v>
      </c>
      <c r="W1204">
        <v>-0.1191266</v>
      </c>
      <c r="X1204">
        <v>0.98476649999999999</v>
      </c>
      <c r="Y1204">
        <v>0.15383069999999999</v>
      </c>
      <c r="Z1204">
        <v>4.6337410000000002E-2</v>
      </c>
      <c r="AA1204">
        <v>0.9870101</v>
      </c>
      <c r="AB1204">
        <v>25</v>
      </c>
      <c r="AC1204">
        <v>-1.31839999999999</v>
      </c>
      <c r="AD1204">
        <v>-1.1138363318640001</v>
      </c>
      <c r="AE1204">
        <v>-20.7606</v>
      </c>
      <c r="AF1204">
        <v>3.2231601109549701</v>
      </c>
      <c r="AG1204">
        <v>-1.1138363318640001</v>
      </c>
      <c r="AH1204">
        <v>20.491005265424</v>
      </c>
      <c r="AI1204">
        <v>93.073665190104293</v>
      </c>
      <c r="AJ1204">
        <v>81.060828159648807</v>
      </c>
      <c r="AK1204">
        <v>20.7728353688818</v>
      </c>
      <c r="AL1204">
        <v>96.841699223198404</v>
      </c>
      <c r="AM1204">
        <v>82.670682093078497</v>
      </c>
      <c r="AN1204">
        <v>0.99999994962374805</v>
      </c>
    </row>
    <row r="1205" spans="1:40" x14ac:dyDescent="0.25">
      <c r="A1205" t="str">
        <f>"20190303154443644"</f>
        <v>20190303154443644</v>
      </c>
      <c r="B1205" t="str">
        <f>"1551599083631523"</f>
        <v>1551599083631523</v>
      </c>
      <c r="C1205" t="s">
        <v>40</v>
      </c>
      <c r="D1205">
        <v>5.3891140000000002</v>
      </c>
      <c r="E1205">
        <v>0.48749300000000001</v>
      </c>
      <c r="F1205" t="s">
        <v>41</v>
      </c>
      <c r="G1205">
        <v>-191.078</v>
      </c>
      <c r="H1205" s="1">
        <v>-1.1340930000000001E-6</v>
      </c>
      <c r="I1205">
        <v>331.5641</v>
      </c>
      <c r="J1205">
        <v>-191</v>
      </c>
      <c r="K1205">
        <v>1.1139209999999999</v>
      </c>
      <c r="L1205">
        <v>349.00119999999998</v>
      </c>
      <c r="M1205">
        <v>8.3689739999999999E-2</v>
      </c>
      <c r="N1205">
        <v>-5.8775009999999898E-3</v>
      </c>
      <c r="O1205">
        <v>-0.99647459999999999</v>
      </c>
      <c r="P1205">
        <v>-4.0710709999999997E-2</v>
      </c>
      <c r="Q1205">
        <v>-0.1230844</v>
      </c>
      <c r="R1205">
        <v>-0.99156120000000003</v>
      </c>
      <c r="S1205">
        <v>-1.077271E-2</v>
      </c>
      <c r="T1205">
        <v>-0.18889710000000001</v>
      </c>
      <c r="U1205">
        <v>-3.0012210000000001</v>
      </c>
      <c r="V1205">
        <v>0.1218817</v>
      </c>
      <c r="W1205">
        <v>-0.11903030000000001</v>
      </c>
      <c r="X1205">
        <v>0.98538150000000002</v>
      </c>
      <c r="Y1205">
        <v>8.724374E-2</v>
      </c>
      <c r="Z1205">
        <v>5.6497619999999998E-2</v>
      </c>
      <c r="AA1205">
        <v>0.99458360000000001</v>
      </c>
      <c r="AB1205">
        <v>25</v>
      </c>
      <c r="AC1205">
        <v>-7.80000000000029E-2</v>
      </c>
      <c r="AD1205">
        <v>-1.1139221340929999</v>
      </c>
      <c r="AE1205">
        <v>-17.437099999999901</v>
      </c>
      <c r="AF1205">
        <v>1.53081078548136</v>
      </c>
      <c r="AG1205">
        <v>-1.1139221340929999</v>
      </c>
      <c r="AH1205">
        <v>17.298804073307601</v>
      </c>
      <c r="AI1205">
        <v>93.6700587473062</v>
      </c>
      <c r="AJ1205">
        <v>84.942938238181895</v>
      </c>
      <c r="AK1205">
        <v>17.402092591077999</v>
      </c>
      <c r="AL1205">
        <v>96.836141541801197</v>
      </c>
      <c r="AM1205">
        <v>82.948906156277005</v>
      </c>
      <c r="AN1205">
        <v>1.00000003082761</v>
      </c>
    </row>
    <row r="1206" spans="1:40" x14ac:dyDescent="0.25">
      <c r="A1206" t="str">
        <f>"20190303154443666"</f>
        <v>20190303154443666</v>
      </c>
      <c r="B1206" t="str">
        <f>"1551599083661779"</f>
        <v>1551599083661779</v>
      </c>
      <c r="C1206" t="s">
        <v>40</v>
      </c>
      <c r="D1206">
        <v>5.4974679999999996</v>
      </c>
      <c r="E1206">
        <v>0.48685539999999999</v>
      </c>
      <c r="F1206" t="s">
        <v>42</v>
      </c>
      <c r="G1206">
        <v>-191.00649999999999</v>
      </c>
      <c r="H1206">
        <v>1.05321</v>
      </c>
      <c r="I1206">
        <v>348.05619999999999</v>
      </c>
      <c r="J1206">
        <v>-190.98750000000001</v>
      </c>
      <c r="K1206">
        <v>1.1139870000000001</v>
      </c>
      <c r="L1206">
        <v>348.73970000000003</v>
      </c>
      <c r="M1206">
        <v>7.5047619999999995E-2</v>
      </c>
      <c r="N1206">
        <v>-5.86244E-3</v>
      </c>
      <c r="O1206">
        <v>-0.99716289999999996</v>
      </c>
      <c r="P1206">
        <v>-4.458529E-2</v>
      </c>
      <c r="Q1206">
        <v>-0.1231729</v>
      </c>
      <c r="R1206">
        <v>-0.99138320000000002</v>
      </c>
      <c r="S1206">
        <v>-2.105713E-2</v>
      </c>
      <c r="T1206">
        <v>-0.19283739999999999</v>
      </c>
      <c r="U1206">
        <v>-3.0007320000000002</v>
      </c>
      <c r="V1206">
        <v>0.1172103</v>
      </c>
      <c r="W1206">
        <v>-0.11904389999999899</v>
      </c>
      <c r="X1206">
        <v>0.9859464</v>
      </c>
      <c r="Y1206">
        <v>8.2015480000000002E-2</v>
      </c>
      <c r="Z1206">
        <v>5.7898190000000002E-2</v>
      </c>
      <c r="AA1206">
        <v>0.9949479</v>
      </c>
      <c r="AB1206">
        <v>25</v>
      </c>
      <c r="AC1206">
        <v>-1.8999999999977001E-2</v>
      </c>
      <c r="AD1206">
        <v>-6.0776999999999998E-2</v>
      </c>
      <c r="AE1206">
        <v>-0.68350000000003697</v>
      </c>
      <c r="AF1206">
        <v>6.9691723731162294E-2</v>
      </c>
      <c r="AG1206">
        <v>-6.0776999999999998E-2</v>
      </c>
      <c r="AH1206">
        <v>0.674814985647886</v>
      </c>
      <c r="AI1206">
        <v>95.119358258883906</v>
      </c>
      <c r="AJ1206">
        <v>84.103664602734298</v>
      </c>
      <c r="AK1206">
        <v>0.68112116759103702</v>
      </c>
      <c r="AL1206">
        <v>96.836926527993597</v>
      </c>
      <c r="AM1206">
        <v>83.220438426261097</v>
      </c>
      <c r="AN1206">
        <v>1.0000000041131201</v>
      </c>
    </row>
    <row r="1207" spans="1:40" x14ac:dyDescent="0.25">
      <c r="A1207" t="str">
        <f>"20190303154443689"</f>
        <v>20190303154443689</v>
      </c>
      <c r="B1207" t="str">
        <f>"1551599083681299"</f>
        <v>1551599083681299</v>
      </c>
      <c r="C1207" t="s">
        <v>40</v>
      </c>
      <c r="D1207">
        <v>5.3873860000000002</v>
      </c>
      <c r="E1207">
        <v>0.48671819999999999</v>
      </c>
      <c r="F1207" t="s">
        <v>42</v>
      </c>
      <c r="G1207">
        <v>-190.99600000000001</v>
      </c>
      <c r="H1207">
        <v>1.0531569999999999</v>
      </c>
      <c r="I1207">
        <v>347.82479999999998</v>
      </c>
      <c r="J1207">
        <v>-190.97659999999999</v>
      </c>
      <c r="K1207">
        <v>1.1140300000000001</v>
      </c>
      <c r="L1207">
        <v>348.46949999999998</v>
      </c>
      <c r="M1207">
        <v>6.6275390000000003E-2</v>
      </c>
      <c r="N1207">
        <v>-5.8506629999999999E-3</v>
      </c>
      <c r="O1207">
        <v>-0.99778429999999996</v>
      </c>
      <c r="P1207">
        <v>-4.8056429999999997E-2</v>
      </c>
      <c r="Q1207">
        <v>-0.12391190000000001</v>
      </c>
      <c r="R1207">
        <v>-0.99112880000000003</v>
      </c>
      <c r="S1207">
        <v>-2.7633669999999999E-2</v>
      </c>
      <c r="T1207">
        <v>-0.19947670000000001</v>
      </c>
      <c r="U1207">
        <v>-3.000092</v>
      </c>
      <c r="V1207">
        <v>0.1119914</v>
      </c>
      <c r="W1207">
        <v>-0.1197056</v>
      </c>
      <c r="X1207">
        <v>0.98647269999999998</v>
      </c>
      <c r="Y1207">
        <v>7.5431100000000001E-2</v>
      </c>
      <c r="Z1207">
        <v>6.0188449999999998E-2</v>
      </c>
      <c r="AA1207">
        <v>0.99533280000000002</v>
      </c>
      <c r="AB1207">
        <v>25</v>
      </c>
      <c r="AC1207">
        <v>-1.93999999999903E-2</v>
      </c>
      <c r="AD1207">
        <v>-6.0872999999999899E-2</v>
      </c>
      <c r="AE1207">
        <v>-0.64470000000000005</v>
      </c>
      <c r="AF1207">
        <v>6.1537688551410702E-2</v>
      </c>
      <c r="AG1207">
        <v>-6.0872999999999899E-2</v>
      </c>
      <c r="AH1207">
        <v>0.63632882463395202</v>
      </c>
      <c r="AI1207">
        <v>95.439224146267406</v>
      </c>
      <c r="AJ1207">
        <v>84.476252925081297</v>
      </c>
      <c r="AK1207">
        <v>0.64218905495288303</v>
      </c>
      <c r="AL1207">
        <v>96.875112602190697</v>
      </c>
      <c r="AM1207">
        <v>83.523106049282006</v>
      </c>
      <c r="AN1207">
        <v>0.99999994609530296</v>
      </c>
    </row>
    <row r="1208" spans="1:40" x14ac:dyDescent="0.25">
      <c r="A1208" t="str">
        <f>"20190303154443711"</f>
        <v>20190303154443711</v>
      </c>
      <c r="B1208" t="str">
        <f>"1551599083701795"</f>
        <v>1551599083701795</v>
      </c>
      <c r="C1208" t="s">
        <v>40</v>
      </c>
      <c r="D1208">
        <v>5.3851469999999999</v>
      </c>
      <c r="E1208">
        <v>0.4864212</v>
      </c>
      <c r="F1208" t="s">
        <v>42</v>
      </c>
      <c r="G1208">
        <v>-190.98750000000001</v>
      </c>
      <c r="H1208">
        <v>1.0545009999999999</v>
      </c>
      <c r="I1208">
        <v>347.59109999999998</v>
      </c>
      <c r="J1208">
        <v>-190.9684</v>
      </c>
      <c r="K1208">
        <v>1.114066</v>
      </c>
      <c r="L1208">
        <v>348.21159999999998</v>
      </c>
      <c r="M1208">
        <v>5.8031880000000001E-2</v>
      </c>
      <c r="N1208">
        <v>-5.8423290000000003E-3</v>
      </c>
      <c r="O1208">
        <v>-0.99829789999999996</v>
      </c>
      <c r="P1208">
        <v>-5.0651799999999997E-2</v>
      </c>
      <c r="Q1208">
        <v>-0.1228991</v>
      </c>
      <c r="R1208">
        <v>-0.99112610000000001</v>
      </c>
      <c r="S1208">
        <v>-3.694153E-2</v>
      </c>
      <c r="T1208">
        <v>-0.20323959999999999</v>
      </c>
      <c r="U1208">
        <v>-2.9996640000000001</v>
      </c>
      <c r="V1208">
        <v>0.1064591</v>
      </c>
      <c r="W1208">
        <v>-0.11861240000000001</v>
      </c>
      <c r="X1208">
        <v>0.98721709999999996</v>
      </c>
      <c r="Y1208">
        <v>7.0283360000000003E-2</v>
      </c>
      <c r="Z1208">
        <v>6.1510000000000002E-2</v>
      </c>
      <c r="AA1208">
        <v>0.99562879999999998</v>
      </c>
      <c r="AB1208">
        <v>26</v>
      </c>
      <c r="AC1208">
        <v>-1.91000000000087E-2</v>
      </c>
      <c r="AD1208">
        <v>-5.9564999999999799E-2</v>
      </c>
      <c r="AE1208">
        <v>-0.62049999999999195</v>
      </c>
      <c r="AF1208">
        <v>5.4574762546979301E-2</v>
      </c>
      <c r="AG1208">
        <v>-5.9564999999999799E-2</v>
      </c>
      <c r="AH1208">
        <v>0.61270505118358198</v>
      </c>
      <c r="AI1208">
        <v>95.530881974526295</v>
      </c>
      <c r="AJ1208">
        <v>84.909992502336294</v>
      </c>
      <c r="AK1208">
        <v>0.61800798836093995</v>
      </c>
      <c r="AL1208">
        <v>96.812026859440394</v>
      </c>
      <c r="AM1208">
        <v>83.845146575647306</v>
      </c>
      <c r="AN1208">
        <v>1.00000002196948</v>
      </c>
    </row>
    <row r="1209" spans="1:40" x14ac:dyDescent="0.25">
      <c r="A1209" t="str">
        <f>"20190303154443734"</f>
        <v>20190303154443734</v>
      </c>
      <c r="B1209" t="str">
        <f>"1551599083732051"</f>
        <v>1551599083732051</v>
      </c>
      <c r="C1209" t="s">
        <v>40</v>
      </c>
      <c r="D1209">
        <v>5.4113389999999999</v>
      </c>
      <c r="E1209">
        <v>0.48629539999999999</v>
      </c>
      <c r="F1209" t="s">
        <v>42</v>
      </c>
      <c r="G1209">
        <v>-190.98060000000001</v>
      </c>
      <c r="H1209">
        <v>1.0558609999999999</v>
      </c>
      <c r="I1209">
        <v>347.35050000000001</v>
      </c>
      <c r="J1209">
        <v>-190.96170000000001</v>
      </c>
      <c r="K1209">
        <v>1.114093</v>
      </c>
      <c r="L1209">
        <v>347.94060000000002</v>
      </c>
      <c r="M1209">
        <v>4.9499809999999998E-2</v>
      </c>
      <c r="N1209">
        <v>-5.8347869999999897E-3</v>
      </c>
      <c r="O1209">
        <v>-0.99875720000000001</v>
      </c>
      <c r="P1209">
        <v>-5.2469759999999997E-2</v>
      </c>
      <c r="Q1209">
        <v>-0.12032950000000001</v>
      </c>
      <c r="R1209">
        <v>-0.99134670000000003</v>
      </c>
      <c r="S1209">
        <v>-4.2160030000000001E-2</v>
      </c>
      <c r="T1209">
        <v>-0.20269419999999999</v>
      </c>
      <c r="U1209">
        <v>-2.9995419999999999</v>
      </c>
      <c r="V1209">
        <v>9.9895670000000006E-2</v>
      </c>
      <c r="W1209">
        <v>-0.1159475</v>
      </c>
      <c r="X1209">
        <v>0.98821910000000002</v>
      </c>
      <c r="Y1209">
        <v>6.3492389999999996E-2</v>
      </c>
      <c r="Z1209">
        <v>6.1401369999999997E-2</v>
      </c>
      <c r="AA1209">
        <v>0.99609170000000002</v>
      </c>
      <c r="AB1209">
        <v>26</v>
      </c>
      <c r="AC1209">
        <v>-1.8900000000002099E-2</v>
      </c>
      <c r="AD1209">
        <v>-5.8231999999999798E-2</v>
      </c>
      <c r="AE1209">
        <v>-0.59010000000000595</v>
      </c>
      <c r="AF1209">
        <v>4.7623873617929503E-2</v>
      </c>
      <c r="AG1209">
        <v>-5.8231999999999798E-2</v>
      </c>
      <c r="AH1209">
        <v>0.58277178168482202</v>
      </c>
      <c r="AI1209">
        <v>95.687361490990995</v>
      </c>
      <c r="AJ1209">
        <v>85.3281932681424</v>
      </c>
      <c r="AK1209">
        <v>0.58760696787093902</v>
      </c>
      <c r="AL1209">
        <v>96.658278546810806</v>
      </c>
      <c r="AM1209">
        <v>84.227774566052901</v>
      </c>
      <c r="AN1209">
        <v>0.99999997862290402</v>
      </c>
    </row>
    <row r="1210" spans="1:40" x14ac:dyDescent="0.25">
      <c r="A1210" t="str">
        <f>"20190303154443776"</f>
        <v>20190303154443776</v>
      </c>
      <c r="B1210" t="str">
        <f>"1551599083772067"</f>
        <v>1551599083772067</v>
      </c>
      <c r="C1210" t="s">
        <v>40</v>
      </c>
      <c r="D1210">
        <v>5.4946900000000003</v>
      </c>
      <c r="E1210">
        <v>0.48618919999999999</v>
      </c>
      <c r="F1210" t="s">
        <v>41</v>
      </c>
      <c r="G1210">
        <v>-191.22389999999999</v>
      </c>
      <c r="H1210" s="1">
        <v>-9.1888060000000004E-7</v>
      </c>
      <c r="I1210">
        <v>330.97199999999998</v>
      </c>
      <c r="J1210">
        <v>-190.95519999999999</v>
      </c>
      <c r="K1210">
        <v>1.1141909999999999</v>
      </c>
      <c r="L1210">
        <v>347.43770000000001</v>
      </c>
      <c r="M1210">
        <v>3.4052989999999998E-2</v>
      </c>
      <c r="N1210">
        <v>-5.8196309999999996E-3</v>
      </c>
      <c r="O1210">
        <v>-0.99940320000000005</v>
      </c>
      <c r="P1210">
        <v>-5.3080450000000001E-2</v>
      </c>
      <c r="Q1210">
        <v>-0.1170301</v>
      </c>
      <c r="R1210">
        <v>-0.99170899999999995</v>
      </c>
      <c r="S1210">
        <v>-4.6340939999999997E-2</v>
      </c>
      <c r="T1210">
        <v>-0.19695840000000001</v>
      </c>
      <c r="U1210">
        <v>-2.9998469999999999</v>
      </c>
      <c r="V1210">
        <v>8.5305039999999999E-2</v>
      </c>
      <c r="W1210">
        <v>-0.11243690000000001</v>
      </c>
      <c r="X1210">
        <v>0.98999040000000005</v>
      </c>
      <c r="Y1210">
        <v>4.944867E-2</v>
      </c>
      <c r="Z1210">
        <v>5.9604400000000002E-2</v>
      </c>
      <c r="AA1210">
        <v>0.99699660000000001</v>
      </c>
      <c r="AB1210">
        <v>26</v>
      </c>
      <c r="AC1210">
        <v>-0.268699999999995</v>
      </c>
      <c r="AD1210">
        <v>-1.1141919188806</v>
      </c>
      <c r="AE1210">
        <v>-16.465699999999998</v>
      </c>
      <c r="AF1210">
        <v>0.82548112882179103</v>
      </c>
      <c r="AG1210">
        <v>-1.1141919188806</v>
      </c>
      <c r="AH1210">
        <v>16.372054080686802</v>
      </c>
      <c r="AI1210">
        <v>93.8883084244938</v>
      </c>
      <c r="AJ1210">
        <v>87.113583514035497</v>
      </c>
      <c r="AK1210">
        <v>16.430672461803699</v>
      </c>
      <c r="AL1210">
        <v>96.4558113339004</v>
      </c>
      <c r="AM1210">
        <v>85.0751282399129</v>
      </c>
      <c r="AN1210">
        <v>0.999999999211585</v>
      </c>
    </row>
    <row r="1211" spans="1:40" x14ac:dyDescent="0.25">
      <c r="A1211" t="str">
        <f>"20190303154443800"</f>
        <v>20190303154443800</v>
      </c>
      <c r="B1211" t="str">
        <f>"1551599083791587"</f>
        <v>1551599083791587</v>
      </c>
      <c r="C1211" t="s">
        <v>40</v>
      </c>
      <c r="D1211">
        <v>5.4480879999999896</v>
      </c>
      <c r="E1211">
        <v>0.4785316</v>
      </c>
      <c r="F1211" t="s">
        <v>41</v>
      </c>
      <c r="G1211">
        <v>-191.22710000000001</v>
      </c>
      <c r="H1211" s="1">
        <v>-5.3036769999999997E-7</v>
      </c>
      <c r="I1211">
        <v>330.06439999999998</v>
      </c>
      <c r="J1211">
        <v>-190.9545</v>
      </c>
      <c r="K1211">
        <v>1.114249</v>
      </c>
      <c r="L1211">
        <v>347.15929999999997</v>
      </c>
      <c r="M1211">
        <v>2.570101E-2</v>
      </c>
      <c r="N1211">
        <v>-5.8113030000000003E-3</v>
      </c>
      <c r="O1211">
        <v>-0.99965289999999996</v>
      </c>
      <c r="P1211">
        <v>-5.4707810000000003E-2</v>
      </c>
      <c r="Q1211">
        <v>-0.1165086</v>
      </c>
      <c r="R1211">
        <v>-0.99168190000000001</v>
      </c>
      <c r="S1211">
        <v>-4.695129E-2</v>
      </c>
      <c r="T1211">
        <v>-0.19238649999999999</v>
      </c>
      <c r="U1211">
        <v>-2.9998469999999999</v>
      </c>
      <c r="V1211">
        <v>7.8683089999999997E-2</v>
      </c>
      <c r="W1211">
        <v>-0.11182019999999999</v>
      </c>
      <c r="X1211">
        <v>0.9906085</v>
      </c>
      <c r="Y1211">
        <v>4.1307539999999997E-2</v>
      </c>
      <c r="Z1211">
        <v>5.8136069999999998E-2</v>
      </c>
      <c r="AA1211">
        <v>0.9974537</v>
      </c>
      <c r="AB1211">
        <v>26</v>
      </c>
      <c r="AC1211">
        <v>-0.272600000000011</v>
      </c>
      <c r="AD1211">
        <v>-1.1142495303677</v>
      </c>
      <c r="AE1211">
        <v>-17.0948999999999</v>
      </c>
      <c r="AF1211">
        <v>0.70886270273966301</v>
      </c>
      <c r="AG1211">
        <v>-1.1142495303677</v>
      </c>
      <c r="AH1211">
        <v>17.0099987456551</v>
      </c>
      <c r="AI1211">
        <v>93.744596853800701</v>
      </c>
      <c r="AJ1211">
        <v>87.613676828633004</v>
      </c>
      <c r="AK1211">
        <v>17.061186819047801</v>
      </c>
      <c r="AL1211">
        <v>96.420252823387997</v>
      </c>
      <c r="AM1211">
        <v>85.458585324664398</v>
      </c>
      <c r="AN1211">
        <v>0.99999999302611897</v>
      </c>
    </row>
    <row r="1212" spans="1:40" x14ac:dyDescent="0.25">
      <c r="A1212" t="str">
        <f>"20190303154443825"</f>
        <v>20190303154443825</v>
      </c>
      <c r="B1212" t="str">
        <f>"1551599083821843"</f>
        <v>1551599083821843</v>
      </c>
      <c r="C1212" t="s">
        <v>40</v>
      </c>
      <c r="D1212">
        <v>5.4743589999999998</v>
      </c>
      <c r="E1212">
        <v>0.47887289999999999</v>
      </c>
      <c r="F1212" t="s">
        <v>42</v>
      </c>
      <c r="G1212">
        <v>-190.95269999999999</v>
      </c>
      <c r="H1212">
        <v>1.043121</v>
      </c>
      <c r="I1212">
        <v>346.4203</v>
      </c>
      <c r="J1212">
        <v>-190.9562</v>
      </c>
      <c r="K1212">
        <v>1.1143430000000001</v>
      </c>
      <c r="L1212">
        <v>346.86840000000001</v>
      </c>
      <c r="M1212">
        <v>1.7223059999999998E-2</v>
      </c>
      <c r="N1212">
        <v>-5.8010989999999997E-3</v>
      </c>
      <c r="O1212">
        <v>-0.99983480000000002</v>
      </c>
      <c r="P1212">
        <v>-5.627882E-2</v>
      </c>
      <c r="Q1212">
        <v>-0.11535869999999999</v>
      </c>
      <c r="R1212">
        <v>-0.99172830000000001</v>
      </c>
      <c r="S1212">
        <v>7.8125E-3</v>
      </c>
      <c r="T1212">
        <v>-0.2879565</v>
      </c>
      <c r="U1212">
        <v>-2.9917600000000002</v>
      </c>
      <c r="V1212">
        <v>7.189632E-2</v>
      </c>
      <c r="W1212">
        <v>-0.110569899999999</v>
      </c>
      <c r="X1212">
        <v>0.99126449999999999</v>
      </c>
      <c r="Y1212">
        <v>1.461864E-2</v>
      </c>
      <c r="Z1212">
        <v>9.0004650000000005E-2</v>
      </c>
      <c r="AA1212">
        <v>0.99583410000000006</v>
      </c>
      <c r="AB1212">
        <v>26</v>
      </c>
      <c r="AC1212">
        <v>3.5000000000024998E-3</v>
      </c>
      <c r="AD1212">
        <v>-7.1222000000000105E-2</v>
      </c>
      <c r="AE1212">
        <v>-0.44810000000000999</v>
      </c>
      <c r="AF1212">
        <v>4.1143691313020201E-3</v>
      </c>
      <c r="AG1212">
        <v>-7.1222000000000105E-2</v>
      </c>
      <c r="AH1212">
        <v>0.437053372692081</v>
      </c>
      <c r="AI1212">
        <v>99.255131586434103</v>
      </c>
      <c r="AJ1212">
        <v>89.460640191913797</v>
      </c>
      <c r="AK1212">
        <v>0.44283761346442901</v>
      </c>
      <c r="AL1212">
        <v>96.348168544132605</v>
      </c>
      <c r="AM1212">
        <v>85.851606707405907</v>
      </c>
      <c r="AN1212">
        <v>1.0000000462879</v>
      </c>
    </row>
    <row r="1213" spans="1:40" x14ac:dyDescent="0.25">
      <c r="A1213" t="str">
        <f>"20190303154443845"</f>
        <v>20190303154443845</v>
      </c>
      <c r="B1213" t="str">
        <f>"1551599083841363"</f>
        <v>1551599083841363</v>
      </c>
      <c r="C1213" t="s">
        <v>40</v>
      </c>
      <c r="D1213">
        <v>5.5144129999999896</v>
      </c>
      <c r="E1213">
        <v>0.4787421</v>
      </c>
      <c r="F1213" t="s">
        <v>42</v>
      </c>
      <c r="G1213">
        <v>-190.9563</v>
      </c>
      <c r="H1213">
        <v>1.026743</v>
      </c>
      <c r="I1213">
        <v>345.95100000000002</v>
      </c>
      <c r="J1213">
        <v>-190.95920000000001</v>
      </c>
      <c r="K1213">
        <v>1.1144510000000001</v>
      </c>
      <c r="L1213">
        <v>346.62799999999999</v>
      </c>
      <c r="M1213">
        <v>1.042262E-2</v>
      </c>
      <c r="N1213">
        <v>-5.7901109999999997E-3</v>
      </c>
      <c r="O1213">
        <v>-0.99992910000000002</v>
      </c>
      <c r="P1213">
        <v>-5.659728E-2</v>
      </c>
      <c r="Q1213">
        <v>-0.113331399999999</v>
      </c>
      <c r="R1213">
        <v>-0.9919441</v>
      </c>
      <c r="S1213">
        <v>2.5939939999999997E-4</v>
      </c>
      <c r="T1213">
        <v>-0.28562379999999998</v>
      </c>
      <c r="U1213">
        <v>-2.9918209999999998</v>
      </c>
      <c r="V1213">
        <v>6.5531430000000002E-2</v>
      </c>
      <c r="W1213">
        <v>-0.10844910000000001</v>
      </c>
      <c r="X1213">
        <v>0.99193969999999998</v>
      </c>
      <c r="Y1213">
        <v>1.0333419999999999E-2</v>
      </c>
      <c r="Z1213">
        <v>8.9260350000000002E-2</v>
      </c>
      <c r="AA1213">
        <v>0.99595480000000003</v>
      </c>
      <c r="AB1213">
        <v>26</v>
      </c>
      <c r="AC1213">
        <v>2.9000000000110001E-3</v>
      </c>
      <c r="AD1213">
        <v>-8.7708000000000105E-2</v>
      </c>
      <c r="AE1213">
        <v>-0.67700000000007698</v>
      </c>
      <c r="AF1213">
        <v>4.0877793560372497E-3</v>
      </c>
      <c r="AG1213">
        <v>-8.7708000000000105E-2</v>
      </c>
      <c r="AH1213">
        <v>0.66581841673744602</v>
      </c>
      <c r="AI1213">
        <v>97.504203052214294</v>
      </c>
      <c r="AJ1213">
        <v>89.648238083959299</v>
      </c>
      <c r="AK1213">
        <v>0.67158288190723203</v>
      </c>
      <c r="AL1213">
        <v>96.225920869969201</v>
      </c>
      <c r="AM1213">
        <v>86.220308279810993</v>
      </c>
      <c r="AN1213">
        <v>0.99999997202237201</v>
      </c>
    </row>
    <row r="1214" spans="1:40" x14ac:dyDescent="0.25">
      <c r="A1214" t="str">
        <f>"20190303154443866"</f>
        <v>20190303154443866</v>
      </c>
      <c r="B1214" t="str">
        <f>"1551599083861859"</f>
        <v>1551599083861859</v>
      </c>
      <c r="C1214" t="s">
        <v>40</v>
      </c>
      <c r="D1214">
        <v>5.4699499999999999</v>
      </c>
      <c r="E1214">
        <v>0.47919850000000003</v>
      </c>
      <c r="F1214" t="s">
        <v>42</v>
      </c>
      <c r="G1214">
        <v>-190.95920000000001</v>
      </c>
      <c r="H1214">
        <v>1.0273600000000001</v>
      </c>
      <c r="I1214">
        <v>345.71</v>
      </c>
      <c r="J1214">
        <v>-190.964</v>
      </c>
      <c r="K1214">
        <v>1.114563</v>
      </c>
      <c r="L1214">
        <v>346.36970000000002</v>
      </c>
      <c r="M1214">
        <v>3.3187680000000002E-3</v>
      </c>
      <c r="N1214">
        <v>-5.7773010000000003E-3</v>
      </c>
      <c r="O1214">
        <v>-0.99997800000000003</v>
      </c>
      <c r="P1214">
        <v>-5.8674900000000002E-2</v>
      </c>
      <c r="Q1214">
        <v>-0.1120353</v>
      </c>
      <c r="R1214">
        <v>-0.99197080000000004</v>
      </c>
      <c r="S1214">
        <v>1.3732910000000001E-4</v>
      </c>
      <c r="T1214">
        <v>-0.28382249999999998</v>
      </c>
      <c r="U1214">
        <v>-2.991943</v>
      </c>
      <c r="V1214">
        <v>6.0611909999999998E-2</v>
      </c>
      <c r="W1214">
        <v>-0.10708189999999999</v>
      </c>
      <c r="X1214">
        <v>0.99240090000000003</v>
      </c>
      <c r="Y1214">
        <v>3.272156E-3</v>
      </c>
      <c r="Z1214">
        <v>8.8684230000000003E-2</v>
      </c>
      <c r="AA1214">
        <v>0.99605440000000001</v>
      </c>
      <c r="AB1214">
        <v>26</v>
      </c>
      <c r="AC1214">
        <v>4.8000000000172297E-3</v>
      </c>
      <c r="AD1214">
        <v>-8.7202999999999906E-2</v>
      </c>
      <c r="AE1214">
        <v>-0.65970000000004303</v>
      </c>
      <c r="AF1214">
        <v>-2.5657175476796602E-3</v>
      </c>
      <c r="AG1214">
        <v>-8.7202999999999906E-2</v>
      </c>
      <c r="AH1214">
        <v>0.64838362702267105</v>
      </c>
      <c r="AI1214">
        <v>97.659852442484095</v>
      </c>
      <c r="AJ1214">
        <v>90.226723830596001</v>
      </c>
      <c r="AK1214">
        <v>0.65422646989143496</v>
      </c>
      <c r="AL1214">
        <v>96.147127391709404</v>
      </c>
      <c r="AM1214">
        <v>86.504942621552004</v>
      </c>
      <c r="AN1214">
        <v>0.99999994163113204</v>
      </c>
    </row>
    <row r="1215" spans="1:40" x14ac:dyDescent="0.25">
      <c r="A1215" t="str">
        <f>"20190303154443889"</f>
        <v>20190303154443889</v>
      </c>
      <c r="B1215" t="str">
        <f>"1551599083881379"</f>
        <v>1551599083881379</v>
      </c>
      <c r="C1215" t="s">
        <v>40</v>
      </c>
      <c r="D1215">
        <v>5.4679180000000001</v>
      </c>
      <c r="E1215">
        <v>0.47918850000000002</v>
      </c>
      <c r="F1215" t="s">
        <v>42</v>
      </c>
      <c r="G1215">
        <v>-190.96709999999999</v>
      </c>
      <c r="H1215">
        <v>1.030465</v>
      </c>
      <c r="I1215">
        <v>345.46690000000001</v>
      </c>
      <c r="J1215">
        <v>-190.971</v>
      </c>
      <c r="K1215">
        <v>1.1146969999999901</v>
      </c>
      <c r="L1215">
        <v>346.09190000000001</v>
      </c>
      <c r="M1215">
        <v>-4.06471E-3</v>
      </c>
      <c r="N1215">
        <v>-5.7643929999999996E-3</v>
      </c>
      <c r="O1215">
        <v>-0.99997510000000001</v>
      </c>
      <c r="P1215">
        <v>-6.0263740000000003E-2</v>
      </c>
      <c r="Q1215">
        <v>-0.1107688</v>
      </c>
      <c r="R1215">
        <v>-0.99201740000000005</v>
      </c>
      <c r="S1215">
        <v>-9.7808840000000001E-3</v>
      </c>
      <c r="T1215">
        <v>-0.27867839999999999</v>
      </c>
      <c r="U1215">
        <v>-2.9922179999999998</v>
      </c>
      <c r="V1215">
        <v>5.4926589999999997E-2</v>
      </c>
      <c r="W1215">
        <v>-0.1057351</v>
      </c>
      <c r="X1215">
        <v>0.99287619999999999</v>
      </c>
      <c r="Y1215">
        <v>-8.08192E-4</v>
      </c>
      <c r="Z1215">
        <v>8.6990629999999999E-2</v>
      </c>
      <c r="AA1215">
        <v>0.99620880000000001</v>
      </c>
      <c r="AB1215">
        <v>27</v>
      </c>
      <c r="AC1215">
        <v>3.8999999999873498E-3</v>
      </c>
      <c r="AD1215">
        <v>-8.4231999999999793E-2</v>
      </c>
      <c r="AE1215">
        <v>-0.625</v>
      </c>
      <c r="AF1215">
        <v>-6.3255652851624596E-3</v>
      </c>
      <c r="AG1215">
        <v>-8.4231999999999793E-2</v>
      </c>
      <c r="AH1215">
        <v>0.61383024973784805</v>
      </c>
      <c r="AI1215">
        <v>97.813123817203106</v>
      </c>
      <c r="AJ1215">
        <v>90.590416268260199</v>
      </c>
      <c r="AK1215">
        <v>0.61961489498994904</v>
      </c>
      <c r="AL1215">
        <v>96.069520488033604</v>
      </c>
      <c r="AM1215">
        <v>86.833585826074199</v>
      </c>
      <c r="AN1215">
        <v>0.99999999509373905</v>
      </c>
    </row>
    <row r="1216" spans="1:40" x14ac:dyDescent="0.25">
      <c r="A1216" t="str">
        <f>"20190303154443911"</f>
        <v>20190303154443911</v>
      </c>
      <c r="B1216" t="str">
        <f>"1551599083901875"</f>
        <v>1551599083901875</v>
      </c>
      <c r="C1216" t="s">
        <v>40</v>
      </c>
      <c r="D1216">
        <v>5.5020629999999997</v>
      </c>
      <c r="E1216">
        <v>0.47915249999999998</v>
      </c>
      <c r="F1216" t="s">
        <v>42</v>
      </c>
      <c r="G1216">
        <v>-190.9753</v>
      </c>
      <c r="H1216">
        <v>1.033981</v>
      </c>
      <c r="I1216">
        <v>345.22160000000002</v>
      </c>
      <c r="J1216">
        <v>-190.97909999999999</v>
      </c>
      <c r="K1216">
        <v>1.1148439999999999</v>
      </c>
      <c r="L1216">
        <v>345.82920000000001</v>
      </c>
      <c r="M1216">
        <v>-1.0776350000000001E-2</v>
      </c>
      <c r="N1216">
        <v>-5.7522379999999998E-3</v>
      </c>
      <c r="O1216">
        <v>-0.99992539999999996</v>
      </c>
      <c r="P1216">
        <v>-6.2809710000000005E-2</v>
      </c>
      <c r="Q1216">
        <v>-0.1092733</v>
      </c>
      <c r="R1216">
        <v>-0.9920255</v>
      </c>
      <c r="S1216">
        <v>-1.4373779999999999E-2</v>
      </c>
      <c r="T1216">
        <v>-0.2774625</v>
      </c>
      <c r="U1216">
        <v>-2.9922789999999999</v>
      </c>
      <c r="V1216">
        <v>5.0865050000000002E-2</v>
      </c>
      <c r="W1216">
        <v>-0.10418139999999899</v>
      </c>
      <c r="X1216">
        <v>0.99325669999999999</v>
      </c>
      <c r="Y1216">
        <v>-5.9894709999999997E-3</v>
      </c>
      <c r="Z1216">
        <v>8.6591619999999994E-2</v>
      </c>
      <c r="AA1216">
        <v>0.9962259</v>
      </c>
      <c r="AB1216">
        <v>27</v>
      </c>
      <c r="AC1216">
        <v>3.7999999999840301E-3</v>
      </c>
      <c r="AD1216">
        <v>-8.0862999999999893E-2</v>
      </c>
      <c r="AE1216">
        <v>-0.60759999999999004</v>
      </c>
      <c r="AF1216">
        <v>-1.0167519219078601E-2</v>
      </c>
      <c r="AG1216">
        <v>-8.0862999999999893E-2</v>
      </c>
      <c r="AH1216">
        <v>0.59695106666422304</v>
      </c>
      <c r="AI1216">
        <v>97.713226044275004</v>
      </c>
      <c r="AJ1216">
        <v>90.975791229667493</v>
      </c>
      <c r="AK1216">
        <v>0.60248882081547706</v>
      </c>
      <c r="AL1216">
        <v>95.980005903801597</v>
      </c>
      <c r="AM1216">
        <v>87.068422434676506</v>
      </c>
      <c r="AN1216">
        <v>0.99999994475617404</v>
      </c>
    </row>
    <row r="1217" spans="1:40" x14ac:dyDescent="0.25">
      <c r="A1217" t="str">
        <f>"20190303154443936"</f>
        <v>20190303154443936</v>
      </c>
      <c r="B1217" t="str">
        <f>"1551599083931155"</f>
        <v>1551599083931155</v>
      </c>
      <c r="C1217" t="s">
        <v>40</v>
      </c>
      <c r="D1217">
        <v>5.5114830000000001</v>
      </c>
      <c r="E1217">
        <v>0.47935149999999999</v>
      </c>
      <c r="F1217" t="s">
        <v>42</v>
      </c>
      <c r="G1217">
        <v>-190.9854</v>
      </c>
      <c r="H1217">
        <v>1.0359910000000001</v>
      </c>
      <c r="I1217">
        <v>344.97609999999997</v>
      </c>
      <c r="J1217">
        <v>-190.99</v>
      </c>
      <c r="K1217">
        <v>1.11504</v>
      </c>
      <c r="L1217">
        <v>345.5333</v>
      </c>
      <c r="M1217">
        <v>-1.7977949999999999E-2</v>
      </c>
      <c r="N1217">
        <v>-5.7367609999999999E-3</v>
      </c>
      <c r="O1217">
        <v>-0.99982199999999999</v>
      </c>
      <c r="P1217">
        <v>-6.6962750000000001E-2</v>
      </c>
      <c r="Q1217">
        <v>-0.1074291</v>
      </c>
      <c r="R1217">
        <v>-0.99195529999999998</v>
      </c>
      <c r="S1217">
        <v>-2.1759029999999999E-2</v>
      </c>
      <c r="T1217">
        <v>-0.27654800000000002</v>
      </c>
      <c r="U1217">
        <v>-2.9922490000000002</v>
      </c>
      <c r="V1217">
        <v>4.793559E-2</v>
      </c>
      <c r="W1217">
        <v>-0.10229340000000001</v>
      </c>
      <c r="X1217">
        <v>0.9935986</v>
      </c>
      <c r="Y1217">
        <v>-1.073146E-2</v>
      </c>
      <c r="Z1217">
        <v>8.6289610000000003E-2</v>
      </c>
      <c r="AA1217">
        <v>0.99621230000000005</v>
      </c>
      <c r="AB1217">
        <v>27</v>
      </c>
      <c r="AC1217">
        <v>4.6000000000105904E-3</v>
      </c>
      <c r="AD1217">
        <v>-7.9049000000000105E-2</v>
      </c>
      <c r="AE1217">
        <v>-0.55720000000002201</v>
      </c>
      <c r="AF1217">
        <v>-1.43283725206088E-2</v>
      </c>
      <c r="AG1217">
        <v>-7.9049000000000105E-2</v>
      </c>
      <c r="AH1217">
        <v>0.54603809972294803</v>
      </c>
      <c r="AI1217">
        <v>98.234588309895003</v>
      </c>
      <c r="AJ1217">
        <v>91.503131233280001</v>
      </c>
      <c r="AK1217">
        <v>0.55191634602459205</v>
      </c>
      <c r="AL1217">
        <v>95.871250196503894</v>
      </c>
      <c r="AM1217">
        <v>87.237939835632204</v>
      </c>
      <c r="AN1217">
        <v>0.99999996919708301</v>
      </c>
    </row>
    <row r="1218" spans="1:40" x14ac:dyDescent="0.25">
      <c r="A1218" t="str">
        <f>"20190303154443959"</f>
        <v>20190303154443959</v>
      </c>
      <c r="B1218" t="str">
        <f>"1551599083951651"</f>
        <v>1551599083951651</v>
      </c>
      <c r="C1218" t="s">
        <v>40</v>
      </c>
      <c r="D1218">
        <v>5.4482249999999999</v>
      </c>
      <c r="E1218">
        <v>0.47972209999999899</v>
      </c>
      <c r="F1218" t="s">
        <v>42</v>
      </c>
      <c r="G1218">
        <v>-190.9999</v>
      </c>
      <c r="H1218">
        <v>1.0408489999999999</v>
      </c>
      <c r="I1218">
        <v>344.72280000000001</v>
      </c>
      <c r="J1218">
        <v>-191.00219999999999</v>
      </c>
      <c r="K1218">
        <v>1.1152550000000001</v>
      </c>
      <c r="L1218">
        <v>345.2466</v>
      </c>
      <c r="M1218">
        <v>-2.4562819999999999E-2</v>
      </c>
      <c r="N1218">
        <v>-5.7195309999999999E-3</v>
      </c>
      <c r="O1218">
        <v>-0.99968210000000002</v>
      </c>
      <c r="P1218">
        <v>-7.058267E-2</v>
      </c>
      <c r="Q1218">
        <v>-0.1056122</v>
      </c>
      <c r="R1218">
        <v>-0.99189930000000004</v>
      </c>
      <c r="S1218">
        <v>-3.6224369999999999E-2</v>
      </c>
      <c r="T1218">
        <v>-0.2738968</v>
      </c>
      <c r="U1218">
        <v>-2.9922490000000002</v>
      </c>
      <c r="V1218">
        <v>4.5086569999999999E-2</v>
      </c>
      <c r="W1218">
        <v>-0.100435</v>
      </c>
      <c r="X1218">
        <v>0.99392150000000001</v>
      </c>
      <c r="Y1218">
        <v>-1.250067E-2</v>
      </c>
      <c r="Z1218">
        <v>8.5409949999999998E-2</v>
      </c>
      <c r="AA1218">
        <v>0.99626749999999997</v>
      </c>
      <c r="AB1218">
        <v>27</v>
      </c>
      <c r="AC1218">
        <v>2.29999999999108E-3</v>
      </c>
      <c r="AD1218">
        <v>-7.4405999999999903E-2</v>
      </c>
      <c r="AE1218">
        <v>-0.52379999999999405</v>
      </c>
      <c r="AF1218">
        <v>-1.4865563124928699E-2</v>
      </c>
      <c r="AG1218">
        <v>-7.4405999999999903E-2</v>
      </c>
      <c r="AH1218">
        <v>0.51322955429635997</v>
      </c>
      <c r="AI1218">
        <v>98.245633396877494</v>
      </c>
      <c r="AJ1218">
        <v>91.659093773128802</v>
      </c>
      <c r="AK1218">
        <v>0.51880806971968096</v>
      </c>
      <c r="AL1218">
        <v>95.764220437871003</v>
      </c>
      <c r="AM1218">
        <v>87.402711924591699</v>
      </c>
      <c r="AN1218">
        <v>0.99999996809080605</v>
      </c>
    </row>
    <row r="1219" spans="1:40" x14ac:dyDescent="0.25">
      <c r="A1219" t="str">
        <f>"20190303154443980"</f>
        <v>20190303154443980</v>
      </c>
      <c r="B1219" t="str">
        <f>"1551599083971172"</f>
        <v>1551599083971172</v>
      </c>
      <c r="C1219" t="s">
        <v>40</v>
      </c>
      <c r="D1219">
        <v>5.45024</v>
      </c>
      <c r="E1219">
        <v>0.47986479999999998</v>
      </c>
      <c r="F1219" t="s">
        <v>41</v>
      </c>
      <c r="G1219">
        <v>-191.21</v>
      </c>
      <c r="H1219" s="1">
        <v>-1.6818889999999899E-6</v>
      </c>
      <c r="I1219">
        <v>332.75920000000002</v>
      </c>
      <c r="J1219">
        <v>-191.0146</v>
      </c>
      <c r="K1219">
        <v>1.115499</v>
      </c>
      <c r="L1219">
        <v>344.9828</v>
      </c>
      <c r="M1219">
        <v>-3.0231999999999998E-2</v>
      </c>
      <c r="N1219">
        <v>-5.7025919999999898E-3</v>
      </c>
      <c r="O1219">
        <v>-0.99952669999999999</v>
      </c>
      <c r="P1219">
        <v>-7.3578649999999995E-2</v>
      </c>
      <c r="Q1219">
        <v>-0.1048958</v>
      </c>
      <c r="R1219">
        <v>-0.99175780000000002</v>
      </c>
      <c r="S1219">
        <v>-4.9804689999999999E-2</v>
      </c>
      <c r="T1219">
        <v>-0.26725529999999997</v>
      </c>
      <c r="U1219">
        <v>-2.992432</v>
      </c>
      <c r="V1219">
        <v>4.2513820000000001E-2</v>
      </c>
      <c r="W1219">
        <v>-9.9681889999999995E-2</v>
      </c>
      <c r="X1219">
        <v>0.99411070000000001</v>
      </c>
      <c r="Y1219">
        <v>-1.364872E-2</v>
      </c>
      <c r="Z1219">
        <v>8.3205230000000005E-2</v>
      </c>
      <c r="AA1219">
        <v>0.99643899999999996</v>
      </c>
      <c r="AB1219">
        <v>27</v>
      </c>
      <c r="AC1219">
        <v>-0.19540000000000601</v>
      </c>
      <c r="AD1219">
        <v>-1.1155006818889901</v>
      </c>
      <c r="AE1219">
        <v>-12.2235999999999</v>
      </c>
      <c r="AF1219">
        <v>-0.17280046395203599</v>
      </c>
      <c r="AG1219">
        <v>-1.1155006818889901</v>
      </c>
      <c r="AH1219">
        <v>12.122985351902599</v>
      </c>
      <c r="AI1219">
        <v>95.256755773671202</v>
      </c>
      <c r="AJ1219">
        <v>90.816636047036994</v>
      </c>
      <c r="AK1219">
        <v>12.1754250691334</v>
      </c>
      <c r="AL1219">
        <v>95.720852624404003</v>
      </c>
      <c r="AM1219">
        <v>87.551199178624998</v>
      </c>
      <c r="AN1219">
        <v>0.99999999396972705</v>
      </c>
    </row>
    <row r="1220" spans="1:40" x14ac:dyDescent="0.25">
      <c r="A1220" t="str">
        <f>"20190303154444001"</f>
        <v>20190303154444001</v>
      </c>
      <c r="B1220" t="str">
        <f>"1551599083991668"</f>
        <v>1551599083991668</v>
      </c>
      <c r="C1220" t="s">
        <v>40</v>
      </c>
      <c r="D1220">
        <v>5.4714049999999999</v>
      </c>
      <c r="E1220">
        <v>0.47994340000000002</v>
      </c>
      <c r="F1220" t="s">
        <v>41</v>
      </c>
      <c r="G1220">
        <v>-191.2681</v>
      </c>
      <c r="H1220" s="1">
        <v>-1.522477E-6</v>
      </c>
      <c r="I1220">
        <v>332.35160000000002</v>
      </c>
      <c r="J1220">
        <v>-191.02780000000001</v>
      </c>
      <c r="K1220">
        <v>1.1157589999999999</v>
      </c>
      <c r="L1220">
        <v>344.72660000000002</v>
      </c>
      <c r="M1220">
        <v>-3.5362089999999999E-2</v>
      </c>
      <c r="N1220">
        <v>-5.6857670000000004E-3</v>
      </c>
      <c r="O1220">
        <v>-0.99935859999999999</v>
      </c>
      <c r="P1220">
        <v>-7.6080110000000006E-2</v>
      </c>
      <c r="Q1220">
        <v>-0.10473159999999999</v>
      </c>
      <c r="R1220">
        <v>-0.99158639999999998</v>
      </c>
      <c r="S1220">
        <v>-6.0043329999999999E-2</v>
      </c>
      <c r="T1220">
        <v>-0.26427970000000001</v>
      </c>
      <c r="U1220">
        <v>-2.9925540000000002</v>
      </c>
      <c r="V1220">
        <v>3.9980929999999998E-2</v>
      </c>
      <c r="W1220">
        <v>-9.9482360000000006E-2</v>
      </c>
      <c r="X1220">
        <v>0.9942358</v>
      </c>
      <c r="Y1220">
        <v>-1.537173E-2</v>
      </c>
      <c r="Z1220">
        <v>8.2210599999999995E-2</v>
      </c>
      <c r="AA1220">
        <v>0.99649639999999995</v>
      </c>
      <c r="AB1220">
        <v>27</v>
      </c>
      <c r="AC1220">
        <v>-0.24029999999998999</v>
      </c>
      <c r="AD1220">
        <v>-1.115760522477</v>
      </c>
      <c r="AE1220">
        <v>-12.375</v>
      </c>
      <c r="AF1220">
        <v>-0.19587145102931999</v>
      </c>
      <c r="AG1220">
        <v>-1.115760522477</v>
      </c>
      <c r="AH1220">
        <v>12.2760003388132</v>
      </c>
      <c r="AI1220">
        <v>95.192662886753993</v>
      </c>
      <c r="AJ1220">
        <v>90.914113306215498</v>
      </c>
      <c r="AK1220">
        <v>12.328157668013001</v>
      </c>
      <c r="AL1220">
        <v>95.7093631367554</v>
      </c>
      <c r="AM1220">
        <v>87.6972213329</v>
      </c>
      <c r="AN1220">
        <v>1.00000002035823</v>
      </c>
    </row>
    <row r="1221" spans="1:40" x14ac:dyDescent="0.25">
      <c r="A1221" t="str">
        <f>"20190303154444021"</f>
        <v>20190303154444021</v>
      </c>
      <c r="B1221" t="str">
        <f>"1551599084011187"</f>
        <v>1551599084011187</v>
      </c>
      <c r="C1221" t="s">
        <v>40</v>
      </c>
      <c r="D1221">
        <v>5.5134790000000002</v>
      </c>
      <c r="E1221">
        <v>0.47965940000000001</v>
      </c>
      <c r="F1221" t="s">
        <v>41</v>
      </c>
      <c r="G1221">
        <v>-191.3152</v>
      </c>
      <c r="H1221" s="1">
        <v>-1.4284909999999999E-6</v>
      </c>
      <c r="I1221">
        <v>332.10329999999999</v>
      </c>
      <c r="J1221">
        <v>-191.042</v>
      </c>
      <c r="K1221">
        <v>1.116039</v>
      </c>
      <c r="L1221">
        <v>344.4692</v>
      </c>
      <c r="M1221">
        <v>-4.011286E-2</v>
      </c>
      <c r="N1221">
        <v>-5.6692829999999998E-3</v>
      </c>
      <c r="O1221">
        <v>-0.99917909999999999</v>
      </c>
      <c r="P1221">
        <v>-7.6957739999999997E-2</v>
      </c>
      <c r="Q1221">
        <v>-0.1039495</v>
      </c>
      <c r="R1221">
        <v>-0.99160090000000001</v>
      </c>
      <c r="S1221">
        <v>-6.8115229999999999E-2</v>
      </c>
      <c r="T1221">
        <v>-0.26448749999999999</v>
      </c>
      <c r="U1221">
        <v>-2.9923099999999998</v>
      </c>
      <c r="V1221">
        <v>3.620483E-2</v>
      </c>
      <c r="W1221">
        <v>-9.8653619999999997E-2</v>
      </c>
      <c r="X1221">
        <v>0.99446299999999999</v>
      </c>
      <c r="Y1221">
        <v>-1.7436489999999999E-2</v>
      </c>
      <c r="Z1221">
        <v>8.2275639999999997E-2</v>
      </c>
      <c r="AA1221">
        <v>0.99645700000000004</v>
      </c>
      <c r="AB1221">
        <v>27</v>
      </c>
      <c r="AC1221">
        <v>-0.273200000000002</v>
      </c>
      <c r="AD1221">
        <v>-1.1160404284909999</v>
      </c>
      <c r="AE1221">
        <v>-12.3659</v>
      </c>
      <c r="AF1221">
        <v>-0.221258123774179</v>
      </c>
      <c r="AG1221">
        <v>-1.1160404284909999</v>
      </c>
      <c r="AH1221">
        <v>12.2670358197889</v>
      </c>
      <c r="AI1221">
        <v>95.197550497308498</v>
      </c>
      <c r="AJ1221">
        <v>91.033320713513604</v>
      </c>
      <c r="AK1221">
        <v>12.3196862459783</v>
      </c>
      <c r="AL1221">
        <v>95.661645249776697</v>
      </c>
      <c r="AM1221">
        <v>87.914987079726401</v>
      </c>
      <c r="AN1221">
        <v>0.999999992411716</v>
      </c>
    </row>
    <row r="1222" spans="1:40" x14ac:dyDescent="0.25">
      <c r="A1222" t="str">
        <f>"20190303154444058"</f>
        <v>20190303154444058</v>
      </c>
      <c r="B1222" t="str">
        <f>"1551599084051203"</f>
        <v>1551599084051203</v>
      </c>
      <c r="C1222" t="s">
        <v>40</v>
      </c>
      <c r="D1222">
        <v>5.4832809999999998</v>
      </c>
      <c r="E1222">
        <v>0.4795605</v>
      </c>
      <c r="F1222" t="s">
        <v>42</v>
      </c>
      <c r="G1222">
        <v>-191.06440000000001</v>
      </c>
      <c r="H1222">
        <v>1.0299700000000001</v>
      </c>
      <c r="I1222">
        <v>343.50130000000001</v>
      </c>
      <c r="J1222">
        <v>-191.0684</v>
      </c>
      <c r="K1222">
        <v>1.116527</v>
      </c>
      <c r="L1222">
        <v>344.02350000000001</v>
      </c>
      <c r="M1222">
        <v>-4.7425830000000002E-2</v>
      </c>
      <c r="N1222">
        <v>-5.6439430000000002E-3</v>
      </c>
      <c r="O1222">
        <v>-0.99885889999999999</v>
      </c>
      <c r="P1222">
        <v>-7.8232060000000006E-2</v>
      </c>
      <c r="Q1222">
        <v>-0.1029394</v>
      </c>
      <c r="R1222">
        <v>-0.99160669999999995</v>
      </c>
      <c r="S1222">
        <v>-6.8740839999999998E-2</v>
      </c>
      <c r="T1222">
        <v>-0.2661037</v>
      </c>
      <c r="U1222">
        <v>-2.9921570000000002</v>
      </c>
      <c r="V1222">
        <v>3.0318990000000001E-2</v>
      </c>
      <c r="W1222">
        <v>-9.7577629999999999E-2</v>
      </c>
      <c r="X1222">
        <v>0.99476600000000004</v>
      </c>
      <c r="Y1222">
        <v>-2.4544690000000001E-2</v>
      </c>
      <c r="Z1222">
        <v>8.2789879999999996E-2</v>
      </c>
      <c r="AA1222">
        <v>0.9962647</v>
      </c>
      <c r="AB1222">
        <v>27</v>
      </c>
      <c r="AC1222">
        <v>3.9999999999906699E-3</v>
      </c>
      <c r="AD1222">
        <v>-8.6556999999999995E-2</v>
      </c>
      <c r="AE1222">
        <v>-0.522199999999998</v>
      </c>
      <c r="AF1222">
        <v>-2.79926200979616E-2</v>
      </c>
      <c r="AG1222">
        <v>-8.6556999999999995E-2</v>
      </c>
      <c r="AH1222">
        <v>0.50748068817952097</v>
      </c>
      <c r="AI1222">
        <v>99.6649323798583</v>
      </c>
      <c r="AJ1222">
        <v>93.157234046142193</v>
      </c>
      <c r="AK1222">
        <v>0.51556992726894901</v>
      </c>
      <c r="AL1222">
        <v>95.599696533529496</v>
      </c>
      <c r="AM1222">
        <v>88.254250182417593</v>
      </c>
      <c r="AN1222">
        <v>1.00000001489351</v>
      </c>
    </row>
    <row r="1223" spans="1:40" x14ac:dyDescent="0.25">
      <c r="A1223" t="str">
        <f>"20190303154444079"</f>
        <v>20190303154444079</v>
      </c>
      <c r="B1223" t="str">
        <f>"1551599084071699"</f>
        <v>1551599084071699</v>
      </c>
      <c r="C1223" t="s">
        <v>40</v>
      </c>
      <c r="D1223">
        <v>5.4761829999999998</v>
      </c>
      <c r="E1223">
        <v>0.47969390000000001</v>
      </c>
      <c r="F1223" t="s">
        <v>41</v>
      </c>
      <c r="G1223">
        <v>-191.37090000000001</v>
      </c>
      <c r="H1223" s="1">
        <v>-1.139529E-6</v>
      </c>
      <c r="I1223">
        <v>331.39510000000001</v>
      </c>
      <c r="J1223">
        <v>-191.08510000000001</v>
      </c>
      <c r="K1223">
        <v>1.1167689999999999</v>
      </c>
      <c r="L1223">
        <v>343.75799999999998</v>
      </c>
      <c r="M1223">
        <v>-5.1339200000000002E-2</v>
      </c>
      <c r="N1223">
        <v>-5.6320819999999897E-3</v>
      </c>
      <c r="O1223">
        <v>-0.99866549999999998</v>
      </c>
      <c r="P1223">
        <v>-7.8754119999999997E-2</v>
      </c>
      <c r="Q1223">
        <v>-0.1015976</v>
      </c>
      <c r="R1223">
        <v>-0.99170360000000002</v>
      </c>
      <c r="S1223">
        <v>-7.1670529999999996E-2</v>
      </c>
      <c r="T1223">
        <v>-0.26456089999999999</v>
      </c>
      <c r="U1223">
        <v>-2.9922789999999999</v>
      </c>
      <c r="V1223">
        <v>2.7005629999999999E-2</v>
      </c>
      <c r="W1223">
        <v>-9.6203330000000004E-2</v>
      </c>
      <c r="X1223">
        <v>0.99499530000000003</v>
      </c>
      <c r="Y1223">
        <v>-2.7485889999999999E-2</v>
      </c>
      <c r="Z1223">
        <v>8.2259810000000003E-2</v>
      </c>
      <c r="AA1223">
        <v>0.99623189999999995</v>
      </c>
      <c r="AB1223">
        <v>28</v>
      </c>
      <c r="AC1223">
        <v>-0.285799999999994</v>
      </c>
      <c r="AD1223">
        <v>-1.1167701395289999</v>
      </c>
      <c r="AE1223">
        <v>-12.3629</v>
      </c>
      <c r="AF1223">
        <v>-0.34646269396699098</v>
      </c>
      <c r="AG1223">
        <v>-1.1167701395289999</v>
      </c>
      <c r="AH1223">
        <v>12.2612714028942</v>
      </c>
      <c r="AI1223">
        <v>95.202138631052193</v>
      </c>
      <c r="AJ1223">
        <v>91.618557225189505</v>
      </c>
      <c r="AK1223">
        <v>12.316898487780399</v>
      </c>
      <c r="AL1223">
        <v>95.520582706344101</v>
      </c>
      <c r="AM1223">
        <v>88.445290300764199</v>
      </c>
      <c r="AN1223">
        <v>1.0000000158884299</v>
      </c>
    </row>
    <row r="1224" spans="1:40" x14ac:dyDescent="0.25">
      <c r="A1224" t="str">
        <f>"20190303154444101"</f>
        <v>20190303154444101</v>
      </c>
      <c r="B1224" t="str">
        <f>"1551599084092196"</f>
        <v>1551599084092196</v>
      </c>
      <c r="C1224" t="s">
        <v>40</v>
      </c>
      <c r="D1224">
        <v>5.5001959999999999</v>
      </c>
      <c r="E1224">
        <v>0.5032143</v>
      </c>
      <c r="F1224" t="s">
        <v>41</v>
      </c>
      <c r="G1224">
        <v>-191.40350000000001</v>
      </c>
      <c r="H1224" s="1">
        <v>-9.4674899999999995E-7</v>
      </c>
      <c r="I1224">
        <v>330.9255</v>
      </c>
      <c r="J1224">
        <v>-191.10380000000001</v>
      </c>
      <c r="K1224">
        <v>1.1170329999999999</v>
      </c>
      <c r="L1224">
        <v>343.47430000000003</v>
      </c>
      <c r="M1224">
        <v>-5.5077599999999997E-2</v>
      </c>
      <c r="N1224">
        <v>-5.6205350000000003E-3</v>
      </c>
      <c r="O1224">
        <v>-0.99846639999999998</v>
      </c>
      <c r="P1224">
        <v>-7.9240350000000001E-2</v>
      </c>
      <c r="Q1224">
        <v>-0.10100720000000001</v>
      </c>
      <c r="R1224">
        <v>-0.99172530000000003</v>
      </c>
      <c r="S1224">
        <v>-7.4234010000000003E-2</v>
      </c>
      <c r="T1224">
        <v>-0.2604282</v>
      </c>
      <c r="U1224">
        <v>-2.9924930000000001</v>
      </c>
      <c r="V1224">
        <v>2.3833030000000002E-2</v>
      </c>
      <c r="W1224">
        <v>-9.5583580000000001E-2</v>
      </c>
      <c r="X1224">
        <v>0.99513609999999997</v>
      </c>
      <c r="Y1224">
        <v>-3.037349E-2</v>
      </c>
      <c r="Z1224">
        <v>8.0872340000000001E-2</v>
      </c>
      <c r="AA1224">
        <v>0.99626159999999997</v>
      </c>
      <c r="AB1224">
        <v>28</v>
      </c>
      <c r="AC1224">
        <v>-0.29970000000000102</v>
      </c>
      <c r="AD1224">
        <v>-1.117033946749</v>
      </c>
      <c r="AE1224">
        <v>-12.5488</v>
      </c>
      <c r="AF1224">
        <v>-0.38884421087635801</v>
      </c>
      <c r="AG1224">
        <v>-1.117033946749</v>
      </c>
      <c r="AH1224">
        <v>12.447682754307699</v>
      </c>
      <c r="AI1224">
        <v>95.125403819563701</v>
      </c>
      <c r="AJ1224">
        <v>91.789239810146995</v>
      </c>
      <c r="AK1224">
        <v>12.5037502618378</v>
      </c>
      <c r="AL1224">
        <v>95.484909084968095</v>
      </c>
      <c r="AM1224">
        <v>88.628055959916196</v>
      </c>
      <c r="AN1224">
        <v>1.0000000458039</v>
      </c>
    </row>
    <row r="1225" spans="1:40" x14ac:dyDescent="0.25">
      <c r="A1225" t="str">
        <f>"20190303154444125"</f>
        <v>20190303154444125</v>
      </c>
      <c r="B1225" t="str">
        <f>"1551599084121475"</f>
        <v>1551599084121475</v>
      </c>
      <c r="C1225" t="s">
        <v>40</v>
      </c>
      <c r="D1225">
        <v>5.4738290000000003</v>
      </c>
      <c r="E1225">
        <v>0.50511870000000003</v>
      </c>
      <c r="F1225" t="s">
        <v>41</v>
      </c>
      <c r="G1225">
        <v>-193.17490000000001</v>
      </c>
      <c r="H1225" s="1">
        <v>-9.517105E-7</v>
      </c>
      <c r="I1225">
        <v>319.83839999999998</v>
      </c>
      <c r="J1225">
        <v>-191.12350000000001</v>
      </c>
      <c r="K1225">
        <v>1.1173420000000001</v>
      </c>
      <c r="L1225">
        <v>343.18380000000002</v>
      </c>
      <c r="M1225">
        <v>-5.836471E-2</v>
      </c>
      <c r="N1225">
        <v>-5.6084849999999999E-3</v>
      </c>
      <c r="O1225">
        <v>-0.9982799</v>
      </c>
      <c r="P1225">
        <v>-7.8607339999999998E-2</v>
      </c>
      <c r="Q1225">
        <v>-0.10122920000000001</v>
      </c>
      <c r="R1225">
        <v>-0.99175340000000001</v>
      </c>
      <c r="S1225">
        <v>-0.26197809999999999</v>
      </c>
      <c r="T1225">
        <v>-0.1412928</v>
      </c>
      <c r="U1225">
        <v>-2.9896850000000001</v>
      </c>
      <c r="V1225">
        <v>1.999416E-2</v>
      </c>
      <c r="W1225">
        <v>-9.5775250000000006E-2</v>
      </c>
      <c r="X1225">
        <v>0.99520220000000004</v>
      </c>
      <c r="Y1225">
        <v>2.8921990000000002E-2</v>
      </c>
      <c r="Z1225">
        <v>4.1398499999999998E-2</v>
      </c>
      <c r="AA1225">
        <v>0.99872399999999995</v>
      </c>
      <c r="AB1225">
        <v>28</v>
      </c>
      <c r="AC1225">
        <v>-2.0514000000000001</v>
      </c>
      <c r="AD1225">
        <v>-1.1173429517105</v>
      </c>
      <c r="AE1225">
        <v>-23.345400000000001</v>
      </c>
      <c r="AF1225">
        <v>0.68378009988063304</v>
      </c>
      <c r="AG1225">
        <v>-1.1173429517105</v>
      </c>
      <c r="AH1225">
        <v>23.372204975848199</v>
      </c>
      <c r="AI1225">
        <v>92.735857127260005</v>
      </c>
      <c r="AJ1225">
        <v>88.324225637115205</v>
      </c>
      <c r="AK1225">
        <v>23.408886687106602</v>
      </c>
      <c r="AL1225">
        <v>95.495941602850095</v>
      </c>
      <c r="AM1225">
        <v>88.8490510874487</v>
      </c>
      <c r="AN1225">
        <v>1.00000004191575</v>
      </c>
    </row>
    <row r="1226" spans="1:40" x14ac:dyDescent="0.25">
      <c r="A1226" t="str">
        <f>"20190303154444148"</f>
        <v>20190303154444148</v>
      </c>
      <c r="B1226" t="str">
        <f>"1551599084141971"</f>
        <v>1551599084141971</v>
      </c>
      <c r="C1226" t="s">
        <v>40</v>
      </c>
      <c r="D1226">
        <v>5.414326</v>
      </c>
      <c r="E1226">
        <v>0.5052373</v>
      </c>
      <c r="F1226" t="s">
        <v>41</v>
      </c>
      <c r="G1226">
        <v>-193.5916</v>
      </c>
      <c r="H1226" s="1">
        <v>-4.1220539999999999E-6</v>
      </c>
      <c r="I1226">
        <v>316.3612</v>
      </c>
      <c r="J1226">
        <v>-191.14429999999999</v>
      </c>
      <c r="K1226">
        <v>1.11765</v>
      </c>
      <c r="L1226">
        <v>342.88479999999998</v>
      </c>
      <c r="M1226">
        <v>-6.1339169999999998E-2</v>
      </c>
      <c r="N1226">
        <v>-5.5980099999999996E-3</v>
      </c>
      <c r="O1226">
        <v>-0.99810129999999997</v>
      </c>
      <c r="P1226">
        <v>-7.8028219999999995E-2</v>
      </c>
      <c r="Q1226">
        <v>-0.1016117</v>
      </c>
      <c r="R1226">
        <v>-0.99175950000000002</v>
      </c>
      <c r="S1226">
        <v>-0.27516170000000001</v>
      </c>
      <c r="T1226">
        <v>-0.1245714</v>
      </c>
      <c r="U1226">
        <v>-2.9904169999999999</v>
      </c>
      <c r="V1226">
        <v>1.6519559999999999E-2</v>
      </c>
      <c r="W1226">
        <v>-9.6133979999999994E-2</v>
      </c>
      <c r="X1226">
        <v>0.99523130000000004</v>
      </c>
      <c r="Y1226">
        <v>3.0309860000000001E-2</v>
      </c>
      <c r="Z1226">
        <v>3.5828449999999998E-2</v>
      </c>
      <c r="AA1226">
        <v>0.99889819999999996</v>
      </c>
      <c r="AB1226">
        <v>28</v>
      </c>
      <c r="AC1226">
        <v>-2.44730000000001</v>
      </c>
      <c r="AD1226">
        <v>-1.1176541220539999</v>
      </c>
      <c r="AE1226">
        <v>-26.523599999999899</v>
      </c>
      <c r="AF1226">
        <v>0.81429679319391202</v>
      </c>
      <c r="AG1226">
        <v>-1.1176541220539999</v>
      </c>
      <c r="AH1226">
        <v>26.576979435839</v>
      </c>
      <c r="AI1226">
        <v>92.406939105066897</v>
      </c>
      <c r="AJ1226">
        <v>88.245053455364697</v>
      </c>
      <c r="AK1226">
        <v>26.612930427462501</v>
      </c>
      <c r="AL1226">
        <v>95.516590889038696</v>
      </c>
      <c r="AM1226">
        <v>89.049051053791402</v>
      </c>
      <c r="AN1226">
        <v>0.99999998923646105</v>
      </c>
    </row>
    <row r="1227" spans="1:40" x14ac:dyDescent="0.25">
      <c r="A1227" t="str">
        <f>"20190303154444171"</f>
        <v>20190303154444171</v>
      </c>
      <c r="B1227" t="str">
        <f>"1551599084161492"</f>
        <v>1551599084161492</v>
      </c>
      <c r="C1227" t="s">
        <v>40</v>
      </c>
      <c r="D1227">
        <v>5.4353129999999998</v>
      </c>
      <c r="E1227">
        <v>0.50516930000000004</v>
      </c>
      <c r="F1227" t="s">
        <v>41</v>
      </c>
      <c r="G1227">
        <v>-193.6832</v>
      </c>
      <c r="H1227" s="1">
        <v>-3.6365720000000001E-6</v>
      </c>
      <c r="I1227">
        <v>315.2115</v>
      </c>
      <c r="J1227">
        <v>-191.16480000000001</v>
      </c>
      <c r="K1227">
        <v>1.117936</v>
      </c>
      <c r="L1227">
        <v>342.59699999999998</v>
      </c>
      <c r="M1227">
        <v>-6.3827750000000003E-2</v>
      </c>
      <c r="N1227">
        <v>-5.5908199999999998E-3</v>
      </c>
      <c r="O1227">
        <v>-0.99794530000000004</v>
      </c>
      <c r="P1227">
        <v>-7.8203410000000001E-2</v>
      </c>
      <c r="Q1227">
        <v>-0.1029047</v>
      </c>
      <c r="R1227">
        <v>-0.99161259999999996</v>
      </c>
      <c r="S1227">
        <v>-0.2743988</v>
      </c>
      <c r="T1227">
        <v>-0.1207963</v>
      </c>
      <c r="U1227">
        <v>-2.990936</v>
      </c>
      <c r="V1227">
        <v>1.4281469999999999E-2</v>
      </c>
      <c r="W1227">
        <v>-9.7412499999999999E-2</v>
      </c>
      <c r="X1227">
        <v>0.99514159999999996</v>
      </c>
      <c r="Y1227">
        <v>2.7553439999999998E-2</v>
      </c>
      <c r="Z1227">
        <v>3.4568920000000003E-2</v>
      </c>
      <c r="AA1227">
        <v>0.99902239999999998</v>
      </c>
      <c r="AB1227">
        <v>28</v>
      </c>
      <c r="AC1227">
        <v>-2.5183999999999802</v>
      </c>
      <c r="AD1227">
        <v>-1.117939636572</v>
      </c>
      <c r="AE1227">
        <v>-27.385499999999901</v>
      </c>
      <c r="AF1227">
        <v>0.76401999997575398</v>
      </c>
      <c r="AG1227">
        <v>-1.117939636572</v>
      </c>
      <c r="AH1227">
        <v>27.4450510355646</v>
      </c>
      <c r="AI1227">
        <v>92.331679674744507</v>
      </c>
      <c r="AJ1227">
        <v>88.405402175533595</v>
      </c>
      <c r="AK1227">
        <v>27.478434124529901</v>
      </c>
      <c r="AL1227">
        <v>95.590190189333796</v>
      </c>
      <c r="AM1227">
        <v>89.177793605208194</v>
      </c>
      <c r="AN1227">
        <v>0.99999997979608501</v>
      </c>
    </row>
    <row r="1228" spans="1:40" x14ac:dyDescent="0.25">
      <c r="A1228" t="str">
        <f>"20190303154444191"</f>
        <v>20190303154444191</v>
      </c>
      <c r="B1228" t="str">
        <f>"1551599084181988"</f>
        <v>1551599084181988</v>
      </c>
      <c r="C1228" t="s">
        <v>40</v>
      </c>
      <c r="D1228">
        <v>5.4458270000000004</v>
      </c>
      <c r="E1228">
        <v>0.50511300000000003</v>
      </c>
      <c r="F1228" t="s">
        <v>41</v>
      </c>
      <c r="G1228">
        <v>-193.6191</v>
      </c>
      <c r="H1228" s="1">
        <v>-3.9621090000000002E-6</v>
      </c>
      <c r="I1228">
        <v>315.93630000000002</v>
      </c>
      <c r="J1228">
        <v>-191.18389999999999</v>
      </c>
      <c r="K1228">
        <v>1.1181730000000001</v>
      </c>
      <c r="L1228">
        <v>342.33210000000003</v>
      </c>
      <c r="M1228">
        <v>-6.578995E-2</v>
      </c>
      <c r="N1228">
        <v>-5.5859259999999997E-3</v>
      </c>
      <c r="O1228">
        <v>-0.99781790000000004</v>
      </c>
      <c r="P1228">
        <v>-7.8339119999999998E-2</v>
      </c>
      <c r="Q1228">
        <v>-0.1039856</v>
      </c>
      <c r="R1228">
        <v>-0.99148879999999995</v>
      </c>
      <c r="S1228">
        <v>-0.27531430000000001</v>
      </c>
      <c r="T1228">
        <v>-0.12540470000000001</v>
      </c>
      <c r="U1228">
        <v>-2.9906619999999999</v>
      </c>
      <c r="V1228">
        <v>1.252152E-2</v>
      </c>
      <c r="W1228">
        <v>-9.8482739999999999E-2</v>
      </c>
      <c r="X1228">
        <v>0.99505999999999994</v>
      </c>
      <c r="Y1228">
        <v>2.5894529999999999E-2</v>
      </c>
      <c r="Z1228">
        <v>3.6099560000000003E-2</v>
      </c>
      <c r="AA1228">
        <v>0.99901260000000003</v>
      </c>
      <c r="AB1228">
        <v>28</v>
      </c>
      <c r="AC1228">
        <v>-2.4352</v>
      </c>
      <c r="AD1228">
        <v>-1.1181769621090001</v>
      </c>
      <c r="AE1228">
        <v>-26.395800000000001</v>
      </c>
      <c r="AF1228">
        <v>0.69208708495518501</v>
      </c>
      <c r="AG1228">
        <v>-1.1181769621090001</v>
      </c>
      <c r="AH1228">
        <v>26.4517578115485</v>
      </c>
      <c r="AI1228">
        <v>92.4197568315887</v>
      </c>
      <c r="AJ1228">
        <v>88.5012480242941</v>
      </c>
      <c r="AK1228">
        <v>26.484425528460498</v>
      </c>
      <c r="AL1228">
        <v>95.651806473285703</v>
      </c>
      <c r="AM1228">
        <v>89.279046103205602</v>
      </c>
      <c r="AN1228">
        <v>1.0000000210705</v>
      </c>
    </row>
    <row r="1229" spans="1:40" x14ac:dyDescent="0.25">
      <c r="A1229" t="str">
        <f>"20190303154444214"</f>
        <v>20190303154444214</v>
      </c>
      <c r="B1229" t="str">
        <f>"1551599084211268"</f>
        <v>1551599084211268</v>
      </c>
      <c r="C1229" t="s">
        <v>40</v>
      </c>
      <c r="D1229">
        <v>5.3998299999999997</v>
      </c>
      <c r="E1229">
        <v>0.50525429999999905</v>
      </c>
      <c r="F1229" t="s">
        <v>41</v>
      </c>
      <c r="G1229">
        <v>-193.55250000000001</v>
      </c>
      <c r="H1229" s="1">
        <v>-4.2418450000000004E-6</v>
      </c>
      <c r="I1229">
        <v>316.69119999999998</v>
      </c>
      <c r="J1229">
        <v>-191.2045</v>
      </c>
      <c r="K1229">
        <v>1.1184099999999999</v>
      </c>
      <c r="L1229">
        <v>342.04969999999997</v>
      </c>
      <c r="M1229">
        <v>-6.7563150000000002E-2</v>
      </c>
      <c r="N1229">
        <v>-5.5820359999999899E-3</v>
      </c>
      <c r="O1229">
        <v>-0.99769960000000002</v>
      </c>
      <c r="P1229">
        <v>-7.5864699999999993E-2</v>
      </c>
      <c r="Q1229">
        <v>-0.1023511</v>
      </c>
      <c r="R1229">
        <v>-0.99185120000000004</v>
      </c>
      <c r="S1229">
        <v>-0.27622989999999997</v>
      </c>
      <c r="T1229">
        <v>-0.1304041</v>
      </c>
      <c r="U1229">
        <v>-2.9902950000000001</v>
      </c>
      <c r="V1229">
        <v>8.3235940000000001E-3</v>
      </c>
      <c r="W1229">
        <v>-9.6828139999999993E-2</v>
      </c>
      <c r="X1229">
        <v>0.99526630000000005</v>
      </c>
      <c r="Y1229">
        <v>2.4426779999999999E-2</v>
      </c>
      <c r="Z1229">
        <v>3.7760009999999997E-2</v>
      </c>
      <c r="AA1229">
        <v>0.99898830000000005</v>
      </c>
      <c r="AB1229">
        <v>28</v>
      </c>
      <c r="AC1229">
        <v>-2.3480000000000101</v>
      </c>
      <c r="AD1229">
        <v>-1.118414241845</v>
      </c>
      <c r="AE1229">
        <v>-25.3584999999999</v>
      </c>
      <c r="AF1229">
        <v>0.628096819017676</v>
      </c>
      <c r="AG1229">
        <v>-1.118414241845</v>
      </c>
      <c r="AH1229">
        <v>25.4101876921649</v>
      </c>
      <c r="AI1229">
        <v>92.519444354311503</v>
      </c>
      <c r="AJ1229">
        <v>88.584033670756895</v>
      </c>
      <c r="AK1229">
        <v>25.4425430053969</v>
      </c>
      <c r="AL1229">
        <v>95.556549742842094</v>
      </c>
      <c r="AM1229">
        <v>89.520836093505494</v>
      </c>
      <c r="AN1229">
        <v>0.99999998941431301</v>
      </c>
    </row>
    <row r="1230" spans="1:40" x14ac:dyDescent="0.25">
      <c r="A1230" t="str">
        <f>"20190303154444235"</f>
        <v>20190303154444235</v>
      </c>
      <c r="B1230" t="str">
        <f>"1551599084231763"</f>
        <v>1551599084231763</v>
      </c>
      <c r="C1230" t="s">
        <v>40</v>
      </c>
      <c r="D1230">
        <v>5.3952159999999996</v>
      </c>
      <c r="E1230">
        <v>0.5053356</v>
      </c>
      <c r="F1230" t="s">
        <v>41</v>
      </c>
      <c r="G1230">
        <v>-193.601</v>
      </c>
      <c r="H1230" s="1">
        <v>-3.7172210000000001E-6</v>
      </c>
      <c r="I1230">
        <v>315.42840000000001</v>
      </c>
      <c r="J1230">
        <v>-191.2251</v>
      </c>
      <c r="K1230">
        <v>1.118609</v>
      </c>
      <c r="L1230">
        <v>341.76889999999997</v>
      </c>
      <c r="M1230">
        <v>-6.9061020000000001E-2</v>
      </c>
      <c r="N1230">
        <v>-5.5795819999999996E-3</v>
      </c>
      <c r="O1230">
        <v>-0.99759710000000001</v>
      </c>
      <c r="P1230">
        <v>-7.0202559999999997E-2</v>
      </c>
      <c r="Q1230">
        <v>-0.1011571</v>
      </c>
      <c r="R1230">
        <v>-0.99239100000000002</v>
      </c>
      <c r="S1230">
        <v>-0.26927190000000001</v>
      </c>
      <c r="T1230">
        <v>-0.12566289999999999</v>
      </c>
      <c r="U1230">
        <v>-2.9911189999999999</v>
      </c>
      <c r="V1230">
        <v>1.195977E-3</v>
      </c>
      <c r="W1230">
        <v>-9.5608860000000004E-2</v>
      </c>
      <c r="X1230">
        <v>0.99541829999999998</v>
      </c>
      <c r="Y1230">
        <v>2.0601629999999999E-2</v>
      </c>
      <c r="Z1230">
        <v>3.6178149999999999E-2</v>
      </c>
      <c r="AA1230">
        <v>0.99913300000000005</v>
      </c>
      <c r="AB1230">
        <v>28</v>
      </c>
      <c r="AC1230">
        <v>-2.3759000000000001</v>
      </c>
      <c r="AD1230">
        <v>-1.1186127172210001</v>
      </c>
      <c r="AE1230">
        <v>-26.340499999999899</v>
      </c>
      <c r="AF1230">
        <v>0.55011347258660503</v>
      </c>
      <c r="AG1230">
        <v>-1.1186127172210001</v>
      </c>
      <c r="AH1230">
        <v>26.394475309090499</v>
      </c>
      <c r="AI1230">
        <v>92.426248873990602</v>
      </c>
      <c r="AJ1230">
        <v>88.806014622596507</v>
      </c>
      <c r="AK1230">
        <v>26.423895361699401</v>
      </c>
      <c r="AL1230">
        <v>95.486364228007105</v>
      </c>
      <c r="AM1230">
        <v>89.931160195144301</v>
      </c>
      <c r="AN1230">
        <v>1.00000003822318</v>
      </c>
    </row>
    <row r="1231" spans="1:40" x14ac:dyDescent="0.25">
      <c r="A1231" t="str">
        <f>"20190303154444257"</f>
        <v>20190303154444257</v>
      </c>
      <c r="B1231" t="str">
        <f>"1551599084251284"</f>
        <v>1551599084251284</v>
      </c>
      <c r="C1231" t="s">
        <v>40</v>
      </c>
      <c r="D1231">
        <v>5.3701410000000003</v>
      </c>
      <c r="E1231">
        <v>0.50545340000000005</v>
      </c>
      <c r="F1231" t="s">
        <v>41</v>
      </c>
      <c r="G1231">
        <v>-193.53540000000001</v>
      </c>
      <c r="H1231" s="1">
        <v>-3.1552120000000002E-6</v>
      </c>
      <c r="I1231">
        <v>314.27640000000002</v>
      </c>
      <c r="J1231">
        <v>-191.2457</v>
      </c>
      <c r="K1231">
        <v>1.1187560000000001</v>
      </c>
      <c r="L1231">
        <v>341.49239999999998</v>
      </c>
      <c r="M1231">
        <v>-7.0350339999999997E-2</v>
      </c>
      <c r="N1231">
        <v>-5.5784819999999897E-3</v>
      </c>
      <c r="O1231">
        <v>-0.99750669999999997</v>
      </c>
      <c r="P1231">
        <v>-6.3789559999999995E-2</v>
      </c>
      <c r="Q1231">
        <v>-9.9759940000000005E-2</v>
      </c>
      <c r="R1231">
        <v>-0.99296459999999998</v>
      </c>
      <c r="S1231">
        <v>-0.25149539999999998</v>
      </c>
      <c r="T1231">
        <v>-0.121770699999999</v>
      </c>
      <c r="U1231">
        <v>-2.9927980000000001</v>
      </c>
      <c r="V1231">
        <v>-6.4872659999999898E-3</v>
      </c>
      <c r="W1231">
        <v>-9.419015E-2</v>
      </c>
      <c r="X1231">
        <v>0.99553309999999995</v>
      </c>
      <c r="Y1231">
        <v>1.337377E-2</v>
      </c>
      <c r="Z1231">
        <v>3.4872399999999998E-2</v>
      </c>
      <c r="AA1231">
        <v>0.99930229999999998</v>
      </c>
      <c r="AB1231">
        <v>29</v>
      </c>
      <c r="AC1231">
        <v>-2.2897000000000101</v>
      </c>
      <c r="AD1231">
        <v>-1.11875915521199</v>
      </c>
      <c r="AE1231">
        <v>-27.215999999999902</v>
      </c>
      <c r="AF1231">
        <v>0.36872332737288999</v>
      </c>
      <c r="AG1231">
        <v>-1.11875915521199</v>
      </c>
      <c r="AH1231">
        <v>27.263904108943901</v>
      </c>
      <c r="AI1231">
        <v>92.349567568667794</v>
      </c>
      <c r="AJ1231">
        <v>89.225165901039105</v>
      </c>
      <c r="AK1231">
        <v>27.289339424053701</v>
      </c>
      <c r="AL1231">
        <v>95.404709756918507</v>
      </c>
      <c r="AM1231">
        <v>90.373355442858198</v>
      </c>
      <c r="AN1231">
        <v>1.00000001108639</v>
      </c>
    </row>
    <row r="1232" spans="1:40" x14ac:dyDescent="0.25">
      <c r="A1232" t="str">
        <f>"20190303154444280"</f>
        <v>20190303154444280</v>
      </c>
      <c r="B1232" t="str">
        <f>"1551599084271779"</f>
        <v>1551599084271779</v>
      </c>
      <c r="C1232" t="s">
        <v>40</v>
      </c>
      <c r="D1232">
        <v>5.3130759999999997</v>
      </c>
      <c r="E1232">
        <v>0.5055269</v>
      </c>
      <c r="F1232" t="s">
        <v>41</v>
      </c>
      <c r="G1232">
        <v>-193.4776</v>
      </c>
      <c r="H1232" s="1">
        <v>-2.366105E-6</v>
      </c>
      <c r="I1232">
        <v>312.63959999999997</v>
      </c>
      <c r="J1232">
        <v>-191.2671</v>
      </c>
      <c r="K1232">
        <v>1.118854</v>
      </c>
      <c r="L1232">
        <v>341.2072</v>
      </c>
      <c r="M1232">
        <v>-7.1552599999999994E-2</v>
      </c>
      <c r="N1232">
        <v>-5.5789799999999999E-3</v>
      </c>
      <c r="O1232">
        <v>-0.99742140000000001</v>
      </c>
      <c r="P1232">
        <v>-5.8981609999999997E-2</v>
      </c>
      <c r="Q1232">
        <v>-0.10039969999999999</v>
      </c>
      <c r="R1232">
        <v>-0.99319760000000001</v>
      </c>
      <c r="S1232">
        <v>-0.2316589</v>
      </c>
      <c r="T1232">
        <v>-0.1161182</v>
      </c>
      <c r="U1232">
        <v>-2.9946899999999999</v>
      </c>
      <c r="V1232">
        <v>-1.2475750000000001E-2</v>
      </c>
      <c r="W1232">
        <v>-9.4816689999999995E-2</v>
      </c>
      <c r="X1232">
        <v>0.99541659999999998</v>
      </c>
      <c r="Y1232">
        <v>5.5451370000000003E-3</v>
      </c>
      <c r="Z1232">
        <v>3.2979040000000001E-2</v>
      </c>
      <c r="AA1232">
        <v>0.99944069999999996</v>
      </c>
      <c r="AB1232">
        <v>29</v>
      </c>
      <c r="AC1232">
        <v>-2.2104999999999899</v>
      </c>
      <c r="AD1232">
        <v>-1.1188563661049999</v>
      </c>
      <c r="AE1232">
        <v>-28.567599999999999</v>
      </c>
      <c r="AF1232">
        <v>0.16047173716464699</v>
      </c>
      <c r="AG1232">
        <v>-1.1188563661049999</v>
      </c>
      <c r="AH1232">
        <v>28.608921063802899</v>
      </c>
      <c r="AI1232">
        <v>92.239584205602895</v>
      </c>
      <c r="AJ1232">
        <v>89.678622733587204</v>
      </c>
      <c r="AK1232">
        <v>28.631240894891501</v>
      </c>
      <c r="AL1232">
        <v>95.440769143769202</v>
      </c>
      <c r="AM1232">
        <v>90.718061560576004</v>
      </c>
      <c r="AN1232">
        <v>1.0000000282980801</v>
      </c>
    </row>
    <row r="1233" spans="1:40" x14ac:dyDescent="0.25">
      <c r="A1233" t="str">
        <f>"20190303154444303"</f>
        <v>20190303154444303</v>
      </c>
      <c r="B1233" t="str">
        <f>"1551599084291300"</f>
        <v>1551599084291300</v>
      </c>
      <c r="C1233" t="s">
        <v>40</v>
      </c>
      <c r="D1233">
        <v>5.3573000000000004</v>
      </c>
      <c r="E1233">
        <v>0.50562079999999998</v>
      </c>
      <c r="F1233" t="s">
        <v>41</v>
      </c>
      <c r="G1233">
        <v>-193.31280000000001</v>
      </c>
      <c r="H1233" s="1">
        <v>-2.4699849999999999E-6</v>
      </c>
      <c r="I1233">
        <v>312.95209999999997</v>
      </c>
      <c r="J1233">
        <v>-191.28970000000001</v>
      </c>
      <c r="K1233">
        <v>1.1189229999999999</v>
      </c>
      <c r="L1233">
        <v>340.90960000000001</v>
      </c>
      <c r="M1233">
        <v>-7.2685659999999999E-2</v>
      </c>
      <c r="N1233">
        <v>-5.5811319999999999E-3</v>
      </c>
      <c r="O1233">
        <v>-0.99733939999999999</v>
      </c>
      <c r="P1233">
        <v>-5.6619620000000002E-2</v>
      </c>
      <c r="Q1233">
        <v>-0.1023452</v>
      </c>
      <c r="R1233">
        <v>-0.99313660000000004</v>
      </c>
      <c r="S1233">
        <v>-0.21688840000000001</v>
      </c>
      <c r="T1233">
        <v>-0.11862250000000001</v>
      </c>
      <c r="U1233">
        <v>-2.9956360000000002</v>
      </c>
      <c r="V1233">
        <v>-1.5942379999999999E-2</v>
      </c>
      <c r="W1233">
        <v>-9.6755740000000007E-2</v>
      </c>
      <c r="X1233">
        <v>0.99518050000000002</v>
      </c>
      <c r="Y1233">
        <v>-5.1689290000000001E-4</v>
      </c>
      <c r="Z1233">
        <v>3.3796489999999998E-2</v>
      </c>
      <c r="AA1233">
        <v>0.9994286</v>
      </c>
      <c r="AB1233">
        <v>29</v>
      </c>
      <c r="AC1233">
        <v>-2.0230999999999901</v>
      </c>
      <c r="AD1233">
        <v>-1.118925469985</v>
      </c>
      <c r="AE1233">
        <v>-27.9575</v>
      </c>
      <c r="AF1233">
        <v>-1.4369325039832201E-2</v>
      </c>
      <c r="AG1233">
        <v>-1.118925469985</v>
      </c>
      <c r="AH1233">
        <v>27.986005739187501</v>
      </c>
      <c r="AI1233">
        <v>92.289557556042197</v>
      </c>
      <c r="AJ1233">
        <v>90.029418331953394</v>
      </c>
      <c r="AK1233">
        <v>28.008368712203101</v>
      </c>
      <c r="AL1233">
        <v>95.552381732258098</v>
      </c>
      <c r="AM1233">
        <v>90.917776186682602</v>
      </c>
      <c r="AN1233">
        <v>1.0000000301416301</v>
      </c>
    </row>
    <row r="1234" spans="1:40" x14ac:dyDescent="0.25">
      <c r="A1234" t="str">
        <f>"20190303154444325"</f>
        <v>20190303154444325</v>
      </c>
      <c r="B1234" t="str">
        <f>"1551599084321556"</f>
        <v>1551599084321556</v>
      </c>
      <c r="C1234" t="s">
        <v>40</v>
      </c>
      <c r="D1234">
        <v>5.3388949999999999</v>
      </c>
      <c r="E1234">
        <v>0.50575029999999999</v>
      </c>
      <c r="F1234" t="s">
        <v>41</v>
      </c>
      <c r="G1234">
        <v>-193.17699999999999</v>
      </c>
      <c r="H1234" s="1">
        <v>-2.9438239999999999E-6</v>
      </c>
      <c r="I1234">
        <v>314.03100000000001</v>
      </c>
      <c r="J1234">
        <v>-191.3124</v>
      </c>
      <c r="K1234">
        <v>1.1189979999999999</v>
      </c>
      <c r="L1234">
        <v>340.61360000000002</v>
      </c>
      <c r="M1234">
        <v>-7.3647030000000002E-2</v>
      </c>
      <c r="N1234">
        <v>-5.58436E-3</v>
      </c>
      <c r="O1234">
        <v>-0.99726899999999996</v>
      </c>
      <c r="P1234">
        <v>-5.5325390000000002E-2</v>
      </c>
      <c r="Q1234">
        <v>-0.106006</v>
      </c>
      <c r="R1234">
        <v>-0.99282559999999997</v>
      </c>
      <c r="S1234">
        <v>-0.21035770000000001</v>
      </c>
      <c r="T1234">
        <v>-0.1247151</v>
      </c>
      <c r="U1234">
        <v>-2.9958800000000001</v>
      </c>
      <c r="V1234">
        <v>-1.8154190000000001E-2</v>
      </c>
      <c r="W1234">
        <v>-0.1004147</v>
      </c>
      <c r="X1234">
        <v>0.99478009999999994</v>
      </c>
      <c r="Y1234">
        <v>-3.6588649999999999E-3</v>
      </c>
      <c r="Z1234">
        <v>3.5806879999999999E-2</v>
      </c>
      <c r="AA1234">
        <v>0.99935200000000002</v>
      </c>
      <c r="AB1234">
        <v>29</v>
      </c>
      <c r="AC1234">
        <v>-1.86460000000002</v>
      </c>
      <c r="AD1234">
        <v>-1.1190009438239901</v>
      </c>
      <c r="AE1234">
        <v>-26.582599999999999</v>
      </c>
      <c r="AF1234">
        <v>-9.8050372383660503E-2</v>
      </c>
      <c r="AG1234">
        <v>-1.1190009438239901</v>
      </c>
      <c r="AH1234">
        <v>26.600827510133399</v>
      </c>
      <c r="AI1234">
        <v>92.408790415374597</v>
      </c>
      <c r="AJ1234">
        <v>90.211190688443494</v>
      </c>
      <c r="AK1234">
        <v>26.6245338214902</v>
      </c>
      <c r="AL1234">
        <v>95.763050851935006</v>
      </c>
      <c r="AM1234">
        <v>91.045500425917197</v>
      </c>
      <c r="AN1234">
        <v>1.00000006697332</v>
      </c>
    </row>
    <row r="1235" spans="1:40" x14ac:dyDescent="0.25">
      <c r="A1235" t="str">
        <f>"20190303154444347"</f>
        <v>20190303154444347</v>
      </c>
      <c r="B1235" t="str">
        <f>"1551599084342052"</f>
        <v>1551599084342052</v>
      </c>
      <c r="C1235" t="s">
        <v>40</v>
      </c>
      <c r="D1235">
        <v>5.3088579999999999</v>
      </c>
      <c r="E1235">
        <v>0.50582950000000004</v>
      </c>
      <c r="F1235" t="s">
        <v>41</v>
      </c>
      <c r="G1235">
        <v>-193.02019999999999</v>
      </c>
      <c r="H1235" s="1">
        <v>-3.8084109999999999E-6</v>
      </c>
      <c r="I1235">
        <v>315.94819999999999</v>
      </c>
      <c r="J1235">
        <v>-191.3349</v>
      </c>
      <c r="K1235">
        <v>1.1190819999999999</v>
      </c>
      <c r="L1235">
        <v>340.32199999999898</v>
      </c>
      <c r="M1235">
        <v>-7.4451630000000005E-2</v>
      </c>
      <c r="N1235">
        <v>-5.5887259999999996E-3</v>
      </c>
      <c r="O1235">
        <v>-0.99720900000000001</v>
      </c>
      <c r="P1235">
        <v>-5.3662540000000002E-2</v>
      </c>
      <c r="Q1235">
        <v>-0.1094512</v>
      </c>
      <c r="R1235">
        <v>-0.99254260000000005</v>
      </c>
      <c r="S1235">
        <v>-0.20741270000000001</v>
      </c>
      <c r="T1235">
        <v>-0.135904</v>
      </c>
      <c r="U1235">
        <v>-2.9956360000000002</v>
      </c>
      <c r="V1235">
        <v>-2.057264E-2</v>
      </c>
      <c r="W1235">
        <v>-0.1038584</v>
      </c>
      <c r="X1235">
        <v>0.99437929999999997</v>
      </c>
      <c r="Y1235">
        <v>-5.4470769999999998E-3</v>
      </c>
      <c r="Z1235">
        <v>3.9508769999999999E-2</v>
      </c>
      <c r="AA1235">
        <v>0.99920439999999999</v>
      </c>
      <c r="AB1235">
        <v>29</v>
      </c>
      <c r="AC1235">
        <v>-1.68529999999998</v>
      </c>
      <c r="AD1235">
        <v>-1.11908580841099</v>
      </c>
      <c r="AE1235">
        <v>-24.3737999999999</v>
      </c>
      <c r="AF1235">
        <v>-0.133794198385839</v>
      </c>
      <c r="AG1235">
        <v>-1.11908580841099</v>
      </c>
      <c r="AH1235">
        <v>24.380476121884001</v>
      </c>
      <c r="AI1235">
        <v>92.628043696791394</v>
      </c>
      <c r="AJ1235">
        <v>90.314422323022995</v>
      </c>
      <c r="AK1235">
        <v>24.406512857511299</v>
      </c>
      <c r="AL1235">
        <v>95.961398114655495</v>
      </c>
      <c r="AM1235">
        <v>91.185219072185603</v>
      </c>
      <c r="AN1235">
        <v>0.99999999651780902</v>
      </c>
    </row>
    <row r="1236" spans="1:40" x14ac:dyDescent="0.25">
      <c r="A1236" t="str">
        <f>"20190303154444393"</f>
        <v>20190303154444393</v>
      </c>
      <c r="B1236" t="str">
        <f>"1551599084382068"</f>
        <v>1551599084382068</v>
      </c>
      <c r="C1236" t="s">
        <v>40</v>
      </c>
      <c r="D1236">
        <v>5.2737600000000002</v>
      </c>
      <c r="E1236">
        <v>0.5061542</v>
      </c>
      <c r="F1236" t="s">
        <v>41</v>
      </c>
      <c r="G1236">
        <v>-192.89099999999999</v>
      </c>
      <c r="H1236" s="1">
        <v>-4.3632949999999999E-6</v>
      </c>
      <c r="I1236">
        <v>317.31299999999999</v>
      </c>
      <c r="J1236">
        <v>-191.3809</v>
      </c>
      <c r="K1236">
        <v>1.119432</v>
      </c>
      <c r="L1236">
        <v>339.7242</v>
      </c>
      <c r="M1236">
        <v>-7.5321940000000004E-2</v>
      </c>
      <c r="N1236">
        <v>-5.6028689999999999E-3</v>
      </c>
      <c r="O1236">
        <v>-0.99714360000000002</v>
      </c>
      <c r="P1236">
        <v>-4.9680170000000003E-2</v>
      </c>
      <c r="Q1236">
        <v>-0.1140028</v>
      </c>
      <c r="R1236">
        <v>-0.99223760000000005</v>
      </c>
      <c r="S1236">
        <v>-0.20259089999999999</v>
      </c>
      <c r="T1236">
        <v>-0.14569079999999901</v>
      </c>
      <c r="U1236">
        <v>-2.9954830000000001</v>
      </c>
      <c r="V1236">
        <v>-2.5290679999999999E-2</v>
      </c>
      <c r="W1236">
        <v>-0.1084151</v>
      </c>
      <c r="X1236">
        <v>0.993784</v>
      </c>
      <c r="Y1236">
        <v>-7.9257709999999999E-3</v>
      </c>
      <c r="Z1236">
        <v>4.2734090000000002E-2</v>
      </c>
      <c r="AA1236">
        <v>0.99905500000000003</v>
      </c>
      <c r="AB1236">
        <v>29</v>
      </c>
      <c r="AC1236">
        <v>-1.51009999999999</v>
      </c>
      <c r="AD1236">
        <v>-1.119436363295</v>
      </c>
      <c r="AE1236">
        <v>-22.411200000000001</v>
      </c>
      <c r="AF1236">
        <v>-0.18181977108526401</v>
      </c>
      <c r="AG1236">
        <v>-1.119436363295</v>
      </c>
      <c r="AH1236">
        <v>22.405630094963001</v>
      </c>
      <c r="AI1236">
        <v>92.860155396685002</v>
      </c>
      <c r="AJ1236">
        <v>90.464940142699803</v>
      </c>
      <c r="AK1236">
        <v>22.434314256355901</v>
      </c>
      <c r="AL1236">
        <v>96.223960799953602</v>
      </c>
      <c r="AM1236">
        <v>91.457798196952396</v>
      </c>
      <c r="AN1236">
        <v>1.00000004552943</v>
      </c>
    </row>
    <row r="1237" spans="1:40" x14ac:dyDescent="0.25">
      <c r="A1237" t="str">
        <f>"20190303154444415"</f>
        <v>20190303154444415</v>
      </c>
      <c r="B1237" t="str">
        <f>"1551599084411350"</f>
        <v>1551599084411350</v>
      </c>
      <c r="C1237" t="s">
        <v>40</v>
      </c>
      <c r="D1237">
        <v>5.2914199999999996</v>
      </c>
      <c r="E1237">
        <v>0.50643470000000002</v>
      </c>
      <c r="F1237" t="s">
        <v>41</v>
      </c>
      <c r="G1237">
        <v>-192.74610000000001</v>
      </c>
      <c r="H1237" s="1">
        <v>-4.7617020000000001E-6</v>
      </c>
      <c r="I1237">
        <v>318.41739999999999</v>
      </c>
      <c r="J1237">
        <v>-191.40260000000001</v>
      </c>
      <c r="K1237">
        <v>1.1196969999999999</v>
      </c>
      <c r="L1237">
        <v>339.43699999999899</v>
      </c>
      <c r="M1237">
        <v>-7.5236300000000006E-2</v>
      </c>
      <c r="N1237">
        <v>-5.6135009999999999E-3</v>
      </c>
      <c r="O1237">
        <v>-0.99715010000000004</v>
      </c>
      <c r="P1237">
        <v>-4.9894279999999999E-2</v>
      </c>
      <c r="Q1237">
        <v>-0.1150072</v>
      </c>
      <c r="R1237">
        <v>-0.99211079999999996</v>
      </c>
      <c r="S1237">
        <v>-0.1919556</v>
      </c>
      <c r="T1237">
        <v>-0.15739520000000001</v>
      </c>
      <c r="U1237">
        <v>-2.9957889999999998</v>
      </c>
      <c r="V1237">
        <v>-2.491165E-2</v>
      </c>
      <c r="W1237">
        <v>-0.1094263</v>
      </c>
      <c r="X1237">
        <v>0.99368270000000003</v>
      </c>
      <c r="Y1237">
        <v>-1.1388540000000001E-2</v>
      </c>
      <c r="Z1237">
        <v>4.6595579999999998E-2</v>
      </c>
      <c r="AA1237">
        <v>0.99884890000000004</v>
      </c>
      <c r="AB1237">
        <v>29</v>
      </c>
      <c r="AC1237">
        <v>-1.3434999999999999</v>
      </c>
      <c r="AD1237">
        <v>-1.119701761702</v>
      </c>
      <c r="AE1237">
        <v>-21.019599999999901</v>
      </c>
      <c r="AF1237">
        <v>-0.24108820526777</v>
      </c>
      <c r="AG1237">
        <v>-1.119701761702</v>
      </c>
      <c r="AH1237">
        <v>21.001751792757801</v>
      </c>
      <c r="AI1237">
        <v>93.051616339936601</v>
      </c>
      <c r="AJ1237">
        <v>90.657694180690498</v>
      </c>
      <c r="AK1237">
        <v>21.032960655183199</v>
      </c>
      <c r="AL1237">
        <v>96.282245301610899</v>
      </c>
      <c r="AM1237">
        <v>91.436105800531493</v>
      </c>
      <c r="AN1237">
        <v>1.0000000068583501</v>
      </c>
    </row>
    <row r="1238" spans="1:40" x14ac:dyDescent="0.25">
      <c r="A1238" t="str">
        <f>"20190303154444437"</f>
        <v>20190303154444437</v>
      </c>
      <c r="B1238" t="str">
        <f>"1551599084431844"</f>
        <v>1551599084431844</v>
      </c>
      <c r="C1238" t="s">
        <v>40</v>
      </c>
      <c r="D1238">
        <v>5.2929969999999997</v>
      </c>
      <c r="E1238">
        <v>0.50659370000000004</v>
      </c>
      <c r="F1238" t="s">
        <v>41</v>
      </c>
      <c r="G1238">
        <v>-192.77440000000001</v>
      </c>
      <c r="H1238" s="1">
        <v>-4.7415700000000001E-6</v>
      </c>
      <c r="I1238">
        <v>318.3519</v>
      </c>
      <c r="J1238">
        <v>-191.42500000000001</v>
      </c>
      <c r="K1238">
        <v>1.1200479999999999</v>
      </c>
      <c r="L1238">
        <v>339.13589999999999</v>
      </c>
      <c r="M1238">
        <v>-7.4659799999999998E-2</v>
      </c>
      <c r="N1238">
        <v>-5.62891E-3</v>
      </c>
      <c r="O1238">
        <v>-0.99719329999999995</v>
      </c>
      <c r="P1238">
        <v>-5.0929540000000002E-2</v>
      </c>
      <c r="Q1238">
        <v>-0.116713</v>
      </c>
      <c r="R1238">
        <v>-0.99185900000000005</v>
      </c>
      <c r="S1238">
        <v>-0.19488530000000001</v>
      </c>
      <c r="T1238">
        <v>-0.1590781</v>
      </c>
      <c r="U1238">
        <v>-2.9956049999999999</v>
      </c>
      <c r="V1238">
        <v>-2.3190990000000002E-2</v>
      </c>
      <c r="W1238">
        <v>-0.11113779999999999</v>
      </c>
      <c r="X1238">
        <v>0.99353440000000004</v>
      </c>
      <c r="Y1238">
        <v>-9.8356329999999999E-3</v>
      </c>
      <c r="Z1238">
        <v>4.7142370000000003E-2</v>
      </c>
      <c r="AA1238">
        <v>0.9988397</v>
      </c>
      <c r="AB1238">
        <v>30</v>
      </c>
      <c r="AC1238">
        <v>-1.3493999999999999</v>
      </c>
      <c r="AD1238">
        <v>-1.1200527415699999</v>
      </c>
      <c r="AE1238">
        <v>-20.783999999999899</v>
      </c>
      <c r="AF1238">
        <v>-0.205525513073433</v>
      </c>
      <c r="AG1238">
        <v>-1.1200527415699999</v>
      </c>
      <c r="AH1238">
        <v>20.766682487993499</v>
      </c>
      <c r="AI1238">
        <v>93.087110436681101</v>
      </c>
      <c r="AJ1238">
        <v>90.567031351256503</v>
      </c>
      <c r="AK1238">
        <v>20.797881152597199</v>
      </c>
      <c r="AL1238">
        <v>96.380908781797501</v>
      </c>
      <c r="AM1238">
        <v>91.337150086124495</v>
      </c>
      <c r="AN1238">
        <v>1.00000001829469</v>
      </c>
    </row>
    <row r="1239" spans="1:40" x14ac:dyDescent="0.25">
      <c r="A1239" t="str">
        <f>"20190303154444459"</f>
        <v>20190303154444459</v>
      </c>
      <c r="B1239" t="str">
        <f>"1551599084451364"</f>
        <v>1551599084451364</v>
      </c>
      <c r="C1239" t="s">
        <v>40</v>
      </c>
      <c r="D1239">
        <v>5.2997180000000004</v>
      </c>
      <c r="E1239">
        <v>0.50673040000000003</v>
      </c>
      <c r="F1239" t="s">
        <v>41</v>
      </c>
      <c r="G1239">
        <v>-192.79830000000001</v>
      </c>
      <c r="H1239" s="1">
        <v>-4.8082080000000002E-6</v>
      </c>
      <c r="I1239">
        <v>318.51440000000002</v>
      </c>
      <c r="J1239">
        <v>-191.44560000000001</v>
      </c>
      <c r="K1239">
        <v>1.120466</v>
      </c>
      <c r="L1239">
        <v>338.8476</v>
      </c>
      <c r="M1239">
        <v>-7.3511969999999996E-2</v>
      </c>
      <c r="N1239">
        <v>-5.6505139999999997E-3</v>
      </c>
      <c r="O1239">
        <v>-0.99727829999999995</v>
      </c>
      <c r="P1239">
        <v>-5.1736400000000002E-2</v>
      </c>
      <c r="Q1239">
        <v>-0.1174144</v>
      </c>
      <c r="R1239">
        <v>-0.99173460000000002</v>
      </c>
      <c r="S1239">
        <v>-0.19947809999999999</v>
      </c>
      <c r="T1239">
        <v>-0.16268540000000001</v>
      </c>
      <c r="U1239">
        <v>-2.9952390000000002</v>
      </c>
      <c r="V1239">
        <v>-2.112085E-2</v>
      </c>
      <c r="W1239">
        <v>-0.1118381</v>
      </c>
      <c r="X1239">
        <v>0.993502</v>
      </c>
      <c r="Y1239">
        <v>-7.1559129999999999E-3</v>
      </c>
      <c r="Z1239">
        <v>4.8325399999999998E-2</v>
      </c>
      <c r="AA1239">
        <v>0.99880599999999997</v>
      </c>
      <c r="AB1239">
        <v>30</v>
      </c>
      <c r="AC1239">
        <v>-1.35269999999999</v>
      </c>
      <c r="AD1239">
        <v>-1.1204708082079999</v>
      </c>
      <c r="AE1239">
        <v>-20.333199999999898</v>
      </c>
      <c r="AF1239">
        <v>-0.145278351768313</v>
      </c>
      <c r="AG1239">
        <v>-1.1204708082079999</v>
      </c>
      <c r="AH1239">
        <v>20.3162039993069</v>
      </c>
      <c r="AI1239">
        <v>93.156674348692903</v>
      </c>
      <c r="AJ1239">
        <v>90.4097071744457</v>
      </c>
      <c r="AK1239">
        <v>20.347597046653799</v>
      </c>
      <c r="AL1239">
        <v>96.421284605025406</v>
      </c>
      <c r="AM1239">
        <v>91.217867009190698</v>
      </c>
      <c r="AN1239">
        <v>1.0000000374601601</v>
      </c>
    </row>
    <row r="1240" spans="1:40" x14ac:dyDescent="0.25">
      <c r="A1240" t="str">
        <f>"20190303154444482"</f>
        <v>20190303154444482</v>
      </c>
      <c r="B1240" t="str">
        <f>"1551599084471861"</f>
        <v>1551599084471861</v>
      </c>
      <c r="C1240" t="s">
        <v>40</v>
      </c>
      <c r="D1240">
        <v>5.3257680000000001</v>
      </c>
      <c r="E1240">
        <v>0.50677970000000006</v>
      </c>
      <c r="F1240" t="s">
        <v>41</v>
      </c>
      <c r="G1240">
        <v>-192.84010000000001</v>
      </c>
      <c r="H1240" s="1">
        <v>-4.7216099999999997E-6</v>
      </c>
      <c r="I1240">
        <v>318.26960000000003</v>
      </c>
      <c r="J1240">
        <v>-191.46600000000001</v>
      </c>
      <c r="K1240">
        <v>1.1209499999999999</v>
      </c>
      <c r="L1240">
        <v>338.55</v>
      </c>
      <c r="M1240">
        <v>-7.1713570000000004E-2</v>
      </c>
      <c r="N1240">
        <v>-5.6794569999999997E-3</v>
      </c>
      <c r="O1240">
        <v>-0.99740930000000005</v>
      </c>
      <c r="P1240">
        <v>-5.1171460000000002E-2</v>
      </c>
      <c r="Q1240">
        <v>-0.115152</v>
      </c>
      <c r="R1240">
        <v>-0.99202920000000006</v>
      </c>
      <c r="S1240">
        <v>-0.2029572</v>
      </c>
      <c r="T1240">
        <v>-0.163082</v>
      </c>
      <c r="U1240">
        <v>-2.9950869999999998</v>
      </c>
      <c r="V1240">
        <v>-1.9793249999999998E-2</v>
      </c>
      <c r="W1240">
        <v>-0.1095661</v>
      </c>
      <c r="X1240">
        <v>0.99378239999999995</v>
      </c>
      <c r="Y1240">
        <v>-4.1952409999999997E-3</v>
      </c>
      <c r="Z1240">
        <v>4.8439400000000001E-2</v>
      </c>
      <c r="AA1240">
        <v>0.99881730000000002</v>
      </c>
      <c r="AB1240">
        <v>30</v>
      </c>
      <c r="AC1240">
        <v>-1.3741000000000201</v>
      </c>
      <c r="AD1240">
        <v>-1.12095472161</v>
      </c>
      <c r="AE1240">
        <v>-20.280399999999901</v>
      </c>
      <c r="AF1240">
        <v>-8.3586903145475594E-2</v>
      </c>
      <c r="AG1240">
        <v>-1.12095472161</v>
      </c>
      <c r="AH1240">
        <v>20.265096268901601</v>
      </c>
      <c r="AI1240">
        <v>93.166037061299207</v>
      </c>
      <c r="AJ1240">
        <v>90.236325036418407</v>
      </c>
      <c r="AK1240">
        <v>20.296247265101201</v>
      </c>
      <c r="AL1240">
        <v>96.290303869679406</v>
      </c>
      <c r="AM1240">
        <v>91.141014134853194</v>
      </c>
      <c r="AN1240">
        <v>0.99999998078226504</v>
      </c>
    </row>
    <row r="1241" spans="1:40" x14ac:dyDescent="0.25">
      <c r="A1241" t="str">
        <f>"20190303154444504"</f>
        <v>20190303154444504</v>
      </c>
      <c r="B1241" t="str">
        <f>"1551599084491380"</f>
        <v>1551599084491380</v>
      </c>
      <c r="C1241" t="s">
        <v>40</v>
      </c>
      <c r="D1241">
        <v>5.3417560000000002</v>
      </c>
      <c r="E1241">
        <v>0.50684430000000003</v>
      </c>
      <c r="F1241" t="s">
        <v>41</v>
      </c>
      <c r="G1241">
        <v>-192.93109999999999</v>
      </c>
      <c r="H1241" s="1">
        <v>-4.1580639999999999E-6</v>
      </c>
      <c r="I1241">
        <v>316.76</v>
      </c>
      <c r="J1241">
        <v>-191.48490000000001</v>
      </c>
      <c r="K1241">
        <v>1.1214200000000001</v>
      </c>
      <c r="L1241">
        <v>338.25810000000001</v>
      </c>
      <c r="M1241">
        <v>-6.9351670000000004E-2</v>
      </c>
      <c r="N1241">
        <v>-5.7107579999999998E-3</v>
      </c>
      <c r="O1241">
        <v>-0.99757620000000002</v>
      </c>
      <c r="P1241">
        <v>-4.9999849999999998E-2</v>
      </c>
      <c r="Q1241">
        <v>-0.112345</v>
      </c>
      <c r="R1241">
        <v>-0.99241100000000004</v>
      </c>
      <c r="S1241">
        <v>-0.20143130000000001</v>
      </c>
      <c r="T1241">
        <v>-0.1541159</v>
      </c>
      <c r="U1241">
        <v>-2.995819</v>
      </c>
      <c r="V1241">
        <v>-1.8526609999999999E-2</v>
      </c>
      <c r="W1241">
        <v>-0.1067434</v>
      </c>
      <c r="X1241">
        <v>0.99411400000000005</v>
      </c>
      <c r="Y1241">
        <v>-2.341175E-3</v>
      </c>
      <c r="Z1241">
        <v>4.5442040000000003E-2</v>
      </c>
      <c r="AA1241">
        <v>0.99896430000000003</v>
      </c>
      <c r="AB1241">
        <v>30</v>
      </c>
      <c r="AC1241">
        <v>-1.44619999999997</v>
      </c>
      <c r="AD1241">
        <v>-1.1214241580640001</v>
      </c>
      <c r="AE1241">
        <v>-21.498100000000001</v>
      </c>
      <c r="AF1241">
        <v>-4.8104902770855697E-2</v>
      </c>
      <c r="AG1241">
        <v>-1.1214241580640001</v>
      </c>
      <c r="AH1241">
        <v>21.488426713844198</v>
      </c>
      <c r="AI1241">
        <v>92.987397607038204</v>
      </c>
      <c r="AJ1241">
        <v>90.128264546079194</v>
      </c>
      <c r="AK1241">
        <v>21.517722669005099</v>
      </c>
      <c r="AL1241">
        <v>96.127620503676397</v>
      </c>
      <c r="AM1241">
        <v>91.067657931779806</v>
      </c>
      <c r="AN1241">
        <v>1.0000000168588199</v>
      </c>
    </row>
    <row r="1242" spans="1:40" x14ac:dyDescent="0.25">
      <c r="A1242" t="str">
        <f>"20190303154444525"</f>
        <v>20190303154444525</v>
      </c>
      <c r="B1242" t="str">
        <f>"1551599084521636"</f>
        <v>1551599084521636</v>
      </c>
      <c r="C1242" t="s">
        <v>40</v>
      </c>
      <c r="D1242">
        <v>5.3516909999999998</v>
      </c>
      <c r="E1242">
        <v>0.50697829999999999</v>
      </c>
      <c r="F1242" t="s">
        <v>41</v>
      </c>
      <c r="G1242">
        <v>-193.0247</v>
      </c>
      <c r="H1242" s="1">
        <v>-3.3112390000000002E-6</v>
      </c>
      <c r="I1242">
        <v>314.89389999999997</v>
      </c>
      <c r="J1242">
        <v>-191.5027</v>
      </c>
      <c r="K1242">
        <v>1.1218189999999999</v>
      </c>
      <c r="L1242">
        <v>337.96350000000001</v>
      </c>
      <c r="M1242">
        <v>-6.6520070000000001E-2</v>
      </c>
      <c r="N1242">
        <v>-5.7374399999999999E-3</v>
      </c>
      <c r="O1242">
        <v>-0.99776860000000001</v>
      </c>
      <c r="P1242">
        <v>-4.7523250000000003E-2</v>
      </c>
      <c r="Q1242">
        <v>-0.11075749999999999</v>
      </c>
      <c r="R1242">
        <v>-0.9927106</v>
      </c>
      <c r="S1242">
        <v>-0.19750980000000001</v>
      </c>
      <c r="T1242">
        <v>-0.14383609999999999</v>
      </c>
      <c r="U1242">
        <v>-2.9967350000000001</v>
      </c>
      <c r="V1242">
        <v>-1.8103080000000001E-2</v>
      </c>
      <c r="W1242">
        <v>-0.1051445</v>
      </c>
      <c r="X1242">
        <v>0.99429210000000001</v>
      </c>
      <c r="Y1242">
        <v>-8.1525869999999896E-4</v>
      </c>
      <c r="Z1242">
        <v>4.2012599999999997E-2</v>
      </c>
      <c r="AA1242">
        <v>0.99911669999999997</v>
      </c>
      <c r="AB1242">
        <v>30</v>
      </c>
      <c r="AC1242">
        <v>-1.52199999999999</v>
      </c>
      <c r="AD1242">
        <v>-1.121822311239</v>
      </c>
      <c r="AE1242">
        <v>-23.069600000000001</v>
      </c>
      <c r="AF1242">
        <v>-1.5950307145705001E-2</v>
      </c>
      <c r="AG1242">
        <v>-1.121822311239</v>
      </c>
      <c r="AH1242">
        <v>23.065440908305199</v>
      </c>
      <c r="AI1242">
        <v>92.784471320543304</v>
      </c>
      <c r="AJ1242">
        <v>90.039621403264903</v>
      </c>
      <c r="AK1242">
        <v>23.092711057925001</v>
      </c>
      <c r="AL1242">
        <v>96.035492285667104</v>
      </c>
      <c r="AM1242">
        <v>91.043069225620997</v>
      </c>
      <c r="AN1242">
        <v>0.99999993375407104</v>
      </c>
    </row>
    <row r="1243" spans="1:40" x14ac:dyDescent="0.25">
      <c r="A1243" t="str">
        <f>"20190303154444561"</f>
        <v>20190303154444561</v>
      </c>
      <c r="B1243" t="str">
        <f>"1551599084551481"</f>
        <v>1551599084551481</v>
      </c>
      <c r="C1243" t="s">
        <v>40</v>
      </c>
      <c r="D1243">
        <v>5.3371180000000003</v>
      </c>
      <c r="E1243">
        <v>0.50708030000000004</v>
      </c>
      <c r="F1243" t="s">
        <v>41</v>
      </c>
      <c r="G1243">
        <v>-193.0761</v>
      </c>
      <c r="H1243" s="1">
        <v>-2.5174170000000001E-6</v>
      </c>
      <c r="I1243">
        <v>313.1857</v>
      </c>
      <c r="J1243">
        <v>-191.52869999999999</v>
      </c>
      <c r="K1243">
        <v>1.1223129999999999</v>
      </c>
      <c r="L1243">
        <v>337.49180000000001</v>
      </c>
      <c r="M1243">
        <v>-6.1231670000000002E-2</v>
      </c>
      <c r="N1243">
        <v>-5.7693579999999996E-3</v>
      </c>
      <c r="O1243">
        <v>-0.99810710000000002</v>
      </c>
      <c r="P1243">
        <v>-4.207756E-2</v>
      </c>
      <c r="Q1243">
        <v>-0.111093899999999</v>
      </c>
      <c r="R1243">
        <v>-0.99291879999999999</v>
      </c>
      <c r="S1243">
        <v>-0.1903687</v>
      </c>
      <c r="T1243">
        <v>-0.1357265</v>
      </c>
      <c r="U1243">
        <v>-2.9978030000000002</v>
      </c>
      <c r="V1243">
        <v>-1.815744E-2</v>
      </c>
      <c r="W1243">
        <v>-0.1054722</v>
      </c>
      <c r="X1243">
        <v>0.99425640000000004</v>
      </c>
      <c r="Y1243">
        <v>2.0971919999999999E-3</v>
      </c>
      <c r="Z1243">
        <v>3.9303480000000002E-2</v>
      </c>
      <c r="AA1243">
        <v>0.99922509999999998</v>
      </c>
      <c r="AB1243">
        <v>30</v>
      </c>
      <c r="AC1243">
        <v>-1.5474000000000101</v>
      </c>
      <c r="AD1243">
        <v>-1.1223155174170001</v>
      </c>
      <c r="AE1243">
        <v>-24.306100000000001</v>
      </c>
      <c r="AF1243">
        <v>5.6049737315181501E-2</v>
      </c>
      <c r="AG1243">
        <v>-1.1223155174170001</v>
      </c>
      <c r="AH1243">
        <v>24.3036338754771</v>
      </c>
      <c r="AI1243">
        <v>92.643971732327898</v>
      </c>
      <c r="AJ1243">
        <v>89.867863064678104</v>
      </c>
      <c r="AK1243">
        <v>24.329598296045202</v>
      </c>
      <c r="AL1243">
        <v>96.054373101452299</v>
      </c>
      <c r="AM1243">
        <v>91.046238219665995</v>
      </c>
      <c r="AN1243">
        <v>0.99999993327057402</v>
      </c>
    </row>
    <row r="1244" spans="1:40" x14ac:dyDescent="0.25">
      <c r="A1244" t="str">
        <f>"20190303154444580"</f>
        <v>20190303154444580</v>
      </c>
      <c r="B1244" t="str">
        <f>"1551599084571978"</f>
        <v>1551599084571978</v>
      </c>
      <c r="C1244" t="s">
        <v>40</v>
      </c>
      <c r="D1244">
        <v>5.336157</v>
      </c>
      <c r="E1244">
        <v>0.50710500000000003</v>
      </c>
      <c r="F1244" t="s">
        <v>41</v>
      </c>
      <c r="G1244">
        <v>-192.98560000000001</v>
      </c>
      <c r="H1244" s="1">
        <v>-2.172327E-6</v>
      </c>
      <c r="I1244">
        <v>312.50659999999999</v>
      </c>
      <c r="J1244">
        <v>-191.54230000000001</v>
      </c>
      <c r="K1244">
        <v>1.122533</v>
      </c>
      <c r="L1244">
        <v>337.21910000000003</v>
      </c>
      <c r="M1244">
        <v>-5.7830109999999997E-2</v>
      </c>
      <c r="N1244">
        <v>-5.7846549999999997E-3</v>
      </c>
      <c r="O1244">
        <v>-0.99830989999999997</v>
      </c>
      <c r="P1244">
        <v>-3.6880599999999999E-2</v>
      </c>
      <c r="Q1244">
        <v>-0.11090079999999999</v>
      </c>
      <c r="R1244">
        <v>-0.99314740000000001</v>
      </c>
      <c r="S1244">
        <v>-0.17486570000000001</v>
      </c>
      <c r="T1244">
        <v>-0.13470860000000001</v>
      </c>
      <c r="U1244">
        <v>-2.998901</v>
      </c>
      <c r="V1244">
        <v>-1.991861E-2</v>
      </c>
      <c r="W1244">
        <v>-0.1052855</v>
      </c>
      <c r="X1244">
        <v>0.99424250000000003</v>
      </c>
      <c r="Y1244">
        <v>3.36325E-4</v>
      </c>
      <c r="Z1244">
        <v>3.8953799999999997E-2</v>
      </c>
      <c r="AA1244">
        <v>0.99924089999999999</v>
      </c>
      <c r="AB1244">
        <v>30</v>
      </c>
      <c r="AC1244">
        <v>-1.44329999999999</v>
      </c>
      <c r="AD1244">
        <v>-1.1225351723270001</v>
      </c>
      <c r="AE1244">
        <v>-24.712499999999999</v>
      </c>
      <c r="AF1244">
        <v>1.1710199290269001E-2</v>
      </c>
      <c r="AG1244">
        <v>-1.1225351723270001</v>
      </c>
      <c r="AH1244">
        <v>24.703809740375799</v>
      </c>
      <c r="AI1244">
        <v>92.601716481653298</v>
      </c>
      <c r="AJ1244">
        <v>89.972840426096695</v>
      </c>
      <c r="AK1244">
        <v>24.7293032257394</v>
      </c>
      <c r="AL1244">
        <v>96.0436158735031</v>
      </c>
      <c r="AM1244">
        <v>91.147707565734194</v>
      </c>
      <c r="AN1244">
        <v>0.99999996817041503</v>
      </c>
    </row>
    <row r="1245" spans="1:40" x14ac:dyDescent="0.25">
      <c r="A1245" t="str">
        <f>"20190303154444603"</f>
        <v>20190303154444603</v>
      </c>
      <c r="B1245" t="str">
        <f>"1551599084591498"</f>
        <v>1551599084591498</v>
      </c>
      <c r="C1245" t="s">
        <v>40</v>
      </c>
      <c r="D1245">
        <v>5.4246249999999998</v>
      </c>
      <c r="E1245">
        <v>0.50712930000000001</v>
      </c>
      <c r="F1245" t="s">
        <v>41</v>
      </c>
      <c r="G1245">
        <v>-192.8871</v>
      </c>
      <c r="H1245" s="1">
        <v>-1.8610920000000001E-6</v>
      </c>
      <c r="I1245">
        <v>311.90370000000001</v>
      </c>
      <c r="J1245">
        <v>-191.55600000000001</v>
      </c>
      <c r="K1245">
        <v>1.1227279999999999</v>
      </c>
      <c r="L1245">
        <v>336.91809999999998</v>
      </c>
      <c r="M1245">
        <v>-5.3902609999999997E-2</v>
      </c>
      <c r="N1245">
        <v>-5.8004719999999897E-3</v>
      </c>
      <c r="O1245">
        <v>-0.99852940000000001</v>
      </c>
      <c r="P1245">
        <v>-3.0249350000000001E-2</v>
      </c>
      <c r="Q1245">
        <v>-0.1089769</v>
      </c>
      <c r="R1245">
        <v>-0.99358420000000003</v>
      </c>
      <c r="S1245">
        <v>-0.1593628</v>
      </c>
      <c r="T1245">
        <v>-0.13302329999999901</v>
      </c>
      <c r="U1245">
        <v>-2.9999389999999999</v>
      </c>
      <c r="V1245">
        <v>-2.2620210000000002E-2</v>
      </c>
      <c r="W1245">
        <v>-0.1033737</v>
      </c>
      <c r="X1245">
        <v>0.99438539999999997</v>
      </c>
      <c r="Y1245">
        <v>-8.9654579999999995E-4</v>
      </c>
      <c r="Z1245">
        <v>3.8383630000000002E-2</v>
      </c>
      <c r="AA1245">
        <v>0.99926269999999995</v>
      </c>
      <c r="AB1245">
        <v>30</v>
      </c>
      <c r="AC1245">
        <v>-1.3311000000000199</v>
      </c>
      <c r="AD1245">
        <v>-1.122729861092</v>
      </c>
      <c r="AE1245">
        <v>-25.014399999999899</v>
      </c>
      <c r="AF1245">
        <v>-1.9160794572862402E-2</v>
      </c>
      <c r="AG1245">
        <v>-1.122729861092</v>
      </c>
      <c r="AH1245">
        <v>24.9995639755277</v>
      </c>
      <c r="AI1245">
        <v>92.571423582002694</v>
      </c>
      <c r="AJ1245">
        <v>90.043914063751103</v>
      </c>
      <c r="AK1245">
        <v>25.024769498309901</v>
      </c>
      <c r="AL1245">
        <v>95.933476182069398</v>
      </c>
      <c r="AM1245">
        <v>91.303135665926703</v>
      </c>
      <c r="AN1245">
        <v>1.0000000597426399</v>
      </c>
    </row>
    <row r="1246" spans="1:40" x14ac:dyDescent="0.25">
      <c r="A1246" t="str">
        <f>"20190303154444625"</f>
        <v>20190303154444625</v>
      </c>
      <c r="B1246" t="str">
        <f>"1551599084621754"</f>
        <v>1551599084621754</v>
      </c>
      <c r="C1246" t="s">
        <v>40</v>
      </c>
      <c r="D1246">
        <v>5.4144550000000002</v>
      </c>
      <c r="E1246">
        <v>0.50718859999999999</v>
      </c>
      <c r="F1246" t="s">
        <v>41</v>
      </c>
      <c r="G1246">
        <v>-192.78899999999999</v>
      </c>
      <c r="H1246" s="1">
        <v>-1.0891150000000001E-6</v>
      </c>
      <c r="I1246">
        <v>310.32569999999998</v>
      </c>
      <c r="J1246">
        <v>-191.56880000000001</v>
      </c>
      <c r="K1246">
        <v>1.122865</v>
      </c>
      <c r="L1246">
        <v>336.6071</v>
      </c>
      <c r="M1246">
        <v>-4.9736879999999997E-2</v>
      </c>
      <c r="N1246">
        <v>-5.8151189999999997E-3</v>
      </c>
      <c r="O1246">
        <v>-0.99874560000000001</v>
      </c>
      <c r="P1246">
        <v>-2.2488210000000002E-2</v>
      </c>
      <c r="Q1246">
        <v>-0.10771409999999999</v>
      </c>
      <c r="R1246">
        <v>-0.99392760000000002</v>
      </c>
      <c r="S1246">
        <v>-0.13916020000000001</v>
      </c>
      <c r="T1246">
        <v>-0.1267115</v>
      </c>
      <c r="U1246">
        <v>-3.0012210000000001</v>
      </c>
      <c r="V1246">
        <v>-2.6216139999999999E-2</v>
      </c>
      <c r="W1246">
        <v>-0.1021311</v>
      </c>
      <c r="X1246">
        <v>0.99442540000000001</v>
      </c>
      <c r="Y1246">
        <v>-3.4536200000000001E-3</v>
      </c>
      <c r="Z1246">
        <v>3.6277509999999999E-2</v>
      </c>
      <c r="AA1246">
        <v>0.9993358</v>
      </c>
      <c r="AB1246">
        <v>31</v>
      </c>
      <c r="AC1246">
        <v>-1.2202</v>
      </c>
      <c r="AD1246">
        <v>-1.122866089115</v>
      </c>
      <c r="AE1246">
        <v>-26.281400000000001</v>
      </c>
      <c r="AF1246">
        <v>-8.8326053808451793E-2</v>
      </c>
      <c r="AG1246">
        <v>-1.122866089115</v>
      </c>
      <c r="AH1246">
        <v>26.261726695249902</v>
      </c>
      <c r="AI1246">
        <v>92.448276291855805</v>
      </c>
      <c r="AJ1246">
        <v>90.192702143360094</v>
      </c>
      <c r="AK1246">
        <v>26.285869184066701</v>
      </c>
      <c r="AL1246">
        <v>95.861902174829794</v>
      </c>
      <c r="AM1246">
        <v>91.510144788154804</v>
      </c>
      <c r="AN1246">
        <v>0.99999996187443396</v>
      </c>
    </row>
    <row r="1247" spans="1:40" x14ac:dyDescent="0.25">
      <c r="A1247" t="str">
        <f>"20190303154444648"</f>
        <v>20190303154444648</v>
      </c>
      <c r="B1247" t="str">
        <f>"1551599084641274"</f>
        <v>1551599084641274</v>
      </c>
      <c r="C1247" t="s">
        <v>40</v>
      </c>
      <c r="D1247">
        <v>5.3546199999999997</v>
      </c>
      <c r="E1247">
        <v>0.507193</v>
      </c>
      <c r="F1247" t="s">
        <v>41</v>
      </c>
      <c r="G1247">
        <v>-192.6344</v>
      </c>
      <c r="H1247" s="1">
        <v>-4.5899160000000003E-6</v>
      </c>
      <c r="I1247">
        <v>309.10129999999998</v>
      </c>
      <c r="J1247">
        <v>-191.58009999999999</v>
      </c>
      <c r="K1247">
        <v>1.122952</v>
      </c>
      <c r="L1247">
        <v>336.29840000000002</v>
      </c>
      <c r="M1247">
        <v>-4.5554219999999999E-2</v>
      </c>
      <c r="N1247">
        <v>-5.8283759999999997E-3</v>
      </c>
      <c r="O1247">
        <v>-0.99894510000000003</v>
      </c>
      <c r="P1247">
        <v>-1.6603030000000001E-2</v>
      </c>
      <c r="Q1247">
        <v>-0.109944899999999</v>
      </c>
      <c r="R1247">
        <v>-0.99379930000000005</v>
      </c>
      <c r="S1247">
        <v>-0.1163177</v>
      </c>
      <c r="T1247">
        <v>-0.1225686</v>
      </c>
      <c r="U1247">
        <v>-3.0024410000000001</v>
      </c>
      <c r="V1247">
        <v>-2.7883439999999999E-2</v>
      </c>
      <c r="W1247">
        <v>-0.1043703</v>
      </c>
      <c r="X1247">
        <v>0.99414749999999996</v>
      </c>
      <c r="Y1247">
        <v>-6.8716860000000001E-3</v>
      </c>
      <c r="Z1247">
        <v>3.4890740000000003E-2</v>
      </c>
      <c r="AA1247">
        <v>0.99936749999999996</v>
      </c>
      <c r="AB1247">
        <v>31</v>
      </c>
      <c r="AC1247">
        <v>-1.05430000000001</v>
      </c>
      <c r="AD1247">
        <v>-1.1229565899159999</v>
      </c>
      <c r="AE1247">
        <v>-27.197099999999999</v>
      </c>
      <c r="AF1247">
        <v>-0.185442296355531</v>
      </c>
      <c r="AG1247">
        <v>-1.1229565899159999</v>
      </c>
      <c r="AH1247">
        <v>27.170641698608499</v>
      </c>
      <c r="AI1247">
        <v>92.366619858442206</v>
      </c>
      <c r="AJ1247">
        <v>90.391043246902896</v>
      </c>
      <c r="AK1247">
        <v>27.194469854407501</v>
      </c>
      <c r="AL1247">
        <v>95.990888380034804</v>
      </c>
      <c r="AM1247">
        <v>91.606587252406698</v>
      </c>
      <c r="AN1247">
        <v>0.99999994875228504</v>
      </c>
    </row>
    <row r="1248" spans="1:40" x14ac:dyDescent="0.25">
      <c r="A1248" t="str">
        <f>"20190303154444670"</f>
        <v>20190303154444670</v>
      </c>
      <c r="B1248" t="str">
        <f>"1551599084661770"</f>
        <v>1551599084661770</v>
      </c>
      <c r="C1248" t="s">
        <v>40</v>
      </c>
      <c r="D1248">
        <v>5.4107269999999996</v>
      </c>
      <c r="E1248">
        <v>0.50723039999999997</v>
      </c>
      <c r="F1248" t="s">
        <v>41</v>
      </c>
      <c r="G1248">
        <v>-192.44309999999999</v>
      </c>
      <c r="H1248" s="1">
        <v>-9.5670910000000007E-7</v>
      </c>
      <c r="I1248">
        <v>310.24040000000002</v>
      </c>
      <c r="J1248">
        <v>-191.59010000000001</v>
      </c>
      <c r="K1248">
        <v>1.1230119999999999</v>
      </c>
      <c r="L1248">
        <v>335.99169999999998</v>
      </c>
      <c r="M1248">
        <v>-4.1380149999999997E-2</v>
      </c>
      <c r="N1248">
        <v>-5.8415669999999998E-3</v>
      </c>
      <c r="O1248">
        <v>-0.99912650000000003</v>
      </c>
      <c r="P1248">
        <v>-1.257257E-2</v>
      </c>
      <c r="Q1248">
        <v>-0.11280999999999999</v>
      </c>
      <c r="R1248">
        <v>-0.99353720000000001</v>
      </c>
      <c r="S1248">
        <v>-9.944153E-2</v>
      </c>
      <c r="T1248">
        <v>-0.12940109999999999</v>
      </c>
      <c r="U1248">
        <v>-3.0027469999999998</v>
      </c>
      <c r="V1248">
        <v>-2.7705730000000001E-2</v>
      </c>
      <c r="W1248">
        <v>-0.1072283</v>
      </c>
      <c r="X1248">
        <v>0.99384830000000002</v>
      </c>
      <c r="Y1248">
        <v>-8.3095069999999903E-3</v>
      </c>
      <c r="Z1248">
        <v>3.7153609999999997E-2</v>
      </c>
      <c r="AA1248">
        <v>0.99927500000000002</v>
      </c>
      <c r="AB1248">
        <v>31</v>
      </c>
      <c r="AC1248">
        <v>-0.85299999999998</v>
      </c>
      <c r="AD1248">
        <v>-1.1230129567091001</v>
      </c>
      <c r="AE1248">
        <v>-25.751299999999901</v>
      </c>
      <c r="AF1248">
        <v>-0.21293684513871999</v>
      </c>
      <c r="AG1248">
        <v>-1.1230129567091001</v>
      </c>
      <c r="AH1248">
        <v>25.7156872716937</v>
      </c>
      <c r="AI1248">
        <v>92.5004521110654</v>
      </c>
      <c r="AJ1248">
        <v>90.474422618779798</v>
      </c>
      <c r="AK1248">
        <v>25.741077523221598</v>
      </c>
      <c r="AL1248">
        <v>96.155563835404493</v>
      </c>
      <c r="AM1248">
        <v>91.596833614341705</v>
      </c>
      <c r="AN1248">
        <v>0.99999997960430598</v>
      </c>
    </row>
    <row r="1249" spans="1:40" x14ac:dyDescent="0.25">
      <c r="A1249" t="str">
        <f>"20190303154444692"</f>
        <v>20190303154444692</v>
      </c>
      <c r="B1249" t="str">
        <f>"1551599084681290"</f>
        <v>1551599084681290</v>
      </c>
      <c r="C1249" t="s">
        <v>40</v>
      </c>
      <c r="D1249">
        <v>5.4150369999999999</v>
      </c>
      <c r="E1249">
        <v>0.50732900000000003</v>
      </c>
      <c r="F1249" t="s">
        <v>41</v>
      </c>
      <c r="G1249">
        <v>-192.30869999999999</v>
      </c>
      <c r="H1249" s="1">
        <v>-1.5773740000000001E-6</v>
      </c>
      <c r="I1249">
        <v>311.62900000000002</v>
      </c>
      <c r="J1249">
        <v>-191.5986</v>
      </c>
      <c r="K1249">
        <v>1.1230610000000001</v>
      </c>
      <c r="L1249">
        <v>335.6943</v>
      </c>
      <c r="M1249">
        <v>-3.7332780000000003E-2</v>
      </c>
      <c r="N1249">
        <v>-5.854873E-3</v>
      </c>
      <c r="O1249">
        <v>-0.99928589999999995</v>
      </c>
      <c r="P1249">
        <v>-9.6419220000000007E-3</v>
      </c>
      <c r="Q1249">
        <v>-0.1127782</v>
      </c>
      <c r="R1249">
        <v>-0.99357340000000005</v>
      </c>
      <c r="S1249">
        <v>-8.8562009999999997E-2</v>
      </c>
      <c r="T1249">
        <v>-0.13841220000000001</v>
      </c>
      <c r="U1249">
        <v>-3.0027159999999999</v>
      </c>
      <c r="V1249">
        <v>-2.65974E-2</v>
      </c>
      <c r="W1249">
        <v>-0.1071783</v>
      </c>
      <c r="X1249">
        <v>0.99388399999999999</v>
      </c>
      <c r="Y1249">
        <v>-7.8791809999999903E-3</v>
      </c>
      <c r="Z1249">
        <v>4.0141740000000002E-2</v>
      </c>
      <c r="AA1249">
        <v>0.99916289999999996</v>
      </c>
      <c r="AB1249">
        <v>31</v>
      </c>
      <c r="AC1249">
        <v>-0.71009999999998197</v>
      </c>
      <c r="AD1249">
        <v>-1.1230625773739999</v>
      </c>
      <c r="AE1249">
        <v>-24.065299999999901</v>
      </c>
      <c r="AF1249">
        <v>-0.188424837197576</v>
      </c>
      <c r="AG1249">
        <v>-1.1230625773739999</v>
      </c>
      <c r="AH1249">
        <v>24.0227615523821</v>
      </c>
      <c r="AI1249">
        <v>92.676543005636802</v>
      </c>
      <c r="AJ1249">
        <v>90.449395733100602</v>
      </c>
      <c r="AK1249">
        <v>24.0497369231886</v>
      </c>
      <c r="AL1249">
        <v>96.152682268534207</v>
      </c>
      <c r="AM1249">
        <v>91.532930538129406</v>
      </c>
      <c r="AN1249">
        <v>1.0000000075668201</v>
      </c>
    </row>
    <row r="1250" spans="1:40" x14ac:dyDescent="0.25">
      <c r="A1250" t="str">
        <f>"20190303154444715"</f>
        <v>20190303154444715</v>
      </c>
      <c r="B1250" t="str">
        <f>"1551599084711545"</f>
        <v>1551599084711545</v>
      </c>
      <c r="C1250" t="s">
        <v>40</v>
      </c>
      <c r="D1250">
        <v>5.400423</v>
      </c>
      <c r="E1250">
        <v>0.50743649999999996</v>
      </c>
      <c r="F1250" t="s">
        <v>41</v>
      </c>
      <c r="G1250">
        <v>-192.25729999999999</v>
      </c>
      <c r="H1250" s="1">
        <v>-1.415692E-6</v>
      </c>
      <c r="I1250">
        <v>311.3159</v>
      </c>
      <c r="J1250">
        <v>-191.60640000000001</v>
      </c>
      <c r="K1250">
        <v>1.1231100000000001</v>
      </c>
      <c r="L1250">
        <v>335.37549999999999</v>
      </c>
      <c r="M1250">
        <v>-3.3002070000000001E-2</v>
      </c>
      <c r="N1250">
        <v>-5.869829E-3</v>
      </c>
      <c r="O1250">
        <v>-0.9994381</v>
      </c>
      <c r="P1250">
        <v>-5.6855279999999996E-3</v>
      </c>
      <c r="Q1250">
        <v>-0.1119655</v>
      </c>
      <c r="R1250">
        <v>-0.99369609999999997</v>
      </c>
      <c r="S1250">
        <v>-8.1130980000000005E-2</v>
      </c>
      <c r="T1250">
        <v>-0.13833879999999901</v>
      </c>
      <c r="U1250">
        <v>-3.0029300000000001</v>
      </c>
      <c r="V1250">
        <v>-2.6244779999999999E-2</v>
      </c>
      <c r="W1250">
        <v>-0.10635070000000001</v>
      </c>
      <c r="X1250">
        <v>0.99398229999999999</v>
      </c>
      <c r="Y1250">
        <v>-6.0187219999999998E-3</v>
      </c>
      <c r="Z1250">
        <v>4.0110989999999999E-2</v>
      </c>
      <c r="AA1250">
        <v>0.99917710000000004</v>
      </c>
      <c r="AB1250">
        <v>31</v>
      </c>
      <c r="AC1250">
        <v>-0.65089999999997805</v>
      </c>
      <c r="AD1250">
        <v>-1.1231114156919999</v>
      </c>
      <c r="AE1250">
        <v>-24.0595999999999</v>
      </c>
      <c r="AF1250">
        <v>-0.14317305400701499</v>
      </c>
      <c r="AG1250">
        <v>-1.1231114156919999</v>
      </c>
      <c r="AH1250">
        <v>24.015681999715099</v>
      </c>
      <c r="AI1250">
        <v>92.677481860399098</v>
      </c>
      <c r="AJ1250">
        <v>90.341573250038493</v>
      </c>
      <c r="AK1250">
        <v>24.042355535323299</v>
      </c>
      <c r="AL1250">
        <v>96.104991521066495</v>
      </c>
      <c r="AM1250">
        <v>91.512467409256999</v>
      </c>
      <c r="AN1250">
        <v>1.0000000362905099</v>
      </c>
    </row>
    <row r="1251" spans="1:40" x14ac:dyDescent="0.25">
      <c r="A1251" t="str">
        <f>"20190303154444738"</f>
        <v>20190303154444738</v>
      </c>
      <c r="B1251" t="str">
        <f>"1551599084732042"</f>
        <v>1551599084732042</v>
      </c>
      <c r="C1251" t="s">
        <v>40</v>
      </c>
      <c r="D1251">
        <v>5.452807</v>
      </c>
      <c r="E1251">
        <v>0.50755980000000001</v>
      </c>
      <c r="F1251" t="s">
        <v>41</v>
      </c>
      <c r="G1251">
        <v>-192.18559999999999</v>
      </c>
      <c r="H1251" s="1">
        <v>-9.7952499999999995E-7</v>
      </c>
      <c r="I1251">
        <v>310.43360000000001</v>
      </c>
      <c r="J1251">
        <v>-191.613</v>
      </c>
      <c r="K1251">
        <v>1.1231469999999999</v>
      </c>
      <c r="L1251">
        <v>335.04790000000003</v>
      </c>
      <c r="M1251">
        <v>-2.8564869999999999E-2</v>
      </c>
      <c r="N1251">
        <v>-5.8859560000000003E-3</v>
      </c>
      <c r="O1251">
        <v>-0.99957450000000003</v>
      </c>
      <c r="P1251">
        <v>-2.522547E-3</v>
      </c>
      <c r="Q1251">
        <v>-0.113011</v>
      </c>
      <c r="R1251">
        <v>-0.99359050000000004</v>
      </c>
      <c r="S1251">
        <v>-6.9747920000000005E-2</v>
      </c>
      <c r="T1251">
        <v>-0.13523789999999999</v>
      </c>
      <c r="U1251">
        <v>-3.0033569999999998</v>
      </c>
      <c r="V1251">
        <v>-2.4973180000000001E-2</v>
      </c>
      <c r="W1251">
        <v>-0.1073731</v>
      </c>
      <c r="X1251">
        <v>0.99390509999999999</v>
      </c>
      <c r="Y1251">
        <v>-5.3670169999999904E-3</v>
      </c>
      <c r="Z1251">
        <v>3.907062E-2</v>
      </c>
      <c r="AA1251">
        <v>0.99922200000000005</v>
      </c>
      <c r="AB1251">
        <v>31</v>
      </c>
      <c r="AC1251">
        <v>-0.572599999999994</v>
      </c>
      <c r="AD1251">
        <v>-1.1231479795249999</v>
      </c>
      <c r="AE1251">
        <v>-24.6143</v>
      </c>
      <c r="AF1251">
        <v>-0.1304786793114</v>
      </c>
      <c r="AG1251">
        <v>-1.1231479795249999</v>
      </c>
      <c r="AH1251">
        <v>24.569483941667698</v>
      </c>
      <c r="AI1251">
        <v>92.617310349119606</v>
      </c>
      <c r="AJ1251">
        <v>90.304272054738107</v>
      </c>
      <c r="AK1251">
        <v>24.595487944530198</v>
      </c>
      <c r="AL1251">
        <v>96.163908345422897</v>
      </c>
      <c r="AM1251">
        <v>91.439329382203496</v>
      </c>
      <c r="AN1251">
        <v>0.99999999506446602</v>
      </c>
    </row>
    <row r="1252" spans="1:40" x14ac:dyDescent="0.25">
      <c r="A1252" t="str">
        <f>"20190303154444762"</f>
        <v>20190303154444762</v>
      </c>
      <c r="B1252" t="str">
        <f>"1551599084752069"</f>
        <v>1551599084752069</v>
      </c>
      <c r="C1252" t="s">
        <v>40</v>
      </c>
      <c r="D1252">
        <v>5.4100429999999999</v>
      </c>
      <c r="E1252">
        <v>0.50764730000000002</v>
      </c>
      <c r="F1252" t="s">
        <v>41</v>
      </c>
      <c r="G1252">
        <v>-192.11080000000001</v>
      </c>
      <c r="H1252" s="1">
        <v>-1.00767999999999E-6</v>
      </c>
      <c r="I1252">
        <v>310.53519999999997</v>
      </c>
      <c r="J1252">
        <v>-191.6181</v>
      </c>
      <c r="K1252">
        <v>1.123175</v>
      </c>
      <c r="L1252">
        <v>334.72239999999999</v>
      </c>
      <c r="M1252">
        <v>-2.416724E-2</v>
      </c>
      <c r="N1252">
        <v>-5.9025400000000004E-3</v>
      </c>
      <c r="O1252">
        <v>-0.99969059999999998</v>
      </c>
      <c r="P1252">
        <v>-6.1961860000000004E-4</v>
      </c>
      <c r="Q1252">
        <v>-0.1155741</v>
      </c>
      <c r="R1252">
        <v>-0.99329900000000004</v>
      </c>
      <c r="S1252">
        <v>-6.1004639999999999E-2</v>
      </c>
      <c r="T1252">
        <v>-0.13761909999999999</v>
      </c>
      <c r="U1252">
        <v>-3.0035400000000001</v>
      </c>
      <c r="V1252">
        <v>-2.2467339999999999E-2</v>
      </c>
      <c r="W1252">
        <v>-0.1099025</v>
      </c>
      <c r="X1252">
        <v>0.99368840000000003</v>
      </c>
      <c r="Y1252">
        <v>-3.8774320000000001E-3</v>
      </c>
      <c r="Z1252">
        <v>3.9850330000000003E-2</v>
      </c>
      <c r="AA1252">
        <v>0.99919809999999998</v>
      </c>
      <c r="AB1252">
        <v>31</v>
      </c>
      <c r="AC1252">
        <v>-0.49270000000001302</v>
      </c>
      <c r="AD1252">
        <v>-1.1231760076799999</v>
      </c>
      <c r="AE1252">
        <v>-24.187200000000001</v>
      </c>
      <c r="AF1252">
        <v>-9.1794042078677696E-2</v>
      </c>
      <c r="AG1252">
        <v>-1.1231760076799999</v>
      </c>
      <c r="AH1252">
        <v>24.1400094550592</v>
      </c>
      <c r="AI1252">
        <v>92.663893042997799</v>
      </c>
      <c r="AJ1252">
        <v>90.217870082280996</v>
      </c>
      <c r="AK1252">
        <v>24.166298992206801</v>
      </c>
      <c r="AL1252">
        <v>96.309695226495293</v>
      </c>
      <c r="AM1252">
        <v>91.295239500547595</v>
      </c>
      <c r="AN1252">
        <v>0.99999998858374195</v>
      </c>
    </row>
    <row r="1253" spans="1:40" x14ac:dyDescent="0.25">
      <c r="A1253" t="str">
        <f>"20190303154444784"</f>
        <v>20190303154444784</v>
      </c>
      <c r="B1253" t="str">
        <f>"1551599084771589"</f>
        <v>1551599084771589</v>
      </c>
      <c r="C1253" t="s">
        <v>40</v>
      </c>
      <c r="D1253">
        <v>5.3908060000000004</v>
      </c>
      <c r="E1253">
        <v>0.50769470000000005</v>
      </c>
      <c r="F1253" t="s">
        <v>41</v>
      </c>
      <c r="G1253">
        <v>-192.05340000000001</v>
      </c>
      <c r="H1253" s="1">
        <v>-1.4000060000000001E-6</v>
      </c>
      <c r="I1253">
        <v>311.39749999999998</v>
      </c>
      <c r="J1253">
        <v>-191.6215</v>
      </c>
      <c r="K1253">
        <v>1.1232</v>
      </c>
      <c r="L1253">
        <v>334.41370000000001</v>
      </c>
      <c r="M1253">
        <v>-2.000963E-2</v>
      </c>
      <c r="N1253">
        <v>-5.9184819999999897E-3</v>
      </c>
      <c r="O1253">
        <v>-0.99978230000000001</v>
      </c>
      <c r="P1253">
        <v>8.231569E-4</v>
      </c>
      <c r="Q1253">
        <v>-0.1166194</v>
      </c>
      <c r="R1253">
        <v>-0.99317630000000001</v>
      </c>
      <c r="S1253">
        <v>-5.6045530000000003E-2</v>
      </c>
      <c r="T1253">
        <v>-0.144624</v>
      </c>
      <c r="U1253">
        <v>-3.003387</v>
      </c>
      <c r="V1253">
        <v>-1.9760900000000001E-2</v>
      </c>
      <c r="W1253">
        <v>-0.1109113</v>
      </c>
      <c r="X1253">
        <v>0.99363380000000001</v>
      </c>
      <c r="Y1253">
        <v>-1.369084E-3</v>
      </c>
      <c r="Z1253">
        <v>4.216789E-2</v>
      </c>
      <c r="AA1253">
        <v>0.99910960000000004</v>
      </c>
      <c r="AB1253">
        <v>31</v>
      </c>
      <c r="AC1253">
        <v>-0.431900000000013</v>
      </c>
      <c r="AD1253">
        <v>-1.123201400006</v>
      </c>
      <c r="AE1253">
        <v>-23.016200000000001</v>
      </c>
      <c r="AF1253">
        <v>-2.8671915394923801E-2</v>
      </c>
      <c r="AG1253">
        <v>-1.123201400006</v>
      </c>
      <c r="AH1253">
        <v>22.965561104153199</v>
      </c>
      <c r="AI1253">
        <v>92.799993033499305</v>
      </c>
      <c r="AJ1253">
        <v>90.071532277470098</v>
      </c>
      <c r="AK1253">
        <v>22.9930293848441</v>
      </c>
      <c r="AL1253">
        <v>96.367850872375598</v>
      </c>
      <c r="AM1253">
        <v>91.139320075531401</v>
      </c>
      <c r="AN1253">
        <v>0.99999996906946897</v>
      </c>
    </row>
    <row r="1254" spans="1:40" x14ac:dyDescent="0.25">
      <c r="A1254" t="str">
        <f>"20190303154444805"</f>
        <v>20190303154444805</v>
      </c>
      <c r="B1254" t="str">
        <f>"1551599084801846"</f>
        <v>1551599084801846</v>
      </c>
      <c r="C1254" t="s">
        <v>40</v>
      </c>
      <c r="D1254">
        <v>5.3809930000000001</v>
      </c>
      <c r="E1254">
        <v>0.51234570000000001</v>
      </c>
      <c r="F1254" t="s">
        <v>41</v>
      </c>
      <c r="G1254">
        <v>-192.0162</v>
      </c>
      <c r="H1254" s="1">
        <v>-1.4509749999999999E-6</v>
      </c>
      <c r="I1254">
        <v>311.52629999999999</v>
      </c>
      <c r="J1254">
        <v>-191.62370000000001</v>
      </c>
      <c r="K1254">
        <v>1.1232310000000001</v>
      </c>
      <c r="L1254">
        <v>334.11360000000002</v>
      </c>
      <c r="M1254">
        <v>-1.597865E-2</v>
      </c>
      <c r="N1254">
        <v>-5.9339600000000003E-3</v>
      </c>
      <c r="O1254">
        <v>-0.99985489999999999</v>
      </c>
      <c r="P1254">
        <v>2.768539E-3</v>
      </c>
      <c r="Q1254">
        <v>-0.1152287</v>
      </c>
      <c r="R1254">
        <v>-0.99333519999999997</v>
      </c>
      <c r="S1254">
        <v>-5.178833E-2</v>
      </c>
      <c r="T1254">
        <v>-0.14739160000000001</v>
      </c>
      <c r="U1254">
        <v>-3.003387</v>
      </c>
      <c r="V1254">
        <v>-1.770975E-2</v>
      </c>
      <c r="W1254">
        <v>-0.1094879</v>
      </c>
      <c r="X1254">
        <v>0.99383030000000006</v>
      </c>
      <c r="Y1254">
        <v>1.2457799999999999E-3</v>
      </c>
      <c r="Z1254">
        <v>4.3076209999999997E-2</v>
      </c>
      <c r="AA1254">
        <v>0.99907100000000004</v>
      </c>
      <c r="AB1254">
        <v>32</v>
      </c>
      <c r="AC1254">
        <v>-0.39249999999998397</v>
      </c>
      <c r="AD1254">
        <v>-1.12323245097499</v>
      </c>
      <c r="AE1254">
        <v>-22.587299999999999</v>
      </c>
      <c r="AF1254">
        <v>3.1451283554493101E-2</v>
      </c>
      <c r="AG1254">
        <v>-1.12323245097499</v>
      </c>
      <c r="AH1254">
        <v>22.534977532822001</v>
      </c>
      <c r="AI1254">
        <v>92.853484072273005</v>
      </c>
      <c r="AJ1254">
        <v>89.920034327290793</v>
      </c>
      <c r="AK1254">
        <v>22.562975263181698</v>
      </c>
      <c r="AL1254">
        <v>96.285796412905498</v>
      </c>
      <c r="AM1254">
        <v>91.020885104062998</v>
      </c>
      <c r="AN1254">
        <v>0.99999995034477995</v>
      </c>
    </row>
    <row r="1255" spans="1:40" x14ac:dyDescent="0.25">
      <c r="A1255" t="str">
        <f>"20190303154444831"</f>
        <v>20190303154444831</v>
      </c>
      <c r="B1255" t="str">
        <f>"1551599084821365"</f>
        <v>1551599084821365</v>
      </c>
      <c r="C1255" t="s">
        <v>40</v>
      </c>
      <c r="D1255">
        <v>5.4988919999999997</v>
      </c>
      <c r="E1255">
        <v>0.5124474</v>
      </c>
      <c r="F1255" t="s">
        <v>41</v>
      </c>
      <c r="G1255">
        <v>-192.4469</v>
      </c>
      <c r="H1255" s="1">
        <v>-2.4982110000000002E-6</v>
      </c>
      <c r="I1255">
        <v>303.89490000000001</v>
      </c>
      <c r="J1255">
        <v>-191.62469999999999</v>
      </c>
      <c r="K1255">
        <v>1.123264</v>
      </c>
      <c r="L1255">
        <v>333.75900000000001</v>
      </c>
      <c r="M1255">
        <v>-1.123677E-2</v>
      </c>
      <c r="N1255">
        <v>-5.9522799999999999E-3</v>
      </c>
      <c r="O1255">
        <v>-0.99991909999999895</v>
      </c>
      <c r="P1255">
        <v>5.9374559999999998E-3</v>
      </c>
      <c r="Q1255">
        <v>-0.11201029999999999</v>
      </c>
      <c r="R1255">
        <v>-0.9936895</v>
      </c>
      <c r="S1255">
        <v>-8.1924440000000001E-2</v>
      </c>
      <c r="T1255">
        <v>-0.1117847</v>
      </c>
      <c r="U1255">
        <v>-3.0073850000000002</v>
      </c>
      <c r="V1255">
        <v>-1.6194739999999999E-2</v>
      </c>
      <c r="W1255">
        <v>-0.1062369</v>
      </c>
      <c r="X1255">
        <v>0.99420900000000001</v>
      </c>
      <c r="Y1255">
        <v>1.5981180000000001E-2</v>
      </c>
      <c r="Z1255">
        <v>3.118373E-2</v>
      </c>
      <c r="AA1255">
        <v>0.99938590000000005</v>
      </c>
      <c r="AB1255">
        <v>32</v>
      </c>
      <c r="AC1255">
        <v>-0.82220000000000903</v>
      </c>
      <c r="AD1255">
        <v>-1.1232664982109899</v>
      </c>
      <c r="AE1255">
        <v>-29.864100000000001</v>
      </c>
      <c r="AF1255">
        <v>0.48587924806726501</v>
      </c>
      <c r="AG1255">
        <v>-1.1232664982109899</v>
      </c>
      <c r="AH1255">
        <v>29.829285753407198</v>
      </c>
      <c r="AI1255">
        <v>92.156253811667099</v>
      </c>
      <c r="AJ1255">
        <v>89.066810757140104</v>
      </c>
      <c r="AK1255">
        <v>29.8543815013497</v>
      </c>
      <c r="AL1255">
        <v>96.098434076760299</v>
      </c>
      <c r="AM1255">
        <v>90.933212431683401</v>
      </c>
      <c r="AN1255">
        <v>1.0000000421031301</v>
      </c>
    </row>
    <row r="1256" spans="1:40" x14ac:dyDescent="0.25">
      <c r="A1256" t="str">
        <f>"20190303154444849"</f>
        <v>20190303154444849</v>
      </c>
      <c r="B1256" t="str">
        <f>"1551599084841861"</f>
        <v>1551599084841861</v>
      </c>
      <c r="C1256" t="s">
        <v>40</v>
      </c>
      <c r="D1256">
        <v>5.5065839999999904</v>
      </c>
      <c r="E1256">
        <v>0.51148130000000003</v>
      </c>
      <c r="F1256" t="s">
        <v>41</v>
      </c>
      <c r="G1256">
        <v>-192.44560000000001</v>
      </c>
      <c r="H1256" s="1">
        <v>-7.9162149999999897E-7</v>
      </c>
      <c r="I1256">
        <v>299.91759999999999</v>
      </c>
      <c r="J1256">
        <v>-191.62440000000001</v>
      </c>
      <c r="K1256">
        <v>1.1232799999999901</v>
      </c>
      <c r="L1256">
        <v>333.49930000000001</v>
      </c>
      <c r="M1256">
        <v>-7.7910159999999996E-3</v>
      </c>
      <c r="N1256">
        <v>-5.9651160000000003E-3</v>
      </c>
      <c r="O1256">
        <v>-0.99995179999999995</v>
      </c>
      <c r="P1256">
        <v>7.0331630000000003E-3</v>
      </c>
      <c r="Q1256">
        <v>-0.1093512</v>
      </c>
      <c r="R1256">
        <v>-0.99397840000000004</v>
      </c>
      <c r="S1256">
        <v>-7.2967530000000003E-2</v>
      </c>
      <c r="T1256">
        <v>-9.98497E-2</v>
      </c>
      <c r="U1256">
        <v>-3.0082399999999998</v>
      </c>
      <c r="V1256">
        <v>-1.388991E-2</v>
      </c>
      <c r="W1256">
        <v>-0.1035435</v>
      </c>
      <c r="X1256">
        <v>0.99452790000000002</v>
      </c>
      <c r="Y1256">
        <v>1.6448259999999999E-2</v>
      </c>
      <c r="Z1256">
        <v>2.720332E-2</v>
      </c>
      <c r="AA1256">
        <v>0.99949460000000001</v>
      </c>
      <c r="AB1256">
        <v>32</v>
      </c>
      <c r="AC1256">
        <v>-0.82120000000000404</v>
      </c>
      <c r="AD1256">
        <v>-1.12328079162149</v>
      </c>
      <c r="AE1256">
        <v>-33.581699999999998</v>
      </c>
      <c r="AF1256">
        <v>0.55890988150853704</v>
      </c>
      <c r="AG1256">
        <v>-1.12328079162149</v>
      </c>
      <c r="AH1256">
        <v>33.549564392436203</v>
      </c>
      <c r="AI1256">
        <v>91.917351184330897</v>
      </c>
      <c r="AJ1256">
        <v>89.045584765452901</v>
      </c>
      <c r="AK1256">
        <v>33.573016112864998</v>
      </c>
      <c r="AL1256">
        <v>95.943258059208105</v>
      </c>
      <c r="AM1256">
        <v>90.800160037932201</v>
      </c>
      <c r="AN1256">
        <v>0.99999996493523302</v>
      </c>
    </row>
    <row r="1257" spans="1:40" x14ac:dyDescent="0.25">
      <c r="A1257" t="str">
        <f>"20190303154444871"</f>
        <v>20190303154444871</v>
      </c>
      <c r="B1257" t="str">
        <f>"1551599084861888"</f>
        <v>1551599084861888</v>
      </c>
      <c r="C1257" t="s">
        <v>40</v>
      </c>
      <c r="D1257">
        <v>5.3870809999999896</v>
      </c>
      <c r="E1257">
        <v>0.51211320000000005</v>
      </c>
      <c r="F1257" t="s">
        <v>41</v>
      </c>
      <c r="G1257">
        <v>-192.2979</v>
      </c>
      <c r="H1257" s="1">
        <v>-1.3265520000000001E-6</v>
      </c>
      <c r="I1257">
        <v>301.25619999999998</v>
      </c>
      <c r="J1257">
        <v>-191.62280000000001</v>
      </c>
      <c r="K1257">
        <v>1.1232709999999999</v>
      </c>
      <c r="L1257">
        <v>333.17160000000001</v>
      </c>
      <c r="M1257">
        <v>-3.4945950000000001E-3</v>
      </c>
      <c r="N1257">
        <v>-5.9803579999999999E-3</v>
      </c>
      <c r="O1257">
        <v>-0.99997610000000003</v>
      </c>
      <c r="P1257">
        <v>8.1610439999999992E-3</v>
      </c>
      <c r="Q1257">
        <v>-0.1084311</v>
      </c>
      <c r="R1257">
        <v>-0.99407060000000003</v>
      </c>
      <c r="S1257">
        <v>-6.2805180000000002E-2</v>
      </c>
      <c r="T1257">
        <v>-0.104760199999999</v>
      </c>
      <c r="U1257">
        <v>-3.0070800000000002</v>
      </c>
      <c r="V1257">
        <v>-1.075771E-2</v>
      </c>
      <c r="W1257">
        <v>-0.1025803</v>
      </c>
      <c r="X1257">
        <v>0.99466659999999996</v>
      </c>
      <c r="Y1257">
        <v>1.7376389999999999E-2</v>
      </c>
      <c r="Z1257">
        <v>2.883285E-2</v>
      </c>
      <c r="AA1257">
        <v>0.99943320000000002</v>
      </c>
      <c r="AB1257">
        <v>32</v>
      </c>
      <c r="AC1257">
        <v>-0.67509999999998604</v>
      </c>
      <c r="AD1257">
        <v>-1.1232723265519999</v>
      </c>
      <c r="AE1257">
        <v>-31.915400000000002</v>
      </c>
      <c r="AF1257">
        <v>0.56286558053050895</v>
      </c>
      <c r="AG1257">
        <v>-1.1232723265519999</v>
      </c>
      <c r="AH1257">
        <v>31.8780943131522</v>
      </c>
      <c r="AI1257">
        <v>92.017753288895705</v>
      </c>
      <c r="AJ1257">
        <v>88.988444193904499</v>
      </c>
      <c r="AK1257">
        <v>31.902844002056799</v>
      </c>
      <c r="AL1257">
        <v>95.887774834187297</v>
      </c>
      <c r="AM1257">
        <v>90.619652202087494</v>
      </c>
      <c r="AN1257">
        <v>1.0000000457140401</v>
      </c>
    </row>
    <row r="1258" spans="1:40" x14ac:dyDescent="0.25">
      <c r="A1258" t="str">
        <f>"20190303154444894"</f>
        <v>20190303154444894</v>
      </c>
      <c r="B1258" t="str">
        <f>"1551599084881408"</f>
        <v>1551599084881408</v>
      </c>
      <c r="C1258" t="s">
        <v>40</v>
      </c>
      <c r="D1258">
        <v>5.4592400000000003</v>
      </c>
      <c r="E1258">
        <v>0.51115359999999999</v>
      </c>
      <c r="F1258" t="s">
        <v>54</v>
      </c>
      <c r="G1258">
        <v>-192.36699999999999</v>
      </c>
      <c r="H1258" s="1">
        <v>1.961144E-7</v>
      </c>
      <c r="I1258">
        <v>298.50279999999998</v>
      </c>
      <c r="J1258">
        <v>-191.62010000000001</v>
      </c>
      <c r="K1258">
        <v>1.123227</v>
      </c>
      <c r="L1258">
        <v>332.85700000000003</v>
      </c>
      <c r="M1258">
        <v>5.5273669999999998E-4</v>
      </c>
      <c r="N1258">
        <v>-5.9937319999999999E-3</v>
      </c>
      <c r="O1258">
        <v>-0.99998189999999998</v>
      </c>
      <c r="P1258">
        <v>8.5625149999999997E-3</v>
      </c>
      <c r="Q1258">
        <v>-0.10947129999999999</v>
      </c>
      <c r="R1258">
        <v>-0.99395290000000003</v>
      </c>
      <c r="S1258">
        <v>-6.4559939999999996E-2</v>
      </c>
      <c r="T1258">
        <v>-9.7453239999999997E-2</v>
      </c>
      <c r="U1258">
        <v>-3.0078130000000001</v>
      </c>
      <c r="V1258">
        <v>-7.1342460000000003E-3</v>
      </c>
      <c r="W1258">
        <v>-0.1035761</v>
      </c>
      <c r="X1258">
        <v>0.99459589999999998</v>
      </c>
      <c r="Y1258">
        <v>2.200175E-2</v>
      </c>
      <c r="Z1258">
        <v>2.6384189999999998E-2</v>
      </c>
      <c r="AA1258">
        <v>0.99940969999999996</v>
      </c>
      <c r="AB1258">
        <v>32</v>
      </c>
      <c r="AC1258">
        <v>-0.74690000000001</v>
      </c>
      <c r="AD1258">
        <v>-1.1232268038855999</v>
      </c>
      <c r="AE1258">
        <v>-34.354199999999899</v>
      </c>
      <c r="AF1258">
        <v>0.76507158336650904</v>
      </c>
      <c r="AG1258">
        <v>-1.1232268038855999</v>
      </c>
      <c r="AH1258">
        <v>34.317114450410003</v>
      </c>
      <c r="AI1258">
        <v>91.874202390834398</v>
      </c>
      <c r="AJ1258">
        <v>88.722849717391199</v>
      </c>
      <c r="AK1258">
        <v>34.344014284634497</v>
      </c>
      <c r="AL1258">
        <v>95.945136057459706</v>
      </c>
      <c r="AM1258">
        <v>90.410976131583993</v>
      </c>
      <c r="AN1258">
        <v>0.99999995512700302</v>
      </c>
    </row>
    <row r="1259" spans="1:40" x14ac:dyDescent="0.25">
      <c r="A1259" t="str">
        <f>"20190303154444927"</f>
        <v>20190303154444927</v>
      </c>
      <c r="B1259" t="str">
        <f>"1551599084921424"</f>
        <v>1551599084921424</v>
      </c>
      <c r="C1259" t="s">
        <v>40</v>
      </c>
      <c r="D1259">
        <v>5.441592</v>
      </c>
      <c r="E1259">
        <v>0.51047580000000004</v>
      </c>
      <c r="F1259" t="s">
        <v>41</v>
      </c>
      <c r="G1259">
        <v>-192.1583</v>
      </c>
      <c r="H1259" s="1">
        <v>-2.5411679999999999E-6</v>
      </c>
      <c r="I1259">
        <v>304.17399999999998</v>
      </c>
      <c r="J1259">
        <v>-191.6139</v>
      </c>
      <c r="K1259">
        <v>1.1231329999999999</v>
      </c>
      <c r="L1259">
        <v>332.38749999999999</v>
      </c>
      <c r="M1259">
        <v>6.3906789999999998E-3</v>
      </c>
      <c r="N1259">
        <v>-6.0112589999999997E-3</v>
      </c>
      <c r="O1259">
        <v>-0.99996149999999995</v>
      </c>
      <c r="P1259">
        <v>9.7205420000000004E-3</v>
      </c>
      <c r="Q1259">
        <v>-0.1105029</v>
      </c>
      <c r="R1259">
        <v>-0.99382820000000005</v>
      </c>
      <c r="S1259">
        <v>-5.6396479999999999E-2</v>
      </c>
      <c r="T1259">
        <v>-0.1177064</v>
      </c>
      <c r="U1259">
        <v>-3.0057680000000002</v>
      </c>
      <c r="V1259">
        <v>-2.502303E-3</v>
      </c>
      <c r="W1259">
        <v>-0.1045509</v>
      </c>
      <c r="X1259">
        <v>0.99451639999999997</v>
      </c>
      <c r="Y1259">
        <v>2.5135040000000001E-2</v>
      </c>
      <c r="Z1259">
        <v>3.3111649999999999E-2</v>
      </c>
      <c r="AA1259">
        <v>0.99913560000000001</v>
      </c>
      <c r="AB1259">
        <v>32</v>
      </c>
      <c r="AC1259">
        <v>-0.544399999999996</v>
      </c>
      <c r="AD1259">
        <v>-1.123135541168</v>
      </c>
      <c r="AE1259">
        <v>-28.2134999999999</v>
      </c>
      <c r="AF1259">
        <v>0.72354937357476001</v>
      </c>
      <c r="AG1259">
        <v>-1.123135541168</v>
      </c>
      <c r="AH1259">
        <v>28.164828158261098</v>
      </c>
      <c r="AI1259">
        <v>92.282835093982996</v>
      </c>
      <c r="AJ1259">
        <v>88.528405399167596</v>
      </c>
      <c r="AK1259">
        <v>28.1964980507192</v>
      </c>
      <c r="AL1259">
        <v>96.001292546163299</v>
      </c>
      <c r="AM1259">
        <v>90.144161623090397</v>
      </c>
      <c r="AN1259">
        <v>1.00000001104003</v>
      </c>
    </row>
    <row r="1260" spans="1:40" x14ac:dyDescent="0.25">
      <c r="A1260" t="str">
        <f>"20190303154444952"</f>
        <v>20190303154444952</v>
      </c>
      <c r="B1260" t="str">
        <f>"1551599084941920"</f>
        <v>1551599084941920</v>
      </c>
      <c r="C1260" t="s">
        <v>40</v>
      </c>
      <c r="D1260">
        <v>5.4958989999999996</v>
      </c>
      <c r="E1260">
        <v>0.51108120000000001</v>
      </c>
      <c r="F1260" t="s">
        <v>41</v>
      </c>
      <c r="G1260">
        <v>-192.0018</v>
      </c>
      <c r="H1260" s="1">
        <v>-4.1529730000000002E-6</v>
      </c>
      <c r="I1260">
        <v>308.14710000000002</v>
      </c>
      <c r="J1260">
        <v>-191.60759999999999</v>
      </c>
      <c r="K1260">
        <v>1.123041</v>
      </c>
      <c r="L1260">
        <v>332.036</v>
      </c>
      <c r="M1260">
        <v>1.054972E-2</v>
      </c>
      <c r="N1260">
        <v>-6.0225890000000001E-3</v>
      </c>
      <c r="O1260">
        <v>-0.99992639999999999</v>
      </c>
      <c r="P1260">
        <v>1.138758E-2</v>
      </c>
      <c r="Q1260">
        <v>-0.1101809</v>
      </c>
      <c r="R1260">
        <v>-0.99384669999999997</v>
      </c>
      <c r="S1260">
        <v>-4.8065190000000001E-2</v>
      </c>
      <c r="T1260">
        <v>-0.13916679999999901</v>
      </c>
      <c r="U1260">
        <v>-3.0036010000000002</v>
      </c>
      <c r="V1260" s="1">
        <v>-6.2068230000000005E-5</v>
      </c>
      <c r="W1260">
        <v>-0.1041969</v>
      </c>
      <c r="X1260">
        <v>0.99455669999999996</v>
      </c>
      <c r="Y1260">
        <v>2.6530979999999999E-2</v>
      </c>
      <c r="Z1260">
        <v>4.0251229999999999E-2</v>
      </c>
      <c r="AA1260">
        <v>0.99883730000000004</v>
      </c>
      <c r="AB1260">
        <v>32</v>
      </c>
      <c r="AC1260">
        <v>-0.39420000000001199</v>
      </c>
      <c r="AD1260">
        <v>-1.1230451529729999</v>
      </c>
      <c r="AE1260">
        <v>-23.8888999999999</v>
      </c>
      <c r="AF1260">
        <v>0.64477918537376999</v>
      </c>
      <c r="AG1260">
        <v>-1.1230451529729999</v>
      </c>
      <c r="AH1260">
        <v>23.8307589290016</v>
      </c>
      <c r="AI1260">
        <v>92.697131451859605</v>
      </c>
      <c r="AJ1260">
        <v>88.450149436943207</v>
      </c>
      <c r="AK1260">
        <v>23.865917995034199</v>
      </c>
      <c r="AL1260">
        <v>95.980898434622702</v>
      </c>
      <c r="AM1260">
        <v>90.003575711285393</v>
      </c>
      <c r="AN1260">
        <v>1.0000000136684799</v>
      </c>
    </row>
    <row r="1261" spans="1:40" x14ac:dyDescent="0.25">
      <c r="A1261" t="str">
        <f>"20190303154444974"</f>
        <v>20190303154444974</v>
      </c>
      <c r="B1261" t="str">
        <f>"1551599084961946"</f>
        <v>1551599084961946</v>
      </c>
      <c r="C1261" t="s">
        <v>40</v>
      </c>
      <c r="D1261">
        <v>5.4674820000000004</v>
      </c>
      <c r="E1261">
        <v>0.51179770000000002</v>
      </c>
      <c r="F1261" t="s">
        <v>41</v>
      </c>
      <c r="G1261">
        <v>-191.9984</v>
      </c>
      <c r="H1261" s="1">
        <v>-3.8893920000000002E-6</v>
      </c>
      <c r="I1261">
        <v>307.416</v>
      </c>
      <c r="J1261">
        <v>-191.60059999999999</v>
      </c>
      <c r="K1261">
        <v>1.1229359999999999</v>
      </c>
      <c r="L1261">
        <v>331.70839999999998</v>
      </c>
      <c r="M1261">
        <v>1.4248490000000001E-2</v>
      </c>
      <c r="N1261">
        <v>-6.0326009999999899E-3</v>
      </c>
      <c r="O1261">
        <v>-0.9998804</v>
      </c>
      <c r="P1261">
        <v>1.235062E-2</v>
      </c>
      <c r="Q1261">
        <v>-0.1094128</v>
      </c>
      <c r="R1261">
        <v>-0.99391969999999996</v>
      </c>
      <c r="S1261">
        <v>-4.7683719999999999E-2</v>
      </c>
      <c r="T1261">
        <v>-0.13702339999999999</v>
      </c>
      <c r="U1261">
        <v>-3.0039060000000002</v>
      </c>
      <c r="V1261">
        <v>2.6197960000000002E-3</v>
      </c>
      <c r="W1261">
        <v>-0.10339719999999999</v>
      </c>
      <c r="X1261">
        <v>0.99463670000000004</v>
      </c>
      <c r="Y1261">
        <v>3.0100160000000001E-2</v>
      </c>
      <c r="Z1261">
        <v>3.9519739999999998E-2</v>
      </c>
      <c r="AA1261">
        <v>0.99876529999999997</v>
      </c>
      <c r="AB1261">
        <v>32</v>
      </c>
      <c r="AC1261">
        <v>-0.39780000000001697</v>
      </c>
      <c r="AD1261">
        <v>-1.122939889392</v>
      </c>
      <c r="AE1261">
        <v>-24.292399999999901</v>
      </c>
      <c r="AF1261">
        <v>0.74231012034230204</v>
      </c>
      <c r="AG1261">
        <v>-1.122939889392</v>
      </c>
      <c r="AH1261">
        <v>24.232498608284299</v>
      </c>
      <c r="AI1261">
        <v>92.651960098231399</v>
      </c>
      <c r="AJ1261">
        <v>88.2454165455908</v>
      </c>
      <c r="AK1261">
        <v>24.2698579952676</v>
      </c>
      <c r="AL1261">
        <v>95.934830214995898</v>
      </c>
      <c r="AM1261">
        <v>89.849087705218807</v>
      </c>
      <c r="AN1261">
        <v>1.0000000046429001</v>
      </c>
    </row>
    <row r="1262" spans="1:40" x14ac:dyDescent="0.25">
      <c r="A1262" t="str">
        <f>"20190303154444993"</f>
        <v>20190303154444993</v>
      </c>
      <c r="B1262" t="str">
        <f>"1551599084981467"</f>
        <v>1551599084981467</v>
      </c>
      <c r="C1262" t="s">
        <v>40</v>
      </c>
      <c r="D1262">
        <v>5.4924679999999997</v>
      </c>
      <c r="E1262">
        <v>0.51253439999999995</v>
      </c>
      <c r="F1262" t="s">
        <v>41</v>
      </c>
      <c r="G1262">
        <v>-192.0256</v>
      </c>
      <c r="H1262" s="1">
        <v>-3.4719219999999999E-6</v>
      </c>
      <c r="I1262">
        <v>306.42590000000001</v>
      </c>
      <c r="J1262">
        <v>-191.59370000000001</v>
      </c>
      <c r="K1262">
        <v>1.122824</v>
      </c>
      <c r="L1262">
        <v>331.4237</v>
      </c>
      <c r="M1262">
        <v>1.7265470000000002E-2</v>
      </c>
      <c r="N1262">
        <v>-6.0405779999999996E-3</v>
      </c>
      <c r="O1262">
        <v>-0.99983279999999997</v>
      </c>
      <c r="P1262">
        <v>1.2793240000000001E-2</v>
      </c>
      <c r="Q1262">
        <v>-0.1089837</v>
      </c>
      <c r="R1262">
        <v>-0.99396139999999999</v>
      </c>
      <c r="S1262">
        <v>-5.0506589999999997E-2</v>
      </c>
      <c r="T1262">
        <v>-0.1334381</v>
      </c>
      <c r="U1262">
        <v>-3.0043030000000002</v>
      </c>
      <c r="V1262">
        <v>5.1435450000000002E-3</v>
      </c>
      <c r="W1262">
        <v>-0.10294150000000001</v>
      </c>
      <c r="X1262">
        <v>0.99467410000000001</v>
      </c>
      <c r="Y1262">
        <v>3.4052350000000002E-2</v>
      </c>
      <c r="Z1262">
        <v>3.830969E-2</v>
      </c>
      <c r="AA1262">
        <v>0.9986855</v>
      </c>
      <c r="AB1262">
        <v>32</v>
      </c>
      <c r="AC1262">
        <v>-0.43189999999998402</v>
      </c>
      <c r="AD1262">
        <v>-1.1228274719219999</v>
      </c>
      <c r="AE1262">
        <v>-24.997799999999899</v>
      </c>
      <c r="AF1262">
        <v>0.86170420816244897</v>
      </c>
      <c r="AG1262">
        <v>-1.1228274719219999</v>
      </c>
      <c r="AH1262">
        <v>24.936321567119101</v>
      </c>
      <c r="AI1262">
        <v>92.576625029190396</v>
      </c>
      <c r="AJ1262">
        <v>88.020863821113593</v>
      </c>
      <c r="AK1262">
        <v>24.976457094088399</v>
      </c>
      <c r="AL1262">
        <v>95.908580559860098</v>
      </c>
      <c r="AM1262">
        <v>89.7037212555595</v>
      </c>
      <c r="AN1262">
        <v>0.99999998684411295</v>
      </c>
    </row>
    <row r="1263" spans="1:40" x14ac:dyDescent="0.25">
      <c r="A1263" t="str">
        <f>"20190303154445016"</f>
        <v>20190303154445016</v>
      </c>
      <c r="B1263" t="str">
        <f>"1551599085011723"</f>
        <v>1551599085011723</v>
      </c>
      <c r="C1263" t="s">
        <v>40</v>
      </c>
      <c r="D1263">
        <v>5.4896219999999998</v>
      </c>
      <c r="E1263">
        <v>0.5134396</v>
      </c>
      <c r="F1263" t="s">
        <v>41</v>
      </c>
      <c r="G1263">
        <v>-192.07149999999999</v>
      </c>
      <c r="H1263" s="1">
        <v>-3.0647250000000001E-6</v>
      </c>
      <c r="I1263">
        <v>305.44830000000002</v>
      </c>
      <c r="J1263">
        <v>-191.58459999999999</v>
      </c>
      <c r="K1263">
        <v>1.122638</v>
      </c>
      <c r="L1263">
        <v>331.08390000000003</v>
      </c>
      <c r="M1263">
        <v>2.058014E-2</v>
      </c>
      <c r="N1263">
        <v>-6.0486480000000002E-3</v>
      </c>
      <c r="O1263">
        <v>-0.99977000000000005</v>
      </c>
      <c r="P1263">
        <v>1.376515E-2</v>
      </c>
      <c r="Q1263">
        <v>-0.1085512</v>
      </c>
      <c r="R1263">
        <v>-0.99399579999999998</v>
      </c>
      <c r="S1263">
        <v>-5.5267330000000003E-2</v>
      </c>
      <c r="T1263">
        <v>-0.12988139999999901</v>
      </c>
      <c r="U1263">
        <v>-3.0046689999999998</v>
      </c>
      <c r="V1263">
        <v>7.4178019999999898E-3</v>
      </c>
      <c r="W1263">
        <v>-0.1024866</v>
      </c>
      <c r="X1263">
        <v>0.99470670000000005</v>
      </c>
      <c r="Y1263">
        <v>3.894537E-2</v>
      </c>
      <c r="Z1263">
        <v>3.7107500000000002E-2</v>
      </c>
      <c r="AA1263">
        <v>0.99855210000000005</v>
      </c>
      <c r="AB1263">
        <v>33</v>
      </c>
      <c r="AC1263">
        <v>-0.48689999999999101</v>
      </c>
      <c r="AD1263">
        <v>-1.122641064725</v>
      </c>
      <c r="AE1263">
        <v>-25.6356</v>
      </c>
      <c r="AF1263">
        <v>1.0124497762878499</v>
      </c>
      <c r="AG1263">
        <v>-1.122641064725</v>
      </c>
      <c r="AH1263">
        <v>25.5711280236766</v>
      </c>
      <c r="AI1263">
        <v>92.511858493358503</v>
      </c>
      <c r="AJ1263">
        <v>87.732645386068199</v>
      </c>
      <c r="AK1263">
        <v>25.615775723428101</v>
      </c>
      <c r="AL1263">
        <v>95.882378204267695</v>
      </c>
      <c r="AM1263">
        <v>89.572737501672407</v>
      </c>
      <c r="AN1263">
        <v>0.99999997299548005</v>
      </c>
    </row>
    <row r="1264" spans="1:40" x14ac:dyDescent="0.25">
      <c r="A1264" t="str">
        <f>"20190303154445038"</f>
        <v>20190303154445038</v>
      </c>
      <c r="B1264" t="str">
        <f>"1551599085032219"</f>
        <v>1551599085032219</v>
      </c>
      <c r="C1264" t="s">
        <v>40</v>
      </c>
      <c r="D1264">
        <v>5.5245309999999996</v>
      </c>
      <c r="E1264">
        <v>0.51383089999999998</v>
      </c>
      <c r="F1264" t="s">
        <v>41</v>
      </c>
      <c r="G1264">
        <v>-192.11269999999999</v>
      </c>
      <c r="H1264" s="1">
        <v>-2.7006710000000001E-6</v>
      </c>
      <c r="I1264">
        <v>304.57409999999999</v>
      </c>
      <c r="J1264">
        <v>-191.57560000000001</v>
      </c>
      <c r="K1264">
        <v>1.1224270000000001</v>
      </c>
      <c r="L1264">
        <v>330.77120000000002</v>
      </c>
      <c r="M1264">
        <v>2.33089E-2</v>
      </c>
      <c r="N1264">
        <v>-6.0548879999999996E-3</v>
      </c>
      <c r="O1264">
        <v>-0.99970999999999999</v>
      </c>
      <c r="P1264">
        <v>1.487665E-2</v>
      </c>
      <c r="Q1264">
        <v>-0.108025</v>
      </c>
      <c r="R1264">
        <v>-0.99403699999999995</v>
      </c>
      <c r="S1264">
        <v>-5.986023E-2</v>
      </c>
      <c r="T1264">
        <v>-0.12725910000000001</v>
      </c>
      <c r="U1264">
        <v>-3.0050659999999998</v>
      </c>
      <c r="V1264">
        <v>8.9635900000000004E-3</v>
      </c>
      <c r="W1264">
        <v>-0.10194739999999999</v>
      </c>
      <c r="X1264">
        <v>0.99474940000000001</v>
      </c>
      <c r="Y1264">
        <v>4.3195709999999998E-2</v>
      </c>
      <c r="Z1264">
        <v>3.621746E-2</v>
      </c>
      <c r="AA1264">
        <v>0.99840989999999996</v>
      </c>
      <c r="AB1264">
        <v>33</v>
      </c>
      <c r="AC1264">
        <v>-0.53709999999998104</v>
      </c>
      <c r="AD1264">
        <v>-1.122429700671</v>
      </c>
      <c r="AE1264">
        <v>-26.197099999999999</v>
      </c>
      <c r="AF1264">
        <v>1.1454888930512599</v>
      </c>
      <c r="AG1264">
        <v>-1.122429700671</v>
      </c>
      <c r="AH1264">
        <v>26.129515907856302</v>
      </c>
      <c r="AI1264">
        <v>92.457350425657097</v>
      </c>
      <c r="AJ1264">
        <v>87.489824036768496</v>
      </c>
      <c r="AK1264">
        <v>26.1786858878739</v>
      </c>
      <c r="AL1264">
        <v>95.851321527628002</v>
      </c>
      <c r="AM1264">
        <v>89.483727281667299</v>
      </c>
      <c r="AN1264">
        <v>0.99999999355640401</v>
      </c>
    </row>
    <row r="1265" spans="1:40" x14ac:dyDescent="0.25">
      <c r="A1265" t="str">
        <f>"20190303154445060"</f>
        <v>20190303154445060</v>
      </c>
      <c r="B1265" t="str">
        <f>"1551599085052247"</f>
        <v>1551599085052247</v>
      </c>
      <c r="C1265" t="s">
        <v>40</v>
      </c>
      <c r="D1265">
        <v>5.5635490000000001</v>
      </c>
      <c r="E1265">
        <v>0.51434670000000005</v>
      </c>
      <c r="F1265" t="s">
        <v>41</v>
      </c>
      <c r="G1265">
        <v>-192.10669999999999</v>
      </c>
      <c r="H1265" s="1">
        <v>-2.4435699999999998E-6</v>
      </c>
      <c r="I1265">
        <v>303.9785</v>
      </c>
      <c r="J1265">
        <v>-191.56569999999999</v>
      </c>
      <c r="K1265">
        <v>1.122174</v>
      </c>
      <c r="L1265">
        <v>330.44819999999999</v>
      </c>
      <c r="M1265">
        <v>2.5784120000000001E-2</v>
      </c>
      <c r="N1265">
        <v>-6.061487E-3</v>
      </c>
      <c r="O1265">
        <v>-0.99964929999999996</v>
      </c>
      <c r="P1265">
        <v>1.584406E-2</v>
      </c>
      <c r="Q1265">
        <v>-0.10694770000000001</v>
      </c>
      <c r="R1265">
        <v>-0.99413850000000004</v>
      </c>
      <c r="S1265">
        <v>-5.9570310000000001E-2</v>
      </c>
      <c r="T1265">
        <v>-0.12589919999999999</v>
      </c>
      <c r="U1265">
        <v>-3.0052490000000001</v>
      </c>
      <c r="V1265">
        <v>1.039031E-2</v>
      </c>
      <c r="W1265">
        <v>-0.1008597</v>
      </c>
      <c r="X1265">
        <v>0.99484640000000002</v>
      </c>
      <c r="Y1265">
        <v>4.5571830000000001E-2</v>
      </c>
      <c r="Z1265">
        <v>3.575118E-2</v>
      </c>
      <c r="AA1265">
        <v>0.99832109999999996</v>
      </c>
      <c r="AB1265">
        <v>33</v>
      </c>
      <c r="AC1265">
        <v>-0.54099999999999604</v>
      </c>
      <c r="AD1265">
        <v>-1.1221764435699999</v>
      </c>
      <c r="AE1265">
        <v>-26.4696999999999</v>
      </c>
      <c r="AF1265">
        <v>1.22113664057858</v>
      </c>
      <c r="AG1265">
        <v>-1.1221764435699999</v>
      </c>
      <c r="AH1265">
        <v>26.3995214988167</v>
      </c>
      <c r="AI1265">
        <v>92.431435750734394</v>
      </c>
      <c r="AJ1265">
        <v>87.351613380329198</v>
      </c>
      <c r="AK1265">
        <v>26.451563092413899</v>
      </c>
      <c r="AL1265">
        <v>95.788677971401299</v>
      </c>
      <c r="AM1265">
        <v>89.401616906499299</v>
      </c>
      <c r="AN1265">
        <v>0.99999999860947297</v>
      </c>
    </row>
    <row r="1266" spans="1:40" x14ac:dyDescent="0.25">
      <c r="A1266" t="str">
        <f>"20190303154445084"</f>
        <v>20190303154445084</v>
      </c>
      <c r="B1266" t="str">
        <f>"1551599085071767"</f>
        <v>1551599085071767</v>
      </c>
      <c r="C1266" t="s">
        <v>40</v>
      </c>
      <c r="D1266">
        <v>5.53911</v>
      </c>
      <c r="E1266">
        <v>0.51479030000000003</v>
      </c>
      <c r="F1266" t="s">
        <v>41</v>
      </c>
      <c r="G1266">
        <v>-192.1242</v>
      </c>
      <c r="H1266" s="1">
        <v>-1.927839E-6</v>
      </c>
      <c r="I1266">
        <v>302.76549999999997</v>
      </c>
      <c r="J1266">
        <v>-191.55449999999999</v>
      </c>
      <c r="K1266">
        <v>1.121872</v>
      </c>
      <c r="L1266">
        <v>330.09969999999998</v>
      </c>
      <c r="M1266">
        <v>2.8005840000000001E-2</v>
      </c>
      <c r="N1266">
        <v>-6.069914E-3</v>
      </c>
      <c r="O1266">
        <v>-0.99958939999999996</v>
      </c>
      <c r="P1266">
        <v>1.6572679999999999E-2</v>
      </c>
      <c r="Q1266">
        <v>-0.1062096</v>
      </c>
      <c r="R1266">
        <v>-0.99420609999999998</v>
      </c>
      <c r="S1266">
        <v>-6.063843E-2</v>
      </c>
      <c r="T1266">
        <v>-0.1218349</v>
      </c>
      <c r="U1266">
        <v>-3.0055239999999999</v>
      </c>
      <c r="V1266">
        <v>1.1794280000000001E-2</v>
      </c>
      <c r="W1266">
        <v>-0.10011299999999999</v>
      </c>
      <c r="X1266">
        <v>0.99490619999999996</v>
      </c>
      <c r="Y1266">
        <v>4.8145550000000002E-2</v>
      </c>
      <c r="Z1266">
        <v>3.4384909999999998E-2</v>
      </c>
      <c r="AA1266">
        <v>0.99824829999999998</v>
      </c>
      <c r="AB1266">
        <v>33</v>
      </c>
      <c r="AC1266">
        <v>-0.56970000000001098</v>
      </c>
      <c r="AD1266">
        <v>-1.121873927839</v>
      </c>
      <c r="AE1266">
        <v>-27.334199999999999</v>
      </c>
      <c r="AF1266">
        <v>1.3327637251964599</v>
      </c>
      <c r="AG1266">
        <v>-1.121873927839</v>
      </c>
      <c r="AH1266">
        <v>27.261620086900599</v>
      </c>
      <c r="AI1266">
        <v>92.353706257672599</v>
      </c>
      <c r="AJ1266">
        <v>87.201157237751303</v>
      </c>
      <c r="AK1266">
        <v>27.317225152267302</v>
      </c>
      <c r="AL1266">
        <v>95.745677368216207</v>
      </c>
      <c r="AM1266">
        <v>89.320809526162193</v>
      </c>
      <c r="AN1266">
        <v>1.0000000323040701</v>
      </c>
    </row>
    <row r="1267" spans="1:40" x14ac:dyDescent="0.25">
      <c r="A1267" t="str">
        <f>"20190303154445105"</f>
        <v>20190303154445105</v>
      </c>
      <c r="B1267" t="str">
        <f>"1551599085102023"</f>
        <v>1551599085102023</v>
      </c>
      <c r="C1267" t="s">
        <v>40</v>
      </c>
      <c r="D1267">
        <v>5.4881199999999897</v>
      </c>
      <c r="E1267">
        <v>0.51525989999999999</v>
      </c>
      <c r="F1267" t="s">
        <v>41</v>
      </c>
      <c r="G1267">
        <v>-192.13570000000001</v>
      </c>
      <c r="H1267" s="1">
        <v>-1.6249699999999999E-6</v>
      </c>
      <c r="I1267">
        <v>302.0523</v>
      </c>
      <c r="J1267">
        <v>-191.5438</v>
      </c>
      <c r="K1267">
        <v>1.121572</v>
      </c>
      <c r="L1267">
        <v>329.77670000000001</v>
      </c>
      <c r="M1267">
        <v>2.9659370000000001E-2</v>
      </c>
      <c r="N1267">
        <v>-6.0788839999999997E-3</v>
      </c>
      <c r="O1267">
        <v>-0.99954189999999998</v>
      </c>
      <c r="P1267">
        <v>1.596347E-2</v>
      </c>
      <c r="Q1267">
        <v>-0.10640670000000001</v>
      </c>
      <c r="R1267">
        <v>-0.9941951</v>
      </c>
      <c r="S1267">
        <v>-6.2286380000000002E-2</v>
      </c>
      <c r="T1267">
        <v>-0.1202246</v>
      </c>
      <c r="U1267">
        <v>-3.0056759999999998</v>
      </c>
      <c r="V1267">
        <v>1.397641E-2</v>
      </c>
      <c r="W1267">
        <v>-0.1002999</v>
      </c>
      <c r="X1267">
        <v>0.9948591</v>
      </c>
      <c r="Y1267">
        <v>5.0343970000000002E-2</v>
      </c>
      <c r="Z1267">
        <v>3.3834599999999999E-2</v>
      </c>
      <c r="AA1267">
        <v>0.99815860000000001</v>
      </c>
      <c r="AB1267">
        <v>33</v>
      </c>
      <c r="AC1267">
        <v>-0.59190000000000897</v>
      </c>
      <c r="AD1267">
        <v>-1.1215736249699999</v>
      </c>
      <c r="AE1267">
        <v>-27.724399999999999</v>
      </c>
      <c r="AF1267">
        <v>1.4116335929539301</v>
      </c>
      <c r="AG1267">
        <v>-1.1215736249699999</v>
      </c>
      <c r="AH1267">
        <v>27.649417652777899</v>
      </c>
      <c r="AI1267">
        <v>92.319859806539995</v>
      </c>
      <c r="AJ1267">
        <v>87.077317008953003</v>
      </c>
      <c r="AK1267">
        <v>27.708138395329499</v>
      </c>
      <c r="AL1267">
        <v>95.756440196049397</v>
      </c>
      <c r="AM1267">
        <v>89.195125591519002</v>
      </c>
      <c r="AN1267">
        <v>1.0000000194146501</v>
      </c>
    </row>
    <row r="1268" spans="1:40" x14ac:dyDescent="0.25">
      <c r="A1268" t="str">
        <f>"20190303154445127"</f>
        <v>20190303154445127</v>
      </c>
      <c r="B1268" t="str">
        <f>"1551599085121543"</f>
        <v>1551599085121543</v>
      </c>
      <c r="C1268" t="s">
        <v>40</v>
      </c>
      <c r="D1268">
        <v>5.5493220000000001</v>
      </c>
      <c r="E1268">
        <v>0.51556109999999999</v>
      </c>
      <c r="F1268" t="s">
        <v>41</v>
      </c>
      <c r="G1268">
        <v>-192.16720000000001</v>
      </c>
      <c r="H1268" s="1">
        <v>-1.659802E-6</v>
      </c>
      <c r="I1268">
        <v>302.11399999999998</v>
      </c>
      <c r="J1268">
        <v>-191.53309999999999</v>
      </c>
      <c r="K1268">
        <v>1.1212930000000001</v>
      </c>
      <c r="L1268">
        <v>329.459</v>
      </c>
      <c r="M1268">
        <v>3.0969360000000001E-2</v>
      </c>
      <c r="N1268">
        <v>-6.0884529999999997E-3</v>
      </c>
      <c r="O1268">
        <v>-0.9995018</v>
      </c>
      <c r="P1268">
        <v>1.53061E-2</v>
      </c>
      <c r="Q1268">
        <v>-0.1061646</v>
      </c>
      <c r="R1268">
        <v>-0.99423070000000002</v>
      </c>
      <c r="S1268">
        <v>-6.7733760000000004E-2</v>
      </c>
      <c r="T1268">
        <v>-0.1218576</v>
      </c>
      <c r="U1268">
        <v>-3.0055239999999999</v>
      </c>
      <c r="V1268">
        <v>1.5870740000000001E-2</v>
      </c>
      <c r="W1268">
        <v>-0.1000501</v>
      </c>
      <c r="X1268">
        <v>0.99485579999999996</v>
      </c>
      <c r="Y1268">
        <v>5.3461069999999999E-2</v>
      </c>
      <c r="Z1268">
        <v>3.4361719999999998E-2</v>
      </c>
      <c r="AA1268">
        <v>0.99797860000000005</v>
      </c>
      <c r="AB1268">
        <v>33</v>
      </c>
      <c r="AC1268">
        <v>-0.63410000000001698</v>
      </c>
      <c r="AD1268">
        <v>-1.1212946598019999</v>
      </c>
      <c r="AE1268">
        <v>-27.344999999999899</v>
      </c>
      <c r="AF1268">
        <v>1.47818451480547</v>
      </c>
      <c r="AG1268">
        <v>-1.1212946598019999</v>
      </c>
      <c r="AH1268">
        <v>27.266422567051201</v>
      </c>
      <c r="AI1268">
        <v>92.351435331552196</v>
      </c>
      <c r="AJ1268">
        <v>86.896882678866007</v>
      </c>
      <c r="AK1268">
        <v>27.329473664505699</v>
      </c>
      <c r="AL1268">
        <v>95.742055563094496</v>
      </c>
      <c r="AM1268">
        <v>89.086049161326599</v>
      </c>
      <c r="AN1268">
        <v>0.99999998284589797</v>
      </c>
    </row>
    <row r="1269" spans="1:40" x14ac:dyDescent="0.25">
      <c r="A1269" t="str">
        <f>"20190303154445151"</f>
        <v>20190303154445151</v>
      </c>
      <c r="B1269" t="str">
        <f>"1551599085142039"</f>
        <v>1551599085142039</v>
      </c>
      <c r="C1269" t="s">
        <v>40</v>
      </c>
      <c r="D1269">
        <v>5.5950670000000002</v>
      </c>
      <c r="E1269">
        <v>0.51591229999999999</v>
      </c>
      <c r="F1269" t="s">
        <v>41</v>
      </c>
      <c r="G1269">
        <v>-192.2</v>
      </c>
      <c r="H1269" s="1">
        <v>-1.4840549999999999E-6</v>
      </c>
      <c r="I1269">
        <v>301.68400000000003</v>
      </c>
      <c r="J1269">
        <v>-191.5206</v>
      </c>
      <c r="K1269">
        <v>1.120995</v>
      </c>
      <c r="L1269">
        <v>329.0924</v>
      </c>
      <c r="M1269">
        <v>3.2080230000000001E-2</v>
      </c>
      <c r="N1269">
        <v>-6.1019230000000004E-3</v>
      </c>
      <c r="O1269">
        <v>-0.99946670000000004</v>
      </c>
      <c r="P1269">
        <v>1.431641E-2</v>
      </c>
      <c r="Q1269">
        <v>-0.105544</v>
      </c>
      <c r="R1269">
        <v>-0.99431190000000003</v>
      </c>
      <c r="S1269">
        <v>-7.2158810000000004E-2</v>
      </c>
      <c r="T1269">
        <v>-0.121336</v>
      </c>
      <c r="U1269">
        <v>-3.0055540000000001</v>
      </c>
      <c r="V1269">
        <v>1.789286E-2</v>
      </c>
      <c r="W1269">
        <v>-9.9421010000000004E-2</v>
      </c>
      <c r="X1269">
        <v>0.99488460000000001</v>
      </c>
      <c r="Y1269">
        <v>5.6038810000000001E-2</v>
      </c>
      <c r="Z1269">
        <v>3.4169039999999998E-2</v>
      </c>
      <c r="AA1269">
        <v>0.9978437</v>
      </c>
      <c r="AB1269">
        <v>33</v>
      </c>
      <c r="AC1269">
        <v>-0.67939999999998602</v>
      </c>
      <c r="AD1269">
        <v>-1.120996484055</v>
      </c>
      <c r="AE1269">
        <v>-27.408399999999901</v>
      </c>
      <c r="AF1269">
        <v>1.55573360147031</v>
      </c>
      <c r="AG1269">
        <v>-1.120996484055</v>
      </c>
      <c r="AH1269">
        <v>27.326812657190501</v>
      </c>
      <c r="AI1269">
        <v>92.345268657565597</v>
      </c>
      <c r="AJ1269">
        <v>86.741630400129793</v>
      </c>
      <c r="AK1269">
        <v>27.394007194223999</v>
      </c>
      <c r="AL1269">
        <v>95.705830475169606</v>
      </c>
      <c r="AM1269">
        <v>88.969654521713807</v>
      </c>
      <c r="AN1269">
        <v>1.00000002949277</v>
      </c>
    </row>
    <row r="1270" spans="1:40" x14ac:dyDescent="0.25">
      <c r="A1270" t="str">
        <f>"20190303154445175"</f>
        <v>20190303154445175</v>
      </c>
      <c r="B1270" t="str">
        <f>"1551599085171319"</f>
        <v>1551599085171319</v>
      </c>
      <c r="C1270" t="s">
        <v>40</v>
      </c>
      <c r="D1270">
        <v>5.6980309999999896</v>
      </c>
      <c r="E1270">
        <v>0.51647540000000003</v>
      </c>
      <c r="F1270" t="s">
        <v>41</v>
      </c>
      <c r="G1270">
        <v>-192.24619999999999</v>
      </c>
      <c r="H1270" s="1">
        <v>-1.2961979999999999E-6</v>
      </c>
      <c r="I1270">
        <v>301.2174</v>
      </c>
      <c r="J1270">
        <v>-191.50880000000001</v>
      </c>
      <c r="K1270">
        <v>1.120727</v>
      </c>
      <c r="L1270">
        <v>328.74829999999997</v>
      </c>
      <c r="M1270">
        <v>3.2757670000000003E-2</v>
      </c>
      <c r="N1270">
        <v>-6.1221030000000003E-3</v>
      </c>
      <c r="O1270">
        <v>-0.99944469999999996</v>
      </c>
      <c r="P1270">
        <v>1.2657969999999999E-2</v>
      </c>
      <c r="Q1270">
        <v>-0.1051546</v>
      </c>
      <c r="R1270">
        <v>-0.99437560000000003</v>
      </c>
      <c r="S1270">
        <v>-7.8231809999999999E-2</v>
      </c>
      <c r="T1270">
        <v>-0.120864</v>
      </c>
      <c r="U1270">
        <v>-3.0054319999999999</v>
      </c>
      <c r="V1270">
        <v>2.0159030000000001E-2</v>
      </c>
      <c r="W1270">
        <v>-9.9017839999999996E-2</v>
      </c>
      <c r="X1270">
        <v>0.99488149999999997</v>
      </c>
      <c r="Y1270">
        <v>5.8731150000000003E-2</v>
      </c>
      <c r="Z1270">
        <v>3.3988379999999999E-2</v>
      </c>
      <c r="AA1270">
        <v>0.99769509999999995</v>
      </c>
      <c r="AB1270">
        <v>33</v>
      </c>
      <c r="AC1270">
        <v>-0.73739999999997896</v>
      </c>
      <c r="AD1270">
        <v>-1.1207282961980001</v>
      </c>
      <c r="AE1270">
        <v>-27.5308999999999</v>
      </c>
      <c r="AF1270">
        <v>1.6361597577803999</v>
      </c>
      <c r="AG1270">
        <v>-1.1207282961980001</v>
      </c>
      <c r="AH1270">
        <v>27.446518122263299</v>
      </c>
      <c r="AI1270">
        <v>92.334130132062</v>
      </c>
      <c r="AJ1270">
        <v>86.588483893857301</v>
      </c>
      <c r="AK1270">
        <v>27.5180742004706</v>
      </c>
      <c r="AL1270">
        <v>95.682615817479501</v>
      </c>
      <c r="AM1270">
        <v>88.839189088934504</v>
      </c>
      <c r="AN1270">
        <v>1.00000005908552</v>
      </c>
    </row>
    <row r="1271" spans="1:40" x14ac:dyDescent="0.25">
      <c r="A1271" t="str">
        <f>"20190303154445198"</f>
        <v>20190303154445198</v>
      </c>
      <c r="B1271" t="str">
        <f>"1551599085191815"</f>
        <v>1551599085191815</v>
      </c>
      <c r="C1271" t="s">
        <v>40</v>
      </c>
      <c r="D1271">
        <v>5.6571490000000004</v>
      </c>
      <c r="E1271">
        <v>0.51670709999999997</v>
      </c>
      <c r="F1271" t="s">
        <v>41</v>
      </c>
      <c r="G1271">
        <v>-192.32490000000001</v>
      </c>
      <c r="H1271" s="1">
        <v>-1.150852E-6</v>
      </c>
      <c r="I1271">
        <v>300.82979999999998</v>
      </c>
      <c r="J1271">
        <v>-191.4966</v>
      </c>
      <c r="K1271">
        <v>1.1204559999999999</v>
      </c>
      <c r="L1271">
        <v>328.39030000000002</v>
      </c>
      <c r="M1271">
        <v>3.3120669999999998E-2</v>
      </c>
      <c r="N1271">
        <v>-6.1573139999999997E-3</v>
      </c>
      <c r="O1271">
        <v>-0.9994326</v>
      </c>
      <c r="P1271">
        <v>1.052092E-2</v>
      </c>
      <c r="Q1271">
        <v>-0.1049364</v>
      </c>
      <c r="R1271">
        <v>-0.99442359999999996</v>
      </c>
      <c r="S1271">
        <v>-8.7844850000000002E-2</v>
      </c>
      <c r="T1271">
        <v>-0.1206431</v>
      </c>
      <c r="U1271">
        <v>-3.005341</v>
      </c>
      <c r="V1271">
        <v>2.2589250000000002E-2</v>
      </c>
      <c r="W1271">
        <v>-9.8774399999999998E-2</v>
      </c>
      <c r="X1271">
        <v>0.9948534</v>
      </c>
      <c r="Y1271">
        <v>6.2282539999999997E-2</v>
      </c>
      <c r="Z1271">
        <v>3.3874029999999999E-2</v>
      </c>
      <c r="AA1271">
        <v>0.99748360000000003</v>
      </c>
      <c r="AB1271">
        <v>33</v>
      </c>
      <c r="AC1271">
        <v>-0.82830000000001203</v>
      </c>
      <c r="AD1271">
        <v>-1.12045715085199</v>
      </c>
      <c r="AE1271">
        <v>-27.560500000000001</v>
      </c>
      <c r="AF1271">
        <v>1.7378152429071601</v>
      </c>
      <c r="AG1271">
        <v>-1.12045715085199</v>
      </c>
      <c r="AH1271">
        <v>27.472578991130302</v>
      </c>
      <c r="AI1271">
        <v>92.330835558890698</v>
      </c>
      <c r="AJ1271">
        <v>86.380500269260907</v>
      </c>
      <c r="AK1271">
        <v>27.550281713065502</v>
      </c>
      <c r="AL1271">
        <v>95.668599515876593</v>
      </c>
      <c r="AM1271">
        <v>88.699259279239797</v>
      </c>
      <c r="AN1271">
        <v>0.99999997190124001</v>
      </c>
    </row>
    <row r="1272" spans="1:40" x14ac:dyDescent="0.25">
      <c r="A1272" t="str">
        <f>"20190303154445219"</f>
        <v>20190303154445219</v>
      </c>
      <c r="B1272" t="str">
        <f>"1551599085211335"</f>
        <v>1551599085211335</v>
      </c>
      <c r="C1272" t="s">
        <v>40</v>
      </c>
      <c r="D1272">
        <v>5.6229129999999996</v>
      </c>
      <c r="E1272">
        <v>0.51700249999999903</v>
      </c>
      <c r="F1272" t="s">
        <v>41</v>
      </c>
      <c r="G1272">
        <v>-192.39699999999999</v>
      </c>
      <c r="H1272" s="1">
        <v>-9.502619E-7</v>
      </c>
      <c r="I1272">
        <v>300.3175</v>
      </c>
      <c r="J1272">
        <v>-191.4862</v>
      </c>
      <c r="K1272">
        <v>1.1202289999999999</v>
      </c>
      <c r="L1272">
        <v>328.08190000000002</v>
      </c>
      <c r="M1272">
        <v>3.3153469999999997E-2</v>
      </c>
      <c r="N1272">
        <v>-6.2044149999999996E-3</v>
      </c>
      <c r="O1272">
        <v>-0.99943110000000002</v>
      </c>
      <c r="P1272">
        <v>7.7608829999999997E-3</v>
      </c>
      <c r="Q1272">
        <v>-0.10482320000000001</v>
      </c>
      <c r="R1272">
        <v>-0.99446089999999998</v>
      </c>
      <c r="S1272">
        <v>-9.638977E-2</v>
      </c>
      <c r="T1272">
        <v>-0.1199436</v>
      </c>
      <c r="U1272">
        <v>-3.0051570000000001</v>
      </c>
      <c r="V1272">
        <v>2.5323120000000001E-2</v>
      </c>
      <c r="W1272">
        <v>-9.862493E-2</v>
      </c>
      <c r="X1272">
        <v>0.99480239999999998</v>
      </c>
      <c r="Y1272">
        <v>6.5150280000000005E-2</v>
      </c>
      <c r="Z1272">
        <v>3.3591830000000003E-2</v>
      </c>
      <c r="AA1272">
        <v>0.99730989999999997</v>
      </c>
      <c r="AB1272">
        <v>34</v>
      </c>
      <c r="AC1272">
        <v>-0.91080000000002304</v>
      </c>
      <c r="AD1272">
        <v>-1.1202299502619</v>
      </c>
      <c r="AE1272">
        <v>-27.764399999999998</v>
      </c>
      <c r="AF1272">
        <v>1.8278307345342999</v>
      </c>
      <c r="AG1272">
        <v>-1.1202299502619</v>
      </c>
      <c r="AH1272">
        <v>27.673936790020502</v>
      </c>
      <c r="AI1272">
        <v>92.313010585856404</v>
      </c>
      <c r="AJ1272">
        <v>86.221170254459395</v>
      </c>
      <c r="AK1272">
        <v>27.756848844809799</v>
      </c>
      <c r="AL1272">
        <v>95.659993470521002</v>
      </c>
      <c r="AM1272">
        <v>88.541826360643597</v>
      </c>
      <c r="AN1272">
        <v>0.99999997613489899</v>
      </c>
    </row>
    <row r="1273" spans="1:40" x14ac:dyDescent="0.25">
      <c r="A1273" t="str">
        <f>"20190303154445239"</f>
        <v>20190303154445239</v>
      </c>
      <c r="B1273" t="str">
        <f>"1551599085231832"</f>
        <v>1551599085231832</v>
      </c>
      <c r="C1273" t="s">
        <v>40</v>
      </c>
      <c r="D1273">
        <v>5.5977439999999996</v>
      </c>
      <c r="E1273">
        <v>0.51729069999999999</v>
      </c>
      <c r="F1273" t="s">
        <v>41</v>
      </c>
      <c r="G1273">
        <v>-192.48269999999999</v>
      </c>
      <c r="H1273" s="1">
        <v>-9.4021390000000004E-7</v>
      </c>
      <c r="I1273">
        <v>300.24099999999999</v>
      </c>
      <c r="J1273">
        <v>-191.4761</v>
      </c>
      <c r="K1273">
        <v>1.1200110000000001</v>
      </c>
      <c r="L1273">
        <v>327.77480000000003</v>
      </c>
      <c r="M1273">
        <v>3.2953820000000002E-2</v>
      </c>
      <c r="N1273">
        <v>-6.2748020000000003E-3</v>
      </c>
      <c r="O1273">
        <v>-0.99943749999999998</v>
      </c>
      <c r="P1273">
        <v>5.2465209999999997E-3</v>
      </c>
      <c r="Q1273">
        <v>-0.1037505</v>
      </c>
      <c r="R1273">
        <v>-0.99458979999999997</v>
      </c>
      <c r="S1273">
        <v>-0.107543899999999</v>
      </c>
      <c r="T1273">
        <v>-0.120904399999999</v>
      </c>
      <c r="U1273">
        <v>-3.0048219999999999</v>
      </c>
      <c r="V1273">
        <v>2.7583920000000001E-2</v>
      </c>
      <c r="W1273">
        <v>-9.7495330000000005E-2</v>
      </c>
      <c r="X1273">
        <v>0.99485369999999995</v>
      </c>
      <c r="Y1273">
        <v>6.8650989999999995E-2</v>
      </c>
      <c r="Z1273">
        <v>3.3837060000000002E-2</v>
      </c>
      <c r="AA1273">
        <v>0.99706669999999997</v>
      </c>
      <c r="AB1273">
        <v>34</v>
      </c>
      <c r="AC1273">
        <v>-1.0065999999999899</v>
      </c>
      <c r="AD1273">
        <v>-1.1200119402138999</v>
      </c>
      <c r="AE1273">
        <v>-27.533799999999999</v>
      </c>
      <c r="AF1273">
        <v>1.9102580901538</v>
      </c>
      <c r="AG1273">
        <v>-1.1200119402138999</v>
      </c>
      <c r="AH1273">
        <v>27.440328925900399</v>
      </c>
      <c r="AI1273">
        <v>92.331665928935706</v>
      </c>
      <c r="AJ1273">
        <v>86.017779808459196</v>
      </c>
      <c r="AK1273">
        <v>27.5295325837332</v>
      </c>
      <c r="AL1273">
        <v>95.594958312771396</v>
      </c>
      <c r="AM1273">
        <v>88.411789201784899</v>
      </c>
      <c r="AN1273">
        <v>1.0000000482090301</v>
      </c>
    </row>
    <row r="1274" spans="1:40" x14ac:dyDescent="0.25">
      <c r="A1274" t="str">
        <f>"20190303154445262"</f>
        <v>20190303154445262</v>
      </c>
      <c r="B1274" t="str">
        <f>"1551599085251857"</f>
        <v>1551599085251857</v>
      </c>
      <c r="C1274" t="s">
        <v>40</v>
      </c>
      <c r="D1274">
        <v>5.6304740000000004</v>
      </c>
      <c r="E1274">
        <v>0.51752529999999997</v>
      </c>
      <c r="F1274" t="s">
        <v>54</v>
      </c>
      <c r="G1274">
        <v>-192.5848</v>
      </c>
      <c r="H1274" s="1">
        <v>2.9418070000000002E-8</v>
      </c>
      <c r="I1274">
        <v>299.44929999999999</v>
      </c>
      <c r="J1274">
        <v>-191.46520000000001</v>
      </c>
      <c r="K1274">
        <v>1.119794</v>
      </c>
      <c r="L1274">
        <v>327.43639999999999</v>
      </c>
      <c r="M1274">
        <v>3.2498319999999997E-2</v>
      </c>
      <c r="N1274">
        <v>-6.4022979999999998E-3</v>
      </c>
      <c r="O1274">
        <v>-0.99945139999999999</v>
      </c>
      <c r="P1274">
        <v>2.6100860000000002E-3</v>
      </c>
      <c r="Q1274">
        <v>-0.10191219999999999</v>
      </c>
      <c r="R1274">
        <v>-0.99479030000000002</v>
      </c>
      <c r="S1274">
        <v>-0.1175995</v>
      </c>
      <c r="T1274">
        <v>-0.1188018</v>
      </c>
      <c r="U1274">
        <v>-3.0045470000000001</v>
      </c>
      <c r="V1274">
        <v>2.9712820000000001E-2</v>
      </c>
      <c r="W1274">
        <v>-9.5546510000000001E-2</v>
      </c>
      <c r="X1274">
        <v>0.99498140000000002</v>
      </c>
      <c r="Y1274">
        <v>7.1532159999999997E-2</v>
      </c>
      <c r="Z1274">
        <v>3.3010650000000002E-2</v>
      </c>
      <c r="AA1274">
        <v>0.99689190000000005</v>
      </c>
      <c r="AB1274">
        <v>34</v>
      </c>
      <c r="AC1274">
        <v>-1.1195999999999899</v>
      </c>
      <c r="AD1274">
        <v>-1.11979397058193</v>
      </c>
      <c r="AE1274">
        <v>-27.987100000000002</v>
      </c>
      <c r="AF1274">
        <v>2.02532372757135</v>
      </c>
      <c r="AG1274">
        <v>-1.11979397058193</v>
      </c>
      <c r="AH1274">
        <v>27.891350937590602</v>
      </c>
      <c r="AI1274">
        <v>92.293069711808002</v>
      </c>
      <c r="AJ1274">
        <v>85.846770399900095</v>
      </c>
      <c r="AK1274">
        <v>27.987199428700499</v>
      </c>
      <c r="AL1274">
        <v>95.482775689402402</v>
      </c>
      <c r="AM1274">
        <v>88.289502303456302</v>
      </c>
      <c r="AN1274">
        <v>0.99999998679574598</v>
      </c>
    </row>
    <row r="1275" spans="1:40" x14ac:dyDescent="0.25">
      <c r="A1275" t="str">
        <f>"20190303154445285"</f>
        <v>20190303154445285</v>
      </c>
      <c r="B1275" t="str">
        <f>"1551599085282114"</f>
        <v>1551599085282114</v>
      </c>
      <c r="C1275" t="s">
        <v>40</v>
      </c>
      <c r="D1275">
        <v>5.6222370000000002</v>
      </c>
      <c r="E1275">
        <v>0.51790239999999998</v>
      </c>
      <c r="F1275" t="s">
        <v>54</v>
      </c>
      <c r="G1275">
        <v>-192.71</v>
      </c>
      <c r="H1275" s="1">
        <v>3.0339330000000003E-7</v>
      </c>
      <c r="I1275">
        <v>298.0675</v>
      </c>
      <c r="J1275">
        <v>-191.45429999999999</v>
      </c>
      <c r="K1275">
        <v>1.1196060000000001</v>
      </c>
      <c r="L1275">
        <v>327.08359999999999</v>
      </c>
      <c r="M1275">
        <v>3.1766469999999998E-2</v>
      </c>
      <c r="N1275">
        <v>-6.6248309999999899E-3</v>
      </c>
      <c r="O1275">
        <v>-0.99947339999999996</v>
      </c>
      <c r="P1275">
        <v>4.7537600000000001E-4</v>
      </c>
      <c r="Q1275">
        <v>-0.10097739999999999</v>
      </c>
      <c r="R1275">
        <v>-0.99488900000000002</v>
      </c>
      <c r="S1275">
        <v>-0.12733459999999999</v>
      </c>
      <c r="T1275">
        <v>-0.11454739999999999</v>
      </c>
      <c r="U1275">
        <v>-3.0042420000000001</v>
      </c>
      <c r="V1275">
        <v>3.1066420000000001E-2</v>
      </c>
      <c r="W1275">
        <v>-9.4408249999999999E-2</v>
      </c>
      <c r="X1275">
        <v>0.99504870000000001</v>
      </c>
      <c r="Y1275">
        <v>7.4032360000000005E-2</v>
      </c>
      <c r="Z1275">
        <v>3.1377380000000003E-2</v>
      </c>
      <c r="AA1275">
        <v>0.99676209999999998</v>
      </c>
      <c r="AB1275">
        <v>34</v>
      </c>
      <c r="AC1275">
        <v>-1.25570000000001</v>
      </c>
      <c r="AD1275">
        <v>-1.1196056966066901</v>
      </c>
      <c r="AE1275">
        <v>-29.016099999999899</v>
      </c>
      <c r="AF1275">
        <v>2.1735953900107101</v>
      </c>
      <c r="AG1275">
        <v>-1.1196056966066901</v>
      </c>
      <c r="AH1275">
        <v>28.918590358820001</v>
      </c>
      <c r="AI1275">
        <v>92.210913132346207</v>
      </c>
      <c r="AJ1275">
        <v>85.701584668935197</v>
      </c>
      <c r="AK1275">
        <v>29.0217660071986</v>
      </c>
      <c r="AL1275">
        <v>95.417262081050495</v>
      </c>
      <c r="AM1275">
        <v>88.211749088803501</v>
      </c>
      <c r="AN1275">
        <v>0.99999997774568405</v>
      </c>
    </row>
    <row r="1276" spans="1:40" x14ac:dyDescent="0.25">
      <c r="A1276" t="str">
        <f>"20190303154445308"</f>
        <v>20190303154445308</v>
      </c>
      <c r="B1276" t="str">
        <f>"1551599085301634"</f>
        <v>1551599085301634</v>
      </c>
      <c r="C1276" t="s">
        <v>40</v>
      </c>
      <c r="D1276">
        <v>5.6598069999999998</v>
      </c>
      <c r="E1276">
        <v>0.5180766</v>
      </c>
      <c r="F1276" t="s">
        <v>54</v>
      </c>
      <c r="G1276">
        <v>-192.79519999999999</v>
      </c>
      <c r="H1276" s="1">
        <v>4.4229129999999998E-7</v>
      </c>
      <c r="I1276">
        <v>297.6533</v>
      </c>
      <c r="J1276">
        <v>-191.44390000000001</v>
      </c>
      <c r="K1276">
        <v>1.119451</v>
      </c>
      <c r="L1276">
        <v>326.72969999999998</v>
      </c>
      <c r="M1276">
        <v>3.0843019999999999E-2</v>
      </c>
      <c r="N1276">
        <v>-6.904589E-3</v>
      </c>
      <c r="O1276">
        <v>-0.99950039999999996</v>
      </c>
      <c r="P1276">
        <v>-1.415918E-3</v>
      </c>
      <c r="Q1276">
        <v>-0.10130740000000001</v>
      </c>
      <c r="R1276">
        <v>-0.99485429999999997</v>
      </c>
      <c r="S1276">
        <v>-0.13685610000000001</v>
      </c>
      <c r="T1276">
        <v>-0.1142749</v>
      </c>
      <c r="U1276">
        <v>-3.003876</v>
      </c>
      <c r="V1276">
        <v>3.1989879999999998E-2</v>
      </c>
      <c r="W1276">
        <v>-9.4476969999999993E-2</v>
      </c>
      <c r="X1276">
        <v>0.99501289999999998</v>
      </c>
      <c r="Y1276">
        <v>7.6269020000000007E-2</v>
      </c>
      <c r="Z1276">
        <v>3.1007489999999999E-2</v>
      </c>
      <c r="AA1276">
        <v>0.99660499999999996</v>
      </c>
      <c r="AB1276">
        <v>34</v>
      </c>
      <c r="AC1276">
        <v>-1.35129999999998</v>
      </c>
      <c r="AD1276">
        <v>-1.1194505577086999</v>
      </c>
      <c r="AE1276">
        <v>-29.0763999999999</v>
      </c>
      <c r="AF1276">
        <v>2.24416313765105</v>
      </c>
      <c r="AG1276">
        <v>-1.1194505577086999</v>
      </c>
      <c r="AH1276">
        <v>28.978026002925699</v>
      </c>
      <c r="AI1276">
        <v>92.205696140685802</v>
      </c>
      <c r="AJ1276">
        <v>85.571646536793395</v>
      </c>
      <c r="AK1276">
        <v>29.086344369235899</v>
      </c>
      <c r="AL1276">
        <v>95.421217217488604</v>
      </c>
      <c r="AM1276">
        <v>88.158562577197898</v>
      </c>
      <c r="AN1276">
        <v>0.99999996072460196</v>
      </c>
    </row>
    <row r="1277" spans="1:40" x14ac:dyDescent="0.25">
      <c r="A1277" t="str">
        <f>"20190303154445328"</f>
        <v>20190303154445328</v>
      </c>
      <c r="B1277" t="str">
        <f>"1551599085322129"</f>
        <v>1551599085322129</v>
      </c>
      <c r="C1277" t="s">
        <v>40</v>
      </c>
      <c r="D1277">
        <v>5.6119389999999996</v>
      </c>
      <c r="E1277">
        <v>0.5181888</v>
      </c>
      <c r="F1277" t="s">
        <v>54</v>
      </c>
      <c r="G1277">
        <v>-192.84129999999999</v>
      </c>
      <c r="H1277" s="1">
        <v>4.261532E-7</v>
      </c>
      <c r="I1277">
        <v>297.68729999999999</v>
      </c>
      <c r="J1277">
        <v>-191.43510000000001</v>
      </c>
      <c r="K1277">
        <v>1.119343</v>
      </c>
      <c r="L1277">
        <v>326.4178</v>
      </c>
      <c r="M1277">
        <v>2.9895089999999999E-2</v>
      </c>
      <c r="N1277">
        <v>-7.2199730000000002E-3</v>
      </c>
      <c r="O1277">
        <v>-0.99952719999999995</v>
      </c>
      <c r="P1277">
        <v>-3.5649060000000001E-3</v>
      </c>
      <c r="Q1277">
        <v>-0.1035008</v>
      </c>
      <c r="R1277">
        <v>-0.99462329999999999</v>
      </c>
      <c r="S1277">
        <v>-0.14451600000000001</v>
      </c>
      <c r="T1277">
        <v>-0.11577030000000001</v>
      </c>
      <c r="U1277">
        <v>-3.003479</v>
      </c>
      <c r="V1277">
        <v>3.3149199999999997E-2</v>
      </c>
      <c r="W1277">
        <v>-9.6372379999999994E-2</v>
      </c>
      <c r="X1277">
        <v>0.99479320000000004</v>
      </c>
      <c r="Y1277">
        <v>7.7864169999999996E-2</v>
      </c>
      <c r="Z1277">
        <v>3.1189519999999998E-2</v>
      </c>
      <c r="AA1277">
        <v>0.99647600000000003</v>
      </c>
      <c r="AB1277">
        <v>34</v>
      </c>
      <c r="AC1277">
        <v>-1.4061999999999799</v>
      </c>
      <c r="AD1277">
        <v>-1.1193425738467999</v>
      </c>
      <c r="AE1277">
        <v>-28.730499999999999</v>
      </c>
      <c r="AF1277">
        <v>2.2610706750064402</v>
      </c>
      <c r="AG1277">
        <v>-1.1193425738467999</v>
      </c>
      <c r="AH1277">
        <v>28.6322617479623</v>
      </c>
      <c r="AI1277">
        <v>92.231825876227205</v>
      </c>
      <c r="AJ1277">
        <v>85.484760737324507</v>
      </c>
      <c r="AK1277">
        <v>28.743204087206902</v>
      </c>
      <c r="AL1277">
        <v>95.530313817006601</v>
      </c>
      <c r="AM1277">
        <v>88.091455869530506</v>
      </c>
      <c r="AN1277">
        <v>1.00000000792687</v>
      </c>
    </row>
    <row r="1278" spans="1:40" x14ac:dyDescent="0.25">
      <c r="A1278" t="str">
        <f>"20190303154445352"</f>
        <v>20190303154445352</v>
      </c>
      <c r="B1278" t="str">
        <f>"1551599085341650"</f>
        <v>1551599085341650</v>
      </c>
      <c r="C1278" t="s">
        <v>40</v>
      </c>
      <c r="D1278">
        <v>5.6578140000000001</v>
      </c>
      <c r="E1278">
        <v>0.51836059999999995</v>
      </c>
      <c r="F1278" t="s">
        <v>54</v>
      </c>
      <c r="G1278">
        <v>-192.81200000000001</v>
      </c>
      <c r="H1278" s="1">
        <v>5.755236E-8</v>
      </c>
      <c r="I1278">
        <v>299.28960000000001</v>
      </c>
      <c r="J1278">
        <v>-191.42580000000001</v>
      </c>
      <c r="K1278">
        <v>1.1192599999999999</v>
      </c>
      <c r="L1278">
        <v>326.072</v>
      </c>
      <c r="M1278">
        <v>2.8717469999999998E-2</v>
      </c>
      <c r="N1278">
        <v>-7.6786049999999998E-3</v>
      </c>
      <c r="O1278">
        <v>-0.99955819999999995</v>
      </c>
      <c r="P1278">
        <v>-6.1689469999999897E-3</v>
      </c>
      <c r="Q1278">
        <v>-0.105924</v>
      </c>
      <c r="R1278">
        <v>-0.99435519999999999</v>
      </c>
      <c r="S1278">
        <v>-0.15240479999999901</v>
      </c>
      <c r="T1278">
        <v>-0.12389699999999999</v>
      </c>
      <c r="U1278">
        <v>-3.0027469999999998</v>
      </c>
      <c r="V1278">
        <v>3.4533540000000001E-2</v>
      </c>
      <c r="W1278">
        <v>-9.8356739999999998E-2</v>
      </c>
      <c r="X1278">
        <v>0.99455179999999999</v>
      </c>
      <c r="Y1278">
        <v>7.930711E-2</v>
      </c>
      <c r="Z1278">
        <v>3.3430399999999999E-2</v>
      </c>
      <c r="AA1278">
        <v>0.99628950000000005</v>
      </c>
      <c r="AB1278">
        <v>34</v>
      </c>
      <c r="AC1278">
        <v>-1.3862000000000001</v>
      </c>
      <c r="AD1278">
        <v>-1.1192599424476399</v>
      </c>
      <c r="AE1278">
        <v>-26.782399999999999</v>
      </c>
      <c r="AF1278">
        <v>2.1510269188204498</v>
      </c>
      <c r="AG1278">
        <v>-1.1192599424476399</v>
      </c>
      <c r="AH1278">
        <v>26.685063775668599</v>
      </c>
      <c r="AI1278">
        <v>92.394010928112493</v>
      </c>
      <c r="AJ1278">
        <v>85.391471878811402</v>
      </c>
      <c r="AK1278">
        <v>26.7950049138969</v>
      </c>
      <c r="AL1278">
        <v>95.6445523967854</v>
      </c>
      <c r="AM1278">
        <v>88.011333868874104</v>
      </c>
      <c r="AN1278">
        <v>0.99999994828579797</v>
      </c>
    </row>
    <row r="1279" spans="1:40" x14ac:dyDescent="0.25">
      <c r="A1279" t="str">
        <f>"20190303154445376"</f>
        <v>20190303154445376</v>
      </c>
      <c r="B1279" t="str">
        <f>"1551599085371905"</f>
        <v>1551599085371905</v>
      </c>
      <c r="C1279" t="s">
        <v>40</v>
      </c>
      <c r="D1279">
        <v>5.622128</v>
      </c>
      <c r="E1279">
        <v>0.51851619999999998</v>
      </c>
      <c r="F1279" t="s">
        <v>41</v>
      </c>
      <c r="G1279">
        <v>-192.78800000000001</v>
      </c>
      <c r="H1279" s="1">
        <v>-1.2550160000000001E-6</v>
      </c>
      <c r="I1279">
        <v>300.78539999999998</v>
      </c>
      <c r="J1279">
        <v>-191.41650000000001</v>
      </c>
      <c r="K1279">
        <v>1.1192169999999999</v>
      </c>
      <c r="L1279">
        <v>325.70299999999997</v>
      </c>
      <c r="M1279">
        <v>2.7349180000000001E-2</v>
      </c>
      <c r="N1279">
        <v>-8.2948789999999998E-3</v>
      </c>
      <c r="O1279">
        <v>-0.99959160000000002</v>
      </c>
      <c r="P1279">
        <v>-8.6093149999999993E-3</v>
      </c>
      <c r="Q1279">
        <v>-0.1073356</v>
      </c>
      <c r="R1279">
        <v>-0.9941856</v>
      </c>
      <c r="S1279">
        <v>-0.16171259999999901</v>
      </c>
      <c r="T1279">
        <v>-0.13287160000000001</v>
      </c>
      <c r="U1279">
        <v>-3.001862</v>
      </c>
      <c r="V1279">
        <v>3.5571739999999998E-2</v>
      </c>
      <c r="W1279">
        <v>-9.9171430000000005E-2</v>
      </c>
      <c r="X1279">
        <v>0.99443440000000005</v>
      </c>
      <c r="Y1279">
        <v>8.1031019999999995E-2</v>
      </c>
      <c r="Z1279">
        <v>3.5795960000000002E-2</v>
      </c>
      <c r="AA1279">
        <v>0.99606859999999997</v>
      </c>
      <c r="AB1279">
        <v>34</v>
      </c>
      <c r="AC1279">
        <v>-1.37149999999996</v>
      </c>
      <c r="AD1279">
        <v>-1.1192182550159999</v>
      </c>
      <c r="AE1279">
        <v>-24.9176</v>
      </c>
      <c r="AF1279">
        <v>2.0483661346499802</v>
      </c>
      <c r="AG1279">
        <v>-1.1192182550159999</v>
      </c>
      <c r="AH1279">
        <v>24.820842809758499</v>
      </c>
      <c r="AI1279">
        <v>92.573089628834097</v>
      </c>
      <c r="AJ1279">
        <v>85.282296258195402</v>
      </c>
      <c r="AK1279">
        <v>24.930356818759801</v>
      </c>
      <c r="AL1279">
        <v>95.691459463857996</v>
      </c>
      <c r="AM1279">
        <v>87.951356118391104</v>
      </c>
      <c r="AN1279">
        <v>1.0000000485591101</v>
      </c>
    </row>
    <row r="1280" spans="1:40" x14ac:dyDescent="0.25">
      <c r="A1280" t="str">
        <f>"20190303154445419"</f>
        <v>20190303154445419</v>
      </c>
      <c r="B1280" t="str">
        <f>"1551599085411921"</f>
        <v>1551599085411921</v>
      </c>
      <c r="C1280" t="s">
        <v>40</v>
      </c>
      <c r="D1280">
        <v>5.7638309999999997</v>
      </c>
      <c r="E1280">
        <v>0.51859900000000003</v>
      </c>
      <c r="F1280" t="s">
        <v>41</v>
      </c>
      <c r="G1280">
        <v>-192.77950000000001</v>
      </c>
      <c r="H1280" s="1">
        <v>-1.670971E-6</v>
      </c>
      <c r="I1280">
        <v>301.76029999999997</v>
      </c>
      <c r="J1280">
        <v>-191.4015</v>
      </c>
      <c r="K1280">
        <v>1.119227</v>
      </c>
      <c r="L1280">
        <v>325.05009999999999</v>
      </c>
      <c r="M1280">
        <v>2.470609E-2</v>
      </c>
      <c r="N1280">
        <v>-9.5004579999999998E-3</v>
      </c>
      <c r="O1280">
        <v>-0.99964980000000003</v>
      </c>
      <c r="P1280">
        <v>-1.405764E-2</v>
      </c>
      <c r="Q1280">
        <v>-0.108639</v>
      </c>
      <c r="R1280">
        <v>-0.99398209999999998</v>
      </c>
      <c r="S1280">
        <v>-0.1708374</v>
      </c>
      <c r="T1280">
        <v>-0.140281399999999</v>
      </c>
      <c r="U1280">
        <v>-3.0009459999999999</v>
      </c>
      <c r="V1280">
        <v>3.833951E-2</v>
      </c>
      <c r="W1280">
        <v>-9.9302570000000007E-2</v>
      </c>
      <c r="X1280">
        <v>0.99431840000000005</v>
      </c>
      <c r="Y1280">
        <v>8.1424919999999998E-2</v>
      </c>
      <c r="Z1280">
        <v>3.7059349999999998E-2</v>
      </c>
      <c r="AA1280">
        <v>0.9959903</v>
      </c>
      <c r="AB1280">
        <v>34</v>
      </c>
      <c r="AC1280">
        <v>-1.3780000000000101</v>
      </c>
      <c r="AD1280">
        <v>-1.119228670971</v>
      </c>
      <c r="AE1280">
        <v>-23.2898</v>
      </c>
      <c r="AF1280">
        <v>1.94852080799288</v>
      </c>
      <c r="AG1280">
        <v>-1.119228670971</v>
      </c>
      <c r="AH1280">
        <v>23.195262689454601</v>
      </c>
      <c r="AI1280">
        <v>92.752838975291297</v>
      </c>
      <c r="AJ1280">
        <v>85.198135394597699</v>
      </c>
      <c r="AK1280">
        <v>23.303854131664799</v>
      </c>
      <c r="AL1280">
        <v>95.699010785748101</v>
      </c>
      <c r="AM1280">
        <v>87.791849746374496</v>
      </c>
      <c r="AN1280">
        <v>0.99999999950710206</v>
      </c>
    </row>
    <row r="1281" spans="1:40" x14ac:dyDescent="0.25">
      <c r="A1281" t="str">
        <f>"20190303154445444"</f>
        <v>20190303154445444</v>
      </c>
      <c r="B1281" t="str">
        <f>"1551599085432418"</f>
        <v>1551599085432418</v>
      </c>
      <c r="C1281" t="s">
        <v>40</v>
      </c>
      <c r="D1281">
        <v>5.6963299999999997</v>
      </c>
      <c r="E1281">
        <v>0.5186558</v>
      </c>
      <c r="F1281" t="s">
        <v>41</v>
      </c>
      <c r="G1281">
        <v>-192.839</v>
      </c>
      <c r="H1281" s="1">
        <v>-1.848907E-6</v>
      </c>
      <c r="I1281">
        <v>302.13810000000001</v>
      </c>
      <c r="J1281">
        <v>-191.39400000000001</v>
      </c>
      <c r="K1281">
        <v>1.119235</v>
      </c>
      <c r="L1281">
        <v>324.68490000000003</v>
      </c>
      <c r="M1281">
        <v>2.3151339999999999E-2</v>
      </c>
      <c r="N1281">
        <v>-1.0129320000000001E-2</v>
      </c>
      <c r="O1281">
        <v>-0.99968089999999998</v>
      </c>
      <c r="P1281">
        <v>-1.6875999999999999E-2</v>
      </c>
      <c r="Q1281">
        <v>-0.10975310000000001</v>
      </c>
      <c r="R1281">
        <v>-0.99381600000000003</v>
      </c>
      <c r="S1281">
        <v>-0.18818660000000001</v>
      </c>
      <c r="T1281">
        <v>-0.14652029999999999</v>
      </c>
      <c r="U1281">
        <v>-2.9994510000000001</v>
      </c>
      <c r="V1281">
        <v>3.958892E-2</v>
      </c>
      <c r="W1281">
        <v>-9.9803729999999993E-2</v>
      </c>
      <c r="X1281">
        <v>0.99421919999999997</v>
      </c>
      <c r="Y1281">
        <v>8.5635539999999996E-2</v>
      </c>
      <c r="Z1281">
        <v>3.8506810000000002E-2</v>
      </c>
      <c r="AA1281">
        <v>0.99558210000000003</v>
      </c>
      <c r="AB1281">
        <v>34</v>
      </c>
      <c r="AC1281">
        <v>-1.44500000000002</v>
      </c>
      <c r="AD1281">
        <v>-1.1192368489069999</v>
      </c>
      <c r="AE1281">
        <v>-22.546800000000001</v>
      </c>
      <c r="AF1281">
        <v>1.9618134396989899</v>
      </c>
      <c r="AG1281">
        <v>-1.1192368489069999</v>
      </c>
      <c r="AH1281">
        <v>22.452200641791801</v>
      </c>
      <c r="AI1281">
        <v>92.843004227655399</v>
      </c>
      <c r="AJ1281">
        <v>85.006330306516205</v>
      </c>
      <c r="AK1281">
        <v>22.565520529236899</v>
      </c>
      <c r="AL1281">
        <v>95.727868825268501</v>
      </c>
      <c r="AM1281">
        <v>87.719737921525507</v>
      </c>
      <c r="AN1281">
        <v>0.99999994237865797</v>
      </c>
    </row>
    <row r="1282" spans="1:40" x14ac:dyDescent="0.25">
      <c r="A1282" t="str">
        <f>"20190303154445463"</f>
        <v>20190303154445463</v>
      </c>
      <c r="B1282" t="str">
        <f>"1551599085451937"</f>
        <v>1551599085451937</v>
      </c>
      <c r="C1282" t="s">
        <v>40</v>
      </c>
      <c r="D1282">
        <v>5.6227710000000002</v>
      </c>
      <c r="E1282">
        <v>0.51868499999999995</v>
      </c>
      <c r="F1282" t="s">
        <v>41</v>
      </c>
      <c r="G1282">
        <v>-192.86</v>
      </c>
      <c r="H1282" s="1">
        <v>-1.9742600000000001E-6</v>
      </c>
      <c r="I1282">
        <v>302.41730000000001</v>
      </c>
      <c r="J1282">
        <v>-191.38829999999999</v>
      </c>
      <c r="K1282">
        <v>1.119243</v>
      </c>
      <c r="L1282">
        <v>324.38310000000001</v>
      </c>
      <c r="M1282">
        <v>2.1849219999999999E-2</v>
      </c>
      <c r="N1282">
        <v>-1.0607409999999999E-2</v>
      </c>
      <c r="O1282">
        <v>-0.99970499999999995</v>
      </c>
      <c r="P1282">
        <v>-1.9484109999999999E-2</v>
      </c>
      <c r="Q1282">
        <v>-0.1099898</v>
      </c>
      <c r="R1282">
        <v>-0.99374200000000001</v>
      </c>
      <c r="S1282">
        <v>-0.19741819999999999</v>
      </c>
      <c r="T1282">
        <v>-0.1507231</v>
      </c>
      <c r="U1282">
        <v>-2.998688</v>
      </c>
      <c r="V1282">
        <v>4.0890870000000003E-2</v>
      </c>
      <c r="W1282">
        <v>-9.9574280000000001E-2</v>
      </c>
      <c r="X1282">
        <v>0.99418960000000001</v>
      </c>
      <c r="Y1282">
        <v>8.7400939999999996E-2</v>
      </c>
      <c r="Z1282">
        <v>3.9427110000000001E-2</v>
      </c>
      <c r="AA1282">
        <v>0.99539270000000002</v>
      </c>
      <c r="AB1282">
        <v>34</v>
      </c>
      <c r="AC1282">
        <v>-1.47170000000002</v>
      </c>
      <c r="AD1282">
        <v>-1.1192449742599999</v>
      </c>
      <c r="AE1282">
        <v>-21.965800000000002</v>
      </c>
      <c r="AF1282">
        <v>1.9462806708238301</v>
      </c>
      <c r="AG1282">
        <v>-1.1192449742599999</v>
      </c>
      <c r="AH1282">
        <v>21.871866032463</v>
      </c>
      <c r="AI1282">
        <v>92.917921243410703</v>
      </c>
      <c r="AJ1282">
        <v>84.914895659678606</v>
      </c>
      <c r="AK1282">
        <v>21.986796981462199</v>
      </c>
      <c r="AL1282">
        <v>95.714655986600107</v>
      </c>
      <c r="AM1282">
        <v>87.6447606253857</v>
      </c>
      <c r="AN1282">
        <v>1.0000000306175101</v>
      </c>
    </row>
    <row r="1283" spans="1:40" x14ac:dyDescent="0.25">
      <c r="A1283" t="str">
        <f>"20190303154445486"</f>
        <v>20190303154445486</v>
      </c>
      <c r="B1283" t="str">
        <f>"1551599085482193"</f>
        <v>1551599085482193</v>
      </c>
      <c r="C1283" t="s">
        <v>40</v>
      </c>
      <c r="D1283">
        <v>5.6353619999999998</v>
      </c>
      <c r="E1283">
        <v>0.51874399999999998</v>
      </c>
      <c r="F1283" t="s">
        <v>41</v>
      </c>
      <c r="G1283">
        <v>-192.8974</v>
      </c>
      <c r="H1283" s="1">
        <v>-1.9622660000000002E-6</v>
      </c>
      <c r="I1283">
        <v>302.36619999999999</v>
      </c>
      <c r="J1283">
        <v>-191.38210000000001</v>
      </c>
      <c r="K1283">
        <v>1.1192580000000001</v>
      </c>
      <c r="L1283">
        <v>324.0301</v>
      </c>
      <c r="M1283">
        <v>2.0317430000000001E-2</v>
      </c>
      <c r="N1283">
        <v>-1.111502E-2</v>
      </c>
      <c r="O1283">
        <v>-0.99973199999999995</v>
      </c>
      <c r="P1283">
        <v>-2.1782349999999999E-2</v>
      </c>
      <c r="Q1283">
        <v>-0.1106143</v>
      </c>
      <c r="R1283">
        <v>-0.99362499999999998</v>
      </c>
      <c r="S1283">
        <v>-0.20549010000000001</v>
      </c>
      <c r="T1283">
        <v>-0.15240479999999901</v>
      </c>
      <c r="U1283">
        <v>-2.997986</v>
      </c>
      <c r="V1283">
        <v>4.1655520000000001E-2</v>
      </c>
      <c r="W1283">
        <v>-9.9701139999999994E-2</v>
      </c>
      <c r="X1283">
        <v>0.9941451</v>
      </c>
      <c r="Y1283">
        <v>8.8555499999999995E-2</v>
      </c>
      <c r="Z1283">
        <v>3.9483940000000002E-2</v>
      </c>
      <c r="AA1283">
        <v>0.99528839999999996</v>
      </c>
      <c r="AB1283">
        <v>34</v>
      </c>
      <c r="AC1283">
        <v>-1.5152999999999901</v>
      </c>
      <c r="AD1283">
        <v>-1.119259962266</v>
      </c>
      <c r="AE1283">
        <v>-21.663900000000002</v>
      </c>
      <c r="AF1283">
        <v>1.9499893843762599</v>
      </c>
      <c r="AG1283">
        <v>-1.119259962266</v>
      </c>
      <c r="AH1283">
        <v>21.571339794588201</v>
      </c>
      <c r="AI1283">
        <v>92.958169861324805</v>
      </c>
      <c r="AJ1283">
        <v>84.834659461405593</v>
      </c>
      <c r="AK1283">
        <v>21.688197297053001</v>
      </c>
      <c r="AL1283">
        <v>95.721961114281797</v>
      </c>
      <c r="AM1283">
        <v>87.600661909136903</v>
      </c>
      <c r="AN1283">
        <v>0.99999998975889004</v>
      </c>
    </row>
    <row r="1284" spans="1:40" x14ac:dyDescent="0.25">
      <c r="A1284" t="str">
        <f>"20190303154445507"</f>
        <v>20190303154445507</v>
      </c>
      <c r="B1284" t="str">
        <f>"1551599085501714"</f>
        <v>1551599085501714</v>
      </c>
      <c r="C1284" t="s">
        <v>40</v>
      </c>
      <c r="D1284">
        <v>5.6434499999999996</v>
      </c>
      <c r="E1284">
        <v>0.51876909999999998</v>
      </c>
      <c r="F1284" t="s">
        <v>41</v>
      </c>
      <c r="G1284">
        <v>-192.90520000000001</v>
      </c>
      <c r="H1284" s="1">
        <v>-2.043399E-6</v>
      </c>
      <c r="I1284">
        <v>302.55040000000002</v>
      </c>
      <c r="J1284">
        <v>-191.37710000000001</v>
      </c>
      <c r="K1284">
        <v>1.1192709999999999</v>
      </c>
      <c r="L1284">
        <v>323.71409999999997</v>
      </c>
      <c r="M1284">
        <v>1.894268E-2</v>
      </c>
      <c r="N1284">
        <v>-1.1525260000000001E-2</v>
      </c>
      <c r="O1284">
        <v>-0.99975440000000004</v>
      </c>
      <c r="P1284">
        <v>-2.3627829999999999E-2</v>
      </c>
      <c r="Q1284">
        <v>-0.1103642</v>
      </c>
      <c r="R1284">
        <v>-0.99361069999999996</v>
      </c>
      <c r="S1284">
        <v>-0.2125244</v>
      </c>
      <c r="T1284">
        <v>-0.1561775</v>
      </c>
      <c r="U1284">
        <v>-2.9971920000000001</v>
      </c>
      <c r="V1284">
        <v>4.2132099999999999E-2</v>
      </c>
      <c r="W1284">
        <v>-9.9046800000000004E-2</v>
      </c>
      <c r="X1284">
        <v>0.99419049999999998</v>
      </c>
      <c r="Y1284">
        <v>8.9523690000000003E-2</v>
      </c>
      <c r="Z1284">
        <v>4.0333090000000002E-2</v>
      </c>
      <c r="AA1284">
        <v>0.99516769999999999</v>
      </c>
      <c r="AB1284">
        <v>34</v>
      </c>
      <c r="AC1284">
        <v>-1.52809999999999</v>
      </c>
      <c r="AD1284">
        <v>-1.1192730433989999</v>
      </c>
      <c r="AE1284">
        <v>-21.163699999999899</v>
      </c>
      <c r="AF1284">
        <v>1.9233977022758899</v>
      </c>
      <c r="AG1284">
        <v>-1.1192730433989999</v>
      </c>
      <c r="AH1284">
        <v>21.0723207794376</v>
      </c>
      <c r="AI1284">
        <v>93.027890201088397</v>
      </c>
      <c r="AJ1284">
        <v>84.7847202695433</v>
      </c>
      <c r="AK1284">
        <v>21.189500558019699</v>
      </c>
      <c r="AL1284">
        <v>95.684283258620198</v>
      </c>
      <c r="AM1284">
        <v>87.573354447355101</v>
      </c>
      <c r="AN1284">
        <v>1.00000006636544</v>
      </c>
    </row>
    <row r="1285" spans="1:40" x14ac:dyDescent="0.25">
      <c r="A1285" t="str">
        <f>"20190303154445530"</f>
        <v>20190303154445530</v>
      </c>
      <c r="B1285" t="str">
        <f>"1551599085522210"</f>
        <v>1551599085522210</v>
      </c>
      <c r="C1285" t="s">
        <v>40</v>
      </c>
      <c r="D1285">
        <v>5.6696960000000001</v>
      </c>
      <c r="E1285">
        <v>0.51878389999999996</v>
      </c>
      <c r="F1285" t="s">
        <v>41</v>
      </c>
      <c r="G1285">
        <v>-192.9359</v>
      </c>
      <c r="H1285" s="1">
        <v>-1.954634E-6</v>
      </c>
      <c r="I1285">
        <v>302.3245</v>
      </c>
      <c r="J1285">
        <v>-191.3723</v>
      </c>
      <c r="K1285">
        <v>1.1192799999999901</v>
      </c>
      <c r="L1285">
        <v>323.38029999999998</v>
      </c>
      <c r="M1285">
        <v>1.7488960000000001E-2</v>
      </c>
      <c r="N1285">
        <v>-1.1912549999999999E-2</v>
      </c>
      <c r="O1285">
        <v>-0.99977640000000001</v>
      </c>
      <c r="P1285">
        <v>-2.6129759999999998E-2</v>
      </c>
      <c r="Q1285">
        <v>-0.111288</v>
      </c>
      <c r="R1285">
        <v>-0.99344480000000002</v>
      </c>
      <c r="S1285">
        <v>-0.21838379999999999</v>
      </c>
      <c r="T1285">
        <v>-0.1568099</v>
      </c>
      <c r="U1285">
        <v>-2.9966740000000001</v>
      </c>
      <c r="V1285">
        <v>4.3182180000000001E-2</v>
      </c>
      <c r="W1285">
        <v>-9.9591929999999995E-2</v>
      </c>
      <c r="X1285">
        <v>0.9940909</v>
      </c>
      <c r="Y1285">
        <v>9.0022430000000001E-2</v>
      </c>
      <c r="Z1285">
        <v>4.0162000000000003E-2</v>
      </c>
      <c r="AA1285">
        <v>0.99512959999999995</v>
      </c>
      <c r="AB1285">
        <v>34</v>
      </c>
      <c r="AC1285">
        <v>-1.5636000000000001</v>
      </c>
      <c r="AD1285">
        <v>-1.1192819546339901</v>
      </c>
      <c r="AE1285">
        <v>-21.055799999999898</v>
      </c>
      <c r="AF1285">
        <v>1.9262177034904799</v>
      </c>
      <c r="AG1285">
        <v>-1.1192819546339901</v>
      </c>
      <c r="AH1285">
        <v>20.966310652183601</v>
      </c>
      <c r="AI1285">
        <v>93.043030936854194</v>
      </c>
      <c r="AJ1285">
        <v>84.750855252008094</v>
      </c>
      <c r="AK1285">
        <v>21.084337530476901</v>
      </c>
      <c r="AL1285">
        <v>95.715672568692597</v>
      </c>
      <c r="AM1285">
        <v>87.512700063181498</v>
      </c>
      <c r="AN1285">
        <v>0.99999998532674295</v>
      </c>
    </row>
    <row r="1286" spans="1:40" x14ac:dyDescent="0.25">
      <c r="A1286" t="str">
        <f>"20190303154445551"</f>
        <v>20190303154445551</v>
      </c>
      <c r="B1286" t="str">
        <f>"1551599085541729"</f>
        <v>1551599085541729</v>
      </c>
      <c r="C1286" t="s">
        <v>40</v>
      </c>
      <c r="D1286">
        <v>5.7524800000000003</v>
      </c>
      <c r="E1286">
        <v>0.5188007</v>
      </c>
      <c r="F1286" t="s">
        <v>41</v>
      </c>
      <c r="G1286">
        <v>-192.94409999999999</v>
      </c>
      <c r="H1286" s="1">
        <v>-2.053842E-6</v>
      </c>
      <c r="I1286">
        <v>302.55070000000001</v>
      </c>
      <c r="J1286">
        <v>-191.36789999999999</v>
      </c>
      <c r="K1286">
        <v>1.119281</v>
      </c>
      <c r="L1286">
        <v>323.04669999999999</v>
      </c>
      <c r="M1286">
        <v>1.6036849999999998E-2</v>
      </c>
      <c r="N1286">
        <v>-1.225561E-2</v>
      </c>
      <c r="O1286">
        <v>-0.99979660000000004</v>
      </c>
      <c r="P1286">
        <v>-2.8551750000000001E-2</v>
      </c>
      <c r="Q1286">
        <v>-0.1123189</v>
      </c>
      <c r="R1286">
        <v>-0.99326219999999998</v>
      </c>
      <c r="S1286">
        <v>-0.2260742</v>
      </c>
      <c r="T1286">
        <v>-0.16098029999999999</v>
      </c>
      <c r="U1286">
        <v>-2.995819</v>
      </c>
      <c r="V1286">
        <v>4.4155100000000003E-2</v>
      </c>
      <c r="W1286">
        <v>-0.100287399999999</v>
      </c>
      <c r="X1286">
        <v>0.99397829999999998</v>
      </c>
      <c r="Y1286">
        <v>9.1131480000000001E-2</v>
      </c>
      <c r="Z1286">
        <v>4.1210419999999998E-2</v>
      </c>
      <c r="AA1286">
        <v>0.99498580000000003</v>
      </c>
      <c r="AB1286">
        <v>34</v>
      </c>
      <c r="AC1286">
        <v>-1.5762</v>
      </c>
      <c r="AD1286">
        <v>-1.119283053842</v>
      </c>
      <c r="AE1286">
        <v>-20.495999999999899</v>
      </c>
      <c r="AF1286">
        <v>1.89908292425531</v>
      </c>
      <c r="AG1286">
        <v>-1.119283053842</v>
      </c>
      <c r="AH1286">
        <v>20.4075823157714</v>
      </c>
      <c r="AI1286">
        <v>93.125845332334194</v>
      </c>
      <c r="AJ1286">
        <v>84.683497060935494</v>
      </c>
      <c r="AK1286">
        <v>20.526293539818599</v>
      </c>
      <c r="AL1286">
        <v>95.755720203341994</v>
      </c>
      <c r="AM1286">
        <v>87.456444773171498</v>
      </c>
      <c r="AN1286">
        <v>1.00000004816282</v>
      </c>
    </row>
    <row r="1287" spans="1:40" x14ac:dyDescent="0.25">
      <c r="A1287" t="str">
        <f>"20190303154445579"</f>
        <v>20190303154445579</v>
      </c>
      <c r="B1287" t="str">
        <f>"1551599085571985"</f>
        <v>1551599085571985</v>
      </c>
      <c r="C1287" t="s">
        <v>40</v>
      </c>
      <c r="D1287">
        <v>5.6622450000000004</v>
      </c>
      <c r="E1287">
        <v>0.51872320000000005</v>
      </c>
      <c r="F1287" t="s">
        <v>41</v>
      </c>
      <c r="G1287">
        <v>-192.94820000000001</v>
      </c>
      <c r="H1287" s="1">
        <v>-2.1437089999999999E-6</v>
      </c>
      <c r="I1287">
        <v>302.75760000000002</v>
      </c>
      <c r="J1287">
        <v>-191.36330000000001</v>
      </c>
      <c r="K1287">
        <v>1.1192899999999999</v>
      </c>
      <c r="L1287">
        <v>322.64420000000001</v>
      </c>
      <c r="M1287">
        <v>1.428742E-2</v>
      </c>
      <c r="N1287">
        <v>-1.261721E-2</v>
      </c>
      <c r="O1287">
        <v>-0.9998186</v>
      </c>
      <c r="P1287">
        <v>-3.2091149999999999E-2</v>
      </c>
      <c r="Q1287">
        <v>-0.1126286</v>
      </c>
      <c r="R1287">
        <v>-0.99311910000000003</v>
      </c>
      <c r="S1287">
        <v>-0.23327639999999999</v>
      </c>
      <c r="T1287">
        <v>-0.16522239999999999</v>
      </c>
      <c r="U1287">
        <v>-2.9949650000000001</v>
      </c>
      <c r="V1287">
        <v>4.595453E-2</v>
      </c>
      <c r="W1287">
        <v>-0.1002453</v>
      </c>
      <c r="X1287">
        <v>0.99390100000000003</v>
      </c>
      <c r="Y1287">
        <v>9.1783249999999997E-2</v>
      </c>
      <c r="Z1287">
        <v>4.2265959999999998E-2</v>
      </c>
      <c r="AA1287">
        <v>0.99488160000000003</v>
      </c>
      <c r="AB1287">
        <v>34</v>
      </c>
      <c r="AC1287">
        <v>-1.5849</v>
      </c>
      <c r="AD1287">
        <v>-1.119292143709</v>
      </c>
      <c r="AE1287">
        <v>-19.886599999999898</v>
      </c>
      <c r="AF1287">
        <v>1.86302439954141</v>
      </c>
      <c r="AG1287">
        <v>-1.119292143709</v>
      </c>
      <c r="AH1287">
        <v>19.799597457146898</v>
      </c>
      <c r="AI1287">
        <v>93.221348328011999</v>
      </c>
      <c r="AJ1287">
        <v>84.624634467724505</v>
      </c>
      <c r="AK1287">
        <v>19.9185274124698</v>
      </c>
      <c r="AL1287">
        <v>95.753295717026305</v>
      </c>
      <c r="AM1287">
        <v>87.352727554442794</v>
      </c>
      <c r="AN1287">
        <v>1.0000000684003001</v>
      </c>
    </row>
    <row r="1288" spans="1:40" x14ac:dyDescent="0.25">
      <c r="A1288" t="str">
        <f>"20190303154445601"</f>
        <v>20190303154445601</v>
      </c>
      <c r="B1288" t="str">
        <f>"1551599085591505"</f>
        <v>1551599085591505</v>
      </c>
      <c r="C1288" t="s">
        <v>40</v>
      </c>
      <c r="D1288">
        <v>5.695773</v>
      </c>
      <c r="E1288">
        <v>0.51870539999999998</v>
      </c>
      <c r="F1288" t="s">
        <v>41</v>
      </c>
      <c r="G1288">
        <v>-192.98169999999999</v>
      </c>
      <c r="H1288" s="1">
        <v>-2.1271660000000001E-6</v>
      </c>
      <c r="I1288">
        <v>302.69830000000002</v>
      </c>
      <c r="J1288">
        <v>-191.36</v>
      </c>
      <c r="K1288">
        <v>1.1193379999999999</v>
      </c>
      <c r="L1288">
        <v>322.30849999999998</v>
      </c>
      <c r="M1288">
        <v>1.2847229999999999E-2</v>
      </c>
      <c r="N1288">
        <v>-1.301011E-2</v>
      </c>
      <c r="O1288">
        <v>-0.99983290000000002</v>
      </c>
      <c r="P1288">
        <v>-3.541739E-2</v>
      </c>
      <c r="Q1288">
        <v>-0.1139752</v>
      </c>
      <c r="R1288">
        <v>-0.99285219999999996</v>
      </c>
      <c r="S1288">
        <v>-0.24291989999999999</v>
      </c>
      <c r="T1288">
        <v>-0.16800689999999999</v>
      </c>
      <c r="U1288">
        <v>-2.9938959999999999</v>
      </c>
      <c r="V1288">
        <v>4.784484E-2</v>
      </c>
      <c r="W1288">
        <v>-0.1012102</v>
      </c>
      <c r="X1288">
        <v>0.99371390000000004</v>
      </c>
      <c r="Y1288">
        <v>9.355608E-2</v>
      </c>
      <c r="Z1288">
        <v>4.2805889999999999E-2</v>
      </c>
      <c r="AA1288">
        <v>0.99469339999999995</v>
      </c>
      <c r="AB1288">
        <v>34</v>
      </c>
      <c r="AC1288">
        <v>-1.6216999999999699</v>
      </c>
      <c r="AD1288">
        <v>-1.119340127166</v>
      </c>
      <c r="AE1288">
        <v>-19.610199999999899</v>
      </c>
      <c r="AF1288">
        <v>1.8674811433104801</v>
      </c>
      <c r="AG1288">
        <v>-1.119340127166</v>
      </c>
      <c r="AH1288">
        <v>19.524564920576299</v>
      </c>
      <c r="AI1288">
        <v>93.266291789471097</v>
      </c>
      <c r="AJ1288">
        <v>84.536407083964093</v>
      </c>
      <c r="AK1288">
        <v>19.645585852264698</v>
      </c>
      <c r="AL1288">
        <v>95.8088635761696</v>
      </c>
      <c r="AM1288">
        <v>87.243480178740796</v>
      </c>
      <c r="AN1288">
        <v>0.999999974175937</v>
      </c>
    </row>
    <row r="1289" spans="1:40" x14ac:dyDescent="0.25">
      <c r="A1289" t="str">
        <f>"20190303154445620"</f>
        <v>20190303154445620</v>
      </c>
      <c r="B1289" t="str">
        <f>"1551599085612001"</f>
        <v>1551599085612001</v>
      </c>
      <c r="C1289" t="s">
        <v>40</v>
      </c>
      <c r="D1289">
        <v>5.7037170000000001</v>
      </c>
      <c r="E1289">
        <v>0.51870209999999894</v>
      </c>
      <c r="F1289" t="s">
        <v>41</v>
      </c>
      <c r="G1289">
        <v>-192.9924</v>
      </c>
      <c r="H1289" s="1">
        <v>-2.2500020000000001E-6</v>
      </c>
      <c r="I1289">
        <v>302.97789999999998</v>
      </c>
      <c r="J1289">
        <v>-191.35749999999999</v>
      </c>
      <c r="K1289">
        <v>1.1194539999999999</v>
      </c>
      <c r="L1289">
        <v>322.0095</v>
      </c>
      <c r="M1289">
        <v>1.1579310000000001E-2</v>
      </c>
      <c r="N1289">
        <v>-1.3609980000000001E-2</v>
      </c>
      <c r="O1289">
        <v>-0.99984059999999997</v>
      </c>
      <c r="P1289">
        <v>-3.7277619999999997E-2</v>
      </c>
      <c r="Q1289">
        <v>-0.1147083</v>
      </c>
      <c r="R1289">
        <v>-0.99269969999999996</v>
      </c>
      <c r="S1289">
        <v>-0.25273129999999999</v>
      </c>
      <c r="T1289">
        <v>-0.17329140000000001</v>
      </c>
      <c r="U1289">
        <v>-2.9926759999999999</v>
      </c>
      <c r="V1289">
        <v>4.844797E-2</v>
      </c>
      <c r="W1289">
        <v>-0.10134890000000001</v>
      </c>
      <c r="X1289">
        <v>0.99367059999999996</v>
      </c>
      <c r="Y1289">
        <v>9.5556360000000007E-2</v>
      </c>
      <c r="Z1289">
        <v>4.396891E-2</v>
      </c>
      <c r="AA1289">
        <v>0.99445249999999996</v>
      </c>
      <c r="AB1289">
        <v>33</v>
      </c>
      <c r="AC1289">
        <v>-1.63490000000001</v>
      </c>
      <c r="AD1289">
        <v>-1.119456250002</v>
      </c>
      <c r="AE1289">
        <v>-19.031600000000001</v>
      </c>
      <c r="AF1289">
        <v>1.8488336007350299</v>
      </c>
      <c r="AG1289">
        <v>-1.119456250002</v>
      </c>
      <c r="AH1289">
        <v>18.9463188981046</v>
      </c>
      <c r="AI1289">
        <v>93.365480369608406</v>
      </c>
      <c r="AJ1289">
        <v>84.426567278501906</v>
      </c>
      <c r="AK1289">
        <v>19.069199452718301</v>
      </c>
      <c r="AL1289">
        <v>95.816851230045003</v>
      </c>
      <c r="AM1289">
        <v>87.208664781542694</v>
      </c>
      <c r="AN1289">
        <v>1.0000000333163399</v>
      </c>
    </row>
    <row r="1290" spans="1:40" x14ac:dyDescent="0.25">
      <c r="A1290" t="str">
        <f>"20190303154445642"</f>
        <v>20190303154445642</v>
      </c>
      <c r="B1290" t="str">
        <f>"1551599085631522"</f>
        <v>1551599085631522</v>
      </c>
      <c r="C1290" t="s">
        <v>40</v>
      </c>
      <c r="D1290">
        <v>5.6365769999999999</v>
      </c>
      <c r="E1290">
        <v>0.51896709999999902</v>
      </c>
      <c r="F1290" t="s">
        <v>41</v>
      </c>
      <c r="G1290">
        <v>-193.00030000000001</v>
      </c>
      <c r="H1290" s="1">
        <v>-2.2475449999999998E-6</v>
      </c>
      <c r="I1290">
        <v>302.96730000000002</v>
      </c>
      <c r="J1290">
        <v>-191.3552</v>
      </c>
      <c r="K1290">
        <v>1.119632</v>
      </c>
      <c r="L1290">
        <v>321.70150000000001</v>
      </c>
      <c r="M1290">
        <v>1.02731E-2</v>
      </c>
      <c r="N1290">
        <v>-1.444166E-2</v>
      </c>
      <c r="O1290">
        <v>-0.99984280000000003</v>
      </c>
      <c r="P1290">
        <v>-3.803173E-2</v>
      </c>
      <c r="Q1290">
        <v>-0.11509510000000001</v>
      </c>
      <c r="R1290">
        <v>-0.99262609999999996</v>
      </c>
      <c r="S1290">
        <v>-0.2581329</v>
      </c>
      <c r="T1290">
        <v>-0.17589449999999901</v>
      </c>
      <c r="U1290">
        <v>-2.9920040000000001</v>
      </c>
      <c r="V1290">
        <v>4.7911160000000001E-2</v>
      </c>
      <c r="W1290">
        <v>-0.1009055</v>
      </c>
      <c r="X1290">
        <v>0.99374169999999995</v>
      </c>
      <c r="Y1290">
        <v>9.6052670000000007E-2</v>
      </c>
      <c r="Z1290">
        <v>4.4009050000000001E-2</v>
      </c>
      <c r="AA1290">
        <v>0.99440289999999998</v>
      </c>
      <c r="AB1290">
        <v>33</v>
      </c>
      <c r="AC1290">
        <v>-1.64510000000001</v>
      </c>
      <c r="AD1290">
        <v>-1.1196342475449901</v>
      </c>
      <c r="AE1290">
        <v>-18.734199999999898</v>
      </c>
      <c r="AF1290">
        <v>1.83100172832078</v>
      </c>
      <c r="AG1290">
        <v>-1.1196342475449901</v>
      </c>
      <c r="AH1290">
        <v>18.6502048670874</v>
      </c>
      <c r="AI1290">
        <v>93.419135324213499</v>
      </c>
      <c r="AJ1290">
        <v>84.392900601699793</v>
      </c>
      <c r="AK1290">
        <v>18.773286599892899</v>
      </c>
      <c r="AL1290">
        <v>95.791315666424197</v>
      </c>
      <c r="AM1290">
        <v>87.239742242633397</v>
      </c>
      <c r="AN1290">
        <v>0.99999998275084201</v>
      </c>
    </row>
    <row r="1291" spans="1:40" x14ac:dyDescent="0.25">
      <c r="A1291" t="str">
        <f>"20190303154445665"</f>
        <v>20190303154445665</v>
      </c>
      <c r="B1291" t="str">
        <f>"1551599085661777"</f>
        <v>1551599085661777</v>
      </c>
      <c r="C1291" t="s">
        <v>40</v>
      </c>
      <c r="D1291">
        <v>5.5160030000000004</v>
      </c>
      <c r="E1291">
        <v>0.54793040000000004</v>
      </c>
      <c r="F1291" t="s">
        <v>41</v>
      </c>
      <c r="G1291">
        <v>-193.00450000000001</v>
      </c>
      <c r="H1291" s="1">
        <v>-2.2135430000000002E-6</v>
      </c>
      <c r="I1291">
        <v>302.8854</v>
      </c>
      <c r="J1291">
        <v>-191.35329999999999</v>
      </c>
      <c r="K1291">
        <v>1.1198349999999999</v>
      </c>
      <c r="L1291">
        <v>321.36360000000002</v>
      </c>
      <c r="M1291">
        <v>8.8509739999999993E-3</v>
      </c>
      <c r="N1291">
        <v>-1.5499499999999999E-2</v>
      </c>
      <c r="O1291">
        <v>-0.99984079999999997</v>
      </c>
      <c r="P1291">
        <v>-3.8062810000000002E-2</v>
      </c>
      <c r="Q1291">
        <v>-0.11485910000000001</v>
      </c>
      <c r="R1291">
        <v>-0.99265230000000004</v>
      </c>
      <c r="S1291">
        <v>-0.26222230000000002</v>
      </c>
      <c r="T1291">
        <v>-0.17800969999999999</v>
      </c>
      <c r="U1291">
        <v>-2.9915470000000002</v>
      </c>
      <c r="V1291">
        <v>4.6537500000000002E-2</v>
      </c>
      <c r="W1291">
        <v>-9.9611340000000007E-2</v>
      </c>
      <c r="X1291">
        <v>0.99393759999999998</v>
      </c>
      <c r="Y1291">
        <v>9.5995559999999994E-2</v>
      </c>
      <c r="Z1291">
        <v>4.3660240000000003E-2</v>
      </c>
      <c r="AA1291">
        <v>0.99442370000000002</v>
      </c>
      <c r="AB1291">
        <v>33</v>
      </c>
      <c r="AC1291">
        <v>-1.65120000000001</v>
      </c>
      <c r="AD1291">
        <v>-1.1198372135429999</v>
      </c>
      <c r="AE1291">
        <v>-18.478200000000001</v>
      </c>
      <c r="AF1291">
        <v>1.8081168655920401</v>
      </c>
      <c r="AG1291">
        <v>-1.1198372135429999</v>
      </c>
      <c r="AH1291">
        <v>18.395831614966699</v>
      </c>
      <c r="AI1291">
        <v>93.466888465164999</v>
      </c>
      <c r="AJ1291">
        <v>84.386457992713702</v>
      </c>
      <c r="AK1291">
        <v>18.518367713993701</v>
      </c>
      <c r="AL1291">
        <v>95.716789835998895</v>
      </c>
      <c r="AM1291">
        <v>87.319292041639102</v>
      </c>
      <c r="AN1291">
        <v>1.0000000553282999</v>
      </c>
    </row>
    <row r="1292" spans="1:40" x14ac:dyDescent="0.25">
      <c r="A1292" t="str">
        <f>"20190303154445686"</f>
        <v>20190303154445686</v>
      </c>
      <c r="B1292" t="str">
        <f>"1551599085681298"</f>
        <v>1551599085681298</v>
      </c>
      <c r="C1292" t="s">
        <v>40</v>
      </c>
      <c r="D1292">
        <v>5.4649369999999999</v>
      </c>
      <c r="E1292">
        <v>0.54833809999999905</v>
      </c>
      <c r="F1292" t="s">
        <v>41</v>
      </c>
      <c r="G1292">
        <v>-193.62219999999999</v>
      </c>
      <c r="H1292" s="1">
        <v>-4.2905370000000002E-6</v>
      </c>
      <c r="I1292">
        <v>307.70670000000001</v>
      </c>
      <c r="J1292">
        <v>-191.35210000000001</v>
      </c>
      <c r="K1292">
        <v>1.1200139999999901</v>
      </c>
      <c r="L1292">
        <v>321.05790000000002</v>
      </c>
      <c r="M1292">
        <v>7.5898369999999899E-3</v>
      </c>
      <c r="N1292">
        <v>-1.6524560000000001E-2</v>
      </c>
      <c r="O1292">
        <v>-0.99983489999999997</v>
      </c>
      <c r="P1292">
        <v>-3.8415980000000002E-2</v>
      </c>
      <c r="Q1292">
        <v>-0.1135592</v>
      </c>
      <c r="R1292">
        <v>-0.99278860000000002</v>
      </c>
      <c r="S1292">
        <v>-0.4942474</v>
      </c>
      <c r="T1292">
        <v>-0.2439462</v>
      </c>
      <c r="U1292">
        <v>-2.9750369999999999</v>
      </c>
      <c r="V1292">
        <v>4.5646440000000003E-2</v>
      </c>
      <c r="W1292">
        <v>-9.7287109999999996E-2</v>
      </c>
      <c r="X1292">
        <v>0.99420909999999996</v>
      </c>
      <c r="Y1292">
        <v>0.17089509999999999</v>
      </c>
      <c r="Z1292">
        <v>6.4079179999999999E-2</v>
      </c>
      <c r="AA1292">
        <v>0.9832033</v>
      </c>
      <c r="AB1292">
        <v>33</v>
      </c>
      <c r="AC1292">
        <v>-2.2700999999999798</v>
      </c>
      <c r="AD1292">
        <v>-1.12001829053699</v>
      </c>
      <c r="AE1292">
        <v>-13.3512</v>
      </c>
      <c r="AF1292">
        <v>2.3552726621273901</v>
      </c>
      <c r="AG1292">
        <v>-1.12001829053699</v>
      </c>
      <c r="AH1292">
        <v>13.243006122638899</v>
      </c>
      <c r="AI1292">
        <v>94.759905248649801</v>
      </c>
      <c r="AJ1292">
        <v>79.915373936552498</v>
      </c>
      <c r="AK1292">
        <v>13.4973686860941</v>
      </c>
      <c r="AL1292">
        <v>95.582971152880205</v>
      </c>
      <c r="AM1292">
        <v>87.371264237837494</v>
      </c>
      <c r="AN1292">
        <v>1.00000005688981</v>
      </c>
    </row>
    <row r="1293" spans="1:40" x14ac:dyDescent="0.25">
      <c r="A1293" t="str">
        <f>"20190303154445707"</f>
        <v>20190303154445707</v>
      </c>
      <c r="B1293" t="str">
        <f>"1551599085701793"</f>
        <v>1551599085701793</v>
      </c>
      <c r="C1293" t="s">
        <v>40</v>
      </c>
      <c r="D1293">
        <v>5.3773749999999998</v>
      </c>
      <c r="E1293">
        <v>0.54832819999999904</v>
      </c>
      <c r="F1293" t="s">
        <v>41</v>
      </c>
      <c r="G1293">
        <v>-193.65889999999999</v>
      </c>
      <c r="H1293" s="1">
        <v>-4.158864E-6</v>
      </c>
      <c r="I1293">
        <v>307.30059999999997</v>
      </c>
      <c r="J1293">
        <v>-191.35120000000001</v>
      </c>
      <c r="K1293">
        <v>1.1201829999999999</v>
      </c>
      <c r="L1293">
        <v>320.74020000000002</v>
      </c>
      <c r="M1293">
        <v>6.3030730000000002E-3</v>
      </c>
      <c r="N1293">
        <v>-1.7605369999999999E-2</v>
      </c>
      <c r="O1293">
        <v>-0.99982510000000002</v>
      </c>
      <c r="P1293">
        <v>-3.974308E-2</v>
      </c>
      <c r="Q1293">
        <v>-0.1136373</v>
      </c>
      <c r="R1293">
        <v>-0.99272689999999997</v>
      </c>
      <c r="S1293">
        <v>-0.49882510000000002</v>
      </c>
      <c r="T1293">
        <v>-0.24218519999999999</v>
      </c>
      <c r="U1293">
        <v>-2.9747919999999999</v>
      </c>
      <c r="V1293">
        <v>4.5697410000000001E-2</v>
      </c>
      <c r="W1293">
        <v>-9.6291509999999997E-2</v>
      </c>
      <c r="X1293">
        <v>0.99430359999999995</v>
      </c>
      <c r="Y1293">
        <v>0.17111989999999999</v>
      </c>
      <c r="Z1293">
        <v>6.2418929999999997E-2</v>
      </c>
      <c r="AA1293">
        <v>0.98327100000000001</v>
      </c>
      <c r="AB1293">
        <v>33</v>
      </c>
      <c r="AC1293">
        <v>-2.3076999999999801</v>
      </c>
      <c r="AD1293">
        <v>-1.120187158864</v>
      </c>
      <c r="AE1293">
        <v>-13.4396</v>
      </c>
      <c r="AF1293">
        <v>2.37634199276807</v>
      </c>
      <c r="AG1293">
        <v>-1.120187158864</v>
      </c>
      <c r="AH1293">
        <v>13.334798999406299</v>
      </c>
      <c r="AI1293">
        <v>94.727709046709904</v>
      </c>
      <c r="AJ1293">
        <v>79.895616782389297</v>
      </c>
      <c r="AK1293">
        <v>13.591125225383101</v>
      </c>
      <c r="AL1293">
        <v>95.525658820120995</v>
      </c>
      <c r="AM1293">
        <v>87.368582813297493</v>
      </c>
      <c r="AN1293">
        <v>0.99999997857587297</v>
      </c>
    </row>
    <row r="1294" spans="1:40" x14ac:dyDescent="0.25">
      <c r="A1294" t="str">
        <f>"20190303154445731"</f>
        <v>20190303154445731</v>
      </c>
      <c r="B1294" t="str">
        <f>"1551599085722290"</f>
        <v>1551599085722290</v>
      </c>
      <c r="C1294" t="s">
        <v>40</v>
      </c>
      <c r="D1294">
        <v>5.343947</v>
      </c>
      <c r="E1294">
        <v>0.54869969999999901</v>
      </c>
      <c r="F1294" t="s">
        <v>41</v>
      </c>
      <c r="G1294">
        <v>-193.6696</v>
      </c>
      <c r="H1294" s="1">
        <v>-4.067431E-6</v>
      </c>
      <c r="I1294">
        <v>307.02640000000002</v>
      </c>
      <c r="J1294">
        <v>-191.35069999999999</v>
      </c>
      <c r="K1294">
        <v>1.1203540000000001</v>
      </c>
      <c r="L1294">
        <v>320.4085</v>
      </c>
      <c r="M1294">
        <v>4.963917E-3</v>
      </c>
      <c r="N1294">
        <v>-1.8731769999999998E-2</v>
      </c>
      <c r="O1294">
        <v>-0.99981240000000005</v>
      </c>
      <c r="P1294">
        <v>-4.1570540000000003E-2</v>
      </c>
      <c r="Q1294">
        <v>-0.1140618</v>
      </c>
      <c r="R1294">
        <v>-0.99260369999999998</v>
      </c>
      <c r="S1294">
        <v>-0.50277709999999998</v>
      </c>
      <c r="T1294">
        <v>-0.2429279</v>
      </c>
      <c r="U1294">
        <v>-2.97403</v>
      </c>
      <c r="V1294">
        <v>4.6198219999999998E-2</v>
      </c>
      <c r="W1294">
        <v>-9.5598150000000007E-2</v>
      </c>
      <c r="X1294">
        <v>0.99434739999999999</v>
      </c>
      <c r="Y1294">
        <v>0.1711096</v>
      </c>
      <c r="Z1294">
        <v>6.1552460000000003E-2</v>
      </c>
      <c r="AA1294">
        <v>0.98332739999999996</v>
      </c>
      <c r="AB1294">
        <v>32</v>
      </c>
      <c r="AC1294">
        <v>-2.31890000000001</v>
      </c>
      <c r="AD1294">
        <v>-1.1203580674310001</v>
      </c>
      <c r="AE1294">
        <v>-13.3820999999999</v>
      </c>
      <c r="AF1294">
        <v>2.3691888036531599</v>
      </c>
      <c r="AG1294">
        <v>-1.1203580674310001</v>
      </c>
      <c r="AH1294">
        <v>13.2800538917382</v>
      </c>
      <c r="AI1294">
        <v>94.747670357338606</v>
      </c>
      <c r="AJ1294">
        <v>79.884733545430606</v>
      </c>
      <c r="AK1294">
        <v>13.5361770509286</v>
      </c>
      <c r="AL1294">
        <v>95.485747884130703</v>
      </c>
      <c r="AM1294">
        <v>87.339902630655899</v>
      </c>
      <c r="AN1294">
        <v>1.00000001685067</v>
      </c>
    </row>
    <row r="1295" spans="1:40" x14ac:dyDescent="0.25">
      <c r="A1295" t="str">
        <f>"20190303154445752"</f>
        <v>20190303154445752</v>
      </c>
      <c r="B1295" t="str">
        <f>"1551599085741820"</f>
        <v>1551599085741820</v>
      </c>
      <c r="C1295" t="s">
        <v>40</v>
      </c>
      <c r="D1295">
        <v>5.2704120000000003</v>
      </c>
      <c r="E1295">
        <v>0.54882200000000003</v>
      </c>
      <c r="F1295" t="s">
        <v>41</v>
      </c>
      <c r="G1295">
        <v>-193.702</v>
      </c>
      <c r="H1295" s="1">
        <v>-3.9739430000000003E-6</v>
      </c>
      <c r="I1295">
        <v>306.73480000000001</v>
      </c>
      <c r="J1295">
        <v>-191.35079999999999</v>
      </c>
      <c r="K1295">
        <v>1.120511</v>
      </c>
      <c r="L1295">
        <v>320.1071</v>
      </c>
      <c r="M1295">
        <v>3.729759E-3</v>
      </c>
      <c r="N1295">
        <v>-1.973656E-2</v>
      </c>
      <c r="O1295">
        <v>-0.99979839999999998</v>
      </c>
      <c r="P1295">
        <v>-4.294154E-2</v>
      </c>
      <c r="Q1295">
        <v>-0.11452130000000001</v>
      </c>
      <c r="R1295">
        <v>-0.99249259999999995</v>
      </c>
      <c r="S1295">
        <v>-0.51121519999999998</v>
      </c>
      <c r="T1295">
        <v>-0.24359210000000001</v>
      </c>
      <c r="U1295">
        <v>-2.9729920000000001</v>
      </c>
      <c r="V1295">
        <v>4.6349929999999998E-2</v>
      </c>
      <c r="W1295">
        <v>-9.5057660000000002E-2</v>
      </c>
      <c r="X1295">
        <v>0.99439219999999895</v>
      </c>
      <c r="Y1295">
        <v>0.1726579</v>
      </c>
      <c r="Z1295">
        <v>6.0767519999999998E-2</v>
      </c>
      <c r="AA1295">
        <v>0.98310549999999997</v>
      </c>
      <c r="AB1295">
        <v>32</v>
      </c>
      <c r="AC1295">
        <v>-2.3512</v>
      </c>
      <c r="AD1295">
        <v>-1.120514973943</v>
      </c>
      <c r="AE1295">
        <v>-13.3722999999999</v>
      </c>
      <c r="AF1295">
        <v>2.3848261498946099</v>
      </c>
      <c r="AG1295">
        <v>-1.120514973943</v>
      </c>
      <c r="AH1295">
        <v>13.273035389751</v>
      </c>
      <c r="AI1295">
        <v>94.749787755778001</v>
      </c>
      <c r="AJ1295">
        <v>79.814091150974903</v>
      </c>
      <c r="AK1295">
        <v>13.5320515085346</v>
      </c>
      <c r="AL1295">
        <v>95.454638171572697</v>
      </c>
      <c r="AM1295">
        <v>87.331299829043701</v>
      </c>
      <c r="AN1295">
        <v>1.00000006107825</v>
      </c>
    </row>
    <row r="1296" spans="1:40" x14ac:dyDescent="0.25">
      <c r="A1296" t="str">
        <f>"20190303154445777"</f>
        <v>20190303154445777</v>
      </c>
      <c r="B1296" t="str">
        <f>"1551599085772066"</f>
        <v>1551599085772066</v>
      </c>
      <c r="C1296" t="s">
        <v>40</v>
      </c>
      <c r="D1296">
        <v>5.2348489999999996</v>
      </c>
      <c r="E1296">
        <v>0.54896350000000005</v>
      </c>
      <c r="F1296" t="s">
        <v>41</v>
      </c>
      <c r="G1296">
        <v>-193.7157</v>
      </c>
      <c r="H1296" s="1">
        <v>-3.8949529999999997E-6</v>
      </c>
      <c r="I1296">
        <v>306.49549999999999</v>
      </c>
      <c r="J1296">
        <v>-191.35130000000001</v>
      </c>
      <c r="K1296">
        <v>1.120679</v>
      </c>
      <c r="L1296">
        <v>319.7509</v>
      </c>
      <c r="M1296">
        <v>2.2509280000000001E-3</v>
      </c>
      <c r="N1296">
        <v>-2.0861319999999999E-2</v>
      </c>
      <c r="O1296">
        <v>-0.9997798</v>
      </c>
      <c r="P1296">
        <v>-4.4597240000000003E-2</v>
      </c>
      <c r="Q1296">
        <v>-0.1144109</v>
      </c>
      <c r="R1296">
        <v>-0.99243219999999999</v>
      </c>
      <c r="S1296">
        <v>-0.51637270000000002</v>
      </c>
      <c r="T1296">
        <v>-0.24466360000000001</v>
      </c>
      <c r="U1296">
        <v>-2.9720759999999999</v>
      </c>
      <c r="V1296">
        <v>4.6548399999999997E-2</v>
      </c>
      <c r="W1296">
        <v>-9.3825699999999998E-2</v>
      </c>
      <c r="X1296">
        <v>0.99449989999999999</v>
      </c>
      <c r="Y1296">
        <v>0.17290349999999999</v>
      </c>
      <c r="Z1296">
        <v>6.0010359999999999E-2</v>
      </c>
      <c r="AA1296">
        <v>0.98310889999999995</v>
      </c>
      <c r="AB1296">
        <v>32</v>
      </c>
      <c r="AC1296">
        <v>-2.3643999999999799</v>
      </c>
      <c r="AD1296">
        <v>-1.1206828949530001</v>
      </c>
      <c r="AE1296">
        <v>-13.2554</v>
      </c>
      <c r="AF1296">
        <v>2.3777654580797098</v>
      </c>
      <c r="AG1296">
        <v>-1.1206828949530001</v>
      </c>
      <c r="AH1296">
        <v>13.1588848324702</v>
      </c>
      <c r="AI1296">
        <v>94.790664201944296</v>
      </c>
      <c r="AJ1296">
        <v>79.757372538826999</v>
      </c>
      <c r="AK1296">
        <v>13.4188654050516</v>
      </c>
      <c r="AL1296">
        <v>95.383735304279199</v>
      </c>
      <c r="AM1296">
        <v>87.320178925606697</v>
      </c>
      <c r="AN1296">
        <v>1.00000003331152</v>
      </c>
    </row>
    <row r="1297" spans="1:40" x14ac:dyDescent="0.25">
      <c r="A1297" t="str">
        <f>"20190303154445800"</f>
        <v>20190303154445800</v>
      </c>
      <c r="B1297" t="str">
        <f>"1551599085791585"</f>
        <v>1551599085791585</v>
      </c>
      <c r="C1297" t="s">
        <v>40</v>
      </c>
      <c r="D1297">
        <v>5.2300170000000001</v>
      </c>
      <c r="E1297">
        <v>0.54892859999999999</v>
      </c>
      <c r="F1297" t="s">
        <v>41</v>
      </c>
      <c r="G1297">
        <v>-193.7243</v>
      </c>
      <c r="H1297" s="1">
        <v>-3.8142869999999999E-6</v>
      </c>
      <c r="I1297">
        <v>306.25389999999999</v>
      </c>
      <c r="J1297">
        <v>-191.35230000000001</v>
      </c>
      <c r="K1297">
        <v>1.120797</v>
      </c>
      <c r="L1297">
        <v>319.43950000000001</v>
      </c>
      <c r="M1297">
        <v>9.5222510000000005E-4</v>
      </c>
      <c r="N1297">
        <v>-2.1761260000000001E-2</v>
      </c>
      <c r="O1297">
        <v>-0.99976290000000001</v>
      </c>
      <c r="P1297">
        <v>-4.5248389999999999E-2</v>
      </c>
      <c r="Q1297">
        <v>-0.1129759</v>
      </c>
      <c r="R1297">
        <v>-0.99256690000000003</v>
      </c>
      <c r="S1297">
        <v>-0.52235410000000004</v>
      </c>
      <c r="T1297">
        <v>-0.24668799999999999</v>
      </c>
      <c r="U1297">
        <v>-2.9709780000000001</v>
      </c>
      <c r="V1297">
        <v>4.5923510000000001E-2</v>
      </c>
      <c r="W1297">
        <v>-9.1486750000000006E-2</v>
      </c>
      <c r="X1297">
        <v>0.99474680000000004</v>
      </c>
      <c r="Y1297">
        <v>0.17359669999999999</v>
      </c>
      <c r="Z1297">
        <v>5.9790259999999998E-2</v>
      </c>
      <c r="AA1297">
        <v>0.98300019999999999</v>
      </c>
      <c r="AB1297">
        <v>31</v>
      </c>
      <c r="AC1297">
        <v>-2.3719999999999799</v>
      </c>
      <c r="AD1297">
        <v>-1.1208008142870001</v>
      </c>
      <c r="AE1297">
        <v>-13.185600000000001</v>
      </c>
      <c r="AF1297">
        <v>2.3679844421110601</v>
      </c>
      <c r="AG1297">
        <v>-1.1208008142870001</v>
      </c>
      <c r="AH1297">
        <v>13.091708207026899</v>
      </c>
      <c r="AI1297">
        <v>94.815484105440106</v>
      </c>
      <c r="AJ1297">
        <v>79.747381201703206</v>
      </c>
      <c r="AK1297">
        <v>13.3512684251842</v>
      </c>
      <c r="AL1297">
        <v>95.249144525552694</v>
      </c>
      <c r="AM1297">
        <v>87.356758142372499</v>
      </c>
      <c r="AN1297">
        <v>0.99999999515326099</v>
      </c>
    </row>
    <row r="1298" spans="1:40" x14ac:dyDescent="0.25">
      <c r="A1298" t="str">
        <f>"20190303154445823"</f>
        <v>20190303154445823</v>
      </c>
      <c r="B1298" t="str">
        <f>"1551599085812081"</f>
        <v>1551599085812081</v>
      </c>
      <c r="C1298" t="s">
        <v>40</v>
      </c>
      <c r="D1298">
        <v>5.1959200000000001</v>
      </c>
      <c r="E1298">
        <v>0.54900519999999997</v>
      </c>
      <c r="F1298" t="s">
        <v>41</v>
      </c>
      <c r="G1298">
        <v>-193.7679</v>
      </c>
      <c r="H1298" s="1">
        <v>-3.6431119999999998E-6</v>
      </c>
      <c r="I1298">
        <v>305.74439999999998</v>
      </c>
      <c r="J1298">
        <v>-191.3537</v>
      </c>
      <c r="K1298">
        <v>1.120903</v>
      </c>
      <c r="L1298">
        <v>319.1216</v>
      </c>
      <c r="M1298">
        <v>-3.7847640000000001E-4</v>
      </c>
      <c r="N1298">
        <v>-2.2587820000000002E-2</v>
      </c>
      <c r="O1298">
        <v>-0.99974499999999999</v>
      </c>
      <c r="P1298">
        <v>-4.5732580000000002E-2</v>
      </c>
      <c r="Q1298">
        <v>-0.11151170000000001</v>
      </c>
      <c r="R1298">
        <v>-0.9927106</v>
      </c>
      <c r="S1298">
        <v>-0.52403259999999996</v>
      </c>
      <c r="T1298">
        <v>-0.24314050000000001</v>
      </c>
      <c r="U1298">
        <v>-2.9709469999999998</v>
      </c>
      <c r="V1298">
        <v>4.5099729999999998E-2</v>
      </c>
      <c r="W1298">
        <v>-8.9190160000000004E-2</v>
      </c>
      <c r="X1298">
        <v>0.99499300000000002</v>
      </c>
      <c r="Y1298">
        <v>0.17284089999999999</v>
      </c>
      <c r="Z1298">
        <v>5.7803750000000001E-2</v>
      </c>
      <c r="AA1298">
        <v>0.98325209999999996</v>
      </c>
      <c r="AB1298">
        <v>31</v>
      </c>
      <c r="AC1298">
        <v>-2.4141999999999899</v>
      </c>
      <c r="AD1298">
        <v>-1.1209066431119901</v>
      </c>
      <c r="AE1298">
        <v>-13.3772</v>
      </c>
      <c r="AF1298">
        <v>2.3928648466959301</v>
      </c>
      <c r="AG1298">
        <v>-1.1209066431119901</v>
      </c>
      <c r="AH1298">
        <v>13.2877603651784</v>
      </c>
      <c r="AI1298">
        <v>94.745865028959301</v>
      </c>
      <c r="AJ1298">
        <v>79.791565811848002</v>
      </c>
      <c r="AK1298">
        <v>13.5479448404373</v>
      </c>
      <c r="AL1298">
        <v>95.117019465218704</v>
      </c>
      <c r="AM1298">
        <v>87.404748845825196</v>
      </c>
      <c r="AN1298">
        <v>0.99999997016794795</v>
      </c>
    </row>
    <row r="1299" spans="1:40" x14ac:dyDescent="0.25">
      <c r="A1299" t="str">
        <f>"20190303154445844"</f>
        <v>20190303154445844</v>
      </c>
      <c r="B1299" t="str">
        <f>"1551599085831602"</f>
        <v>1551599085831602</v>
      </c>
      <c r="C1299" t="s">
        <v>40</v>
      </c>
      <c r="D1299">
        <v>5.2026870000000001</v>
      </c>
      <c r="E1299">
        <v>0.54926229999999998</v>
      </c>
      <c r="F1299" t="s">
        <v>41</v>
      </c>
      <c r="G1299">
        <v>-193.82579999999999</v>
      </c>
      <c r="H1299" s="1">
        <v>-3.4043120000000001E-6</v>
      </c>
      <c r="I1299">
        <v>305.15179999999998</v>
      </c>
      <c r="J1299">
        <v>-191.3553</v>
      </c>
      <c r="K1299">
        <v>1.1209750000000001</v>
      </c>
      <c r="L1299">
        <v>318.84449999999998</v>
      </c>
      <c r="M1299">
        <v>-1.54344799999999E-3</v>
      </c>
      <c r="N1299">
        <v>-2.323708E-2</v>
      </c>
      <c r="O1299">
        <v>-0.99972899999999998</v>
      </c>
      <c r="P1299">
        <v>-4.5989099999999998E-2</v>
      </c>
      <c r="Q1299">
        <v>-0.1098788</v>
      </c>
      <c r="R1299">
        <v>-0.9928806</v>
      </c>
      <c r="S1299">
        <v>-0.52577209999999996</v>
      </c>
      <c r="T1299">
        <v>-0.23838980000000001</v>
      </c>
      <c r="U1299">
        <v>-2.9710390000000002</v>
      </c>
      <c r="V1299">
        <v>4.4211599999999997E-2</v>
      </c>
      <c r="W1299">
        <v>-8.6900740000000004E-2</v>
      </c>
      <c r="X1299">
        <v>0.99523539999999999</v>
      </c>
      <c r="Y1299">
        <v>0.172265</v>
      </c>
      <c r="Z1299">
        <v>5.5593139999999999E-2</v>
      </c>
      <c r="AA1299">
        <v>0.98348060000000004</v>
      </c>
      <c r="AB1299">
        <v>31</v>
      </c>
      <c r="AC1299">
        <v>-2.4704999999999799</v>
      </c>
      <c r="AD1299">
        <v>-1.1209784043119999</v>
      </c>
      <c r="AE1299">
        <v>-13.6927</v>
      </c>
      <c r="AF1299">
        <v>2.4335614135852901</v>
      </c>
      <c r="AG1299">
        <v>-1.1209784043119999</v>
      </c>
      <c r="AH1299">
        <v>13.6081687361477</v>
      </c>
      <c r="AI1299">
        <v>94.635912802651603</v>
      </c>
      <c r="AJ1299">
        <v>79.8609203547812</v>
      </c>
      <c r="AK1299">
        <v>13.8694293353437</v>
      </c>
      <c r="AL1299">
        <v>94.985334008714602</v>
      </c>
      <c r="AM1299">
        <v>87.456407061466194</v>
      </c>
      <c r="AN1299">
        <v>0.99999995280013199</v>
      </c>
    </row>
    <row r="1300" spans="1:40" x14ac:dyDescent="0.25">
      <c r="A1300" t="str">
        <f>"20190303154445865"</f>
        <v>20190303154445865</v>
      </c>
      <c r="B1300" t="str">
        <f>"1551599085861858"</f>
        <v>1551599085861858</v>
      </c>
      <c r="C1300" t="s">
        <v>40</v>
      </c>
      <c r="D1300">
        <v>5.200348</v>
      </c>
      <c r="E1300">
        <v>0.54949179999999997</v>
      </c>
      <c r="F1300" t="s">
        <v>41</v>
      </c>
      <c r="G1300">
        <v>-193.8948</v>
      </c>
      <c r="H1300" s="1">
        <v>-3.1718350000000002E-6</v>
      </c>
      <c r="I1300">
        <v>304.56709999999998</v>
      </c>
      <c r="J1300">
        <v>-191.35730000000001</v>
      </c>
      <c r="K1300">
        <v>1.1210420000000001</v>
      </c>
      <c r="L1300">
        <v>318.55399999999997</v>
      </c>
      <c r="M1300">
        <v>-2.7679240000000002E-3</v>
      </c>
      <c r="N1300">
        <v>-2.3846309999999999E-2</v>
      </c>
      <c r="O1300">
        <v>-0.99971189999999999</v>
      </c>
      <c r="P1300">
        <v>-4.6552349999999999E-2</v>
      </c>
      <c r="Q1300">
        <v>-0.1098822</v>
      </c>
      <c r="R1300">
        <v>-0.99285409999999996</v>
      </c>
      <c r="S1300">
        <v>-0.52848819999999996</v>
      </c>
      <c r="T1300">
        <v>-0.23328399999999999</v>
      </c>
      <c r="U1300">
        <v>-2.971222</v>
      </c>
      <c r="V1300">
        <v>4.3566380000000002E-2</v>
      </c>
      <c r="W1300">
        <v>-8.6292049999999995E-2</v>
      </c>
      <c r="X1300">
        <v>0.99531689999999995</v>
      </c>
      <c r="Y1300">
        <v>0.17193900000000001</v>
      </c>
      <c r="Z1300">
        <v>5.329892E-2</v>
      </c>
      <c r="AA1300">
        <v>0.98366469999999995</v>
      </c>
      <c r="AB1300">
        <v>30</v>
      </c>
      <c r="AC1300">
        <v>-2.5374999999999899</v>
      </c>
      <c r="AD1300">
        <v>-1.1210451718350001</v>
      </c>
      <c r="AE1300">
        <v>-13.9869</v>
      </c>
      <c r="AF1300">
        <v>2.4833201481477101</v>
      </c>
      <c r="AG1300">
        <v>-1.1210451718350001</v>
      </c>
      <c r="AH1300">
        <v>13.9073782385668</v>
      </c>
      <c r="AI1300">
        <v>94.537074594011699</v>
      </c>
      <c r="AJ1300">
        <v>79.875888300055095</v>
      </c>
      <c r="AK1300">
        <v>14.1717603248874</v>
      </c>
      <c r="AL1300">
        <v>94.950326704590793</v>
      </c>
      <c r="AM1300">
        <v>87.493685309106695</v>
      </c>
      <c r="AN1300">
        <v>1.0000000393925501</v>
      </c>
    </row>
    <row r="1301" spans="1:40" x14ac:dyDescent="0.25">
      <c r="A1301" t="str">
        <f>"20190303154445887"</f>
        <v>20190303154445887</v>
      </c>
      <c r="B1301" t="str">
        <f>"1551599085881378"</f>
        <v>1551599085881378</v>
      </c>
      <c r="C1301" t="s">
        <v>40</v>
      </c>
      <c r="D1301">
        <v>5.1109119999999999</v>
      </c>
      <c r="E1301">
        <v>0.54954429999999999</v>
      </c>
      <c r="F1301" t="s">
        <v>41</v>
      </c>
      <c r="G1301">
        <v>-193.90790000000001</v>
      </c>
      <c r="H1301" s="1">
        <v>-3.0651550000000001E-6</v>
      </c>
      <c r="I1301">
        <v>304.31029999999998</v>
      </c>
      <c r="J1301">
        <v>-191.3596</v>
      </c>
      <c r="K1301">
        <v>1.121102</v>
      </c>
      <c r="L1301">
        <v>318.2672</v>
      </c>
      <c r="M1301">
        <v>-3.9784080000000001E-3</v>
      </c>
      <c r="N1301">
        <v>-2.4381119999999999E-2</v>
      </c>
      <c r="O1301">
        <v>-0.99969490000000005</v>
      </c>
      <c r="P1301">
        <v>-4.7243859999999999E-2</v>
      </c>
      <c r="Q1301">
        <v>-0.1104931</v>
      </c>
      <c r="R1301">
        <v>-0.99275389999999997</v>
      </c>
      <c r="S1301">
        <v>-0.53198239999999997</v>
      </c>
      <c r="T1301">
        <v>-0.2338142</v>
      </c>
      <c r="U1301">
        <v>-2.9707949999999999</v>
      </c>
      <c r="V1301">
        <v>4.3061160000000001E-2</v>
      </c>
      <c r="W1301">
        <v>-8.6367250000000007E-2</v>
      </c>
      <c r="X1301">
        <v>0.99533229999999995</v>
      </c>
      <c r="Y1301">
        <v>0.17188919999999999</v>
      </c>
      <c r="Z1301">
        <v>5.294484E-2</v>
      </c>
      <c r="AA1301">
        <v>0.98369249999999997</v>
      </c>
      <c r="AB1301">
        <v>30</v>
      </c>
      <c r="AC1301">
        <v>-2.54830000000001</v>
      </c>
      <c r="AD1301">
        <v>-1.1211050651549901</v>
      </c>
      <c r="AE1301">
        <v>-13.956899999999999</v>
      </c>
      <c r="AF1301">
        <v>2.4772686528988701</v>
      </c>
      <c r="AG1301">
        <v>-1.1211050651549901</v>
      </c>
      <c r="AH1301">
        <v>13.880260344705301</v>
      </c>
      <c r="AI1301">
        <v>94.546211657802999</v>
      </c>
      <c r="AJ1301">
        <v>79.880725903348903</v>
      </c>
      <c r="AK1301">
        <v>14.144092893591599</v>
      </c>
      <c r="AL1301">
        <v>94.954651805985506</v>
      </c>
      <c r="AM1301">
        <v>87.5227517900083</v>
      </c>
      <c r="AN1301">
        <v>0.99999997639819804</v>
      </c>
    </row>
    <row r="1302" spans="1:40" x14ac:dyDescent="0.25">
      <c r="A1302" t="str">
        <f>"20190303154445910"</f>
        <v>20190303154445910</v>
      </c>
      <c r="B1302" t="str">
        <f>"1551599085901874"</f>
        <v>1551599085901874</v>
      </c>
      <c r="C1302" t="s">
        <v>40</v>
      </c>
      <c r="D1302">
        <v>5.1453720000000001</v>
      </c>
      <c r="E1302">
        <v>0.54951470000000002</v>
      </c>
      <c r="F1302" t="s">
        <v>41</v>
      </c>
      <c r="G1302">
        <v>-193.88480000000001</v>
      </c>
      <c r="H1302" s="1">
        <v>-3.0296190000000001E-6</v>
      </c>
      <c r="I1302">
        <v>304.24180000000001</v>
      </c>
      <c r="J1302">
        <v>-191.36259999999999</v>
      </c>
      <c r="K1302">
        <v>1.1211629999999999</v>
      </c>
      <c r="L1302">
        <v>317.95420000000001</v>
      </c>
      <c r="M1302">
        <v>-5.2992909999999898E-3</v>
      </c>
      <c r="N1302">
        <v>-2.489295E-2</v>
      </c>
      <c r="O1302">
        <v>-0.99967640000000002</v>
      </c>
      <c r="P1302">
        <v>-4.7825489999999998E-2</v>
      </c>
      <c r="Q1302">
        <v>-0.1101724</v>
      </c>
      <c r="R1302">
        <v>-0.99276169999999997</v>
      </c>
      <c r="S1302">
        <v>-0.53474429999999995</v>
      </c>
      <c r="T1302">
        <v>-0.23740639999999999</v>
      </c>
      <c r="U1302">
        <v>-2.9700319999999998</v>
      </c>
      <c r="V1302">
        <v>4.2338460000000001E-2</v>
      </c>
      <c r="W1302">
        <v>-8.5530640000000005E-2</v>
      </c>
      <c r="X1302">
        <v>0.99543559999999998</v>
      </c>
      <c r="Y1302">
        <v>0.1715035</v>
      </c>
      <c r="Z1302">
        <v>5.3633720000000003E-2</v>
      </c>
      <c r="AA1302">
        <v>0.98372250000000006</v>
      </c>
      <c r="AB1302">
        <v>30</v>
      </c>
      <c r="AC1302">
        <v>-2.5222000000000202</v>
      </c>
      <c r="AD1302">
        <v>-1.12116602961899</v>
      </c>
      <c r="AE1302">
        <v>-13.712400000000001</v>
      </c>
      <c r="AF1302">
        <v>2.4337385287816802</v>
      </c>
      <c r="AG1302">
        <v>-1.12116602961899</v>
      </c>
      <c r="AH1302">
        <v>13.6373924687912</v>
      </c>
      <c r="AI1302">
        <v>94.627087812867899</v>
      </c>
      <c r="AJ1302">
        <v>79.881477004102294</v>
      </c>
      <c r="AK1302">
        <v>13.8981498711264</v>
      </c>
      <c r="AL1302">
        <v>94.9065392573699</v>
      </c>
      <c r="AM1302">
        <v>87.564529668495695</v>
      </c>
      <c r="AN1302">
        <v>1.0000000346606699</v>
      </c>
    </row>
    <row r="1303" spans="1:40" x14ac:dyDescent="0.25">
      <c r="A1303" t="str">
        <f>"20190303154445932"</f>
        <v>20190303154445932</v>
      </c>
      <c r="B1303" t="str">
        <f>"1551599085921394"</f>
        <v>1551599085921394</v>
      </c>
      <c r="C1303" t="s">
        <v>40</v>
      </c>
      <c r="D1303">
        <v>5.146808</v>
      </c>
      <c r="E1303">
        <v>0.54954009999999998</v>
      </c>
      <c r="F1303" t="s">
        <v>41</v>
      </c>
      <c r="G1303">
        <v>-193.87970000000001</v>
      </c>
      <c r="H1303" s="1">
        <v>-2.9315549999999998E-6</v>
      </c>
      <c r="I1303">
        <v>304.0163</v>
      </c>
      <c r="J1303">
        <v>-191.3656</v>
      </c>
      <c r="K1303">
        <v>1.1212070000000001</v>
      </c>
      <c r="L1303">
        <v>317.67059999999998</v>
      </c>
      <c r="M1303">
        <v>-6.5000850000000001E-3</v>
      </c>
      <c r="N1303">
        <v>-2.5287170000000001E-2</v>
      </c>
      <c r="O1303">
        <v>-0.99965930000000003</v>
      </c>
      <c r="P1303">
        <v>-4.8052350000000001E-2</v>
      </c>
      <c r="Q1303">
        <v>-0.10912810000000001</v>
      </c>
      <c r="R1303">
        <v>-0.99286569999999996</v>
      </c>
      <c r="S1303">
        <v>-0.53630069999999996</v>
      </c>
      <c r="T1303">
        <v>-0.2388709</v>
      </c>
      <c r="U1303">
        <v>-2.9695429999999998</v>
      </c>
      <c r="V1303">
        <v>4.1380300000000002E-2</v>
      </c>
      <c r="W1303">
        <v>-8.4085350000000003E-2</v>
      </c>
      <c r="X1303">
        <v>0.99559900000000001</v>
      </c>
      <c r="Y1303">
        <v>0.1708421</v>
      </c>
      <c r="Z1303">
        <v>5.3737500000000001E-2</v>
      </c>
      <c r="AA1303">
        <v>0.98383189999999998</v>
      </c>
      <c r="AB1303">
        <v>30</v>
      </c>
      <c r="AC1303">
        <v>-2.5141000000000102</v>
      </c>
      <c r="AD1303">
        <v>-1.1212099315549999</v>
      </c>
      <c r="AE1303">
        <v>-13.6542999999999</v>
      </c>
      <c r="AF1303">
        <v>2.4095501968754598</v>
      </c>
      <c r="AG1303">
        <v>-1.1212099315549999</v>
      </c>
      <c r="AH1303">
        <v>13.5817831969838</v>
      </c>
      <c r="AI1303">
        <v>94.646969324915005</v>
      </c>
      <c r="AJ1303">
        <v>79.939805139105104</v>
      </c>
      <c r="AK1303">
        <v>13.839359763795199</v>
      </c>
      <c r="AL1303">
        <v>94.823430882871705</v>
      </c>
      <c r="AM1303">
        <v>87.619972795698501</v>
      </c>
      <c r="AN1303">
        <v>1.0000000220568499</v>
      </c>
    </row>
    <row r="1304" spans="1:40" x14ac:dyDescent="0.25">
      <c r="A1304" t="str">
        <f>"20190303154445955"</f>
        <v>20190303154445955</v>
      </c>
      <c r="B1304" t="str">
        <f>"1551599085951650"</f>
        <v>1551599085951650</v>
      </c>
      <c r="C1304" t="s">
        <v>40</v>
      </c>
      <c r="D1304">
        <v>5.1903230000000002</v>
      </c>
      <c r="E1304">
        <v>0.55269380000000001</v>
      </c>
      <c r="F1304" t="s">
        <v>41</v>
      </c>
      <c r="G1304">
        <v>-193.8989</v>
      </c>
      <c r="H1304" s="1">
        <v>-2.783666E-6</v>
      </c>
      <c r="I1304">
        <v>303.65969999999999</v>
      </c>
      <c r="J1304">
        <v>-191.36920000000001</v>
      </c>
      <c r="K1304">
        <v>1.121243</v>
      </c>
      <c r="L1304">
        <v>317.36680000000001</v>
      </c>
      <c r="M1304">
        <v>-7.7953069999999996E-3</v>
      </c>
      <c r="N1304">
        <v>-2.5610850000000001E-2</v>
      </c>
      <c r="O1304">
        <v>-0.99964169999999997</v>
      </c>
      <c r="P1304">
        <v>-4.8322209999999997E-2</v>
      </c>
      <c r="Q1304">
        <v>-0.1081004</v>
      </c>
      <c r="R1304">
        <v>-0.99296499999999999</v>
      </c>
      <c r="S1304">
        <v>-0.53691099999999903</v>
      </c>
      <c r="T1304">
        <v>-0.23763039999999999</v>
      </c>
      <c r="U1304">
        <v>-2.9694820000000002</v>
      </c>
      <c r="V1304">
        <v>4.0370540000000003E-2</v>
      </c>
      <c r="W1304">
        <v>-8.2726850000000005E-2</v>
      </c>
      <c r="X1304">
        <v>0.99575420000000003</v>
      </c>
      <c r="Y1304">
        <v>0.16977039999999999</v>
      </c>
      <c r="Z1304">
        <v>5.301558E-2</v>
      </c>
      <c r="AA1304">
        <v>0.98405659999999895</v>
      </c>
      <c r="AB1304">
        <v>29</v>
      </c>
      <c r="AC1304">
        <v>-2.5296999999999898</v>
      </c>
      <c r="AD1304">
        <v>-1.1212457836659999</v>
      </c>
      <c r="AE1304">
        <v>-13.707100000000001</v>
      </c>
      <c r="AF1304">
        <v>2.4071604921015002</v>
      </c>
      <c r="AG1304">
        <v>-1.1212457836659999</v>
      </c>
      <c r="AH1304">
        <v>13.638158353145901</v>
      </c>
      <c r="AI1304">
        <v>94.628709806182002</v>
      </c>
      <c r="AJ1304">
        <v>79.9902818644468</v>
      </c>
      <c r="AK1304">
        <v>13.894278570966099</v>
      </c>
      <c r="AL1304">
        <v>94.745322653889303</v>
      </c>
      <c r="AM1304">
        <v>87.678347252738504</v>
      </c>
      <c r="AN1304">
        <v>0.99999996951422598</v>
      </c>
    </row>
    <row r="1305" spans="1:40" x14ac:dyDescent="0.25">
      <c r="A1305" t="str">
        <f>"20190303154445978"</f>
        <v>20190303154445978</v>
      </c>
      <c r="B1305" t="str">
        <f>"1551599085972146"</f>
        <v>1551599085972146</v>
      </c>
      <c r="C1305" t="s">
        <v>40</v>
      </c>
      <c r="D1305">
        <v>5.1718950000000001</v>
      </c>
      <c r="E1305">
        <v>0.55326509999999995</v>
      </c>
      <c r="F1305" t="s">
        <v>41</v>
      </c>
      <c r="G1305">
        <v>-193.6927</v>
      </c>
      <c r="H1305" s="1">
        <v>-3.3682950000000001E-6</v>
      </c>
      <c r="I1305">
        <v>305.15039999999999</v>
      </c>
      <c r="J1305">
        <v>-191.3732</v>
      </c>
      <c r="K1305">
        <v>1.1212599999999999</v>
      </c>
      <c r="L1305">
        <v>317.0693</v>
      </c>
      <c r="M1305">
        <v>-9.0745970000000002E-3</v>
      </c>
      <c r="N1305">
        <v>-2.582684E-2</v>
      </c>
      <c r="O1305">
        <v>-0.99962530000000005</v>
      </c>
      <c r="P1305">
        <v>-5.0818450000000001E-2</v>
      </c>
      <c r="Q1305">
        <v>-0.10779809999999999</v>
      </c>
      <c r="R1305">
        <v>-0.99287360000000002</v>
      </c>
      <c r="S1305">
        <v>-0.56376649999999995</v>
      </c>
      <c r="T1305">
        <v>-0.2720612</v>
      </c>
      <c r="U1305">
        <v>-2.9642029999999999</v>
      </c>
      <c r="V1305">
        <v>4.1601300000000001E-2</v>
      </c>
      <c r="W1305">
        <v>-8.2211119999999999E-2</v>
      </c>
      <c r="X1305">
        <v>0.99574629999999997</v>
      </c>
      <c r="Y1305">
        <v>0.177268799999999</v>
      </c>
      <c r="Z1305">
        <v>6.4141809999999994E-2</v>
      </c>
      <c r="AA1305">
        <v>0.98207009999999995</v>
      </c>
      <c r="AB1305">
        <v>29</v>
      </c>
      <c r="AC1305">
        <v>-2.3195000000000001</v>
      </c>
      <c r="AD1305">
        <v>-1.121263368295</v>
      </c>
      <c r="AE1305">
        <v>-11.918900000000001</v>
      </c>
      <c r="AF1305">
        <v>2.19251344428036</v>
      </c>
      <c r="AG1305">
        <v>-1.121263368295</v>
      </c>
      <c r="AH1305">
        <v>11.838516749673699</v>
      </c>
      <c r="AI1305">
        <v>95.320579227660204</v>
      </c>
      <c r="AJ1305">
        <v>79.507608056396506</v>
      </c>
      <c r="AK1305">
        <v>12.0919322515772</v>
      </c>
      <c r="AL1305">
        <v>94.715672285060293</v>
      </c>
      <c r="AM1305">
        <v>87.607630047706095</v>
      </c>
      <c r="AN1305">
        <v>1.00000001518851</v>
      </c>
    </row>
    <row r="1306" spans="1:40" x14ac:dyDescent="0.25">
      <c r="A1306" t="str">
        <f>"20190303154446001"</f>
        <v>20190303154446001</v>
      </c>
      <c r="B1306" t="str">
        <f>"1551599085991665"</f>
        <v>1551599085991665</v>
      </c>
      <c r="C1306" t="s">
        <v>40</v>
      </c>
      <c r="D1306">
        <v>5.203843</v>
      </c>
      <c r="E1306">
        <v>0.55360100000000001</v>
      </c>
      <c r="F1306" t="s">
        <v>41</v>
      </c>
      <c r="G1306">
        <v>-193.8253</v>
      </c>
      <c r="H1306" s="1">
        <v>-3.1020370000000001E-6</v>
      </c>
      <c r="I1306">
        <v>304.44749999999999</v>
      </c>
      <c r="J1306">
        <v>-191.37729999999999</v>
      </c>
      <c r="K1306">
        <v>1.1212660000000001</v>
      </c>
      <c r="L1306">
        <v>316.78519999999997</v>
      </c>
      <c r="M1306">
        <v>-1.0316240000000001E-2</v>
      </c>
      <c r="N1306">
        <v>-2.5944539999999999E-2</v>
      </c>
      <c r="O1306">
        <v>-0.99961040000000001</v>
      </c>
      <c r="P1306">
        <v>-5.2991999999999997E-2</v>
      </c>
      <c r="Q1306">
        <v>-0.1080276</v>
      </c>
      <c r="R1306">
        <v>-0.99273489999999998</v>
      </c>
      <c r="S1306">
        <v>-0.57572939999999995</v>
      </c>
      <c r="T1306">
        <v>-0.2632639</v>
      </c>
      <c r="U1306">
        <v>-2.9635009999999999</v>
      </c>
      <c r="V1306">
        <v>4.2544869999999999E-2</v>
      </c>
      <c r="W1306">
        <v>-8.2325860000000001E-2</v>
      </c>
      <c r="X1306">
        <v>0.99569700000000005</v>
      </c>
      <c r="Y1306">
        <v>0.17994930000000001</v>
      </c>
      <c r="Z1306">
        <v>6.1103459999999998E-2</v>
      </c>
      <c r="AA1306">
        <v>0.98177619999999999</v>
      </c>
      <c r="AB1306">
        <v>29</v>
      </c>
      <c r="AC1306">
        <v>-2.448</v>
      </c>
      <c r="AD1306">
        <v>-1.121269102037</v>
      </c>
      <c r="AE1306">
        <v>-12.3376999999999</v>
      </c>
      <c r="AF1306">
        <v>2.3022530518619599</v>
      </c>
      <c r="AG1306">
        <v>-1.121269102037</v>
      </c>
      <c r="AH1306">
        <v>12.2648418414945</v>
      </c>
      <c r="AI1306">
        <v>95.1343592242348</v>
      </c>
      <c r="AJ1306">
        <v>79.368633290403594</v>
      </c>
      <c r="AK1306">
        <v>12.529323960647799</v>
      </c>
      <c r="AL1306">
        <v>94.722268530047501</v>
      </c>
      <c r="AM1306">
        <v>87.553312292406304</v>
      </c>
      <c r="AN1306">
        <v>1.0000000644985201</v>
      </c>
    </row>
    <row r="1307" spans="1:40" x14ac:dyDescent="0.25">
      <c r="A1307" t="str">
        <f>"20190303154446022"</f>
        <v>20190303154446022</v>
      </c>
      <c r="B1307" t="str">
        <f>"1551599086012162"</f>
        <v>1551599086012162</v>
      </c>
      <c r="C1307" t="s">
        <v>40</v>
      </c>
      <c r="D1307">
        <v>5.187119</v>
      </c>
      <c r="E1307">
        <v>0.56587869999999996</v>
      </c>
      <c r="F1307" t="s">
        <v>41</v>
      </c>
      <c r="G1307">
        <v>-193.83580000000001</v>
      </c>
      <c r="H1307" s="1">
        <v>-3.057755E-6</v>
      </c>
      <c r="I1307">
        <v>304.33780000000002</v>
      </c>
      <c r="J1307">
        <v>-191.38149999999999</v>
      </c>
      <c r="K1307">
        <v>1.121256</v>
      </c>
      <c r="L1307">
        <v>316.5204</v>
      </c>
      <c r="M1307">
        <v>-1.150002E-2</v>
      </c>
      <c r="N1307">
        <v>-2.596797E-2</v>
      </c>
      <c r="O1307">
        <v>-0.99959679999999995</v>
      </c>
      <c r="P1307">
        <v>-5.4000180000000002E-2</v>
      </c>
      <c r="Q1307">
        <v>-0.1070151</v>
      </c>
      <c r="R1307">
        <v>-0.99279019999999996</v>
      </c>
      <c r="S1307">
        <v>-0.58496090000000001</v>
      </c>
      <c r="T1307">
        <v>-0.26679360000000002</v>
      </c>
      <c r="U1307">
        <v>-2.9617309999999999</v>
      </c>
      <c r="V1307">
        <v>4.2379849999999997E-2</v>
      </c>
      <c r="W1307">
        <v>-8.1286269999999994E-2</v>
      </c>
      <c r="X1307">
        <v>0.99578940000000005</v>
      </c>
      <c r="Y1307">
        <v>0.18182139999999999</v>
      </c>
      <c r="Z1307">
        <v>6.2250809999999997E-2</v>
      </c>
      <c r="AA1307">
        <v>0.98135919999999999</v>
      </c>
      <c r="AB1307">
        <v>29</v>
      </c>
      <c r="AC1307">
        <v>-2.4543000000000101</v>
      </c>
      <c r="AD1307">
        <v>-1.1212590577549999</v>
      </c>
      <c r="AE1307">
        <v>-12.1825999999999</v>
      </c>
      <c r="AF1307">
        <v>2.2953051557248201</v>
      </c>
      <c r="AG1307">
        <v>-1.1212590577549999</v>
      </c>
      <c r="AH1307">
        <v>12.111434072613401</v>
      </c>
      <c r="AI1307">
        <v>95.1972937999778</v>
      </c>
      <c r="AJ1307">
        <v>79.268824815288795</v>
      </c>
      <c r="AK1307">
        <v>12.3779030101126</v>
      </c>
      <c r="AL1307">
        <v>94.662504308674102</v>
      </c>
      <c r="AM1307">
        <v>87.563016741686596</v>
      </c>
      <c r="AN1307">
        <v>1.00000001926444</v>
      </c>
    </row>
    <row r="1308" spans="1:40" x14ac:dyDescent="0.25">
      <c r="A1308" t="str">
        <f>"20190303154446044"</f>
        <v>20190303154446044</v>
      </c>
      <c r="B1308" t="str">
        <f>"1551599086041442"</f>
        <v>1551599086041442</v>
      </c>
      <c r="C1308" t="s">
        <v>40</v>
      </c>
      <c r="D1308">
        <v>5.2285890000000004</v>
      </c>
      <c r="E1308">
        <v>0.56659510000000002</v>
      </c>
      <c r="F1308" t="s">
        <v>41</v>
      </c>
      <c r="G1308">
        <v>-194.89769999999999</v>
      </c>
      <c r="H1308" s="1">
        <v>-2.0479549999999999E-6</v>
      </c>
      <c r="I1308">
        <v>301.32530000000003</v>
      </c>
      <c r="J1308">
        <v>-191.38640000000001</v>
      </c>
      <c r="K1308">
        <v>1.121216</v>
      </c>
      <c r="L1308">
        <v>316.2346</v>
      </c>
      <c r="M1308">
        <v>-1.281087E-2</v>
      </c>
      <c r="N1308">
        <v>-2.5870239999999999E-2</v>
      </c>
      <c r="O1308">
        <v>-0.99958340000000001</v>
      </c>
      <c r="P1308">
        <v>-5.4448089999999998E-2</v>
      </c>
      <c r="Q1308">
        <v>-0.1064007</v>
      </c>
      <c r="R1308">
        <v>-0.99283160000000004</v>
      </c>
      <c r="S1308">
        <v>-0.68516540000000004</v>
      </c>
      <c r="T1308">
        <v>-0.21848870000000001</v>
      </c>
      <c r="U1308">
        <v>-2.9609380000000001</v>
      </c>
      <c r="V1308">
        <v>4.1525430000000002E-2</v>
      </c>
      <c r="W1308">
        <v>-8.0764899999999903E-2</v>
      </c>
      <c r="X1308">
        <v>0.99586779999999997</v>
      </c>
      <c r="Y1308">
        <v>0.21243670000000001</v>
      </c>
      <c r="Z1308">
        <v>4.6010080000000002E-2</v>
      </c>
      <c r="AA1308">
        <v>0.97609100000000004</v>
      </c>
      <c r="AB1308">
        <v>28</v>
      </c>
      <c r="AC1308">
        <v>-3.5112999999999701</v>
      </c>
      <c r="AD1308">
        <v>-1.121218047955</v>
      </c>
      <c r="AE1308">
        <v>-14.909299999999901</v>
      </c>
      <c r="AF1308">
        <v>3.3022524018096799</v>
      </c>
      <c r="AG1308">
        <v>-1.121218047955</v>
      </c>
      <c r="AH1308">
        <v>14.873378500216999</v>
      </c>
      <c r="AI1308">
        <v>94.2089341709232</v>
      </c>
      <c r="AJ1308">
        <v>77.481995705724898</v>
      </c>
      <c r="AK1308">
        <v>15.276759762693001</v>
      </c>
      <c r="AL1308">
        <v>94.632533541567398</v>
      </c>
      <c r="AM1308">
        <v>87.612279065609798</v>
      </c>
      <c r="AN1308">
        <v>1.00000000274276</v>
      </c>
    </row>
    <row r="1309" spans="1:40" x14ac:dyDescent="0.25">
      <c r="A1309" t="str">
        <f>"20190303154446066"</f>
        <v>20190303154446066</v>
      </c>
      <c r="B1309" t="str">
        <f>"1551599086061938"</f>
        <v>1551599086061938</v>
      </c>
      <c r="C1309" t="s">
        <v>40</v>
      </c>
      <c r="D1309">
        <v>5.2976760000000001</v>
      </c>
      <c r="E1309">
        <v>0.56696869999999999</v>
      </c>
      <c r="F1309" t="s">
        <v>41</v>
      </c>
      <c r="G1309">
        <v>-194.87350000000001</v>
      </c>
      <c r="H1309" s="1">
        <v>-2.0407619999999998E-6</v>
      </c>
      <c r="I1309">
        <v>301.32350000000002</v>
      </c>
      <c r="J1309">
        <v>-191.39150000000001</v>
      </c>
      <c r="K1309">
        <v>1.121154</v>
      </c>
      <c r="L1309">
        <v>315.9615</v>
      </c>
      <c r="M1309">
        <v>-1.408848E-2</v>
      </c>
      <c r="N1309">
        <v>-2.5680499999999998E-2</v>
      </c>
      <c r="O1309">
        <v>-0.99957099999999999</v>
      </c>
      <c r="P1309">
        <v>-5.4848599999999997E-2</v>
      </c>
      <c r="Q1309">
        <v>-0.1070335</v>
      </c>
      <c r="R1309">
        <v>-0.99274169999999995</v>
      </c>
      <c r="S1309">
        <v>-0.69218440000000003</v>
      </c>
      <c r="T1309">
        <v>-0.2225626</v>
      </c>
      <c r="U1309">
        <v>-2.9598689999999999</v>
      </c>
      <c r="V1309">
        <v>4.0654610000000001E-2</v>
      </c>
      <c r="W1309">
        <v>-8.1585569999999996E-2</v>
      </c>
      <c r="X1309">
        <v>0.99583690000000002</v>
      </c>
      <c r="Y1309">
        <v>0.2134424</v>
      </c>
      <c r="Z1309">
        <v>4.7533430000000002E-2</v>
      </c>
      <c r="AA1309">
        <v>0.97579859999999896</v>
      </c>
      <c r="AB1309">
        <v>28</v>
      </c>
      <c r="AC1309">
        <v>-3.48199999999999</v>
      </c>
      <c r="AD1309">
        <v>-1.121156040762</v>
      </c>
      <c r="AE1309">
        <v>-14.6379999999999</v>
      </c>
      <c r="AF1309">
        <v>3.2572739870273999</v>
      </c>
      <c r="AG1309">
        <v>-1.121156040762</v>
      </c>
      <c r="AH1309">
        <v>14.604531340630601</v>
      </c>
      <c r="AI1309">
        <v>94.284980015198997</v>
      </c>
      <c r="AJ1309">
        <v>77.427000789223996</v>
      </c>
      <c r="AK1309">
        <v>15.005304407900599</v>
      </c>
      <c r="AL1309">
        <v>94.679709859060793</v>
      </c>
      <c r="AM1309">
        <v>87.662222796267898</v>
      </c>
      <c r="AN1309">
        <v>1.0000000669740401</v>
      </c>
    </row>
    <row r="1310" spans="1:40" x14ac:dyDescent="0.25">
      <c r="A1310" t="str">
        <f>"20190303154446088"</f>
        <v>20190303154446088</v>
      </c>
      <c r="B1310" t="str">
        <f>"1551599086081458"</f>
        <v>1551599086081458</v>
      </c>
      <c r="C1310" t="s">
        <v>40</v>
      </c>
      <c r="D1310">
        <v>5.3410089999999997</v>
      </c>
      <c r="E1310">
        <v>0.5665694</v>
      </c>
      <c r="F1310" t="s">
        <v>41</v>
      </c>
      <c r="G1310">
        <v>-194.8245</v>
      </c>
      <c r="H1310" s="1">
        <v>-2.0511710000000002E-6</v>
      </c>
      <c r="I1310">
        <v>301.37819999999999</v>
      </c>
      <c r="J1310">
        <v>-191.39689999999999</v>
      </c>
      <c r="K1310">
        <v>1.1210990000000001</v>
      </c>
      <c r="L1310">
        <v>315.69130000000001</v>
      </c>
      <c r="M1310">
        <v>-1.537459E-2</v>
      </c>
      <c r="N1310">
        <v>-2.5441849999999998E-2</v>
      </c>
      <c r="O1310">
        <v>-0.9995581</v>
      </c>
      <c r="P1310">
        <v>-5.7001120000000002E-2</v>
      </c>
      <c r="Q1310">
        <v>-0.1081884</v>
      </c>
      <c r="R1310">
        <v>-0.99249520000000002</v>
      </c>
      <c r="S1310">
        <v>-0.69654850000000001</v>
      </c>
      <c r="T1310">
        <v>-0.2274833</v>
      </c>
      <c r="U1310">
        <v>-2.9589539999999999</v>
      </c>
      <c r="V1310">
        <v>4.1529190000000001E-2</v>
      </c>
      <c r="W1310">
        <v>-8.2984119999999995E-2</v>
      </c>
      <c r="X1310">
        <v>0.99568520000000005</v>
      </c>
      <c r="Y1310">
        <v>0.21359449999999999</v>
      </c>
      <c r="Z1310">
        <v>4.9392409999999998E-2</v>
      </c>
      <c r="AA1310">
        <v>0.97567300000000001</v>
      </c>
      <c r="AB1310">
        <v>28</v>
      </c>
      <c r="AC1310">
        <v>-3.4276000000000102</v>
      </c>
      <c r="AD1310">
        <v>-1.121101051171</v>
      </c>
      <c r="AE1310">
        <v>-14.3131</v>
      </c>
      <c r="AF1310">
        <v>3.1885641288330699</v>
      </c>
      <c r="AG1310">
        <v>-1.121101051171</v>
      </c>
      <c r="AH1310">
        <v>14.2812572056314</v>
      </c>
      <c r="AI1310">
        <v>94.381168021963404</v>
      </c>
      <c r="AJ1310">
        <v>77.414043347319904</v>
      </c>
      <c r="AK1310">
        <v>14.675766288137</v>
      </c>
      <c r="AL1310">
        <v>94.7601137211837</v>
      </c>
      <c r="AM1310">
        <v>87.611625695324904</v>
      </c>
      <c r="AN1310">
        <v>1.0000000276466301</v>
      </c>
    </row>
    <row r="1311" spans="1:40" x14ac:dyDescent="0.25">
      <c r="A1311" t="str">
        <f>"20190303154446110"</f>
        <v>20190303154446110</v>
      </c>
      <c r="B1311" t="str">
        <f>"1551599086101954"</f>
        <v>1551599086101954</v>
      </c>
      <c r="C1311" t="s">
        <v>40</v>
      </c>
      <c r="D1311">
        <v>5.381373</v>
      </c>
      <c r="E1311">
        <v>0.56695530000000005</v>
      </c>
      <c r="F1311" t="s">
        <v>41</v>
      </c>
      <c r="G1311">
        <v>-194.67789999999999</v>
      </c>
      <c r="H1311" s="1">
        <v>-2.2088220000000001E-6</v>
      </c>
      <c r="I1311">
        <v>301.8365</v>
      </c>
      <c r="J1311">
        <v>-191.40260000000001</v>
      </c>
      <c r="K1311">
        <v>1.121059</v>
      </c>
      <c r="L1311">
        <v>315.42</v>
      </c>
      <c r="M1311">
        <v>-1.668743E-2</v>
      </c>
      <c r="N1311">
        <v>-2.5152420000000002E-2</v>
      </c>
      <c r="O1311">
        <v>-0.9995444</v>
      </c>
      <c r="P1311">
        <v>-5.9250869999999997E-2</v>
      </c>
      <c r="Q1311">
        <v>-0.1083287</v>
      </c>
      <c r="R1311">
        <v>-0.99234800000000001</v>
      </c>
      <c r="S1311">
        <v>-0.70011899999999905</v>
      </c>
      <c r="T1311">
        <v>-0.2392242</v>
      </c>
      <c r="U1311">
        <v>-2.9563600000000001</v>
      </c>
      <c r="V1311">
        <v>4.2476409999999999E-2</v>
      </c>
      <c r="W1311">
        <v>-8.341585E-2</v>
      </c>
      <c r="X1311">
        <v>0.99560919999999997</v>
      </c>
      <c r="Y1311">
        <v>0.21356249999999999</v>
      </c>
      <c r="Z1311">
        <v>5.3579160000000001E-2</v>
      </c>
      <c r="AA1311">
        <v>0.97545899999999996</v>
      </c>
      <c r="AB1311">
        <v>28</v>
      </c>
      <c r="AC1311">
        <v>-3.2752999999999801</v>
      </c>
      <c r="AD1311">
        <v>-1.121061208822</v>
      </c>
      <c r="AE1311">
        <v>-13.583500000000001</v>
      </c>
      <c r="AF1311">
        <v>3.0286027211007398</v>
      </c>
      <c r="AG1311">
        <v>-1.121061208822</v>
      </c>
      <c r="AH1311">
        <v>13.549063986204899</v>
      </c>
      <c r="AI1311">
        <v>94.616512340675001</v>
      </c>
      <c r="AJ1311">
        <v>77.399886819517505</v>
      </c>
      <c r="AK1311">
        <v>13.928616140107399</v>
      </c>
      <c r="AL1311">
        <v>94.784935914239796</v>
      </c>
      <c r="AM1311">
        <v>87.557029386241794</v>
      </c>
      <c r="AN1311">
        <v>1.0000000642811699</v>
      </c>
    </row>
    <row r="1312" spans="1:40" x14ac:dyDescent="0.25">
      <c r="A1312" t="str">
        <f>"20190303154446134"</f>
        <v>20190303154446134</v>
      </c>
      <c r="B1312" t="str">
        <f>"1551599086122450"</f>
        <v>1551599086122450</v>
      </c>
      <c r="C1312" t="s">
        <v>40</v>
      </c>
      <c r="D1312">
        <v>5.3981789999999998</v>
      </c>
      <c r="E1312">
        <v>0.566716</v>
      </c>
      <c r="F1312" t="s">
        <v>41</v>
      </c>
      <c r="G1312">
        <v>-194.67509999999999</v>
      </c>
      <c r="H1312" s="1">
        <v>-2.1937849999999999E-6</v>
      </c>
      <c r="I1312">
        <v>301.80329999999998</v>
      </c>
      <c r="J1312">
        <v>-191.40899999999999</v>
      </c>
      <c r="K1312">
        <v>1.1210230000000001</v>
      </c>
      <c r="L1312">
        <v>315.13929999999999</v>
      </c>
      <c r="M1312">
        <v>-1.8062390000000001E-2</v>
      </c>
      <c r="N1312">
        <v>-2.477567E-2</v>
      </c>
      <c r="O1312">
        <v>-0.99952980000000002</v>
      </c>
      <c r="P1312">
        <v>-6.1783650000000002E-2</v>
      </c>
      <c r="Q1312">
        <v>-0.1071107</v>
      </c>
      <c r="R1312">
        <v>-0.99232560000000003</v>
      </c>
      <c r="S1312">
        <v>-0.70997619999999995</v>
      </c>
      <c r="T1312">
        <v>-0.24321950000000001</v>
      </c>
      <c r="U1312">
        <v>-2.954224</v>
      </c>
      <c r="V1312">
        <v>4.3646049999999999E-2</v>
      </c>
      <c r="W1312">
        <v>-8.2573770000000005E-2</v>
      </c>
      <c r="X1312">
        <v>0.99562870000000003</v>
      </c>
      <c r="Y1312">
        <v>0.21543370000000001</v>
      </c>
      <c r="Z1312">
        <v>5.5272420000000003E-2</v>
      </c>
      <c r="AA1312">
        <v>0.97495290000000001</v>
      </c>
      <c r="AB1312">
        <v>27</v>
      </c>
      <c r="AC1312">
        <v>-3.2660999999999598</v>
      </c>
      <c r="AD1312">
        <v>-1.121025193785</v>
      </c>
      <c r="AE1312">
        <v>-13.336</v>
      </c>
      <c r="AF1312">
        <v>3.0045835225069499</v>
      </c>
      <c r="AG1312">
        <v>-1.121025193785</v>
      </c>
      <c r="AH1312">
        <v>13.304145930861999</v>
      </c>
      <c r="AI1312">
        <v>94.698659332271106</v>
      </c>
      <c r="AJ1312">
        <v>77.273916999584202</v>
      </c>
      <c r="AK1312">
        <v>13.685193406689301</v>
      </c>
      <c r="AL1312">
        <v>94.736521764950993</v>
      </c>
      <c r="AM1312">
        <v>87.489893190258599</v>
      </c>
      <c r="AN1312">
        <v>0.99999995671815101</v>
      </c>
    </row>
    <row r="1313" spans="1:40" x14ac:dyDescent="0.25">
      <c r="A1313" t="str">
        <f>"20190303154446155"</f>
        <v>20190303154446155</v>
      </c>
      <c r="B1313" t="str">
        <f>"1551599086151729"</f>
        <v>1551599086151729</v>
      </c>
      <c r="C1313" t="s">
        <v>40</v>
      </c>
      <c r="D1313">
        <v>5.4657879999999999</v>
      </c>
      <c r="E1313">
        <v>0.56646730000000001</v>
      </c>
      <c r="F1313" t="s">
        <v>41</v>
      </c>
      <c r="G1313">
        <v>-194.6738</v>
      </c>
      <c r="H1313" s="1">
        <v>-2.1396459999999998E-6</v>
      </c>
      <c r="I1313">
        <v>301.67790000000002</v>
      </c>
      <c r="J1313">
        <v>-191.4151</v>
      </c>
      <c r="K1313">
        <v>1.120973</v>
      </c>
      <c r="L1313">
        <v>314.87880000000001</v>
      </c>
      <c r="M1313">
        <v>-1.934311E-2</v>
      </c>
      <c r="N1313">
        <v>-2.434016E-2</v>
      </c>
      <c r="O1313">
        <v>-0.99951670000000004</v>
      </c>
      <c r="P1313">
        <v>-6.4765379999999997E-2</v>
      </c>
      <c r="Q1313">
        <v>-0.10606889999999899</v>
      </c>
      <c r="R1313">
        <v>-0.99224749999999995</v>
      </c>
      <c r="S1313">
        <v>-0.71597290000000002</v>
      </c>
      <c r="T1313">
        <v>-0.245842</v>
      </c>
      <c r="U1313">
        <v>-2.9520870000000001</v>
      </c>
      <c r="V1313">
        <v>4.5358299999999997E-2</v>
      </c>
      <c r="W1313">
        <v>-8.1968879999999994E-2</v>
      </c>
      <c r="X1313">
        <v>0.99560219999999999</v>
      </c>
      <c r="Y1313">
        <v>0.21619959999999999</v>
      </c>
      <c r="Z1313">
        <v>5.6596069999999998E-2</v>
      </c>
      <c r="AA1313">
        <v>0.9747074</v>
      </c>
      <c r="AB1313">
        <v>27</v>
      </c>
      <c r="AC1313">
        <v>-3.2587000000000002</v>
      </c>
      <c r="AD1313">
        <v>-1.1209751396459999</v>
      </c>
      <c r="AE1313">
        <v>-13.200899999999899</v>
      </c>
      <c r="AF1313">
        <v>2.98239751878566</v>
      </c>
      <c r="AG1313">
        <v>-1.1209751396459999</v>
      </c>
      <c r="AH1313">
        <v>13.1719555310031</v>
      </c>
      <c r="AI1313">
        <v>94.744797141232993</v>
      </c>
      <c r="AJ1313">
        <v>77.242186621244798</v>
      </c>
      <c r="AK1313">
        <v>13.551815108482201</v>
      </c>
      <c r="AL1313">
        <v>94.7017459933368</v>
      </c>
      <c r="AM1313">
        <v>87.391484923273694</v>
      </c>
      <c r="AN1313">
        <v>1.0000000066560899</v>
      </c>
    </row>
    <row r="1314" spans="1:40" x14ac:dyDescent="0.25">
      <c r="A1314" t="str">
        <f>"20190303154446181"</f>
        <v>20190303154446181</v>
      </c>
      <c r="B1314" t="str">
        <f>"1551599086172226"</f>
        <v>1551599086172226</v>
      </c>
      <c r="C1314" t="s">
        <v>40</v>
      </c>
      <c r="D1314">
        <v>5.4249910000000003</v>
      </c>
      <c r="E1314">
        <v>0.56634010000000001</v>
      </c>
      <c r="F1314" t="s">
        <v>41</v>
      </c>
      <c r="G1314">
        <v>-194.65440000000001</v>
      </c>
      <c r="H1314" s="1">
        <v>-2.1290779999999999E-6</v>
      </c>
      <c r="I1314">
        <v>301.6653</v>
      </c>
      <c r="J1314">
        <v>-191.423</v>
      </c>
      <c r="K1314">
        <v>1.120908</v>
      </c>
      <c r="L1314">
        <v>314.56540000000001</v>
      </c>
      <c r="M1314">
        <v>-2.0883269999999999E-2</v>
      </c>
      <c r="N1314">
        <v>-2.3714120000000002E-2</v>
      </c>
      <c r="O1314">
        <v>-0.99950059999999996</v>
      </c>
      <c r="P1314">
        <v>-6.7682469999999995E-2</v>
      </c>
      <c r="Q1314">
        <v>-0.1055287</v>
      </c>
      <c r="R1314">
        <v>-0.99211039999999995</v>
      </c>
      <c r="S1314">
        <v>-0.72305299999999995</v>
      </c>
      <c r="T1314">
        <v>-0.25022220000000001</v>
      </c>
      <c r="U1314">
        <v>-2.9494929999999999</v>
      </c>
      <c r="V1314">
        <v>4.6748199999999997E-2</v>
      </c>
      <c r="W1314">
        <v>-8.2055110000000001E-2</v>
      </c>
      <c r="X1314">
        <v>0.99553080000000005</v>
      </c>
      <c r="Y1314">
        <v>0.2170752</v>
      </c>
      <c r="Z1314">
        <v>5.8692389999999997E-2</v>
      </c>
      <c r="AA1314">
        <v>0.97438880000000005</v>
      </c>
      <c r="AB1314">
        <v>27</v>
      </c>
      <c r="AC1314">
        <v>-3.2313999999999998</v>
      </c>
      <c r="AD1314">
        <v>-1.1209101290779999</v>
      </c>
      <c r="AE1314">
        <v>-12.9001</v>
      </c>
      <c r="AF1314">
        <v>2.9403336289941899</v>
      </c>
      <c r="AG1314">
        <v>-1.1209101290779999</v>
      </c>
      <c r="AH1314">
        <v>12.87332949482</v>
      </c>
      <c r="AI1314">
        <v>94.8519903826042</v>
      </c>
      <c r="AJ1314">
        <v>77.134057560625493</v>
      </c>
      <c r="AK1314">
        <v>13.2523437040195</v>
      </c>
      <c r="AL1314">
        <v>94.706703317970494</v>
      </c>
      <c r="AM1314">
        <v>87.311476020441305</v>
      </c>
      <c r="AN1314">
        <v>1.0000000045144899</v>
      </c>
    </row>
    <row r="1315" spans="1:40" x14ac:dyDescent="0.25">
      <c r="A1315" t="str">
        <f>"20190303154446203"</f>
        <v>20190303154446203</v>
      </c>
      <c r="B1315" t="str">
        <f>"1551599086191747"</f>
        <v>1551599086191747</v>
      </c>
      <c r="C1315" t="s">
        <v>40</v>
      </c>
      <c r="D1315">
        <v>5.3595249999999997</v>
      </c>
      <c r="E1315">
        <v>0.56646379999999996</v>
      </c>
      <c r="F1315" t="s">
        <v>41</v>
      </c>
      <c r="G1315">
        <v>-194.67609999999999</v>
      </c>
      <c r="H1315" s="1">
        <v>-2.0414850000000001E-6</v>
      </c>
      <c r="I1315">
        <v>301.44760000000002</v>
      </c>
      <c r="J1315">
        <v>-191.4298</v>
      </c>
      <c r="K1315">
        <v>1.120841</v>
      </c>
      <c r="L1315">
        <v>314.3125</v>
      </c>
      <c r="M1315">
        <v>-2.2124709999999999E-2</v>
      </c>
      <c r="N1315">
        <v>-2.3132320000000001E-2</v>
      </c>
      <c r="O1315">
        <v>-0.99948769999999998</v>
      </c>
      <c r="P1315">
        <v>-7.0351739999999996E-2</v>
      </c>
      <c r="Q1315">
        <v>-0.1051516</v>
      </c>
      <c r="R1315">
        <v>-0.99196470000000003</v>
      </c>
      <c r="S1315">
        <v>-0.73086549999999995</v>
      </c>
      <c r="T1315">
        <v>-0.25183810000000001</v>
      </c>
      <c r="U1315">
        <v>-2.9472049999999999</v>
      </c>
      <c r="V1315">
        <v>4.8187639999999997E-2</v>
      </c>
      <c r="W1315">
        <v>-8.2260680000000003E-2</v>
      </c>
      <c r="X1315">
        <v>0.99544520000000003</v>
      </c>
      <c r="Y1315">
        <v>0.21846160000000001</v>
      </c>
      <c r="Z1315">
        <v>5.9824599999999999E-2</v>
      </c>
      <c r="AA1315">
        <v>0.97401009999999999</v>
      </c>
      <c r="AB1315">
        <v>27</v>
      </c>
      <c r="AC1315">
        <v>-3.24629999999999</v>
      </c>
      <c r="AD1315">
        <v>-1.1208430414849999</v>
      </c>
      <c r="AE1315">
        <v>-12.864899999999899</v>
      </c>
      <c r="AF1315">
        <v>2.93981743615053</v>
      </c>
      <c r="AG1315">
        <v>-1.1208430414849999</v>
      </c>
      <c r="AH1315">
        <v>12.8419489450353</v>
      </c>
      <c r="AI1315">
        <v>94.862955456125206</v>
      </c>
      <c r="AJ1315">
        <v>77.105856668458699</v>
      </c>
      <c r="AK1315">
        <v>13.2217422599457</v>
      </c>
      <c r="AL1315">
        <v>94.718521552452103</v>
      </c>
      <c r="AM1315">
        <v>87.228581941206201</v>
      </c>
      <c r="AN1315">
        <v>1.00000000716293</v>
      </c>
    </row>
    <row r="1316" spans="1:40" x14ac:dyDescent="0.25">
      <c r="A1316" t="str">
        <f>"20190303154446244"</f>
        <v>20190303154446244</v>
      </c>
      <c r="B1316" t="str">
        <f>"1551599086241522"</f>
        <v>1551599086241522</v>
      </c>
      <c r="C1316" t="s">
        <v>40</v>
      </c>
      <c r="D1316">
        <v>5.3511939999999996</v>
      </c>
      <c r="E1316">
        <v>0.56690079999999998</v>
      </c>
      <c r="F1316" t="s">
        <v>41</v>
      </c>
      <c r="G1316">
        <v>-194.72720000000001</v>
      </c>
      <c r="H1316" s="1">
        <v>-1.9429460000000001E-6</v>
      </c>
      <c r="I1316">
        <v>301.18619999999999</v>
      </c>
      <c r="J1316">
        <v>-191.44409999999999</v>
      </c>
      <c r="K1316">
        <v>1.1206989999999999</v>
      </c>
      <c r="L1316">
        <v>313.80950000000001</v>
      </c>
      <c r="M1316">
        <v>-2.4579839999999999E-2</v>
      </c>
      <c r="N1316">
        <v>-2.1783420000000001E-2</v>
      </c>
      <c r="O1316">
        <v>-0.99946060000000003</v>
      </c>
      <c r="P1316">
        <v>-7.6733229999999999E-2</v>
      </c>
      <c r="Q1316">
        <v>-0.1055643</v>
      </c>
      <c r="R1316">
        <v>-0.99144790000000005</v>
      </c>
      <c r="S1316">
        <v>-0.73983759999999998</v>
      </c>
      <c r="T1316">
        <v>-0.25148310000000001</v>
      </c>
      <c r="U1316">
        <v>-2.9451290000000001</v>
      </c>
      <c r="V1316">
        <v>5.2140319999999997E-2</v>
      </c>
      <c r="W1316">
        <v>-8.4028450000000005E-2</v>
      </c>
      <c r="X1316">
        <v>0.99509829999999999</v>
      </c>
      <c r="Y1316">
        <v>0.21901880000000001</v>
      </c>
      <c r="Z1316">
        <v>6.1072769999999998E-2</v>
      </c>
      <c r="AA1316">
        <v>0.97380739999999999</v>
      </c>
      <c r="AB1316">
        <v>27</v>
      </c>
      <c r="AC1316">
        <v>-3.2831000000000099</v>
      </c>
      <c r="AD1316">
        <v>-1.120700942946</v>
      </c>
      <c r="AE1316">
        <v>-12.6233</v>
      </c>
      <c r="AF1316">
        <v>2.9499768830463799</v>
      </c>
      <c r="AG1316">
        <v>-1.120700942946</v>
      </c>
      <c r="AH1316">
        <v>12.607128509320001</v>
      </c>
      <c r="AI1316">
        <v>94.946976128184403</v>
      </c>
      <c r="AJ1316">
        <v>76.830151012404997</v>
      </c>
      <c r="AK1316">
        <v>12.9960772337093</v>
      </c>
      <c r="AL1316">
        <v>94.820159232522201</v>
      </c>
      <c r="AM1316">
        <v>87.0006070518493</v>
      </c>
      <c r="AN1316">
        <v>1.00000001002099</v>
      </c>
    </row>
    <row r="1317" spans="1:40" x14ac:dyDescent="0.25">
      <c r="A1317" t="str">
        <f>"20190303154446266"</f>
        <v>20190303154446266</v>
      </c>
      <c r="B1317" t="str">
        <f>"1551599086262018"</f>
        <v>1551599086262018</v>
      </c>
      <c r="C1317" t="s">
        <v>40</v>
      </c>
      <c r="D1317">
        <v>5.3622839999999998</v>
      </c>
      <c r="E1317">
        <v>0.56695810000000002</v>
      </c>
      <c r="F1317" t="s">
        <v>41</v>
      </c>
      <c r="G1317">
        <v>-194.80950000000001</v>
      </c>
      <c r="H1317" s="1">
        <v>-1.8133709999999999E-6</v>
      </c>
      <c r="I1317">
        <v>300.8331</v>
      </c>
      <c r="J1317">
        <v>-191.4522</v>
      </c>
      <c r="K1317">
        <v>1.1206179999999999</v>
      </c>
      <c r="L1317">
        <v>313.54070000000002</v>
      </c>
      <c r="M1317">
        <v>-2.5874979999999999E-2</v>
      </c>
      <c r="N1317">
        <v>-2.0977740000000002E-2</v>
      </c>
      <c r="O1317">
        <v>-0.99944529999999998</v>
      </c>
      <c r="P1317">
        <v>-8.0843910000000005E-2</v>
      </c>
      <c r="Q1317">
        <v>-0.1042817</v>
      </c>
      <c r="R1317">
        <v>-0.9912569</v>
      </c>
      <c r="S1317">
        <v>-0.7624512</v>
      </c>
      <c r="T1317">
        <v>-0.25389650000000002</v>
      </c>
      <c r="U1317">
        <v>-2.939819</v>
      </c>
      <c r="V1317">
        <v>5.497175E-2</v>
      </c>
      <c r="W1317">
        <v>-8.3553279999999994E-2</v>
      </c>
      <c r="X1317">
        <v>0.99498589999999998</v>
      </c>
      <c r="Y1317">
        <v>0.2251754</v>
      </c>
      <c r="Z1317">
        <v>6.2673740000000006E-2</v>
      </c>
      <c r="AA1317">
        <v>0.97230039999999995</v>
      </c>
      <c r="AB1317">
        <v>27</v>
      </c>
      <c r="AC1317">
        <v>-3.3573</v>
      </c>
      <c r="AD1317">
        <v>-1.1206198133709999</v>
      </c>
      <c r="AE1317">
        <v>-12.707599999999999</v>
      </c>
      <c r="AF1317">
        <v>3.00544703016834</v>
      </c>
      <c r="AG1317">
        <v>-1.1206198133709999</v>
      </c>
      <c r="AH1317">
        <v>12.6979287442807</v>
      </c>
      <c r="AI1317">
        <v>94.908484707914894</v>
      </c>
      <c r="AJ1317">
        <v>76.683831030598697</v>
      </c>
      <c r="AK1317">
        <v>13.0967894925473</v>
      </c>
      <c r="AL1317">
        <v>94.792838001753594</v>
      </c>
      <c r="AM1317">
        <v>86.837693446162007</v>
      </c>
      <c r="AN1317">
        <v>0.99999999254781502</v>
      </c>
    </row>
    <row r="1318" spans="1:40" x14ac:dyDescent="0.25">
      <c r="A1318" t="str">
        <f>"20190303154446291"</f>
        <v>20190303154446291</v>
      </c>
      <c r="B1318" t="str">
        <f>"1551599086281539"</f>
        <v>1551599086281539</v>
      </c>
      <c r="C1318" t="s">
        <v>40</v>
      </c>
      <c r="D1318">
        <v>5.3429270000000004</v>
      </c>
      <c r="E1318">
        <v>0.56700069999999902</v>
      </c>
      <c r="F1318" t="s">
        <v>41</v>
      </c>
      <c r="G1318">
        <v>-194.93430000000001</v>
      </c>
      <c r="H1318" s="1">
        <v>-1.6392549999999999E-6</v>
      </c>
      <c r="I1318">
        <v>300.34989999999999</v>
      </c>
      <c r="J1318">
        <v>-191.46129999999999</v>
      </c>
      <c r="K1318">
        <v>1.1205540000000001</v>
      </c>
      <c r="L1318">
        <v>313.25130000000001</v>
      </c>
      <c r="M1318">
        <v>-2.7244129999999998E-2</v>
      </c>
      <c r="N1318">
        <v>-2.0137160000000001E-2</v>
      </c>
      <c r="O1318">
        <v>-0.99942589999999998</v>
      </c>
      <c r="P1318">
        <v>-8.5240659999999996E-2</v>
      </c>
      <c r="Q1318">
        <v>-0.1023487</v>
      </c>
      <c r="R1318">
        <v>-0.99108969999999996</v>
      </c>
      <c r="S1318">
        <v>-0.77529910000000002</v>
      </c>
      <c r="T1318">
        <v>-0.2495087</v>
      </c>
      <c r="U1318">
        <v>-2.9369809999999998</v>
      </c>
      <c r="V1318">
        <v>5.8018109999999998E-2</v>
      </c>
      <c r="W1318">
        <v>-8.2460599999999995E-2</v>
      </c>
      <c r="X1318">
        <v>0.99490409999999996</v>
      </c>
      <c r="Y1318">
        <v>0.22807050000000001</v>
      </c>
      <c r="Z1318">
        <v>6.2078420000000002E-2</v>
      </c>
      <c r="AA1318">
        <v>0.97166359999999996</v>
      </c>
      <c r="AB1318">
        <v>27</v>
      </c>
      <c r="AC1318">
        <v>-3.4730000000000101</v>
      </c>
      <c r="AD1318">
        <v>-1.120555639255</v>
      </c>
      <c r="AE1318">
        <v>-12.901400000000001</v>
      </c>
      <c r="AF1318">
        <v>3.0983574006611301</v>
      </c>
      <c r="AG1318">
        <v>-1.120555639255</v>
      </c>
      <c r="AH1318">
        <v>12.900503602912799</v>
      </c>
      <c r="AI1318">
        <v>94.827720186800406</v>
      </c>
      <c r="AJ1318">
        <v>76.494874822184897</v>
      </c>
      <c r="AK1318">
        <v>13.3145956277937</v>
      </c>
      <c r="AL1318">
        <v>94.730015160092407</v>
      </c>
      <c r="AM1318">
        <v>86.662560396139199</v>
      </c>
      <c r="AN1318">
        <v>1.00000000991857</v>
      </c>
    </row>
    <row r="1319" spans="1:40" x14ac:dyDescent="0.25">
      <c r="A1319" t="str">
        <f>"20190303154446312"</f>
        <v>20190303154446312</v>
      </c>
      <c r="B1319" t="str">
        <f>"1551599086302034"</f>
        <v>1551599086302034</v>
      </c>
      <c r="C1319" t="s">
        <v>40</v>
      </c>
      <c r="D1319">
        <v>5.3450449999999998</v>
      </c>
      <c r="E1319">
        <v>0.56700039999999996</v>
      </c>
      <c r="F1319" t="s">
        <v>41</v>
      </c>
      <c r="G1319">
        <v>-195.0925</v>
      </c>
      <c r="H1319" s="1">
        <v>-1.420583E-6</v>
      </c>
      <c r="I1319">
        <v>299.74209999999999</v>
      </c>
      <c r="J1319">
        <v>-191.46960000000001</v>
      </c>
      <c r="K1319">
        <v>1.120533</v>
      </c>
      <c r="L1319">
        <v>312.99680000000001</v>
      </c>
      <c r="M1319">
        <v>-2.8404189999999999E-2</v>
      </c>
      <c r="N1319">
        <v>-1.9448190000000001E-2</v>
      </c>
      <c r="O1319">
        <v>-0.99940739999999995</v>
      </c>
      <c r="P1319">
        <v>-8.9571949999999997E-2</v>
      </c>
      <c r="Q1319">
        <v>-0.1005834</v>
      </c>
      <c r="R1319">
        <v>-0.99088869999999896</v>
      </c>
      <c r="S1319">
        <v>-0.78863530000000004</v>
      </c>
      <c r="T1319">
        <v>-0.2433699</v>
      </c>
      <c r="U1319">
        <v>-2.934021</v>
      </c>
      <c r="V1319">
        <v>6.1209779999999998E-2</v>
      </c>
      <c r="W1319">
        <v>-8.1383759999999999E-2</v>
      </c>
      <c r="X1319">
        <v>0.99480150000000001</v>
      </c>
      <c r="Y1319">
        <v>0.23133699999999999</v>
      </c>
      <c r="Z1319">
        <v>6.075535E-2</v>
      </c>
      <c r="AA1319">
        <v>0.97097469999999997</v>
      </c>
      <c r="AB1319">
        <v>27</v>
      </c>
      <c r="AC1319">
        <v>-3.62289999999998</v>
      </c>
      <c r="AD1319">
        <v>-1.1205344205829999</v>
      </c>
      <c r="AE1319">
        <v>-13.2547</v>
      </c>
      <c r="AF1319">
        <v>3.22344168262731</v>
      </c>
      <c r="AG1319">
        <v>-1.1205344205829999</v>
      </c>
      <c r="AH1319">
        <v>13.2640692938011</v>
      </c>
      <c r="AI1319">
        <v>94.692867408631201</v>
      </c>
      <c r="AJ1319">
        <v>76.340739009677606</v>
      </c>
      <c r="AK1319">
        <v>13.696047163315701</v>
      </c>
      <c r="AL1319">
        <v>94.668108783964897</v>
      </c>
      <c r="AM1319">
        <v>86.479050048208506</v>
      </c>
      <c r="AN1319">
        <v>0.99999998898081799</v>
      </c>
    </row>
    <row r="1320" spans="1:40" x14ac:dyDescent="0.25">
      <c r="A1320" t="str">
        <f>"20190303154446335"</f>
        <v>20190303154446335</v>
      </c>
      <c r="B1320" t="str">
        <f>"1551599086331314"</f>
        <v>1551599086331314</v>
      </c>
      <c r="C1320" t="s">
        <v>40</v>
      </c>
      <c r="D1320">
        <v>5.3408670000000003</v>
      </c>
      <c r="E1320">
        <v>0.56691040000000004</v>
      </c>
      <c r="F1320" t="s">
        <v>54</v>
      </c>
      <c r="G1320">
        <v>-195.25739999999999</v>
      </c>
      <c r="H1320" s="1">
        <v>8.2725060000000001E-8</v>
      </c>
      <c r="I1320">
        <v>299.14659999999998</v>
      </c>
      <c r="J1320">
        <v>-191.4787</v>
      </c>
      <c r="K1320">
        <v>1.1205419999999999</v>
      </c>
      <c r="L1320">
        <v>312.72559999999999</v>
      </c>
      <c r="M1320">
        <v>-2.9574400000000001E-2</v>
      </c>
      <c r="N1320">
        <v>-1.8771670000000001E-2</v>
      </c>
      <c r="O1320">
        <v>-0.99938640000000001</v>
      </c>
      <c r="P1320">
        <v>-9.4203110000000007E-2</v>
      </c>
      <c r="Q1320">
        <v>-9.9740560000000006E-2</v>
      </c>
      <c r="R1320">
        <v>-0.99054439999999999</v>
      </c>
      <c r="S1320">
        <v>-0.80158999999999903</v>
      </c>
      <c r="T1320">
        <v>-0.2371346</v>
      </c>
      <c r="U1320">
        <v>-2.9310610000000001</v>
      </c>
      <c r="V1320">
        <v>6.4697210000000005E-2</v>
      </c>
      <c r="W1320">
        <v>-8.1216170000000004E-2</v>
      </c>
      <c r="X1320">
        <v>0.99459450000000005</v>
      </c>
      <c r="Y1320">
        <v>0.23447270000000001</v>
      </c>
      <c r="Z1320">
        <v>5.9388570000000002E-2</v>
      </c>
      <c r="AA1320">
        <v>0.97030689999999997</v>
      </c>
      <c r="AB1320">
        <v>27</v>
      </c>
      <c r="AC1320">
        <v>-3.7786999999999802</v>
      </c>
      <c r="AD1320">
        <v>-1.12054191727494</v>
      </c>
      <c r="AE1320">
        <v>-13.579000000000001</v>
      </c>
      <c r="AF1320">
        <v>3.3541860103430001</v>
      </c>
      <c r="AG1320">
        <v>-1.12054191727494</v>
      </c>
      <c r="AH1320">
        <v>13.5988834305117</v>
      </c>
      <c r="AI1320">
        <v>94.574031796556397</v>
      </c>
      <c r="AJ1320">
        <v>76.144463619941703</v>
      </c>
      <c r="AK1320">
        <v>14.051185307190099</v>
      </c>
      <c r="AL1320">
        <v>94.658474606501201</v>
      </c>
      <c r="AM1320">
        <v>86.278219970299503</v>
      </c>
      <c r="AN1320">
        <v>1.00000000734075</v>
      </c>
    </row>
    <row r="1321" spans="1:40" x14ac:dyDescent="0.25">
      <c r="A1321" t="str">
        <f>"20190303154446356"</f>
        <v>20190303154446356</v>
      </c>
      <c r="B1321" t="str">
        <f>"1551599086351811"</f>
        <v>1551599086351811</v>
      </c>
      <c r="C1321" t="s">
        <v>40</v>
      </c>
      <c r="D1321">
        <v>5.3436579999999996</v>
      </c>
      <c r="E1321">
        <v>0.56677619999999995</v>
      </c>
      <c r="F1321" t="s">
        <v>54</v>
      </c>
      <c r="G1321">
        <v>-195.38900000000001</v>
      </c>
      <c r="H1321" s="1">
        <v>1.66247499999999E-7</v>
      </c>
      <c r="I1321">
        <v>298.67239999999998</v>
      </c>
      <c r="J1321">
        <v>-191.4873</v>
      </c>
      <c r="K1321">
        <v>1.1205719999999999</v>
      </c>
      <c r="L1321">
        <v>312.47410000000002</v>
      </c>
      <c r="M1321">
        <v>-3.057791E-2</v>
      </c>
      <c r="N1321">
        <v>-1.8200379999999999E-2</v>
      </c>
      <c r="O1321">
        <v>-0.99936689999999995</v>
      </c>
      <c r="P1321">
        <v>-9.961689E-2</v>
      </c>
      <c r="Q1321">
        <v>-9.934925E-2</v>
      </c>
      <c r="R1321">
        <v>-0.99005399999999999</v>
      </c>
      <c r="S1321">
        <v>-0.81463619999999903</v>
      </c>
      <c r="T1321">
        <v>-0.2334397</v>
      </c>
      <c r="U1321">
        <v>-2.927673</v>
      </c>
      <c r="V1321">
        <v>6.913859E-2</v>
      </c>
      <c r="W1321">
        <v>-8.1396540000000003E-2</v>
      </c>
      <c r="X1321">
        <v>0.99428090000000002</v>
      </c>
      <c r="Y1321">
        <v>0.23781630000000001</v>
      </c>
      <c r="Z1321">
        <v>5.875582E-2</v>
      </c>
      <c r="AA1321">
        <v>0.96953140000000004</v>
      </c>
      <c r="AB1321">
        <v>27</v>
      </c>
      <c r="AC1321">
        <v>-3.9016999999999999</v>
      </c>
      <c r="AD1321">
        <v>-1.1205718337524999</v>
      </c>
      <c r="AE1321">
        <v>-13.8017</v>
      </c>
      <c r="AF1321">
        <v>3.4566779455411498</v>
      </c>
      <c r="AG1321">
        <v>-1.1205718337524999</v>
      </c>
      <c r="AH1321">
        <v>13.8301485775189</v>
      </c>
      <c r="AI1321">
        <v>94.494540198391903</v>
      </c>
      <c r="AJ1321">
        <v>75.9671067023191</v>
      </c>
      <c r="AK1321">
        <v>14.2995564032608</v>
      </c>
      <c r="AL1321">
        <v>94.668843294192996</v>
      </c>
      <c r="AM1321">
        <v>86.022267846356499</v>
      </c>
      <c r="AN1321">
        <v>1.0000000247279801</v>
      </c>
    </row>
    <row r="1322" spans="1:40" x14ac:dyDescent="0.25">
      <c r="A1322" t="str">
        <f>"20190303154446383"</f>
        <v>20190303154446383</v>
      </c>
      <c r="B1322" t="str">
        <f>"1551599086372307"</f>
        <v>1551599086372307</v>
      </c>
      <c r="C1322" t="s">
        <v>40</v>
      </c>
      <c r="D1322">
        <v>5.345523</v>
      </c>
      <c r="E1322">
        <v>0.56659619999999999</v>
      </c>
      <c r="F1322" t="s">
        <v>54</v>
      </c>
      <c r="G1322">
        <v>-195.4939</v>
      </c>
      <c r="H1322" s="1">
        <v>2.2246579999999999E-7</v>
      </c>
      <c r="I1322">
        <v>298.35309999999998</v>
      </c>
      <c r="J1322">
        <v>-191.49789999999999</v>
      </c>
      <c r="K1322">
        <v>1.120638</v>
      </c>
      <c r="L1322">
        <v>312.1671</v>
      </c>
      <c r="M1322">
        <v>-3.167147E-2</v>
      </c>
      <c r="N1322">
        <v>-1.757593E-2</v>
      </c>
      <c r="O1322">
        <v>-0.99934409999999896</v>
      </c>
      <c r="P1322">
        <v>-0.10697859999999999</v>
      </c>
      <c r="Q1322">
        <v>-9.9039089999999996E-2</v>
      </c>
      <c r="R1322">
        <v>-0.98931659999999999</v>
      </c>
      <c r="S1322">
        <v>-0.82946779999999998</v>
      </c>
      <c r="T1322">
        <v>-0.23198779999999999</v>
      </c>
      <c r="U1322">
        <v>-2.9234010000000001</v>
      </c>
      <c r="V1322">
        <v>7.5451320000000002E-2</v>
      </c>
      <c r="W1322">
        <v>-8.1710279999999996E-2</v>
      </c>
      <c r="X1322">
        <v>0.99379600000000001</v>
      </c>
      <c r="Y1322">
        <v>0.2416797</v>
      </c>
      <c r="Z1322">
        <v>5.8919909999999999E-2</v>
      </c>
      <c r="AA1322">
        <v>0.96856560000000003</v>
      </c>
      <c r="AB1322">
        <v>27</v>
      </c>
      <c r="AC1322">
        <v>-3.996</v>
      </c>
      <c r="AD1322">
        <v>-1.1206377775342</v>
      </c>
      <c r="AE1322">
        <v>-13.814</v>
      </c>
      <c r="AF1322">
        <v>3.5349504177480102</v>
      </c>
      <c r="AG1322">
        <v>-1.1206377775342</v>
      </c>
      <c r="AH1322">
        <v>13.8495406041047</v>
      </c>
      <c r="AI1322">
        <v>94.482912085469096</v>
      </c>
      <c r="AJ1322">
        <v>75.681562043873598</v>
      </c>
      <c r="AK1322">
        <v>14.337415332936301</v>
      </c>
      <c r="AL1322">
        <v>94.6868795576503</v>
      </c>
      <c r="AM1322">
        <v>85.6582995823902</v>
      </c>
      <c r="AN1322">
        <v>0.99999998058171002</v>
      </c>
    </row>
    <row r="1323" spans="1:40" x14ac:dyDescent="0.25">
      <c r="A1323" t="str">
        <f>"20190303154446406"</f>
        <v>20190303154446406</v>
      </c>
      <c r="B1323" t="str">
        <f>"1551599086401587"</f>
        <v>1551599086401587</v>
      </c>
      <c r="C1323" t="s">
        <v>40</v>
      </c>
      <c r="D1323">
        <v>5.2957809999999998</v>
      </c>
      <c r="E1323">
        <v>0.56630049999999998</v>
      </c>
      <c r="F1323" t="s">
        <v>54</v>
      </c>
      <c r="G1323">
        <v>-195.6414</v>
      </c>
      <c r="H1323" s="1">
        <v>2.9542389999999999E-7</v>
      </c>
      <c r="I1323">
        <v>297.93889999999999</v>
      </c>
      <c r="J1323">
        <v>-191.50790000000001</v>
      </c>
      <c r="K1323">
        <v>1.120719</v>
      </c>
      <c r="L1323">
        <v>311.88490000000002</v>
      </c>
      <c r="M1323">
        <v>-3.2513199999999999E-2</v>
      </c>
      <c r="N1323">
        <v>-1.7078639999999999E-2</v>
      </c>
      <c r="O1323">
        <v>-0.99932549999999998</v>
      </c>
      <c r="P1323">
        <v>-0.11272500000000001</v>
      </c>
      <c r="Q1323">
        <v>-9.8972829999999998E-2</v>
      </c>
      <c r="R1323">
        <v>-0.98868509999999998</v>
      </c>
      <c r="S1323">
        <v>-0.84959409999999902</v>
      </c>
      <c r="T1323">
        <v>-0.2297825</v>
      </c>
      <c r="U1323">
        <v>-2.9174500000000001</v>
      </c>
      <c r="V1323">
        <v>8.0397250000000003E-2</v>
      </c>
      <c r="W1323">
        <v>-8.2135130000000001E-2</v>
      </c>
      <c r="X1323">
        <v>0.99337310000000001</v>
      </c>
      <c r="Y1323">
        <v>0.24755450000000001</v>
      </c>
      <c r="Z1323">
        <v>5.8712609999999998E-2</v>
      </c>
      <c r="AA1323">
        <v>0.96709330000000004</v>
      </c>
      <c r="AB1323">
        <v>27</v>
      </c>
      <c r="AC1323">
        <v>-4.13349999999999</v>
      </c>
      <c r="AD1323">
        <v>-1.1207187045761</v>
      </c>
      <c r="AE1323">
        <v>-13.946</v>
      </c>
      <c r="AF1323">
        <v>3.6561145653359999</v>
      </c>
      <c r="AG1323">
        <v>-1.1207187045761</v>
      </c>
      <c r="AH1323">
        <v>13.989987012471801</v>
      </c>
      <c r="AI1323">
        <v>94.431884826748202</v>
      </c>
      <c r="AJ1323">
        <v>75.354002200995396</v>
      </c>
      <c r="AK1323">
        <v>14.5032038094615</v>
      </c>
      <c r="AL1323">
        <v>94.711303644843298</v>
      </c>
      <c r="AM1323">
        <v>85.372932164866995</v>
      </c>
      <c r="AN1323">
        <v>1.00000000659564</v>
      </c>
    </row>
    <row r="1324" spans="1:40" x14ac:dyDescent="0.25">
      <c r="A1324" t="str">
        <f>"20190303154446430"</f>
        <v>20190303154446430</v>
      </c>
      <c r="B1324" t="str">
        <f>"1551599086422082"</f>
        <v>1551599086422082</v>
      </c>
      <c r="C1324" t="s">
        <v>40</v>
      </c>
      <c r="D1324">
        <v>5.5419400000000003</v>
      </c>
      <c r="E1324">
        <v>0.54459859999999904</v>
      </c>
      <c r="F1324" t="s">
        <v>54</v>
      </c>
      <c r="G1324">
        <v>-195.75059999999999</v>
      </c>
      <c r="H1324" s="1">
        <v>3.5825519999999999E-7</v>
      </c>
      <c r="I1324">
        <v>297.58210000000003</v>
      </c>
      <c r="J1324">
        <v>-191.5181</v>
      </c>
      <c r="K1324">
        <v>1.120787</v>
      </c>
      <c r="L1324">
        <v>311.59890000000001</v>
      </c>
      <c r="M1324">
        <v>-3.3234E-2</v>
      </c>
      <c r="N1324">
        <v>-1.6636539999999998E-2</v>
      </c>
      <c r="O1324">
        <v>-0.99930940000000001</v>
      </c>
      <c r="P1324">
        <v>-0.1150236</v>
      </c>
      <c r="Q1324">
        <v>-9.7120750000000006E-2</v>
      </c>
      <c r="R1324">
        <v>-0.98860409999999999</v>
      </c>
      <c r="S1324">
        <v>-0.86407469999999997</v>
      </c>
      <c r="T1324">
        <v>-0.22824749999999999</v>
      </c>
      <c r="U1324">
        <v>-2.9129330000000002</v>
      </c>
      <c r="V1324">
        <v>8.200151E-2</v>
      </c>
      <c r="W1324">
        <v>-8.0706299999999995E-2</v>
      </c>
      <c r="X1324">
        <v>0.99335910000000005</v>
      </c>
      <c r="Y1324">
        <v>0.25168550000000001</v>
      </c>
      <c r="Z1324">
        <v>5.8668419999999999E-2</v>
      </c>
      <c r="AA1324">
        <v>0.96602920000000003</v>
      </c>
      <c r="AB1324">
        <v>27</v>
      </c>
      <c r="AC1324">
        <v>-4.2324999999999804</v>
      </c>
      <c r="AD1324">
        <v>-1.1207866417448</v>
      </c>
      <c r="AE1324">
        <v>-14.0167999999999</v>
      </c>
      <c r="AF1324">
        <v>3.74233485038358</v>
      </c>
      <c r="AG1324">
        <v>-1.1207866417448</v>
      </c>
      <c r="AH1324">
        <v>14.0673114962851</v>
      </c>
      <c r="AI1324">
        <v>94.402809677670007</v>
      </c>
      <c r="AJ1324">
        <v>75.102614405544799</v>
      </c>
      <c r="AK1324">
        <v>14.5996741594538</v>
      </c>
      <c r="AL1324">
        <v>94.629164895210494</v>
      </c>
      <c r="AM1324">
        <v>85.280949608015504</v>
      </c>
      <c r="AN1324">
        <v>1.00000002802738</v>
      </c>
    </row>
    <row r="1325" spans="1:40" x14ac:dyDescent="0.25">
      <c r="A1325" t="str">
        <f>"20190303154446453"</f>
        <v>20190303154446453</v>
      </c>
      <c r="B1325" t="str">
        <f>"1551599086441603"</f>
        <v>1551599086441603</v>
      </c>
      <c r="C1325" t="s">
        <v>40</v>
      </c>
      <c r="D1325">
        <v>5.234693</v>
      </c>
      <c r="E1325">
        <v>0.53273700000000002</v>
      </c>
      <c r="F1325" t="s">
        <v>54</v>
      </c>
      <c r="G1325">
        <v>-194.64590000000001</v>
      </c>
      <c r="H1325" s="1">
        <v>1.9940220000000001E-7</v>
      </c>
      <c r="I1325">
        <v>298.48410000000001</v>
      </c>
      <c r="J1325">
        <v>-191.52770000000001</v>
      </c>
      <c r="K1325">
        <v>1.1208530000000001</v>
      </c>
      <c r="L1325">
        <v>311.33159999999998</v>
      </c>
      <c r="M1325">
        <v>-3.3766850000000001E-2</v>
      </c>
      <c r="N1325">
        <v>-1.62746E-2</v>
      </c>
      <c r="O1325">
        <v>-0.99929760000000001</v>
      </c>
      <c r="P1325">
        <v>-0.115559</v>
      </c>
      <c r="Q1325">
        <v>-9.7919549999999994E-2</v>
      </c>
      <c r="R1325">
        <v>-0.98846290000000003</v>
      </c>
      <c r="S1325">
        <v>-0.6984863</v>
      </c>
      <c r="T1325">
        <v>-0.25028929999999999</v>
      </c>
      <c r="U1325">
        <v>-2.928741</v>
      </c>
      <c r="V1325">
        <v>8.2028459999999997E-2</v>
      </c>
      <c r="W1325">
        <v>-8.1848660000000004E-2</v>
      </c>
      <c r="X1325">
        <v>0.99326340000000002</v>
      </c>
      <c r="Y1325">
        <v>0.19832739999999999</v>
      </c>
      <c r="Z1325">
        <v>6.691134E-2</v>
      </c>
      <c r="AA1325">
        <v>0.97784919999999997</v>
      </c>
      <c r="AB1325">
        <v>26</v>
      </c>
      <c r="AC1325">
        <v>-3.1181999999999999</v>
      </c>
      <c r="AD1325">
        <v>-1.1208528005978</v>
      </c>
      <c r="AE1325">
        <v>-12.847499999999901</v>
      </c>
      <c r="AF1325">
        <v>2.6634001852545701</v>
      </c>
      <c r="AG1325">
        <v>-1.1208528005978</v>
      </c>
      <c r="AH1325">
        <v>12.8530906137629</v>
      </c>
      <c r="AI1325">
        <v>94.880696747287999</v>
      </c>
      <c r="AJ1325">
        <v>78.292934211634602</v>
      </c>
      <c r="AK1325">
        <v>13.173911714939599</v>
      </c>
      <c r="AL1325">
        <v>94.694834577777996</v>
      </c>
      <c r="AM1325">
        <v>85.278952919197494</v>
      </c>
      <c r="AN1325">
        <v>1.00000002658666</v>
      </c>
    </row>
    <row r="1326" spans="1:40" x14ac:dyDescent="0.25">
      <c r="A1326" t="str">
        <f>"20190303154446491"</f>
        <v>20190303154446491</v>
      </c>
      <c r="B1326" t="str">
        <f>"1551599086481618"</f>
        <v>1551599086481618</v>
      </c>
      <c r="C1326" t="s">
        <v>40</v>
      </c>
      <c r="D1326">
        <v>5.2743640000000003</v>
      </c>
      <c r="E1326">
        <v>0.52540149999999997</v>
      </c>
      <c r="F1326" t="s">
        <v>54</v>
      </c>
      <c r="G1326">
        <v>-195.01769999999999</v>
      </c>
      <c r="H1326" s="1">
        <v>1.3623639999999999E-6</v>
      </c>
      <c r="I1326">
        <v>294.36849999999998</v>
      </c>
      <c r="J1326">
        <v>-191.5438</v>
      </c>
      <c r="K1326">
        <v>1.120976</v>
      </c>
      <c r="L1326">
        <v>310.87979999999999</v>
      </c>
      <c r="M1326">
        <v>-3.4312929999999998E-2</v>
      </c>
      <c r="N1326">
        <v>-1.5764139999999999E-2</v>
      </c>
      <c r="O1326">
        <v>-0.99928709999999998</v>
      </c>
      <c r="P1326">
        <v>-0.11275780000000001</v>
      </c>
      <c r="Q1326">
        <v>-0.1052164</v>
      </c>
      <c r="R1326">
        <v>-0.98803629999999998</v>
      </c>
      <c r="S1326">
        <v>-0.60589599999999999</v>
      </c>
      <c r="T1326">
        <v>-0.19459000000000001</v>
      </c>
      <c r="U1326">
        <v>-2.9449459999999998</v>
      </c>
      <c r="V1326">
        <v>7.8731809999999999E-2</v>
      </c>
      <c r="W1326">
        <v>-8.9622590000000002E-2</v>
      </c>
      <c r="X1326">
        <v>0.99285909999999999</v>
      </c>
      <c r="Y1326">
        <v>0.1674407</v>
      </c>
      <c r="Z1326">
        <v>4.9050160000000002E-2</v>
      </c>
      <c r="AA1326">
        <v>0.98466120000000001</v>
      </c>
      <c r="AB1326">
        <v>26</v>
      </c>
      <c r="AC1326">
        <v>-3.47389999999998</v>
      </c>
      <c r="AD1326">
        <v>-1.1209746376359999</v>
      </c>
      <c r="AE1326">
        <v>-16.511299999999999</v>
      </c>
      <c r="AF1326">
        <v>2.8924656059779599</v>
      </c>
      <c r="AG1326">
        <v>-1.1209746376359999</v>
      </c>
      <c r="AH1326">
        <v>16.5477498496622</v>
      </c>
      <c r="AI1326">
        <v>93.817691700785701</v>
      </c>
      <c r="AJ1326">
        <v>80.085145889183394</v>
      </c>
      <c r="AK1326">
        <v>16.836002093935001</v>
      </c>
      <c r="AL1326">
        <v>95.141895093875306</v>
      </c>
      <c r="AM1326">
        <v>85.466042857672505</v>
      </c>
      <c r="AN1326">
        <v>1.00000004949849</v>
      </c>
    </row>
    <row r="1327" spans="1:40" x14ac:dyDescent="0.25">
      <c r="A1327" t="str">
        <f>"20190303154446512"</f>
        <v>20190303154446512</v>
      </c>
      <c r="B1327" t="str">
        <f>"1551599086502114"</f>
        <v>1551599086502114</v>
      </c>
      <c r="C1327" t="s">
        <v>40</v>
      </c>
      <c r="D1327">
        <v>5.2583039999999999</v>
      </c>
      <c r="E1327">
        <v>0.52307859999999995</v>
      </c>
      <c r="F1327" t="s">
        <v>54</v>
      </c>
      <c r="G1327">
        <v>-194.251</v>
      </c>
      <c r="H1327" s="1">
        <v>8.7203409999999905E-7</v>
      </c>
      <c r="I1327">
        <v>296.07229999999998</v>
      </c>
      <c r="J1327">
        <v>-191.55269999999999</v>
      </c>
      <c r="K1327">
        <v>1.121067</v>
      </c>
      <c r="L1327">
        <v>310.62830000000002</v>
      </c>
      <c r="M1327">
        <v>-3.4447419999999999E-2</v>
      </c>
      <c r="N1327">
        <v>-1.552781E-2</v>
      </c>
      <c r="O1327">
        <v>-0.99928609999999896</v>
      </c>
      <c r="P1327">
        <v>-0.1102284</v>
      </c>
      <c r="Q1327">
        <v>-0.1086072</v>
      </c>
      <c r="R1327">
        <v>-0.98795460000000002</v>
      </c>
      <c r="S1327">
        <v>-0.53950500000000001</v>
      </c>
      <c r="T1327">
        <v>-0.2233967</v>
      </c>
      <c r="U1327">
        <v>-2.950958</v>
      </c>
      <c r="V1327">
        <v>7.6093809999999998E-2</v>
      </c>
      <c r="W1327">
        <v>-9.3230090000000002E-2</v>
      </c>
      <c r="X1327">
        <v>0.99273250000000002</v>
      </c>
      <c r="Y1327">
        <v>0.1454327</v>
      </c>
      <c r="Z1327">
        <v>5.8961079999999999E-2</v>
      </c>
      <c r="AA1327">
        <v>0.98760970000000003</v>
      </c>
      <c r="AB1327">
        <v>26</v>
      </c>
      <c r="AC1327">
        <v>-2.6982999999999802</v>
      </c>
      <c r="AD1327">
        <v>-1.12106612796589</v>
      </c>
      <c r="AE1327">
        <v>-14.555999999999999</v>
      </c>
      <c r="AF1327">
        <v>2.1827042154507201</v>
      </c>
      <c r="AG1327">
        <v>-1.12106612796589</v>
      </c>
      <c r="AH1327">
        <v>14.5568416966162</v>
      </c>
      <c r="AI1327">
        <v>94.355329582695603</v>
      </c>
      <c r="AJ1327">
        <v>81.472398766899104</v>
      </c>
      <c r="AK1327">
        <v>14.762202651899999</v>
      </c>
      <c r="AL1327">
        <v>95.349459476832195</v>
      </c>
      <c r="AM1327">
        <v>85.616799520887099</v>
      </c>
      <c r="AN1327">
        <v>0.99999996707898597</v>
      </c>
    </row>
    <row r="1328" spans="1:40" x14ac:dyDescent="0.25">
      <c r="A1328" t="str">
        <f>"20190303154446536"</f>
        <v>20190303154446536</v>
      </c>
      <c r="B1328" t="str">
        <f>"1551599086531394"</f>
        <v>1551599086531394</v>
      </c>
      <c r="C1328" t="s">
        <v>40</v>
      </c>
      <c r="D1328">
        <v>5.2340049999999998</v>
      </c>
      <c r="E1328">
        <v>0.52060509999999904</v>
      </c>
      <c r="F1328" t="s">
        <v>54</v>
      </c>
      <c r="G1328">
        <v>-193.97309999999999</v>
      </c>
      <c r="H1328" s="1">
        <v>6.6676130000000003E-7</v>
      </c>
      <c r="I1328">
        <v>296.72269999999997</v>
      </c>
      <c r="J1328">
        <v>-191.5624</v>
      </c>
      <c r="K1328">
        <v>1.121156</v>
      </c>
      <c r="L1328">
        <v>310.3492</v>
      </c>
      <c r="M1328">
        <v>-3.4492149999999999E-2</v>
      </c>
      <c r="N1328">
        <v>-1.529934E-2</v>
      </c>
      <c r="O1328">
        <v>-0.99928799999999995</v>
      </c>
      <c r="P1328">
        <v>-0.10674930000000001</v>
      </c>
      <c r="Q1328">
        <v>-0.1099044</v>
      </c>
      <c r="R1328">
        <v>-0.98819310000000005</v>
      </c>
      <c r="S1328">
        <v>-0.5140228</v>
      </c>
      <c r="T1328">
        <v>-0.23807600000000001</v>
      </c>
      <c r="U1328">
        <v>-2.9530639999999999</v>
      </c>
      <c r="V1328">
        <v>7.2585189999999994E-2</v>
      </c>
      <c r="W1328">
        <v>-9.473442E-2</v>
      </c>
      <c r="X1328">
        <v>0.99285290000000004</v>
      </c>
      <c r="Y1328">
        <v>0.1369474</v>
      </c>
      <c r="Z1328">
        <v>6.4102590000000001E-2</v>
      </c>
      <c r="AA1328">
        <v>0.98850199999999999</v>
      </c>
      <c r="AB1328">
        <v>26</v>
      </c>
      <c r="AC1328">
        <v>-2.4106999999999901</v>
      </c>
      <c r="AD1328">
        <v>-1.1211553332386901</v>
      </c>
      <c r="AE1328">
        <v>-13.6265</v>
      </c>
      <c r="AF1328">
        <v>1.92655677653135</v>
      </c>
      <c r="AG1328">
        <v>-1.1211553332386901</v>
      </c>
      <c r="AH1328">
        <v>13.6121973058863</v>
      </c>
      <c r="AI1328">
        <v>94.662227298669094</v>
      </c>
      <c r="AJ1328">
        <v>81.9443375304607</v>
      </c>
      <c r="AK1328">
        <v>13.7934957784032</v>
      </c>
      <c r="AL1328">
        <v>95.436033984595994</v>
      </c>
      <c r="AM1328">
        <v>85.8186762219363</v>
      </c>
      <c r="AN1328">
        <v>1.0000000505892399</v>
      </c>
    </row>
    <row r="1329" spans="1:40" x14ac:dyDescent="0.25">
      <c r="A1329" t="str">
        <f>"20190303154446557"</f>
        <v>20190303154446557</v>
      </c>
      <c r="B1329" t="str">
        <f>"1551599086551890"</f>
        <v>1551599086551890</v>
      </c>
      <c r="C1329" t="s">
        <v>40</v>
      </c>
      <c r="D1329">
        <v>5.2717539999999996</v>
      </c>
      <c r="E1329">
        <v>0.51989669999999999</v>
      </c>
      <c r="F1329" t="s">
        <v>54</v>
      </c>
      <c r="G1329">
        <v>-193.79249999999999</v>
      </c>
      <c r="H1329" s="1">
        <v>6.8014909999999998E-7</v>
      </c>
      <c r="I1329">
        <v>296.73009999999999</v>
      </c>
      <c r="J1329">
        <v>-191.57089999999999</v>
      </c>
      <c r="K1329">
        <v>1.1212120000000001</v>
      </c>
      <c r="L1329">
        <v>310.10390000000001</v>
      </c>
      <c r="M1329">
        <v>-3.445322E-2</v>
      </c>
      <c r="N1329">
        <v>-1.512526E-2</v>
      </c>
      <c r="O1329">
        <v>-0.99929210000000002</v>
      </c>
      <c r="P1329">
        <v>-0.10455449999999999</v>
      </c>
      <c r="Q1329">
        <v>-0.1092683</v>
      </c>
      <c r="R1329">
        <v>-0.98849860000000001</v>
      </c>
      <c r="S1329">
        <v>-0.48411559999999998</v>
      </c>
      <c r="T1329">
        <v>-0.24338280000000001</v>
      </c>
      <c r="U1329">
        <v>-2.9564509999999999</v>
      </c>
      <c r="V1329">
        <v>7.0433789999999996E-2</v>
      </c>
      <c r="W1329">
        <v>-9.4257199999999999E-2</v>
      </c>
      <c r="X1329">
        <v>0.99305319999999997</v>
      </c>
      <c r="Y1329">
        <v>0.12705150000000001</v>
      </c>
      <c r="Z1329">
        <v>6.6061670000000003E-2</v>
      </c>
      <c r="AA1329">
        <v>0.98969379999999996</v>
      </c>
      <c r="AB1329">
        <v>26</v>
      </c>
      <c r="AC1329">
        <v>-2.2215999999999898</v>
      </c>
      <c r="AD1329">
        <v>-1.1212113198508999</v>
      </c>
      <c r="AE1329">
        <v>-13.373799999999999</v>
      </c>
      <c r="AF1329">
        <v>1.74750509771521</v>
      </c>
      <c r="AG1329">
        <v>-1.1212113198508999</v>
      </c>
      <c r="AH1329">
        <v>13.351089516778501</v>
      </c>
      <c r="AI1329">
        <v>94.759967933575197</v>
      </c>
      <c r="AJ1329">
        <v>82.543028012084307</v>
      </c>
      <c r="AK1329">
        <v>13.511568383253501</v>
      </c>
      <c r="AL1329">
        <v>95.408568676192999</v>
      </c>
      <c r="AM1329">
        <v>85.9430046626387</v>
      </c>
      <c r="AN1329">
        <v>0.99999999827792196</v>
      </c>
    </row>
    <row r="1330" spans="1:40" x14ac:dyDescent="0.25">
      <c r="A1330" t="str">
        <f>"20190303154446581"</f>
        <v>20190303154446581</v>
      </c>
      <c r="B1330" t="str">
        <f>"1551599086571411"</f>
        <v>1551599086571411</v>
      </c>
      <c r="C1330" t="s">
        <v>40</v>
      </c>
      <c r="D1330">
        <v>5.2690440000000001</v>
      </c>
      <c r="E1330">
        <v>0.51911529999999995</v>
      </c>
      <c r="F1330" t="s">
        <v>54</v>
      </c>
      <c r="G1330">
        <v>-193.76050000000001</v>
      </c>
      <c r="H1330" s="1">
        <v>8.0637299999999896E-7</v>
      </c>
      <c r="I1330">
        <v>296.3811</v>
      </c>
      <c r="J1330">
        <v>-191.58029999999999</v>
      </c>
      <c r="K1330">
        <v>1.1212580000000001</v>
      </c>
      <c r="L1330">
        <v>309.8288</v>
      </c>
      <c r="M1330">
        <v>-3.4347509999999998E-2</v>
      </c>
      <c r="N1330">
        <v>-1.4954520000000001E-2</v>
      </c>
      <c r="O1330">
        <v>-0.99929829999999997</v>
      </c>
      <c r="P1330">
        <v>-0.10349369999999999</v>
      </c>
      <c r="Q1330">
        <v>-0.10722420000000001</v>
      </c>
      <c r="R1330">
        <v>-0.98883399999999999</v>
      </c>
      <c r="S1330">
        <v>-0.47201539999999997</v>
      </c>
      <c r="T1330">
        <v>-0.2417011</v>
      </c>
      <c r="U1330">
        <v>-2.9582519999999999</v>
      </c>
      <c r="V1330">
        <v>6.9477239999999996E-2</v>
      </c>
      <c r="W1330">
        <v>-9.2370930000000004E-2</v>
      </c>
      <c r="X1330">
        <v>0.99329780000000001</v>
      </c>
      <c r="Y1330">
        <v>0.12312289999999999</v>
      </c>
      <c r="Z1330">
        <v>6.5671359999999998E-2</v>
      </c>
      <c r="AA1330">
        <v>0.99021610000000004</v>
      </c>
      <c r="AB1330">
        <v>26</v>
      </c>
      <c r="AC1330">
        <v>-2.1802000000000099</v>
      </c>
      <c r="AD1330">
        <v>-1.1212571936269999</v>
      </c>
      <c r="AE1330">
        <v>-13.4476999999999</v>
      </c>
      <c r="AF1330">
        <v>1.7054142121551601</v>
      </c>
      <c r="AG1330">
        <v>-1.1212571936269999</v>
      </c>
      <c r="AH1330">
        <v>13.423723580050501</v>
      </c>
      <c r="AI1330">
        <v>94.736821211874101</v>
      </c>
      <c r="AJ1330">
        <v>82.759657132447401</v>
      </c>
      <c r="AK1330">
        <v>13.5779972780556</v>
      </c>
      <c r="AL1330">
        <v>95.300019724234403</v>
      </c>
      <c r="AM1330">
        <v>85.998904114913202</v>
      </c>
      <c r="AN1330">
        <v>0.99999999753596103</v>
      </c>
    </row>
    <row r="1331" spans="1:40" x14ac:dyDescent="0.25">
      <c r="A1331" t="str">
        <f>"20190303154446604"</f>
        <v>20190303154446604</v>
      </c>
      <c r="B1331" t="str">
        <f>"1551599086591906"</f>
        <v>1551599086591906</v>
      </c>
      <c r="C1331" t="s">
        <v>40</v>
      </c>
      <c r="D1331">
        <v>5.3006520000000004</v>
      </c>
      <c r="E1331">
        <v>0.5186849</v>
      </c>
      <c r="F1331" t="s">
        <v>54</v>
      </c>
      <c r="G1331">
        <v>-193.79689999999999</v>
      </c>
      <c r="H1331" s="1">
        <v>1.0650420000000001E-6</v>
      </c>
      <c r="I1331">
        <v>295.64030000000002</v>
      </c>
      <c r="J1331">
        <v>-191.58940000000001</v>
      </c>
      <c r="K1331">
        <v>1.121283</v>
      </c>
      <c r="L1331">
        <v>309.56130000000002</v>
      </c>
      <c r="M1331">
        <v>-3.4205970000000002E-2</v>
      </c>
      <c r="N1331">
        <v>-1.481327E-2</v>
      </c>
      <c r="O1331">
        <v>-0.999305</v>
      </c>
      <c r="P1331">
        <v>-0.1025515</v>
      </c>
      <c r="Q1331">
        <v>-0.1040514</v>
      </c>
      <c r="R1331">
        <v>-0.98927069999999995</v>
      </c>
      <c r="S1331">
        <v>-0.46243289999999998</v>
      </c>
      <c r="T1331">
        <v>-0.23392499999999999</v>
      </c>
      <c r="U1331">
        <v>-2.9601139999999999</v>
      </c>
      <c r="V1331">
        <v>6.8665680000000007E-2</v>
      </c>
      <c r="W1331">
        <v>-8.9329309999999995E-2</v>
      </c>
      <c r="X1331">
        <v>0.99363239999999997</v>
      </c>
      <c r="Y1331">
        <v>0.1200683</v>
      </c>
      <c r="Z1331">
        <v>6.3219429999999993E-2</v>
      </c>
      <c r="AA1331">
        <v>0.99075069999999998</v>
      </c>
      <c r="AB1331">
        <v>26</v>
      </c>
      <c r="AC1331">
        <v>-2.20749999999998</v>
      </c>
      <c r="AD1331">
        <v>-1.1212819349580001</v>
      </c>
      <c r="AE1331">
        <v>-13.9209999999999</v>
      </c>
      <c r="AF1331">
        <v>1.71909497233862</v>
      </c>
      <c r="AG1331">
        <v>-1.1212819349580001</v>
      </c>
      <c r="AH1331">
        <v>13.9004004845696</v>
      </c>
      <c r="AI1331">
        <v>94.577083534063505</v>
      </c>
      <c r="AJ1331">
        <v>82.949895201750607</v>
      </c>
      <c r="AK1331">
        <v>14.051110074759499</v>
      </c>
      <c r="AL1331">
        <v>95.125023849206201</v>
      </c>
      <c r="AM1331">
        <v>86.046818986495396</v>
      </c>
      <c r="AN1331">
        <v>1.0000000237823401</v>
      </c>
    </row>
    <row r="1332" spans="1:40" x14ac:dyDescent="0.25">
      <c r="A1332" t="str">
        <f>"20190303154446647"</f>
        <v>20190303154446647</v>
      </c>
      <c r="B1332" t="str">
        <f>"1551599086641682"</f>
        <v>1551599086641682</v>
      </c>
      <c r="C1332" t="s">
        <v>40</v>
      </c>
      <c r="D1332">
        <v>5.2866849999999896</v>
      </c>
      <c r="E1332">
        <v>0.51765909999999904</v>
      </c>
      <c r="F1332" t="s">
        <v>54</v>
      </c>
      <c r="G1332">
        <v>-193.88509999999999</v>
      </c>
      <c r="H1332" s="1">
        <v>1.4087449999999999E-6</v>
      </c>
      <c r="I1332">
        <v>294.64580000000001</v>
      </c>
      <c r="J1332">
        <v>-191.60650000000001</v>
      </c>
      <c r="K1332">
        <v>1.121283</v>
      </c>
      <c r="L1332">
        <v>309.05419999999998</v>
      </c>
      <c r="M1332">
        <v>-3.3932999999999998E-2</v>
      </c>
      <c r="N1332">
        <v>-1.4595210000000001E-2</v>
      </c>
      <c r="O1332">
        <v>-0.99931749999999997</v>
      </c>
      <c r="P1332">
        <v>-0.1004285</v>
      </c>
      <c r="Q1332">
        <v>-0.1003236</v>
      </c>
      <c r="R1332">
        <v>-0.98987349999999996</v>
      </c>
      <c r="S1332">
        <v>-0.45587159999999899</v>
      </c>
      <c r="T1332">
        <v>-0.2226591</v>
      </c>
      <c r="U1332">
        <v>-2.9618530000000001</v>
      </c>
      <c r="V1332">
        <v>6.6796229999999998E-2</v>
      </c>
      <c r="W1332">
        <v>-8.5809720000000006E-2</v>
      </c>
      <c r="X1332">
        <v>0.99406989999999995</v>
      </c>
      <c r="Y1332">
        <v>0.1181464</v>
      </c>
      <c r="Z1332">
        <v>5.9678000000000002E-2</v>
      </c>
      <c r="AA1332">
        <v>0.99120129999999995</v>
      </c>
      <c r="AB1332">
        <v>26</v>
      </c>
      <c r="AC1332">
        <v>-2.27859999999998</v>
      </c>
      <c r="AD1332">
        <v>-1.121281591255</v>
      </c>
      <c r="AE1332">
        <v>-14.408399999999901</v>
      </c>
      <c r="AF1332">
        <v>1.77781113891862</v>
      </c>
      <c r="AG1332">
        <v>-1.121281591255</v>
      </c>
      <c r="AH1332">
        <v>14.392392518148799</v>
      </c>
      <c r="AI1332">
        <v>94.421328973403405</v>
      </c>
      <c r="AJ1332">
        <v>82.958245668924107</v>
      </c>
      <c r="AK1332">
        <v>14.5450626416325</v>
      </c>
      <c r="AL1332">
        <v>94.922588511924005</v>
      </c>
      <c r="AM1332">
        <v>86.155805936183398</v>
      </c>
      <c r="AN1332">
        <v>1.0000000052373501</v>
      </c>
    </row>
    <row r="1333" spans="1:40" x14ac:dyDescent="0.25">
      <c r="A1333" t="str">
        <f>"20190303154446669"</f>
        <v>20190303154446669</v>
      </c>
      <c r="B1333" t="str">
        <f>"1551599086661202"</f>
        <v>1551599086661202</v>
      </c>
      <c r="C1333" t="s">
        <v>40</v>
      </c>
      <c r="D1333">
        <v>5.3041600000000004</v>
      </c>
      <c r="E1333">
        <v>0.51745059999999998</v>
      </c>
      <c r="F1333" t="s">
        <v>54</v>
      </c>
      <c r="G1333">
        <v>-193.9323</v>
      </c>
      <c r="H1333" s="1">
        <v>1.6272069999999901E-6</v>
      </c>
      <c r="I1333">
        <v>293.41129999999998</v>
      </c>
      <c r="J1333">
        <v>-191.61519999999999</v>
      </c>
      <c r="K1333">
        <v>1.1212679999999999</v>
      </c>
      <c r="L1333">
        <v>308.7928</v>
      </c>
      <c r="M1333">
        <v>-3.3816220000000001E-2</v>
      </c>
      <c r="N1333">
        <v>-1.450421E-2</v>
      </c>
      <c r="O1333">
        <v>-0.99932299999999996</v>
      </c>
      <c r="P1333">
        <v>-0.10125770000000001</v>
      </c>
      <c r="Q1333">
        <v>-0.10121189999999999</v>
      </c>
      <c r="R1333">
        <v>-0.98969859999999998</v>
      </c>
      <c r="S1333">
        <v>-0.44075009999999998</v>
      </c>
      <c r="T1333">
        <v>-0.21249190000000001</v>
      </c>
      <c r="U1333">
        <v>-2.9644469999999998</v>
      </c>
      <c r="V1333">
        <v>6.7745760000000002E-2</v>
      </c>
      <c r="W1333">
        <v>-8.6791419999999994E-2</v>
      </c>
      <c r="X1333">
        <v>0.99392040000000004</v>
      </c>
      <c r="Y1333">
        <v>0.1132223</v>
      </c>
      <c r="Z1333">
        <v>5.6379730000000003E-2</v>
      </c>
      <c r="AA1333">
        <v>0.99196879999999998</v>
      </c>
      <c r="AB1333">
        <v>26</v>
      </c>
      <c r="AC1333">
        <v>-2.3171000000000102</v>
      </c>
      <c r="AD1333">
        <v>-1.1212663727929999</v>
      </c>
      <c r="AE1333">
        <v>-15.381500000000001</v>
      </c>
      <c r="AF1333">
        <v>1.7862939780199401</v>
      </c>
      <c r="AG1333">
        <v>-1.1212663727929999</v>
      </c>
      <c r="AH1333">
        <v>15.3711949801217</v>
      </c>
      <c r="AI1333">
        <v>94.144313070487499</v>
      </c>
      <c r="AJ1333">
        <v>83.371362778105805</v>
      </c>
      <c r="AK1333">
        <v>15.5152092983493</v>
      </c>
      <c r="AL1333">
        <v>94.979046442736703</v>
      </c>
      <c r="AM1333">
        <v>86.100742213910394</v>
      </c>
      <c r="AN1333">
        <v>1.0000000000598701</v>
      </c>
    </row>
    <row r="1334" spans="1:40" x14ac:dyDescent="0.25">
      <c r="A1334" t="str">
        <f>"20190303154446692"</f>
        <v>20190303154446692</v>
      </c>
      <c r="B1334" t="str">
        <f>"1551599086681698"</f>
        <v>1551599086681698</v>
      </c>
      <c r="C1334" t="s">
        <v>40</v>
      </c>
      <c r="D1334">
        <v>5.3272640000000004</v>
      </c>
      <c r="E1334">
        <v>0.51731119999999997</v>
      </c>
      <c r="F1334" t="s">
        <v>54</v>
      </c>
      <c r="G1334">
        <v>-193.89519999999999</v>
      </c>
      <c r="H1334" s="1">
        <v>1.6160700000000001E-6</v>
      </c>
      <c r="I1334">
        <v>293.4932</v>
      </c>
      <c r="J1334">
        <v>-191.62389999999999</v>
      </c>
      <c r="K1334">
        <v>1.1212249999999999</v>
      </c>
      <c r="L1334">
        <v>308.53280000000001</v>
      </c>
      <c r="M1334">
        <v>-3.3725669999999999E-2</v>
      </c>
      <c r="N1334">
        <v>-1.4425729999999999E-2</v>
      </c>
      <c r="O1334">
        <v>-0.99932699999999997</v>
      </c>
      <c r="P1334">
        <v>-0.10313700000000001</v>
      </c>
      <c r="Q1334">
        <v>-0.1019106</v>
      </c>
      <c r="R1334">
        <v>-0.9894328</v>
      </c>
      <c r="S1334">
        <v>-0.44168089999999999</v>
      </c>
      <c r="T1334">
        <v>-0.21721109999999999</v>
      </c>
      <c r="U1334">
        <v>-2.9638369999999998</v>
      </c>
      <c r="V1334">
        <v>6.9720160000000003E-2</v>
      </c>
      <c r="W1334">
        <v>-8.7573059999999994E-2</v>
      </c>
      <c r="X1334">
        <v>0.99371529999999997</v>
      </c>
      <c r="Y1334">
        <v>0.11363180000000001</v>
      </c>
      <c r="Z1334">
        <v>5.8035639999999999E-2</v>
      </c>
      <c r="AA1334">
        <v>0.9918264</v>
      </c>
      <c r="AB1334">
        <v>26</v>
      </c>
      <c r="AC1334">
        <v>-2.2712999999999899</v>
      </c>
      <c r="AD1334">
        <v>-1.1212233839300001</v>
      </c>
      <c r="AE1334">
        <v>-15.0396</v>
      </c>
      <c r="AF1334">
        <v>1.7532073840536599</v>
      </c>
      <c r="AG1334">
        <v>-1.1212233839300001</v>
      </c>
      <c r="AH1334">
        <v>15.026000742898299</v>
      </c>
      <c r="AI1334">
        <v>94.238788801965697</v>
      </c>
      <c r="AJ1334">
        <v>83.344920518580295</v>
      </c>
      <c r="AK1334">
        <v>15.1694290048687</v>
      </c>
      <c r="AL1334">
        <v>95.0240021938951</v>
      </c>
      <c r="AM1334">
        <v>85.986641736476699</v>
      </c>
      <c r="AN1334">
        <v>1.00000001950113</v>
      </c>
    </row>
    <row r="1335" spans="1:40" x14ac:dyDescent="0.25">
      <c r="A1335" t="str">
        <f>"20190303154446714"</f>
        <v>20190303154446714</v>
      </c>
      <c r="B1335" t="str">
        <f>"1551599086701218"</f>
        <v>1551599086701218</v>
      </c>
      <c r="C1335" t="s">
        <v>40</v>
      </c>
      <c r="D1335">
        <v>5.2930809999999999</v>
      </c>
      <c r="E1335">
        <v>0.51716019999999996</v>
      </c>
      <c r="F1335" t="s">
        <v>54</v>
      </c>
      <c r="G1335">
        <v>-193.88310000000001</v>
      </c>
      <c r="H1335" s="1">
        <v>1.608932E-6</v>
      </c>
      <c r="I1335">
        <v>293.53980000000001</v>
      </c>
      <c r="J1335">
        <v>-191.63249999999999</v>
      </c>
      <c r="K1335">
        <v>1.121189</v>
      </c>
      <c r="L1335">
        <v>308.27569999999997</v>
      </c>
      <c r="M1335">
        <v>-3.3666830000000002E-2</v>
      </c>
      <c r="N1335">
        <v>-1.435814E-2</v>
      </c>
      <c r="O1335">
        <v>-0.9993301</v>
      </c>
      <c r="P1335">
        <v>-0.1053376</v>
      </c>
      <c r="Q1335">
        <v>-0.1027966</v>
      </c>
      <c r="R1335">
        <v>-0.98910949999999997</v>
      </c>
      <c r="S1335">
        <v>-0.4464264</v>
      </c>
      <c r="T1335">
        <v>-0.22155639999999999</v>
      </c>
      <c r="U1335">
        <v>-2.9626459999999999</v>
      </c>
      <c r="V1335">
        <v>7.1984489999999998E-2</v>
      </c>
      <c r="W1335">
        <v>-8.8532979999999997E-2</v>
      </c>
      <c r="X1335">
        <v>0.99346880000000004</v>
      </c>
      <c r="Y1335">
        <v>0.11528679999999999</v>
      </c>
      <c r="Z1335">
        <v>5.9558720000000002E-2</v>
      </c>
      <c r="AA1335">
        <v>0.99154509999999996</v>
      </c>
      <c r="AB1335">
        <v>26</v>
      </c>
      <c r="AC1335">
        <v>-2.2506000000000199</v>
      </c>
      <c r="AD1335">
        <v>-1.1211873910679999</v>
      </c>
      <c r="AE1335">
        <v>-14.7358999999999</v>
      </c>
      <c r="AF1335">
        <v>1.7432998650427201</v>
      </c>
      <c r="AG1335">
        <v>-1.1211873910679999</v>
      </c>
      <c r="AH1335">
        <v>14.7200511669775</v>
      </c>
      <c r="AI1335">
        <v>94.325545097307696</v>
      </c>
      <c r="AJ1335">
        <v>83.245904265954593</v>
      </c>
      <c r="AK1335">
        <v>14.865263601557301</v>
      </c>
      <c r="AL1335">
        <v>95.079215836130899</v>
      </c>
      <c r="AM1335">
        <v>85.855720644187201</v>
      </c>
      <c r="AN1335">
        <v>1.00000005596083</v>
      </c>
    </row>
    <row r="1336" spans="1:40" x14ac:dyDescent="0.25">
      <c r="A1336" t="str">
        <f>"20190303154446737"</f>
        <v>20190303154446737</v>
      </c>
      <c r="B1336" t="str">
        <f>"1551599086731474"</f>
        <v>1551599086731474</v>
      </c>
      <c r="C1336" t="s">
        <v>40</v>
      </c>
      <c r="D1336">
        <v>5.3594799999999996</v>
      </c>
      <c r="E1336">
        <v>0.51700740000000001</v>
      </c>
      <c r="F1336" t="s">
        <v>54</v>
      </c>
      <c r="G1336">
        <v>-193.87520000000001</v>
      </c>
      <c r="H1336" s="1">
        <v>1.6026910000000001E-6</v>
      </c>
      <c r="I1336">
        <v>293.57929999999999</v>
      </c>
      <c r="J1336">
        <v>-191.64150000000001</v>
      </c>
      <c r="K1336">
        <v>1.1211549999999999</v>
      </c>
      <c r="L1336">
        <v>308.0086</v>
      </c>
      <c r="M1336">
        <v>-3.3641230000000001E-2</v>
      </c>
      <c r="N1336">
        <v>-1.4297199999999999E-2</v>
      </c>
      <c r="O1336">
        <v>-0.99933179999999999</v>
      </c>
      <c r="P1336">
        <v>-0.10722950000000001</v>
      </c>
      <c r="Q1336">
        <v>-0.10305060000000001</v>
      </c>
      <c r="R1336">
        <v>-0.98887970000000003</v>
      </c>
      <c r="S1336">
        <v>-0.45190429999999998</v>
      </c>
      <c r="T1336">
        <v>-0.2259265</v>
      </c>
      <c r="U1336">
        <v>-2.9614259999999999</v>
      </c>
      <c r="V1336">
        <v>7.3902579999999995E-2</v>
      </c>
      <c r="W1336">
        <v>-8.8854680000000005E-2</v>
      </c>
      <c r="X1336">
        <v>0.99329920000000005</v>
      </c>
      <c r="Y1336">
        <v>0.1171492</v>
      </c>
      <c r="Z1336">
        <v>6.1081700000000003E-2</v>
      </c>
      <c r="AA1336">
        <v>0.99123410000000001</v>
      </c>
      <c r="AB1336">
        <v>26</v>
      </c>
      <c r="AC1336">
        <v>-2.23369999999999</v>
      </c>
      <c r="AD1336">
        <v>-1.121153397309</v>
      </c>
      <c r="AE1336">
        <v>-14.4293</v>
      </c>
      <c r="AF1336">
        <v>1.73672675509121</v>
      </c>
      <c r="AG1336">
        <v>-1.121153397309</v>
      </c>
      <c r="AH1336">
        <v>14.4113144573756</v>
      </c>
      <c r="AI1336">
        <v>94.416637259999604</v>
      </c>
      <c r="AJ1336">
        <v>83.128346850066904</v>
      </c>
      <c r="AK1336">
        <v>14.5588182608174</v>
      </c>
      <c r="AL1336">
        <v>95.097720984685907</v>
      </c>
      <c r="AM1336">
        <v>85.744969152019493</v>
      </c>
      <c r="AN1336">
        <v>1.00000002310459</v>
      </c>
    </row>
    <row r="1337" spans="1:40" x14ac:dyDescent="0.25">
      <c r="A1337" t="str">
        <f>"20190303154446760"</f>
        <v>20190303154446760</v>
      </c>
      <c r="B1337" t="str">
        <f>"1551599086751970"</f>
        <v>1551599086751970</v>
      </c>
      <c r="C1337" t="s">
        <v>40</v>
      </c>
      <c r="D1337">
        <v>5.3396039999999996</v>
      </c>
      <c r="E1337">
        <v>0.51678500000000005</v>
      </c>
      <c r="F1337" t="s">
        <v>54</v>
      </c>
      <c r="G1337">
        <v>-193.87870000000001</v>
      </c>
      <c r="H1337" s="1">
        <v>1.6186709999999999E-6</v>
      </c>
      <c r="I1337">
        <v>293.48669999999998</v>
      </c>
      <c r="J1337">
        <v>-191.65039999999999</v>
      </c>
      <c r="K1337">
        <v>1.121113</v>
      </c>
      <c r="L1337">
        <v>307.7441</v>
      </c>
      <c r="M1337">
        <v>-3.366359E-2</v>
      </c>
      <c r="N1337">
        <v>-1.424485E-2</v>
      </c>
      <c r="O1337">
        <v>-0.99933170000000004</v>
      </c>
      <c r="P1337">
        <v>-0.11017010000000001</v>
      </c>
      <c r="Q1337">
        <v>-0.1033321</v>
      </c>
      <c r="R1337">
        <v>-0.98852689999999999</v>
      </c>
      <c r="S1337">
        <v>-0.45608520000000002</v>
      </c>
      <c r="T1337">
        <v>-0.22855809999999999</v>
      </c>
      <c r="U1337">
        <v>-2.9604189999999999</v>
      </c>
      <c r="V1337">
        <v>7.6823619999999995E-2</v>
      </c>
      <c r="W1337">
        <v>-8.9198109999999997E-2</v>
      </c>
      <c r="X1337">
        <v>0.99304680000000001</v>
      </c>
      <c r="Y1337">
        <v>0.1185348</v>
      </c>
      <c r="Z1337">
        <v>6.2018190000000001E-2</v>
      </c>
      <c r="AA1337">
        <v>0.99101119999999998</v>
      </c>
      <c r="AB1337">
        <v>26</v>
      </c>
      <c r="AC1337">
        <v>-2.2283000000000102</v>
      </c>
      <c r="AD1337">
        <v>-1.1211113813289999</v>
      </c>
      <c r="AE1337">
        <v>-14.257400000000001</v>
      </c>
      <c r="AF1337">
        <v>1.7365513160527299</v>
      </c>
      <c r="AG1337">
        <v>-1.1211113813289999</v>
      </c>
      <c r="AH1337">
        <v>14.2383974172074</v>
      </c>
      <c r="AI1337">
        <v>94.469119978083299</v>
      </c>
      <c r="AJ1337">
        <v>83.046402622408394</v>
      </c>
      <c r="AK1337">
        <v>14.3876496417229</v>
      </c>
      <c r="AL1337">
        <v>95.117476332600404</v>
      </c>
      <c r="AM1337">
        <v>85.5763217357473</v>
      </c>
      <c r="AN1337">
        <v>1.00000005920385</v>
      </c>
    </row>
    <row r="1338" spans="1:40" x14ac:dyDescent="0.25">
      <c r="A1338" t="str">
        <f>"20190303154446782"</f>
        <v>20190303154446782</v>
      </c>
      <c r="B1338" t="str">
        <f>"1551599086771491"</f>
        <v>1551599086771491</v>
      </c>
      <c r="C1338" t="s">
        <v>40</v>
      </c>
      <c r="D1338">
        <v>5.3381410000000002</v>
      </c>
      <c r="E1338">
        <v>0.51660509999999904</v>
      </c>
      <c r="F1338" t="s">
        <v>54</v>
      </c>
      <c r="G1338">
        <v>-193.905</v>
      </c>
      <c r="H1338" s="1">
        <v>1.6405779999999901E-6</v>
      </c>
      <c r="I1338">
        <v>293.34910000000002</v>
      </c>
      <c r="J1338">
        <v>-191.65899999999999</v>
      </c>
      <c r="K1338">
        <v>1.1210599999999999</v>
      </c>
      <c r="L1338">
        <v>307.49189999999999</v>
      </c>
      <c r="M1338">
        <v>-3.3746470000000001E-2</v>
      </c>
      <c r="N1338">
        <v>-1.4201599999999899E-2</v>
      </c>
      <c r="O1338">
        <v>-0.99932980000000005</v>
      </c>
      <c r="P1338">
        <v>-0.1133183</v>
      </c>
      <c r="Q1338">
        <v>-0.1039487</v>
      </c>
      <c r="R1338">
        <v>-0.9881065</v>
      </c>
      <c r="S1338">
        <v>-0.46345520000000001</v>
      </c>
      <c r="T1338">
        <v>-0.23045959999999999</v>
      </c>
      <c r="U1338">
        <v>-2.959076</v>
      </c>
      <c r="V1338">
        <v>7.989272E-2</v>
      </c>
      <c r="W1338">
        <v>-8.9870370000000005E-2</v>
      </c>
      <c r="X1338">
        <v>0.99274390000000001</v>
      </c>
      <c r="Y1338">
        <v>0.1209215</v>
      </c>
      <c r="Z1338">
        <v>6.2701049999999994E-2</v>
      </c>
      <c r="AA1338">
        <v>0.99067989999999995</v>
      </c>
      <c r="AB1338">
        <v>26</v>
      </c>
      <c r="AC1338">
        <v>-2.24599999999998</v>
      </c>
      <c r="AD1338">
        <v>-1.1210583594220001</v>
      </c>
      <c r="AE1338">
        <v>-14.1427999999999</v>
      </c>
      <c r="AF1338">
        <v>1.75663699552815</v>
      </c>
      <c r="AG1338">
        <v>-1.1210583594220001</v>
      </c>
      <c r="AH1338">
        <v>14.123983516288099</v>
      </c>
      <c r="AI1338">
        <v>94.503650594507604</v>
      </c>
      <c r="AJ1338">
        <v>82.910378944763096</v>
      </c>
      <c r="AK1338">
        <v>14.276885365781499</v>
      </c>
      <c r="AL1338">
        <v>95.156149667290506</v>
      </c>
      <c r="AM1338">
        <v>85.398942456627793</v>
      </c>
      <c r="AN1338">
        <v>0.99999999055007205</v>
      </c>
    </row>
    <row r="1339" spans="1:40" x14ac:dyDescent="0.25">
      <c r="A1339" t="str">
        <f>"20190303154446805"</f>
        <v>20190303154446805</v>
      </c>
      <c r="B1339" t="str">
        <f>"1551599086801746"</f>
        <v>1551599086801746</v>
      </c>
      <c r="C1339" t="s">
        <v>40</v>
      </c>
      <c r="D1339">
        <v>5.364026</v>
      </c>
      <c r="E1339">
        <v>0.51629449999999999</v>
      </c>
      <c r="F1339" t="s">
        <v>42</v>
      </c>
      <c r="G1339">
        <v>-191.81110000000001</v>
      </c>
      <c r="H1339">
        <v>1.0457430000000001</v>
      </c>
      <c r="I1339">
        <v>306.5378</v>
      </c>
      <c r="J1339">
        <v>-191.66829999999999</v>
      </c>
      <c r="K1339">
        <v>1.1209910000000001</v>
      </c>
      <c r="L1339">
        <v>307.2201</v>
      </c>
      <c r="M1339">
        <v>-3.3917259999999998E-2</v>
      </c>
      <c r="N1339">
        <v>-1.4161429999999999E-2</v>
      </c>
      <c r="O1339">
        <v>-0.99932460000000001</v>
      </c>
      <c r="P1339">
        <v>-0.116272</v>
      </c>
      <c r="Q1339">
        <v>-0.10363260000000001</v>
      </c>
      <c r="R1339">
        <v>-0.98779640000000002</v>
      </c>
      <c r="S1339">
        <v>-0.47116089999999999</v>
      </c>
      <c r="T1339">
        <v>-0.23358039999999999</v>
      </c>
      <c r="U1339">
        <v>-2.9575200000000001</v>
      </c>
      <c r="V1339">
        <v>8.2673679999999999E-2</v>
      </c>
      <c r="W1339">
        <v>-8.9608590000000002E-2</v>
      </c>
      <c r="X1339">
        <v>0.99253990000000003</v>
      </c>
      <c r="Y1339">
        <v>0.1233364</v>
      </c>
      <c r="Z1339">
        <v>6.3789289999999998E-2</v>
      </c>
      <c r="AA1339">
        <v>0.99031259999999999</v>
      </c>
      <c r="AB1339">
        <v>26</v>
      </c>
      <c r="AC1339">
        <v>-0.14280000000002199</v>
      </c>
      <c r="AD1339">
        <v>-7.5247999999999898E-2</v>
      </c>
      <c r="AE1339">
        <v>-0.68229999999999702</v>
      </c>
      <c r="AF1339">
        <v>0.118196473155137</v>
      </c>
      <c r="AG1339">
        <v>-7.5247999999999898E-2</v>
      </c>
      <c r="AH1339">
        <v>0.67884100402444603</v>
      </c>
      <c r="AI1339">
        <v>96.232276706747399</v>
      </c>
      <c r="AJ1339">
        <v>80.1229560134026</v>
      </c>
      <c r="AK1339">
        <v>0.69315061603898998</v>
      </c>
      <c r="AL1339">
        <v>95.141089736046595</v>
      </c>
      <c r="AM1339">
        <v>85.238535549877199</v>
      </c>
      <c r="AN1339">
        <v>1.0000000449292601</v>
      </c>
    </row>
    <row r="1340" spans="1:40" x14ac:dyDescent="0.25">
      <c r="A1340" t="str">
        <f>"20190303154446831"</f>
        <v>20190303154446831</v>
      </c>
      <c r="B1340" t="str">
        <f>"1551599086822243"</f>
        <v>1551599086822243</v>
      </c>
      <c r="C1340" t="s">
        <v>40</v>
      </c>
      <c r="D1340">
        <v>5.3703349999999999</v>
      </c>
      <c r="E1340">
        <v>0.51601409999999903</v>
      </c>
      <c r="F1340" t="s">
        <v>54</v>
      </c>
      <c r="G1340">
        <v>-193.9556</v>
      </c>
      <c r="H1340" s="1">
        <v>1.6855119999999999E-6</v>
      </c>
      <c r="I1340">
        <v>293.06849999999997</v>
      </c>
      <c r="J1340">
        <v>-191.67830000000001</v>
      </c>
      <c r="K1340">
        <v>1.1209279999999999</v>
      </c>
      <c r="L1340">
        <v>306.9341</v>
      </c>
      <c r="M1340">
        <v>-3.4171140000000003E-2</v>
      </c>
      <c r="N1340">
        <v>-1.4124940000000001E-2</v>
      </c>
      <c r="O1340">
        <v>-0.99931650000000005</v>
      </c>
      <c r="P1340">
        <v>-0.1189482</v>
      </c>
      <c r="Q1340">
        <v>-0.1021224</v>
      </c>
      <c r="R1340">
        <v>-0.98763500000000004</v>
      </c>
      <c r="S1340">
        <v>-0.47781370000000001</v>
      </c>
      <c r="T1340">
        <v>-0.23417209999999999</v>
      </c>
      <c r="U1340">
        <v>-2.9562379999999999</v>
      </c>
      <c r="V1340">
        <v>8.5090100000000002E-2</v>
      </c>
      <c r="W1340">
        <v>-8.8148009999999999E-2</v>
      </c>
      <c r="X1340">
        <v>0.99246639999999997</v>
      </c>
      <c r="Y1340">
        <v>0.12531980000000001</v>
      </c>
      <c r="Z1340">
        <v>6.4031480000000002E-2</v>
      </c>
      <c r="AA1340">
        <v>0.99004789999999998</v>
      </c>
      <c r="AB1340">
        <v>26</v>
      </c>
      <c r="AC1340">
        <v>-2.2772999999999901</v>
      </c>
      <c r="AD1340">
        <v>-1.120926314488</v>
      </c>
      <c r="AE1340">
        <v>-13.865600000000001</v>
      </c>
      <c r="AF1340">
        <v>1.79072349023391</v>
      </c>
      <c r="AG1340">
        <v>-1.120926314488</v>
      </c>
      <c r="AH1340">
        <v>13.847205580766699</v>
      </c>
      <c r="AI1340">
        <v>94.5899257255289</v>
      </c>
      <c r="AJ1340">
        <v>82.631393168801495</v>
      </c>
      <c r="AK1340">
        <v>14.007436197142001</v>
      </c>
      <c r="AL1340">
        <v>95.057072512085895</v>
      </c>
      <c r="AM1340">
        <v>85.099672443686998</v>
      </c>
      <c r="AN1340">
        <v>0.99999997595696399</v>
      </c>
    </row>
    <row r="1341" spans="1:40" x14ac:dyDescent="0.25">
      <c r="A1341" t="str">
        <f>"20190303154446854"</f>
        <v>20190303154446854</v>
      </c>
      <c r="B1341" t="str">
        <f>"1551599086851522"</f>
        <v>1551599086851522</v>
      </c>
      <c r="C1341" t="s">
        <v>40</v>
      </c>
      <c r="D1341">
        <v>5.3788589999999896</v>
      </c>
      <c r="E1341">
        <v>0.51563110000000001</v>
      </c>
      <c r="F1341" t="s">
        <v>54</v>
      </c>
      <c r="G1341">
        <v>-194.02799999999999</v>
      </c>
      <c r="H1341" s="1">
        <v>1.7706550000000001E-6</v>
      </c>
      <c r="I1341">
        <v>292.56490000000002</v>
      </c>
      <c r="J1341">
        <v>-191.68819999999999</v>
      </c>
      <c r="K1341">
        <v>1.1208739999999999</v>
      </c>
      <c r="L1341">
        <v>306.65449999999998</v>
      </c>
      <c r="M1341">
        <v>-3.449953E-2</v>
      </c>
      <c r="N1341">
        <v>-1.409408E-2</v>
      </c>
      <c r="O1341">
        <v>-0.99930569999999996</v>
      </c>
      <c r="P1341">
        <v>-0.121377399999999</v>
      </c>
      <c r="Q1341">
        <v>-0.10058930000000001</v>
      </c>
      <c r="R1341">
        <v>-0.98749719999999996</v>
      </c>
      <c r="S1341">
        <v>-0.48330689999999998</v>
      </c>
      <c r="T1341">
        <v>-0.23055590000000001</v>
      </c>
      <c r="U1341">
        <v>-2.955505</v>
      </c>
      <c r="V1341">
        <v>8.7186050000000001E-2</v>
      </c>
      <c r="W1341">
        <v>-8.6658520000000003E-2</v>
      </c>
      <c r="X1341">
        <v>0.99241570000000001</v>
      </c>
      <c r="Y1341">
        <v>0.12683729999999999</v>
      </c>
      <c r="Z1341">
        <v>6.2861890000000004E-2</v>
      </c>
      <c r="AA1341">
        <v>0.98992959999999997</v>
      </c>
      <c r="AB1341">
        <v>26</v>
      </c>
      <c r="AC1341">
        <v>-2.3397999999999901</v>
      </c>
      <c r="AD1341">
        <v>-1.120872229345</v>
      </c>
      <c r="AE1341">
        <v>-14.0895999999999</v>
      </c>
      <c r="AF1341">
        <v>1.84093612743977</v>
      </c>
      <c r="AG1341">
        <v>-1.120872229345</v>
      </c>
      <c r="AH1341">
        <v>14.0752535048945</v>
      </c>
      <c r="AI1341">
        <v>94.514806029317498</v>
      </c>
      <c r="AJ1341">
        <v>82.548445991866799</v>
      </c>
      <c r="AK1341">
        <v>14.239317455793801</v>
      </c>
      <c r="AL1341">
        <v>94.971402966006806</v>
      </c>
      <c r="AM1341">
        <v>84.979321321040501</v>
      </c>
      <c r="AN1341">
        <v>1.00000001400484</v>
      </c>
    </row>
    <row r="1342" spans="1:40" x14ac:dyDescent="0.25">
      <c r="A1342" t="str">
        <f>"20190303154446874"</f>
        <v>20190303154446874</v>
      </c>
      <c r="B1342" t="str">
        <f>"1551599086872018"</f>
        <v>1551599086872018</v>
      </c>
      <c r="C1342" t="s">
        <v>40</v>
      </c>
      <c r="D1342">
        <v>5.6542709999999996</v>
      </c>
      <c r="E1342">
        <v>0.51563840000000005</v>
      </c>
      <c r="F1342" t="s">
        <v>54</v>
      </c>
      <c r="G1342">
        <v>-194.08269999999999</v>
      </c>
      <c r="H1342" s="1">
        <v>1.9100189999999998E-6</v>
      </c>
      <c r="I1342">
        <v>292.14319999999998</v>
      </c>
      <c r="J1342">
        <v>-191.69649999999999</v>
      </c>
      <c r="K1342">
        <v>1.1208419999999999</v>
      </c>
      <c r="L1342">
        <v>306.42349999999999</v>
      </c>
      <c r="M1342">
        <v>-3.4839719999999998E-2</v>
      </c>
      <c r="N1342">
        <v>-1.4125560000000001E-2</v>
      </c>
      <c r="O1342">
        <v>-0.99929330000000005</v>
      </c>
      <c r="P1342">
        <v>-0.1236136</v>
      </c>
      <c r="Q1342">
        <v>-0.1012282</v>
      </c>
      <c r="R1342">
        <v>-0.98715399999999998</v>
      </c>
      <c r="S1342">
        <v>-0.48757929999999999</v>
      </c>
      <c r="T1342">
        <v>-0.2282332</v>
      </c>
      <c r="U1342">
        <v>-2.9548030000000001</v>
      </c>
      <c r="V1342">
        <v>8.9084969999999999E-2</v>
      </c>
      <c r="W1342">
        <v>-8.7280759999999999E-2</v>
      </c>
      <c r="X1342">
        <v>0.99219250000000003</v>
      </c>
      <c r="Y1342">
        <v>0.12793869999999999</v>
      </c>
      <c r="Z1342">
        <v>6.2062739999999998E-2</v>
      </c>
      <c r="AA1342">
        <v>0.98983829999999995</v>
      </c>
      <c r="AB1342">
        <v>26</v>
      </c>
      <c r="AC1342">
        <v>-2.3862000000000001</v>
      </c>
      <c r="AD1342">
        <v>-1.120840089981</v>
      </c>
      <c r="AE1342">
        <v>-14.2803</v>
      </c>
      <c r="AF1342">
        <v>1.87593718246963</v>
      </c>
      <c r="AG1342">
        <v>-1.120840089981</v>
      </c>
      <c r="AH1342">
        <v>14.2692544022568</v>
      </c>
      <c r="AI1342">
        <v>94.453159638546197</v>
      </c>
      <c r="AJ1342">
        <v>82.510443008529407</v>
      </c>
      <c r="AK1342">
        <v>14.435617202468499</v>
      </c>
      <c r="AL1342">
        <v>95.007190311558801</v>
      </c>
      <c r="AM1342">
        <v>84.8693999308569</v>
      </c>
      <c r="AN1342">
        <v>1.0000000100011599</v>
      </c>
    </row>
    <row r="1343" spans="1:40" x14ac:dyDescent="0.25">
      <c r="A1343" t="str">
        <f>"20190303154446892"</f>
        <v>20190303154446892</v>
      </c>
      <c r="B1343" t="str">
        <f>"1551599086881792"</f>
        <v>1551599086881792</v>
      </c>
      <c r="C1343" t="s">
        <v>40</v>
      </c>
      <c r="D1343">
        <v>5.6596989999999998</v>
      </c>
      <c r="E1343">
        <v>0.55128319999999997</v>
      </c>
      <c r="F1343" t="s">
        <v>54</v>
      </c>
      <c r="G1343">
        <v>-194.1003</v>
      </c>
      <c r="H1343" s="1">
        <v>1.9365980000000002E-6</v>
      </c>
      <c r="I1343">
        <v>292.05930000000001</v>
      </c>
      <c r="J1343">
        <v>-191.70410000000001</v>
      </c>
      <c r="K1343">
        <v>1.120824</v>
      </c>
      <c r="L1343">
        <v>306.21609999999998</v>
      </c>
      <c r="M1343">
        <v>-3.5206250000000001E-2</v>
      </c>
      <c r="N1343">
        <v>-1.4259340000000001E-2</v>
      </c>
      <c r="O1343">
        <v>-0.99927849999999996</v>
      </c>
      <c r="P1343">
        <v>-0.12612419999999999</v>
      </c>
      <c r="Q1343">
        <v>-0.1021849</v>
      </c>
      <c r="R1343">
        <v>-0.98673770000000005</v>
      </c>
      <c r="S1343">
        <v>-0.4942474</v>
      </c>
      <c r="T1343">
        <v>-0.2304612</v>
      </c>
      <c r="U1343">
        <v>-2.9534910000000001</v>
      </c>
      <c r="V1343">
        <v>9.1234689999999993E-2</v>
      </c>
      <c r="W1343">
        <v>-8.812064E-2</v>
      </c>
      <c r="X1343">
        <v>0.99192290000000005</v>
      </c>
      <c r="Y1343">
        <v>0.1298108</v>
      </c>
      <c r="Z1343">
        <v>6.2678540000000005E-2</v>
      </c>
      <c r="AA1343">
        <v>0.98955570000000004</v>
      </c>
      <c r="AB1343">
        <v>26</v>
      </c>
      <c r="AC1343">
        <v>-2.3961999999999901</v>
      </c>
      <c r="AD1343">
        <v>-1.1208220634020001</v>
      </c>
      <c r="AE1343">
        <v>-14.156799999999899</v>
      </c>
      <c r="AF1343">
        <v>1.8847706940614799</v>
      </c>
      <c r="AG1343">
        <v>-1.1208220634020001</v>
      </c>
      <c r="AH1343">
        <v>14.1461901565171</v>
      </c>
      <c r="AI1343">
        <v>94.490641254769997</v>
      </c>
      <c r="AJ1343">
        <v>82.410880243628995</v>
      </c>
      <c r="AK1343">
        <v>14.3151422840062</v>
      </c>
      <c r="AL1343">
        <v>95.055497938021603</v>
      </c>
      <c r="AM1343">
        <v>84.744857584685107</v>
      </c>
      <c r="AN1343">
        <v>1.0000000276989001</v>
      </c>
    </row>
    <row r="1344" spans="1:40" x14ac:dyDescent="0.25">
      <c r="A1344" t="str">
        <f>"20190303154446915"</f>
        <v>20190303154446915</v>
      </c>
      <c r="B1344" t="str">
        <f>"1551599086912036"</f>
        <v>1551599086912036</v>
      </c>
      <c r="C1344" t="s">
        <v>40</v>
      </c>
      <c r="D1344">
        <v>5.423044</v>
      </c>
      <c r="E1344">
        <v>0.57574369999999997</v>
      </c>
      <c r="F1344" t="s">
        <v>54</v>
      </c>
      <c r="G1344">
        <v>-194.88630000000001</v>
      </c>
      <c r="H1344" s="1">
        <v>1.3684600000000001E-6</v>
      </c>
      <c r="I1344">
        <v>294.40010000000001</v>
      </c>
      <c r="J1344">
        <v>-191.714</v>
      </c>
      <c r="K1344">
        <v>1.12083</v>
      </c>
      <c r="L1344">
        <v>305.95159999999998</v>
      </c>
      <c r="M1344">
        <v>-3.5770400000000001E-2</v>
      </c>
      <c r="N1344">
        <v>-1.4574119999999999E-2</v>
      </c>
      <c r="O1344">
        <v>-0.99925390000000003</v>
      </c>
      <c r="P1344">
        <v>-0.1280454</v>
      </c>
      <c r="Q1344">
        <v>-0.1017927</v>
      </c>
      <c r="R1344">
        <v>-0.98653069999999998</v>
      </c>
      <c r="S1344">
        <v>-0.78410340000000001</v>
      </c>
      <c r="T1344">
        <v>-0.27617550000000002</v>
      </c>
      <c r="U1344">
        <v>-2.91153</v>
      </c>
      <c r="V1344">
        <v>9.2588589999999998E-2</v>
      </c>
      <c r="W1344">
        <v>-8.7433990000000003E-2</v>
      </c>
      <c r="X1344">
        <v>0.99185820000000002</v>
      </c>
      <c r="Y1344">
        <v>0.2243917</v>
      </c>
      <c r="Z1344">
        <v>7.7070330000000006E-2</v>
      </c>
      <c r="AA1344">
        <v>0.97144660000000005</v>
      </c>
      <c r="AB1344">
        <v>26</v>
      </c>
      <c r="AC1344">
        <v>-3.1722999999999701</v>
      </c>
      <c r="AD1344">
        <v>-1.12082863154</v>
      </c>
      <c r="AE1344">
        <v>-11.5514999999999</v>
      </c>
      <c r="AF1344">
        <v>2.7330972711889099</v>
      </c>
      <c r="AG1344">
        <v>-1.12082863154</v>
      </c>
      <c r="AH1344">
        <v>11.556423211780199</v>
      </c>
      <c r="AI1344">
        <v>95.391823881630202</v>
      </c>
      <c r="AJ1344">
        <v>76.694015298412296</v>
      </c>
      <c r="AK1344">
        <v>11.927992075988</v>
      </c>
      <c r="AL1344">
        <v>95.016003389479707</v>
      </c>
      <c r="AM1344">
        <v>84.666973062770296</v>
      </c>
      <c r="AN1344">
        <v>1.0000000192563701</v>
      </c>
    </row>
    <row r="1345" spans="1:40" x14ac:dyDescent="0.25">
      <c r="A1345" t="str">
        <f>"20190303154446938"</f>
        <v>20190303154446938</v>
      </c>
      <c r="B1345" t="str">
        <f>"1551599086931555"</f>
        <v>1551599086931555</v>
      </c>
      <c r="C1345" t="s">
        <v>40</v>
      </c>
      <c r="D1345">
        <v>5.3864049999999999</v>
      </c>
      <c r="E1345">
        <v>0.58080830000000006</v>
      </c>
      <c r="F1345" t="s">
        <v>54</v>
      </c>
      <c r="G1345">
        <v>-196.4907</v>
      </c>
      <c r="H1345" s="1">
        <v>1.664382E-6</v>
      </c>
      <c r="I1345">
        <v>291.91180000000003</v>
      </c>
      <c r="J1345">
        <v>-191.72389999999999</v>
      </c>
      <c r="K1345">
        <v>1.12083</v>
      </c>
      <c r="L1345">
        <v>305.69299999999998</v>
      </c>
      <c r="M1345">
        <v>-3.6446939999999997E-2</v>
      </c>
      <c r="N1345">
        <v>-1.497218E-2</v>
      </c>
      <c r="O1345">
        <v>-0.99922350000000004</v>
      </c>
      <c r="P1345">
        <v>-0.1290963</v>
      </c>
      <c r="Q1345">
        <v>-0.10027320000000001</v>
      </c>
      <c r="R1345">
        <v>-0.98654960000000003</v>
      </c>
      <c r="S1345">
        <v>-0.98309329999999995</v>
      </c>
      <c r="T1345">
        <v>-0.23067760000000001</v>
      </c>
      <c r="U1345">
        <v>-2.889526</v>
      </c>
      <c r="V1345">
        <v>9.2951829999999999E-2</v>
      </c>
      <c r="W1345">
        <v>-8.5537080000000001E-2</v>
      </c>
      <c r="X1345">
        <v>0.99198960000000003</v>
      </c>
      <c r="Y1345">
        <v>0.2865875</v>
      </c>
      <c r="Z1345">
        <v>6.0868400000000003E-2</v>
      </c>
      <c r="AA1345">
        <v>0.95611849999999998</v>
      </c>
      <c r="AB1345">
        <v>26</v>
      </c>
      <c r="AC1345">
        <v>-4.7668000000000097</v>
      </c>
      <c r="AD1345">
        <v>-1.120828335618</v>
      </c>
      <c r="AE1345">
        <v>-13.781199999999901</v>
      </c>
      <c r="AF1345">
        <v>4.2362663492064998</v>
      </c>
      <c r="AG1345">
        <v>-1.120828335618</v>
      </c>
      <c r="AH1345">
        <v>13.8638912933596</v>
      </c>
      <c r="AI1345">
        <v>94.421100078684603</v>
      </c>
      <c r="AJ1345">
        <v>73.008884365197503</v>
      </c>
      <c r="AK1345">
        <v>14.539934337315101</v>
      </c>
      <c r="AL1345">
        <v>94.906909766769203</v>
      </c>
      <c r="AM1345">
        <v>84.646877129575898</v>
      </c>
      <c r="AN1345">
        <v>1.00000000063171</v>
      </c>
    </row>
    <row r="1346" spans="1:40" x14ac:dyDescent="0.25">
      <c r="A1346" t="str">
        <f>"20190303154446958"</f>
        <v>20190303154446958</v>
      </c>
      <c r="B1346" t="str">
        <f>"1551599086952052"</f>
        <v>1551599086952052</v>
      </c>
      <c r="C1346" t="s">
        <v>40</v>
      </c>
      <c r="D1346">
        <v>5.349189</v>
      </c>
      <c r="E1346">
        <v>0.58387690000000003</v>
      </c>
      <c r="F1346" t="s">
        <v>54</v>
      </c>
      <c r="G1346">
        <v>-197.20410000000001</v>
      </c>
      <c r="H1346" s="1">
        <v>2.014272E-6</v>
      </c>
      <c r="I1346">
        <v>290.28199999999998</v>
      </c>
      <c r="J1346">
        <v>-191.73339999999999</v>
      </c>
      <c r="K1346">
        <v>1.1207959999999999</v>
      </c>
      <c r="L1346">
        <v>305.45589999999999</v>
      </c>
      <c r="M1346">
        <v>-3.7204590000000003E-2</v>
      </c>
      <c r="N1346">
        <v>-1.5349349999999999E-2</v>
      </c>
      <c r="O1346">
        <v>-0.99919009999999997</v>
      </c>
      <c r="P1346">
        <v>-0.13023270000000001</v>
      </c>
      <c r="Q1346">
        <v>-9.9971089999999999E-2</v>
      </c>
      <c r="R1346">
        <v>-0.98643110000000001</v>
      </c>
      <c r="S1346">
        <v>-1.0260309999999999</v>
      </c>
      <c r="T1346">
        <v>-0.2098498</v>
      </c>
      <c r="U1346">
        <v>-2.885345</v>
      </c>
      <c r="V1346">
        <v>9.3321420000000002E-2</v>
      </c>
      <c r="W1346">
        <v>-8.4883120000000006E-2</v>
      </c>
      <c r="X1346">
        <v>0.99201110000000003</v>
      </c>
      <c r="Y1346">
        <v>0.29909210000000003</v>
      </c>
      <c r="Z1346">
        <v>5.3485619999999998E-2</v>
      </c>
      <c r="AA1346">
        <v>0.95272409999999996</v>
      </c>
      <c r="AB1346">
        <v>25</v>
      </c>
      <c r="AC1346">
        <v>-5.4707000000000203</v>
      </c>
      <c r="AD1346">
        <v>-1.12079398572799</v>
      </c>
      <c r="AE1346">
        <v>-15.1739</v>
      </c>
      <c r="AF1346">
        <v>4.87875096023373</v>
      </c>
      <c r="AG1346">
        <v>-1.12079398572799</v>
      </c>
      <c r="AH1346">
        <v>15.2931131313886</v>
      </c>
      <c r="AI1346">
        <v>93.993949371870301</v>
      </c>
      <c r="AJ1346">
        <v>72.306474251140898</v>
      </c>
      <c r="AK1346">
        <v>16.091541235688901</v>
      </c>
      <c r="AL1346">
        <v>94.869303716867606</v>
      </c>
      <c r="AM1346">
        <v>84.625832511690305</v>
      </c>
      <c r="AN1346">
        <v>1.00000002700748</v>
      </c>
    </row>
    <row r="1347" spans="1:40" x14ac:dyDescent="0.25">
      <c r="A1347" t="str">
        <f>"20190303154446981"</f>
        <v>20190303154446981</v>
      </c>
      <c r="B1347" t="str">
        <f>"1551599086971571"</f>
        <v>1551599086971571</v>
      </c>
      <c r="C1347" t="s">
        <v>40</v>
      </c>
      <c r="D1347">
        <v>5.3485610000000001</v>
      </c>
      <c r="E1347">
        <v>0.58594550000000001</v>
      </c>
      <c r="F1347" t="s">
        <v>54</v>
      </c>
      <c r="G1347">
        <v>-197.62190000000001</v>
      </c>
      <c r="H1347" s="1">
        <v>2.198936E-6</v>
      </c>
      <c r="I1347">
        <v>289.34820000000002</v>
      </c>
      <c r="J1347">
        <v>-191.7433</v>
      </c>
      <c r="K1347">
        <v>1.1207149999999999</v>
      </c>
      <c r="L1347">
        <v>305.21460000000002</v>
      </c>
      <c r="M1347">
        <v>-3.8138770000000002E-2</v>
      </c>
      <c r="N1347">
        <v>-1.57196E-2</v>
      </c>
      <c r="O1347">
        <v>-0.99914899999999995</v>
      </c>
      <c r="P1347">
        <v>-0.13220970000000001</v>
      </c>
      <c r="Q1347">
        <v>-0.1006571</v>
      </c>
      <c r="R1347">
        <v>-0.98609780000000002</v>
      </c>
      <c r="S1347">
        <v>-1.0535129999999999</v>
      </c>
      <c r="T1347">
        <v>-0.20052210000000001</v>
      </c>
      <c r="U1347">
        <v>-2.8818359999999998</v>
      </c>
      <c r="V1347">
        <v>9.4357969999999999E-2</v>
      </c>
      <c r="W1347">
        <v>-8.5233459999999997E-2</v>
      </c>
      <c r="X1347">
        <v>0.99188299999999996</v>
      </c>
      <c r="Y1347">
        <v>0.30665490000000001</v>
      </c>
      <c r="Z1347">
        <v>4.9968640000000002E-2</v>
      </c>
      <c r="AA1347">
        <v>0.95050820000000003</v>
      </c>
      <c r="AB1347">
        <v>25</v>
      </c>
      <c r="AC1347">
        <v>-5.8785999999999996</v>
      </c>
      <c r="AD1347">
        <v>-1.120712801064</v>
      </c>
      <c r="AE1347">
        <v>-15.866400000000001</v>
      </c>
      <c r="AF1347">
        <v>5.2461077331775998</v>
      </c>
      <c r="AG1347">
        <v>-1.120712801064</v>
      </c>
      <c r="AH1347">
        <v>16.008853181204699</v>
      </c>
      <c r="AI1347">
        <v>93.805988597442607</v>
      </c>
      <c r="AJ1347">
        <v>71.856008880806698</v>
      </c>
      <c r="AK1347">
        <v>16.883750285642801</v>
      </c>
      <c r="AL1347">
        <v>94.889449727280294</v>
      </c>
      <c r="AM1347">
        <v>84.5657977349547</v>
      </c>
      <c r="AN1347">
        <v>1.00000002744754</v>
      </c>
    </row>
    <row r="1348" spans="1:40" x14ac:dyDescent="0.25">
      <c r="A1348" t="str">
        <f>"20190303154447007"</f>
        <v>20190303154447007</v>
      </c>
      <c r="B1348" t="str">
        <f>"1551599087001827"</f>
        <v>1551599087001827</v>
      </c>
      <c r="C1348" t="s">
        <v>40</v>
      </c>
      <c r="D1348">
        <v>5.3155809999999999</v>
      </c>
      <c r="E1348">
        <v>0.58816409999999997</v>
      </c>
      <c r="F1348" t="s">
        <v>54</v>
      </c>
      <c r="G1348">
        <v>-197.857</v>
      </c>
      <c r="H1348" s="1">
        <v>2.2001899999999999E-6</v>
      </c>
      <c r="I1348">
        <v>288.85680000000002</v>
      </c>
      <c r="J1348">
        <v>-191.75579999999999</v>
      </c>
      <c r="K1348">
        <v>1.1205689999999999</v>
      </c>
      <c r="L1348">
        <v>304.92700000000002</v>
      </c>
      <c r="M1348">
        <v>-3.9545200000000003E-2</v>
      </c>
      <c r="N1348">
        <v>-1.6113619999999999E-2</v>
      </c>
      <c r="O1348">
        <v>-0.99908810000000003</v>
      </c>
      <c r="P1348">
        <v>-0.13520309999999999</v>
      </c>
      <c r="Q1348">
        <v>-0.10046099999999999</v>
      </c>
      <c r="R1348">
        <v>-0.98571209999999998</v>
      </c>
      <c r="S1348">
        <v>-1.0756380000000001</v>
      </c>
      <c r="T1348">
        <v>-0.1971782</v>
      </c>
      <c r="U1348">
        <v>-2.8779910000000002</v>
      </c>
      <c r="V1348">
        <v>9.5934320000000003E-2</v>
      </c>
      <c r="W1348">
        <v>-8.4692600000000007E-2</v>
      </c>
      <c r="X1348">
        <v>0.9917781</v>
      </c>
      <c r="Y1348">
        <v>0.31216729999999998</v>
      </c>
      <c r="Z1348">
        <v>4.8427619999999998E-2</v>
      </c>
      <c r="AA1348">
        <v>0.94879199999999997</v>
      </c>
      <c r="AB1348">
        <v>25</v>
      </c>
      <c r="AC1348">
        <v>-6.1012000000000004</v>
      </c>
      <c r="AD1348">
        <v>-1.12056679981</v>
      </c>
      <c r="AE1348">
        <v>-16.0702</v>
      </c>
      <c r="AF1348">
        <v>5.4377361807022</v>
      </c>
      <c r="AG1348">
        <v>-1.12056679981</v>
      </c>
      <c r="AH1348">
        <v>16.229959120568701</v>
      </c>
      <c r="AI1348">
        <v>93.745602613341504</v>
      </c>
      <c r="AJ1348">
        <v>71.476929118338703</v>
      </c>
      <c r="AK1348">
        <v>17.153315066746799</v>
      </c>
      <c r="AL1348">
        <v>94.858348333720997</v>
      </c>
      <c r="AM1348">
        <v>84.474989967327303</v>
      </c>
      <c r="AN1348">
        <v>1.0000000149441099</v>
      </c>
    </row>
    <row r="1349" spans="1:40" x14ac:dyDescent="0.25">
      <c r="A1349" t="str">
        <f>"20190303154447031"</f>
        <v>20190303154447031</v>
      </c>
      <c r="B1349" t="str">
        <f>"1551599087021347"</f>
        <v>1551599087021347</v>
      </c>
      <c r="C1349" t="s">
        <v>40</v>
      </c>
      <c r="D1349">
        <v>5.3033599999999996</v>
      </c>
      <c r="E1349">
        <v>0.58920629999999996</v>
      </c>
      <c r="F1349" t="s">
        <v>54</v>
      </c>
      <c r="G1349">
        <v>-198.24209999999999</v>
      </c>
      <c r="H1349" s="1">
        <v>2.2061689999999999E-6</v>
      </c>
      <c r="I1349">
        <v>288.00709999999998</v>
      </c>
      <c r="J1349">
        <v>-191.7681</v>
      </c>
      <c r="K1349">
        <v>1.1204149999999999</v>
      </c>
      <c r="L1349">
        <v>304.66160000000002</v>
      </c>
      <c r="M1349">
        <v>-4.11172E-2</v>
      </c>
      <c r="N1349">
        <v>-1.6428459999999999E-2</v>
      </c>
      <c r="O1349">
        <v>-0.99901930000000005</v>
      </c>
      <c r="P1349">
        <v>-0.13911770000000001</v>
      </c>
      <c r="Q1349">
        <v>-0.10013130000000001</v>
      </c>
      <c r="R1349">
        <v>-0.98520059999999998</v>
      </c>
      <c r="S1349">
        <v>-1.101364</v>
      </c>
      <c r="T1349">
        <v>-0.19027279999999999</v>
      </c>
      <c r="U1349">
        <v>-2.8730159999999998</v>
      </c>
      <c r="V1349">
        <v>9.8273070000000004E-2</v>
      </c>
      <c r="W1349">
        <v>-8.4101449999999994E-2</v>
      </c>
      <c r="X1349">
        <v>0.99159940000000002</v>
      </c>
      <c r="Y1349">
        <v>0.31867450000000003</v>
      </c>
      <c r="Z1349">
        <v>4.5805070000000003E-2</v>
      </c>
      <c r="AA1349">
        <v>0.94675679999999995</v>
      </c>
      <c r="AB1349">
        <v>25</v>
      </c>
      <c r="AC1349">
        <v>-6.4739999999999798</v>
      </c>
      <c r="AD1349">
        <v>-1.120412793831</v>
      </c>
      <c r="AE1349">
        <v>-16.654499999999999</v>
      </c>
      <c r="AF1349">
        <v>5.7609944935634596</v>
      </c>
      <c r="AG1349">
        <v>-1.120412793831</v>
      </c>
      <c r="AH1349">
        <v>16.8404295783509</v>
      </c>
      <c r="AI1349">
        <v>93.601993203708503</v>
      </c>
      <c r="AJ1349">
        <v>71.114537324556593</v>
      </c>
      <c r="AK1349">
        <v>17.833800794189798</v>
      </c>
      <c r="AL1349">
        <v>94.824356681667098</v>
      </c>
      <c r="AM1349">
        <v>84.340148363937402</v>
      </c>
      <c r="AN1349">
        <v>1.0000000101298401</v>
      </c>
    </row>
    <row r="1350" spans="1:40" x14ac:dyDescent="0.25">
      <c r="A1350" t="str">
        <f>"20190303154447051"</f>
        <v>20190303154447051</v>
      </c>
      <c r="B1350" t="str">
        <f>"1551599087041843"</f>
        <v>1551599087041843</v>
      </c>
      <c r="C1350" t="s">
        <v>40</v>
      </c>
      <c r="D1350">
        <v>5.2956629999999896</v>
      </c>
      <c r="E1350">
        <v>0.59002919999999903</v>
      </c>
      <c r="F1350" t="s">
        <v>54</v>
      </c>
      <c r="G1350">
        <v>-198.58449999999999</v>
      </c>
      <c r="H1350" s="1">
        <v>2.2150060000000001E-6</v>
      </c>
      <c r="I1350">
        <v>287.21120000000002</v>
      </c>
      <c r="J1350">
        <v>-191.7791</v>
      </c>
      <c r="K1350">
        <v>1.120271</v>
      </c>
      <c r="L1350">
        <v>304.43509999999998</v>
      </c>
      <c r="M1350">
        <v>-4.2662909999999998E-2</v>
      </c>
      <c r="N1350">
        <v>-1.6652440000000001E-2</v>
      </c>
      <c r="O1350">
        <v>-0.99895069999999997</v>
      </c>
      <c r="P1350">
        <v>-0.145533</v>
      </c>
      <c r="Q1350">
        <v>-0.1019338</v>
      </c>
      <c r="R1350">
        <v>-0.98408819999999997</v>
      </c>
      <c r="S1350">
        <v>-1.120331</v>
      </c>
      <c r="T1350">
        <v>-0.18415049999999999</v>
      </c>
      <c r="U1350">
        <v>-2.868134</v>
      </c>
      <c r="V1350">
        <v>0.10316309999999999</v>
      </c>
      <c r="W1350">
        <v>-8.5742319999999997E-2</v>
      </c>
      <c r="X1350">
        <v>0.99096200000000001</v>
      </c>
      <c r="Y1350">
        <v>0.32322250000000002</v>
      </c>
      <c r="Z1350">
        <v>4.3570770000000002E-2</v>
      </c>
      <c r="AA1350">
        <v>0.94531940000000003</v>
      </c>
      <c r="AB1350">
        <v>25</v>
      </c>
      <c r="AC1350">
        <v>-6.8053999999999899</v>
      </c>
      <c r="AD1350">
        <v>-1.1202687849940001</v>
      </c>
      <c r="AE1350">
        <v>-17.223899999999901</v>
      </c>
      <c r="AF1350">
        <v>6.0421692788440096</v>
      </c>
      <c r="AG1350">
        <v>-1.1202687849940001</v>
      </c>
      <c r="AH1350">
        <v>17.434795562258198</v>
      </c>
      <c r="AI1350">
        <v>93.4742924648138</v>
      </c>
      <c r="AJ1350">
        <v>70.8858279267955</v>
      </c>
      <c r="AK1350">
        <v>18.486073353813499</v>
      </c>
      <c r="AL1350">
        <v>94.918712378671302</v>
      </c>
      <c r="AM1350">
        <v>84.056689423208397</v>
      </c>
      <c r="AN1350">
        <v>1.00000002804229</v>
      </c>
    </row>
    <row r="1351" spans="1:40" x14ac:dyDescent="0.25">
      <c r="A1351" t="str">
        <f>"20190303154447072"</f>
        <v>20190303154447072</v>
      </c>
      <c r="B1351" t="str">
        <f>"1551599087061870"</f>
        <v>1551599087061870</v>
      </c>
      <c r="C1351" t="s">
        <v>40</v>
      </c>
      <c r="D1351">
        <v>5.2665559999999996</v>
      </c>
      <c r="E1351">
        <v>0.59068480000000001</v>
      </c>
      <c r="F1351" t="s">
        <v>54</v>
      </c>
      <c r="G1351">
        <v>-198.64259999999999</v>
      </c>
      <c r="H1351" s="1">
        <v>2.1970790000000002E-6</v>
      </c>
      <c r="I1351">
        <v>287.29820000000001</v>
      </c>
      <c r="J1351">
        <v>-191.79150000000001</v>
      </c>
      <c r="K1351">
        <v>1.1201030000000001</v>
      </c>
      <c r="L1351">
        <v>304.1936</v>
      </c>
      <c r="M1351">
        <v>-4.4548619999999997E-2</v>
      </c>
      <c r="N1351">
        <v>-1.6839750000000001E-2</v>
      </c>
      <c r="O1351">
        <v>-0.99886540000000001</v>
      </c>
      <c r="P1351">
        <v>-0.1529509</v>
      </c>
      <c r="Q1351">
        <v>-0.1037965</v>
      </c>
      <c r="R1351">
        <v>-0.98276810000000003</v>
      </c>
      <c r="S1351">
        <v>-1.145386</v>
      </c>
      <c r="T1351">
        <v>-0.1869509</v>
      </c>
      <c r="U1351">
        <v>-2.8598020000000002</v>
      </c>
      <c r="V1351">
        <v>0.1087263</v>
      </c>
      <c r="W1351">
        <v>-8.7489960000000006E-2</v>
      </c>
      <c r="X1351">
        <v>0.99021420000000004</v>
      </c>
      <c r="Y1351">
        <v>0.329499599999999</v>
      </c>
      <c r="Z1351">
        <v>4.4299600000000001E-2</v>
      </c>
      <c r="AA1351">
        <v>0.94311590000000001</v>
      </c>
      <c r="AB1351">
        <v>25</v>
      </c>
      <c r="AC1351">
        <v>-6.8510999999999704</v>
      </c>
      <c r="AD1351">
        <v>-1.120100802921</v>
      </c>
      <c r="AE1351">
        <v>-16.895399999999899</v>
      </c>
      <c r="AF1351">
        <v>6.0686168046837201</v>
      </c>
      <c r="AG1351">
        <v>-1.120100802921</v>
      </c>
      <c r="AH1351">
        <v>17.1192548481486</v>
      </c>
      <c r="AI1351">
        <v>93.528912683418696</v>
      </c>
      <c r="AJ1351">
        <v>70.481056152332798</v>
      </c>
      <c r="AK1351">
        <v>18.197571878870399</v>
      </c>
      <c r="AL1351">
        <v>95.019222508202404</v>
      </c>
      <c r="AM1351">
        <v>83.733979271413503</v>
      </c>
      <c r="AN1351">
        <v>1.0000000316470601</v>
      </c>
    </row>
    <row r="1352" spans="1:40" x14ac:dyDescent="0.25">
      <c r="A1352" t="str">
        <f>"20190303154447095"</f>
        <v>20190303154447095</v>
      </c>
      <c r="B1352" t="str">
        <f>"1551599087092127"</f>
        <v>1551599087092127</v>
      </c>
      <c r="C1352" t="s">
        <v>40</v>
      </c>
      <c r="D1352">
        <v>5.2417069999999999</v>
      </c>
      <c r="E1352">
        <v>0.59140239999999999</v>
      </c>
      <c r="F1352" t="s">
        <v>54</v>
      </c>
      <c r="G1352">
        <v>-198.71340000000001</v>
      </c>
      <c r="H1352" s="1">
        <v>2.1796709999999999E-6</v>
      </c>
      <c r="I1352">
        <v>287.35390000000001</v>
      </c>
      <c r="J1352">
        <v>-191.80459999999999</v>
      </c>
      <c r="K1352">
        <v>1.1199300000000001</v>
      </c>
      <c r="L1352">
        <v>303.95319999999998</v>
      </c>
      <c r="M1352">
        <v>-4.668228E-2</v>
      </c>
      <c r="N1352">
        <v>-1.6966140000000001E-2</v>
      </c>
      <c r="O1352">
        <v>-0.99876580000000004</v>
      </c>
      <c r="P1352">
        <v>-0.16014800000000001</v>
      </c>
      <c r="Q1352">
        <v>-0.10588019999999999</v>
      </c>
      <c r="R1352">
        <v>-0.98139799999999999</v>
      </c>
      <c r="S1352">
        <v>-1.17157</v>
      </c>
      <c r="T1352">
        <v>-0.18958510000000001</v>
      </c>
      <c r="U1352">
        <v>-2.85025</v>
      </c>
      <c r="V1352">
        <v>0.11382589999999999</v>
      </c>
      <c r="W1352">
        <v>-8.952309E-2</v>
      </c>
      <c r="X1352">
        <v>0.98945910000000004</v>
      </c>
      <c r="Y1352">
        <v>0.3359801</v>
      </c>
      <c r="Z1352">
        <v>4.5048249999999998E-2</v>
      </c>
      <c r="AA1352">
        <v>0.94079109999999999</v>
      </c>
      <c r="AB1352">
        <v>25</v>
      </c>
      <c r="AC1352">
        <v>-6.90880000000001</v>
      </c>
      <c r="AD1352">
        <v>-1.119927820329</v>
      </c>
      <c r="AE1352">
        <v>-16.5992999999999</v>
      </c>
      <c r="AF1352">
        <v>6.10258391395163</v>
      </c>
      <c r="AG1352">
        <v>-1.119927820329</v>
      </c>
      <c r="AH1352">
        <v>16.8384320688847</v>
      </c>
      <c r="AI1352">
        <v>93.578061386232406</v>
      </c>
      <c r="AJ1352">
        <v>70.078472656531105</v>
      </c>
      <c r="AK1352">
        <v>17.9451543121816</v>
      </c>
      <c r="AL1352">
        <v>95.136171333801897</v>
      </c>
      <c r="AM1352">
        <v>83.437625980616303</v>
      </c>
      <c r="AN1352">
        <v>1.0000000148633801</v>
      </c>
    </row>
    <row r="1353" spans="1:40" x14ac:dyDescent="0.25">
      <c r="A1353" t="str">
        <f>"20190303154447117"</f>
        <v>20190303154447117</v>
      </c>
      <c r="B1353" t="str">
        <f>"1551599087111645"</f>
        <v>1551599087111645</v>
      </c>
      <c r="C1353" t="s">
        <v>40</v>
      </c>
      <c r="D1353">
        <v>5.2427669999999997</v>
      </c>
      <c r="E1353">
        <v>0.59167289999999995</v>
      </c>
      <c r="F1353" t="s">
        <v>54</v>
      </c>
      <c r="G1353">
        <v>-198.72909999999999</v>
      </c>
      <c r="H1353" s="1">
        <v>2.1609450000000001E-6</v>
      </c>
      <c r="I1353">
        <v>287.53609999999998</v>
      </c>
      <c r="J1353">
        <v>-191.8192</v>
      </c>
      <c r="K1353">
        <v>1.1197349999999999</v>
      </c>
      <c r="L1353">
        <v>303.7011</v>
      </c>
      <c r="M1353">
        <v>-4.9182799999999999E-2</v>
      </c>
      <c r="N1353">
        <v>-1.7031330000000001E-2</v>
      </c>
      <c r="O1353">
        <v>-0.99864459999999999</v>
      </c>
      <c r="P1353">
        <v>-0.1662563</v>
      </c>
      <c r="Q1353">
        <v>-0.10607179999999999</v>
      </c>
      <c r="R1353">
        <v>-0.98036100000000004</v>
      </c>
      <c r="S1353">
        <v>-1.198059</v>
      </c>
      <c r="T1353">
        <v>-0.19376750000000001</v>
      </c>
      <c r="U1353">
        <v>-2.8404539999999998</v>
      </c>
      <c r="V1353">
        <v>0.117466</v>
      </c>
      <c r="W1353">
        <v>-8.97207E-2</v>
      </c>
      <c r="X1353">
        <v>0.98901559999999999</v>
      </c>
      <c r="Y1353">
        <v>0.34219629999999901</v>
      </c>
      <c r="Z1353">
        <v>4.6363040000000001E-2</v>
      </c>
      <c r="AA1353">
        <v>0.93848399999999998</v>
      </c>
      <c r="AB1353">
        <v>25</v>
      </c>
      <c r="AC1353">
        <v>-6.9098999999999897</v>
      </c>
      <c r="AD1353">
        <v>-1.1197328390549901</v>
      </c>
      <c r="AE1353">
        <v>-16.164999999999999</v>
      </c>
      <c r="AF1353">
        <v>6.0817070041482202</v>
      </c>
      <c r="AG1353">
        <v>-1.1197328390549901</v>
      </c>
      <c r="AH1353">
        <v>16.418719718354399</v>
      </c>
      <c r="AI1353">
        <v>93.6592089057321</v>
      </c>
      <c r="AJ1353">
        <v>69.674716018083799</v>
      </c>
      <c r="AK1353">
        <v>17.5446663948062</v>
      </c>
      <c r="AL1353">
        <v>95.147539576387103</v>
      </c>
      <c r="AM1353">
        <v>83.226674797784796</v>
      </c>
      <c r="AN1353">
        <v>0.99999996110392397</v>
      </c>
    </row>
    <row r="1354" spans="1:40" x14ac:dyDescent="0.25">
      <c r="A1354" t="str">
        <f>"20190303154447139"</f>
        <v>20190303154447139</v>
      </c>
      <c r="B1354" t="str">
        <f>"1551599087132142"</f>
        <v>1551599087132142</v>
      </c>
      <c r="C1354" t="s">
        <v>40</v>
      </c>
      <c r="D1354">
        <v>5.2422339999999998</v>
      </c>
      <c r="E1354">
        <v>0.59185710000000002</v>
      </c>
      <c r="F1354" t="s">
        <v>54</v>
      </c>
      <c r="G1354">
        <v>-198.87430000000001</v>
      </c>
      <c r="H1354" s="1">
        <v>2.1567119999999999E-6</v>
      </c>
      <c r="I1354">
        <v>287.29000000000002</v>
      </c>
      <c r="J1354">
        <v>-191.83359999999999</v>
      </c>
      <c r="K1354">
        <v>1.1195459999999999</v>
      </c>
      <c r="L1354">
        <v>303.46660000000003</v>
      </c>
      <c r="M1354">
        <v>-5.173784E-2</v>
      </c>
      <c r="N1354">
        <v>-1.703402E-2</v>
      </c>
      <c r="O1354">
        <v>-0.9985155</v>
      </c>
      <c r="P1354">
        <v>-0.17343710000000001</v>
      </c>
      <c r="Q1354">
        <v>-0.1074447</v>
      </c>
      <c r="R1354">
        <v>-0.97896669999999997</v>
      </c>
      <c r="S1354">
        <v>-1.2177579999999999</v>
      </c>
      <c r="T1354">
        <v>-0.19327430000000001</v>
      </c>
      <c r="U1354">
        <v>-2.8326720000000001</v>
      </c>
      <c r="V1354">
        <v>0.1221423</v>
      </c>
      <c r="W1354">
        <v>-9.1168669999999993E-2</v>
      </c>
      <c r="X1354">
        <v>0.98831650000000004</v>
      </c>
      <c r="Y1354">
        <v>0.34623490000000001</v>
      </c>
      <c r="Z1354">
        <v>4.6227799999999999E-2</v>
      </c>
      <c r="AA1354">
        <v>0.93700819999999996</v>
      </c>
      <c r="AB1354">
        <v>25</v>
      </c>
      <c r="AC1354">
        <v>-7.04070000000001</v>
      </c>
      <c r="AD1354">
        <v>-1.1195438432879901</v>
      </c>
      <c r="AE1354">
        <v>-16.176600000000001</v>
      </c>
      <c r="AF1354">
        <v>6.1693607320403903</v>
      </c>
      <c r="AG1354">
        <v>-1.1195438432879901</v>
      </c>
      <c r="AH1354">
        <v>16.452997783237901</v>
      </c>
      <c r="AI1354">
        <v>93.645567043276898</v>
      </c>
      <c r="AJ1354">
        <v>69.445522347188103</v>
      </c>
      <c r="AK1354">
        <v>17.607257773836299</v>
      </c>
      <c r="AL1354">
        <v>95.230843449450305</v>
      </c>
      <c r="AM1354">
        <v>82.954754920328696</v>
      </c>
      <c r="AN1354">
        <v>0.99999998600555395</v>
      </c>
    </row>
    <row r="1355" spans="1:40" x14ac:dyDescent="0.25">
      <c r="A1355" t="str">
        <f>"20190303154447161"</f>
        <v>20190303154447161</v>
      </c>
      <c r="B1355" t="str">
        <f>"1551599087151662"</f>
        <v>1551599087151662</v>
      </c>
      <c r="C1355" t="s">
        <v>40</v>
      </c>
      <c r="D1355">
        <v>5.2156120000000001</v>
      </c>
      <c r="E1355">
        <v>0.59196740000000003</v>
      </c>
      <c r="F1355" t="s">
        <v>54</v>
      </c>
      <c r="G1355">
        <v>-198.82830000000001</v>
      </c>
      <c r="H1355" s="1">
        <v>2.1429190000000002E-6</v>
      </c>
      <c r="I1355">
        <v>287.541</v>
      </c>
      <c r="J1355">
        <v>-191.84950000000001</v>
      </c>
      <c r="K1355">
        <v>1.1193610000000001</v>
      </c>
      <c r="L1355">
        <v>303.2226</v>
      </c>
      <c r="M1355">
        <v>-5.4613330000000002E-2</v>
      </c>
      <c r="N1355">
        <v>-1.698707E-2</v>
      </c>
      <c r="O1355">
        <v>-0.99836329999999995</v>
      </c>
      <c r="P1355">
        <v>-0.1815726</v>
      </c>
      <c r="Q1355">
        <v>-0.1084075</v>
      </c>
      <c r="R1355">
        <v>-0.97738400000000003</v>
      </c>
      <c r="S1355">
        <v>-1.2398990000000001</v>
      </c>
      <c r="T1355">
        <v>-0.19845199999999999</v>
      </c>
      <c r="U1355">
        <v>-2.8229980000000001</v>
      </c>
      <c r="V1355">
        <v>0.12747220000000001</v>
      </c>
      <c r="W1355">
        <v>-9.2261070000000001E-2</v>
      </c>
      <c r="X1355">
        <v>0.98754169999999997</v>
      </c>
      <c r="Y1355">
        <v>0.35083140000000002</v>
      </c>
      <c r="Z1355">
        <v>4.8005039999999999E-2</v>
      </c>
      <c r="AA1355">
        <v>0.93520740000000002</v>
      </c>
      <c r="AB1355">
        <v>24</v>
      </c>
      <c r="AC1355">
        <v>-6.9787999999999997</v>
      </c>
      <c r="AD1355">
        <v>-1.119358857081</v>
      </c>
      <c r="AE1355">
        <v>-15.6816</v>
      </c>
      <c r="AF1355">
        <v>6.0859511383975997</v>
      </c>
      <c r="AG1355">
        <v>-1.119358857081</v>
      </c>
      <c r="AH1355">
        <v>15.971455605188901</v>
      </c>
      <c r="AI1355">
        <v>93.747028173131596</v>
      </c>
      <c r="AJ1355">
        <v>69.140570147018295</v>
      </c>
      <c r="AK1355">
        <v>17.1283145597694</v>
      </c>
      <c r="AL1355">
        <v>95.293698531457196</v>
      </c>
      <c r="AM1355">
        <v>82.644911930666794</v>
      </c>
      <c r="AN1355">
        <v>0.99999993802463505</v>
      </c>
    </row>
    <row r="1356" spans="1:40" x14ac:dyDescent="0.25">
      <c r="A1356" t="str">
        <f>"20190303154447183"</f>
        <v>20190303154447183</v>
      </c>
      <c r="B1356" t="str">
        <f>"1551599087181919"</f>
        <v>1551599087181919</v>
      </c>
      <c r="C1356" t="s">
        <v>40</v>
      </c>
      <c r="D1356">
        <v>5.2015690000000001</v>
      </c>
      <c r="E1356">
        <v>0.59208969999999905</v>
      </c>
      <c r="F1356" t="s">
        <v>54</v>
      </c>
      <c r="G1356">
        <v>-198.8852</v>
      </c>
      <c r="H1356" s="1">
        <v>2.1298369999999999E-6</v>
      </c>
      <c r="I1356">
        <v>287.5752</v>
      </c>
      <c r="J1356">
        <v>-191.8663</v>
      </c>
      <c r="K1356">
        <v>1.1192</v>
      </c>
      <c r="L1356">
        <v>302.98</v>
      </c>
      <c r="M1356">
        <v>-5.76903E-2</v>
      </c>
      <c r="N1356">
        <v>-1.687814E-2</v>
      </c>
      <c r="O1356">
        <v>-0.99819199999999997</v>
      </c>
      <c r="P1356">
        <v>-0.19009090000000001</v>
      </c>
      <c r="Q1356">
        <v>-0.1084077</v>
      </c>
      <c r="R1356">
        <v>-0.9757633</v>
      </c>
      <c r="S1356">
        <v>-1.264481</v>
      </c>
      <c r="T1356">
        <v>-0.20117470000000001</v>
      </c>
      <c r="U1356">
        <v>-2.812195</v>
      </c>
      <c r="V1356">
        <v>0.1330026</v>
      </c>
      <c r="W1356">
        <v>-9.2447710000000002E-2</v>
      </c>
      <c r="X1356">
        <v>0.98679470000000002</v>
      </c>
      <c r="Y1356">
        <v>0.35605949999999997</v>
      </c>
      <c r="Z1356">
        <v>4.9047170000000001E-2</v>
      </c>
      <c r="AA1356">
        <v>0.93317519999999998</v>
      </c>
      <c r="AB1356">
        <v>24</v>
      </c>
      <c r="AC1356">
        <v>-7.0189000000000004</v>
      </c>
      <c r="AD1356">
        <v>-1.1191978701630001</v>
      </c>
      <c r="AE1356">
        <v>-15.4048</v>
      </c>
      <c r="AF1356">
        <v>6.09174598492549</v>
      </c>
      <c r="AG1356">
        <v>-1.1191978701630001</v>
      </c>
      <c r="AH1356">
        <v>15.715424699029899</v>
      </c>
      <c r="AI1356">
        <v>93.798998067920195</v>
      </c>
      <c r="AJ1356">
        <v>68.812251107958303</v>
      </c>
      <c r="AK1356">
        <v>16.891907721992499</v>
      </c>
      <c r="AL1356">
        <v>95.304437650878398</v>
      </c>
      <c r="AM1356">
        <v>82.323794593834705</v>
      </c>
      <c r="AN1356">
        <v>1.00000002531954</v>
      </c>
    </row>
    <row r="1357" spans="1:40" x14ac:dyDescent="0.25">
      <c r="A1357" t="str">
        <f>"20190303154447209"</f>
        <v>20190303154447209</v>
      </c>
      <c r="B1357" t="str">
        <f>"1551599087201438"</f>
        <v>1551599087201438</v>
      </c>
      <c r="C1357" t="s">
        <v>40</v>
      </c>
      <c r="D1357">
        <v>5.2135850000000001</v>
      </c>
      <c r="E1357">
        <v>0.59208760000000005</v>
      </c>
      <c r="F1357" t="s">
        <v>54</v>
      </c>
      <c r="G1357">
        <v>-199.00649999999999</v>
      </c>
      <c r="H1357" s="1">
        <v>2.1168210000000002E-6</v>
      </c>
      <c r="I1357">
        <v>287.47809999999998</v>
      </c>
      <c r="J1357">
        <v>-191.886</v>
      </c>
      <c r="K1357">
        <v>1.1190599999999999</v>
      </c>
      <c r="L1357">
        <v>302.71179999999998</v>
      </c>
      <c r="M1357">
        <v>-6.1266559999999998E-2</v>
      </c>
      <c r="N1357">
        <v>-1.6709080000000001E-2</v>
      </c>
      <c r="O1357">
        <v>-0.99798149999999997</v>
      </c>
      <c r="P1357">
        <v>-0.19851830000000001</v>
      </c>
      <c r="Q1357">
        <v>-0.1079379</v>
      </c>
      <c r="R1357">
        <v>-0.97413550000000004</v>
      </c>
      <c r="S1357">
        <v>-1.290009</v>
      </c>
      <c r="T1357">
        <v>-0.20220399999999999</v>
      </c>
      <c r="U1357">
        <v>-2.8007200000000001</v>
      </c>
      <c r="V1357">
        <v>0.13796320000000001</v>
      </c>
      <c r="W1357">
        <v>-9.2213290000000003E-2</v>
      </c>
      <c r="X1357">
        <v>0.98613530000000005</v>
      </c>
      <c r="Y1357">
        <v>0.36116419999999999</v>
      </c>
      <c r="Z1357">
        <v>4.9604179999999998E-2</v>
      </c>
      <c r="AA1357">
        <v>0.93118199999999995</v>
      </c>
      <c r="AB1357">
        <v>24</v>
      </c>
      <c r="AC1357">
        <v>-7.1204999999999901</v>
      </c>
      <c r="AD1357">
        <v>-1.1190578831789999</v>
      </c>
      <c r="AE1357">
        <v>-15.233700000000001</v>
      </c>
      <c r="AF1357">
        <v>6.1464524072622302</v>
      </c>
      <c r="AG1357">
        <v>-1.1190578831789999</v>
      </c>
      <c r="AH1357">
        <v>15.5724185020094</v>
      </c>
      <c r="AI1357">
        <v>93.824144266697502</v>
      </c>
      <c r="AJ1357">
        <v>68.460790503313902</v>
      </c>
      <c r="AK1357">
        <v>16.7788970359308</v>
      </c>
      <c r="AL1357">
        <v>95.290948981981103</v>
      </c>
      <c r="AM1357">
        <v>82.035845482846099</v>
      </c>
      <c r="AN1357">
        <v>0.99999998265647705</v>
      </c>
    </row>
    <row r="1358" spans="1:40" x14ac:dyDescent="0.25">
      <c r="A1358" t="str">
        <f>"20190303154447250"</f>
        <v>20190303154447250</v>
      </c>
      <c r="B1358" t="str">
        <f>"1551599087242430"</f>
        <v>1551599087242430</v>
      </c>
      <c r="C1358" t="s">
        <v>40</v>
      </c>
      <c r="D1358">
        <v>5.1994420000000003</v>
      </c>
      <c r="E1358">
        <v>0.59207209999999999</v>
      </c>
      <c r="F1358" t="s">
        <v>54</v>
      </c>
      <c r="G1358">
        <v>-199.17760000000001</v>
      </c>
      <c r="H1358" s="1">
        <v>2.1078680000000001E-6</v>
      </c>
      <c r="I1358">
        <v>287.23329999999999</v>
      </c>
      <c r="J1358">
        <v>-191.92140000000001</v>
      </c>
      <c r="K1358">
        <v>1.118892</v>
      </c>
      <c r="L1358">
        <v>302.26299999999998</v>
      </c>
      <c r="M1358">
        <v>-6.7548700000000003E-2</v>
      </c>
      <c r="N1358">
        <v>-1.6405909999999999E-2</v>
      </c>
      <c r="O1358">
        <v>-0.9975813</v>
      </c>
      <c r="P1358">
        <v>-0.21225479999999999</v>
      </c>
      <c r="Q1358">
        <v>-0.1049175</v>
      </c>
      <c r="R1358">
        <v>-0.97156629999999999</v>
      </c>
      <c r="S1358">
        <v>-1.314087</v>
      </c>
      <c r="T1358">
        <v>-0.2016762</v>
      </c>
      <c r="U1358">
        <v>-2.78952</v>
      </c>
      <c r="V1358">
        <v>0.1456344</v>
      </c>
      <c r="W1358">
        <v>-8.9580820000000005E-2</v>
      </c>
      <c r="X1358">
        <v>0.9852746</v>
      </c>
      <c r="Y1358">
        <v>0.36331340000000001</v>
      </c>
      <c r="Z1358">
        <v>4.9813540000000003E-2</v>
      </c>
      <c r="AA1358">
        <v>0.93033429999999995</v>
      </c>
      <c r="AB1358">
        <v>24</v>
      </c>
      <c r="AC1358">
        <v>-7.2561999999999998</v>
      </c>
      <c r="AD1358">
        <v>-1.1188898921320001</v>
      </c>
      <c r="AE1358">
        <v>-15.029699999999901</v>
      </c>
      <c r="AF1358">
        <v>6.1963994346794502</v>
      </c>
      <c r="AG1358">
        <v>-1.1188898921320001</v>
      </c>
      <c r="AH1358">
        <v>15.4162870028646</v>
      </c>
      <c r="AI1358">
        <v>93.852611073319395</v>
      </c>
      <c r="AJ1358">
        <v>68.102905884249793</v>
      </c>
      <c r="AK1358">
        <v>16.652602964686999</v>
      </c>
      <c r="AL1358">
        <v>95.139492080467306</v>
      </c>
      <c r="AM1358">
        <v>81.591935562535198</v>
      </c>
      <c r="AN1358">
        <v>1.0000000695901901</v>
      </c>
    </row>
    <row r="1359" spans="1:40" x14ac:dyDescent="0.25">
      <c r="A1359" t="str">
        <f>"20190303154447273"</f>
        <v>20190303154447273</v>
      </c>
      <c r="B1359" t="str">
        <f>"1551599087261950"</f>
        <v>1551599087261950</v>
      </c>
      <c r="C1359" t="s">
        <v>40</v>
      </c>
      <c r="D1359">
        <v>5.2783470000000001</v>
      </c>
      <c r="E1359">
        <v>0.62019250000000004</v>
      </c>
      <c r="F1359" t="s">
        <v>54</v>
      </c>
      <c r="G1359">
        <v>-199.76169999999999</v>
      </c>
      <c r="H1359" s="1">
        <v>2.0939599999999999E-6</v>
      </c>
      <c r="I1359">
        <v>286.2072</v>
      </c>
      <c r="J1359">
        <v>-191.94290000000001</v>
      </c>
      <c r="K1359">
        <v>1.118824</v>
      </c>
      <c r="L1359">
        <v>302.00889999999998</v>
      </c>
      <c r="M1359">
        <v>-7.1244070000000007E-2</v>
      </c>
      <c r="N1359">
        <v>-1.6233439999999998E-2</v>
      </c>
      <c r="O1359">
        <v>-0.99732679999999996</v>
      </c>
      <c r="P1359">
        <v>-0.21940970000000001</v>
      </c>
      <c r="Q1359">
        <v>-0.10525760000000001</v>
      </c>
      <c r="R1359">
        <v>-0.96993850000000004</v>
      </c>
      <c r="S1359">
        <v>-1.3532709999999999</v>
      </c>
      <c r="T1359">
        <v>-0.1931254</v>
      </c>
      <c r="U1359">
        <v>-2.7713009999999998</v>
      </c>
      <c r="V1359">
        <v>0.14923029999999901</v>
      </c>
      <c r="W1359">
        <v>-9.0134870000000006E-2</v>
      </c>
      <c r="X1359">
        <v>0.9846857</v>
      </c>
      <c r="Y1359">
        <v>0.3729383</v>
      </c>
      <c r="Z1359">
        <v>4.7258120000000001E-2</v>
      </c>
      <c r="AA1359">
        <v>0.92665180000000003</v>
      </c>
      <c r="AB1359">
        <v>24</v>
      </c>
      <c r="AC1359">
        <v>-7.81879999999998</v>
      </c>
      <c r="AD1359">
        <v>-1.11882190604</v>
      </c>
      <c r="AE1359">
        <v>-15.801699999999901</v>
      </c>
      <c r="AF1359">
        <v>6.6462350242424399</v>
      </c>
      <c r="AG1359">
        <v>-1.11882190604</v>
      </c>
      <c r="AH1359">
        <v>16.253197651359599</v>
      </c>
      <c r="AI1359">
        <v>93.645715565339003</v>
      </c>
      <c r="AJ1359">
        <v>67.759433486254494</v>
      </c>
      <c r="AK1359">
        <v>17.5951878747873</v>
      </c>
      <c r="AL1359">
        <v>95.171366354123904</v>
      </c>
      <c r="AM1359">
        <v>81.382332721310902</v>
      </c>
      <c r="AN1359">
        <v>0.99999995250624696</v>
      </c>
    </row>
    <row r="1360" spans="1:40" x14ac:dyDescent="0.25">
      <c r="A1360" t="str">
        <f>"20190303154447296"</f>
        <v>20190303154447296</v>
      </c>
      <c r="B1360" t="str">
        <f>"1551599087292206"</f>
        <v>1551599087292206</v>
      </c>
      <c r="C1360" t="s">
        <v>40</v>
      </c>
      <c r="D1360">
        <v>5.2891979999999998</v>
      </c>
      <c r="E1360">
        <v>0.63406649999999998</v>
      </c>
      <c r="F1360" t="s">
        <v>54</v>
      </c>
      <c r="G1360">
        <v>-203.03100000000001</v>
      </c>
      <c r="H1360" s="1">
        <v>3.6938449999999999E-6</v>
      </c>
      <c r="I1360">
        <v>283.09780000000001</v>
      </c>
      <c r="J1360">
        <v>-191.96379999999999</v>
      </c>
      <c r="K1360">
        <v>1.118762</v>
      </c>
      <c r="L1360">
        <v>301.7722</v>
      </c>
      <c r="M1360">
        <v>-7.4746240000000005E-2</v>
      </c>
      <c r="N1360">
        <v>-1.6076170000000001E-2</v>
      </c>
      <c r="O1360">
        <v>-0.99707310000000005</v>
      </c>
      <c r="P1360">
        <v>-0.227358</v>
      </c>
      <c r="Q1360">
        <v>-0.1075595</v>
      </c>
      <c r="R1360">
        <v>-0.96785299999999996</v>
      </c>
      <c r="S1360">
        <v>-1.592117</v>
      </c>
      <c r="T1360">
        <v>-0.16064909999999999</v>
      </c>
      <c r="U1360">
        <v>-2.7153930000000002</v>
      </c>
      <c r="V1360">
        <v>0.1538371</v>
      </c>
      <c r="W1360">
        <v>-9.2645820000000004E-2</v>
      </c>
      <c r="X1360">
        <v>0.98374329999999999</v>
      </c>
      <c r="Y1360">
        <v>0.43935069999999998</v>
      </c>
      <c r="Z1360">
        <v>3.5972949999999997E-2</v>
      </c>
      <c r="AA1360">
        <v>0.89759500000000003</v>
      </c>
      <c r="AB1360">
        <v>24</v>
      </c>
      <c r="AC1360">
        <v>-11.0671999999999</v>
      </c>
      <c r="AD1360">
        <v>-1.1187583061549999</v>
      </c>
      <c r="AE1360">
        <v>-18.674399999999899</v>
      </c>
      <c r="AF1360">
        <v>9.6146730161605998</v>
      </c>
      <c r="AG1360">
        <v>-1.1187583061549999</v>
      </c>
      <c r="AH1360">
        <v>19.397961025855899</v>
      </c>
      <c r="AI1360">
        <v>92.958112837783304</v>
      </c>
      <c r="AJ1360">
        <v>63.634510270410701</v>
      </c>
      <c r="AK1360">
        <v>21.678894098083099</v>
      </c>
      <c r="AL1360">
        <v>95.3158376255669</v>
      </c>
      <c r="AM1360">
        <v>81.112108558945494</v>
      </c>
      <c r="AN1360">
        <v>0.999999990797386</v>
      </c>
    </row>
    <row r="1361" spans="1:40" x14ac:dyDescent="0.25">
      <c r="A1361" t="str">
        <f>"20190303154447317"</f>
        <v>20190303154447317</v>
      </c>
      <c r="B1361" t="str">
        <f>"1551599087311726"</f>
        <v>1551599087311726</v>
      </c>
      <c r="C1361" t="s">
        <v>40</v>
      </c>
      <c r="D1361">
        <v>5.2639500000000004</v>
      </c>
      <c r="E1361">
        <v>0.63775909999999902</v>
      </c>
      <c r="F1361" t="s">
        <v>54</v>
      </c>
      <c r="G1361">
        <v>-201.67179999999999</v>
      </c>
      <c r="H1361" s="1">
        <v>2.7755430000000001E-6</v>
      </c>
      <c r="I1361">
        <v>286.70740000000001</v>
      </c>
      <c r="J1361">
        <v>-191.98589999999999</v>
      </c>
      <c r="K1361">
        <v>1.118708</v>
      </c>
      <c r="L1361">
        <v>301.53219999999999</v>
      </c>
      <c r="M1361">
        <v>-7.8358620000000004E-2</v>
      </c>
      <c r="N1361">
        <v>-1.5921020000000001E-2</v>
      </c>
      <c r="O1361">
        <v>-0.99679819999999997</v>
      </c>
      <c r="P1361">
        <v>-0.23535300000000001</v>
      </c>
      <c r="Q1361">
        <v>-0.1095631</v>
      </c>
      <c r="R1361">
        <v>-0.96571510000000005</v>
      </c>
      <c r="S1361">
        <v>-1.722488</v>
      </c>
      <c r="T1361">
        <v>-0.1985017</v>
      </c>
      <c r="U1361">
        <v>-2.6729430000000001</v>
      </c>
      <c r="V1361">
        <v>0.15839449999999999</v>
      </c>
      <c r="W1361">
        <v>-9.4857159999999996E-2</v>
      </c>
      <c r="X1361">
        <v>0.98280889999999999</v>
      </c>
      <c r="Y1361">
        <v>0.47325909999999899</v>
      </c>
      <c r="Z1361">
        <v>4.7808929999999999E-2</v>
      </c>
      <c r="AA1361">
        <v>0.87962499999999999</v>
      </c>
      <c r="AB1361">
        <v>24</v>
      </c>
      <c r="AC1361">
        <v>-9.6859000000000002</v>
      </c>
      <c r="AD1361">
        <v>-1.1187052244569999</v>
      </c>
      <c r="AE1361">
        <v>-14.8247999999999</v>
      </c>
      <c r="AF1361">
        <v>8.4605476625673397</v>
      </c>
      <c r="AG1361">
        <v>-1.1187052244569999</v>
      </c>
      <c r="AH1361">
        <v>15.476510870757</v>
      </c>
      <c r="AI1361">
        <v>93.629147969032601</v>
      </c>
      <c r="AJ1361">
        <v>61.3358859710874</v>
      </c>
      <c r="AK1361">
        <v>17.673560955915502</v>
      </c>
      <c r="AL1361">
        <v>95.443098468462793</v>
      </c>
      <c r="AM1361">
        <v>80.844645598294804</v>
      </c>
      <c r="AN1361">
        <v>1.00000001617636</v>
      </c>
    </row>
    <row r="1362" spans="1:40" x14ac:dyDescent="0.25">
      <c r="A1362" t="str">
        <f>"20190303154447340"</f>
        <v>20190303154447340</v>
      </c>
      <c r="B1362" t="str">
        <f>"1551599087332222"</f>
        <v>1551599087332222</v>
      </c>
      <c r="C1362" t="s">
        <v>40</v>
      </c>
      <c r="D1362">
        <v>5.1966809999999999</v>
      </c>
      <c r="E1362">
        <v>0.64121709999999998</v>
      </c>
      <c r="F1362" t="s">
        <v>54</v>
      </c>
      <c r="G1362">
        <v>-201.65520000000001</v>
      </c>
      <c r="H1362" s="1">
        <v>2.736079E-6</v>
      </c>
      <c r="I1362">
        <v>287.07459999999998</v>
      </c>
      <c r="J1362">
        <v>-192.0087</v>
      </c>
      <c r="K1362">
        <v>1.1186560000000001</v>
      </c>
      <c r="L1362">
        <v>301.2962</v>
      </c>
      <c r="M1362">
        <v>-8.1977839999999996E-2</v>
      </c>
      <c r="N1362">
        <v>-1.57734E-2</v>
      </c>
      <c r="O1362">
        <v>-0.99650939999999999</v>
      </c>
      <c r="P1362">
        <v>-0.2430872</v>
      </c>
      <c r="Q1362">
        <v>-0.1105501</v>
      </c>
      <c r="R1362">
        <v>-0.9636844</v>
      </c>
      <c r="S1362">
        <v>-1.773102</v>
      </c>
      <c r="T1362">
        <v>-0.20514299999999999</v>
      </c>
      <c r="U1362">
        <v>-2.651154</v>
      </c>
      <c r="V1362">
        <v>0.16268959999999999</v>
      </c>
      <c r="W1362">
        <v>-9.6042459999999996E-2</v>
      </c>
      <c r="X1362">
        <v>0.98199179999999997</v>
      </c>
      <c r="Y1362">
        <v>0.48493950000000002</v>
      </c>
      <c r="Z1362">
        <v>4.9975459999999999E-2</v>
      </c>
      <c r="AA1362">
        <v>0.87311859999999997</v>
      </c>
      <c r="AB1362">
        <v>24</v>
      </c>
      <c r="AC1362">
        <v>-9.6464999999999996</v>
      </c>
      <c r="AD1362">
        <v>-1.1186532639209901</v>
      </c>
      <c r="AE1362">
        <v>-14.2216</v>
      </c>
      <c r="AF1362">
        <v>8.4123744116448496</v>
      </c>
      <c r="AG1362">
        <v>-1.1186532639209901</v>
      </c>
      <c r="AH1362">
        <v>14.9014722198005</v>
      </c>
      <c r="AI1362">
        <v>93.740234409195395</v>
      </c>
      <c r="AJ1362">
        <v>60.553833591496499</v>
      </c>
      <c r="AK1362">
        <v>17.1485656159361</v>
      </c>
      <c r="AL1362">
        <v>95.511322866813003</v>
      </c>
      <c r="AM1362">
        <v>80.593076762968394</v>
      </c>
      <c r="AN1362">
        <v>0.99999997766912496</v>
      </c>
    </row>
    <row r="1363" spans="1:40" x14ac:dyDescent="0.25">
      <c r="A1363" t="str">
        <f>"20190303154447362"</f>
        <v>20190303154447362</v>
      </c>
      <c r="B1363" t="str">
        <f>"1551599087351742"</f>
        <v>1551599087351742</v>
      </c>
      <c r="C1363" t="s">
        <v>40</v>
      </c>
      <c r="D1363">
        <v>5.3049160000000004</v>
      </c>
      <c r="E1363">
        <v>0.64240200000000003</v>
      </c>
      <c r="F1363" t="s">
        <v>54</v>
      </c>
      <c r="G1363">
        <v>-201.92250000000001</v>
      </c>
      <c r="H1363" s="1">
        <v>2.863094E-6</v>
      </c>
      <c r="I1363">
        <v>286.97800000000001</v>
      </c>
      <c r="J1363">
        <v>-192.0325</v>
      </c>
      <c r="K1363">
        <v>1.118614</v>
      </c>
      <c r="L1363">
        <v>301.05860000000001</v>
      </c>
      <c r="M1363">
        <v>-8.5706679999999993E-2</v>
      </c>
      <c r="N1363">
        <v>-1.5626640000000001E-2</v>
      </c>
      <c r="O1363">
        <v>-0.99619800000000003</v>
      </c>
      <c r="P1363">
        <v>-0.25062109999999999</v>
      </c>
      <c r="Q1363">
        <v>-0.1102453</v>
      </c>
      <c r="R1363">
        <v>-0.96178779999999997</v>
      </c>
      <c r="S1363">
        <v>-1.821091</v>
      </c>
      <c r="T1363">
        <v>-0.20548649999999999</v>
      </c>
      <c r="U1363">
        <v>-2.6301269999999999</v>
      </c>
      <c r="V1363">
        <v>0.16667899999999999</v>
      </c>
      <c r="W1363">
        <v>-9.5933299999999999E-2</v>
      </c>
      <c r="X1363">
        <v>0.98133329999999996</v>
      </c>
      <c r="Y1363">
        <v>0.49570160000000002</v>
      </c>
      <c r="Z1363">
        <v>5.0138450000000001E-2</v>
      </c>
      <c r="AA1363">
        <v>0.86704439999999905</v>
      </c>
      <c r="AB1363">
        <v>24</v>
      </c>
      <c r="AC1363">
        <v>-9.8900000000000095</v>
      </c>
      <c r="AD1363">
        <v>-1.1186111369059999</v>
      </c>
      <c r="AE1363">
        <v>-14.0806</v>
      </c>
      <c r="AF1363">
        <v>8.6102621221975202</v>
      </c>
      <c r="AG1363">
        <v>-1.1186111369059999</v>
      </c>
      <c r="AH1363">
        <v>14.8139115934893</v>
      </c>
      <c r="AI1363">
        <v>93.735221193608197</v>
      </c>
      <c r="AJ1363">
        <v>59.833641051226898</v>
      </c>
      <c r="AK1363">
        <v>17.1709021716471</v>
      </c>
      <c r="AL1363">
        <v>95.505038955780705</v>
      </c>
      <c r="AM1363">
        <v>80.360334018417205</v>
      </c>
      <c r="AN1363">
        <v>1.00000006638938</v>
      </c>
    </row>
    <row r="1364" spans="1:40" x14ac:dyDescent="0.25">
      <c r="A1364" t="str">
        <f>"20190303154447386"</f>
        <v>20190303154447386</v>
      </c>
      <c r="B1364" t="str">
        <f>"1551599087381999"</f>
        <v>1551599087381999</v>
      </c>
      <c r="C1364" t="s">
        <v>40</v>
      </c>
      <c r="D1364">
        <v>5.2926390000000003</v>
      </c>
      <c r="E1364">
        <v>0.64308219999999905</v>
      </c>
      <c r="F1364" t="s">
        <v>54</v>
      </c>
      <c r="G1364">
        <v>-201.953</v>
      </c>
      <c r="H1364" s="1">
        <v>2.8700649999999999E-6</v>
      </c>
      <c r="I1364">
        <v>287.053</v>
      </c>
      <c r="J1364">
        <v>-192.05950000000001</v>
      </c>
      <c r="K1364">
        <v>1.1185529999999999</v>
      </c>
      <c r="L1364">
        <v>300.8023</v>
      </c>
      <c r="M1364">
        <v>-8.9847529999999995E-2</v>
      </c>
      <c r="N1364">
        <v>-1.547343E-2</v>
      </c>
      <c r="O1364">
        <v>-0.99583540000000004</v>
      </c>
      <c r="P1364">
        <v>-0.25900719999999999</v>
      </c>
      <c r="Q1364">
        <v>-0.10877630000000001</v>
      </c>
      <c r="R1364">
        <v>-0.959731</v>
      </c>
      <c r="S1364">
        <v>-1.8508610000000001</v>
      </c>
      <c r="T1364">
        <v>-0.20869760000000001</v>
      </c>
      <c r="U1364">
        <v>-2.6130070000000001</v>
      </c>
      <c r="V1364">
        <v>0.17113639999999999</v>
      </c>
      <c r="W1364">
        <v>-9.4674969999999997E-2</v>
      </c>
      <c r="X1364">
        <v>0.980688</v>
      </c>
      <c r="Y1364">
        <v>0.50131099999999995</v>
      </c>
      <c r="Z1364">
        <v>5.1337500000000001E-2</v>
      </c>
      <c r="AA1364">
        <v>0.86374289999999998</v>
      </c>
      <c r="AB1364">
        <v>24</v>
      </c>
      <c r="AC1364">
        <v>-9.89349999999998</v>
      </c>
      <c r="AD1364">
        <v>-1.118550129935</v>
      </c>
      <c r="AE1364">
        <v>-13.7493</v>
      </c>
      <c r="AF1364">
        <v>8.58057181974206</v>
      </c>
      <c r="AG1364">
        <v>-1.118550129935</v>
      </c>
      <c r="AH1364">
        <v>14.5193782163451</v>
      </c>
      <c r="AI1364">
        <v>93.794445227678693</v>
      </c>
      <c r="AJ1364">
        <v>59.418026056745099</v>
      </c>
      <c r="AK1364">
        <v>16.9023581471996</v>
      </c>
      <c r="AL1364">
        <v>95.432612727433494</v>
      </c>
      <c r="AM1364">
        <v>80.101193780383497</v>
      </c>
      <c r="AN1364">
        <v>0.99999998534672996</v>
      </c>
    </row>
    <row r="1365" spans="1:40" x14ac:dyDescent="0.25">
      <c r="A1365" t="str">
        <f>"20190303154447411"</f>
        <v>20190303154447411</v>
      </c>
      <c r="B1365" t="str">
        <f>"1551599087401518"</f>
        <v>1551599087401518</v>
      </c>
      <c r="C1365" t="s">
        <v>40</v>
      </c>
      <c r="D1365">
        <v>5.3008329999999999</v>
      </c>
      <c r="E1365">
        <v>0.64348490000000003</v>
      </c>
      <c r="F1365" t="s">
        <v>54</v>
      </c>
      <c r="G1365">
        <v>-201.7877</v>
      </c>
      <c r="H1365" s="1">
        <v>2.7690090000000001E-6</v>
      </c>
      <c r="I1365">
        <v>287.37040000000002</v>
      </c>
      <c r="J1365">
        <v>-192.0872</v>
      </c>
      <c r="K1365">
        <v>1.1185020000000001</v>
      </c>
      <c r="L1365">
        <v>300.54930000000002</v>
      </c>
      <c r="M1365">
        <v>-9.4041150000000004E-2</v>
      </c>
      <c r="N1365">
        <v>-1.532532E-2</v>
      </c>
      <c r="O1365">
        <v>-0.99545030000000001</v>
      </c>
      <c r="P1365">
        <v>-0.26843299999999998</v>
      </c>
      <c r="Q1365">
        <v>-0.10770200000000001</v>
      </c>
      <c r="R1365">
        <v>-0.95725859999999996</v>
      </c>
      <c r="S1365">
        <v>-1.8789830000000001</v>
      </c>
      <c r="T1365">
        <v>-0.21604419999999999</v>
      </c>
      <c r="U1365">
        <v>-2.5943299999999998</v>
      </c>
      <c r="V1365">
        <v>0.17662</v>
      </c>
      <c r="W1365">
        <v>-9.3818260000000001E-2</v>
      </c>
      <c r="X1365">
        <v>0.97979769999999999</v>
      </c>
      <c r="Y1365">
        <v>0.50667200000000001</v>
      </c>
      <c r="Z1365">
        <v>5.3882399999999997E-2</v>
      </c>
      <c r="AA1365">
        <v>0.86045349999999998</v>
      </c>
      <c r="AB1365">
        <v>24</v>
      </c>
      <c r="AC1365">
        <v>-9.7004999999999999</v>
      </c>
      <c r="AD1365">
        <v>-1.118499230991</v>
      </c>
      <c r="AE1365">
        <v>-13.178900000000001</v>
      </c>
      <c r="AF1365">
        <v>8.3788510638331601</v>
      </c>
      <c r="AG1365">
        <v>-1.118499230991</v>
      </c>
      <c r="AH1365">
        <v>13.9675804868622</v>
      </c>
      <c r="AI1365">
        <v>93.928345746416596</v>
      </c>
      <c r="AJ1365">
        <v>59.041362950668102</v>
      </c>
      <c r="AK1365">
        <v>16.326343446608</v>
      </c>
      <c r="AL1365">
        <v>95.383307252166105</v>
      </c>
      <c r="AM1365">
        <v>79.781503151448504</v>
      </c>
      <c r="AN1365">
        <v>1.00000001161735</v>
      </c>
    </row>
    <row r="1366" spans="1:40" x14ac:dyDescent="0.25">
      <c r="A1366" t="str">
        <f>"20190303154447454"</f>
        <v>20190303154447454</v>
      </c>
      <c r="B1366" t="str">
        <f>"1551599087441535"</f>
        <v>1551599087441535</v>
      </c>
      <c r="C1366" t="s">
        <v>40</v>
      </c>
      <c r="D1366">
        <v>5.2924870000000004</v>
      </c>
      <c r="E1366">
        <v>0.64406339999999995</v>
      </c>
      <c r="F1366" t="s">
        <v>54</v>
      </c>
      <c r="G1366">
        <v>-201.9024</v>
      </c>
      <c r="H1366" s="1">
        <v>2.8260819999999999E-6</v>
      </c>
      <c r="I1366">
        <v>287.29939999999999</v>
      </c>
      <c r="J1366">
        <v>-192.14099999999999</v>
      </c>
      <c r="K1366">
        <v>1.1183399999999999</v>
      </c>
      <c r="L1366">
        <v>300.08749999999998</v>
      </c>
      <c r="M1366">
        <v>-0.1021155</v>
      </c>
      <c r="N1366">
        <v>-1.5081890000000001E-2</v>
      </c>
      <c r="O1366">
        <v>-0.99465820000000005</v>
      </c>
      <c r="P1366">
        <v>-0.28707830000000001</v>
      </c>
      <c r="Q1366">
        <v>-0.1090439</v>
      </c>
      <c r="R1366">
        <v>-0.95168039999999998</v>
      </c>
      <c r="S1366">
        <v>-1.907257</v>
      </c>
      <c r="T1366">
        <v>-0.21734229999999999</v>
      </c>
      <c r="U1366">
        <v>-2.5746769999999999</v>
      </c>
      <c r="V1366">
        <v>0.1877471</v>
      </c>
      <c r="W1366">
        <v>-9.5574450000000005E-2</v>
      </c>
      <c r="X1366">
        <v>0.97755639999999999</v>
      </c>
      <c r="Y1366">
        <v>0.50890309999999905</v>
      </c>
      <c r="Z1366">
        <v>5.4663219999999998E-2</v>
      </c>
      <c r="AA1366">
        <v>0.85908649999999998</v>
      </c>
      <c r="AB1366">
        <v>24</v>
      </c>
      <c r="AC1366">
        <v>-9.7614000000000001</v>
      </c>
      <c r="AD1366">
        <v>-1.1183371739179999</v>
      </c>
      <c r="AE1366">
        <v>-12.788099999999901</v>
      </c>
      <c r="AF1366">
        <v>8.3639329454154296</v>
      </c>
      <c r="AG1366">
        <v>-1.1183371739179999</v>
      </c>
      <c r="AH1366">
        <v>13.652168902307899</v>
      </c>
      <c r="AI1366">
        <v>93.995626130845395</v>
      </c>
      <c r="AJ1366">
        <v>58.506489831009901</v>
      </c>
      <c r="AK1366">
        <v>16.0495410553422</v>
      </c>
      <c r="AL1366">
        <v>95.484383918989806</v>
      </c>
      <c r="AM1366">
        <v>79.128293829089102</v>
      </c>
      <c r="AN1366">
        <v>0.99999998211608598</v>
      </c>
    </row>
    <row r="1367" spans="1:40" x14ac:dyDescent="0.25">
      <c r="A1367" t="str">
        <f>"20190303154447473"</f>
        <v>20190303154447473</v>
      </c>
      <c r="B1367" t="str">
        <f>"1551599087462031"</f>
        <v>1551599087462031</v>
      </c>
      <c r="C1367" t="s">
        <v>40</v>
      </c>
      <c r="D1367">
        <v>5.5103330000000001</v>
      </c>
      <c r="E1367">
        <v>0.64276469999999997</v>
      </c>
      <c r="F1367" t="s">
        <v>54</v>
      </c>
      <c r="G1367">
        <v>-202.05930000000001</v>
      </c>
      <c r="H1367" s="1">
        <v>2.8983339999999999E-6</v>
      </c>
      <c r="I1367">
        <v>287.26859999999999</v>
      </c>
      <c r="J1367">
        <v>-192.16749999999999</v>
      </c>
      <c r="K1367">
        <v>1.1182379999999901</v>
      </c>
      <c r="L1367">
        <v>299.87380000000002</v>
      </c>
      <c r="M1367">
        <v>-0.1060897</v>
      </c>
      <c r="N1367">
        <v>-1.4988329999999999E-2</v>
      </c>
      <c r="O1367">
        <v>-0.99424369999999995</v>
      </c>
      <c r="P1367">
        <v>-0.29465200000000003</v>
      </c>
      <c r="Q1367">
        <v>-0.1090879</v>
      </c>
      <c r="R1367">
        <v>-0.94935780000000003</v>
      </c>
      <c r="S1367">
        <v>-1.9615629999999999</v>
      </c>
      <c r="T1367">
        <v>-0.22117609999999999</v>
      </c>
      <c r="U1367">
        <v>-2.5352169999999998</v>
      </c>
      <c r="V1367">
        <v>0.1915973</v>
      </c>
      <c r="W1367">
        <v>-9.5796039999999999E-2</v>
      </c>
      <c r="X1367">
        <v>0.97678739999999997</v>
      </c>
      <c r="Y1367">
        <v>0.52332509999999999</v>
      </c>
      <c r="Z1367">
        <v>5.6090969999999997E-2</v>
      </c>
      <c r="AA1367">
        <v>0.85028499999999996</v>
      </c>
      <c r="AB1367">
        <v>24</v>
      </c>
      <c r="AC1367">
        <v>-9.8918000000000106</v>
      </c>
      <c r="AD1367">
        <v>-1.1182351016659999</v>
      </c>
      <c r="AE1367">
        <v>-12.6052</v>
      </c>
      <c r="AF1367">
        <v>8.4573401146420295</v>
      </c>
      <c r="AG1367">
        <v>-1.1182351016659999</v>
      </c>
      <c r="AH1367">
        <v>13.5177448579347</v>
      </c>
      <c r="AI1367">
        <v>94.011526568980102</v>
      </c>
      <c r="AJ1367">
        <v>57.967956240268201</v>
      </c>
      <c r="AK1367">
        <v>15.9845699848808</v>
      </c>
      <c r="AL1367">
        <v>95.497138428845801</v>
      </c>
      <c r="AM1367">
        <v>78.9023027765992</v>
      </c>
      <c r="AN1367">
        <v>1.0000000157228599</v>
      </c>
    </row>
    <row r="1368" spans="1:40" x14ac:dyDescent="0.25">
      <c r="A1368" t="str">
        <f>"20190303154447497"</f>
        <v>20190303154447497</v>
      </c>
      <c r="B1368" t="str">
        <f>"1551599087492287"</f>
        <v>1551599087492287</v>
      </c>
      <c r="C1368" t="s">
        <v>40</v>
      </c>
      <c r="D1368">
        <v>5.514805</v>
      </c>
      <c r="E1368">
        <v>0.64117950000000001</v>
      </c>
      <c r="F1368" t="s">
        <v>54</v>
      </c>
      <c r="G1368">
        <v>-201.54820000000001</v>
      </c>
      <c r="H1368" s="1">
        <v>2.6184709999999998E-6</v>
      </c>
      <c r="I1368">
        <v>287.8775</v>
      </c>
      <c r="J1368">
        <v>-192.19890000000001</v>
      </c>
      <c r="K1368">
        <v>1.1181049999999999</v>
      </c>
      <c r="L1368">
        <v>299.62990000000002</v>
      </c>
      <c r="M1368">
        <v>-0.1108538</v>
      </c>
      <c r="N1368">
        <v>-1.4895500000000001E-2</v>
      </c>
      <c r="O1368">
        <v>-0.99372519999999998</v>
      </c>
      <c r="P1368">
        <v>-0.30130750000000001</v>
      </c>
      <c r="Q1368">
        <v>-0.1064401</v>
      </c>
      <c r="R1368">
        <v>-0.94756779999999996</v>
      </c>
      <c r="S1368">
        <v>-1.9714659999999999</v>
      </c>
      <c r="T1368">
        <v>-0.23500860000000001</v>
      </c>
      <c r="U1368">
        <v>-2.5211489999999999</v>
      </c>
      <c r="V1368">
        <v>0.19371740000000001</v>
      </c>
      <c r="W1368">
        <v>-9.3326980000000004E-2</v>
      </c>
      <c r="X1368">
        <v>0.97660820000000004</v>
      </c>
      <c r="Y1368">
        <v>0.52343149999999905</v>
      </c>
      <c r="Z1368">
        <v>6.0778579999999999E-2</v>
      </c>
      <c r="AA1368">
        <v>0.84989729999999997</v>
      </c>
      <c r="AB1368">
        <v>24</v>
      </c>
      <c r="AC1368">
        <v>-9.3492999999999995</v>
      </c>
      <c r="AD1368">
        <v>-1.1181023815290001</v>
      </c>
      <c r="AE1368">
        <v>-11.7524</v>
      </c>
      <c r="AF1368">
        <v>7.9446831384110803</v>
      </c>
      <c r="AG1368">
        <v>-1.1181023815290001</v>
      </c>
      <c r="AH1368">
        <v>12.646369329871099</v>
      </c>
      <c r="AI1368">
        <v>94.281490527843005</v>
      </c>
      <c r="AJ1368">
        <v>57.862201776952602</v>
      </c>
      <c r="AK1368">
        <v>14.9766084389236</v>
      </c>
      <c r="AL1368">
        <v>95.355035179119497</v>
      </c>
      <c r="AM1368">
        <v>78.780593898912102</v>
      </c>
      <c r="AN1368">
        <v>0.99999996628295895</v>
      </c>
    </row>
    <row r="1369" spans="1:40" x14ac:dyDescent="0.25">
      <c r="A1369" t="str">
        <f>"20190303154447542"</f>
        <v>20190303154447542</v>
      </c>
      <c r="B1369" t="str">
        <f>"1551599087532303"</f>
        <v>1551599087532303</v>
      </c>
      <c r="C1369" t="s">
        <v>40</v>
      </c>
      <c r="D1369">
        <v>5.5006370000000002</v>
      </c>
      <c r="E1369">
        <v>0.62590389999999996</v>
      </c>
      <c r="F1369" t="s">
        <v>54</v>
      </c>
      <c r="G1369">
        <v>-201.19669999999999</v>
      </c>
      <c r="H1369" s="1">
        <v>2.4335769999999999E-6</v>
      </c>
      <c r="I1369">
        <v>288.209</v>
      </c>
      <c r="J1369">
        <v>-192.26349999999999</v>
      </c>
      <c r="K1369">
        <v>1.1176999999999999</v>
      </c>
      <c r="L1369">
        <v>299.16250000000002</v>
      </c>
      <c r="M1369">
        <v>-0.12092020000000001</v>
      </c>
      <c r="N1369">
        <v>-1.4752889999999999E-2</v>
      </c>
      <c r="O1369">
        <v>-0.99255269999999995</v>
      </c>
      <c r="P1369">
        <v>-0.31392379999999998</v>
      </c>
      <c r="Q1369">
        <v>-0.1077818</v>
      </c>
      <c r="R1369">
        <v>-0.94331089999999995</v>
      </c>
      <c r="S1369">
        <v>-1.977203</v>
      </c>
      <c r="T1369">
        <v>-0.24569650000000001</v>
      </c>
      <c r="U1369">
        <v>-2.509674</v>
      </c>
      <c r="V1369">
        <v>0.19675780000000001</v>
      </c>
      <c r="W1369">
        <v>-9.5036830000000003E-2</v>
      </c>
      <c r="X1369">
        <v>0.97583520000000001</v>
      </c>
      <c r="Y1369">
        <v>0.51772269999999998</v>
      </c>
      <c r="Z1369">
        <v>6.459645E-2</v>
      </c>
      <c r="AA1369">
        <v>0.85310640000000004</v>
      </c>
      <c r="AB1369">
        <v>24</v>
      </c>
      <c r="AC1369">
        <v>-8.9331999999999994</v>
      </c>
      <c r="AD1369">
        <v>-1.117697566423</v>
      </c>
      <c r="AE1369">
        <v>-10.9535</v>
      </c>
      <c r="AF1369">
        <v>7.4961186739053796</v>
      </c>
      <c r="AG1369">
        <v>-1.117697566423</v>
      </c>
      <c r="AH1369">
        <v>11.8791487356222</v>
      </c>
      <c r="AI1369">
        <v>94.549490344555096</v>
      </c>
      <c r="AJ1369">
        <v>57.746777944418398</v>
      </c>
      <c r="AK1369">
        <v>14.0909622704163</v>
      </c>
      <c r="AL1369">
        <v>95.453439693172797</v>
      </c>
      <c r="AM1369">
        <v>78.600287238044402</v>
      </c>
      <c r="AN1369">
        <v>0.99999998423816405</v>
      </c>
    </row>
    <row r="1370" spans="1:40" x14ac:dyDescent="0.25">
      <c r="A1370" t="str">
        <f>"20190303154447562"</f>
        <v>20190303154447562</v>
      </c>
      <c r="B1370" t="str">
        <f>"1551599087551822"</f>
        <v>1551599087551822</v>
      </c>
      <c r="C1370" t="s">
        <v>40</v>
      </c>
      <c r="D1370">
        <v>5.4806429999999997</v>
      </c>
      <c r="E1370">
        <v>0.62680979999999997</v>
      </c>
      <c r="F1370" t="s">
        <v>54</v>
      </c>
      <c r="G1370">
        <v>-197.19980000000001</v>
      </c>
      <c r="H1370" s="1">
        <v>1.471475E-6</v>
      </c>
      <c r="I1370">
        <v>292.65010000000001</v>
      </c>
      <c r="J1370">
        <v>-192.29689999999999</v>
      </c>
      <c r="K1370">
        <v>1.1174789999999999</v>
      </c>
      <c r="L1370">
        <v>298.93799999999999</v>
      </c>
      <c r="M1370">
        <v>-0.1262144</v>
      </c>
      <c r="N1370">
        <v>-1.469171E-2</v>
      </c>
      <c r="O1370">
        <v>-0.99189419999999995</v>
      </c>
      <c r="P1370">
        <v>-0.31905420000000001</v>
      </c>
      <c r="Q1370">
        <v>-0.10842010000000001</v>
      </c>
      <c r="R1370">
        <v>-0.94151470000000004</v>
      </c>
      <c r="S1370">
        <v>-1.8953249999999999</v>
      </c>
      <c r="T1370">
        <v>-0.42915399999999998</v>
      </c>
      <c r="U1370">
        <v>-2.5005489999999999</v>
      </c>
      <c r="V1370">
        <v>0.19681860000000001</v>
      </c>
      <c r="W1370">
        <v>-9.5835160000000003E-2</v>
      </c>
      <c r="X1370">
        <v>0.97574479999999997</v>
      </c>
      <c r="Y1370">
        <v>0.49342419999999998</v>
      </c>
      <c r="Z1370">
        <v>0.1250203</v>
      </c>
      <c r="AA1370">
        <v>0.86075689999999905</v>
      </c>
      <c r="AB1370">
        <v>24</v>
      </c>
      <c r="AC1370">
        <v>-4.9029000000000096</v>
      </c>
      <c r="AD1370">
        <v>-1.117477528525</v>
      </c>
      <c r="AE1370">
        <v>-6.2878999999999703</v>
      </c>
      <c r="AF1370">
        <v>3.9915716913424899</v>
      </c>
      <c r="AG1370">
        <v>-1.117477528525</v>
      </c>
      <c r="AH1370">
        <v>6.7244078671991998</v>
      </c>
      <c r="AI1370">
        <v>98.1326427735831</v>
      </c>
      <c r="AJ1370">
        <v>59.306864091163398</v>
      </c>
      <c r="AK1370">
        <v>7.8993076758875302</v>
      </c>
      <c r="AL1370">
        <v>95.499390689507294</v>
      </c>
      <c r="AM1370">
        <v>78.595828105115402</v>
      </c>
      <c r="AN1370">
        <v>0.99999992696260998</v>
      </c>
    </row>
    <row r="1371" spans="1:40" x14ac:dyDescent="0.25">
      <c r="A1371" t="str">
        <f>"20190303154447585"</f>
        <v>20190303154447585</v>
      </c>
      <c r="B1371" t="str">
        <f>"1551599087582079"</f>
        <v>1551599087582079</v>
      </c>
      <c r="C1371" t="s">
        <v>40</v>
      </c>
      <c r="D1371">
        <v>5.5172749999999997</v>
      </c>
      <c r="E1371">
        <v>0.62707389999999996</v>
      </c>
      <c r="F1371" t="s">
        <v>54</v>
      </c>
      <c r="G1371">
        <v>-197.36760000000001</v>
      </c>
      <c r="H1371" s="1">
        <v>1.5094389999999999E-6</v>
      </c>
      <c r="I1371">
        <v>292.35000000000002</v>
      </c>
      <c r="J1371">
        <v>-192.33439999999999</v>
      </c>
      <c r="K1371">
        <v>1.1173070000000001</v>
      </c>
      <c r="L1371">
        <v>298.69740000000002</v>
      </c>
      <c r="M1371">
        <v>-0.13214279999999901</v>
      </c>
      <c r="N1371">
        <v>-1.4630779999999999E-2</v>
      </c>
      <c r="O1371">
        <v>-0.99112270000000002</v>
      </c>
      <c r="P1371">
        <v>-0.32379989999999997</v>
      </c>
      <c r="Q1371">
        <v>-0.1079126</v>
      </c>
      <c r="R1371">
        <v>-0.93995139999999999</v>
      </c>
      <c r="S1371">
        <v>-1.9154819999999999</v>
      </c>
      <c r="T1371">
        <v>-0.42213610000000001</v>
      </c>
      <c r="U1371">
        <v>-2.4886780000000002</v>
      </c>
      <c r="V1371">
        <v>0.1958635</v>
      </c>
      <c r="W1371">
        <v>-9.5460290000000003E-2</v>
      </c>
      <c r="X1371">
        <v>0.9759738</v>
      </c>
      <c r="Y1371">
        <v>0.49477949999999998</v>
      </c>
      <c r="Z1371">
        <v>0.1228788</v>
      </c>
      <c r="AA1371">
        <v>0.86028719999999903</v>
      </c>
      <c r="AB1371">
        <v>23</v>
      </c>
      <c r="AC1371">
        <v>-5.0332000000000203</v>
      </c>
      <c r="AD1371">
        <v>-1.117305490561</v>
      </c>
      <c r="AE1371">
        <v>-6.3473999999999897</v>
      </c>
      <c r="AF1371">
        <v>4.0727223648943998</v>
      </c>
      <c r="AG1371">
        <v>-1.117305490561</v>
      </c>
      <c r="AH1371">
        <v>6.82702413382221</v>
      </c>
      <c r="AI1371">
        <v>98.000489572882103</v>
      </c>
      <c r="AJ1371">
        <v>59.181432325946602</v>
      </c>
      <c r="AK1371">
        <v>8.0276831990643291</v>
      </c>
      <c r="AL1371">
        <v>95.477812791979005</v>
      </c>
      <c r="AM1371">
        <v>78.652323245672505</v>
      </c>
      <c r="AN1371">
        <v>1.0000000179427799</v>
      </c>
    </row>
    <row r="1372" spans="1:40" x14ac:dyDescent="0.25">
      <c r="A1372" t="str">
        <f>"20190303154447610"</f>
        <v>20190303154447610</v>
      </c>
      <c r="B1372" t="str">
        <f>"1551599087601599"</f>
        <v>1551599087601599</v>
      </c>
      <c r="C1372" t="s">
        <v>40</v>
      </c>
      <c r="D1372">
        <v>5.5198419999999997</v>
      </c>
      <c r="E1372">
        <v>0.62696890000000005</v>
      </c>
      <c r="F1372" t="s">
        <v>54</v>
      </c>
      <c r="G1372">
        <v>-197.49440000000001</v>
      </c>
      <c r="H1372" s="1">
        <v>1.547322E-6</v>
      </c>
      <c r="I1372">
        <v>292.07100000000003</v>
      </c>
      <c r="J1372">
        <v>-192.37629999999999</v>
      </c>
      <c r="K1372">
        <v>1.1171150000000001</v>
      </c>
      <c r="L1372">
        <v>298.44159999999999</v>
      </c>
      <c r="M1372">
        <v>-0.13881749999999901</v>
      </c>
      <c r="N1372">
        <v>-1.457434E-2</v>
      </c>
      <c r="O1372">
        <v>-0.9902109</v>
      </c>
      <c r="P1372">
        <v>-0.32939590000000002</v>
      </c>
      <c r="Q1372">
        <v>-0.1085499</v>
      </c>
      <c r="R1372">
        <v>-0.93793170000000003</v>
      </c>
      <c r="S1372">
        <v>-1.9302060000000001</v>
      </c>
      <c r="T1372">
        <v>-0.41795189999999999</v>
      </c>
      <c r="U1372">
        <v>-2.4787599999999999</v>
      </c>
      <c r="V1372">
        <v>0.1950662</v>
      </c>
      <c r="W1372">
        <v>-9.6231990000000003E-2</v>
      </c>
      <c r="X1372">
        <v>0.97605759999999997</v>
      </c>
      <c r="Y1372">
        <v>0.49389090000000002</v>
      </c>
      <c r="Z1372">
        <v>0.1216903</v>
      </c>
      <c r="AA1372">
        <v>0.86096640000000002</v>
      </c>
      <c r="AB1372">
        <v>23</v>
      </c>
      <c r="AC1372">
        <v>-5.1181000000000196</v>
      </c>
      <c r="AD1372">
        <v>-1.11711345267799</v>
      </c>
      <c r="AE1372">
        <v>-6.37060000000002</v>
      </c>
      <c r="AF1372">
        <v>4.1073354612509796</v>
      </c>
      <c r="AG1372">
        <v>-1.11711345267799</v>
      </c>
      <c r="AH1372">
        <v>6.8906938581689401</v>
      </c>
      <c r="AI1372">
        <v>97.927847831974205</v>
      </c>
      <c r="AJ1372">
        <v>59.202101138360703</v>
      </c>
      <c r="AK1372">
        <v>8.0993708955949906</v>
      </c>
      <c r="AL1372">
        <v>95.522232942315199</v>
      </c>
      <c r="AM1372">
        <v>78.6982701284917</v>
      </c>
      <c r="AN1372">
        <v>0.99999992839977703</v>
      </c>
    </row>
    <row r="1373" spans="1:40" x14ac:dyDescent="0.25">
      <c r="A1373" t="str">
        <f>"20190303154447633"</f>
        <v>20190303154447633</v>
      </c>
      <c r="B1373" t="str">
        <f>"1551599087622094"</f>
        <v>1551599087622094</v>
      </c>
      <c r="C1373" t="s">
        <v>40</v>
      </c>
      <c r="D1373">
        <v>5.3140549999999998</v>
      </c>
      <c r="E1373">
        <v>0.62820830000000005</v>
      </c>
      <c r="F1373" t="s">
        <v>54</v>
      </c>
      <c r="G1373">
        <v>-197.4933</v>
      </c>
      <c r="H1373" s="1">
        <v>1.5690529999999999E-6</v>
      </c>
      <c r="I1373">
        <v>291.94819999999999</v>
      </c>
      <c r="J1373">
        <v>-192.41800000000001</v>
      </c>
      <c r="K1373">
        <v>1.1169209999999901</v>
      </c>
      <c r="L1373">
        <v>298.19920000000002</v>
      </c>
      <c r="M1373">
        <v>-0.14552089999999901</v>
      </c>
      <c r="N1373">
        <v>-1.453401E-2</v>
      </c>
      <c r="O1373">
        <v>-0.98924860000000003</v>
      </c>
      <c r="P1373">
        <v>-0.33656150000000001</v>
      </c>
      <c r="Q1373">
        <v>-0.1119506</v>
      </c>
      <c r="R1373">
        <v>-0.93498340000000002</v>
      </c>
      <c r="S1373">
        <v>-1.943848</v>
      </c>
      <c r="T1373">
        <v>-0.424371</v>
      </c>
      <c r="U1373">
        <v>-2.466736</v>
      </c>
      <c r="V1373">
        <v>0.19589909999999999</v>
      </c>
      <c r="W1373">
        <v>-9.9780759999999996E-2</v>
      </c>
      <c r="X1373">
        <v>0.97553440000000002</v>
      </c>
      <c r="Y1373">
        <v>0.49281760000000002</v>
      </c>
      <c r="Z1373">
        <v>0.1239582</v>
      </c>
      <c r="AA1373">
        <v>0.86125790000000002</v>
      </c>
      <c r="AB1373">
        <v>23</v>
      </c>
      <c r="AC1373">
        <v>-5.0752999999999897</v>
      </c>
      <c r="AD1373">
        <v>-1.1169194309470001</v>
      </c>
      <c r="AE1373">
        <v>-6.2510000000000296</v>
      </c>
      <c r="AF1373">
        <v>4.0338968361785099</v>
      </c>
      <c r="AG1373">
        <v>-1.1169194309470001</v>
      </c>
      <c r="AH1373">
        <v>6.7923882256499599</v>
      </c>
      <c r="AI1373">
        <v>98.047340268805897</v>
      </c>
      <c r="AJ1373">
        <v>59.2945629895096</v>
      </c>
      <c r="AK1373">
        <v>7.9784942506782599</v>
      </c>
      <c r="AL1373">
        <v>95.726545741438599</v>
      </c>
      <c r="AM1373">
        <v>78.645334878768693</v>
      </c>
      <c r="AN1373">
        <v>1.0000000115151699</v>
      </c>
    </row>
    <row r="1374" spans="1:40" x14ac:dyDescent="0.25">
      <c r="A1374" t="str">
        <f>"20190303154447676"</f>
        <v>20190303154447676</v>
      </c>
      <c r="B1374" t="str">
        <f>"1551599087671872"</f>
        <v>1551599087671872</v>
      </c>
      <c r="C1374" t="s">
        <v>40</v>
      </c>
      <c r="D1374">
        <v>5.4256640000000003</v>
      </c>
      <c r="E1374">
        <v>0.64127630000000002</v>
      </c>
      <c r="F1374" t="s">
        <v>54</v>
      </c>
      <c r="G1374">
        <v>-197.5573</v>
      </c>
      <c r="H1374" s="1">
        <v>1.5863430000000001E-6</v>
      </c>
      <c r="I1374">
        <v>291.81779999999998</v>
      </c>
      <c r="J1374">
        <v>-192.5008</v>
      </c>
      <c r="K1374">
        <v>1.116511</v>
      </c>
      <c r="L1374">
        <v>297.74970000000002</v>
      </c>
      <c r="M1374">
        <v>-0.15892890000000001</v>
      </c>
      <c r="N1374">
        <v>-1.4494430000000001E-2</v>
      </c>
      <c r="O1374">
        <v>-0.9871839</v>
      </c>
      <c r="P1374">
        <v>-0.35055419999999998</v>
      </c>
      <c r="Q1374">
        <v>-0.1043584</v>
      </c>
      <c r="R1374">
        <v>-0.93071020000000004</v>
      </c>
      <c r="S1374">
        <v>-1.971298</v>
      </c>
      <c r="T1374">
        <v>-0.42842029999999998</v>
      </c>
      <c r="U1374">
        <v>-2.4477229999999999</v>
      </c>
      <c r="V1374">
        <v>0.19714010000000001</v>
      </c>
      <c r="W1374">
        <v>-9.244028E-2</v>
      </c>
      <c r="X1374">
        <v>0.97600750000000003</v>
      </c>
      <c r="Y1374">
        <v>0.49006300000000003</v>
      </c>
      <c r="Z1374">
        <v>0.12543470000000001</v>
      </c>
      <c r="AA1374">
        <v>0.86261489999999996</v>
      </c>
      <c r="AB1374">
        <v>23</v>
      </c>
      <c r="AC1374">
        <v>-5.0564999999999998</v>
      </c>
      <c r="AD1374">
        <v>-1.116509413657</v>
      </c>
      <c r="AE1374">
        <v>-5.9319000000000397</v>
      </c>
      <c r="AF1374">
        <v>3.9679542579899598</v>
      </c>
      <c r="AG1374">
        <v>-1.116509413657</v>
      </c>
      <c r="AH1374">
        <v>6.5262906008570702</v>
      </c>
      <c r="AI1374">
        <v>98.316628826657293</v>
      </c>
      <c r="AJ1374">
        <v>58.700593697851403</v>
      </c>
      <c r="AK1374">
        <v>7.7190493761292096</v>
      </c>
      <c r="AL1374">
        <v>95.304010075745595</v>
      </c>
      <c r="AM1374">
        <v>78.580682477859796</v>
      </c>
      <c r="AN1374">
        <v>1.0000000322253599</v>
      </c>
    </row>
    <row r="1375" spans="1:40" x14ac:dyDescent="0.25">
      <c r="A1375" t="str">
        <f>"20190303154447697"</f>
        <v>20190303154447697</v>
      </c>
      <c r="B1375" t="str">
        <f>"1551599087691390"</f>
        <v>1551599087691390</v>
      </c>
      <c r="C1375" t="s">
        <v>40</v>
      </c>
      <c r="D1375">
        <v>5.3826099999999997</v>
      </c>
      <c r="E1375">
        <v>0.64230290000000001</v>
      </c>
      <c r="F1375" t="s">
        <v>54</v>
      </c>
      <c r="G1375">
        <v>-200.3878</v>
      </c>
      <c r="H1375" s="1">
        <v>2.025203E-6</v>
      </c>
      <c r="I1375">
        <v>288.7774</v>
      </c>
      <c r="J1375">
        <v>-192.54089999999999</v>
      </c>
      <c r="K1375">
        <v>1.116323</v>
      </c>
      <c r="L1375">
        <v>297.54640000000001</v>
      </c>
      <c r="M1375">
        <v>-0.16539770000000001</v>
      </c>
      <c r="N1375">
        <v>-1.448698E-2</v>
      </c>
      <c r="O1375">
        <v>-0.98612069999999996</v>
      </c>
      <c r="P1375">
        <v>-0.35860629999999999</v>
      </c>
      <c r="Q1375">
        <v>-0.1009545</v>
      </c>
      <c r="R1375">
        <v>-0.92801429999999996</v>
      </c>
      <c r="S1375">
        <v>-2.1066129999999998</v>
      </c>
      <c r="T1375">
        <v>-0.29821799999999998</v>
      </c>
      <c r="U1375">
        <v>-2.3964840000000001</v>
      </c>
      <c r="V1375">
        <v>0.19912769999999999</v>
      </c>
      <c r="W1375">
        <v>-8.9164309999999997E-2</v>
      </c>
      <c r="X1375">
        <v>0.97590880000000002</v>
      </c>
      <c r="Y1375">
        <v>0.5242909</v>
      </c>
      <c r="Z1375">
        <v>8.2598480000000002E-2</v>
      </c>
      <c r="AA1375">
        <v>0.84752380000000005</v>
      </c>
      <c r="AB1375">
        <v>23</v>
      </c>
      <c r="AC1375">
        <v>-7.8468999999999998</v>
      </c>
      <c r="AD1375">
        <v>-1.116320974797</v>
      </c>
      <c r="AE1375">
        <v>-8.7690000000000001</v>
      </c>
      <c r="AF1375">
        <v>6.23218958519199</v>
      </c>
      <c r="AG1375">
        <v>-1.116320974797</v>
      </c>
      <c r="AH1375">
        <v>9.8574801350496699</v>
      </c>
      <c r="AI1375">
        <v>95.467703869064593</v>
      </c>
      <c r="AJ1375">
        <v>57.697718824569101</v>
      </c>
      <c r="AK1375">
        <v>11.715642285314299</v>
      </c>
      <c r="AL1375">
        <v>95.115532032603696</v>
      </c>
      <c r="AM1375">
        <v>78.467485142010801</v>
      </c>
      <c r="AN1375">
        <v>1.0000000505012501</v>
      </c>
    </row>
    <row r="1376" spans="1:40" x14ac:dyDescent="0.25">
      <c r="A1376" t="str">
        <f>"20190303154447720"</f>
        <v>20190303154447720</v>
      </c>
      <c r="B1376" t="str">
        <f>"1551599087711886"</f>
        <v>1551599087711886</v>
      </c>
      <c r="C1376" t="s">
        <v>40</v>
      </c>
      <c r="D1376">
        <v>5.445735</v>
      </c>
      <c r="E1376">
        <v>0.64176299999999997</v>
      </c>
      <c r="F1376" t="s">
        <v>54</v>
      </c>
      <c r="G1376">
        <v>-201.1755</v>
      </c>
      <c r="H1376" s="1">
        <v>2.4485439999999999E-6</v>
      </c>
      <c r="I1376">
        <v>287.93049999999999</v>
      </c>
      <c r="J1376">
        <v>-192.59129999999999</v>
      </c>
      <c r="K1376">
        <v>1.1160920000000001</v>
      </c>
      <c r="L1376">
        <v>297.3021</v>
      </c>
      <c r="M1376">
        <v>-0.17349999999999999</v>
      </c>
      <c r="N1376">
        <v>-1.4482299999999899E-2</v>
      </c>
      <c r="O1376">
        <v>-0.98472760000000004</v>
      </c>
      <c r="P1376">
        <v>-0.36988549999999998</v>
      </c>
      <c r="Q1376">
        <v>-0.1010747</v>
      </c>
      <c r="R1376">
        <v>-0.92356329999999998</v>
      </c>
      <c r="S1376">
        <v>-2.1350560000000001</v>
      </c>
      <c r="T1376">
        <v>-0.27602959999999999</v>
      </c>
      <c r="U1376">
        <v>-2.3776860000000002</v>
      </c>
      <c r="V1376">
        <v>0.20293649999999999</v>
      </c>
      <c r="W1376">
        <v>-8.9460419999999999E-2</v>
      </c>
      <c r="X1376">
        <v>0.97509670000000004</v>
      </c>
      <c r="Y1376">
        <v>0.52665329999999999</v>
      </c>
      <c r="Z1376">
        <v>7.5517210000000001E-2</v>
      </c>
      <c r="AA1376">
        <v>0.84671929999999995</v>
      </c>
      <c r="AB1376">
        <v>23</v>
      </c>
      <c r="AC1376">
        <v>-8.5842000000000098</v>
      </c>
      <c r="AD1376">
        <v>-1.1160895514560001</v>
      </c>
      <c r="AE1376">
        <v>-9.3716000000000008</v>
      </c>
      <c r="AF1376">
        <v>6.7755852658584299</v>
      </c>
      <c r="AG1376">
        <v>-1.1160895514560001</v>
      </c>
      <c r="AH1376">
        <v>10.636918530893601</v>
      </c>
      <c r="AI1376">
        <v>95.057330910033798</v>
      </c>
      <c r="AJ1376">
        <v>57.503368740449801</v>
      </c>
      <c r="AK1376">
        <v>12.660894416061399</v>
      </c>
      <c r="AL1376">
        <v>95.132566310539602</v>
      </c>
      <c r="AM1376">
        <v>78.243461429330594</v>
      </c>
      <c r="AN1376">
        <v>0.99999998206485796</v>
      </c>
    </row>
    <row r="1377" spans="1:40" x14ac:dyDescent="0.25">
      <c r="A1377" t="str">
        <f>"20190303154447743"</f>
        <v>20190303154447743</v>
      </c>
      <c r="B1377" t="str">
        <f>"1551599087731407"</f>
        <v>1551599087731407</v>
      </c>
      <c r="C1377" t="s">
        <v>40</v>
      </c>
      <c r="D1377">
        <v>5.4052550000000004</v>
      </c>
      <c r="E1377">
        <v>0.64244630000000003</v>
      </c>
      <c r="F1377" t="s">
        <v>54</v>
      </c>
      <c r="G1377">
        <v>-201.14009999999999</v>
      </c>
      <c r="H1377" s="1">
        <v>2.4275040000000002E-6</v>
      </c>
      <c r="I1377">
        <v>287.99160000000001</v>
      </c>
      <c r="J1377">
        <v>-192.64160000000001</v>
      </c>
      <c r="K1377">
        <v>1.115872</v>
      </c>
      <c r="L1377">
        <v>297.07029999999997</v>
      </c>
      <c r="M1377">
        <v>-0.18158930000000001</v>
      </c>
      <c r="N1377">
        <v>-1.44848999999999E-2</v>
      </c>
      <c r="O1377">
        <v>-0.98326780000000003</v>
      </c>
      <c r="P1377">
        <v>-0.38038959999999999</v>
      </c>
      <c r="Q1377">
        <v>-0.103697</v>
      </c>
      <c r="R1377">
        <v>-0.91899459999999999</v>
      </c>
      <c r="S1377">
        <v>-2.1599119999999998</v>
      </c>
      <c r="T1377">
        <v>-0.2819873</v>
      </c>
      <c r="U1377">
        <v>-2.3523559999999999</v>
      </c>
      <c r="V1377">
        <v>0.20600360000000001</v>
      </c>
      <c r="W1377">
        <v>-9.2238840000000002E-2</v>
      </c>
      <c r="X1377">
        <v>0.97419429999999996</v>
      </c>
      <c r="Y1377">
        <v>0.52894569999999996</v>
      </c>
      <c r="Z1377">
        <v>7.7638860000000004E-2</v>
      </c>
      <c r="AA1377">
        <v>0.84509679999999998</v>
      </c>
      <c r="AB1377">
        <v>23</v>
      </c>
      <c r="AC1377">
        <v>-8.4984999999999697</v>
      </c>
      <c r="AD1377">
        <v>-1.1158695724959999</v>
      </c>
      <c r="AE1377">
        <v>-9.0786999999999694</v>
      </c>
      <c r="AF1377">
        <v>6.6548279316523304</v>
      </c>
      <c r="AG1377">
        <v>-1.1158695724959999</v>
      </c>
      <c r="AH1377">
        <v>10.3874919270232</v>
      </c>
      <c r="AI1377">
        <v>95.1685345380927</v>
      </c>
      <c r="AJ1377">
        <v>57.3540266190507</v>
      </c>
      <c r="AK1377">
        <v>12.386762621310501</v>
      </c>
      <c r="AL1377">
        <v>95.292419007210896</v>
      </c>
      <c r="AM1377">
        <v>78.060099197425004</v>
      </c>
      <c r="AN1377">
        <v>1.00000001048499</v>
      </c>
    </row>
    <row r="1378" spans="1:40" x14ac:dyDescent="0.25">
      <c r="A1378" t="str">
        <f>"20190303154447765"</f>
        <v>20190303154447765</v>
      </c>
      <c r="B1378" t="str">
        <f>"1551599087761662"</f>
        <v>1551599087761662</v>
      </c>
      <c r="C1378" t="s">
        <v>40</v>
      </c>
      <c r="D1378">
        <v>4.4983409999999999</v>
      </c>
      <c r="E1378">
        <v>0.64244630000000003</v>
      </c>
      <c r="F1378" t="s">
        <v>54</v>
      </c>
      <c r="G1378">
        <v>-201.1662</v>
      </c>
      <c r="H1378" s="1">
        <v>2.4360460000000001E-6</v>
      </c>
      <c r="I1378">
        <v>288.0265</v>
      </c>
      <c r="J1378">
        <v>-192.6943</v>
      </c>
      <c r="K1378">
        <v>1.1156649999999999</v>
      </c>
      <c r="L1378">
        <v>296.839</v>
      </c>
      <c r="M1378">
        <v>-0.19005140000000001</v>
      </c>
      <c r="N1378">
        <v>-1.449609E-2</v>
      </c>
      <c r="O1378">
        <v>-0.98166719999999996</v>
      </c>
      <c r="P1378">
        <v>-0.39064389999999999</v>
      </c>
      <c r="Q1378">
        <v>-0.1067586</v>
      </c>
      <c r="R1378">
        <v>-0.91433030000000004</v>
      </c>
      <c r="S1378">
        <v>-2.1914980000000002</v>
      </c>
      <c r="T1378">
        <v>-0.28686509999999998</v>
      </c>
      <c r="U1378">
        <v>-2.3249819999999999</v>
      </c>
      <c r="V1378">
        <v>0.208483</v>
      </c>
      <c r="W1378">
        <v>-9.5441269999999995E-2</v>
      </c>
      <c r="X1378">
        <v>0.97335799999999995</v>
      </c>
      <c r="Y1378">
        <v>0.53259529999999999</v>
      </c>
      <c r="Z1378">
        <v>7.933047E-2</v>
      </c>
      <c r="AA1378">
        <v>0.84264399999999995</v>
      </c>
      <c r="AB1378">
        <v>23</v>
      </c>
      <c r="AC1378">
        <v>-8.4718999999999998</v>
      </c>
      <c r="AD1378">
        <v>-1.1156625639540001</v>
      </c>
      <c r="AE1378">
        <v>-8.8125</v>
      </c>
      <c r="AF1378">
        <v>6.5875845667487098</v>
      </c>
      <c r="AG1378">
        <v>-1.1156625639540001</v>
      </c>
      <c r="AH1378">
        <v>10.1773439992873</v>
      </c>
      <c r="AI1378">
        <v>95.257906208339506</v>
      </c>
      <c r="AJ1378">
        <v>57.085851838266002</v>
      </c>
      <c r="AK1378">
        <v>12.1745350736898</v>
      </c>
      <c r="AL1378">
        <v>95.476718144242</v>
      </c>
      <c r="AM1378">
        <v>77.910517244559998</v>
      </c>
      <c r="AN1378">
        <v>0.99999999673610596</v>
      </c>
    </row>
    <row r="1379" spans="1:40" x14ac:dyDescent="0.25">
      <c r="A1379" t="str">
        <f>"20190303154447788"</f>
        <v>20190303154447788</v>
      </c>
      <c r="B1379" t="str">
        <f>"1551599087782158"</f>
        <v>1551599087782158</v>
      </c>
      <c r="C1379" t="s">
        <v>40</v>
      </c>
      <c r="D1379">
        <v>4.4983810000000002</v>
      </c>
      <c r="E1379">
        <v>0.6422563</v>
      </c>
      <c r="F1379" t="s">
        <v>54</v>
      </c>
      <c r="G1379">
        <v>-201.0616</v>
      </c>
      <c r="H1379" s="1">
        <v>2.377717E-6</v>
      </c>
      <c r="I1379">
        <v>288.16309999999999</v>
      </c>
      <c r="J1379">
        <v>-192.7483</v>
      </c>
      <c r="K1379">
        <v>1.1154759999999999</v>
      </c>
      <c r="L1379">
        <v>296.61250000000001</v>
      </c>
      <c r="M1379">
        <v>-0.19863430000000001</v>
      </c>
      <c r="N1379">
        <v>-1.4509040000000001E-2</v>
      </c>
      <c r="O1379">
        <v>-0.97996649999999996</v>
      </c>
      <c r="P1379">
        <v>-0.40070020000000001</v>
      </c>
      <c r="Q1379">
        <v>-0.10784009999999999</v>
      </c>
      <c r="R1379">
        <v>-0.90984120000000002</v>
      </c>
      <c r="S1379">
        <v>-2.2174070000000001</v>
      </c>
      <c r="T1379">
        <v>-0.29565789999999997</v>
      </c>
      <c r="U1379">
        <v>-2.2991640000000002</v>
      </c>
      <c r="V1379">
        <v>0.2106594</v>
      </c>
      <c r="W1379">
        <v>-9.664412E-2</v>
      </c>
      <c r="X1379">
        <v>0.97277060000000004</v>
      </c>
      <c r="Y1379">
        <v>0.53466519999999995</v>
      </c>
      <c r="Z1379">
        <v>8.2326620000000003E-2</v>
      </c>
      <c r="AA1379">
        <v>0.84104429999999997</v>
      </c>
      <c r="AB1379">
        <v>23</v>
      </c>
      <c r="AC1379">
        <v>-8.3132999999999893</v>
      </c>
      <c r="AD1379">
        <v>-1.115473622283</v>
      </c>
      <c r="AE1379">
        <v>-8.4494000000000202</v>
      </c>
      <c r="AF1379">
        <v>6.4123077111535203</v>
      </c>
      <c r="AG1379">
        <v>-1.115473622283</v>
      </c>
      <c r="AH1379">
        <v>9.8452900334741802</v>
      </c>
      <c r="AI1379">
        <v>95.423354845039498</v>
      </c>
      <c r="AJ1379">
        <v>56.923514534461098</v>
      </c>
      <c r="AK1379">
        <v>11.8021907893303</v>
      </c>
      <c r="AL1379">
        <v>95.545956129693707</v>
      </c>
      <c r="AM1379">
        <v>77.780928820232205</v>
      </c>
      <c r="AN1379">
        <v>1.0000000544816401</v>
      </c>
    </row>
    <row r="1380" spans="1:40" x14ac:dyDescent="0.25">
      <c r="A1380" t="str">
        <f>"20190303154447812"</f>
        <v>20190303154447812</v>
      </c>
      <c r="B1380" t="str">
        <f>"1551599087801679"</f>
        <v>1551599087801679</v>
      </c>
      <c r="C1380" t="s">
        <v>40</v>
      </c>
      <c r="D1380">
        <v>5.5096429999999996</v>
      </c>
      <c r="E1380">
        <v>0.6418391</v>
      </c>
      <c r="F1380" t="s">
        <v>54</v>
      </c>
      <c r="G1380">
        <v>-200.8621</v>
      </c>
      <c r="H1380" s="1">
        <v>2.2703250000000002E-6</v>
      </c>
      <c r="I1380">
        <v>288.3793</v>
      </c>
      <c r="J1380">
        <v>-192.8092</v>
      </c>
      <c r="K1380">
        <v>1.115291</v>
      </c>
      <c r="L1380">
        <v>296.36840000000001</v>
      </c>
      <c r="M1380">
        <v>-0.20821329999999999</v>
      </c>
      <c r="N1380">
        <v>-1.4522E-2</v>
      </c>
      <c r="O1380">
        <v>-0.9779757</v>
      </c>
      <c r="P1380">
        <v>-0.41222589999999998</v>
      </c>
      <c r="Q1380">
        <v>-0.10749110000000001</v>
      </c>
      <c r="R1380">
        <v>-0.90471829999999998</v>
      </c>
      <c r="S1380">
        <v>-2.240891</v>
      </c>
      <c r="T1380">
        <v>-0.30807289999999998</v>
      </c>
      <c r="U1380">
        <v>-2.2738649999999998</v>
      </c>
      <c r="V1380">
        <v>0.21344560000000001</v>
      </c>
      <c r="W1380">
        <v>-9.6427639999999995E-2</v>
      </c>
      <c r="X1380">
        <v>0.97218450000000001</v>
      </c>
      <c r="Y1380">
        <v>0.53522760000000003</v>
      </c>
      <c r="Z1380">
        <v>8.6510020000000007E-2</v>
      </c>
      <c r="AA1380">
        <v>0.84026630000000002</v>
      </c>
      <c r="AB1380">
        <v>23</v>
      </c>
      <c r="AC1380">
        <v>-8.0528999999999904</v>
      </c>
      <c r="AD1380">
        <v>-1.115288729675</v>
      </c>
      <c r="AE1380">
        <v>-7.9890999999999996</v>
      </c>
      <c r="AF1380">
        <v>6.15327613406913</v>
      </c>
      <c r="AG1380">
        <v>-1.115288729675</v>
      </c>
      <c r="AH1380">
        <v>9.3999992171278297</v>
      </c>
      <c r="AI1380">
        <v>95.669183533714204</v>
      </c>
      <c r="AJ1380">
        <v>56.791085498117603</v>
      </c>
      <c r="AK1380">
        <v>11.290113436748401</v>
      </c>
      <c r="AL1380">
        <v>95.533494796335006</v>
      </c>
      <c r="AM1380">
        <v>77.617036432366206</v>
      </c>
      <c r="AN1380">
        <v>1.00000000797778</v>
      </c>
    </row>
    <row r="1381" spans="1:40" x14ac:dyDescent="0.25">
      <c r="A1381" t="str">
        <f>"20190303154447838"</f>
        <v>20190303154447838</v>
      </c>
      <c r="B1381" t="str">
        <f>"1551599087831934"</f>
        <v>1551599087831934</v>
      </c>
      <c r="C1381" t="s">
        <v>40</v>
      </c>
      <c r="D1381">
        <v>5.514411</v>
      </c>
      <c r="E1381">
        <v>0.61822889999999997</v>
      </c>
      <c r="F1381" t="s">
        <v>54</v>
      </c>
      <c r="G1381">
        <v>-200.761</v>
      </c>
      <c r="H1381" s="1">
        <v>2.2158730000000001E-6</v>
      </c>
      <c r="I1381">
        <v>288.48930000000001</v>
      </c>
      <c r="J1381">
        <v>-192.87860000000001</v>
      </c>
      <c r="K1381">
        <v>1.115084</v>
      </c>
      <c r="L1381">
        <v>296.10309999999998</v>
      </c>
      <c r="M1381">
        <v>-0.21902830000000001</v>
      </c>
      <c r="N1381">
        <v>-1.453898E-2</v>
      </c>
      <c r="O1381">
        <v>-0.97561030000000004</v>
      </c>
      <c r="P1381">
        <v>-0.42551610000000001</v>
      </c>
      <c r="Q1381">
        <v>-0.1064674</v>
      </c>
      <c r="R1381">
        <v>-0.89866630000000003</v>
      </c>
      <c r="S1381">
        <v>-2.2662960000000001</v>
      </c>
      <c r="T1381">
        <v>-0.3178607</v>
      </c>
      <c r="U1381">
        <v>-2.2455750000000001</v>
      </c>
      <c r="V1381">
        <v>0.2169442</v>
      </c>
      <c r="W1381">
        <v>-9.5557119999999995E-2</v>
      </c>
      <c r="X1381">
        <v>0.97149580000000002</v>
      </c>
      <c r="Y1381">
        <v>0.53566539999999996</v>
      </c>
      <c r="Z1381">
        <v>8.9872259999999995E-2</v>
      </c>
      <c r="AA1381">
        <v>0.839634199999999</v>
      </c>
      <c r="AB1381">
        <v>23</v>
      </c>
      <c r="AC1381">
        <v>-7.8823999999999899</v>
      </c>
      <c r="AD1381">
        <v>-1.115081784127</v>
      </c>
      <c r="AE1381">
        <v>-7.6137999999999604</v>
      </c>
      <c r="AF1381">
        <v>5.96143070308199</v>
      </c>
      <c r="AG1381">
        <v>-1.115081784127</v>
      </c>
      <c r="AH1381">
        <v>9.0617217896261995</v>
      </c>
      <c r="AI1381">
        <v>95.869539593344996</v>
      </c>
      <c r="AJ1381">
        <v>56.660300422217297</v>
      </c>
      <c r="AK1381">
        <v>10.9039839144015</v>
      </c>
      <c r="AL1381">
        <v>95.483386213383497</v>
      </c>
      <c r="AM1381">
        <v>77.411843469151705</v>
      </c>
      <c r="AN1381">
        <v>1.00000001925698</v>
      </c>
    </row>
    <row r="1382" spans="1:40" x14ac:dyDescent="0.25">
      <c r="A1382" t="str">
        <f>"20190303154447861"</f>
        <v>20190303154447861</v>
      </c>
      <c r="B1382" t="str">
        <f>"1551599087851454"</f>
        <v>1551599087851454</v>
      </c>
      <c r="C1382" t="s">
        <v>40</v>
      </c>
      <c r="D1382">
        <v>5.3387710000000004</v>
      </c>
      <c r="E1382">
        <v>0.62238850000000001</v>
      </c>
      <c r="F1382" t="s">
        <v>54</v>
      </c>
      <c r="G1382">
        <v>-202.1438</v>
      </c>
      <c r="H1382" s="1">
        <v>3.0374689999999999E-6</v>
      </c>
      <c r="I1382">
        <v>286.10599999999999</v>
      </c>
      <c r="J1382">
        <v>-192.94300000000001</v>
      </c>
      <c r="K1382">
        <v>1.114879</v>
      </c>
      <c r="L1382">
        <v>295.86849999999998</v>
      </c>
      <c r="M1382">
        <v>-0.2289755</v>
      </c>
      <c r="N1382">
        <v>-1.4562500000000001E-2</v>
      </c>
      <c r="O1382">
        <v>-0.9733233</v>
      </c>
      <c r="P1382">
        <v>-0.43788870000000002</v>
      </c>
      <c r="Q1382">
        <v>-0.1061445</v>
      </c>
      <c r="R1382">
        <v>-0.89274159999999902</v>
      </c>
      <c r="S1382">
        <v>-2.1306919999999998</v>
      </c>
      <c r="T1382">
        <v>-0.25643070000000001</v>
      </c>
      <c r="U1382">
        <v>-2.2990110000000001</v>
      </c>
      <c r="V1382">
        <v>0.22039</v>
      </c>
      <c r="W1382">
        <v>-9.5380220000000002E-2</v>
      </c>
      <c r="X1382">
        <v>0.97073730000000003</v>
      </c>
      <c r="Y1382">
        <v>0.49170550000000002</v>
      </c>
      <c r="Z1382">
        <v>7.1034669999999994E-2</v>
      </c>
      <c r="AA1382">
        <v>0.8678593</v>
      </c>
      <c r="AB1382">
        <v>23</v>
      </c>
      <c r="AC1382">
        <v>-9.2008000000000099</v>
      </c>
      <c r="AD1382">
        <v>-1.1148759625309901</v>
      </c>
      <c r="AE1382">
        <v>-9.7624999999999797</v>
      </c>
      <c r="AF1382">
        <v>6.6745922335580703</v>
      </c>
      <c r="AG1382">
        <v>-1.1148759625309901</v>
      </c>
      <c r="AH1382">
        <v>11.5304192327443</v>
      </c>
      <c r="AI1382">
        <v>94.783419137941195</v>
      </c>
      <c r="AJ1382">
        <v>59.9348175529326</v>
      </c>
      <c r="AK1382">
        <v>13.369506257859401</v>
      </c>
      <c r="AL1382">
        <v>95.473204067354402</v>
      </c>
      <c r="AM1382">
        <v>77.208761749767802</v>
      </c>
      <c r="AN1382">
        <v>1.00000002203926</v>
      </c>
    </row>
    <row r="1383" spans="1:40" x14ac:dyDescent="0.25">
      <c r="A1383" t="str">
        <f>"20190303154447899"</f>
        <v>20190303154447899</v>
      </c>
      <c r="B1383" t="str">
        <f>"1551599087891471"</f>
        <v>1551599087891471</v>
      </c>
      <c r="C1383" t="s">
        <v>40</v>
      </c>
      <c r="D1383">
        <v>5.3578380000000001</v>
      </c>
      <c r="E1383">
        <v>0.62483469999999997</v>
      </c>
      <c r="F1383" t="s">
        <v>54</v>
      </c>
      <c r="G1383">
        <v>-208.6917</v>
      </c>
      <c r="H1383">
        <v>3.7306690000000003E-2</v>
      </c>
      <c r="I1383">
        <v>279.61630000000002</v>
      </c>
      <c r="J1383">
        <v>-193.05520000000001</v>
      </c>
      <c r="K1383">
        <v>1.114503</v>
      </c>
      <c r="L1383">
        <v>295.48540000000003</v>
      </c>
      <c r="M1383">
        <v>-0.24609900000000001</v>
      </c>
      <c r="N1383">
        <v>-1.462073E-2</v>
      </c>
      <c r="O1383">
        <v>-0.96913459999999996</v>
      </c>
      <c r="P1383">
        <v>-0.46024409999999999</v>
      </c>
      <c r="Q1383">
        <v>-0.1064262</v>
      </c>
      <c r="R1383">
        <v>-0.88139040000000002</v>
      </c>
      <c r="S1383">
        <v>-2.1955260000000001</v>
      </c>
      <c r="T1383">
        <v>-0.15022460000000001</v>
      </c>
      <c r="U1383">
        <v>-2.265717</v>
      </c>
      <c r="V1383">
        <v>0.2276387</v>
      </c>
      <c r="W1383">
        <v>-9.5945290000000003E-2</v>
      </c>
      <c r="X1383">
        <v>0.96900730000000002</v>
      </c>
      <c r="Y1383">
        <v>0.49708940000000001</v>
      </c>
      <c r="Z1383">
        <v>3.6016039999999999E-2</v>
      </c>
      <c r="AA1383">
        <v>0.86695149999999999</v>
      </c>
      <c r="AB1383">
        <v>23</v>
      </c>
      <c r="AC1383">
        <v>-15.6364999999999</v>
      </c>
      <c r="AD1383">
        <v>-1.0771963099999999</v>
      </c>
      <c r="AE1383">
        <v>-15.8691</v>
      </c>
      <c r="AF1383">
        <v>11.223464979270499</v>
      </c>
      <c r="AG1383">
        <v>-1.0771963099999999</v>
      </c>
      <c r="AH1383">
        <v>19.184621708624299</v>
      </c>
      <c r="AI1383">
        <v>92.774644557070204</v>
      </c>
      <c r="AJ1383">
        <v>59.671339511020797</v>
      </c>
      <c r="AK1383">
        <v>22.252555541649802</v>
      </c>
      <c r="AL1383">
        <v>95.505729416463396</v>
      </c>
      <c r="AM1383">
        <v>76.779820395473607</v>
      </c>
      <c r="AN1383">
        <v>1.00000001193208</v>
      </c>
    </row>
    <row r="1384" spans="1:40" x14ac:dyDescent="0.25">
      <c r="A1384" t="str">
        <f>"20190303154447920"</f>
        <v>20190303154447920</v>
      </c>
      <c r="B1384" t="str">
        <f>"1551599087911967"</f>
        <v>1551599087911967</v>
      </c>
      <c r="C1384" t="s">
        <v>40</v>
      </c>
      <c r="D1384">
        <v>5.3712039999999996</v>
      </c>
      <c r="E1384">
        <v>0.62230059999999998</v>
      </c>
      <c r="F1384" t="s">
        <v>43</v>
      </c>
      <c r="G1384">
        <v>-218.9948</v>
      </c>
      <c r="H1384">
        <v>-0.05</v>
      </c>
      <c r="I1384">
        <v>270.29969999999997</v>
      </c>
      <c r="J1384">
        <v>-193.12100000000001</v>
      </c>
      <c r="K1384">
        <v>1.114304</v>
      </c>
      <c r="L1384">
        <v>295.27300000000002</v>
      </c>
      <c r="M1384">
        <v>-0.255996</v>
      </c>
      <c r="N1384">
        <v>-1.465784E-2</v>
      </c>
      <c r="O1384">
        <v>-0.9665667</v>
      </c>
      <c r="P1384">
        <v>-0.47219709999999998</v>
      </c>
      <c r="Q1384">
        <v>-0.10431650000000001</v>
      </c>
      <c r="R1384">
        <v>-0.87529889999999999</v>
      </c>
      <c r="S1384">
        <v>-2.2713320000000001</v>
      </c>
      <c r="T1384">
        <v>-0.1019665</v>
      </c>
      <c r="U1384">
        <v>-2.2053219999999998</v>
      </c>
      <c r="V1384">
        <v>0.2308365</v>
      </c>
      <c r="W1384">
        <v>-9.396873E-2</v>
      </c>
      <c r="X1384">
        <v>0.96844430000000004</v>
      </c>
      <c r="Y1384">
        <v>0.514899</v>
      </c>
      <c r="Z1384">
        <v>2.028085E-2</v>
      </c>
      <c r="AA1384">
        <v>0.85701099999999997</v>
      </c>
      <c r="AB1384">
        <v>23</v>
      </c>
      <c r="AC1384">
        <v>-25.873799999999999</v>
      </c>
      <c r="AD1384">
        <v>-1.164304</v>
      </c>
      <c r="AE1384">
        <v>-24.973299999999899</v>
      </c>
      <c r="AF1384">
        <v>18.5981919325116</v>
      </c>
      <c r="AG1384">
        <v>-1.164304</v>
      </c>
      <c r="AH1384">
        <v>30.733036718396999</v>
      </c>
      <c r="AI1384">
        <v>91.8564051629007</v>
      </c>
      <c r="AJ1384">
        <v>58.819641392285597</v>
      </c>
      <c r="AK1384">
        <v>35.9411726700354</v>
      </c>
      <c r="AL1384">
        <v>95.391966936489098</v>
      </c>
      <c r="AM1384">
        <v>76.593252624175605</v>
      </c>
      <c r="AN1384">
        <v>0.99999998707627602</v>
      </c>
    </row>
    <row r="1385" spans="1:40" x14ac:dyDescent="0.25">
      <c r="A1385" t="str">
        <f>"20190303154447944"</f>
        <v>20190303154447944</v>
      </c>
      <c r="B1385" t="str">
        <f>"1551599087942223"</f>
        <v>1551599087942223</v>
      </c>
      <c r="C1385" t="s">
        <v>40</v>
      </c>
      <c r="D1385">
        <v>5.3971710000000002</v>
      </c>
      <c r="E1385">
        <v>0.6194771</v>
      </c>
      <c r="F1385" t="s">
        <v>55</v>
      </c>
      <c r="G1385">
        <v>-214.49760000000001</v>
      </c>
      <c r="H1385">
        <v>8.0000139999999997E-2</v>
      </c>
      <c r="I1385">
        <v>274.83260000000001</v>
      </c>
      <c r="J1385">
        <v>-193.19630000000001</v>
      </c>
      <c r="K1385">
        <v>1.1141049999999999</v>
      </c>
      <c r="L1385">
        <v>295.04079999999999</v>
      </c>
      <c r="M1385">
        <v>-0.26717679999999999</v>
      </c>
      <c r="N1385">
        <v>-1.469906E-2</v>
      </c>
      <c r="O1385">
        <v>-0.96353540000000004</v>
      </c>
      <c r="P1385">
        <v>-0.48562549999999999</v>
      </c>
      <c r="Q1385">
        <v>-0.1019939</v>
      </c>
      <c r="R1385">
        <v>-0.86819679999999999</v>
      </c>
      <c r="S1385">
        <v>-2.2827299999999999</v>
      </c>
      <c r="T1385">
        <v>-0.1104499</v>
      </c>
      <c r="U1385">
        <v>-2.1827700000000001</v>
      </c>
      <c r="V1385">
        <v>0.23444950000000001</v>
      </c>
      <c r="W1385">
        <v>-9.1789510000000005E-2</v>
      </c>
      <c r="X1385">
        <v>0.96778520000000001</v>
      </c>
      <c r="Y1385">
        <v>0.51145580000000002</v>
      </c>
      <c r="Z1385">
        <v>2.3170240000000002E-2</v>
      </c>
      <c r="AA1385">
        <v>0.85899720000000002</v>
      </c>
      <c r="AB1385">
        <v>23</v>
      </c>
      <c r="AC1385">
        <v>-21.301300000000001</v>
      </c>
      <c r="AD1385">
        <v>-1.03410485999999</v>
      </c>
      <c r="AE1385">
        <v>-20.208199999999898</v>
      </c>
      <c r="AF1385">
        <v>15.1082885196957</v>
      </c>
      <c r="AG1385">
        <v>-1.03410485999999</v>
      </c>
      <c r="AH1385">
        <v>25.1340719741942</v>
      </c>
      <c r="AI1385">
        <v>92.019587278650206</v>
      </c>
      <c r="AJ1385">
        <v>58.989592462662202</v>
      </c>
      <c r="AK1385">
        <v>29.343676130638801</v>
      </c>
      <c r="AL1385">
        <v>95.266564468388196</v>
      </c>
      <c r="AM1385">
        <v>76.382237023686997</v>
      </c>
      <c r="AN1385">
        <v>1.0000000377676601</v>
      </c>
    </row>
    <row r="1386" spans="1:40" x14ac:dyDescent="0.25">
      <c r="A1386" t="str">
        <f>"20190303154447968"</f>
        <v>20190303154447968</v>
      </c>
      <c r="B1386" t="str">
        <f>"1551599087961742"</f>
        <v>1551599087961742</v>
      </c>
      <c r="C1386" t="s">
        <v>40</v>
      </c>
      <c r="D1386">
        <v>5.4464449999999998</v>
      </c>
      <c r="E1386">
        <v>0.61795069999999996</v>
      </c>
      <c r="F1386" t="s">
        <v>55</v>
      </c>
      <c r="G1386">
        <v>-212.7467</v>
      </c>
      <c r="H1386">
        <v>8.0000650000000006E-2</v>
      </c>
      <c r="I1386">
        <v>276.67259999999999</v>
      </c>
      <c r="J1386">
        <v>-193.27619999999999</v>
      </c>
      <c r="K1386">
        <v>1.113926</v>
      </c>
      <c r="L1386">
        <v>294.80529999999999</v>
      </c>
      <c r="M1386">
        <v>-0.27888380000000002</v>
      </c>
      <c r="N1386">
        <v>-1.474258E-2</v>
      </c>
      <c r="O1386">
        <v>-0.96021179999999995</v>
      </c>
      <c r="P1386">
        <v>-0.49963629999999998</v>
      </c>
      <c r="Q1386">
        <v>-9.9199380000000004E-2</v>
      </c>
      <c r="R1386">
        <v>-0.86053679999999999</v>
      </c>
      <c r="S1386">
        <v>-2.2958530000000001</v>
      </c>
      <c r="T1386">
        <v>-0.1214374</v>
      </c>
      <c r="U1386">
        <v>-2.1570130000000001</v>
      </c>
      <c r="V1386">
        <v>0.23826939999999999</v>
      </c>
      <c r="W1386">
        <v>-8.9134790000000005E-2</v>
      </c>
      <c r="X1386">
        <v>0.96710010000000002</v>
      </c>
      <c r="Y1386">
        <v>0.50846550000000001</v>
      </c>
      <c r="Z1386">
        <v>2.6902659999999998E-2</v>
      </c>
      <c r="AA1386">
        <v>0.86066200000000004</v>
      </c>
      <c r="AB1386">
        <v>23</v>
      </c>
      <c r="AC1386">
        <v>-19.470500000000001</v>
      </c>
      <c r="AD1386">
        <v>-1.0339253500000001</v>
      </c>
      <c r="AE1386">
        <v>-18.1327</v>
      </c>
      <c r="AF1386">
        <v>13.6198010491517</v>
      </c>
      <c r="AG1386">
        <v>-1.0339253500000001</v>
      </c>
      <c r="AH1386">
        <v>22.809275062337299</v>
      </c>
      <c r="AI1386">
        <v>92.228761254857204</v>
      </c>
      <c r="AJ1386">
        <v>59.157865571014</v>
      </c>
      <c r="AK1386">
        <v>26.586293670183</v>
      </c>
      <c r="AL1386">
        <v>95.113834360744903</v>
      </c>
      <c r="AM1386">
        <v>76.159396061157295</v>
      </c>
      <c r="AN1386">
        <v>0.99999996059235596</v>
      </c>
    </row>
    <row r="1387" spans="1:40" x14ac:dyDescent="0.25">
      <c r="A1387" t="str">
        <f>"20190303154447989"</f>
        <v>20190303154447989</v>
      </c>
      <c r="B1387" t="str">
        <f>"1551599087982241"</f>
        <v>1551599087982241</v>
      </c>
      <c r="C1387" t="s">
        <v>40</v>
      </c>
      <c r="D1387">
        <v>5.4443789999999996</v>
      </c>
      <c r="E1387">
        <v>0.6165351</v>
      </c>
      <c r="F1387" t="s">
        <v>55</v>
      </c>
      <c r="G1387">
        <v>-212.76679999999999</v>
      </c>
      <c r="H1387">
        <v>8.0000650000000006E-2</v>
      </c>
      <c r="I1387">
        <v>276.94749999999999</v>
      </c>
      <c r="J1387">
        <v>-193.34880000000001</v>
      </c>
      <c r="K1387">
        <v>1.1137950000000001</v>
      </c>
      <c r="L1387">
        <v>294.59969999999998</v>
      </c>
      <c r="M1387">
        <v>-0.28935529999999998</v>
      </c>
      <c r="N1387">
        <v>-1.4781539999999999E-2</v>
      </c>
      <c r="O1387">
        <v>-0.95710779999999995</v>
      </c>
      <c r="P1387">
        <v>-0.51322939999999995</v>
      </c>
      <c r="Q1387">
        <v>-9.6239749999999999E-2</v>
      </c>
      <c r="R1387">
        <v>-0.85283880000000001</v>
      </c>
      <c r="S1387">
        <v>-2.3195649999999999</v>
      </c>
      <c r="T1387">
        <v>-0.123047</v>
      </c>
      <c r="U1387">
        <v>-2.1252439999999999</v>
      </c>
      <c r="V1387">
        <v>0.24296860000000001</v>
      </c>
      <c r="W1387">
        <v>-8.6313109999999998E-2</v>
      </c>
      <c r="X1387">
        <v>0.96618649999999995</v>
      </c>
      <c r="Y1387">
        <v>0.50982170000000004</v>
      </c>
      <c r="Z1387">
        <v>2.754322E-2</v>
      </c>
      <c r="AA1387">
        <v>0.85983909999999997</v>
      </c>
      <c r="AB1387">
        <v>23</v>
      </c>
      <c r="AC1387">
        <v>-19.4179999999999</v>
      </c>
      <c r="AD1387">
        <v>-1.03379435</v>
      </c>
      <c r="AE1387">
        <v>-17.652199999999901</v>
      </c>
      <c r="AF1387">
        <v>13.457946641752899</v>
      </c>
      <c r="AG1387">
        <v>-1.03379435</v>
      </c>
      <c r="AH1387">
        <v>22.481327027787799</v>
      </c>
      <c r="AI1387">
        <v>92.259451175249893</v>
      </c>
      <c r="AJ1387">
        <v>59.0940895323983</v>
      </c>
      <c r="AK1387">
        <v>26.222035075499001</v>
      </c>
      <c r="AL1387">
        <v>94.951537953122795</v>
      </c>
      <c r="AM1387">
        <v>75.884419847872394</v>
      </c>
      <c r="AN1387">
        <v>1.0000000231630399</v>
      </c>
    </row>
    <row r="1388" spans="1:40" x14ac:dyDescent="0.25">
      <c r="A1388" t="str">
        <f>"20190303154448011"</f>
        <v>20190303154448011</v>
      </c>
      <c r="B1388" t="str">
        <f>"1551599088001759"</f>
        <v>1551599088001759</v>
      </c>
      <c r="C1388" t="s">
        <v>40</v>
      </c>
      <c r="D1388">
        <v>5.4543589999999904</v>
      </c>
      <c r="E1388">
        <v>0.61500749999999904</v>
      </c>
      <c r="F1388" t="s">
        <v>55</v>
      </c>
      <c r="G1388">
        <v>-212.60599999999999</v>
      </c>
      <c r="H1388">
        <v>8.0000699999999994E-2</v>
      </c>
      <c r="I1388">
        <v>277.39339999999999</v>
      </c>
      <c r="J1388">
        <v>-193.429</v>
      </c>
      <c r="K1388">
        <v>1.1136740000000001</v>
      </c>
      <c r="L1388">
        <v>294.38150000000002</v>
      </c>
      <c r="M1388">
        <v>-0.30070930000000001</v>
      </c>
      <c r="N1388">
        <v>-1.482203E-2</v>
      </c>
      <c r="O1388">
        <v>-0.95360080000000003</v>
      </c>
      <c r="P1388">
        <v>-0.52833640000000004</v>
      </c>
      <c r="Q1388">
        <v>-9.5050590000000004E-2</v>
      </c>
      <c r="R1388">
        <v>-0.84369810000000001</v>
      </c>
      <c r="S1388">
        <v>-2.3430019999999998</v>
      </c>
      <c r="T1388">
        <v>-0.1257808</v>
      </c>
      <c r="U1388">
        <v>-2.0934750000000002</v>
      </c>
      <c r="V1388">
        <v>0.2486362</v>
      </c>
      <c r="W1388">
        <v>-8.528107E-2</v>
      </c>
      <c r="X1388">
        <v>0.96483529999999995</v>
      </c>
      <c r="Y1388">
        <v>0.51031789999999999</v>
      </c>
      <c r="Z1388">
        <v>2.8546209999999999E-2</v>
      </c>
      <c r="AA1388">
        <v>0.8595119</v>
      </c>
      <c r="AB1388">
        <v>23</v>
      </c>
      <c r="AC1388">
        <v>-19.1769999999999</v>
      </c>
      <c r="AD1388">
        <v>-1.0336733</v>
      </c>
      <c r="AE1388">
        <v>-16.988099999999999</v>
      </c>
      <c r="AF1388">
        <v>13.1587478324836</v>
      </c>
      <c r="AG1388">
        <v>-1.0336733</v>
      </c>
      <c r="AH1388">
        <v>21.933273170268901</v>
      </c>
      <c r="AI1388">
        <v>92.314234628556093</v>
      </c>
      <c r="AJ1388">
        <v>59.038579341637998</v>
      </c>
      <c r="AK1388">
        <v>25.598624903921401</v>
      </c>
      <c r="AL1388">
        <v>94.8921877388117</v>
      </c>
      <c r="AM1388">
        <v>75.549392206553605</v>
      </c>
      <c r="AN1388">
        <v>0.99999998848843696</v>
      </c>
    </row>
    <row r="1389" spans="1:40" x14ac:dyDescent="0.25">
      <c r="A1389" t="str">
        <f>"20190303154448058"</f>
        <v>20190303154448058</v>
      </c>
      <c r="B1389" t="str">
        <f>"1551599088051535"</f>
        <v>1551599088051535</v>
      </c>
      <c r="C1389" t="s">
        <v>40</v>
      </c>
      <c r="D1389">
        <v>5.4968469999999998</v>
      </c>
      <c r="E1389">
        <v>0.61160190000000003</v>
      </c>
      <c r="F1389" t="s">
        <v>55</v>
      </c>
      <c r="G1389">
        <v>-211.96270000000001</v>
      </c>
      <c r="H1389">
        <v>8.0000890000000005E-2</v>
      </c>
      <c r="I1389">
        <v>278.28919999999999</v>
      </c>
      <c r="J1389">
        <v>-193.602</v>
      </c>
      <c r="K1389">
        <v>1.113464</v>
      </c>
      <c r="L1389">
        <v>293.93799999999999</v>
      </c>
      <c r="M1389">
        <v>-0.32452560000000003</v>
      </c>
      <c r="N1389">
        <v>-1.49021E-2</v>
      </c>
      <c r="O1389">
        <v>-0.94575960000000003</v>
      </c>
      <c r="P1389">
        <v>-0.55984429999999996</v>
      </c>
      <c r="Q1389">
        <v>-9.2122469999999998E-2</v>
      </c>
      <c r="R1389">
        <v>-0.82346119999999901</v>
      </c>
      <c r="S1389">
        <v>-2.3693240000000002</v>
      </c>
      <c r="T1389">
        <v>-0.13214329999999999</v>
      </c>
      <c r="U1389">
        <v>-2.05722</v>
      </c>
      <c r="V1389">
        <v>0.2607738</v>
      </c>
      <c r="W1389">
        <v>-8.2683670000000001E-2</v>
      </c>
      <c r="X1389">
        <v>0.96185259999999995</v>
      </c>
      <c r="Y1389">
        <v>0.50088290000000002</v>
      </c>
      <c r="Z1389">
        <v>3.068013E-2</v>
      </c>
      <c r="AA1389">
        <v>0.86497109999999899</v>
      </c>
      <c r="AB1389">
        <v>23</v>
      </c>
      <c r="AC1389">
        <v>-18.360700000000001</v>
      </c>
      <c r="AD1389">
        <v>-1.03346311</v>
      </c>
      <c r="AE1389">
        <v>-15.6487999999999</v>
      </c>
      <c r="AF1389">
        <v>12.2652272798847</v>
      </c>
      <c r="AG1389">
        <v>-1.03346311</v>
      </c>
      <c r="AH1389">
        <v>20.7227946802054</v>
      </c>
      <c r="AI1389">
        <v>92.457456607012602</v>
      </c>
      <c r="AJ1389">
        <v>59.379928211523399</v>
      </c>
      <c r="AK1389">
        <v>24.102656815897099</v>
      </c>
      <c r="AL1389">
        <v>94.742840000189204</v>
      </c>
      <c r="AM1389">
        <v>74.830834734497998</v>
      </c>
      <c r="AN1389">
        <v>0.99999999408893403</v>
      </c>
    </row>
    <row r="1390" spans="1:40" x14ac:dyDescent="0.25">
      <c r="A1390" t="str">
        <f>"20190303154448088"</f>
        <v>20190303154448088</v>
      </c>
      <c r="B1390" t="str">
        <f>"1551599088081791"</f>
        <v>1551599088081791</v>
      </c>
      <c r="C1390" t="s">
        <v>40</v>
      </c>
      <c r="D1390">
        <v>5.53057</v>
      </c>
      <c r="E1390">
        <v>0.59086110000000003</v>
      </c>
      <c r="F1390" t="s">
        <v>55</v>
      </c>
      <c r="G1390">
        <v>-211.15309999999999</v>
      </c>
      <c r="H1390">
        <v>7.9626959999999997E-2</v>
      </c>
      <c r="I1390">
        <v>279.58670000000001</v>
      </c>
      <c r="J1390">
        <v>-193.726</v>
      </c>
      <c r="K1390">
        <v>1.113345</v>
      </c>
      <c r="L1390">
        <v>293.64069999999998</v>
      </c>
      <c r="M1390">
        <v>-0.34099449999999998</v>
      </c>
      <c r="N1390">
        <v>-1.495693E-2</v>
      </c>
      <c r="O1390">
        <v>-0.93994650000000002</v>
      </c>
      <c r="P1390">
        <v>-0.58120959999999999</v>
      </c>
      <c r="Q1390">
        <v>-8.9028239999999995E-2</v>
      </c>
      <c r="R1390">
        <v>-0.80886939999999996</v>
      </c>
      <c r="S1390">
        <v>-2.4220890000000002</v>
      </c>
      <c r="T1390">
        <v>-0.1426713</v>
      </c>
      <c r="U1390">
        <v>-1.980499</v>
      </c>
      <c r="V1390">
        <v>0.26904709999999898</v>
      </c>
      <c r="W1390">
        <v>-7.9811129999999994E-2</v>
      </c>
      <c r="X1390">
        <v>0.95981450000000001</v>
      </c>
      <c r="Y1390">
        <v>0.5112023</v>
      </c>
      <c r="Z1390">
        <v>3.4450620000000001E-2</v>
      </c>
      <c r="AA1390">
        <v>0.85876969999999997</v>
      </c>
      <c r="AB1390">
        <v>23</v>
      </c>
      <c r="AC1390">
        <v>-17.4270999999999</v>
      </c>
      <c r="AD1390">
        <v>-1.0337180399999999</v>
      </c>
      <c r="AE1390">
        <v>-14.053999999999901</v>
      </c>
      <c r="AF1390">
        <v>11.564843488393601</v>
      </c>
      <c r="AG1390">
        <v>-1.0337180399999999</v>
      </c>
      <c r="AH1390">
        <v>19.113942413361801</v>
      </c>
      <c r="AI1390">
        <v>92.649270652848898</v>
      </c>
      <c r="AJ1390">
        <v>58.824068616497001</v>
      </c>
      <c r="AK1390">
        <v>22.364189510880401</v>
      </c>
      <c r="AL1390">
        <v>94.577709493161393</v>
      </c>
      <c r="AM1390">
        <v>74.341201576702204</v>
      </c>
      <c r="AN1390">
        <v>1.00000001645026</v>
      </c>
    </row>
    <row r="1391" spans="1:40" x14ac:dyDescent="0.25">
      <c r="A1391" t="str">
        <f>"20190303154448112"</f>
        <v>20190303154448112</v>
      </c>
      <c r="B1391" t="str">
        <f>"1551599088102287"</f>
        <v>1551599088102287</v>
      </c>
      <c r="C1391" t="s">
        <v>40</v>
      </c>
      <c r="D1391">
        <v>5.5110190000000001</v>
      </c>
      <c r="E1391">
        <v>0.58906320000000001</v>
      </c>
      <c r="F1391" t="s">
        <v>54</v>
      </c>
      <c r="G1391">
        <v>-204.18520000000001</v>
      </c>
      <c r="H1391" s="1">
        <v>4.069908E-6</v>
      </c>
      <c r="I1391">
        <v>284.65120000000002</v>
      </c>
      <c r="J1391">
        <v>-193.82390000000001</v>
      </c>
      <c r="K1391">
        <v>1.1132470000000001</v>
      </c>
      <c r="L1391">
        <v>293.41649999999998</v>
      </c>
      <c r="M1391">
        <v>-0.35368179999999999</v>
      </c>
      <c r="N1391">
        <v>-1.49978E-2</v>
      </c>
      <c r="O1391">
        <v>-0.93524560000000001</v>
      </c>
      <c r="P1391">
        <v>-0.59554839999999998</v>
      </c>
      <c r="Q1391">
        <v>-8.8366570000000005E-2</v>
      </c>
      <c r="R1391">
        <v>-0.79844490000000001</v>
      </c>
      <c r="S1391">
        <v>-2.3329930000000001</v>
      </c>
      <c r="T1391">
        <v>-0.2483379</v>
      </c>
      <c r="U1391">
        <v>-2.005188</v>
      </c>
      <c r="V1391">
        <v>0.27314250000000001</v>
      </c>
      <c r="W1391">
        <v>-7.9274699999999906E-2</v>
      </c>
      <c r="X1391">
        <v>0.95870160000000004</v>
      </c>
      <c r="Y1391">
        <v>0.47658139999999999</v>
      </c>
      <c r="Z1391">
        <v>6.9864410000000002E-2</v>
      </c>
      <c r="AA1391">
        <v>0.87634990000000001</v>
      </c>
      <c r="AB1391">
        <v>23</v>
      </c>
      <c r="AC1391">
        <v>-10.3613</v>
      </c>
      <c r="AD1391">
        <v>-1.1132429300919999</v>
      </c>
      <c r="AE1391">
        <v>-8.7652999999999608</v>
      </c>
      <c r="AF1391">
        <v>6.5469229566014198</v>
      </c>
      <c r="AG1391">
        <v>-1.1132429300919999</v>
      </c>
      <c r="AH1391">
        <v>11.784353848146999</v>
      </c>
      <c r="AI1391">
        <v>94.720751538173204</v>
      </c>
      <c r="AJ1391">
        <v>60.945174068554202</v>
      </c>
      <c r="AK1391">
        <v>13.526732999487001</v>
      </c>
      <c r="AL1391">
        <v>94.546876558070693</v>
      </c>
      <c r="AM1391">
        <v>74.0972822532149</v>
      </c>
      <c r="AN1391">
        <v>1.0000000306044401</v>
      </c>
    </row>
    <row r="1392" spans="1:40" x14ac:dyDescent="0.25">
      <c r="A1392" t="str">
        <f>"20190303154448134"</f>
        <v>20190303154448134</v>
      </c>
      <c r="B1392" t="str">
        <f>"1551599088131567"</f>
        <v>1551599088131567</v>
      </c>
      <c r="C1392" t="s">
        <v>40</v>
      </c>
      <c r="D1392">
        <v>5.8279300000000003</v>
      </c>
      <c r="E1392">
        <v>0.58862109999999901</v>
      </c>
      <c r="F1392" t="s">
        <v>54</v>
      </c>
      <c r="G1392">
        <v>-204.285</v>
      </c>
      <c r="H1392" s="1">
        <v>4.1130549999999999E-6</v>
      </c>
      <c r="I1392">
        <v>284.66390000000001</v>
      </c>
      <c r="J1392">
        <v>-193.91909999999999</v>
      </c>
      <c r="K1392">
        <v>1.1131549999999999</v>
      </c>
      <c r="L1392">
        <v>293.20659999999998</v>
      </c>
      <c r="M1392">
        <v>-0.36576379999999997</v>
      </c>
      <c r="N1392">
        <v>-1.50364E-2</v>
      </c>
      <c r="O1392">
        <v>-0.93058649999999998</v>
      </c>
      <c r="P1392">
        <v>-0.60902140000000005</v>
      </c>
      <c r="Q1392">
        <v>-8.8647110000000001E-2</v>
      </c>
      <c r="R1392">
        <v>-0.78818489999999997</v>
      </c>
      <c r="S1392">
        <v>-2.3566440000000002</v>
      </c>
      <c r="T1392">
        <v>-0.25078869999999998</v>
      </c>
      <c r="U1392">
        <v>-1.9717709999999999</v>
      </c>
      <c r="V1392">
        <v>0.2769876</v>
      </c>
      <c r="W1392">
        <v>-7.9675170000000003E-2</v>
      </c>
      <c r="X1392">
        <v>0.95756450000000004</v>
      </c>
      <c r="Y1392">
        <v>0.47677649999999999</v>
      </c>
      <c r="Z1392">
        <v>7.0730550000000003E-2</v>
      </c>
      <c r="AA1392">
        <v>0.87617429999999996</v>
      </c>
      <c r="AB1392">
        <v>23</v>
      </c>
      <c r="AC1392">
        <v>-10.3659</v>
      </c>
      <c r="AD1392">
        <v>-1.113150886945</v>
      </c>
      <c r="AE1392">
        <v>-8.5426999999999609</v>
      </c>
      <c r="AF1392">
        <v>6.4780041350915196</v>
      </c>
      <c r="AG1392">
        <v>-1.113150886945</v>
      </c>
      <c r="AH1392">
        <v>11.6624249500522</v>
      </c>
      <c r="AI1392">
        <v>94.769691081892205</v>
      </c>
      <c r="AJ1392">
        <v>60.949603876046702</v>
      </c>
      <c r="AK1392">
        <v>13.3871504879481</v>
      </c>
      <c r="AL1392">
        <v>94.569894667725904</v>
      </c>
      <c r="AM1392">
        <v>73.866820832673</v>
      </c>
      <c r="AN1392">
        <v>1.00000001746426</v>
      </c>
    </row>
    <row r="1393" spans="1:40" x14ac:dyDescent="0.25">
      <c r="A1393" t="str">
        <f>"20190303154448157"</f>
        <v>20190303154448157</v>
      </c>
      <c r="B1393" t="str">
        <f>"1551599088152063"</f>
        <v>1551599088152063</v>
      </c>
      <c r="C1393" t="s">
        <v>40</v>
      </c>
      <c r="D1393">
        <v>5.7632110000000001</v>
      </c>
      <c r="E1393">
        <v>0.61905779999999999</v>
      </c>
      <c r="F1393" t="s">
        <v>54</v>
      </c>
      <c r="G1393">
        <v>-204.34719999999999</v>
      </c>
      <c r="H1393" s="1">
        <v>4.132239E-6</v>
      </c>
      <c r="I1393">
        <v>284.75979999999998</v>
      </c>
      <c r="J1393">
        <v>-194.02199999999999</v>
      </c>
      <c r="K1393">
        <v>1.113049</v>
      </c>
      <c r="L1393">
        <v>292.988</v>
      </c>
      <c r="M1393">
        <v>-0.37856489999999998</v>
      </c>
      <c r="N1393">
        <v>-1.5077810000000001E-2</v>
      </c>
      <c r="O1393">
        <v>-0.9254521</v>
      </c>
      <c r="P1393">
        <v>-0.62281549999999997</v>
      </c>
      <c r="Q1393">
        <v>-8.8587340000000001E-2</v>
      </c>
      <c r="R1393">
        <v>-0.77733769999999902</v>
      </c>
      <c r="S1393">
        <v>-2.386749</v>
      </c>
      <c r="T1393">
        <v>-0.2547759</v>
      </c>
      <c r="U1393">
        <v>-1.933289</v>
      </c>
      <c r="V1393">
        <v>0.2806244</v>
      </c>
      <c r="W1393">
        <v>-7.9734310000000003E-2</v>
      </c>
      <c r="X1393">
        <v>0.95650009999999996</v>
      </c>
      <c r="Y1393">
        <v>0.4785064</v>
      </c>
      <c r="Z1393">
        <v>7.2057850000000007E-2</v>
      </c>
      <c r="AA1393">
        <v>0.87512239999999997</v>
      </c>
      <c r="AB1393">
        <v>22</v>
      </c>
      <c r="AC1393">
        <v>-10.325199999999899</v>
      </c>
      <c r="AD1393">
        <v>-1.1130448677610001</v>
      </c>
      <c r="AE1393">
        <v>-8.22820000000001</v>
      </c>
      <c r="AF1393">
        <v>6.3958452964290604</v>
      </c>
      <c r="AG1393">
        <v>-1.1130448677610001</v>
      </c>
      <c r="AH1393">
        <v>11.443540616706301</v>
      </c>
      <c r="AI1393">
        <v>94.852949368143101</v>
      </c>
      <c r="AJ1393">
        <v>60.798982815685697</v>
      </c>
      <c r="AK1393">
        <v>13.156759775100801</v>
      </c>
      <c r="AL1393">
        <v>94.573293908009902</v>
      </c>
      <c r="AM1393">
        <v>73.649013495878194</v>
      </c>
      <c r="AN1393">
        <v>1.0000000276832699</v>
      </c>
    </row>
    <row r="1394" spans="1:40" x14ac:dyDescent="0.25">
      <c r="A1394" t="str">
        <f>"20190303154448180"</f>
        <v>20190303154448180</v>
      </c>
      <c r="B1394" t="str">
        <f>"1551599088171582"</f>
        <v>1551599088171582</v>
      </c>
      <c r="C1394" t="s">
        <v>40</v>
      </c>
      <c r="D1394">
        <v>5.8079390000000002</v>
      </c>
      <c r="E1394">
        <v>0.67383570000000004</v>
      </c>
      <c r="F1394" t="s">
        <v>54</v>
      </c>
      <c r="G1394">
        <v>-204.6414</v>
      </c>
      <c r="H1394" s="1">
        <v>4.1616000000000001E-6</v>
      </c>
      <c r="I1394">
        <v>285.91640000000001</v>
      </c>
      <c r="J1394">
        <v>-194.11709999999999</v>
      </c>
      <c r="K1394">
        <v>1.1129420000000001</v>
      </c>
      <c r="L1394">
        <v>292.79329999999999</v>
      </c>
      <c r="M1394">
        <v>-0.39017940000000001</v>
      </c>
      <c r="N1394">
        <v>-1.511669E-2</v>
      </c>
      <c r="O1394">
        <v>-0.92061470000000001</v>
      </c>
      <c r="P1394">
        <v>-0.63462010000000002</v>
      </c>
      <c r="Q1394">
        <v>-8.8421699999999895E-2</v>
      </c>
      <c r="R1394">
        <v>-0.76774919999999902</v>
      </c>
      <c r="S1394">
        <v>-2.609283</v>
      </c>
      <c r="T1394">
        <v>-0.27348630000000002</v>
      </c>
      <c r="U1394">
        <v>-1.737579</v>
      </c>
      <c r="V1394">
        <v>0.28317680000000001</v>
      </c>
      <c r="W1394">
        <v>-7.966094E-2</v>
      </c>
      <c r="X1394">
        <v>0.95575359999999998</v>
      </c>
      <c r="Y1394">
        <v>0.54707919999999999</v>
      </c>
      <c r="Z1394">
        <v>7.805194E-2</v>
      </c>
      <c r="AA1394">
        <v>0.83343400000000001</v>
      </c>
      <c r="AB1394">
        <v>22</v>
      </c>
      <c r="AC1394">
        <v>-10.5243</v>
      </c>
      <c r="AD1394">
        <v>-1.1129378383999999</v>
      </c>
      <c r="AE1394">
        <v>-6.8768999999999698</v>
      </c>
      <c r="AF1394">
        <v>6.9519205115793303</v>
      </c>
      <c r="AG1394">
        <v>-1.1129378383999999</v>
      </c>
      <c r="AH1394">
        <v>10.357364698193001</v>
      </c>
      <c r="AI1394">
        <v>95.098406834392904</v>
      </c>
      <c r="AJ1394">
        <v>56.130269287528002</v>
      </c>
      <c r="AK1394">
        <v>12.5236908666269</v>
      </c>
      <c r="AL1394">
        <v>94.569077036539198</v>
      </c>
      <c r="AM1394">
        <v>73.496159511947099</v>
      </c>
      <c r="AN1394">
        <v>0.99999995466643998</v>
      </c>
    </row>
    <row r="1395" spans="1:40" x14ac:dyDescent="0.25">
      <c r="A1395" t="str">
        <f>"20190303154448201"</f>
        <v>20190303154448201</v>
      </c>
      <c r="B1395" t="str">
        <f>"1551599088192079"</f>
        <v>1551599088192079</v>
      </c>
      <c r="C1395" t="s">
        <v>40</v>
      </c>
      <c r="D1395">
        <v>5.7650800000000002</v>
      </c>
      <c r="E1395">
        <v>0.67648769999999903</v>
      </c>
      <c r="F1395" t="s">
        <v>54</v>
      </c>
      <c r="G1395">
        <v>-208.22649999999999</v>
      </c>
      <c r="H1395" s="1">
        <v>5.7401089999999999E-6</v>
      </c>
      <c r="I1395">
        <v>286.04590000000002</v>
      </c>
      <c r="J1395">
        <v>-194.2193</v>
      </c>
      <c r="K1395">
        <v>1.1128229999999999</v>
      </c>
      <c r="L1395">
        <v>292.59109999999998</v>
      </c>
      <c r="M1395">
        <v>-0.40244580000000002</v>
      </c>
      <c r="N1395">
        <v>-1.515932E-2</v>
      </c>
      <c r="O1395">
        <v>-0.91531859999999998</v>
      </c>
      <c r="P1395">
        <v>-0.64625630000000001</v>
      </c>
      <c r="Q1395">
        <v>-8.9476139999999996E-2</v>
      </c>
      <c r="R1395">
        <v>-0.75785719999999901</v>
      </c>
      <c r="S1395">
        <v>-2.97403</v>
      </c>
      <c r="T1395">
        <v>-0.23458979999999999</v>
      </c>
      <c r="U1395">
        <v>-1.4222410000000001</v>
      </c>
      <c r="V1395">
        <v>0.28498849999999998</v>
      </c>
      <c r="W1395">
        <v>-8.0795919999999993E-2</v>
      </c>
      <c r="X1395">
        <v>0.95511970000000002</v>
      </c>
      <c r="Y1395">
        <v>0.64998630000000002</v>
      </c>
      <c r="Z1395">
        <v>6.3972130000000002E-2</v>
      </c>
      <c r="AA1395">
        <v>0.75724859999999905</v>
      </c>
      <c r="AB1395">
        <v>22</v>
      </c>
      <c r="AC1395">
        <v>-14.0071999999999</v>
      </c>
      <c r="AD1395">
        <v>-1.112817259891</v>
      </c>
      <c r="AE1395">
        <v>-6.5451999999999604</v>
      </c>
      <c r="AF1395">
        <v>10.1356223012736</v>
      </c>
      <c r="AG1395">
        <v>-1.112817259891</v>
      </c>
      <c r="AH1395">
        <v>11.569479028777099</v>
      </c>
      <c r="AI1395">
        <v>94.138072097548402</v>
      </c>
      <c r="AJ1395">
        <v>48.779514417052297</v>
      </c>
      <c r="AK1395">
        <v>15.421480041983701</v>
      </c>
      <c r="AL1395">
        <v>94.634316540894602</v>
      </c>
      <c r="AM1395">
        <v>73.385955278149098</v>
      </c>
      <c r="AN1395">
        <v>1.0000000335744901</v>
      </c>
    </row>
    <row r="1396" spans="1:40" x14ac:dyDescent="0.25">
      <c r="A1396" t="str">
        <f>"20190303154448225"</f>
        <v>20190303154448225</v>
      </c>
      <c r="B1396" t="str">
        <f>"1551599088222335"</f>
        <v>1551599088222335</v>
      </c>
      <c r="C1396" t="s">
        <v>40</v>
      </c>
      <c r="D1396">
        <v>5.7113690000000004</v>
      </c>
      <c r="E1396">
        <v>0.67804739999999997</v>
      </c>
      <c r="F1396" t="s">
        <v>54</v>
      </c>
      <c r="G1396">
        <v>-208.4041</v>
      </c>
      <c r="H1396" s="1">
        <v>5.8076180000000002E-6</v>
      </c>
      <c r="I1396">
        <v>286.17469999999997</v>
      </c>
      <c r="J1396">
        <v>-194.3297</v>
      </c>
      <c r="K1396">
        <v>1.112684</v>
      </c>
      <c r="L1396">
        <v>292.38130000000001</v>
      </c>
      <c r="M1396">
        <v>-0.4154429</v>
      </c>
      <c r="N1396">
        <v>-1.520666E-2</v>
      </c>
      <c r="O1396">
        <v>-0.90949230000000003</v>
      </c>
      <c r="P1396">
        <v>-0.65787769999999901</v>
      </c>
      <c r="Q1396">
        <v>-9.2578579999999994E-2</v>
      </c>
      <c r="R1396">
        <v>-0.74741299999999999</v>
      </c>
      <c r="S1396">
        <v>-3.0117799999999999</v>
      </c>
      <c r="T1396">
        <v>-0.23627889999999999</v>
      </c>
      <c r="U1396">
        <v>-1.362366</v>
      </c>
      <c r="V1396">
        <v>0.28619609999999901</v>
      </c>
      <c r="W1396">
        <v>-8.3969530000000001E-2</v>
      </c>
      <c r="X1396">
        <v>0.95448460000000002</v>
      </c>
      <c r="Y1396">
        <v>0.65523399999999998</v>
      </c>
      <c r="Z1396">
        <v>6.4504679999999995E-2</v>
      </c>
      <c r="AA1396">
        <v>0.75266699999999997</v>
      </c>
      <c r="AB1396">
        <v>22</v>
      </c>
      <c r="AC1396">
        <v>-14.074399999999899</v>
      </c>
      <c r="AD1396">
        <v>-1.1126781923819999</v>
      </c>
      <c r="AE1396">
        <v>-6.2066000000000301</v>
      </c>
      <c r="AF1396">
        <v>10.170036948328301</v>
      </c>
      <c r="AG1396">
        <v>-1.1126781923819999</v>
      </c>
      <c r="AH1396">
        <v>11.433466723054</v>
      </c>
      <c r="AI1396">
        <v>94.158894634952802</v>
      </c>
      <c r="AJ1396">
        <v>48.346995695730001</v>
      </c>
      <c r="AK1396">
        <v>15.342485639470199</v>
      </c>
      <c r="AL1396">
        <v>94.816771582239397</v>
      </c>
      <c r="AM1396">
        <v>73.308977199102699</v>
      </c>
      <c r="AN1396">
        <v>0.99999997063039503</v>
      </c>
    </row>
    <row r="1397" spans="1:40" x14ac:dyDescent="0.25">
      <c r="A1397" t="str">
        <f>"20190303154448269"</f>
        <v>20190303154448269</v>
      </c>
      <c r="B1397" t="str">
        <f>"1551599088262351"</f>
        <v>1551599088262351</v>
      </c>
      <c r="C1397" t="s">
        <v>40</v>
      </c>
      <c r="D1397">
        <v>5.7737829999999999</v>
      </c>
      <c r="E1397">
        <v>0.6763943</v>
      </c>
      <c r="F1397" t="s">
        <v>54</v>
      </c>
      <c r="G1397">
        <v>-208.66470000000001</v>
      </c>
      <c r="H1397" s="1">
        <v>5.9190460000000004E-6</v>
      </c>
      <c r="I1397">
        <v>286.22190000000001</v>
      </c>
      <c r="J1397">
        <v>-194.54640000000001</v>
      </c>
      <c r="K1397">
        <v>1.1124320000000001</v>
      </c>
      <c r="L1397">
        <v>291.99009999999998</v>
      </c>
      <c r="M1397">
        <v>-0.44023129999999999</v>
      </c>
      <c r="N1397">
        <v>-1.529164E-2</v>
      </c>
      <c r="O1397">
        <v>-0.89775439999999995</v>
      </c>
      <c r="P1397">
        <v>-0.67980399999999996</v>
      </c>
      <c r="Q1397">
        <v>-0.10224999999999999</v>
      </c>
      <c r="R1397">
        <v>-0.72623119999999997</v>
      </c>
      <c r="S1397">
        <v>-3.0419770000000002</v>
      </c>
      <c r="T1397">
        <v>-0.23611779999999999</v>
      </c>
      <c r="U1397">
        <v>-1.3070679999999999</v>
      </c>
      <c r="V1397">
        <v>0.28871750000000002</v>
      </c>
      <c r="W1397">
        <v>-9.376835E-2</v>
      </c>
      <c r="X1397">
        <v>0.95281150000000003</v>
      </c>
      <c r="Y1397">
        <v>0.64882399999999996</v>
      </c>
      <c r="Z1397">
        <v>6.4230889999999999E-2</v>
      </c>
      <c r="AA1397">
        <v>0.75822279999999997</v>
      </c>
      <c r="AB1397">
        <v>22</v>
      </c>
      <c r="AC1397">
        <v>-14.1183</v>
      </c>
      <c r="AD1397">
        <v>-1.1124260809540001</v>
      </c>
      <c r="AE1397">
        <v>-5.76819999999997</v>
      </c>
      <c r="AF1397">
        <v>10.082962680552701</v>
      </c>
      <c r="AG1397">
        <v>-1.1124260809540001</v>
      </c>
      <c r="AH1397">
        <v>11.3347703286965</v>
      </c>
      <c r="AI1397">
        <v>94.193900894139304</v>
      </c>
      <c r="AJ1397">
        <v>48.344975450469803</v>
      </c>
      <c r="AK1397">
        <v>15.2112013531905</v>
      </c>
      <c r="AL1397">
        <v>95.380434878111899</v>
      </c>
      <c r="AM1397">
        <v>73.142331408106699</v>
      </c>
      <c r="AN1397">
        <v>1.0000000264001101</v>
      </c>
    </row>
    <row r="1398" spans="1:40" x14ac:dyDescent="0.25">
      <c r="A1398" t="str">
        <f>"20190303154448290"</f>
        <v>20190303154448290</v>
      </c>
      <c r="B1398" t="str">
        <f>"1551599088281871"</f>
        <v>1551599088281871</v>
      </c>
      <c r="C1398" t="s">
        <v>40</v>
      </c>
      <c r="D1398">
        <v>5.7873020000000004</v>
      </c>
      <c r="E1398">
        <v>0.67576159999999996</v>
      </c>
      <c r="F1398" t="s">
        <v>54</v>
      </c>
      <c r="G1398">
        <v>-207.32769999999999</v>
      </c>
      <c r="H1398" s="1">
        <v>5.2662730000000002E-6</v>
      </c>
      <c r="I1398">
        <v>286.90699999999998</v>
      </c>
      <c r="J1398">
        <v>-194.6611</v>
      </c>
      <c r="K1398">
        <v>1.112333</v>
      </c>
      <c r="L1398">
        <v>291.79349999999999</v>
      </c>
      <c r="M1398">
        <v>-0.45294849999999998</v>
      </c>
      <c r="N1398">
        <v>-1.533033E-2</v>
      </c>
      <c r="O1398">
        <v>-0.89140509999999995</v>
      </c>
      <c r="P1398">
        <v>-0.69143529999999997</v>
      </c>
      <c r="Q1398">
        <v>-0.10640670000000001</v>
      </c>
      <c r="R1398">
        <v>-0.71455959999999996</v>
      </c>
      <c r="S1398">
        <v>-3.0689850000000001</v>
      </c>
      <c r="T1398">
        <v>-0.26711079999999998</v>
      </c>
      <c r="U1398">
        <v>-1.22052</v>
      </c>
      <c r="V1398">
        <v>0.29071710000000001</v>
      </c>
      <c r="W1398">
        <v>-9.7996799999999995E-2</v>
      </c>
      <c r="X1398">
        <v>0.9517774</v>
      </c>
      <c r="Y1398">
        <v>0.65792569999999995</v>
      </c>
      <c r="Z1398">
        <v>7.4614879999999995E-2</v>
      </c>
      <c r="AA1398">
        <v>0.74937739999999997</v>
      </c>
      <c r="AB1398">
        <v>22</v>
      </c>
      <c r="AC1398">
        <v>-12.666599999999899</v>
      </c>
      <c r="AD1398">
        <v>-1.1123277337269999</v>
      </c>
      <c r="AE1398">
        <v>-4.8865000000000096</v>
      </c>
      <c r="AF1398">
        <v>9.0182678826944898</v>
      </c>
      <c r="AG1398">
        <v>-1.1123277337269999</v>
      </c>
      <c r="AH1398">
        <v>10.0270449828217</v>
      </c>
      <c r="AI1398">
        <v>94.715111603974805</v>
      </c>
      <c r="AJ1398">
        <v>48.031964328411703</v>
      </c>
      <c r="AK1398">
        <v>13.5317426696929</v>
      </c>
      <c r="AL1398">
        <v>95.623828878946696</v>
      </c>
      <c r="AM1398">
        <v>73.014890398939599</v>
      </c>
      <c r="AN1398">
        <v>1.0000000120967001</v>
      </c>
    </row>
    <row r="1399" spans="1:40" x14ac:dyDescent="0.25">
      <c r="A1399" t="str">
        <f>"20190303154448335"</f>
        <v>20190303154448335</v>
      </c>
      <c r="B1399" t="str">
        <f>"1551599088331647"</f>
        <v>1551599088331647</v>
      </c>
      <c r="C1399" t="s">
        <v>40</v>
      </c>
      <c r="D1399">
        <v>5.7607879999999998</v>
      </c>
      <c r="E1399">
        <v>0.67438710000000002</v>
      </c>
      <c r="F1399" t="s">
        <v>54</v>
      </c>
      <c r="G1399">
        <v>-206.9616</v>
      </c>
      <c r="H1399" s="1">
        <v>5.0853350000000002E-6</v>
      </c>
      <c r="I1399">
        <v>287.11939999999998</v>
      </c>
      <c r="J1399">
        <v>-194.8972</v>
      </c>
      <c r="K1399">
        <v>1.1122209999999999</v>
      </c>
      <c r="L1399">
        <v>291.40859999999998</v>
      </c>
      <c r="M1399">
        <v>-0.47831259999999998</v>
      </c>
      <c r="N1399">
        <v>-1.540059E-2</v>
      </c>
      <c r="O1399">
        <v>-0.87805469999999897</v>
      </c>
      <c r="P1399">
        <v>-0.71537269999999997</v>
      </c>
      <c r="Q1399">
        <v>-0.1099155</v>
      </c>
      <c r="R1399">
        <v>-0.69004359999999998</v>
      </c>
      <c r="S1399">
        <v>-3.0845340000000001</v>
      </c>
      <c r="T1399">
        <v>-0.27893319999999999</v>
      </c>
      <c r="U1399">
        <v>-1.1721189999999999</v>
      </c>
      <c r="V1399">
        <v>0.29600789999999999</v>
      </c>
      <c r="W1399">
        <v>-0.1016566</v>
      </c>
      <c r="X1399">
        <v>0.94976059999999995</v>
      </c>
      <c r="Y1399">
        <v>0.64756230000000004</v>
      </c>
      <c r="Z1399">
        <v>7.8082490000000004E-2</v>
      </c>
      <c r="AA1399">
        <v>0.75800140000000005</v>
      </c>
      <c r="AB1399">
        <v>22</v>
      </c>
      <c r="AC1399">
        <v>-12.064399999999999</v>
      </c>
      <c r="AD1399">
        <v>-1.1122159146649999</v>
      </c>
      <c r="AE1399">
        <v>-4.2891999999999904</v>
      </c>
      <c r="AF1399">
        <v>8.4786632806279503</v>
      </c>
      <c r="AG1399">
        <v>-1.1122159146649999</v>
      </c>
      <c r="AH1399">
        <v>9.4664104321414797</v>
      </c>
      <c r="AI1399">
        <v>95.001720486649901</v>
      </c>
      <c r="AJ1399">
        <v>48.150541110764998</v>
      </c>
      <c r="AK1399">
        <v>12.756868022240401</v>
      </c>
      <c r="AL1399">
        <v>95.8345730426242</v>
      </c>
      <c r="AM1399">
        <v>72.689529359393205</v>
      </c>
      <c r="AN1399">
        <v>0.99999996924916401</v>
      </c>
    </row>
    <row r="1400" spans="1:40" x14ac:dyDescent="0.25">
      <c r="A1400" t="str">
        <f>"20190303154448358"</f>
        <v>20190303154448358</v>
      </c>
      <c r="B1400" t="str">
        <f>"1551599088352143"</f>
        <v>1551599088352143</v>
      </c>
      <c r="C1400" t="s">
        <v>40</v>
      </c>
      <c r="D1400">
        <v>5.7910300000000001</v>
      </c>
      <c r="E1400">
        <v>0.67357100000000003</v>
      </c>
      <c r="F1400" t="s">
        <v>54</v>
      </c>
      <c r="G1400">
        <v>-207.1902</v>
      </c>
      <c r="H1400" s="1">
        <v>5.1819129999999899E-6</v>
      </c>
      <c r="I1400">
        <v>287.17469999999997</v>
      </c>
      <c r="J1400">
        <v>-195.01949999999999</v>
      </c>
      <c r="K1400">
        <v>1.1121840000000001</v>
      </c>
      <c r="L1400">
        <v>291.21879999999999</v>
      </c>
      <c r="M1400">
        <v>-0.49101210000000001</v>
      </c>
      <c r="N1400">
        <v>-1.5433290000000001E-2</v>
      </c>
      <c r="O1400">
        <v>-0.87101600000000001</v>
      </c>
      <c r="P1400">
        <v>-0.72617419999999899</v>
      </c>
      <c r="Q1400">
        <v>-0.10910110000000001</v>
      </c>
      <c r="R1400">
        <v>-0.67879899999999904</v>
      </c>
      <c r="S1400">
        <v>-3.115326</v>
      </c>
      <c r="T1400">
        <v>-0.28186020000000001</v>
      </c>
      <c r="U1400">
        <v>-1.0729679999999999</v>
      </c>
      <c r="V1400">
        <v>0.2971473</v>
      </c>
      <c r="W1400">
        <v>-0.100868</v>
      </c>
      <c r="X1400">
        <v>0.94948889999999997</v>
      </c>
      <c r="Y1400">
        <v>0.66014740000000005</v>
      </c>
      <c r="Z1400">
        <v>7.9571669999999997E-2</v>
      </c>
      <c r="AA1400">
        <v>0.74690939999999995</v>
      </c>
      <c r="AB1400">
        <v>22</v>
      </c>
      <c r="AC1400">
        <v>-12.1707</v>
      </c>
      <c r="AD1400">
        <v>-1.112178818087</v>
      </c>
      <c r="AE1400">
        <v>-4.04410000000001</v>
      </c>
      <c r="AF1400">
        <v>8.5518862163405096</v>
      </c>
      <c r="AG1400">
        <v>-1.112178818087</v>
      </c>
      <c r="AH1400">
        <v>9.4286622194604792</v>
      </c>
      <c r="AI1400">
        <v>94.993351402860696</v>
      </c>
      <c r="AJ1400">
        <v>47.791672628458599</v>
      </c>
      <c r="AK1400">
        <v>12.777768616989301</v>
      </c>
      <c r="AL1400">
        <v>95.789155832373794</v>
      </c>
      <c r="AM1400">
        <v>72.622228147708697</v>
      </c>
      <c r="AN1400">
        <v>1.00000002127224</v>
      </c>
    </row>
    <row r="1401" spans="1:40" x14ac:dyDescent="0.25">
      <c r="A1401" t="str">
        <f>"20190303154448380"</f>
        <v>20190303154448380</v>
      </c>
      <c r="B1401" t="str">
        <f>"1551599088371663"</f>
        <v>1551599088371663</v>
      </c>
      <c r="C1401" t="s">
        <v>40</v>
      </c>
      <c r="D1401">
        <v>5.7609849999999998</v>
      </c>
      <c r="E1401">
        <v>0.67283230000000005</v>
      </c>
      <c r="F1401" t="s">
        <v>54</v>
      </c>
      <c r="G1401">
        <v>-207.6636</v>
      </c>
      <c r="H1401" s="1">
        <v>5.4020369999999997E-6</v>
      </c>
      <c r="I1401">
        <v>287.05799999999999</v>
      </c>
      <c r="J1401">
        <v>-195.14779999999999</v>
      </c>
      <c r="K1401">
        <v>1.1121460000000001</v>
      </c>
      <c r="L1401">
        <v>291.02629999999999</v>
      </c>
      <c r="M1401">
        <v>-0.50401870000000004</v>
      </c>
      <c r="N1401">
        <v>-1.546412E-2</v>
      </c>
      <c r="O1401">
        <v>-0.86355419999999905</v>
      </c>
      <c r="P1401">
        <v>-0.73696909999999904</v>
      </c>
      <c r="Q1401">
        <v>-0.10855529999999999</v>
      </c>
      <c r="R1401">
        <v>-0.66715219999999997</v>
      </c>
      <c r="S1401">
        <v>-3.127777</v>
      </c>
      <c r="T1401">
        <v>-0.27511950000000002</v>
      </c>
      <c r="U1401">
        <v>-1.029266</v>
      </c>
      <c r="V1401">
        <v>0.29809629999999998</v>
      </c>
      <c r="W1401">
        <v>-0.10034120000000001</v>
      </c>
      <c r="X1401">
        <v>0.94924719999999996</v>
      </c>
      <c r="Y1401">
        <v>0.65938379999999996</v>
      </c>
      <c r="Z1401">
        <v>7.7413099999999999E-2</v>
      </c>
      <c r="AA1401">
        <v>0.74781030000000004</v>
      </c>
      <c r="AB1401">
        <v>22</v>
      </c>
      <c r="AC1401">
        <v>-12.5158</v>
      </c>
      <c r="AD1401">
        <v>-1.1121405979629999</v>
      </c>
      <c r="AE1401">
        <v>-3.9682999999999899</v>
      </c>
      <c r="AF1401">
        <v>8.7462768223900405</v>
      </c>
      <c r="AG1401">
        <v>-1.1121405979629999</v>
      </c>
      <c r="AH1401">
        <v>9.6668481154023702</v>
      </c>
      <c r="AI1401">
        <v>94.876154395184599</v>
      </c>
      <c r="AJ1401">
        <v>47.862141535871402</v>
      </c>
      <c r="AK1401">
        <v>13.0836603230813</v>
      </c>
      <c r="AL1401">
        <v>95.758818601274299</v>
      </c>
      <c r="AM1401">
        <v>72.565915953051601</v>
      </c>
      <c r="AN1401">
        <v>1.00000000359948</v>
      </c>
    </row>
    <row r="1402" spans="1:40" x14ac:dyDescent="0.25">
      <c r="A1402" t="str">
        <f>"20190303154448404"</f>
        <v>20190303154448404</v>
      </c>
      <c r="B1402" t="str">
        <f>"1551599088401920"</f>
        <v>1551599088401920</v>
      </c>
      <c r="C1402" t="s">
        <v>40</v>
      </c>
      <c r="D1402">
        <v>5.885605</v>
      </c>
      <c r="E1402">
        <v>0.65307969999999904</v>
      </c>
      <c r="F1402" t="s">
        <v>54</v>
      </c>
      <c r="G1402">
        <v>-208.00309999999999</v>
      </c>
      <c r="H1402" s="1">
        <v>5.557749E-6</v>
      </c>
      <c r="I1402">
        <v>286.99869999999999</v>
      </c>
      <c r="J1402">
        <v>-195.2817</v>
      </c>
      <c r="K1402">
        <v>1.112109</v>
      </c>
      <c r="L1402">
        <v>290.83229999999998</v>
      </c>
      <c r="M1402">
        <v>-0.5172504</v>
      </c>
      <c r="N1402">
        <v>-1.5491990000000001E-2</v>
      </c>
      <c r="O1402">
        <v>-0.85569399999999995</v>
      </c>
      <c r="P1402">
        <v>-0.74770689999999995</v>
      </c>
      <c r="Q1402">
        <v>-0.10830480000000001</v>
      </c>
      <c r="R1402">
        <v>-0.65513719999999998</v>
      </c>
      <c r="S1402">
        <v>-3.140091</v>
      </c>
      <c r="T1402">
        <v>-0.27165650000000002</v>
      </c>
      <c r="U1402">
        <v>-0.98379519999999998</v>
      </c>
      <c r="V1402">
        <v>0.29887829999999999</v>
      </c>
      <c r="W1402">
        <v>-0.1001047</v>
      </c>
      <c r="X1402">
        <v>0.94902620000000004</v>
      </c>
      <c r="Y1402">
        <v>0.65862169999999998</v>
      </c>
      <c r="Z1402">
        <v>7.6286039999999999E-2</v>
      </c>
      <c r="AA1402">
        <v>0.74859730000000002</v>
      </c>
      <c r="AB1402">
        <v>22</v>
      </c>
      <c r="AC1402">
        <v>-12.7213999999999</v>
      </c>
      <c r="AD1402">
        <v>-1.1121034422509899</v>
      </c>
      <c r="AE1402">
        <v>-3.8335999999999899</v>
      </c>
      <c r="AF1402">
        <v>8.8418163204432094</v>
      </c>
      <c r="AG1402">
        <v>-1.1121034422509899</v>
      </c>
      <c r="AH1402">
        <v>9.7931096579796701</v>
      </c>
      <c r="AI1402">
        <v>94.817976337765401</v>
      </c>
      <c r="AJ1402">
        <v>47.922352394143402</v>
      </c>
      <c r="AK1402">
        <v>13.2408265106048</v>
      </c>
      <c r="AL1402">
        <v>95.745199836367604</v>
      </c>
      <c r="AM1402">
        <v>72.519140189785503</v>
      </c>
      <c r="AN1402">
        <v>0.99999995872970904</v>
      </c>
    </row>
    <row r="1403" spans="1:40" x14ac:dyDescent="0.25">
      <c r="A1403" t="str">
        <f>"20190303154448452"</f>
        <v>20190303154448452</v>
      </c>
      <c r="B1403" t="str">
        <f>"1551599088441936"</f>
        <v>1551599088441936</v>
      </c>
      <c r="C1403" t="s">
        <v>40</v>
      </c>
      <c r="D1403">
        <v>5.880592</v>
      </c>
      <c r="E1403">
        <v>0.64956559999999997</v>
      </c>
      <c r="F1403" t="s">
        <v>54</v>
      </c>
      <c r="G1403">
        <v>-206.3203</v>
      </c>
      <c r="H1403" s="1">
        <v>4.8082799999999996E-6</v>
      </c>
      <c r="I1403">
        <v>287.03579999999999</v>
      </c>
      <c r="J1403">
        <v>-195.56639999999999</v>
      </c>
      <c r="K1403">
        <v>1.11208</v>
      </c>
      <c r="L1403">
        <v>290.4409</v>
      </c>
      <c r="M1403">
        <v>-0.54425730000000005</v>
      </c>
      <c r="N1403">
        <v>-1.553947E-2</v>
      </c>
      <c r="O1403">
        <v>-0.83877440000000003</v>
      </c>
      <c r="P1403">
        <v>-0.76878190000000002</v>
      </c>
      <c r="Q1403">
        <v>-0.1049636</v>
      </c>
      <c r="R1403">
        <v>-0.63083840000000002</v>
      </c>
      <c r="S1403">
        <v>-3.0489809999999999</v>
      </c>
      <c r="T1403">
        <v>-0.30717499999999998</v>
      </c>
      <c r="U1403">
        <v>-1.0486150000000001</v>
      </c>
      <c r="V1403">
        <v>0.2995024</v>
      </c>
      <c r="W1403">
        <v>-9.6750450000000002E-2</v>
      </c>
      <c r="X1403">
        <v>0.9491773</v>
      </c>
      <c r="Y1403">
        <v>0.61184749999999999</v>
      </c>
      <c r="Z1403">
        <v>8.7226730000000002E-2</v>
      </c>
      <c r="AA1403">
        <v>0.78615139999999994</v>
      </c>
      <c r="AB1403">
        <v>22</v>
      </c>
      <c r="AC1403">
        <v>-10.7539</v>
      </c>
      <c r="AD1403">
        <v>-1.11207519172</v>
      </c>
      <c r="AE1403">
        <v>-3.4051</v>
      </c>
      <c r="AF1403">
        <v>7.0987155323907603</v>
      </c>
      <c r="AG1403">
        <v>-1.11207519172</v>
      </c>
      <c r="AH1403">
        <v>8.6262092047031302</v>
      </c>
      <c r="AI1403">
        <v>95.684803380126198</v>
      </c>
      <c r="AJ1403">
        <v>50.5482120177331</v>
      </c>
      <c r="AK1403">
        <v>11.2267519205311</v>
      </c>
      <c r="AL1403">
        <v>95.552077699757604</v>
      </c>
      <c r="AM1403">
        <v>72.487485369690305</v>
      </c>
      <c r="AN1403">
        <v>0.99999994200812403</v>
      </c>
    </row>
    <row r="1404" spans="1:40" x14ac:dyDescent="0.25">
      <c r="A1404" t="str">
        <f>"20190303154448492"</f>
        <v>20190303154448492</v>
      </c>
      <c r="B1404" t="str">
        <f>"1551599088481951"</f>
        <v>1551599088481951</v>
      </c>
      <c r="C1404" t="s">
        <v>40</v>
      </c>
      <c r="D1404">
        <v>5.860525</v>
      </c>
      <c r="E1404">
        <v>0.64661559999999996</v>
      </c>
      <c r="F1404" t="s">
        <v>54</v>
      </c>
      <c r="G1404">
        <v>-206.51089999999999</v>
      </c>
      <c r="H1404" s="1">
        <v>4.8982739999999999E-6</v>
      </c>
      <c r="I1404">
        <v>286.97300000000001</v>
      </c>
      <c r="J1404">
        <v>-195.815</v>
      </c>
      <c r="K1404">
        <v>1.112082</v>
      </c>
      <c r="L1404">
        <v>290.11950000000002</v>
      </c>
      <c r="M1404">
        <v>-0.56669349999999996</v>
      </c>
      <c r="N1404">
        <v>-1.556885E-2</v>
      </c>
      <c r="O1404">
        <v>-0.82378169999999995</v>
      </c>
      <c r="P1404">
        <v>-0.78567140000000002</v>
      </c>
      <c r="Q1404">
        <v>-0.1106375</v>
      </c>
      <c r="R1404">
        <v>-0.60867099999999996</v>
      </c>
      <c r="S1404">
        <v>-3.0633240000000002</v>
      </c>
      <c r="T1404">
        <v>-0.31126429999999999</v>
      </c>
      <c r="U1404">
        <v>-0.97064209999999995</v>
      </c>
      <c r="V1404">
        <v>0.30017579999999999</v>
      </c>
      <c r="W1404">
        <v>-0.1024238</v>
      </c>
      <c r="X1404">
        <v>0.94836900000000002</v>
      </c>
      <c r="Y1404">
        <v>0.60959940000000001</v>
      </c>
      <c r="Z1404">
        <v>8.8378910000000005E-2</v>
      </c>
      <c r="AA1404">
        <v>0.78776759999999901</v>
      </c>
      <c r="AB1404">
        <v>22</v>
      </c>
      <c r="AC1404">
        <v>-10.6958999999999</v>
      </c>
      <c r="AD1404">
        <v>-1.1120771017260001</v>
      </c>
      <c r="AE1404">
        <v>-3.1465000000000001</v>
      </c>
      <c r="AF1404">
        <v>6.9595942436217104</v>
      </c>
      <c r="AG1404">
        <v>-1.1120771017260001</v>
      </c>
      <c r="AH1404">
        <v>8.5691181270494194</v>
      </c>
      <c r="AI1404">
        <v>95.752465746304196</v>
      </c>
      <c r="AJ1404">
        <v>50.917477317478998</v>
      </c>
      <c r="AK1404">
        <v>11.095154482537</v>
      </c>
      <c r="AL1404">
        <v>95.878761112416996</v>
      </c>
      <c r="AM1404">
        <v>72.436486457038995</v>
      </c>
      <c r="AN1404">
        <v>0.99999995293653798</v>
      </c>
    </row>
    <row r="1405" spans="1:40" x14ac:dyDescent="0.25">
      <c r="A1405" t="str">
        <f>"20190303154448514"</f>
        <v>20190303154448514</v>
      </c>
      <c r="B1405" t="str">
        <f>"1551599088501471"</f>
        <v>1551599088501471</v>
      </c>
      <c r="C1405" t="s">
        <v>40</v>
      </c>
      <c r="D1405">
        <v>5.8466519999999997</v>
      </c>
      <c r="E1405">
        <v>0.64563280000000001</v>
      </c>
      <c r="F1405" t="s">
        <v>54</v>
      </c>
      <c r="G1405">
        <v>-205.8075</v>
      </c>
      <c r="H1405" s="1">
        <v>4.5674499999999998E-6</v>
      </c>
      <c r="I1405">
        <v>287.1891</v>
      </c>
      <c r="J1405">
        <v>-195.9529</v>
      </c>
      <c r="K1405">
        <v>1.11208</v>
      </c>
      <c r="L1405">
        <v>289.94900000000001</v>
      </c>
      <c r="M1405">
        <v>-0.57870540000000004</v>
      </c>
      <c r="N1405">
        <v>-1.558288E-2</v>
      </c>
      <c r="O1405">
        <v>-0.81538769999999905</v>
      </c>
      <c r="P1405">
        <v>-0.79505930000000002</v>
      </c>
      <c r="Q1405">
        <v>-0.1132594</v>
      </c>
      <c r="R1405">
        <v>-0.59586359999999905</v>
      </c>
      <c r="S1405">
        <v>-3.0722659999999999</v>
      </c>
      <c r="T1405">
        <v>-0.341918099999999</v>
      </c>
      <c r="U1405">
        <v>-0.90097050000000001</v>
      </c>
      <c r="V1405">
        <v>0.30127930000000003</v>
      </c>
      <c r="W1405">
        <v>-0.1050676</v>
      </c>
      <c r="X1405">
        <v>0.94772970000000001</v>
      </c>
      <c r="Y1405">
        <v>0.61393129999999996</v>
      </c>
      <c r="Z1405">
        <v>9.8331509999999997E-2</v>
      </c>
      <c r="AA1405">
        <v>0.78321090000000004</v>
      </c>
      <c r="AB1405">
        <v>22</v>
      </c>
      <c r="AC1405">
        <v>-9.8545999999999996</v>
      </c>
      <c r="AD1405">
        <v>-1.11207543255</v>
      </c>
      <c r="AE1405">
        <v>-2.7599000000000098</v>
      </c>
      <c r="AF1405">
        <v>6.3637857519970602</v>
      </c>
      <c r="AG1405">
        <v>-1.11207543255</v>
      </c>
      <c r="AH1405">
        <v>7.8614329546695796</v>
      </c>
      <c r="AI1405">
        <v>96.274488204704497</v>
      </c>
      <c r="AJ1405">
        <v>51.010024805969103</v>
      </c>
      <c r="AK1405">
        <v>10.1752940481229</v>
      </c>
      <c r="AL1405">
        <v>96.031061293615707</v>
      </c>
      <c r="AM1405">
        <v>72.364757603659299</v>
      </c>
      <c r="AN1405">
        <v>1.0000000007201699</v>
      </c>
    </row>
    <row r="1406" spans="1:40" x14ac:dyDescent="0.25">
      <c r="A1406" t="str">
        <f>"20190303154448537"</f>
        <v>20190303154448537</v>
      </c>
      <c r="B1406" t="str">
        <f>"1551599088531727"</f>
        <v>1551599088531727</v>
      </c>
      <c r="C1406" t="s">
        <v>40</v>
      </c>
      <c r="D1406">
        <v>5.8691559999999896</v>
      </c>
      <c r="E1406">
        <v>0.64403809999999995</v>
      </c>
      <c r="F1406" t="s">
        <v>54</v>
      </c>
      <c r="G1406">
        <v>-205.79750000000001</v>
      </c>
      <c r="H1406" s="1">
        <v>4.5612740000000004E-6</v>
      </c>
      <c r="I1406">
        <v>287.20929999999998</v>
      </c>
      <c r="J1406">
        <v>-196.102</v>
      </c>
      <c r="K1406">
        <v>1.112079</v>
      </c>
      <c r="L1406">
        <v>289.77010000000001</v>
      </c>
      <c r="M1406">
        <v>-0.59139119999999901</v>
      </c>
      <c r="N1406">
        <v>-1.5598819999999999E-2</v>
      </c>
      <c r="O1406">
        <v>-0.80623409999999995</v>
      </c>
      <c r="P1406">
        <v>-0.80481519999999995</v>
      </c>
      <c r="Q1406">
        <v>-0.1132312</v>
      </c>
      <c r="R1406">
        <v>-0.58262460000000005</v>
      </c>
      <c r="S1406">
        <v>-3.0811160000000002</v>
      </c>
      <c r="T1406">
        <v>-0.34805000000000003</v>
      </c>
      <c r="U1406">
        <v>-0.857452399999999</v>
      </c>
      <c r="V1406">
        <v>0.30213590000000001</v>
      </c>
      <c r="W1406">
        <v>-0.1050543</v>
      </c>
      <c r="X1406">
        <v>0.94745840000000003</v>
      </c>
      <c r="Y1406">
        <v>0.61224990000000001</v>
      </c>
      <c r="Z1406">
        <v>9.9970500000000004E-2</v>
      </c>
      <c r="AA1406">
        <v>0.78431879999999998</v>
      </c>
      <c r="AB1406">
        <v>22</v>
      </c>
      <c r="AC1406">
        <v>-9.6955000000000098</v>
      </c>
      <c r="AD1406">
        <v>-1.112074438726</v>
      </c>
      <c r="AE1406">
        <v>-2.5608000000000199</v>
      </c>
      <c r="AF1406">
        <v>6.2265982986075299</v>
      </c>
      <c r="AG1406">
        <v>-1.112074438726</v>
      </c>
      <c r="AH1406">
        <v>7.7046325261127402</v>
      </c>
      <c r="AI1406">
        <v>96.405261969129597</v>
      </c>
      <c r="AJ1406">
        <v>51.0561417861989</v>
      </c>
      <c r="AK1406">
        <v>9.9683799231331705</v>
      </c>
      <c r="AL1406">
        <v>96.030295242037894</v>
      </c>
      <c r="AM1406">
        <v>72.312988830796797</v>
      </c>
      <c r="AN1406">
        <v>0.99999996387392898</v>
      </c>
    </row>
    <row r="1407" spans="1:40" x14ac:dyDescent="0.25">
      <c r="A1407" t="str">
        <f>"20190303154448558"</f>
        <v>20190303154448558</v>
      </c>
      <c r="B1407" t="str">
        <f>"1551599088552224"</f>
        <v>1551599088552224</v>
      </c>
      <c r="C1407" t="s">
        <v>40</v>
      </c>
      <c r="D1407">
        <v>5.912407</v>
      </c>
      <c r="E1407">
        <v>0.64286619999999906</v>
      </c>
      <c r="F1407" t="s">
        <v>54</v>
      </c>
      <c r="G1407">
        <v>-205.8492</v>
      </c>
      <c r="H1407" s="1">
        <v>4.5856720000000001E-6</v>
      </c>
      <c r="I1407">
        <v>287.19200000000001</v>
      </c>
      <c r="J1407">
        <v>-196.23769999999999</v>
      </c>
      <c r="K1407">
        <v>1.112055</v>
      </c>
      <c r="L1407">
        <v>289.61239999999998</v>
      </c>
      <c r="M1407">
        <v>-0.6026764</v>
      </c>
      <c r="N1407">
        <v>-1.561499E-2</v>
      </c>
      <c r="O1407">
        <v>-0.79783300000000001</v>
      </c>
      <c r="P1407">
        <v>-0.81438630000000001</v>
      </c>
      <c r="Q1407">
        <v>-0.1106497</v>
      </c>
      <c r="R1407">
        <v>-0.56967690000000004</v>
      </c>
      <c r="S1407">
        <v>-3.086929</v>
      </c>
      <c r="T1407">
        <v>-0.35219430000000002</v>
      </c>
      <c r="U1407">
        <v>-0.81649780000000005</v>
      </c>
      <c r="V1407">
        <v>0.30428929999999998</v>
      </c>
      <c r="W1407">
        <v>-0.1025266</v>
      </c>
      <c r="X1407">
        <v>0.9470461</v>
      </c>
      <c r="Y1407">
        <v>0.61108769999999901</v>
      </c>
      <c r="Z1407">
        <v>0.10106619999999999</v>
      </c>
      <c r="AA1407">
        <v>0.78508440000000002</v>
      </c>
      <c r="AB1407">
        <v>22</v>
      </c>
      <c r="AC1407">
        <v>-9.6114999999999995</v>
      </c>
      <c r="AD1407">
        <v>-1.1120504143279999</v>
      </c>
      <c r="AE1407">
        <v>-2.4203999999999701</v>
      </c>
      <c r="AF1407">
        <v>6.1332045437071097</v>
      </c>
      <c r="AG1407">
        <v>-1.1120504143279999</v>
      </c>
      <c r="AH1407">
        <v>7.6286098554213098</v>
      </c>
      <c r="AI1407">
        <v>96.481556098677004</v>
      </c>
      <c r="AJ1407">
        <v>51.201620608827298</v>
      </c>
      <c r="AK1407">
        <v>9.8513218618207699</v>
      </c>
      <c r="AL1407">
        <v>95.884682020483893</v>
      </c>
      <c r="AM1407">
        <v>72.187602319590098</v>
      </c>
      <c r="AN1407">
        <v>0.99999999866362999</v>
      </c>
    </row>
    <row r="1408" spans="1:40" x14ac:dyDescent="0.25">
      <c r="A1408" t="str">
        <f>"20190303154448583"</f>
        <v>20190303154448583</v>
      </c>
      <c r="B1408" t="str">
        <f>"1551599088571744"</f>
        <v>1551599088571744</v>
      </c>
      <c r="C1408" t="s">
        <v>40</v>
      </c>
      <c r="D1408">
        <v>5.8964869999999996</v>
      </c>
      <c r="E1408">
        <v>0.64164699999999997</v>
      </c>
      <c r="F1408" t="s">
        <v>54</v>
      </c>
      <c r="G1408">
        <v>-206.1232</v>
      </c>
      <c r="H1408" s="1">
        <v>4.7117899999999997E-6</v>
      </c>
      <c r="I1408">
        <v>287.13959999999997</v>
      </c>
      <c r="J1408">
        <v>-196.3982</v>
      </c>
      <c r="K1408">
        <v>1.1120139999999901</v>
      </c>
      <c r="L1408">
        <v>289.4316</v>
      </c>
      <c r="M1408">
        <v>-0.61573310000000003</v>
      </c>
      <c r="N1408">
        <v>-1.563662E-2</v>
      </c>
      <c r="O1408">
        <v>-0.78779969999999999</v>
      </c>
      <c r="P1408">
        <v>-0.824457</v>
      </c>
      <c r="Q1408">
        <v>-0.10963009999999999</v>
      </c>
      <c r="R1408">
        <v>-0.55520459999999905</v>
      </c>
      <c r="S1408">
        <v>-3.09491</v>
      </c>
      <c r="T1408">
        <v>-0.34815479999999999</v>
      </c>
      <c r="U1408">
        <v>-0.77416989999999997</v>
      </c>
      <c r="V1408">
        <v>0.30553720000000001</v>
      </c>
      <c r="W1408">
        <v>-0.10154970000000001</v>
      </c>
      <c r="X1408">
        <v>0.94674950000000002</v>
      </c>
      <c r="Y1408">
        <v>0.60883959999999904</v>
      </c>
      <c r="Z1408">
        <v>9.9397079999999999E-2</v>
      </c>
      <c r="AA1408">
        <v>0.78704169999999996</v>
      </c>
      <c r="AB1408">
        <v>22</v>
      </c>
      <c r="AC1408">
        <v>-9.7249999999999908</v>
      </c>
      <c r="AD1408">
        <v>-1.1120092882099999</v>
      </c>
      <c r="AE1408">
        <v>-2.29200000000003</v>
      </c>
      <c r="AF1408">
        <v>6.1743746607804901</v>
      </c>
      <c r="AG1408">
        <v>-1.1120092882099999</v>
      </c>
      <c r="AH1408">
        <v>7.6992247195252999</v>
      </c>
      <c r="AI1408">
        <v>96.428676549347102</v>
      </c>
      <c r="AJ1408">
        <v>51.2722146937651</v>
      </c>
      <c r="AK1408">
        <v>9.9316427840767094</v>
      </c>
      <c r="AL1408">
        <v>95.828416264059996</v>
      </c>
      <c r="AM1408">
        <v>72.113951137465804</v>
      </c>
      <c r="AN1408">
        <v>0.99999996895208898</v>
      </c>
    </row>
    <row r="1409" spans="1:40" x14ac:dyDescent="0.25">
      <c r="A1409" t="str">
        <f>"20190303154448604"</f>
        <v>20190303154448604</v>
      </c>
      <c r="B1409" t="str">
        <f>"1551599088601999"</f>
        <v>1551599088601999</v>
      </c>
      <c r="C1409" t="s">
        <v>40</v>
      </c>
      <c r="D1409">
        <v>5.8990359999999997</v>
      </c>
      <c r="E1409">
        <v>0.64004259999999902</v>
      </c>
      <c r="F1409" t="s">
        <v>54</v>
      </c>
      <c r="G1409">
        <v>-206.38239999999999</v>
      </c>
      <c r="H1409" s="1">
        <v>4.8309169999999996E-6</v>
      </c>
      <c r="I1409">
        <v>287.09140000000002</v>
      </c>
      <c r="J1409">
        <v>-196.54810000000001</v>
      </c>
      <c r="K1409">
        <v>1.11196299999999</v>
      </c>
      <c r="L1409">
        <v>289.26859999999999</v>
      </c>
      <c r="M1409">
        <v>-0.62765309999999996</v>
      </c>
      <c r="N1409">
        <v>-1.565919E-2</v>
      </c>
      <c r="O1409">
        <v>-0.77833560000000002</v>
      </c>
      <c r="P1409">
        <v>-0.83317149999999995</v>
      </c>
      <c r="Q1409">
        <v>-0.1106663</v>
      </c>
      <c r="R1409">
        <v>-0.5418288</v>
      </c>
      <c r="S1409">
        <v>-3.1030120000000001</v>
      </c>
      <c r="T1409">
        <v>-0.34560429999999998</v>
      </c>
      <c r="U1409">
        <v>-0.72732540000000001</v>
      </c>
      <c r="V1409">
        <v>0.30626009999999998</v>
      </c>
      <c r="W1409">
        <v>-0.1026232</v>
      </c>
      <c r="X1409">
        <v>0.94640020000000002</v>
      </c>
      <c r="Y1409">
        <v>0.60861719999999997</v>
      </c>
      <c r="Z1409">
        <v>9.8321119999999998E-2</v>
      </c>
      <c r="AA1409">
        <v>0.78734879999999996</v>
      </c>
      <c r="AB1409">
        <v>22</v>
      </c>
      <c r="AC1409">
        <v>-9.8342999999999794</v>
      </c>
      <c r="AD1409">
        <v>-1.1119581690829901</v>
      </c>
      <c r="AE1409">
        <v>-2.1771999999999698</v>
      </c>
      <c r="AF1409">
        <v>6.2129118304401096</v>
      </c>
      <c r="AG1409">
        <v>-1.1119581690829901</v>
      </c>
      <c r="AH1409">
        <v>7.7733496366161896</v>
      </c>
      <c r="AI1409">
        <v>96.375882063389298</v>
      </c>
      <c r="AJ1409">
        <v>51.366124217202199</v>
      </c>
      <c r="AK1409">
        <v>10.0130758988282</v>
      </c>
      <c r="AL1409">
        <v>95.890245813114603</v>
      </c>
      <c r="AM1409">
        <v>72.068145375684594</v>
      </c>
      <c r="AN1409">
        <v>1.0000000542951399</v>
      </c>
    </row>
    <row r="1410" spans="1:40" x14ac:dyDescent="0.25">
      <c r="A1410" t="str">
        <f>"20190303154448627"</f>
        <v>20190303154448627</v>
      </c>
      <c r="B1410" t="str">
        <f>"1551599088621519"</f>
        <v>1551599088621519</v>
      </c>
      <c r="C1410" t="s">
        <v>40</v>
      </c>
      <c r="D1410">
        <v>5.9514339999999999</v>
      </c>
      <c r="E1410">
        <v>0.63889119999999899</v>
      </c>
      <c r="F1410" t="s">
        <v>54</v>
      </c>
      <c r="G1410">
        <v>-206.45060000000001</v>
      </c>
      <c r="H1410" s="1">
        <v>4.8625359999999998E-6</v>
      </c>
      <c r="I1410">
        <v>287.07580000000002</v>
      </c>
      <c r="J1410">
        <v>-196.6996</v>
      </c>
      <c r="K1410">
        <v>1.1119030000000001</v>
      </c>
      <c r="L1410">
        <v>289.10899999999998</v>
      </c>
      <c r="M1410">
        <v>-0.6394398</v>
      </c>
      <c r="N1410">
        <v>-1.5681870000000001E-2</v>
      </c>
      <c r="O1410">
        <v>-0.76868130000000001</v>
      </c>
      <c r="P1410">
        <v>-0.8416458</v>
      </c>
      <c r="Q1410">
        <v>-0.1129883</v>
      </c>
      <c r="R1410">
        <v>-0.52807789999999999</v>
      </c>
      <c r="S1410">
        <v>-3.1069339999999999</v>
      </c>
      <c r="T1410">
        <v>-0.34887899999999999</v>
      </c>
      <c r="U1410">
        <v>-0.6879883</v>
      </c>
      <c r="V1410">
        <v>0.30707440000000003</v>
      </c>
      <c r="W1410">
        <v>-0.1049851</v>
      </c>
      <c r="X1410">
        <v>0.94587710000000003</v>
      </c>
      <c r="Y1410">
        <v>0.60615839999999999</v>
      </c>
      <c r="Z1410">
        <v>9.8946999999999993E-2</v>
      </c>
      <c r="AA1410">
        <v>0.78916509999999995</v>
      </c>
      <c r="AB1410">
        <v>22</v>
      </c>
      <c r="AC1410">
        <v>-9.7509999999999994</v>
      </c>
      <c r="AD1410">
        <v>-1.111898137464</v>
      </c>
      <c r="AE1410">
        <v>-2.0332000000000199</v>
      </c>
      <c r="AF1410">
        <v>6.1198057365936096</v>
      </c>
      <c r="AG1410">
        <v>-1.111898137464</v>
      </c>
      <c r="AH1410">
        <v>7.7030323104446303</v>
      </c>
      <c r="AI1410">
        <v>96.448166810231299</v>
      </c>
      <c r="AJ1410">
        <v>51.534014039029699</v>
      </c>
      <c r="AK1410">
        <v>9.9007598949522002</v>
      </c>
      <c r="AL1410">
        <v>96.026307967240697</v>
      </c>
      <c r="AM1410">
        <v>72.0142300874043</v>
      </c>
      <c r="AN1410">
        <v>1.0000000233308799</v>
      </c>
    </row>
    <row r="1411" spans="1:40" x14ac:dyDescent="0.25">
      <c r="A1411" t="str">
        <f>"20190303154448651"</f>
        <v>20190303154448651</v>
      </c>
      <c r="B1411" t="str">
        <f>"1551599088642015"</f>
        <v>1551599088642015</v>
      </c>
      <c r="C1411" t="s">
        <v>40</v>
      </c>
      <c r="D1411">
        <v>5.9370019999999997</v>
      </c>
      <c r="E1411">
        <v>0.63834009999999997</v>
      </c>
      <c r="F1411" t="s">
        <v>54</v>
      </c>
      <c r="G1411">
        <v>-206.41909999999999</v>
      </c>
      <c r="H1411" s="1">
        <v>4.846779E-6</v>
      </c>
      <c r="I1411">
        <v>287.09629999999999</v>
      </c>
      <c r="J1411">
        <v>-196.86789999999999</v>
      </c>
      <c r="K1411">
        <v>1.1118490000000001</v>
      </c>
      <c r="L1411">
        <v>288.93740000000003</v>
      </c>
      <c r="M1411">
        <v>-0.65224079999999995</v>
      </c>
      <c r="N1411">
        <v>-1.5705750000000001E-2</v>
      </c>
      <c r="O1411">
        <v>-0.75784940000000001</v>
      </c>
      <c r="P1411">
        <v>-0.850927199999999</v>
      </c>
      <c r="Q1411">
        <v>-0.115019</v>
      </c>
      <c r="R1411">
        <v>-0.51253689999999996</v>
      </c>
      <c r="S1411">
        <v>-3.1122589999999999</v>
      </c>
      <c r="T1411">
        <v>-0.35603790000000002</v>
      </c>
      <c r="U1411">
        <v>-0.64447019999999899</v>
      </c>
      <c r="V1411">
        <v>0.30831190000000003</v>
      </c>
      <c r="W1411">
        <v>-0.1070647</v>
      </c>
      <c r="X1411">
        <v>0.9452412</v>
      </c>
      <c r="Y1411">
        <v>0.60345609999999905</v>
      </c>
      <c r="Z1411">
        <v>0.1006218</v>
      </c>
      <c r="AA1411">
        <v>0.79102209999999995</v>
      </c>
      <c r="AB1411">
        <v>22</v>
      </c>
      <c r="AC1411">
        <v>-9.5511999999999908</v>
      </c>
      <c r="AD1411">
        <v>-1.1118441532209999</v>
      </c>
      <c r="AE1411">
        <v>-1.8411000000000399</v>
      </c>
      <c r="AF1411">
        <v>5.9603982386572403</v>
      </c>
      <c r="AG1411">
        <v>-1.1118441532209999</v>
      </c>
      <c r="AH1411">
        <v>7.5275462720408601</v>
      </c>
      <c r="AI1411">
        <v>96.605321231080694</v>
      </c>
      <c r="AJ1411">
        <v>51.627411258016402</v>
      </c>
      <c r="AK1411">
        <v>9.6657383299030197</v>
      </c>
      <c r="AL1411">
        <v>96.1461358340582</v>
      </c>
      <c r="AM1411">
        <v>71.935086208629301</v>
      </c>
      <c r="AN1411">
        <v>1.0000000019225599</v>
      </c>
    </row>
    <row r="1412" spans="1:40" x14ac:dyDescent="0.25">
      <c r="A1412" t="str">
        <f>"20190303154448694"</f>
        <v>20190303154448694</v>
      </c>
      <c r="B1412" t="str">
        <f>"1551599088691411"</f>
        <v>1551599088691411</v>
      </c>
      <c r="C1412" t="s">
        <v>40</v>
      </c>
      <c r="D1412">
        <v>5.9884000000000004</v>
      </c>
      <c r="E1412">
        <v>0.62259589999999998</v>
      </c>
      <c r="F1412" t="s">
        <v>54</v>
      </c>
      <c r="G1412">
        <v>-206.4563</v>
      </c>
      <c r="H1412" s="1">
        <v>4.8610690000000001E-6</v>
      </c>
      <c r="I1412">
        <v>287.1216</v>
      </c>
      <c r="J1412">
        <v>-197.17339999999999</v>
      </c>
      <c r="K1412">
        <v>1.111777</v>
      </c>
      <c r="L1412">
        <v>288.64049999999997</v>
      </c>
      <c r="M1412">
        <v>-0.67474829999999997</v>
      </c>
      <c r="N1412">
        <v>-1.5748849999999998E-2</v>
      </c>
      <c r="O1412">
        <v>-0.73787979999999997</v>
      </c>
      <c r="P1412">
        <v>-0.86668659999999997</v>
      </c>
      <c r="Q1412">
        <v>-0.1152931</v>
      </c>
      <c r="R1412">
        <v>-0.48534739999999998</v>
      </c>
      <c r="S1412">
        <v>-3.120682</v>
      </c>
      <c r="T1412">
        <v>-0.36186479999999999</v>
      </c>
      <c r="U1412">
        <v>-0.59097290000000002</v>
      </c>
      <c r="V1412">
        <v>0.30973430000000002</v>
      </c>
      <c r="W1412">
        <v>-0.1073913</v>
      </c>
      <c r="X1412">
        <v>0.944739</v>
      </c>
      <c r="Y1412">
        <v>0.59285659999999996</v>
      </c>
      <c r="Z1412">
        <v>0.10083739999999999</v>
      </c>
      <c r="AA1412">
        <v>0.79896990000000001</v>
      </c>
      <c r="AB1412">
        <v>22</v>
      </c>
      <c r="AC1412">
        <v>-9.2829000000000104</v>
      </c>
      <c r="AD1412">
        <v>-1.111772138931</v>
      </c>
      <c r="AE1412">
        <v>-1.5188999999999699</v>
      </c>
      <c r="AF1412">
        <v>5.7452520197421801</v>
      </c>
      <c r="AG1412">
        <v>-1.111772138931</v>
      </c>
      <c r="AH1412">
        <v>7.2835532207234897</v>
      </c>
      <c r="AI1412">
        <v>96.834019565350502</v>
      </c>
      <c r="AJ1412">
        <v>51.733694904695099</v>
      </c>
      <c r="AK1412">
        <v>9.3431314653260902</v>
      </c>
      <c r="AL1412">
        <v>96.164957144033096</v>
      </c>
      <c r="AM1412">
        <v>71.848180789987495</v>
      </c>
      <c r="AN1412">
        <v>1.0000000030165801</v>
      </c>
    </row>
    <row r="1413" spans="1:40" x14ac:dyDescent="0.25">
      <c r="A1413" t="str">
        <f>"20190303154448738"</f>
        <v>20190303154448738</v>
      </c>
      <c r="B1413" t="str">
        <f>"1551599088731427"</f>
        <v>1551599088731427</v>
      </c>
      <c r="C1413" t="s">
        <v>40</v>
      </c>
      <c r="D1413">
        <v>5.9879959999999999</v>
      </c>
      <c r="E1413">
        <v>0.62108379999999996</v>
      </c>
      <c r="F1413" t="s">
        <v>54</v>
      </c>
      <c r="G1413">
        <v>-205.96709999999999</v>
      </c>
      <c r="H1413" s="1">
        <v>4.6612789999999998E-6</v>
      </c>
      <c r="I1413">
        <v>286.92570000000001</v>
      </c>
      <c r="J1413">
        <v>-197.49619999999999</v>
      </c>
      <c r="K1413">
        <v>1.111728</v>
      </c>
      <c r="L1413">
        <v>288.34620000000001</v>
      </c>
      <c r="M1413">
        <v>-0.69752069999999999</v>
      </c>
      <c r="N1413">
        <v>-1.5795759999999999E-2</v>
      </c>
      <c r="O1413">
        <v>-0.71639039999999998</v>
      </c>
      <c r="P1413">
        <v>-0.88200389999999995</v>
      </c>
      <c r="Q1413">
        <v>-0.113676</v>
      </c>
      <c r="R1413">
        <v>-0.4573258</v>
      </c>
      <c r="S1413">
        <v>-3.0740660000000002</v>
      </c>
      <c r="T1413">
        <v>-0.3886462</v>
      </c>
      <c r="U1413">
        <v>-0.59945680000000001</v>
      </c>
      <c r="V1413">
        <v>0.3105967</v>
      </c>
      <c r="W1413">
        <v>-0.1057994</v>
      </c>
      <c r="X1413">
        <v>0.94463549999999996</v>
      </c>
      <c r="Y1413">
        <v>0.56199900000000003</v>
      </c>
      <c r="Z1413">
        <v>0.1071521</v>
      </c>
      <c r="AA1413">
        <v>0.82016800000000001</v>
      </c>
      <c r="AB1413">
        <v>21</v>
      </c>
      <c r="AC1413">
        <v>-8.4709000000000003</v>
      </c>
      <c r="AD1413">
        <v>-1.1117233387209999</v>
      </c>
      <c r="AE1413">
        <v>-1.4205000000000001</v>
      </c>
      <c r="AF1413">
        <v>4.9946031191035001</v>
      </c>
      <c r="AG1413">
        <v>-1.1117233387209999</v>
      </c>
      <c r="AH1413">
        <v>6.8129880652372998</v>
      </c>
      <c r="AI1413">
        <v>97.497123375269695</v>
      </c>
      <c r="AJ1413">
        <v>53.754848374142803</v>
      </c>
      <c r="AK1413">
        <v>8.5204926780252208</v>
      </c>
      <c r="AL1413">
        <v>96.0732252025675</v>
      </c>
      <c r="AM1413">
        <v>71.799105037245894</v>
      </c>
      <c r="AN1413">
        <v>1.00000002547574</v>
      </c>
    </row>
    <row r="1414" spans="1:40" x14ac:dyDescent="0.25">
      <c r="A1414" t="str">
        <f>"20190303154448759"</f>
        <v>20190303154448759</v>
      </c>
      <c r="B1414" t="str">
        <f>"1551599088751923"</f>
        <v>1551599088751923</v>
      </c>
      <c r="C1414" t="s">
        <v>40</v>
      </c>
      <c r="D1414">
        <v>6.0001670000000003</v>
      </c>
      <c r="E1414">
        <v>0.61943009999999998</v>
      </c>
      <c r="F1414" t="s">
        <v>54</v>
      </c>
      <c r="G1414">
        <v>-206.59129999999999</v>
      </c>
      <c r="H1414" s="1">
        <v>4.9455390000000004E-6</v>
      </c>
      <c r="I1414">
        <v>286.84010000000001</v>
      </c>
      <c r="J1414">
        <v>-197.6514</v>
      </c>
      <c r="K1414">
        <v>1.1117030000000001</v>
      </c>
      <c r="L1414">
        <v>288.21120000000002</v>
      </c>
      <c r="M1414">
        <v>-0.70810879999999998</v>
      </c>
      <c r="N1414">
        <v>-1.581654E-2</v>
      </c>
      <c r="O1414">
        <v>-0.70592630000000001</v>
      </c>
      <c r="P1414">
        <v>-0.88891019999999898</v>
      </c>
      <c r="Q1414">
        <v>-0.1134722</v>
      </c>
      <c r="R1414">
        <v>-0.44380500000000001</v>
      </c>
      <c r="S1414">
        <v>-3.0876009999999998</v>
      </c>
      <c r="T1414">
        <v>-0.37740669999999998</v>
      </c>
      <c r="U1414">
        <v>-0.51129150000000001</v>
      </c>
      <c r="V1414">
        <v>0.3109729</v>
      </c>
      <c r="W1414">
        <v>-0.10560650000000001</v>
      </c>
      <c r="X1414">
        <v>0.94453330000000002</v>
      </c>
      <c r="Y1414">
        <v>0.57344379999999995</v>
      </c>
      <c r="Z1414">
        <v>0.10402210000000001</v>
      </c>
      <c r="AA1414">
        <v>0.81261410000000001</v>
      </c>
      <c r="AB1414">
        <v>21</v>
      </c>
      <c r="AC1414">
        <v>-8.9398999999999909</v>
      </c>
      <c r="AD1414">
        <v>-1.111698054461</v>
      </c>
      <c r="AE1414">
        <v>-1.37110000000001</v>
      </c>
      <c r="AF1414">
        <v>5.2612031122957701</v>
      </c>
      <c r="AG1414">
        <v>-1.111698054461</v>
      </c>
      <c r="AH1414">
        <v>7.1905932777391603</v>
      </c>
      <c r="AI1414">
        <v>97.112166262254306</v>
      </c>
      <c r="AJ1414">
        <v>53.807864905897901</v>
      </c>
      <c r="AK1414">
        <v>8.9789065280239306</v>
      </c>
      <c r="AL1414">
        <v>96.062110637172694</v>
      </c>
      <c r="AM1414">
        <v>71.776674369457098</v>
      </c>
      <c r="AN1414">
        <v>1.00000001609277</v>
      </c>
    </row>
    <row r="1415" spans="1:40" x14ac:dyDescent="0.25">
      <c r="A1415" t="str">
        <f>"20190303154448782"</f>
        <v>20190303154448782</v>
      </c>
      <c r="B1415" t="str">
        <f>"1551599088771443"</f>
        <v>1551599088771443</v>
      </c>
      <c r="C1415" t="s">
        <v>40</v>
      </c>
      <c r="D1415">
        <v>5.9905780000000002</v>
      </c>
      <c r="E1415">
        <v>0.61793769999999903</v>
      </c>
      <c r="F1415" t="s">
        <v>54</v>
      </c>
      <c r="G1415">
        <v>-206.74010000000001</v>
      </c>
      <c r="H1415" s="1">
        <v>5.0140840000000004E-6</v>
      </c>
      <c r="I1415">
        <v>286.8107</v>
      </c>
      <c r="J1415">
        <v>-197.82149999999999</v>
      </c>
      <c r="K1415">
        <v>1.1116760000000001</v>
      </c>
      <c r="L1415">
        <v>288.06810000000002</v>
      </c>
      <c r="M1415">
        <v>-0.71944390000000003</v>
      </c>
      <c r="N1415">
        <v>-1.5837919999999998E-2</v>
      </c>
      <c r="O1415">
        <v>-0.69437019999999905</v>
      </c>
      <c r="P1415">
        <v>-0.89583519999999905</v>
      </c>
      <c r="Q1415">
        <v>-0.113217</v>
      </c>
      <c r="R1415">
        <v>-0.42972280000000002</v>
      </c>
      <c r="S1415">
        <v>-3.0890049999999998</v>
      </c>
      <c r="T1415">
        <v>-0.37783870000000003</v>
      </c>
      <c r="U1415">
        <v>-0.47601320000000003</v>
      </c>
      <c r="V1415">
        <v>0.31060949999999998</v>
      </c>
      <c r="W1415">
        <v>-0.10534010000000001</v>
      </c>
      <c r="X1415">
        <v>0.94468260000000004</v>
      </c>
      <c r="Y1415">
        <v>0.56936739999999997</v>
      </c>
      <c r="Z1415">
        <v>0.1033033</v>
      </c>
      <c r="AA1415">
        <v>0.81556680000000004</v>
      </c>
      <c r="AB1415">
        <v>21</v>
      </c>
      <c r="AC1415">
        <v>-8.9186000000000192</v>
      </c>
      <c r="AD1415">
        <v>-1.1116709859160001</v>
      </c>
      <c r="AE1415">
        <v>-1.2574000000000101</v>
      </c>
      <c r="AF1415">
        <v>5.20948299241544</v>
      </c>
      <c r="AG1415">
        <v>-1.1116709859160001</v>
      </c>
      <c r="AH1415">
        <v>7.18105117154336</v>
      </c>
      <c r="AI1415">
        <v>97.142276962870795</v>
      </c>
      <c r="AJ1415">
        <v>54.041047025039298</v>
      </c>
      <c r="AK1415">
        <v>8.9410302179065102</v>
      </c>
      <c r="AL1415">
        <v>96.046761484408293</v>
      </c>
      <c r="AM1415">
        <v>71.799252079551593</v>
      </c>
      <c r="AN1415">
        <v>1.0000000064505099</v>
      </c>
    </row>
    <row r="1416" spans="1:40" x14ac:dyDescent="0.25">
      <c r="A1416" t="str">
        <f>"20190303154448806"</f>
        <v>20190303154448806</v>
      </c>
      <c r="B1416" t="str">
        <f>"1551599088801699"</f>
        <v>1551599088801699</v>
      </c>
      <c r="C1416" t="s">
        <v>40</v>
      </c>
      <c r="D1416">
        <v>6.0357029999999998</v>
      </c>
      <c r="E1416">
        <v>0.60306269999999995</v>
      </c>
      <c r="F1416" t="s">
        <v>54</v>
      </c>
      <c r="G1416">
        <v>-206.93549999999999</v>
      </c>
      <c r="H1416" s="1">
        <v>5.1036940000000002E-6</v>
      </c>
      <c r="I1416">
        <v>286.77730000000003</v>
      </c>
      <c r="J1416">
        <v>-198.0051</v>
      </c>
      <c r="K1416">
        <v>1.111664</v>
      </c>
      <c r="L1416">
        <v>287.91930000000002</v>
      </c>
      <c r="M1416">
        <v>-0.73135879999999998</v>
      </c>
      <c r="N1416">
        <v>-1.5859270000000002E-2</v>
      </c>
      <c r="O1416">
        <v>-0.68180869999999905</v>
      </c>
      <c r="P1416">
        <v>-0.90303029999999995</v>
      </c>
      <c r="Q1416">
        <v>-0.11224720000000001</v>
      </c>
      <c r="R1416">
        <v>-0.4146533</v>
      </c>
      <c r="S1416">
        <v>-3.0911559999999998</v>
      </c>
      <c r="T1416">
        <v>-0.37703930000000002</v>
      </c>
      <c r="U1416">
        <v>-0.43777470000000002</v>
      </c>
      <c r="V1416">
        <v>0.31018069999999998</v>
      </c>
      <c r="W1416">
        <v>-0.104352</v>
      </c>
      <c r="X1416">
        <v>0.94493309999999997</v>
      </c>
      <c r="Y1416">
        <v>0.56523109999999999</v>
      </c>
      <c r="Z1416">
        <v>0.1021087</v>
      </c>
      <c r="AA1416">
        <v>0.81858880000000001</v>
      </c>
      <c r="AB1416">
        <v>21</v>
      </c>
      <c r="AC1416">
        <v>-8.9303999999999899</v>
      </c>
      <c r="AD1416">
        <v>-1.1116588963059999</v>
      </c>
      <c r="AE1416">
        <v>-1.1419999999999899</v>
      </c>
      <c r="AF1416">
        <v>5.1753688130549902</v>
      </c>
      <c r="AG1416">
        <v>-1.1116588963059999</v>
      </c>
      <c r="AH1416">
        <v>7.2010825430283498</v>
      </c>
      <c r="AI1416">
        <v>97.145173549786094</v>
      </c>
      <c r="AJ1416">
        <v>54.2954557839724</v>
      </c>
      <c r="AK1416">
        <v>8.9373272092044491</v>
      </c>
      <c r="AL1416">
        <v>95.989833892331603</v>
      </c>
      <c r="AM1416">
        <v>71.827227028159697</v>
      </c>
      <c r="AN1416">
        <v>0.99999998501604903</v>
      </c>
    </row>
    <row r="1417" spans="1:40" x14ac:dyDescent="0.25">
      <c r="A1417" t="str">
        <f>"20190303154448829"</f>
        <v>20190303154448829</v>
      </c>
      <c r="B1417" t="str">
        <f>"1551599088822195"</f>
        <v>1551599088822195</v>
      </c>
      <c r="C1417" t="s">
        <v>40</v>
      </c>
      <c r="D1417">
        <v>5.9940519999999999</v>
      </c>
      <c r="E1417">
        <v>0.60283779999999998</v>
      </c>
      <c r="F1417" t="s">
        <v>54</v>
      </c>
      <c r="G1417">
        <v>-206.37370000000001</v>
      </c>
      <c r="H1417" s="1">
        <v>4.8727E-6</v>
      </c>
      <c r="I1417">
        <v>286.56959999999998</v>
      </c>
      <c r="J1417">
        <v>-198.18469999999999</v>
      </c>
      <c r="K1417">
        <v>1.111659</v>
      </c>
      <c r="L1417">
        <v>287.77879999999999</v>
      </c>
      <c r="M1417">
        <v>-0.74270209999999903</v>
      </c>
      <c r="N1417">
        <v>-1.5877570000000001E-2</v>
      </c>
      <c r="O1417">
        <v>-0.66943379999999997</v>
      </c>
      <c r="P1417">
        <v>-0.90935359999999998</v>
      </c>
      <c r="Q1417">
        <v>-0.110210199999999</v>
      </c>
      <c r="R1417">
        <v>-0.40116099999999999</v>
      </c>
      <c r="S1417">
        <v>-3.046249</v>
      </c>
      <c r="T1417">
        <v>-0.40465390000000001</v>
      </c>
      <c r="U1417">
        <v>-0.49130249999999998</v>
      </c>
      <c r="V1417">
        <v>0.30860130000000002</v>
      </c>
      <c r="W1417">
        <v>-0.1022559</v>
      </c>
      <c r="X1417">
        <v>0.94567909999999999</v>
      </c>
      <c r="Y1417">
        <v>0.53429740000000003</v>
      </c>
      <c r="Z1417">
        <v>0.1083008</v>
      </c>
      <c r="AA1417">
        <v>0.83832999999999902</v>
      </c>
      <c r="AB1417">
        <v>21</v>
      </c>
      <c r="AC1417">
        <v>-8.1890000000000196</v>
      </c>
      <c r="AD1417">
        <v>-1.1116541273</v>
      </c>
      <c r="AE1417">
        <v>-1.2092000000000001</v>
      </c>
      <c r="AF1417">
        <v>4.50328012199697</v>
      </c>
      <c r="AG1417">
        <v>-1.1116541273</v>
      </c>
      <c r="AH1417">
        <v>6.7702357693242803</v>
      </c>
      <c r="AI1417">
        <v>97.784955193979002</v>
      </c>
      <c r="AJ1417">
        <v>56.369796043266</v>
      </c>
      <c r="AK1417">
        <v>8.2067898186900194</v>
      </c>
      <c r="AL1417">
        <v>95.869090121773695</v>
      </c>
      <c r="AM1417">
        <v>71.927060316861699</v>
      </c>
      <c r="AN1417">
        <v>0.999999995811654</v>
      </c>
    </row>
    <row r="1418" spans="1:40" x14ac:dyDescent="0.25">
      <c r="A1418" t="str">
        <f>"20190303154448875"</f>
        <v>20190303154448875</v>
      </c>
      <c r="B1418" t="str">
        <f>"1551599088871500"</f>
        <v>1551599088871500</v>
      </c>
      <c r="C1418" t="s">
        <v>40</v>
      </c>
      <c r="D1418">
        <v>6.0058749999999996</v>
      </c>
      <c r="E1418">
        <v>0.60034670000000001</v>
      </c>
      <c r="F1418" t="s">
        <v>54</v>
      </c>
      <c r="G1418">
        <v>-206.88460000000001</v>
      </c>
      <c r="H1418" s="1">
        <v>5.1050899999999998E-6</v>
      </c>
      <c r="I1418">
        <v>286.50279999999998</v>
      </c>
      <c r="J1418">
        <v>-198.542</v>
      </c>
      <c r="K1418">
        <v>1.1116980000000001</v>
      </c>
      <c r="L1418">
        <v>287.51350000000002</v>
      </c>
      <c r="M1418">
        <v>-0.76432679999999997</v>
      </c>
      <c r="N1418">
        <v>-1.5902070000000001E-2</v>
      </c>
      <c r="O1418">
        <v>-0.64463289999999995</v>
      </c>
      <c r="P1418">
        <v>-0.92131339999999995</v>
      </c>
      <c r="Q1418">
        <v>-0.1075874</v>
      </c>
      <c r="R1418">
        <v>-0.37363990000000002</v>
      </c>
      <c r="S1418">
        <v>-3.054138</v>
      </c>
      <c r="T1418">
        <v>-0.39025260000000001</v>
      </c>
      <c r="U1418">
        <v>-0.44796750000000002</v>
      </c>
      <c r="V1418">
        <v>0.30618479999999998</v>
      </c>
      <c r="W1418">
        <v>-9.9520090000000005E-2</v>
      </c>
      <c r="X1418">
        <v>0.94675580000000004</v>
      </c>
      <c r="Y1418">
        <v>0.51930900000000002</v>
      </c>
      <c r="Z1418">
        <v>0.1013028</v>
      </c>
      <c r="AA1418">
        <v>0.84856100000000001</v>
      </c>
      <c r="AB1418">
        <v>21</v>
      </c>
      <c r="AC1418">
        <v>-8.3425999999999991</v>
      </c>
      <c r="AD1418">
        <v>-1.11169289490999</v>
      </c>
      <c r="AE1418">
        <v>-1.0107000000000399</v>
      </c>
      <c r="AF1418">
        <v>4.5267732594427503</v>
      </c>
      <c r="AG1418">
        <v>-1.11169289490999</v>
      </c>
      <c r="AH1418">
        <v>6.9080020456326503</v>
      </c>
      <c r="AI1418">
        <v>97.666092700941505</v>
      </c>
      <c r="AJ1418">
        <v>56.763409447675798</v>
      </c>
      <c r="AK1418">
        <v>8.3335484337384305</v>
      </c>
      <c r="AL1418">
        <v>95.711536019738105</v>
      </c>
      <c r="AM1418">
        <v>72.078574926149599</v>
      </c>
      <c r="AN1418">
        <v>0.99999996244914302</v>
      </c>
    </row>
    <row r="1419" spans="1:40" x14ac:dyDescent="0.25">
      <c r="A1419" t="str">
        <f>"20190303154448915"</f>
        <v>20190303154448915</v>
      </c>
      <c r="B1419" t="str">
        <f>"1551599088911516"</f>
        <v>1551599088911516</v>
      </c>
      <c r="C1419" t="s">
        <v>40</v>
      </c>
      <c r="D1419">
        <v>5.9659639999999996</v>
      </c>
      <c r="E1419">
        <v>0.59800310000000001</v>
      </c>
      <c r="F1419" t="s">
        <v>54</v>
      </c>
      <c r="G1419">
        <v>-207.3673</v>
      </c>
      <c r="H1419" s="1">
        <v>5.3251500000000002E-6</v>
      </c>
      <c r="I1419">
        <v>286.43439999999998</v>
      </c>
      <c r="J1419">
        <v>-198.86529999999999</v>
      </c>
      <c r="K1419">
        <v>1.111769</v>
      </c>
      <c r="L1419">
        <v>287.28870000000001</v>
      </c>
      <c r="M1419">
        <v>-0.7828193</v>
      </c>
      <c r="N1419">
        <v>-1.5909889999999999E-2</v>
      </c>
      <c r="O1419">
        <v>-0.62204559999999998</v>
      </c>
      <c r="P1419">
        <v>-0.9313205</v>
      </c>
      <c r="Q1419">
        <v>-0.10512000000000001</v>
      </c>
      <c r="R1419">
        <v>-0.34870000000000001</v>
      </c>
      <c r="S1419">
        <v>-3.0595249999999998</v>
      </c>
      <c r="T1419">
        <v>-0.38539509999999899</v>
      </c>
      <c r="U1419">
        <v>-0.37408449999999999</v>
      </c>
      <c r="V1419">
        <v>0.30428509999999998</v>
      </c>
      <c r="W1419">
        <v>-9.6940399999999996E-2</v>
      </c>
      <c r="X1419">
        <v>0.94763549999999996</v>
      </c>
      <c r="Y1419">
        <v>0.51508670000000001</v>
      </c>
      <c r="Z1419">
        <v>9.8110639999999999E-2</v>
      </c>
      <c r="AA1419">
        <v>0.85150459999999994</v>
      </c>
      <c r="AB1419">
        <v>21</v>
      </c>
      <c r="AC1419">
        <v>-8.5020000000000095</v>
      </c>
      <c r="AD1419">
        <v>-1.1117636748499999</v>
      </c>
      <c r="AE1419">
        <v>-0.85430000000002304</v>
      </c>
      <c r="AF1419">
        <v>4.5435386536538598</v>
      </c>
      <c r="AG1419">
        <v>-1.1117636748499999</v>
      </c>
      <c r="AH1419">
        <v>7.0681989641306897</v>
      </c>
      <c r="AI1419">
        <v>97.537158872488007</v>
      </c>
      <c r="AJ1419">
        <v>57.266514777355198</v>
      </c>
      <c r="AK1419">
        <v>8.4758007623174407</v>
      </c>
      <c r="AL1419">
        <v>95.563012377140694</v>
      </c>
      <c r="AM1419">
        <v>72.198211723202306</v>
      </c>
      <c r="AN1419">
        <v>0.99999995204720804</v>
      </c>
    </row>
    <row r="1420" spans="1:40" x14ac:dyDescent="0.25">
      <c r="A1420" t="str">
        <f>"20190303154448937"</f>
        <v>20190303154448937</v>
      </c>
      <c r="B1420" t="str">
        <f>"1551599088932012"</f>
        <v>1551599088932012</v>
      </c>
      <c r="C1420" t="s">
        <v>40</v>
      </c>
      <c r="D1420">
        <v>5.9615119999999999</v>
      </c>
      <c r="E1420">
        <v>0.59701079999999995</v>
      </c>
      <c r="F1420" t="s">
        <v>54</v>
      </c>
      <c r="G1420">
        <v>-207.73699999999999</v>
      </c>
      <c r="H1420" s="1">
        <v>5.4925660000000001E-6</v>
      </c>
      <c r="I1420">
        <v>286.39479999999998</v>
      </c>
      <c r="J1420">
        <v>-199.05179999999999</v>
      </c>
      <c r="K1420">
        <v>1.1118209999999999</v>
      </c>
      <c r="L1420">
        <v>287.16520000000003</v>
      </c>
      <c r="M1420">
        <v>-0.79302269999999997</v>
      </c>
      <c r="N1420">
        <v>-1.590915E-2</v>
      </c>
      <c r="O1420">
        <v>-0.60898459999999999</v>
      </c>
      <c r="P1420">
        <v>-0.93654020000000004</v>
      </c>
      <c r="Q1420">
        <v>-0.1051961</v>
      </c>
      <c r="R1420">
        <v>-0.33440449999999999</v>
      </c>
      <c r="S1420">
        <v>-3.0623930000000001</v>
      </c>
      <c r="T1420">
        <v>-0.38376510000000003</v>
      </c>
      <c r="U1420">
        <v>-0.30853269999999999</v>
      </c>
      <c r="V1420">
        <v>0.30308879999999999</v>
      </c>
      <c r="W1420">
        <v>-9.6947359999999996E-2</v>
      </c>
      <c r="X1420">
        <v>0.94801809999999997</v>
      </c>
      <c r="Y1420">
        <v>0.51908469999999995</v>
      </c>
      <c r="Z1420">
        <v>9.7091380000000005E-2</v>
      </c>
      <c r="AA1420">
        <v>0.84919040000000001</v>
      </c>
      <c r="AB1420">
        <v>21</v>
      </c>
      <c r="AC1420">
        <v>-8.6852</v>
      </c>
      <c r="AD1420">
        <v>-1.1118155074339999</v>
      </c>
      <c r="AE1420">
        <v>-0.77040000000005104</v>
      </c>
      <c r="AF1420">
        <v>4.6039427626090497</v>
      </c>
      <c r="AG1420">
        <v>-1.1118155074339999</v>
      </c>
      <c r="AH1420">
        <v>7.2399360307596599</v>
      </c>
      <c r="AI1420">
        <v>97.383542524301205</v>
      </c>
      <c r="AJ1420">
        <v>57.547339249474099</v>
      </c>
      <c r="AK1420">
        <v>8.6515372283451999</v>
      </c>
      <c r="AL1420">
        <v>95.563412972858202</v>
      </c>
      <c r="AM1420">
        <v>72.270515334970796</v>
      </c>
      <c r="AN1420">
        <v>0.99999996461200902</v>
      </c>
    </row>
    <row r="1421" spans="1:40" x14ac:dyDescent="0.25">
      <c r="A1421" t="str">
        <f>"20190303154448961"</f>
        <v>20190303154448961</v>
      </c>
      <c r="B1421" t="str">
        <f>"1551599088951533"</f>
        <v>1551599088951533</v>
      </c>
      <c r="C1421" t="s">
        <v>40</v>
      </c>
      <c r="D1421">
        <v>5.9552040000000002</v>
      </c>
      <c r="E1421">
        <v>0.58677969999999902</v>
      </c>
      <c r="F1421" t="s">
        <v>54</v>
      </c>
      <c r="G1421">
        <v>-207.88929999999999</v>
      </c>
      <c r="H1421" s="1">
        <v>5.5605329999999998E-6</v>
      </c>
      <c r="I1421">
        <v>286.38940000000002</v>
      </c>
      <c r="J1421">
        <v>-199.2345</v>
      </c>
      <c r="K1421">
        <v>1.111883</v>
      </c>
      <c r="L1421">
        <v>287.04840000000002</v>
      </c>
      <c r="M1421">
        <v>-0.80268070000000002</v>
      </c>
      <c r="N1421">
        <v>-1.5903779999999999E-2</v>
      </c>
      <c r="O1421">
        <v>-0.59619669999999902</v>
      </c>
      <c r="P1421">
        <v>-0.94113139999999995</v>
      </c>
      <c r="Q1421">
        <v>-0.1048246</v>
      </c>
      <c r="R1421">
        <v>-0.32137759999999999</v>
      </c>
      <c r="S1421">
        <v>-3.0639500000000002</v>
      </c>
      <c r="T1421">
        <v>-0.3854687</v>
      </c>
      <c r="U1421">
        <v>-0.26895140000000001</v>
      </c>
      <c r="V1421">
        <v>0.30109930000000001</v>
      </c>
      <c r="W1421">
        <v>-9.6480850000000007E-2</v>
      </c>
      <c r="X1421">
        <v>0.94869950000000003</v>
      </c>
      <c r="Y1421">
        <v>0.51634639999999998</v>
      </c>
      <c r="Z1421">
        <v>9.6418309999999993E-2</v>
      </c>
      <c r="AA1421">
        <v>0.85093469999999904</v>
      </c>
      <c r="AB1421">
        <v>21</v>
      </c>
      <c r="AC1421">
        <v>-8.6547999999999892</v>
      </c>
      <c r="AD1421">
        <v>-1.1118774394669999</v>
      </c>
      <c r="AE1421">
        <v>-0.65899999999999104</v>
      </c>
      <c r="AF1421">
        <v>4.55680910080057</v>
      </c>
      <c r="AG1421">
        <v>-1.1118774394669999</v>
      </c>
      <c r="AH1421">
        <v>7.2223504584448097</v>
      </c>
      <c r="AI1421">
        <v>97.418217556684695</v>
      </c>
      <c r="AJ1421">
        <v>57.750877639643797</v>
      </c>
      <c r="AK1421">
        <v>8.61180159816357</v>
      </c>
      <c r="AL1421">
        <v>95.536557596728201</v>
      </c>
      <c r="AM1421">
        <v>72.391545028707498</v>
      </c>
      <c r="AN1421">
        <v>1.0000000420887301</v>
      </c>
    </row>
    <row r="1422" spans="1:40" x14ac:dyDescent="0.25">
      <c r="A1422" t="str">
        <f>"20190303154448982"</f>
        <v>20190303154448982</v>
      </c>
      <c r="B1422" t="str">
        <f>"1551599088971559"</f>
        <v>1551599088971559</v>
      </c>
      <c r="C1422" t="s">
        <v>40</v>
      </c>
      <c r="D1422">
        <v>5.9035129999999896</v>
      </c>
      <c r="E1422">
        <v>0.58608179999999999</v>
      </c>
      <c r="F1422" t="s">
        <v>54</v>
      </c>
      <c r="G1422">
        <v>-207.12710000000001</v>
      </c>
      <c r="H1422" s="1">
        <v>5.2332199999999998E-6</v>
      </c>
      <c r="I1422">
        <v>286.26740000000001</v>
      </c>
      <c r="J1422">
        <v>-199.4126</v>
      </c>
      <c r="K1422">
        <v>1.111969</v>
      </c>
      <c r="L1422">
        <v>286.93860000000001</v>
      </c>
      <c r="M1422">
        <v>-0.81177029999999994</v>
      </c>
      <c r="N1422">
        <v>-1.5892719999999999E-2</v>
      </c>
      <c r="O1422">
        <v>-0.58376090000000003</v>
      </c>
      <c r="P1422">
        <v>-0.9454034</v>
      </c>
      <c r="Q1422">
        <v>-0.1042915</v>
      </c>
      <c r="R1422">
        <v>-0.30876520000000002</v>
      </c>
      <c r="S1422">
        <v>-3.0373380000000001</v>
      </c>
      <c r="T1422">
        <v>-0.42788670000000001</v>
      </c>
      <c r="U1422">
        <v>-0.30056759999999999</v>
      </c>
      <c r="V1422">
        <v>0.2992359</v>
      </c>
      <c r="W1422">
        <v>-9.5851409999999998E-2</v>
      </c>
      <c r="X1422">
        <v>0.94935259999999999</v>
      </c>
      <c r="Y1422">
        <v>0.49198209999999998</v>
      </c>
      <c r="Z1422">
        <v>0.1053912</v>
      </c>
      <c r="AA1422">
        <v>0.86420269999999999</v>
      </c>
      <c r="AB1422">
        <v>21</v>
      </c>
      <c r="AC1422">
        <v>-7.7145000000000099</v>
      </c>
      <c r="AD1422">
        <v>-1.11196376678</v>
      </c>
      <c r="AE1422">
        <v>-0.67119999999999802</v>
      </c>
      <c r="AF1422">
        <v>3.8790756064841898</v>
      </c>
      <c r="AG1422">
        <v>-1.11196376678</v>
      </c>
      <c r="AH1422">
        <v>6.5206060473062797</v>
      </c>
      <c r="AI1422">
        <v>98.337793610464999</v>
      </c>
      <c r="AJ1422">
        <v>59.2517998742046</v>
      </c>
      <c r="AK1422">
        <v>7.6682458361492003</v>
      </c>
      <c r="AL1422">
        <v>95.500325715855396</v>
      </c>
      <c r="AM1422">
        <v>72.505150684741594</v>
      </c>
      <c r="AN1422">
        <v>0.99999998788727895</v>
      </c>
    </row>
    <row r="1423" spans="1:40" x14ac:dyDescent="0.25">
      <c r="A1423" t="str">
        <f>"20190303154449005"</f>
        <v>20190303154449005</v>
      </c>
      <c r="B1423" t="str">
        <f>"1551599089001817"</f>
        <v>1551599089001817</v>
      </c>
      <c r="C1423" t="s">
        <v>40</v>
      </c>
      <c r="D1423">
        <v>5.8516180000000002</v>
      </c>
      <c r="E1423">
        <v>0.58534069999999905</v>
      </c>
      <c r="F1423" t="s">
        <v>54</v>
      </c>
      <c r="G1423">
        <v>-207.708</v>
      </c>
      <c r="H1423" s="1">
        <v>5.4957650000000001E-6</v>
      </c>
      <c r="I1423">
        <v>286.21109999999999</v>
      </c>
      <c r="J1423">
        <v>-199.60249999999999</v>
      </c>
      <c r="K1423">
        <v>1.112079</v>
      </c>
      <c r="L1423">
        <v>286.82569999999998</v>
      </c>
      <c r="M1423">
        <v>-0.82110349999999999</v>
      </c>
      <c r="N1423">
        <v>-1.5873490000000001E-2</v>
      </c>
      <c r="O1423">
        <v>-0.57055869999999997</v>
      </c>
      <c r="P1423">
        <v>-0.94997980000000004</v>
      </c>
      <c r="Q1423">
        <v>-0.1031521</v>
      </c>
      <c r="R1423">
        <v>-0.29478480000000001</v>
      </c>
      <c r="S1423">
        <v>-3.041153</v>
      </c>
      <c r="T1423">
        <v>-0.40765000000000001</v>
      </c>
      <c r="U1423">
        <v>-0.26669310000000002</v>
      </c>
      <c r="V1423">
        <v>0.29801060000000001</v>
      </c>
      <c r="W1423">
        <v>-9.4623780000000005E-2</v>
      </c>
      <c r="X1423">
        <v>0.94986099999999996</v>
      </c>
      <c r="Y1423">
        <v>0.48857390000000001</v>
      </c>
      <c r="Z1423">
        <v>9.8728289999999996E-2</v>
      </c>
      <c r="AA1423">
        <v>0.86691890000000005</v>
      </c>
      <c r="AB1423">
        <v>21</v>
      </c>
      <c r="AC1423">
        <v>-8.1054999999999993</v>
      </c>
      <c r="AD1423">
        <v>-1.1120735042350001</v>
      </c>
      <c r="AE1423">
        <v>-0.61459999999999504</v>
      </c>
      <c r="AF1423">
        <v>4.0448283668566498</v>
      </c>
      <c r="AG1423">
        <v>-1.1120735042350001</v>
      </c>
      <c r="AH1423">
        <v>6.8782670859736896</v>
      </c>
      <c r="AI1423">
        <v>97.934073115730399</v>
      </c>
      <c r="AJ1423">
        <v>59.541950632839701</v>
      </c>
      <c r="AK1423">
        <v>8.0565440545024494</v>
      </c>
      <c r="AL1423">
        <v>95.429666731266096</v>
      </c>
      <c r="AM1423">
        <v>72.581205913992207</v>
      </c>
      <c r="AN1423">
        <v>0.99999994838742201</v>
      </c>
    </row>
    <row r="1424" spans="1:40" x14ac:dyDescent="0.25">
      <c r="A1424" t="str">
        <f>"20190303154449027"</f>
        <v>20190303154449027</v>
      </c>
      <c r="B1424" t="str">
        <f>"1551599089022311"</f>
        <v>1551599089022311</v>
      </c>
      <c r="C1424" t="s">
        <v>40</v>
      </c>
      <c r="D1424">
        <v>5.8064689999999999</v>
      </c>
      <c r="E1424">
        <v>0.58467209999999903</v>
      </c>
      <c r="F1424" t="s">
        <v>54</v>
      </c>
      <c r="G1424">
        <v>-208.05420000000001</v>
      </c>
      <c r="H1424" s="1">
        <v>5.6508810000000001E-6</v>
      </c>
      <c r="I1424">
        <v>286.1925</v>
      </c>
      <c r="J1424">
        <v>-199.78280000000001</v>
      </c>
      <c r="K1424">
        <v>1.1121939999999999</v>
      </c>
      <c r="L1424">
        <v>286.72199999999998</v>
      </c>
      <c r="M1424">
        <v>-0.82964479999999996</v>
      </c>
      <c r="N1424">
        <v>-1.5850690000000001E-2</v>
      </c>
      <c r="O1424">
        <v>-0.55806669999999903</v>
      </c>
      <c r="P1424">
        <v>-0.95421549999999999</v>
      </c>
      <c r="Q1424">
        <v>-0.1029104</v>
      </c>
      <c r="R1424">
        <v>-0.2808599</v>
      </c>
      <c r="S1424">
        <v>-3.0437159999999999</v>
      </c>
      <c r="T1424">
        <v>-0.40049289999999999</v>
      </c>
      <c r="U1424">
        <v>-0.22802729999999999</v>
      </c>
      <c r="V1424">
        <v>0.29756949999999999</v>
      </c>
      <c r="W1424">
        <v>-9.431958E-2</v>
      </c>
      <c r="X1424">
        <v>0.95002960000000003</v>
      </c>
      <c r="Y1424">
        <v>0.48678700000000003</v>
      </c>
      <c r="Z1424">
        <v>9.5702419999999996E-2</v>
      </c>
      <c r="AA1424">
        <v>0.86826229999999904</v>
      </c>
      <c r="AB1424">
        <v>21</v>
      </c>
      <c r="AC1424">
        <v>-8.2713999999999999</v>
      </c>
      <c r="AD1424">
        <v>-1.1121883491189899</v>
      </c>
      <c r="AE1424">
        <v>-0.52949999999998398</v>
      </c>
      <c r="AF1424">
        <v>4.1033348435041397</v>
      </c>
      <c r="AG1424">
        <v>-1.1121883491189899</v>
      </c>
      <c r="AH1424">
        <v>7.0320975342374998</v>
      </c>
      <c r="AI1424">
        <v>97.7786555165343</v>
      </c>
      <c r="AJ1424">
        <v>59.735794608871402</v>
      </c>
      <c r="AK1424">
        <v>8.2173423619112</v>
      </c>
      <c r="AL1424">
        <v>95.412158686596996</v>
      </c>
      <c r="AM1424">
        <v>72.6083328212423</v>
      </c>
      <c r="AN1424">
        <v>1.00000001568889</v>
      </c>
    </row>
    <row r="1425" spans="1:40" x14ac:dyDescent="0.25">
      <c r="A1425" t="str">
        <f>"20190303154449050"</f>
        <v>20190303154449050</v>
      </c>
      <c r="B1425" t="str">
        <f>"1551599089041831"</f>
        <v>1551599089041831</v>
      </c>
      <c r="C1425" t="s">
        <v>40</v>
      </c>
      <c r="D1425">
        <v>5.7973840000000001</v>
      </c>
      <c r="E1425">
        <v>0.58424869999999995</v>
      </c>
      <c r="F1425" t="s">
        <v>54</v>
      </c>
      <c r="G1425">
        <v>-208.21629999999999</v>
      </c>
      <c r="H1425" s="1">
        <v>5.7221499999999999E-6</v>
      </c>
      <c r="I1425">
        <v>286.19959999999998</v>
      </c>
      <c r="J1425">
        <v>-199.98050000000001</v>
      </c>
      <c r="K1425">
        <v>1.112322</v>
      </c>
      <c r="L1425">
        <v>286.61239999999998</v>
      </c>
      <c r="M1425">
        <v>-0.83865489999999998</v>
      </c>
      <c r="N1425">
        <v>-1.5822220000000001E-2</v>
      </c>
      <c r="O1425">
        <v>-0.54443339999999996</v>
      </c>
      <c r="P1425">
        <v>-0.95863770000000004</v>
      </c>
      <c r="Q1425">
        <v>-0.10217469999999999</v>
      </c>
      <c r="R1425">
        <v>-0.26565850000000002</v>
      </c>
      <c r="S1425">
        <v>-3.045105</v>
      </c>
      <c r="T1425">
        <v>-0.4015801</v>
      </c>
      <c r="U1425">
        <v>-0.1886292</v>
      </c>
      <c r="V1425">
        <v>0.29722749999999998</v>
      </c>
      <c r="W1425">
        <v>-9.3517180000000005E-2</v>
      </c>
      <c r="X1425">
        <v>0.9502159</v>
      </c>
      <c r="Y1425">
        <v>0.48381370000000001</v>
      </c>
      <c r="Z1425">
        <v>9.4581189999999996E-2</v>
      </c>
      <c r="AA1425">
        <v>0.87004519999999996</v>
      </c>
      <c r="AB1425">
        <v>21</v>
      </c>
      <c r="AC1425">
        <v>-8.2357999999999798</v>
      </c>
      <c r="AD1425">
        <v>-1.11231627785</v>
      </c>
      <c r="AE1425">
        <v>-0.412800000000004</v>
      </c>
      <c r="AF1425">
        <v>4.0642166612501098</v>
      </c>
      <c r="AG1425">
        <v>-1.11231627785</v>
      </c>
      <c r="AH1425">
        <v>7.00516859938159</v>
      </c>
      <c r="AI1425">
        <v>97.820285848390199</v>
      </c>
      <c r="AJ1425">
        <v>59.8788076284374</v>
      </c>
      <c r="AK1425">
        <v>8.1748083572225099</v>
      </c>
      <c r="AL1425">
        <v>95.365980776614805</v>
      </c>
      <c r="AM1425">
        <v>72.630319055451906</v>
      </c>
      <c r="AN1425">
        <v>0.99999995316210499</v>
      </c>
    </row>
    <row r="1426" spans="1:40" x14ac:dyDescent="0.25">
      <c r="A1426" t="str">
        <f>"20190303154449076"</f>
        <v>20190303154449076</v>
      </c>
      <c r="B1426" t="str">
        <f>"1551599089071617"</f>
        <v>1551599089071617</v>
      </c>
      <c r="C1426" t="s">
        <v>40</v>
      </c>
      <c r="D1426">
        <v>5.8148309999999999</v>
      </c>
      <c r="E1426">
        <v>0.60624840000000002</v>
      </c>
      <c r="F1426" t="s">
        <v>54</v>
      </c>
      <c r="G1426">
        <v>-208.56020000000001</v>
      </c>
      <c r="H1426" s="1">
        <v>5.8739769999999996E-6</v>
      </c>
      <c r="I1426">
        <v>286.20769999999999</v>
      </c>
      <c r="J1426">
        <v>-200.19499999999999</v>
      </c>
      <c r="K1426">
        <v>1.112466</v>
      </c>
      <c r="L1426">
        <v>286.49779999999998</v>
      </c>
      <c r="M1426">
        <v>-0.84800599999999904</v>
      </c>
      <c r="N1426">
        <v>-1.5787329999999999E-2</v>
      </c>
      <c r="O1426">
        <v>-0.52975169999999905</v>
      </c>
      <c r="P1426">
        <v>-0.96295180000000002</v>
      </c>
      <c r="Q1426">
        <v>-0.1007996</v>
      </c>
      <c r="R1426">
        <v>-0.25012679999999998</v>
      </c>
      <c r="S1426">
        <v>-3.047501</v>
      </c>
      <c r="T1426">
        <v>-0.3950921</v>
      </c>
      <c r="U1426">
        <v>-0.1437378</v>
      </c>
      <c r="V1426">
        <v>0.2961838</v>
      </c>
      <c r="W1426">
        <v>-9.2048199999999997E-2</v>
      </c>
      <c r="X1426">
        <v>0.95068509999999995</v>
      </c>
      <c r="Y1426">
        <v>0.48179749999999999</v>
      </c>
      <c r="Z1426">
        <v>9.153654E-2</v>
      </c>
      <c r="AA1426">
        <v>0.87148859999999995</v>
      </c>
      <c r="AB1426">
        <v>21</v>
      </c>
      <c r="AC1426">
        <v>-8.3652000000000104</v>
      </c>
      <c r="AD1426">
        <v>-1.112460126023</v>
      </c>
      <c r="AE1426">
        <v>-0.29009999999999497</v>
      </c>
      <c r="AF1426">
        <v>4.1133346723951201</v>
      </c>
      <c r="AG1426">
        <v>-1.112460126023</v>
      </c>
      <c r="AH1426">
        <v>7.1225095728007997</v>
      </c>
      <c r="AI1426">
        <v>97.702766417038305</v>
      </c>
      <c r="AJ1426">
        <v>59.9930510756069</v>
      </c>
      <c r="AK1426">
        <v>8.29983326782882</v>
      </c>
      <c r="AL1426">
        <v>95.281449862172707</v>
      </c>
      <c r="AM1426">
        <v>72.69569486444</v>
      </c>
      <c r="AN1426">
        <v>0.99999993693384304</v>
      </c>
    </row>
    <row r="1427" spans="1:40" x14ac:dyDescent="0.25">
      <c r="A1427" t="str">
        <f>"20190303154449097"</f>
        <v>20190303154449097</v>
      </c>
      <c r="B1427" t="str">
        <f>"1551599089092114"</f>
        <v>1551599089092114</v>
      </c>
      <c r="C1427" t="s">
        <v>40</v>
      </c>
      <c r="D1427">
        <v>5.7329929999999996</v>
      </c>
      <c r="E1427">
        <v>0.61370279999999999</v>
      </c>
      <c r="F1427" t="s">
        <v>55</v>
      </c>
      <c r="G1427">
        <v>-210.9151</v>
      </c>
      <c r="H1427" s="1">
        <v>-1.04979E-6</v>
      </c>
      <c r="I1427">
        <v>286.7448</v>
      </c>
      <c r="J1427">
        <v>-200.37960000000001</v>
      </c>
      <c r="K1427">
        <v>1.1125890000000001</v>
      </c>
      <c r="L1427">
        <v>286.40280000000001</v>
      </c>
      <c r="M1427">
        <v>-0.85570440000000003</v>
      </c>
      <c r="N1427">
        <v>-1.5751560000000001E-2</v>
      </c>
      <c r="O1427">
        <v>-0.51722539999999995</v>
      </c>
      <c r="P1427">
        <v>-0.96637580000000001</v>
      </c>
      <c r="Q1427">
        <v>-9.9105399999999996E-2</v>
      </c>
      <c r="R1427">
        <v>-0.2372688</v>
      </c>
      <c r="S1427">
        <v>-3.100266</v>
      </c>
      <c r="T1427">
        <v>-0.32172430000000002</v>
      </c>
      <c r="U1427">
        <v>7.1411130000000003E-2</v>
      </c>
      <c r="V1427">
        <v>0.29503269999999998</v>
      </c>
      <c r="W1427">
        <v>-9.0263209999999997E-2</v>
      </c>
      <c r="X1427">
        <v>0.95121409999999995</v>
      </c>
      <c r="Y1427">
        <v>0.53180709999999998</v>
      </c>
      <c r="Z1427">
        <v>7.4804350000000006E-2</v>
      </c>
      <c r="AA1427">
        <v>0.84355530000000001</v>
      </c>
      <c r="AB1427">
        <v>21</v>
      </c>
      <c r="AC1427">
        <v>-10.5354999999999</v>
      </c>
      <c r="AD1427">
        <v>-1.1125900497900001</v>
      </c>
      <c r="AE1427">
        <v>0.34199999999998398</v>
      </c>
      <c r="AF1427">
        <v>5.67932067128939</v>
      </c>
      <c r="AG1427">
        <v>-1.1125900497900001</v>
      </c>
      <c r="AH1427">
        <v>8.7420874212241593</v>
      </c>
      <c r="AI1427">
        <v>96.091786002766099</v>
      </c>
      <c r="AJ1427">
        <v>56.990123410578299</v>
      </c>
      <c r="AK1427">
        <v>10.4841133333512</v>
      </c>
      <c r="AL1427">
        <v>95.178749531396505</v>
      </c>
      <c r="AM1427">
        <v>72.767973405911803</v>
      </c>
      <c r="AN1427">
        <v>1.0000000025938001</v>
      </c>
    </row>
    <row r="1428" spans="1:40" x14ac:dyDescent="0.25">
      <c r="A1428" t="str">
        <f>"20190303154449138"</f>
        <v>20190303154449138</v>
      </c>
      <c r="B1428" t="str">
        <f>"1551599089132130"</f>
        <v>1551599089132130</v>
      </c>
      <c r="C1428" t="s">
        <v>40</v>
      </c>
      <c r="D1428">
        <v>5.0445019999999996</v>
      </c>
      <c r="E1428">
        <v>0.62156129999999998</v>
      </c>
      <c r="F1428" t="s">
        <v>55</v>
      </c>
      <c r="G1428">
        <v>-211.6842</v>
      </c>
      <c r="H1428" s="1">
        <v>-6.4052319999999898E-7</v>
      </c>
      <c r="I1428">
        <v>287.01949999999999</v>
      </c>
      <c r="J1428">
        <v>-200.73240000000001</v>
      </c>
      <c r="K1428">
        <v>1.1128549999999999</v>
      </c>
      <c r="L1428">
        <v>286.23020000000002</v>
      </c>
      <c r="M1428">
        <v>-0.86950239999999901</v>
      </c>
      <c r="N1428">
        <v>-1.56657999999999E-2</v>
      </c>
      <c r="O1428">
        <v>-0.49368020000000001</v>
      </c>
      <c r="P1428">
        <v>-0.97164090000000003</v>
      </c>
      <c r="Q1428">
        <v>-9.8775979999999999E-2</v>
      </c>
      <c r="R1428">
        <v>-0.2148418</v>
      </c>
      <c r="S1428">
        <v>-3.1146699999999998</v>
      </c>
      <c r="T1428">
        <v>-0.30654300000000001</v>
      </c>
      <c r="U1428">
        <v>0.16992189999999999</v>
      </c>
      <c r="V1428">
        <v>0.29117330000000002</v>
      </c>
      <c r="W1428">
        <v>-8.9710819999999997E-2</v>
      </c>
      <c r="X1428">
        <v>0.95245469999999999</v>
      </c>
      <c r="Y1428">
        <v>0.53586639999999996</v>
      </c>
      <c r="Z1428">
        <v>6.9447549999999997E-2</v>
      </c>
      <c r="AA1428">
        <v>0.84144180000000002</v>
      </c>
      <c r="AB1428">
        <v>21</v>
      </c>
      <c r="AC1428">
        <v>-10.951799999999899</v>
      </c>
      <c r="AD1428">
        <v>-1.1128556405232</v>
      </c>
      <c r="AE1428">
        <v>0.78929999999996803</v>
      </c>
      <c r="AF1428">
        <v>6.0317742891519304</v>
      </c>
      <c r="AG1428">
        <v>-1.1128556405232</v>
      </c>
      <c r="AH1428">
        <v>9.0412039787677898</v>
      </c>
      <c r="AI1428">
        <v>95.846264164406094</v>
      </c>
      <c r="AJ1428">
        <v>56.2910495084082</v>
      </c>
      <c r="AK1428">
        <v>10.9253886950353</v>
      </c>
      <c r="AL1428">
        <v>95.146971317640407</v>
      </c>
      <c r="AM1428">
        <v>73.001173146626897</v>
      </c>
      <c r="AN1428">
        <v>0.99999993870502402</v>
      </c>
    </row>
    <row r="1429" spans="1:40" x14ac:dyDescent="0.25">
      <c r="A1429" t="str">
        <f>"20190303154449160"</f>
        <v>20190303154449160</v>
      </c>
      <c r="B1429" t="str">
        <f>"1551599089151650"</f>
        <v>1551599089151650</v>
      </c>
      <c r="C1429" t="s">
        <v>40</v>
      </c>
      <c r="D1429">
        <v>5.0340009999999999</v>
      </c>
      <c r="E1429">
        <v>0.62967879999999998</v>
      </c>
      <c r="F1429" t="s">
        <v>55</v>
      </c>
      <c r="G1429">
        <v>-215.5864</v>
      </c>
      <c r="H1429" s="1">
        <v>1.4360249999999999E-6</v>
      </c>
      <c r="I1429">
        <v>287.6497</v>
      </c>
      <c r="J1429">
        <v>-200.92310000000001</v>
      </c>
      <c r="K1429">
        <v>1.1130089999999999</v>
      </c>
      <c r="L1429">
        <v>286.14120000000003</v>
      </c>
      <c r="M1429">
        <v>-0.87649809999999995</v>
      </c>
      <c r="N1429">
        <v>-1.561369E-2</v>
      </c>
      <c r="O1429">
        <v>-0.48115210000000003</v>
      </c>
      <c r="P1429">
        <v>-0.97406619999999999</v>
      </c>
      <c r="Q1429">
        <v>-9.9725510000000003E-2</v>
      </c>
      <c r="R1429">
        <v>-0.20310139999999999</v>
      </c>
      <c r="S1429">
        <v>-3.1298370000000002</v>
      </c>
      <c r="T1429">
        <v>-0.23448469999999999</v>
      </c>
      <c r="U1429">
        <v>0.2991028</v>
      </c>
      <c r="V1429">
        <v>0.28897119999999998</v>
      </c>
      <c r="W1429">
        <v>-9.0541179999999999E-2</v>
      </c>
      <c r="X1429">
        <v>0.95304670000000002</v>
      </c>
      <c r="Y1429">
        <v>0.55978099999999997</v>
      </c>
      <c r="Z1429">
        <v>5.2528999999999999E-2</v>
      </c>
      <c r="AA1429">
        <v>0.82697399999999999</v>
      </c>
      <c r="AB1429">
        <v>21</v>
      </c>
      <c r="AC1429">
        <v>-14.6632999999999</v>
      </c>
      <c r="AD1429">
        <v>-1.1130075639749999</v>
      </c>
      <c r="AE1429">
        <v>1.50849999999996</v>
      </c>
      <c r="AF1429">
        <v>8.3310000325226508</v>
      </c>
      <c r="AG1429">
        <v>-1.1130075639749999</v>
      </c>
      <c r="AH1429">
        <v>12.059263386623901</v>
      </c>
      <c r="AI1429">
        <v>94.342493655983702</v>
      </c>
      <c r="AJ1429">
        <v>55.3618012062947</v>
      </c>
      <c r="AK1429">
        <v>14.699325862342301</v>
      </c>
      <c r="AL1429">
        <v>95.194741346786302</v>
      </c>
      <c r="AM1429">
        <v>73.132286815883901</v>
      </c>
      <c r="AN1429">
        <v>1.0000000360430601</v>
      </c>
    </row>
    <row r="1430" spans="1:40" x14ac:dyDescent="0.25">
      <c r="A1430" t="str">
        <f>"20190303154449182"</f>
        <v>20190303154449182</v>
      </c>
      <c r="B1430" t="str">
        <f>"1551599089171677"</f>
        <v>1551599089171677</v>
      </c>
      <c r="C1430" t="s">
        <v>40</v>
      </c>
      <c r="D1430">
        <v>4.9976820000000002</v>
      </c>
      <c r="E1430">
        <v>0.6350384</v>
      </c>
      <c r="F1430" t="s">
        <v>55</v>
      </c>
      <c r="G1430">
        <v>-222.7979</v>
      </c>
      <c r="H1430" s="1">
        <v>-4.7895239999999997E-8</v>
      </c>
      <c r="I1430">
        <v>288.8938</v>
      </c>
      <c r="J1430">
        <v>-201.1112</v>
      </c>
      <c r="K1430">
        <v>1.113164</v>
      </c>
      <c r="L1430">
        <v>286.0566</v>
      </c>
      <c r="M1430">
        <v>-0.88307959999999996</v>
      </c>
      <c r="N1430">
        <v>-1.5560920000000001E-2</v>
      </c>
      <c r="O1430">
        <v>-0.46896510000000002</v>
      </c>
      <c r="P1430">
        <v>-0.97605220000000004</v>
      </c>
      <c r="Q1430">
        <v>-0.10209409999999999</v>
      </c>
      <c r="R1430">
        <v>-0.19209029999999999</v>
      </c>
      <c r="S1430">
        <v>-3.146042</v>
      </c>
      <c r="T1430">
        <v>-0.16007360000000001</v>
      </c>
      <c r="U1430">
        <v>0.395874</v>
      </c>
      <c r="V1430">
        <v>0.286408099999999</v>
      </c>
      <c r="W1430">
        <v>-9.27867E-2</v>
      </c>
      <c r="X1430">
        <v>0.95360420000000001</v>
      </c>
      <c r="Y1430">
        <v>0.57440480000000005</v>
      </c>
      <c r="Z1430">
        <v>3.4790229999999998E-2</v>
      </c>
      <c r="AA1430">
        <v>0.8178318</v>
      </c>
      <c r="AB1430">
        <v>21</v>
      </c>
      <c r="AC1430">
        <v>-21.686699999999998</v>
      </c>
      <c r="AD1430">
        <v>-1.11316404789524</v>
      </c>
      <c r="AE1430">
        <v>2.83719999999999</v>
      </c>
      <c r="AF1430">
        <v>12.644559872622899</v>
      </c>
      <c r="AG1430">
        <v>-1.11316404789524</v>
      </c>
      <c r="AH1430">
        <v>17.776644628375401</v>
      </c>
      <c r="AI1430">
        <v>92.921125257490999</v>
      </c>
      <c r="AJ1430">
        <v>54.575687892227897</v>
      </c>
      <c r="AK1430">
        <v>21.843377092689298</v>
      </c>
      <c r="AL1430">
        <v>95.323944480819605</v>
      </c>
      <c r="AM1430">
        <v>73.282741266503805</v>
      </c>
      <c r="AN1430">
        <v>0.99999997085006898</v>
      </c>
    </row>
    <row r="1431" spans="1:40" x14ac:dyDescent="0.25">
      <c r="A1431" t="str">
        <f>"20190303154449205"</f>
        <v>20190303154449205</v>
      </c>
      <c r="B1431" t="str">
        <f>"1551599089201933"</f>
        <v>1551599089201933</v>
      </c>
      <c r="C1431" t="s">
        <v>40</v>
      </c>
      <c r="D1431">
        <v>4.9709560000000002</v>
      </c>
      <c r="E1431">
        <v>0.65802069999999901</v>
      </c>
      <c r="F1431" t="s">
        <v>55</v>
      </c>
      <c r="G1431">
        <v>-229.2758</v>
      </c>
      <c r="H1431">
        <v>8.0001279999999994E-2</v>
      </c>
      <c r="I1431">
        <v>290.25740000000002</v>
      </c>
      <c r="J1431">
        <v>-201.31620000000001</v>
      </c>
      <c r="K1431">
        <v>1.113329</v>
      </c>
      <c r="L1431">
        <v>285.96780000000001</v>
      </c>
      <c r="M1431">
        <v>-0.88989589999999996</v>
      </c>
      <c r="N1431">
        <v>-1.550081E-2</v>
      </c>
      <c r="O1431">
        <v>-0.45590039999999998</v>
      </c>
      <c r="P1431">
        <v>-0.97796700000000003</v>
      </c>
      <c r="Q1431">
        <v>-0.10392800000000001</v>
      </c>
      <c r="R1431">
        <v>-0.1810515</v>
      </c>
      <c r="S1431">
        <v>-3.154083</v>
      </c>
      <c r="T1431">
        <v>-0.1157014</v>
      </c>
      <c r="U1431">
        <v>0.47042850000000003</v>
      </c>
      <c r="V1431">
        <v>0.283049</v>
      </c>
      <c r="W1431">
        <v>-9.4475139999999999E-2</v>
      </c>
      <c r="X1431">
        <v>0.95444110000000004</v>
      </c>
      <c r="Y1431">
        <v>0.58162899999999995</v>
      </c>
      <c r="Z1431">
        <v>2.4252949999999999E-2</v>
      </c>
      <c r="AA1431">
        <v>0.81309259999999905</v>
      </c>
      <c r="AB1431">
        <v>21</v>
      </c>
      <c r="AC1431">
        <v>-27.959599999999899</v>
      </c>
      <c r="AD1431">
        <v>-1.0333277199999999</v>
      </c>
      <c r="AE1431">
        <v>4.2896000000000001</v>
      </c>
      <c r="AF1431">
        <v>16.544001710760298</v>
      </c>
      <c r="AG1431">
        <v>-1.0333277199999999</v>
      </c>
      <c r="AH1431">
        <v>22.897699502066001</v>
      </c>
      <c r="AI1431">
        <v>92.094900151881603</v>
      </c>
      <c r="AJ1431">
        <v>54.151208414221998</v>
      </c>
      <c r="AK1431">
        <v>28.267939459208499</v>
      </c>
      <c r="AL1431">
        <v>95.421111404669105</v>
      </c>
      <c r="AM1431">
        <v>73.481752808578193</v>
      </c>
      <c r="AN1431">
        <v>1.00000005092411</v>
      </c>
    </row>
    <row r="1432" spans="1:40" x14ac:dyDescent="0.25">
      <c r="A1432" t="str">
        <f>"20190303154449227"</f>
        <v>20190303154449227</v>
      </c>
      <c r="B1432" t="str">
        <f>"1551599089221453"</f>
        <v>1551599089221453</v>
      </c>
      <c r="C1432" t="s">
        <v>40</v>
      </c>
      <c r="D1432">
        <v>5.5390769999999998</v>
      </c>
      <c r="E1432">
        <v>0.65676159999999995</v>
      </c>
      <c r="F1432" t="s">
        <v>56</v>
      </c>
      <c r="G1432">
        <v>-337.04629999999997</v>
      </c>
      <c r="H1432">
        <v>6.5054949999999998</v>
      </c>
      <c r="I1432">
        <v>314.43920000000003</v>
      </c>
      <c r="J1432">
        <v>-201.5051</v>
      </c>
      <c r="K1432">
        <v>1.1134809999999999</v>
      </c>
      <c r="L1432">
        <v>285.8888</v>
      </c>
      <c r="M1432">
        <v>-0.89588419999999902</v>
      </c>
      <c r="N1432">
        <v>-1.5444380000000001E-2</v>
      </c>
      <c r="O1432">
        <v>-0.44401930000000001</v>
      </c>
      <c r="P1432">
        <v>-0.97986879999999998</v>
      </c>
      <c r="Q1432">
        <v>-0.1040137</v>
      </c>
      <c r="R1432">
        <v>-0.170407</v>
      </c>
      <c r="S1432">
        <v>-3.2056119999999999</v>
      </c>
      <c r="T1432">
        <v>0.12734989999999999</v>
      </c>
      <c r="U1432">
        <v>0.67242429999999997</v>
      </c>
      <c r="V1432">
        <v>0.28075889999999998</v>
      </c>
      <c r="W1432">
        <v>-9.4455890000000001E-2</v>
      </c>
      <c r="X1432">
        <v>0.9551191</v>
      </c>
      <c r="Y1432">
        <v>0.61762289999999997</v>
      </c>
      <c r="Z1432">
        <v>-3.136829E-2</v>
      </c>
      <c r="AA1432">
        <v>0.78584869999999996</v>
      </c>
      <c r="AB1432">
        <v>21</v>
      </c>
      <c r="AC1432">
        <v>-135.54119999999901</v>
      </c>
      <c r="AD1432">
        <v>5.3920139999999996</v>
      </c>
      <c r="AE1432">
        <v>28.5504</v>
      </c>
      <c r="AF1432">
        <v>85.641209742030895</v>
      </c>
      <c r="AG1432">
        <v>5.3920139999999996</v>
      </c>
      <c r="AH1432">
        <v>108.600689241487</v>
      </c>
      <c r="AI1432">
        <v>87.767389314872304</v>
      </c>
      <c r="AJ1432">
        <v>51.741108808115399</v>
      </c>
      <c r="AK1432">
        <v>138.41098339647999</v>
      </c>
      <c r="AL1432">
        <v>95.420003864244407</v>
      </c>
      <c r="AM1432">
        <v>73.619210182945906</v>
      </c>
      <c r="AN1432">
        <v>0.999999985134856</v>
      </c>
    </row>
    <row r="1433" spans="1:40" x14ac:dyDescent="0.25">
      <c r="A1433" t="str">
        <f>"20190303154449250"</f>
        <v>20190303154449250</v>
      </c>
      <c r="B1433" t="str">
        <f>"1551599089241949"</f>
        <v>1551599089241949</v>
      </c>
      <c r="C1433" t="s">
        <v>40</v>
      </c>
      <c r="D1433">
        <v>5.5004369999999998</v>
      </c>
      <c r="E1433">
        <v>0.65676159999999995</v>
      </c>
      <c r="F1433" t="s">
        <v>56</v>
      </c>
      <c r="G1433">
        <v>-337.04629999999997</v>
      </c>
      <c r="H1433">
        <v>6.3994479999999996</v>
      </c>
      <c r="I1433">
        <v>315.50830000000002</v>
      </c>
      <c r="J1433">
        <v>-201.71010000000001</v>
      </c>
      <c r="K1433">
        <v>1.11364</v>
      </c>
      <c r="L1433">
        <v>285.80599999999998</v>
      </c>
      <c r="M1433">
        <v>-0.90207740000000003</v>
      </c>
      <c r="N1433">
        <v>-1.538372E-2</v>
      </c>
      <c r="O1433">
        <v>-0.43130020000000002</v>
      </c>
      <c r="P1433">
        <v>-0.98203759999999996</v>
      </c>
      <c r="Q1433">
        <v>-0.1032257</v>
      </c>
      <c r="R1433">
        <v>-0.15794530000000001</v>
      </c>
      <c r="S1433">
        <v>-3.1963349999999999</v>
      </c>
      <c r="T1433">
        <v>0.1246538</v>
      </c>
      <c r="U1433">
        <v>0.6984863</v>
      </c>
      <c r="V1433">
        <v>0.27946579999999999</v>
      </c>
      <c r="W1433">
        <v>-9.3588900000000003E-2</v>
      </c>
      <c r="X1433">
        <v>0.95558359999999998</v>
      </c>
      <c r="Y1433">
        <v>0.61313280000000003</v>
      </c>
      <c r="Z1433">
        <v>-3.0075370000000001E-2</v>
      </c>
      <c r="AA1433">
        <v>0.78940719999999998</v>
      </c>
      <c r="AB1433">
        <v>21</v>
      </c>
      <c r="AC1433">
        <v>-135.336199999999</v>
      </c>
      <c r="AD1433">
        <v>5.2858080000000003</v>
      </c>
      <c r="AE1433">
        <v>29.702300000000001</v>
      </c>
      <c r="AF1433">
        <v>85.050598766039499</v>
      </c>
      <c r="AG1433">
        <v>5.2858080000000003</v>
      </c>
      <c r="AH1433">
        <v>109.127226309804</v>
      </c>
      <c r="AI1433">
        <v>87.812111622087102</v>
      </c>
      <c r="AJ1433">
        <v>52.068181660465797</v>
      </c>
      <c r="AK1433">
        <v>138.45683673530101</v>
      </c>
      <c r="AL1433">
        <v>95.370107792594794</v>
      </c>
      <c r="AM1433">
        <v>73.698144085138395</v>
      </c>
      <c r="AN1433">
        <v>1.0000000160808999</v>
      </c>
    </row>
    <row r="1434" spans="1:40" x14ac:dyDescent="0.25">
      <c r="A1434" t="str">
        <f>"20190303154449274"</f>
        <v>20190303154449274</v>
      </c>
      <c r="B1434" t="str">
        <f>"1551599089271734"</f>
        <v>1551599089271734</v>
      </c>
      <c r="C1434" t="s">
        <v>40</v>
      </c>
      <c r="D1434">
        <v>5.492858</v>
      </c>
      <c r="E1434">
        <v>0.60526780000000002</v>
      </c>
      <c r="F1434" t="s">
        <v>56</v>
      </c>
      <c r="G1434">
        <v>-337.04640000000001</v>
      </c>
      <c r="H1434">
        <v>6.312989</v>
      </c>
      <c r="I1434">
        <v>317.26569999999998</v>
      </c>
      <c r="J1434">
        <v>-201.92019999999999</v>
      </c>
      <c r="K1434">
        <v>1.113812</v>
      </c>
      <c r="L1434">
        <v>285.72430000000003</v>
      </c>
      <c r="M1434">
        <v>-0.90810069999999998</v>
      </c>
      <c r="N1434">
        <v>-1.5321950000000001E-2</v>
      </c>
      <c r="O1434">
        <v>-0.4184718</v>
      </c>
      <c r="P1434">
        <v>-0.98395619999999995</v>
      </c>
      <c r="Q1434">
        <v>-0.1026194</v>
      </c>
      <c r="R1434">
        <v>-0.1459453</v>
      </c>
      <c r="S1434">
        <v>-3.1869049999999999</v>
      </c>
      <c r="T1434">
        <v>0.12243469999999999</v>
      </c>
      <c r="U1434">
        <v>0.74081419999999998</v>
      </c>
      <c r="V1434">
        <v>0.27766200000000002</v>
      </c>
      <c r="W1434">
        <v>-9.28924E-2</v>
      </c>
      <c r="X1434">
        <v>0.95617719999999995</v>
      </c>
      <c r="Y1434">
        <v>0.61245340000000004</v>
      </c>
      <c r="Z1434">
        <v>-2.8924890000000002E-2</v>
      </c>
      <c r="AA1434">
        <v>0.78997740000000005</v>
      </c>
      <c r="AB1434">
        <v>21</v>
      </c>
      <c r="AC1434">
        <v>-135.12620000000001</v>
      </c>
      <c r="AD1434">
        <v>5.1991769999999997</v>
      </c>
      <c r="AE1434">
        <v>31.5413999999999</v>
      </c>
      <c r="AF1434">
        <v>85.079813355738096</v>
      </c>
      <c r="AG1434">
        <v>5.1991769999999997</v>
      </c>
      <c r="AH1434">
        <v>109.36830416455599</v>
      </c>
      <c r="AI1434">
        <v>87.851165709686498</v>
      </c>
      <c r="AJ1434">
        <v>52.1199321723483</v>
      </c>
      <c r="AK1434">
        <v>138.661573761282</v>
      </c>
      <c r="AL1434">
        <v>95.330026699746995</v>
      </c>
      <c r="AM1434">
        <v>73.807358183669294</v>
      </c>
      <c r="AN1434">
        <v>1.0000000110108</v>
      </c>
    </row>
    <row r="1435" spans="1:40" x14ac:dyDescent="0.25">
      <c r="A1435" t="str">
        <f>"20190303154449299"</f>
        <v>20190303154449299</v>
      </c>
      <c r="B1435" t="str">
        <f>"1551599089292231"</f>
        <v>1551599089292231</v>
      </c>
      <c r="C1435" t="s">
        <v>40</v>
      </c>
      <c r="D1435">
        <v>5.4965549999999999</v>
      </c>
      <c r="E1435">
        <v>0.60400679999999995</v>
      </c>
      <c r="F1435" t="s">
        <v>55</v>
      </c>
      <c r="G1435">
        <v>-214.7953</v>
      </c>
      <c r="H1435" s="1">
        <v>1.0150180000000001E-6</v>
      </c>
      <c r="I1435">
        <v>287.3596</v>
      </c>
      <c r="J1435">
        <v>-202.13059999999999</v>
      </c>
      <c r="K1435">
        <v>1.1139829999999999</v>
      </c>
      <c r="L1435">
        <v>285.64550000000003</v>
      </c>
      <c r="M1435">
        <v>-0.91381440000000003</v>
      </c>
      <c r="N1435">
        <v>-1.5258000000000001E-2</v>
      </c>
      <c r="O1435">
        <v>-0.40584550000000003</v>
      </c>
      <c r="P1435">
        <v>-0.98549039999999999</v>
      </c>
      <c r="Q1435">
        <v>-0.102413</v>
      </c>
      <c r="R1435">
        <v>-0.13535269999999999</v>
      </c>
      <c r="S1435">
        <v>-3.0791629999999999</v>
      </c>
      <c r="T1435">
        <v>-0.26637630000000001</v>
      </c>
      <c r="U1435">
        <v>0.39108280000000001</v>
      </c>
      <c r="V1435">
        <v>0.27474730000000003</v>
      </c>
      <c r="W1435">
        <v>-9.256934E-2</v>
      </c>
      <c r="X1435">
        <v>0.95705010000000001</v>
      </c>
      <c r="Y1435">
        <v>0.51460740000000005</v>
      </c>
      <c r="Z1435">
        <v>5.4165940000000003E-2</v>
      </c>
      <c r="AA1435">
        <v>0.85571330000000001</v>
      </c>
      <c r="AB1435">
        <v>21</v>
      </c>
      <c r="AC1435">
        <v>-12.6647</v>
      </c>
      <c r="AD1435">
        <v>-1.1139819849820001</v>
      </c>
      <c r="AE1435">
        <v>1.71409999999997</v>
      </c>
      <c r="AF1435">
        <v>6.65648699283713</v>
      </c>
      <c r="AG1435">
        <v>-1.1139819849820001</v>
      </c>
      <c r="AH1435">
        <v>10.7967604185454</v>
      </c>
      <c r="AI1435">
        <v>95.019244751262306</v>
      </c>
      <c r="AJ1435">
        <v>58.345075011892803</v>
      </c>
      <c r="AK1435">
        <v>12.732627791785299</v>
      </c>
      <c r="AL1435">
        <v>95.311436535511504</v>
      </c>
      <c r="AM1435">
        <v>73.982432362089</v>
      </c>
      <c r="AN1435">
        <v>1.0000000277376599</v>
      </c>
    </row>
    <row r="1436" spans="1:40" x14ac:dyDescent="0.25">
      <c r="A1436" t="str">
        <f>"20190303154449317"</f>
        <v>20190303154449317</v>
      </c>
      <c r="B1436" t="str">
        <f>"1551599089311752"</f>
        <v>1551599089311752</v>
      </c>
      <c r="C1436" t="s">
        <v>40</v>
      </c>
      <c r="D1436">
        <v>5.4776119999999997</v>
      </c>
      <c r="E1436">
        <v>0.60338000000000003</v>
      </c>
      <c r="F1436" t="s">
        <v>55</v>
      </c>
      <c r="G1436">
        <v>-215.0103</v>
      </c>
      <c r="H1436" s="1">
        <v>1.1294499999999901E-6</v>
      </c>
      <c r="I1436">
        <v>287.38159999999999</v>
      </c>
      <c r="J1436">
        <v>-202.3005</v>
      </c>
      <c r="K1436">
        <v>1.114139</v>
      </c>
      <c r="L1436">
        <v>285.58420000000001</v>
      </c>
      <c r="M1436">
        <v>-0.91819499999999998</v>
      </c>
      <c r="N1436">
        <v>-1.520345E-2</v>
      </c>
      <c r="O1436">
        <v>-0.39583699999999999</v>
      </c>
      <c r="P1436">
        <v>-0.98660289999999995</v>
      </c>
      <c r="Q1436">
        <v>-0.1010877</v>
      </c>
      <c r="R1436">
        <v>-0.12804769999999999</v>
      </c>
      <c r="S1436">
        <v>-3.0734710000000001</v>
      </c>
      <c r="T1436">
        <v>-0.26582899999999998</v>
      </c>
      <c r="U1436">
        <v>0.41427609999999898</v>
      </c>
      <c r="V1436">
        <v>0.27149380000000001</v>
      </c>
      <c r="W1436">
        <v>-9.1124839999999999E-2</v>
      </c>
      <c r="X1436">
        <v>0.95811659999999998</v>
      </c>
      <c r="Y1436">
        <v>0.51183869999999998</v>
      </c>
      <c r="Z1436">
        <v>5.3363470000000003E-2</v>
      </c>
      <c r="AA1436">
        <v>0.85742260000000003</v>
      </c>
      <c r="AB1436">
        <v>21</v>
      </c>
      <c r="AC1436">
        <v>-12.7098</v>
      </c>
      <c r="AD1436">
        <v>-1.11413787055</v>
      </c>
      <c r="AE1436">
        <v>1.7973999999999799</v>
      </c>
      <c r="AF1436">
        <v>6.6321806924072497</v>
      </c>
      <c r="AG1436">
        <v>-1.11413787055</v>
      </c>
      <c r="AH1436">
        <v>10.877913900436001</v>
      </c>
      <c r="AI1436">
        <v>94.997801792336404</v>
      </c>
      <c r="AJ1436">
        <v>58.629658221074202</v>
      </c>
      <c r="AK1436">
        <v>12.7889067068547</v>
      </c>
      <c r="AL1436">
        <v>95.228321502587207</v>
      </c>
      <c r="AM1436">
        <v>74.179287634400495</v>
      </c>
      <c r="AN1436">
        <v>1.00000001954951</v>
      </c>
    </row>
    <row r="1437" spans="1:40" x14ac:dyDescent="0.25">
      <c r="A1437" t="str">
        <f>"20190303154449339"</f>
        <v>20190303154449339</v>
      </c>
      <c r="B1437" t="str">
        <f>"1551599089332247"</f>
        <v>1551599089332247</v>
      </c>
      <c r="C1437" t="s">
        <v>40</v>
      </c>
      <c r="D1437">
        <v>5.4944750000000004</v>
      </c>
      <c r="E1437">
        <v>0.60231829999999997</v>
      </c>
      <c r="F1437" t="s">
        <v>55</v>
      </c>
      <c r="G1437">
        <v>-215.64080000000001</v>
      </c>
      <c r="H1437" s="1">
        <v>1.46497E-6</v>
      </c>
      <c r="I1437">
        <v>287.46030000000002</v>
      </c>
      <c r="J1437">
        <v>-202.4854</v>
      </c>
      <c r="K1437">
        <v>1.1143259999999999</v>
      </c>
      <c r="L1437">
        <v>285.51940000000002</v>
      </c>
      <c r="M1437">
        <v>-0.92273720000000004</v>
      </c>
      <c r="N1437">
        <v>-1.5142310000000001E-2</v>
      </c>
      <c r="O1437">
        <v>-0.38513229999999998</v>
      </c>
      <c r="P1437">
        <v>-0.98787199999999997</v>
      </c>
      <c r="Q1437">
        <v>-0.1001408</v>
      </c>
      <c r="R1437">
        <v>-0.1186615</v>
      </c>
      <c r="S1437">
        <v>-3.0704959999999999</v>
      </c>
      <c r="T1437">
        <v>-0.256438</v>
      </c>
      <c r="U1437">
        <v>0.43182369999999998</v>
      </c>
      <c r="V1437">
        <v>0.26955410000000002</v>
      </c>
      <c r="W1437">
        <v>-9.0077879999999999E-2</v>
      </c>
      <c r="X1437">
        <v>0.95876309999999998</v>
      </c>
      <c r="Y1437">
        <v>0.50703739999999997</v>
      </c>
      <c r="Z1437">
        <v>5.0554040000000001E-2</v>
      </c>
      <c r="AA1437">
        <v>0.86044030000000005</v>
      </c>
      <c r="AB1437">
        <v>20</v>
      </c>
      <c r="AC1437">
        <v>-13.1554</v>
      </c>
      <c r="AD1437">
        <v>-1.11432453503</v>
      </c>
      <c r="AE1437">
        <v>1.9408999999999901</v>
      </c>
      <c r="AF1437">
        <v>6.8104725753682898</v>
      </c>
      <c r="AG1437">
        <v>-1.11432453503</v>
      </c>
      <c r="AH1437">
        <v>11.3133364823374</v>
      </c>
      <c r="AI1437">
        <v>94.823536930576196</v>
      </c>
      <c r="AJ1437">
        <v>58.952639161291103</v>
      </c>
      <c r="AK1437">
        <v>13.2520126106112</v>
      </c>
      <c r="AL1437">
        <v>95.168087175522103</v>
      </c>
      <c r="AM1437">
        <v>74.296790717668401</v>
      </c>
      <c r="AN1437">
        <v>1.0000000596068499</v>
      </c>
    </row>
    <row r="1438" spans="1:40" x14ac:dyDescent="0.25">
      <c r="A1438" t="str">
        <f>"20190303154449362"</f>
        <v>20190303154449362</v>
      </c>
      <c r="B1438" t="str">
        <f>"1551599089351768"</f>
        <v>1551599089351768</v>
      </c>
      <c r="C1438" t="s">
        <v>40</v>
      </c>
      <c r="D1438">
        <v>5.0601190000000003</v>
      </c>
      <c r="E1438">
        <v>0.6043212</v>
      </c>
      <c r="F1438" t="s">
        <v>55</v>
      </c>
      <c r="G1438">
        <v>-215.8783</v>
      </c>
      <c r="H1438" s="1">
        <v>1.5913670000000001E-6</v>
      </c>
      <c r="I1438">
        <v>287.49700000000001</v>
      </c>
      <c r="J1438">
        <v>-202.69159999999999</v>
      </c>
      <c r="K1438">
        <v>1.1145339999999999</v>
      </c>
      <c r="L1438">
        <v>285.44970000000001</v>
      </c>
      <c r="M1438">
        <v>-0.92753180000000002</v>
      </c>
      <c r="N1438">
        <v>-1.507319E-2</v>
      </c>
      <c r="O1438">
        <v>-0.37344070000000001</v>
      </c>
      <c r="P1438">
        <v>-0.98911320000000003</v>
      </c>
      <c r="Q1438">
        <v>-9.9288779999999993E-2</v>
      </c>
      <c r="R1438">
        <v>-0.1086145</v>
      </c>
      <c r="S1438">
        <v>-3.065353</v>
      </c>
      <c r="T1438">
        <v>-0.25504579999999999</v>
      </c>
      <c r="U1438">
        <v>0.4526367</v>
      </c>
      <c r="V1438">
        <v>0.26727590000000001</v>
      </c>
      <c r="W1438">
        <v>-8.9107179999999994E-2</v>
      </c>
      <c r="X1438">
        <v>0.95949130000000005</v>
      </c>
      <c r="Y1438">
        <v>0.50214529999999902</v>
      </c>
      <c r="Z1438">
        <v>4.9381710000000002E-2</v>
      </c>
      <c r="AA1438">
        <v>0.86337219999999903</v>
      </c>
      <c r="AB1438">
        <v>20</v>
      </c>
      <c r="AC1438">
        <v>-13.1867</v>
      </c>
      <c r="AD1438">
        <v>-1.114532408633</v>
      </c>
      <c r="AE1438">
        <v>2.0472999999999999</v>
      </c>
      <c r="AF1438">
        <v>6.7768887461160396</v>
      </c>
      <c r="AG1438">
        <v>-1.114532408633</v>
      </c>
      <c r="AH1438">
        <v>11.3884003533958</v>
      </c>
      <c r="AI1438">
        <v>94.807344156310194</v>
      </c>
      <c r="AJ1438">
        <v>59.244417194606299</v>
      </c>
      <c r="AK1438">
        <v>13.2990250084867</v>
      </c>
      <c r="AL1438">
        <v>95.112245771463193</v>
      </c>
      <c r="AM1438">
        <v>74.434289638276695</v>
      </c>
      <c r="AN1438">
        <v>1.0000000255120201</v>
      </c>
    </row>
    <row r="1439" spans="1:40" x14ac:dyDescent="0.25">
      <c r="A1439" t="str">
        <f>"20190303154449384"</f>
        <v>20190303154449384</v>
      </c>
      <c r="B1439" t="str">
        <f>"1551599089382024"</f>
        <v>1551599089382024</v>
      </c>
      <c r="C1439" t="s">
        <v>40</v>
      </c>
      <c r="D1439">
        <v>5.4834040000000002</v>
      </c>
      <c r="E1439">
        <v>0.60189219999999999</v>
      </c>
      <c r="F1439" t="s">
        <v>55</v>
      </c>
      <c r="G1439">
        <v>-217.9803</v>
      </c>
      <c r="H1439" s="1">
        <v>2.7099320000000001E-6</v>
      </c>
      <c r="I1439">
        <v>287.93619999999999</v>
      </c>
      <c r="J1439">
        <v>-202.89580000000001</v>
      </c>
      <c r="K1439">
        <v>1.1147389999999999</v>
      </c>
      <c r="L1439">
        <v>285.38330000000002</v>
      </c>
      <c r="M1439">
        <v>-0.93199880000000002</v>
      </c>
      <c r="N1439">
        <v>-1.500397E-2</v>
      </c>
      <c r="O1439">
        <v>-0.36215059999999999</v>
      </c>
      <c r="P1439">
        <v>-0.9899076</v>
      </c>
      <c r="Q1439">
        <v>-0.10047059999999999</v>
      </c>
      <c r="R1439">
        <v>-9.9943649999999995E-2</v>
      </c>
      <c r="S1439">
        <v>-3.0653079999999999</v>
      </c>
      <c r="T1439">
        <v>-0.2234575</v>
      </c>
      <c r="U1439">
        <v>0.49853520000000001</v>
      </c>
      <c r="V1439">
        <v>0.26401819999999998</v>
      </c>
      <c r="W1439">
        <v>-9.0157189999999998E-2</v>
      </c>
      <c r="X1439">
        <v>0.9602948</v>
      </c>
      <c r="Y1439">
        <v>0.50496359999999996</v>
      </c>
      <c r="Z1439">
        <v>4.25595E-2</v>
      </c>
      <c r="AA1439">
        <v>0.86209080000000005</v>
      </c>
      <c r="AB1439">
        <v>20</v>
      </c>
      <c r="AC1439">
        <v>-15.084499999999901</v>
      </c>
      <c r="AD1439">
        <v>-1.114736290068</v>
      </c>
      <c r="AE1439">
        <v>2.5528999999999602</v>
      </c>
      <c r="AF1439">
        <v>7.8016242215854001</v>
      </c>
      <c r="AG1439">
        <v>-1.114736290068</v>
      </c>
      <c r="AH1439">
        <v>13.0663107540264</v>
      </c>
      <c r="AI1439">
        <v>94.189443553622795</v>
      </c>
      <c r="AJ1439">
        <v>59.1594471781262</v>
      </c>
      <c r="AK1439">
        <v>15.2589794616812</v>
      </c>
      <c r="AL1439">
        <v>95.172650095329502</v>
      </c>
      <c r="AM1439">
        <v>74.627236200426907</v>
      </c>
      <c r="AN1439">
        <v>1.0000000158734801</v>
      </c>
    </row>
    <row r="1440" spans="1:40" x14ac:dyDescent="0.25">
      <c r="A1440" t="str">
        <f>"20190303154449408"</f>
        <v>20190303154449408</v>
      </c>
      <c r="B1440" t="str">
        <f>"1551599089401543"</f>
        <v>1551599089401543</v>
      </c>
      <c r="C1440" t="s">
        <v>40</v>
      </c>
      <c r="D1440">
        <v>5.4996689999999999</v>
      </c>
      <c r="E1440">
        <v>0.6003752</v>
      </c>
      <c r="F1440" t="s">
        <v>55</v>
      </c>
      <c r="G1440">
        <v>-217.38980000000001</v>
      </c>
      <c r="H1440" s="1">
        <v>2.395715E-6</v>
      </c>
      <c r="I1440">
        <v>287.7835</v>
      </c>
      <c r="J1440">
        <v>-203.09880000000001</v>
      </c>
      <c r="K1440">
        <v>1.1149180000000001</v>
      </c>
      <c r="L1440">
        <v>285.31950000000001</v>
      </c>
      <c r="M1440">
        <v>-0.93620190000000003</v>
      </c>
      <c r="N1440">
        <v>-1.4933099999999999E-2</v>
      </c>
      <c r="O1440">
        <v>-0.35114509999999899</v>
      </c>
      <c r="P1440">
        <v>-0.99046800000000002</v>
      </c>
      <c r="Q1440">
        <v>-0.1015534</v>
      </c>
      <c r="R1440">
        <v>-9.3060340000000005E-2</v>
      </c>
      <c r="S1440">
        <v>-3.0578609999999999</v>
      </c>
      <c r="T1440">
        <v>-0.23517969999999999</v>
      </c>
      <c r="U1440">
        <v>0.5063782</v>
      </c>
      <c r="V1440">
        <v>0.25936730000000002</v>
      </c>
      <c r="W1440">
        <v>-9.1103920000000005E-2</v>
      </c>
      <c r="X1440">
        <v>0.9614722</v>
      </c>
      <c r="Y1440">
        <v>0.49707390000000001</v>
      </c>
      <c r="Z1440">
        <v>4.3990420000000002E-2</v>
      </c>
      <c r="AA1440">
        <v>0.86659240000000004</v>
      </c>
      <c r="AB1440">
        <v>20</v>
      </c>
      <c r="AC1440">
        <v>-14.290999999999899</v>
      </c>
      <c r="AD1440">
        <v>-1.1149156042849999</v>
      </c>
      <c r="AE1440">
        <v>2.4639999999999902</v>
      </c>
      <c r="AF1440">
        <v>7.2827872941088598</v>
      </c>
      <c r="AG1440">
        <v>-1.1149156042849999</v>
      </c>
      <c r="AH1440">
        <v>12.441896226752</v>
      </c>
      <c r="AI1440">
        <v>94.422183208333195</v>
      </c>
      <c r="AJ1440">
        <v>59.657690594840702</v>
      </c>
      <c r="AK1440">
        <v>14.459696030455699</v>
      </c>
      <c r="AL1440">
        <v>95.227117677451403</v>
      </c>
      <c r="AM1440">
        <v>74.903211234344099</v>
      </c>
      <c r="AN1440">
        <v>1.00000005596074</v>
      </c>
    </row>
    <row r="1441" spans="1:40" x14ac:dyDescent="0.25">
      <c r="A1441" t="str">
        <f>"20190303154449429"</f>
        <v>20190303154449429</v>
      </c>
      <c r="B1441" t="str">
        <f>"1551599089422040"</f>
        <v>1551599089422040</v>
      </c>
      <c r="C1441" t="s">
        <v>40</v>
      </c>
      <c r="D1441">
        <v>5.5410309999999896</v>
      </c>
      <c r="E1441">
        <v>0.59895469999999995</v>
      </c>
      <c r="F1441" t="s">
        <v>55</v>
      </c>
      <c r="G1441">
        <v>-217.16069999999999</v>
      </c>
      <c r="H1441" s="1">
        <v>2.2738000000000002E-6</v>
      </c>
      <c r="I1441">
        <v>287.69510000000002</v>
      </c>
      <c r="J1441">
        <v>-203.29519999999999</v>
      </c>
      <c r="K1441">
        <v>1.1150530000000001</v>
      </c>
      <c r="L1441">
        <v>285.26</v>
      </c>
      <c r="M1441">
        <v>-0.94004739999999998</v>
      </c>
      <c r="N1441">
        <v>-1.483926E-2</v>
      </c>
      <c r="O1441">
        <v>-0.3407211</v>
      </c>
      <c r="P1441">
        <v>-0.99097780000000002</v>
      </c>
      <c r="Q1441">
        <v>-0.1018278</v>
      </c>
      <c r="R1441">
        <v>-8.7143750000000006E-2</v>
      </c>
      <c r="S1441">
        <v>-3.052505</v>
      </c>
      <c r="T1441">
        <v>-0.24202170000000001</v>
      </c>
      <c r="U1441">
        <v>0.51568599999999998</v>
      </c>
      <c r="V1441">
        <v>0.25444830000000002</v>
      </c>
      <c r="W1441">
        <v>-9.1280929999999996E-2</v>
      </c>
      <c r="X1441">
        <v>0.96276890000000004</v>
      </c>
      <c r="Y1441">
        <v>0.49014249999999998</v>
      </c>
      <c r="Z1441">
        <v>4.4440639999999997E-2</v>
      </c>
      <c r="AA1441">
        <v>0.87050869999999902</v>
      </c>
      <c r="AB1441">
        <v>20</v>
      </c>
      <c r="AC1441">
        <v>-13.8654999999999</v>
      </c>
      <c r="AD1441">
        <v>-1.1150507262</v>
      </c>
      <c r="AE1441">
        <v>2.43510000000003</v>
      </c>
      <c r="AF1441">
        <v>6.9704190052115402</v>
      </c>
      <c r="AG1441">
        <v>-1.1150507262</v>
      </c>
      <c r="AH1441">
        <v>12.129781192024801</v>
      </c>
      <c r="AI1441">
        <v>94.557056141368406</v>
      </c>
      <c r="AJ1441">
        <v>60.116028293652903</v>
      </c>
      <c r="AK1441">
        <v>14.034303366986601</v>
      </c>
      <c r="AL1441">
        <v>95.237302068456501</v>
      </c>
      <c r="AM1441">
        <v>75.195895598841801</v>
      </c>
      <c r="AN1441">
        <v>1.0000000501808799</v>
      </c>
    </row>
    <row r="1442" spans="1:40" x14ac:dyDescent="0.25">
      <c r="A1442" t="str">
        <f>"20190303154449454"</f>
        <v>20190303154449454</v>
      </c>
      <c r="B1442" t="str">
        <f>"1551599089441559"</f>
        <v>1551599089441559</v>
      </c>
      <c r="C1442" t="s">
        <v>40</v>
      </c>
      <c r="D1442">
        <v>5.5196430000000003</v>
      </c>
      <c r="E1442">
        <v>0.59766490000000005</v>
      </c>
      <c r="F1442" t="s">
        <v>55</v>
      </c>
      <c r="G1442">
        <v>-217.08969999999999</v>
      </c>
      <c r="H1442" s="1">
        <v>2.2359879999999999E-6</v>
      </c>
      <c r="I1442">
        <v>287.62569999999999</v>
      </c>
      <c r="J1442">
        <v>-203.50989999999999</v>
      </c>
      <c r="K1442">
        <v>1.115191</v>
      </c>
      <c r="L1442">
        <v>285.19720000000001</v>
      </c>
      <c r="M1442">
        <v>-0.94400859999999998</v>
      </c>
      <c r="N1442">
        <v>-1.4687159999999999E-2</v>
      </c>
      <c r="O1442">
        <v>-0.32959369999999999</v>
      </c>
      <c r="P1442">
        <v>-0.99163500000000004</v>
      </c>
      <c r="Q1442">
        <v>-0.1018295</v>
      </c>
      <c r="R1442">
        <v>-7.9315090000000005E-2</v>
      </c>
      <c r="S1442">
        <v>-3.047974</v>
      </c>
      <c r="T1442">
        <v>-0.24637629999999999</v>
      </c>
      <c r="U1442">
        <v>0.52270509999999903</v>
      </c>
      <c r="V1442">
        <v>0.25071549999999998</v>
      </c>
      <c r="W1442">
        <v>-9.1263789999999997E-2</v>
      </c>
      <c r="X1442">
        <v>0.96374930000000003</v>
      </c>
      <c r="Y1442">
        <v>0.48195660000000001</v>
      </c>
      <c r="Z1442">
        <v>4.4257669999999999E-2</v>
      </c>
      <c r="AA1442">
        <v>0.87507669999999904</v>
      </c>
      <c r="AB1442">
        <v>20</v>
      </c>
      <c r="AC1442">
        <v>-13.579800000000001</v>
      </c>
      <c r="AD1442">
        <v>-1.115188764012</v>
      </c>
      <c r="AE1442">
        <v>2.4284999999999801</v>
      </c>
      <c r="AF1442">
        <v>6.7251237299581099</v>
      </c>
      <c r="AG1442">
        <v>-1.115188764012</v>
      </c>
      <c r="AH1442">
        <v>11.9422849449704</v>
      </c>
      <c r="AI1442">
        <v>94.651735135742996</v>
      </c>
      <c r="AJ1442">
        <v>60.614597400627297</v>
      </c>
      <c r="AK1442">
        <v>13.750967415767199</v>
      </c>
      <c r="AL1442">
        <v>95.236316022818201</v>
      </c>
      <c r="AM1442">
        <v>75.417949991061505</v>
      </c>
      <c r="AN1442">
        <v>1.0000000272779499</v>
      </c>
    </row>
    <row r="1443" spans="1:40" x14ac:dyDescent="0.25">
      <c r="A1443" t="str">
        <f>"20190303154449476"</f>
        <v>20190303154449476</v>
      </c>
      <c r="B1443" t="str">
        <f>"1551599089471815"</f>
        <v>1551599089471815</v>
      </c>
      <c r="C1443" t="s">
        <v>40</v>
      </c>
      <c r="D1443">
        <v>5.5438580000000002</v>
      </c>
      <c r="E1443">
        <v>0.59583699999999995</v>
      </c>
      <c r="F1443" t="s">
        <v>55</v>
      </c>
      <c r="G1443">
        <v>-217.11619999999999</v>
      </c>
      <c r="H1443" s="1">
        <v>2.2500800000000001E-6</v>
      </c>
      <c r="I1443">
        <v>287.59719999999999</v>
      </c>
      <c r="J1443">
        <v>-203.70820000000001</v>
      </c>
      <c r="K1443">
        <v>1.1153280000000001</v>
      </c>
      <c r="L1443">
        <v>285.14139999999998</v>
      </c>
      <c r="M1443">
        <v>-0.94744030000000001</v>
      </c>
      <c r="N1443">
        <v>-1.4513389999999999E-2</v>
      </c>
      <c r="O1443">
        <v>-0.31960359999999999</v>
      </c>
      <c r="P1443">
        <v>-0.99224210000000002</v>
      </c>
      <c r="Q1443">
        <v>-0.1008223</v>
      </c>
      <c r="R1443">
        <v>-7.2739449999999997E-2</v>
      </c>
      <c r="S1443">
        <v>-3.042618</v>
      </c>
      <c r="T1443">
        <v>-0.2493773</v>
      </c>
      <c r="U1443">
        <v>0.53668209999999905</v>
      </c>
      <c r="V1443">
        <v>0.24700759999999999</v>
      </c>
      <c r="W1443">
        <v>-9.0258560000000002E-2</v>
      </c>
      <c r="X1443">
        <v>0.96480080000000001</v>
      </c>
      <c r="Y1443">
        <v>0.47683510000000001</v>
      </c>
      <c r="Z1443">
        <v>4.4011870000000002E-2</v>
      </c>
      <c r="AA1443">
        <v>0.87789019999999995</v>
      </c>
      <c r="AB1443">
        <v>20</v>
      </c>
      <c r="AC1443">
        <v>-13.4079999999999</v>
      </c>
      <c r="AD1443">
        <v>-1.11532574992</v>
      </c>
      <c r="AE1443">
        <v>2.4558</v>
      </c>
      <c r="AF1443">
        <v>6.5686878931220702</v>
      </c>
      <c r="AG1443">
        <v>-1.11532574992</v>
      </c>
      <c r="AH1443">
        <v>11.8403807887518</v>
      </c>
      <c r="AI1443">
        <v>94.708837647022904</v>
      </c>
      <c r="AJ1443">
        <v>60.979801635208602</v>
      </c>
      <c r="AK1443">
        <v>13.5862514840675</v>
      </c>
      <c r="AL1443">
        <v>95.1784821682689</v>
      </c>
      <c r="AM1443">
        <v>75.639627083703104</v>
      </c>
      <c r="AN1443">
        <v>0.99999997289583598</v>
      </c>
    </row>
    <row r="1444" spans="1:40" x14ac:dyDescent="0.25">
      <c r="A1444" t="str">
        <f>"20190303154449517"</f>
        <v>20190303154449517</v>
      </c>
      <c r="B1444" t="str">
        <f>"1551599089511832"</f>
        <v>1551599089511832</v>
      </c>
      <c r="C1444" t="s">
        <v>40</v>
      </c>
      <c r="D1444">
        <v>5.407063</v>
      </c>
      <c r="E1444">
        <v>0.59374320000000003</v>
      </c>
      <c r="F1444" t="s">
        <v>55</v>
      </c>
      <c r="G1444">
        <v>-217.35810000000001</v>
      </c>
      <c r="H1444" s="1">
        <v>2.378839E-6</v>
      </c>
      <c r="I1444">
        <v>287.57819999999998</v>
      </c>
      <c r="J1444">
        <v>-204.07820000000001</v>
      </c>
      <c r="K1444">
        <v>1.115656</v>
      </c>
      <c r="L1444">
        <v>285.0421</v>
      </c>
      <c r="M1444">
        <v>-0.95328939999999995</v>
      </c>
      <c r="N1444">
        <v>-1.4150380000000001E-2</v>
      </c>
      <c r="O1444">
        <v>-0.30172660000000001</v>
      </c>
      <c r="P1444">
        <v>-0.99301539999999999</v>
      </c>
      <c r="Q1444">
        <v>-0.1002598</v>
      </c>
      <c r="R1444">
        <v>-6.2195599999999997E-2</v>
      </c>
      <c r="S1444">
        <v>-3.0380099999999999</v>
      </c>
      <c r="T1444">
        <v>-0.24823329999999999</v>
      </c>
      <c r="U1444">
        <v>0.54235840000000002</v>
      </c>
      <c r="V1444">
        <v>0.2392137</v>
      </c>
      <c r="W1444">
        <v>-8.9686810000000006E-2</v>
      </c>
      <c r="X1444">
        <v>0.96681589999999995</v>
      </c>
      <c r="Y1444">
        <v>0.46218559999999997</v>
      </c>
      <c r="Z1444">
        <v>4.2046979999999998E-2</v>
      </c>
      <c r="AA1444">
        <v>0.88578579999999996</v>
      </c>
      <c r="AB1444">
        <v>20</v>
      </c>
      <c r="AC1444">
        <v>-13.2798999999999</v>
      </c>
      <c r="AD1444">
        <v>-1.115653621161</v>
      </c>
      <c r="AE1444">
        <v>2.53609999999997</v>
      </c>
      <c r="AF1444">
        <v>6.38172404690141</v>
      </c>
      <c r="AG1444">
        <v>-1.115653621161</v>
      </c>
      <c r="AH1444">
        <v>11.815116475236</v>
      </c>
      <c r="AI1444">
        <v>94.749301376975495</v>
      </c>
      <c r="AJ1444">
        <v>61.625092631353702</v>
      </c>
      <c r="AK1444">
        <v>13.474719371348799</v>
      </c>
      <c r="AL1444">
        <v>95.145590012916301</v>
      </c>
      <c r="AM1444">
        <v>76.102738883178603</v>
      </c>
      <c r="AN1444">
        <v>0.99999995132423602</v>
      </c>
    </row>
    <row r="1445" spans="1:40" x14ac:dyDescent="0.25">
      <c r="A1445" t="str">
        <f>"20190303154449540"</f>
        <v>20190303154449540</v>
      </c>
      <c r="B1445" t="str">
        <f>"1551599089532327"</f>
        <v>1551599089532327</v>
      </c>
      <c r="C1445" t="s">
        <v>40</v>
      </c>
      <c r="D1445">
        <v>5.4777620000000002</v>
      </c>
      <c r="E1445">
        <v>0.59296000000000004</v>
      </c>
      <c r="F1445" t="s">
        <v>55</v>
      </c>
      <c r="G1445">
        <v>-217.83699999999999</v>
      </c>
      <c r="H1445" s="1">
        <v>2.6336949999999999E-6</v>
      </c>
      <c r="I1445">
        <v>287.57459999999998</v>
      </c>
      <c r="J1445">
        <v>-204.2842</v>
      </c>
      <c r="K1445">
        <v>1.115848</v>
      </c>
      <c r="L1445">
        <v>284.98930000000001</v>
      </c>
      <c r="M1445">
        <v>-0.9562676</v>
      </c>
      <c r="N1445">
        <v>-1.3939790000000001E-2</v>
      </c>
      <c r="O1445">
        <v>-0.29216130000000001</v>
      </c>
      <c r="P1445">
        <v>-0.99335569999999895</v>
      </c>
      <c r="Q1445">
        <v>-0.1001474</v>
      </c>
      <c r="R1445">
        <v>-5.6702950000000002E-2</v>
      </c>
      <c r="S1445">
        <v>-3.03125</v>
      </c>
      <c r="T1445">
        <v>-0.2457937</v>
      </c>
      <c r="U1445">
        <v>0.55795289999999997</v>
      </c>
      <c r="V1445">
        <v>0.23492689999999999</v>
      </c>
      <c r="W1445">
        <v>-8.9584179999999999E-2</v>
      </c>
      <c r="X1445">
        <v>0.96787599999999996</v>
      </c>
      <c r="Y1445">
        <v>0.45813520000000002</v>
      </c>
      <c r="Z1445">
        <v>4.091595E-2</v>
      </c>
      <c r="AA1445">
        <v>0.88794030000000002</v>
      </c>
      <c r="AB1445">
        <v>20</v>
      </c>
      <c r="AC1445">
        <v>-13.5528</v>
      </c>
      <c r="AD1445">
        <v>-1.1158453663050001</v>
      </c>
      <c r="AE1445">
        <v>2.5852999999999602</v>
      </c>
      <c r="AF1445">
        <v>6.3906667012209697</v>
      </c>
      <c r="AG1445">
        <v>-1.1158453663050001</v>
      </c>
      <c r="AH1445">
        <v>12.126645942198699</v>
      </c>
      <c r="AI1445">
        <v>94.653836673191293</v>
      </c>
      <c r="AJ1445">
        <v>62.211049412113702</v>
      </c>
      <c r="AK1445">
        <v>13.752864195324699</v>
      </c>
      <c r="AL1445">
        <v>95.139685923241899</v>
      </c>
      <c r="AM1445">
        <v>76.356775472794396</v>
      </c>
      <c r="AN1445">
        <v>0.99999996251293999</v>
      </c>
    </row>
    <row r="1446" spans="1:40" x14ac:dyDescent="0.25">
      <c r="A1446" t="str">
        <f>"20190303154449563"</f>
        <v>20190303154449563</v>
      </c>
      <c r="B1446" t="str">
        <f>"1551599089551848"</f>
        <v>1551599089551848</v>
      </c>
      <c r="C1446" t="s">
        <v>40</v>
      </c>
      <c r="D1446">
        <v>5.5589639999999996</v>
      </c>
      <c r="E1446">
        <v>0.53816339999999996</v>
      </c>
      <c r="F1446" t="s">
        <v>55</v>
      </c>
      <c r="G1446">
        <v>-218.3946</v>
      </c>
      <c r="H1446" s="1">
        <v>2.9303799999999998E-6</v>
      </c>
      <c r="I1446">
        <v>287.63740000000001</v>
      </c>
      <c r="J1446">
        <v>-204.4889</v>
      </c>
      <c r="K1446">
        <v>1.1160219999999901</v>
      </c>
      <c r="L1446">
        <v>284.93869999999998</v>
      </c>
      <c r="M1446">
        <v>-0.95903629999999995</v>
      </c>
      <c r="N1446">
        <v>-1.3719220000000001E-2</v>
      </c>
      <c r="O1446">
        <v>-0.28295120000000001</v>
      </c>
      <c r="P1446">
        <v>-0.99362419999999996</v>
      </c>
      <c r="Q1446">
        <v>-0.1006235</v>
      </c>
      <c r="R1446">
        <v>-5.0856329999999998E-2</v>
      </c>
      <c r="S1446">
        <v>-3.0283660000000001</v>
      </c>
      <c r="T1446">
        <v>-0.23948259999999999</v>
      </c>
      <c r="U1446">
        <v>0.56832890000000003</v>
      </c>
      <c r="V1446">
        <v>0.23133699999999999</v>
      </c>
      <c r="W1446">
        <v>-9.0109830000000002E-2</v>
      </c>
      <c r="X1446">
        <v>0.96869159999999999</v>
      </c>
      <c r="Y1446">
        <v>0.45283309999999999</v>
      </c>
      <c r="Z1446">
        <v>3.9067919999999999E-2</v>
      </c>
      <c r="AA1446">
        <v>0.89073899999999995</v>
      </c>
      <c r="AB1446">
        <v>20</v>
      </c>
      <c r="AC1446">
        <v>-13.9056999999999</v>
      </c>
      <c r="AD1446">
        <v>-1.1160190696200001</v>
      </c>
      <c r="AE1446">
        <v>2.6987000000000299</v>
      </c>
      <c r="AF1446">
        <v>6.4831562489220298</v>
      </c>
      <c r="AG1446">
        <v>-1.1160190696200001</v>
      </c>
      <c r="AH1446">
        <v>12.496085990257701</v>
      </c>
      <c r="AI1446">
        <v>94.532660652185399</v>
      </c>
      <c r="AJ1446">
        <v>62.579040665835997</v>
      </c>
      <c r="AK1446">
        <v>14.1219325372842</v>
      </c>
      <c r="AL1446">
        <v>95.169925546696703</v>
      </c>
      <c r="AM1446">
        <v>76.568542353017904</v>
      </c>
      <c r="AN1446">
        <v>1.00000000247109</v>
      </c>
    </row>
    <row r="1447" spans="1:40" x14ac:dyDescent="0.25">
      <c r="A1447" t="str">
        <f>"20190303154449585"</f>
        <v>20190303154449585</v>
      </c>
      <c r="B1447" t="str">
        <f>"1551599089582103"</f>
        <v>1551599089582103</v>
      </c>
      <c r="C1447" t="s">
        <v>40</v>
      </c>
      <c r="D1447">
        <v>5.4295589999999896</v>
      </c>
      <c r="E1447">
        <v>0.52654659999999998</v>
      </c>
      <c r="F1447" t="s">
        <v>55</v>
      </c>
      <c r="G1447">
        <v>-218.35749999999999</v>
      </c>
      <c r="H1447" s="1">
        <v>2.910672E-6</v>
      </c>
      <c r="I1447">
        <v>285.62939999999998</v>
      </c>
      <c r="J1447">
        <v>-204.69130000000001</v>
      </c>
      <c r="K1447">
        <v>1.1161779999999999</v>
      </c>
      <c r="L1447">
        <v>284.89030000000002</v>
      </c>
      <c r="M1447">
        <v>-0.96158549999999998</v>
      </c>
      <c r="N1447">
        <v>-1.3490200000000001E-2</v>
      </c>
      <c r="O1447">
        <v>-0.27417419999999998</v>
      </c>
      <c r="P1447">
        <v>-0.99403620000000004</v>
      </c>
      <c r="Q1447">
        <v>-9.9336300000000002E-2</v>
      </c>
      <c r="R1447">
        <v>-4.4995319999999998E-2</v>
      </c>
      <c r="S1447">
        <v>-3.0024570000000002</v>
      </c>
      <c r="T1447">
        <v>-0.24161060000000001</v>
      </c>
      <c r="U1447">
        <v>0.14953610000000001</v>
      </c>
      <c r="V1447">
        <v>0.22828280000000001</v>
      </c>
      <c r="W1447">
        <v>-8.8904319999999995E-2</v>
      </c>
      <c r="X1447">
        <v>0.96952720000000003</v>
      </c>
      <c r="Y1447">
        <v>0.31989269999999997</v>
      </c>
      <c r="Z1447">
        <v>3.3120249999999997E-2</v>
      </c>
      <c r="AA1447">
        <v>0.94687469999999996</v>
      </c>
      <c r="AB1447">
        <v>20</v>
      </c>
      <c r="AC1447">
        <v>-13.6661999999999</v>
      </c>
      <c r="AD1447">
        <v>-1.116175089328</v>
      </c>
      <c r="AE1447">
        <v>0.73909999999995002</v>
      </c>
      <c r="AF1447">
        <v>4.42857722560111</v>
      </c>
      <c r="AG1447">
        <v>-1.116175089328</v>
      </c>
      <c r="AH1447">
        <v>12.8542577333626</v>
      </c>
      <c r="AI1447">
        <v>94.693308748066997</v>
      </c>
      <c r="AJ1447">
        <v>70.990033046990405</v>
      </c>
      <c r="AK1447">
        <v>13.6414839716528</v>
      </c>
      <c r="AL1447">
        <v>95.100576549652999</v>
      </c>
      <c r="AM1447">
        <v>76.750590805337495</v>
      </c>
      <c r="AN1447">
        <v>1.0000000032151699</v>
      </c>
    </row>
    <row r="1448" spans="1:40" x14ac:dyDescent="0.25">
      <c r="A1448" t="str">
        <f>"20190303154449607"</f>
        <v>20190303154449607</v>
      </c>
      <c r="B1448" t="str">
        <f>"1551599089601623"</f>
        <v>1551599089601623</v>
      </c>
      <c r="C1448" t="s">
        <v>40</v>
      </c>
      <c r="D1448">
        <v>5.4330290000000003</v>
      </c>
      <c r="E1448">
        <v>0.52400919999999995</v>
      </c>
      <c r="F1448" t="s">
        <v>55</v>
      </c>
      <c r="G1448">
        <v>-218.49379999999999</v>
      </c>
      <c r="H1448" s="1">
        <v>2.9832009999999999E-6</v>
      </c>
      <c r="I1448">
        <v>285.23469999999998</v>
      </c>
      <c r="J1448">
        <v>-204.88900000000001</v>
      </c>
      <c r="K1448">
        <v>1.1163019999999999</v>
      </c>
      <c r="L1448">
        <v>284.84449999999998</v>
      </c>
      <c r="M1448">
        <v>-0.96392330000000004</v>
      </c>
      <c r="N1448">
        <v>-1.3274609999999999E-2</v>
      </c>
      <c r="O1448">
        <v>-0.265849</v>
      </c>
      <c r="P1448">
        <v>-0.99447059999999998</v>
      </c>
      <c r="Q1448">
        <v>-9.7448809999999997E-2</v>
      </c>
      <c r="R1448">
        <v>-3.9147250000000001E-2</v>
      </c>
      <c r="S1448">
        <v>-2.9971619999999999</v>
      </c>
      <c r="T1448">
        <v>-0.24237230000000001</v>
      </c>
      <c r="U1448">
        <v>7.4798580000000003E-2</v>
      </c>
      <c r="V1448">
        <v>0.2257005</v>
      </c>
      <c r="W1448">
        <v>-8.7114999999999998E-2</v>
      </c>
      <c r="X1448">
        <v>0.97029390000000004</v>
      </c>
      <c r="Y1448">
        <v>0.28815550000000001</v>
      </c>
      <c r="Z1448">
        <v>3.1274690000000001E-2</v>
      </c>
      <c r="AA1448">
        <v>0.95707279999999995</v>
      </c>
      <c r="AB1448">
        <v>20</v>
      </c>
      <c r="AC1448">
        <v>-13.6047999999999</v>
      </c>
      <c r="AD1448">
        <v>-1.1162990167989999</v>
      </c>
      <c r="AE1448">
        <v>0.390199999999993</v>
      </c>
      <c r="AF1448">
        <v>3.9666138313404802</v>
      </c>
      <c r="AG1448">
        <v>-1.1162990167989999</v>
      </c>
      <c r="AH1448">
        <v>12.924453220203</v>
      </c>
      <c r="AI1448">
        <v>94.720196665533607</v>
      </c>
      <c r="AJ1448">
        <v>72.938348357683793</v>
      </c>
      <c r="AK1448">
        <v>13.5654575972617</v>
      </c>
      <c r="AL1448">
        <v>94.997656721512996</v>
      </c>
      <c r="AM1448">
        <v>76.905263619268396</v>
      </c>
      <c r="AN1448">
        <v>0.99999999565122999</v>
      </c>
    </row>
    <row r="1449" spans="1:40" x14ac:dyDescent="0.25">
      <c r="A1449" t="str">
        <f>"20190303154449629"</f>
        <v>20190303154449629</v>
      </c>
      <c r="B1449" t="str">
        <f>"1551599089622120"</f>
        <v>1551599089622120</v>
      </c>
      <c r="C1449" t="s">
        <v>40</v>
      </c>
      <c r="D1449">
        <v>5.3571239999999998</v>
      </c>
      <c r="E1449">
        <v>0.52255940000000001</v>
      </c>
      <c r="F1449" t="s">
        <v>55</v>
      </c>
      <c r="G1449">
        <v>-218.6489</v>
      </c>
      <c r="H1449" s="1">
        <v>3.0657449999999999E-6</v>
      </c>
      <c r="I1449">
        <v>285.17689999999999</v>
      </c>
      <c r="J1449">
        <v>-205.09280000000001</v>
      </c>
      <c r="K1449">
        <v>1.1164179999999999</v>
      </c>
      <c r="L1449">
        <v>284.79899999999998</v>
      </c>
      <c r="M1449">
        <v>-0.96618839999999995</v>
      </c>
      <c r="N1449">
        <v>-1.307151E-2</v>
      </c>
      <c r="O1449">
        <v>-0.2575056</v>
      </c>
      <c r="P1449">
        <v>-0.99485579999999996</v>
      </c>
      <c r="Q1449">
        <v>-9.5420790000000005E-2</v>
      </c>
      <c r="R1449">
        <v>-3.4008959999999998E-2</v>
      </c>
      <c r="S1449">
        <v>-2.9957120000000002</v>
      </c>
      <c r="T1449">
        <v>-0.24303259999999999</v>
      </c>
      <c r="U1449">
        <v>7.2357179999999993E-2</v>
      </c>
      <c r="V1449">
        <v>0.22242149999999999</v>
      </c>
      <c r="W1449">
        <v>-8.5173470000000001E-2</v>
      </c>
      <c r="X1449">
        <v>0.97122299999999995</v>
      </c>
      <c r="Y1449">
        <v>0.27913929999999998</v>
      </c>
      <c r="Z1449">
        <v>3.0433959999999999E-2</v>
      </c>
      <c r="AA1449">
        <v>0.95976819999999896</v>
      </c>
      <c r="AB1449">
        <v>20</v>
      </c>
      <c r="AC1449">
        <v>-13.556099999999899</v>
      </c>
      <c r="AD1449">
        <v>-1.116414934255</v>
      </c>
      <c r="AE1449">
        <v>0.37789999999995399</v>
      </c>
      <c r="AF1449">
        <v>3.8302655545714099</v>
      </c>
      <c r="AG1449">
        <v>-1.116414934255</v>
      </c>
      <c r="AH1449">
        <v>12.914026108634401</v>
      </c>
      <c r="AI1449">
        <v>94.737908544947203</v>
      </c>
      <c r="AJ1449">
        <v>73.479784418651093</v>
      </c>
      <c r="AK1449">
        <v>13.516263790650701</v>
      </c>
      <c r="AL1449">
        <v>94.886000242815797</v>
      </c>
      <c r="AM1449">
        <v>77.101023611413893</v>
      </c>
      <c r="AN1449">
        <v>0.99999997969154497</v>
      </c>
    </row>
    <row r="1450" spans="1:40" x14ac:dyDescent="0.25">
      <c r="A1450" t="str">
        <f>"20190303154449651"</f>
        <v>20190303154449651</v>
      </c>
      <c r="B1450" t="str">
        <f>"1551599089641640"</f>
        <v>1551599089641640</v>
      </c>
      <c r="C1450" t="s">
        <v>40</v>
      </c>
      <c r="D1450">
        <v>5.254054</v>
      </c>
      <c r="E1450">
        <v>0.52281409999999995</v>
      </c>
      <c r="F1450" t="s">
        <v>55</v>
      </c>
      <c r="G1450">
        <v>-218.9057</v>
      </c>
      <c r="H1450" s="1">
        <v>3.202407E-6</v>
      </c>
      <c r="I1450">
        <v>285.15190000000001</v>
      </c>
      <c r="J1450">
        <v>-205.2912</v>
      </c>
      <c r="K1450">
        <v>1.1165259999999999</v>
      </c>
      <c r="L1450">
        <v>284.7561</v>
      </c>
      <c r="M1450">
        <v>-0.96826120000000004</v>
      </c>
      <c r="N1450">
        <v>-1.2887010000000001E-2</v>
      </c>
      <c r="O1450">
        <v>-0.2496082</v>
      </c>
      <c r="P1450">
        <v>-0.99505270000000001</v>
      </c>
      <c r="Q1450">
        <v>-9.5009449999999995E-2</v>
      </c>
      <c r="R1450">
        <v>-2.9042109999999999E-2</v>
      </c>
      <c r="S1450">
        <v>-2.9949189999999999</v>
      </c>
      <c r="T1450">
        <v>-0.24206050000000001</v>
      </c>
      <c r="U1450">
        <v>7.6538090000000003E-2</v>
      </c>
      <c r="V1450">
        <v>0.21937709999999999</v>
      </c>
      <c r="W1450">
        <v>-8.4840070000000004E-2</v>
      </c>
      <c r="X1450">
        <v>0.97194440000000004</v>
      </c>
      <c r="Y1450">
        <v>0.27269349999999998</v>
      </c>
      <c r="Z1450">
        <v>2.95179E-2</v>
      </c>
      <c r="AA1450">
        <v>0.96164799999999995</v>
      </c>
      <c r="AB1450">
        <v>20</v>
      </c>
      <c r="AC1450">
        <v>-13.6144999999999</v>
      </c>
      <c r="AD1450">
        <v>-1.1165227975929899</v>
      </c>
      <c r="AE1450">
        <v>0.39580000000000798</v>
      </c>
      <c r="AF1450">
        <v>3.7565984314232899</v>
      </c>
      <c r="AG1450">
        <v>-1.1165227975929899</v>
      </c>
      <c r="AH1450">
        <v>12.9973419655089</v>
      </c>
      <c r="AI1450">
        <v>94.7177043124032</v>
      </c>
      <c r="AJ1450">
        <v>73.879214617979699</v>
      </c>
      <c r="AK1450">
        <v>13.5753288395124</v>
      </c>
      <c r="AL1450">
        <v>94.866828174171104</v>
      </c>
      <c r="AM1450">
        <v>77.280928980343205</v>
      </c>
      <c r="AN1450">
        <v>1.0000000330866801</v>
      </c>
    </row>
    <row r="1451" spans="1:40" x14ac:dyDescent="0.25">
      <c r="A1451" t="str">
        <f>"20190303154449675"</f>
        <v>20190303154449675</v>
      </c>
      <c r="B1451" t="str">
        <f>"1551599089671895"</f>
        <v>1551599089671895</v>
      </c>
      <c r="C1451" t="s">
        <v>40</v>
      </c>
      <c r="D1451">
        <v>5.2396859999999998</v>
      </c>
      <c r="E1451">
        <v>0.52271409999999996</v>
      </c>
      <c r="F1451" t="s">
        <v>55</v>
      </c>
      <c r="G1451">
        <v>-220.10429999999999</v>
      </c>
      <c r="H1451" s="1">
        <v>-1.4812929999999999E-6</v>
      </c>
      <c r="I1451">
        <v>285.21539999999999</v>
      </c>
      <c r="J1451">
        <v>-205.50989999999999</v>
      </c>
      <c r="K1451">
        <v>1.1166579999999999</v>
      </c>
      <c r="L1451">
        <v>284.71039999999999</v>
      </c>
      <c r="M1451">
        <v>-0.97039949999999997</v>
      </c>
      <c r="N1451">
        <v>-1.2694540000000001E-2</v>
      </c>
      <c r="O1451">
        <v>-0.24117150000000001</v>
      </c>
      <c r="P1451">
        <v>-0.99519150000000001</v>
      </c>
      <c r="Q1451">
        <v>-9.4915470000000002E-2</v>
      </c>
      <c r="R1451">
        <v>-2.4189700000000001E-2</v>
      </c>
      <c r="S1451">
        <v>-2.996048</v>
      </c>
      <c r="T1451">
        <v>-0.2258251</v>
      </c>
      <c r="U1451">
        <v>9.2895510000000001E-2</v>
      </c>
      <c r="V1451">
        <v>0.21568950000000001</v>
      </c>
      <c r="W1451">
        <v>-8.4810360000000001E-2</v>
      </c>
      <c r="X1451">
        <v>0.97277190000000002</v>
      </c>
      <c r="Y1451">
        <v>0.26979449999999999</v>
      </c>
      <c r="Z1451">
        <v>2.68182E-2</v>
      </c>
      <c r="AA1451">
        <v>0.96254439999999997</v>
      </c>
      <c r="AB1451">
        <v>20</v>
      </c>
      <c r="AC1451">
        <v>-14.5944</v>
      </c>
      <c r="AD1451">
        <v>-1.116659481293</v>
      </c>
      <c r="AE1451">
        <v>0.50499999999999501</v>
      </c>
      <c r="AF1451">
        <v>3.9868163643180199</v>
      </c>
      <c r="AG1451">
        <v>-1.116659481293</v>
      </c>
      <c r="AH1451">
        <v>13.9601102696366</v>
      </c>
      <c r="AI1451">
        <v>94.398201406999505</v>
      </c>
      <c r="AJ1451">
        <v>74.061383458782004</v>
      </c>
      <c r="AK1451">
        <v>14.561123303521899</v>
      </c>
      <c r="AL1451">
        <v>94.865120098584498</v>
      </c>
      <c r="AM1451">
        <v>77.4982505793391</v>
      </c>
      <c r="AN1451">
        <v>0.99999996350159404</v>
      </c>
    </row>
    <row r="1452" spans="1:40" x14ac:dyDescent="0.25">
      <c r="A1452" t="str">
        <f>"20190303154449698"</f>
        <v>20190303154449698</v>
      </c>
      <c r="B1452" t="str">
        <f>"1551599089692391"</f>
        <v>1551599089692391</v>
      </c>
      <c r="C1452" t="s">
        <v>40</v>
      </c>
      <c r="D1452">
        <v>5.208323</v>
      </c>
      <c r="E1452">
        <v>0.52239119999999994</v>
      </c>
      <c r="F1452" t="s">
        <v>55</v>
      </c>
      <c r="G1452">
        <v>-221.1147</v>
      </c>
      <c r="H1452" s="1">
        <v>-9.4360939999999996E-7</v>
      </c>
      <c r="I1452">
        <v>285.26280000000003</v>
      </c>
      <c r="J1452">
        <v>-205.71459999999999</v>
      </c>
      <c r="K1452">
        <v>1.1167990000000001</v>
      </c>
      <c r="L1452">
        <v>284.66910000000001</v>
      </c>
      <c r="M1452">
        <v>-0.97226109999999999</v>
      </c>
      <c r="N1452">
        <v>-1.25235E-2</v>
      </c>
      <c r="O1452">
        <v>-0.23356289999999999</v>
      </c>
      <c r="P1452">
        <v>-0.99536480000000005</v>
      </c>
      <c r="Q1452">
        <v>-9.4166130000000001E-2</v>
      </c>
      <c r="R1452">
        <v>-1.954322E-2</v>
      </c>
      <c r="S1452">
        <v>-2.996613</v>
      </c>
      <c r="T1452">
        <v>-0.2144345</v>
      </c>
      <c r="U1452">
        <v>0.1060791</v>
      </c>
      <c r="V1452">
        <v>0.212668</v>
      </c>
      <c r="W1452">
        <v>-8.4105769999999996E-2</v>
      </c>
      <c r="X1452">
        <v>0.97349810000000003</v>
      </c>
      <c r="Y1452">
        <v>0.26663490000000001</v>
      </c>
      <c r="Z1452">
        <v>2.484602E-2</v>
      </c>
      <c r="AA1452">
        <v>0.96347729999999998</v>
      </c>
      <c r="AB1452">
        <v>20</v>
      </c>
      <c r="AC1452">
        <v>-15.4001</v>
      </c>
      <c r="AD1452">
        <v>-1.1167999436093901</v>
      </c>
      <c r="AE1452">
        <v>0.593700000000012</v>
      </c>
      <c r="AF1452">
        <v>4.1526441926168003</v>
      </c>
      <c r="AG1452">
        <v>-1.1167999436093901</v>
      </c>
      <c r="AH1452">
        <v>14.7579176568774</v>
      </c>
      <c r="AI1452">
        <v>94.166392209889906</v>
      </c>
      <c r="AJ1452">
        <v>74.284239339261205</v>
      </c>
      <c r="AK1452">
        <v>15.371656692487401</v>
      </c>
      <c r="AL1452">
        <v>94.824605105579707</v>
      </c>
      <c r="AM1452">
        <v>77.676905209611107</v>
      </c>
      <c r="AN1452">
        <v>1.00000000473745</v>
      </c>
    </row>
    <row r="1453" spans="1:40" x14ac:dyDescent="0.25">
      <c r="A1453" t="str">
        <f>"20190303154449717"</f>
        <v>20190303154449717</v>
      </c>
      <c r="B1453" t="str">
        <f>"1551599089711911"</f>
        <v>1551599089711911</v>
      </c>
      <c r="C1453" t="s">
        <v>40</v>
      </c>
      <c r="D1453">
        <v>5.2562179999999996</v>
      </c>
      <c r="E1453">
        <v>0.52207369999999997</v>
      </c>
      <c r="F1453" t="s">
        <v>55</v>
      </c>
      <c r="G1453">
        <v>-221.86850000000001</v>
      </c>
      <c r="H1453" s="1">
        <v>-5.4249379999999995E-7</v>
      </c>
      <c r="I1453">
        <v>285.30180000000001</v>
      </c>
      <c r="J1453">
        <v>-205.89349999999999</v>
      </c>
      <c r="K1453">
        <v>1.1169519999999999</v>
      </c>
      <c r="L1453">
        <v>284.63409999999999</v>
      </c>
      <c r="M1453">
        <v>-0.97377809999999998</v>
      </c>
      <c r="N1453">
        <v>-1.237769E-2</v>
      </c>
      <c r="O1453">
        <v>-0.22716259999999999</v>
      </c>
      <c r="P1453">
        <v>-0.99532600000000004</v>
      </c>
      <c r="Q1453">
        <v>-9.5001710000000003E-2</v>
      </c>
      <c r="R1453">
        <v>-1.7348079999999998E-2</v>
      </c>
      <c r="S1453">
        <v>-2.9966740000000001</v>
      </c>
      <c r="T1453">
        <v>-0.20717530000000001</v>
      </c>
      <c r="U1453">
        <v>0.11737060000000001</v>
      </c>
      <c r="V1453">
        <v>0.2084191</v>
      </c>
      <c r="W1453">
        <v>-8.4949640000000007E-2</v>
      </c>
      <c r="X1453">
        <v>0.97434339999999997</v>
      </c>
      <c r="Y1453">
        <v>0.26401859999999999</v>
      </c>
      <c r="Z1453">
        <v>2.3519200000000001E-2</v>
      </c>
      <c r="AA1453">
        <v>0.96423080000000005</v>
      </c>
      <c r="AB1453">
        <v>20</v>
      </c>
      <c r="AC1453">
        <v>-15.975</v>
      </c>
      <c r="AD1453">
        <v>-1.1169525424938</v>
      </c>
      <c r="AE1453">
        <v>0.66770000000002405</v>
      </c>
      <c r="AF1453">
        <v>4.2586596129648999</v>
      </c>
      <c r="AG1453">
        <v>-1.1169525424938</v>
      </c>
      <c r="AH1453">
        <v>15.330794093246899</v>
      </c>
      <c r="AI1453">
        <v>94.015502128696198</v>
      </c>
      <c r="AJ1453">
        <v>74.475522275070205</v>
      </c>
      <c r="AK1453">
        <v>15.9504549217512</v>
      </c>
      <c r="AL1453">
        <v>94.873128922113096</v>
      </c>
      <c r="AM1453">
        <v>77.925977907696705</v>
      </c>
      <c r="AN1453">
        <v>1.0000000118522401</v>
      </c>
    </row>
    <row r="1454" spans="1:40" x14ac:dyDescent="0.25">
      <c r="A1454" t="str">
        <f>"20190303154449740"</f>
        <v>20190303154449740</v>
      </c>
      <c r="B1454" t="str">
        <f>"1551599089732407"</f>
        <v>1551599089732407</v>
      </c>
      <c r="C1454" t="s">
        <v>40</v>
      </c>
      <c r="D1454">
        <v>5.1706539999999999</v>
      </c>
      <c r="E1454">
        <v>0.52159319999999998</v>
      </c>
      <c r="F1454" t="s">
        <v>55</v>
      </c>
      <c r="G1454">
        <v>-222.0718</v>
      </c>
      <c r="H1454" s="1">
        <v>-4.3426560000000001E-7</v>
      </c>
      <c r="I1454">
        <v>285.28870000000001</v>
      </c>
      <c r="J1454">
        <v>-206.1052</v>
      </c>
      <c r="K1454">
        <v>1.117154</v>
      </c>
      <c r="L1454">
        <v>284.59370000000001</v>
      </c>
      <c r="M1454">
        <v>-0.97544969999999998</v>
      </c>
      <c r="N1454">
        <v>-1.220736E-2</v>
      </c>
      <c r="O1454">
        <v>-0.2198841</v>
      </c>
      <c r="P1454">
        <v>-0.9953225</v>
      </c>
      <c r="Q1454">
        <v>-9.5428239999999998E-2</v>
      </c>
      <c r="R1454">
        <v>-1.5062020000000001E-2</v>
      </c>
      <c r="S1454">
        <v>-2.9964599999999999</v>
      </c>
      <c r="T1454">
        <v>-0.20687539999999999</v>
      </c>
      <c r="U1454">
        <v>0.1212463</v>
      </c>
      <c r="V1454">
        <v>0.20341100000000001</v>
      </c>
      <c r="W1454">
        <v>-8.5380029999999996E-2</v>
      </c>
      <c r="X1454">
        <v>0.9753636</v>
      </c>
      <c r="Y1454">
        <v>0.25809019999999999</v>
      </c>
      <c r="Z1454">
        <v>2.2858440000000001E-2</v>
      </c>
      <c r="AA1454">
        <v>0.9658504</v>
      </c>
      <c r="AB1454">
        <v>20</v>
      </c>
      <c r="AC1454">
        <v>-15.9666</v>
      </c>
      <c r="AD1454">
        <v>-1.1171544342655999</v>
      </c>
      <c r="AE1454">
        <v>0.69499999999999296</v>
      </c>
      <c r="AF1454">
        <v>4.1686814301277799</v>
      </c>
      <c r="AG1454">
        <v>-1.1171544342655999</v>
      </c>
      <c r="AH1454">
        <v>15.347949177132399</v>
      </c>
      <c r="AI1454">
        <v>94.0180608446869</v>
      </c>
      <c r="AJ1454">
        <v>74.804394625701605</v>
      </c>
      <c r="AK1454">
        <v>15.943195502775801</v>
      </c>
      <c r="AL1454">
        <v>94.897878584097597</v>
      </c>
      <c r="AM1454">
        <v>78.219874619655499</v>
      </c>
      <c r="AN1454">
        <v>0.99999996832437998</v>
      </c>
    </row>
    <row r="1455" spans="1:40" x14ac:dyDescent="0.25">
      <c r="A1455" t="str">
        <f>"20190303154449763"</f>
        <v>20190303154449763</v>
      </c>
      <c r="B1455" t="str">
        <f>"1551599089751928"</f>
        <v>1551599089751928</v>
      </c>
      <c r="C1455" t="s">
        <v>40</v>
      </c>
      <c r="D1455">
        <v>5.1905780000000004</v>
      </c>
      <c r="E1455">
        <v>0.52090049999999999</v>
      </c>
      <c r="F1455" t="s">
        <v>55</v>
      </c>
      <c r="G1455">
        <v>-222.47040000000001</v>
      </c>
      <c r="H1455" s="1">
        <v>-2.221499E-7</v>
      </c>
      <c r="I1455">
        <v>285.27229999999997</v>
      </c>
      <c r="J1455">
        <v>-206.31639999999999</v>
      </c>
      <c r="K1455">
        <v>1.1173439999999999</v>
      </c>
      <c r="L1455">
        <v>284.55470000000003</v>
      </c>
      <c r="M1455">
        <v>-0.97698079999999998</v>
      </c>
      <c r="N1455">
        <v>-1.203454E-2</v>
      </c>
      <c r="O1455">
        <v>-0.21298739999999999</v>
      </c>
      <c r="P1455">
        <v>-0.99526599999999998</v>
      </c>
      <c r="Q1455">
        <v>-9.6071660000000003E-2</v>
      </c>
      <c r="R1455">
        <v>-1.468617E-2</v>
      </c>
      <c r="S1455">
        <v>-2.9963679999999999</v>
      </c>
      <c r="T1455">
        <v>-0.20454369999999999</v>
      </c>
      <c r="U1455">
        <v>0.1242371</v>
      </c>
      <c r="V1455">
        <v>0.19691339999999999</v>
      </c>
      <c r="W1455">
        <v>-8.6019719999999994E-2</v>
      </c>
      <c r="X1455">
        <v>0.97663999999999995</v>
      </c>
      <c r="Y1455">
        <v>0.25227539999999998</v>
      </c>
      <c r="Z1455">
        <v>2.199388E-2</v>
      </c>
      <c r="AA1455">
        <v>0.96740550000000003</v>
      </c>
      <c r="AB1455">
        <v>21</v>
      </c>
      <c r="AC1455">
        <v>-16.154</v>
      </c>
      <c r="AD1455">
        <v>-1.1173442221498999</v>
      </c>
      <c r="AE1455">
        <v>0.71759999999994695</v>
      </c>
      <c r="AF1455">
        <v>4.1222966918058903</v>
      </c>
      <c r="AG1455">
        <v>-1.1173442221498999</v>
      </c>
      <c r="AH1455">
        <v>15.556162439988499</v>
      </c>
      <c r="AI1455">
        <v>93.971675988530606</v>
      </c>
      <c r="AJ1455">
        <v>75.1580701306614</v>
      </c>
      <c r="AK1455">
        <v>16.131831203721202</v>
      </c>
      <c r="AL1455">
        <v>94.9346653822561</v>
      </c>
      <c r="AM1455">
        <v>78.600663365124007</v>
      </c>
      <c r="AN1455">
        <v>0.999999984464219</v>
      </c>
    </row>
    <row r="1456" spans="1:40" x14ac:dyDescent="0.25">
      <c r="A1456" t="str">
        <f>"20190303154449786"</f>
        <v>20190303154449786</v>
      </c>
      <c r="B1456" t="str">
        <f>"1551599089782183"</f>
        <v>1551599089782183</v>
      </c>
      <c r="C1456" t="s">
        <v>40</v>
      </c>
      <c r="D1456">
        <v>5.1666919999999896</v>
      </c>
      <c r="E1456">
        <v>0.52010769999999995</v>
      </c>
      <c r="F1456" t="s">
        <v>55</v>
      </c>
      <c r="G1456">
        <v>-222.85149999999999</v>
      </c>
      <c r="H1456" s="1">
        <v>-1.9354839999999999E-8</v>
      </c>
      <c r="I1456">
        <v>285.21570000000003</v>
      </c>
      <c r="J1456">
        <v>-206.5257</v>
      </c>
      <c r="K1456">
        <v>1.1175090000000001</v>
      </c>
      <c r="L1456">
        <v>284.5172</v>
      </c>
      <c r="M1456">
        <v>-0.97837660000000004</v>
      </c>
      <c r="N1456">
        <v>-1.186339E-2</v>
      </c>
      <c r="O1456">
        <v>-0.2064909</v>
      </c>
      <c r="P1456">
        <v>-0.99533649999999996</v>
      </c>
      <c r="Q1456">
        <v>-9.5411579999999996E-2</v>
      </c>
      <c r="R1456">
        <v>-1.4214310000000001E-2</v>
      </c>
      <c r="S1456">
        <v>-2.9964750000000002</v>
      </c>
      <c r="T1456">
        <v>-0.20248440000000001</v>
      </c>
      <c r="U1456">
        <v>0.1197815</v>
      </c>
      <c r="V1456">
        <v>0.19094469999999999</v>
      </c>
      <c r="W1456">
        <v>-8.537633E-2</v>
      </c>
      <c r="X1456">
        <v>0.97788090000000005</v>
      </c>
      <c r="Y1456">
        <v>0.244452</v>
      </c>
      <c r="Z1456">
        <v>2.1112329999999999E-2</v>
      </c>
      <c r="AA1456">
        <v>0.9694315</v>
      </c>
      <c r="AB1456">
        <v>21</v>
      </c>
      <c r="AC1456">
        <v>-16.325799999999902</v>
      </c>
      <c r="AD1456">
        <v>-1.11750901935484</v>
      </c>
      <c r="AE1456">
        <v>0.69850000000002399</v>
      </c>
      <c r="AF1456">
        <v>4.0359348337330498</v>
      </c>
      <c r="AG1456">
        <v>-1.11750901935484</v>
      </c>
      <c r="AH1456">
        <v>15.7559715156353</v>
      </c>
      <c r="AI1456">
        <v>93.9304880004605</v>
      </c>
      <c r="AJ1456">
        <v>75.632452159929201</v>
      </c>
      <c r="AK1456">
        <v>16.303013058695299</v>
      </c>
      <c r="AL1456">
        <v>94.897665532657598</v>
      </c>
      <c r="AM1456">
        <v>78.951233056743902</v>
      </c>
      <c r="AN1456">
        <v>1.0000000253835799</v>
      </c>
    </row>
    <row r="1457" spans="1:40" x14ac:dyDescent="0.25">
      <c r="A1457" t="str">
        <f>"20190303154449806"</f>
        <v>20190303154449806</v>
      </c>
      <c r="B1457" t="str">
        <f>"1551599089801703"</f>
        <v>1551599089801703</v>
      </c>
      <c r="C1457" t="s">
        <v>40</v>
      </c>
      <c r="D1457">
        <v>5.2704620000000002</v>
      </c>
      <c r="E1457">
        <v>0.51962359999999996</v>
      </c>
      <c r="F1457" t="s">
        <v>55</v>
      </c>
      <c r="G1457">
        <v>-223.55189999999999</v>
      </c>
      <c r="H1457" s="1">
        <v>3.5335189999999998E-7</v>
      </c>
      <c r="I1457">
        <v>285.16899999999998</v>
      </c>
      <c r="J1457">
        <v>-206.7183</v>
      </c>
      <c r="K1457">
        <v>1.117623</v>
      </c>
      <c r="L1457">
        <v>284.48360000000002</v>
      </c>
      <c r="M1457">
        <v>-0.97957499999999997</v>
      </c>
      <c r="N1457">
        <v>-1.1712419999999999E-2</v>
      </c>
      <c r="O1457">
        <v>-0.20073820000000001</v>
      </c>
      <c r="P1457">
        <v>-0.99542839999999999</v>
      </c>
      <c r="Q1457">
        <v>-9.4262490000000004E-2</v>
      </c>
      <c r="R1457">
        <v>-1.539691E-2</v>
      </c>
      <c r="S1457">
        <v>-2.9968569999999999</v>
      </c>
      <c r="T1457">
        <v>-0.19669739999999999</v>
      </c>
      <c r="U1457">
        <v>0.1147156</v>
      </c>
      <c r="V1457">
        <v>0.1840955</v>
      </c>
      <c r="W1457">
        <v>-8.4245319999999999E-2</v>
      </c>
      <c r="X1457">
        <v>0.97929140000000003</v>
      </c>
      <c r="Y1457">
        <v>0.2371887</v>
      </c>
      <c r="Z1457">
        <v>1.990724E-2</v>
      </c>
      <c r="AA1457">
        <v>0.9712596</v>
      </c>
      <c r="AB1457">
        <v>21</v>
      </c>
      <c r="AC1457">
        <v>-16.833599999999901</v>
      </c>
      <c r="AD1457">
        <v>-1.1176226466481001</v>
      </c>
      <c r="AE1457">
        <v>0.685400000000015</v>
      </c>
      <c r="AF1457">
        <v>4.0330765828073698</v>
      </c>
      <c r="AG1457">
        <v>-1.1176226466481001</v>
      </c>
      <c r="AH1457">
        <v>16.2816580455377</v>
      </c>
      <c r="AI1457">
        <v>93.8119454066602</v>
      </c>
      <c r="AJ1457">
        <v>76.087487671829393</v>
      </c>
      <c r="AK1457">
        <v>16.810924299838899</v>
      </c>
      <c r="AL1457">
        <v>94.832629055310406</v>
      </c>
      <c r="AM1457">
        <v>79.353309905635598</v>
      </c>
      <c r="AN1457">
        <v>1.0000000365880499</v>
      </c>
    </row>
    <row r="1458" spans="1:40" x14ac:dyDescent="0.25">
      <c r="A1458" t="str">
        <f>"20190303154449830"</f>
        <v>20190303154449830</v>
      </c>
      <c r="B1458" t="str">
        <f>"1551599089822199"</f>
        <v>1551599089822199</v>
      </c>
      <c r="C1458" t="s">
        <v>40</v>
      </c>
      <c r="D1458">
        <v>5.2426659999999998</v>
      </c>
      <c r="E1458">
        <v>0.49542639999999999</v>
      </c>
      <c r="F1458" t="s">
        <v>55</v>
      </c>
      <c r="G1458">
        <v>-223.94890000000001</v>
      </c>
      <c r="H1458" s="1">
        <v>5.6462640000000001E-7</v>
      </c>
      <c r="I1458">
        <v>285.10070000000002</v>
      </c>
      <c r="J1458">
        <v>-206.93020000000001</v>
      </c>
      <c r="K1458">
        <v>1.117702</v>
      </c>
      <c r="L1458">
        <v>284.44779999999997</v>
      </c>
      <c r="M1458">
        <v>-0.98080579999999995</v>
      </c>
      <c r="N1458">
        <v>-1.154107E-2</v>
      </c>
      <c r="O1458">
        <v>-0.1946455</v>
      </c>
      <c r="P1458">
        <v>-0.99551140000000005</v>
      </c>
      <c r="Q1458">
        <v>-9.3281050000000004E-2</v>
      </c>
      <c r="R1458">
        <v>-1.5996739999999999E-2</v>
      </c>
      <c r="S1458">
        <v>-2.9970400000000001</v>
      </c>
      <c r="T1458">
        <v>-0.19439629999999999</v>
      </c>
      <c r="U1458">
        <v>0.1073303</v>
      </c>
      <c r="V1458">
        <v>0.1774655</v>
      </c>
      <c r="W1458">
        <v>-8.3321439999999997E-2</v>
      </c>
      <c r="X1458">
        <v>0.98059339999999995</v>
      </c>
      <c r="Y1458">
        <v>0.22879969999999999</v>
      </c>
      <c r="Z1458">
        <v>1.9037809999999999E-2</v>
      </c>
      <c r="AA1458">
        <v>0.97328729999999997</v>
      </c>
      <c r="AB1458">
        <v>21</v>
      </c>
      <c r="AC1458">
        <v>-17.0186999999999</v>
      </c>
      <c r="AD1458">
        <v>-1.1177014353735999</v>
      </c>
      <c r="AE1458">
        <v>0.652900000000045</v>
      </c>
      <c r="AF1458">
        <v>3.9362915659380402</v>
      </c>
      <c r="AG1458">
        <v>-1.1177014353735999</v>
      </c>
      <c r="AH1458">
        <v>16.495016602384901</v>
      </c>
      <c r="AI1458">
        <v>93.770869007946899</v>
      </c>
      <c r="AJ1458">
        <v>76.578228077035206</v>
      </c>
      <c r="AK1458">
        <v>16.994976331365301</v>
      </c>
      <c r="AL1458">
        <v>94.779508313459104</v>
      </c>
      <c r="AM1458">
        <v>79.741777643849304</v>
      </c>
      <c r="AN1458">
        <v>0.99999994108874002</v>
      </c>
    </row>
    <row r="1459" spans="1:40" x14ac:dyDescent="0.25">
      <c r="A1459" t="str">
        <f>"20190303154449851"</f>
        <v>20190303154449851</v>
      </c>
      <c r="B1459" t="str">
        <f>"1551599089841720"</f>
        <v>1551599089841720</v>
      </c>
      <c r="C1459" t="s">
        <v>40</v>
      </c>
      <c r="D1459">
        <v>5.2480339999999996</v>
      </c>
      <c r="E1459">
        <v>0.49607570000000001</v>
      </c>
      <c r="F1459" t="s">
        <v>55</v>
      </c>
      <c r="G1459">
        <v>-224.46250000000001</v>
      </c>
      <c r="H1459" s="1">
        <v>8.3793669999999904E-7</v>
      </c>
      <c r="I1459">
        <v>283.93549999999999</v>
      </c>
      <c r="J1459">
        <v>-207.12520000000001</v>
      </c>
      <c r="K1459">
        <v>1.117739</v>
      </c>
      <c r="L1459">
        <v>284.41570000000002</v>
      </c>
      <c r="M1459">
        <v>-0.98186859999999998</v>
      </c>
      <c r="N1459">
        <v>-1.1367820000000001E-2</v>
      </c>
      <c r="O1459">
        <v>-0.1892221</v>
      </c>
      <c r="P1459">
        <v>-0.99560800000000005</v>
      </c>
      <c r="Q1459">
        <v>-9.19513E-2</v>
      </c>
      <c r="R1459">
        <v>-1.7604350000000001E-2</v>
      </c>
      <c r="S1459">
        <v>-2.9942470000000001</v>
      </c>
      <c r="T1459">
        <v>-0.19088630000000001</v>
      </c>
      <c r="U1459">
        <v>-8.7493899999999999E-2</v>
      </c>
      <c r="V1459">
        <v>0.17051089999999999</v>
      </c>
      <c r="W1459">
        <v>-8.2065769999999996E-2</v>
      </c>
      <c r="X1459">
        <v>0.98193240000000004</v>
      </c>
      <c r="Y1459">
        <v>0.1598369</v>
      </c>
      <c r="Z1459">
        <v>1.5823319999999998E-2</v>
      </c>
      <c r="AA1459">
        <v>0.98701660000000002</v>
      </c>
      <c r="AB1459">
        <v>21</v>
      </c>
      <c r="AC1459">
        <v>-17.337299999999999</v>
      </c>
      <c r="AD1459">
        <v>-1.1177381620633</v>
      </c>
      <c r="AE1459">
        <v>-0.480200000000024</v>
      </c>
      <c r="AF1459">
        <v>2.7976689719870098</v>
      </c>
      <c r="AG1459">
        <v>-1.1177381620633</v>
      </c>
      <c r="AH1459">
        <v>17.044131394930901</v>
      </c>
      <c r="AI1459">
        <v>93.702623574685603</v>
      </c>
      <c r="AJ1459">
        <v>80.678441844120002</v>
      </c>
      <c r="AK1459">
        <v>17.3083420720593</v>
      </c>
      <c r="AL1459">
        <v>94.707316189089198</v>
      </c>
      <c r="AM1459">
        <v>80.148916624856398</v>
      </c>
      <c r="AN1459">
        <v>0.99999999789713101</v>
      </c>
    </row>
    <row r="1460" spans="1:40" x14ac:dyDescent="0.25">
      <c r="A1460" t="str">
        <f>"20190303154449876"</f>
        <v>20190303154449876</v>
      </c>
      <c r="B1460" t="str">
        <f>"1551599089871975"</f>
        <v>1551599089871975</v>
      </c>
      <c r="C1460" t="s">
        <v>40</v>
      </c>
      <c r="D1460">
        <v>5.4361670000000002</v>
      </c>
      <c r="E1460">
        <v>0.49607570000000001</v>
      </c>
      <c r="F1460" t="s">
        <v>55</v>
      </c>
      <c r="G1460">
        <v>-226.04490000000001</v>
      </c>
      <c r="H1460" s="1">
        <v>1.680007E-6</v>
      </c>
      <c r="I1460">
        <v>283.86380000000003</v>
      </c>
      <c r="J1460">
        <v>-207.3596</v>
      </c>
      <c r="K1460">
        <v>1.117772</v>
      </c>
      <c r="L1460">
        <v>284.37830000000002</v>
      </c>
      <c r="M1460">
        <v>-0.98306950000000004</v>
      </c>
      <c r="N1460">
        <v>-1.1141760000000001E-2</v>
      </c>
      <c r="O1460">
        <v>-0.18289449999999999</v>
      </c>
      <c r="P1460">
        <v>-0.99569160000000001</v>
      </c>
      <c r="Q1460">
        <v>-9.0827350000000001E-2</v>
      </c>
      <c r="R1460">
        <v>-1.8668230000000001E-2</v>
      </c>
      <c r="S1460">
        <v>-2.9953609999999999</v>
      </c>
      <c r="T1460">
        <v>-0.17696020000000001</v>
      </c>
      <c r="U1460">
        <v>-8.7371829999999998E-2</v>
      </c>
      <c r="V1460">
        <v>0.1631775</v>
      </c>
      <c r="W1460">
        <v>-8.1069479999999999E-2</v>
      </c>
      <c r="X1460">
        <v>0.98326029999999998</v>
      </c>
      <c r="Y1460">
        <v>0.1536392</v>
      </c>
      <c r="Z1460">
        <v>1.408469E-2</v>
      </c>
      <c r="AA1460">
        <v>0.98802659999999998</v>
      </c>
      <c r="AB1460">
        <v>21</v>
      </c>
      <c r="AC1460">
        <v>-18.685300000000002</v>
      </c>
      <c r="AD1460">
        <v>-1.117770319993</v>
      </c>
      <c r="AE1460">
        <v>-0.51449999999999796</v>
      </c>
      <c r="AF1460">
        <v>2.9014547392788299</v>
      </c>
      <c r="AG1460">
        <v>-1.117770319993</v>
      </c>
      <c r="AH1460">
        <v>18.398402787978501</v>
      </c>
      <c r="AI1460">
        <v>93.434315555898607</v>
      </c>
      <c r="AJ1460">
        <v>81.038179023240303</v>
      </c>
      <c r="AK1460">
        <v>18.6592892480136</v>
      </c>
      <c r="AL1460">
        <v>94.650042175556095</v>
      </c>
      <c r="AM1460">
        <v>80.577325372635599</v>
      </c>
      <c r="AN1460">
        <v>0.99999998732490503</v>
      </c>
    </row>
    <row r="1461" spans="1:40" x14ac:dyDescent="0.25">
      <c r="A1461" t="str">
        <f>"20190303154449986"</f>
        <v>20190303154449986</v>
      </c>
      <c r="B1461" t="str">
        <f>"1551599089982264"</f>
        <v>1551599089982264</v>
      </c>
      <c r="C1461" t="s">
        <v>40</v>
      </c>
      <c r="D1461">
        <v>5.5470490000000003</v>
      </c>
      <c r="E1461">
        <v>0.50124659999999999</v>
      </c>
      <c r="F1461" t="s">
        <v>55</v>
      </c>
      <c r="G1461">
        <v>-226.65289999999999</v>
      </c>
      <c r="H1461" s="1">
        <v>2.0035290000000001E-6</v>
      </c>
      <c r="I1461">
        <v>283.79649999999998</v>
      </c>
      <c r="J1461">
        <v>-208.38810000000001</v>
      </c>
      <c r="K1461">
        <v>1.117837</v>
      </c>
      <c r="L1461">
        <v>284.23</v>
      </c>
      <c r="M1461">
        <v>-0.98762969999999894</v>
      </c>
      <c r="N1461">
        <v>-1.01228E-2</v>
      </c>
      <c r="O1461">
        <v>-0.15647749999999999</v>
      </c>
      <c r="P1461">
        <v>-0.99627619999999895</v>
      </c>
      <c r="Q1461">
        <v>-8.3687910000000004E-2</v>
      </c>
      <c r="R1461">
        <v>-2.074786E-2</v>
      </c>
      <c r="S1461">
        <v>-2.9954529999999999</v>
      </c>
      <c r="T1461">
        <v>-0.1735438</v>
      </c>
      <c r="U1461">
        <v>-9.0332029999999994E-2</v>
      </c>
      <c r="V1461">
        <v>0.1348895</v>
      </c>
      <c r="W1461">
        <v>-7.4639570000000002E-2</v>
      </c>
      <c r="X1461">
        <v>0.98804539999999996</v>
      </c>
      <c r="Y1461">
        <v>0.12621840000000001</v>
      </c>
      <c r="Z1461">
        <v>1.1726179999999999E-2</v>
      </c>
      <c r="AA1461">
        <v>0.99193319999999996</v>
      </c>
      <c r="AB1461">
        <v>21</v>
      </c>
      <c r="AC1461">
        <v>-18.264799999999902</v>
      </c>
      <c r="AD1461">
        <v>-1.1178349964709999</v>
      </c>
      <c r="AE1461">
        <v>-0.43350000000003702</v>
      </c>
      <c r="AF1461">
        <v>2.4209542398875499</v>
      </c>
      <c r="AG1461">
        <v>-1.1178349964709999</v>
      </c>
      <c r="AH1461">
        <v>18.0400852329219</v>
      </c>
      <c r="AI1461">
        <v>93.514315745220003</v>
      </c>
      <c r="AJ1461">
        <v>82.356651814242596</v>
      </c>
      <c r="AK1461">
        <v>18.2360974367339</v>
      </c>
      <c r="AL1461">
        <v>94.280513236760299</v>
      </c>
      <c r="AM1461">
        <v>82.225950958102601</v>
      </c>
      <c r="AN1461">
        <v>0.999999977540597</v>
      </c>
    </row>
    <row r="1462" spans="1:40" x14ac:dyDescent="0.25">
      <c r="A1462" t="str">
        <f>"20190303154450009"</f>
        <v>20190303154450009</v>
      </c>
      <c r="B1462" t="str">
        <f>"1551599090001784"</f>
        <v>1551599090001784</v>
      </c>
      <c r="C1462" t="s">
        <v>40</v>
      </c>
      <c r="D1462">
        <v>5.2049519999999996</v>
      </c>
      <c r="E1462">
        <v>0.50749900000000003</v>
      </c>
      <c r="F1462" t="s">
        <v>55</v>
      </c>
      <c r="G1462">
        <v>-246.30529999999999</v>
      </c>
      <c r="H1462" s="1">
        <v>1.81856E-6</v>
      </c>
      <c r="I1462">
        <v>283.51010000000002</v>
      </c>
      <c r="J1462">
        <v>-208.61199999999999</v>
      </c>
      <c r="K1462">
        <v>1.1178049999999999</v>
      </c>
      <c r="L1462">
        <v>284.2011</v>
      </c>
      <c r="M1462">
        <v>-0.98849960000000003</v>
      </c>
      <c r="N1462">
        <v>-9.9108849999999995E-3</v>
      </c>
      <c r="O1462">
        <v>-0.15089929999999999</v>
      </c>
      <c r="P1462">
        <v>-0.99634710000000004</v>
      </c>
      <c r="Q1462">
        <v>-8.2997849999999998E-2</v>
      </c>
      <c r="R1462">
        <v>-2.0107420000000001E-2</v>
      </c>
      <c r="S1462">
        <v>-3.0025789999999999</v>
      </c>
      <c r="T1462">
        <v>-8.8518860000000005E-2</v>
      </c>
      <c r="U1462">
        <v>-5.7006840000000003E-2</v>
      </c>
      <c r="V1462">
        <v>0.12995779999999901</v>
      </c>
      <c r="W1462">
        <v>-7.4122320000000005E-2</v>
      </c>
      <c r="X1462">
        <v>0.98874510000000004</v>
      </c>
      <c r="Y1462">
        <v>0.1320094</v>
      </c>
      <c r="Z1462">
        <v>5.5325269999999998E-3</v>
      </c>
      <c r="AA1462">
        <v>0.99123309999999998</v>
      </c>
      <c r="AB1462">
        <v>21</v>
      </c>
      <c r="AC1462">
        <v>-37.693300000000001</v>
      </c>
      <c r="AD1462">
        <v>-1.11780318144</v>
      </c>
      <c r="AE1462">
        <v>-0.69099999999997397</v>
      </c>
      <c r="AF1462">
        <v>5.0006881825008804</v>
      </c>
      <c r="AG1462">
        <v>-1.11780318144</v>
      </c>
      <c r="AH1462">
        <v>37.333092387715602</v>
      </c>
      <c r="AI1462">
        <v>91.699828246788002</v>
      </c>
      <c r="AJ1462">
        <v>82.370764126472594</v>
      </c>
      <c r="AK1462">
        <v>37.683101696659101</v>
      </c>
      <c r="AL1462">
        <v>94.250794530323404</v>
      </c>
      <c r="AM1462">
        <v>82.512130799268903</v>
      </c>
      <c r="AN1462">
        <v>1.0000000104385101</v>
      </c>
    </row>
    <row r="1463" spans="1:40" x14ac:dyDescent="0.25">
      <c r="A1463" t="str">
        <f>"20190303154450030"</f>
        <v>20190303154450030</v>
      </c>
      <c r="B1463" t="str">
        <f>"1551599090022280"</f>
        <v>1551599090022280</v>
      </c>
      <c r="C1463" t="s">
        <v>40</v>
      </c>
      <c r="D1463">
        <v>5.2471360000000002</v>
      </c>
      <c r="E1463">
        <v>0.5084573</v>
      </c>
      <c r="F1463" t="s">
        <v>55</v>
      </c>
      <c r="G1463">
        <v>-332.0145</v>
      </c>
      <c r="H1463" s="1">
        <v>-4.34332E-7</v>
      </c>
      <c r="I1463">
        <v>283.91950000000003</v>
      </c>
      <c r="J1463">
        <v>-208.8066</v>
      </c>
      <c r="K1463">
        <v>1.1177760000000001</v>
      </c>
      <c r="L1463">
        <v>284.17700000000002</v>
      </c>
      <c r="M1463">
        <v>-0.98922220000000005</v>
      </c>
      <c r="N1463">
        <v>-9.7175300000000003E-3</v>
      </c>
      <c r="O1463">
        <v>-0.14609910000000001</v>
      </c>
      <c r="P1463">
        <v>-0.99639549999999999</v>
      </c>
      <c r="Q1463">
        <v>-8.2183729999999997E-2</v>
      </c>
      <c r="R1463">
        <v>-2.102358E-2</v>
      </c>
      <c r="S1463">
        <v>-3.008591</v>
      </c>
      <c r="T1463">
        <v>-2.7252439999999999E-2</v>
      </c>
      <c r="U1463">
        <v>-6.8664549999999996E-3</v>
      </c>
      <c r="V1463">
        <v>0.12426379999999999</v>
      </c>
      <c r="W1463">
        <v>-7.3454519999999995E-2</v>
      </c>
      <c r="X1463">
        <v>0.98952660000000003</v>
      </c>
      <c r="Y1463">
        <v>0.14383560000000001</v>
      </c>
      <c r="Z1463">
        <v>1.2464399999999999E-3</v>
      </c>
      <c r="AA1463">
        <v>0.98960079999999995</v>
      </c>
      <c r="AB1463">
        <v>21</v>
      </c>
      <c r="AC1463">
        <v>-123.2079</v>
      </c>
      <c r="AD1463">
        <v>-1.117776434332</v>
      </c>
      <c r="AE1463">
        <v>-0.25749999999999301</v>
      </c>
      <c r="AF1463">
        <v>17.745216530001599</v>
      </c>
      <c r="AG1463">
        <v>-1.117776434332</v>
      </c>
      <c r="AH1463">
        <v>121.913336756566</v>
      </c>
      <c r="AI1463">
        <v>90.519830676661499</v>
      </c>
      <c r="AJ1463">
        <v>81.718415287024399</v>
      </c>
      <c r="AK1463">
        <v>123.203099851318</v>
      </c>
      <c r="AL1463">
        <v>94.212427965936797</v>
      </c>
      <c r="AM1463">
        <v>82.842319870237205</v>
      </c>
      <c r="AN1463">
        <v>0.99999997530321405</v>
      </c>
    </row>
    <row r="1464" spans="1:40" x14ac:dyDescent="0.25">
      <c r="A1464" t="str">
        <f>"20190303154450053"</f>
        <v>20190303154450053</v>
      </c>
      <c r="B1464" t="str">
        <f>"1551599090041800"</f>
        <v>1551599090041800</v>
      </c>
      <c r="C1464" t="s">
        <v>40</v>
      </c>
      <c r="D1464">
        <v>5.221298</v>
      </c>
      <c r="E1464">
        <v>0.50820379999999998</v>
      </c>
      <c r="F1464" t="s">
        <v>55</v>
      </c>
      <c r="G1464">
        <v>-455.55200000000002</v>
      </c>
      <c r="H1464" s="1">
        <v>1.446666E-6</v>
      </c>
      <c r="I1464">
        <v>283.95429999999999</v>
      </c>
      <c r="J1464">
        <v>-209.0309</v>
      </c>
      <c r="K1464">
        <v>1.11774</v>
      </c>
      <c r="L1464">
        <v>284.15019999999998</v>
      </c>
      <c r="M1464">
        <v>-0.99001499999999998</v>
      </c>
      <c r="N1464">
        <v>-9.4744019999999998E-3</v>
      </c>
      <c r="O1464">
        <v>-0.14064399999999999</v>
      </c>
      <c r="P1464">
        <v>-0.99651000000000001</v>
      </c>
      <c r="Q1464">
        <v>-8.0456700000000006E-2</v>
      </c>
      <c r="R1464">
        <v>-2.2248219999999999E-2</v>
      </c>
      <c r="S1464">
        <v>-3.0096590000000001</v>
      </c>
      <c r="T1464">
        <v>-1.363397E-2</v>
      </c>
      <c r="U1464">
        <v>-2.7160639999999998E-3</v>
      </c>
      <c r="V1464">
        <v>0.1176266</v>
      </c>
      <c r="W1464">
        <v>-7.1909920000000002E-2</v>
      </c>
      <c r="X1464">
        <v>0.99045090000000002</v>
      </c>
      <c r="Y1464">
        <v>0.1397506</v>
      </c>
      <c r="Z1464">
        <v>2.7820930000000001E-4</v>
      </c>
      <c r="AA1464">
        <v>0.99018669999999998</v>
      </c>
      <c r="AB1464">
        <v>21</v>
      </c>
      <c r="AC1464">
        <v>-246.52109999999999</v>
      </c>
      <c r="AD1464">
        <v>-1.1177385533340001</v>
      </c>
      <c r="AE1464">
        <v>-0.195899999999994</v>
      </c>
      <c r="AF1464">
        <v>34.478604958328098</v>
      </c>
      <c r="AG1464">
        <v>-1.1177385533340001</v>
      </c>
      <c r="AH1464">
        <v>244.09305258496801</v>
      </c>
      <c r="AI1464">
        <v>90.259785305020699</v>
      </c>
      <c r="AJ1464">
        <v>81.960052574643399</v>
      </c>
      <c r="AK1464">
        <v>246.51864404055601</v>
      </c>
      <c r="AL1464">
        <v>94.123694023788602</v>
      </c>
      <c r="AM1464">
        <v>83.227237901980104</v>
      </c>
      <c r="AN1464">
        <v>1.0000000194663801</v>
      </c>
    </row>
    <row r="1465" spans="1:40" x14ac:dyDescent="0.25">
      <c r="A1465" t="str">
        <f>"20190303154450076"</f>
        <v>20190303154450076</v>
      </c>
      <c r="B1465" t="str">
        <f>"1551599090072056"</f>
        <v>1551599090072056</v>
      </c>
      <c r="C1465" t="s">
        <v>40</v>
      </c>
      <c r="D1465">
        <v>5.2427669999999997</v>
      </c>
      <c r="E1465">
        <v>0.50749560000000005</v>
      </c>
      <c r="F1465" t="s">
        <v>54</v>
      </c>
      <c r="G1465">
        <v>-499.95780000000002</v>
      </c>
      <c r="H1465">
        <v>2.768017E-2</v>
      </c>
      <c r="I1465">
        <v>283.27699999999999</v>
      </c>
      <c r="J1465">
        <v>-209.2466</v>
      </c>
      <c r="K1465">
        <v>1.117723</v>
      </c>
      <c r="L1465">
        <v>284.12560000000002</v>
      </c>
      <c r="M1465">
        <v>-0.99073359999999999</v>
      </c>
      <c r="N1465">
        <v>-9.2153029999999993E-3</v>
      </c>
      <c r="O1465">
        <v>-0.13550589999999901</v>
      </c>
      <c r="P1465">
        <v>-0.99647399999999997</v>
      </c>
      <c r="Q1465">
        <v>-8.0461160000000004E-2</v>
      </c>
      <c r="R1465">
        <v>-2.3783120000000001E-2</v>
      </c>
      <c r="S1465">
        <v>-3.00943</v>
      </c>
      <c r="T1465">
        <v>-1.127589E-2</v>
      </c>
      <c r="U1465">
        <v>-9.0332030000000001E-3</v>
      </c>
      <c r="V1465">
        <v>0.11096880000000001</v>
      </c>
      <c r="W1465">
        <v>-7.2107519999999994E-2</v>
      </c>
      <c r="X1465">
        <v>0.99120459999999999</v>
      </c>
      <c r="Y1465">
        <v>0.13253190000000001</v>
      </c>
      <c r="Z1465">
        <v>1.137707E-4</v>
      </c>
      <c r="AA1465">
        <v>0.99117880000000003</v>
      </c>
      <c r="AB1465">
        <v>21</v>
      </c>
      <c r="AC1465">
        <v>-290.71120000000002</v>
      </c>
      <c r="AD1465">
        <v>-1.09004283</v>
      </c>
      <c r="AE1465">
        <v>-0.84860000000003299</v>
      </c>
      <c r="AF1465">
        <v>38.553444449281997</v>
      </c>
      <c r="AG1465">
        <v>-1.09004283</v>
      </c>
      <c r="AH1465">
        <v>288.14055166162802</v>
      </c>
      <c r="AI1465">
        <v>90.214835798994699</v>
      </c>
      <c r="AJ1465">
        <v>82.379040631048994</v>
      </c>
      <c r="AK1465">
        <v>290.71039503970701</v>
      </c>
      <c r="AL1465">
        <v>94.135044952454706</v>
      </c>
      <c r="AM1465">
        <v>83.612137327017294</v>
      </c>
      <c r="AN1465">
        <v>1.0000000640375699</v>
      </c>
    </row>
    <row r="1466" spans="1:40" x14ac:dyDescent="0.25">
      <c r="A1466" t="str">
        <f>"20190303154450120"</f>
        <v>20190303154450120</v>
      </c>
      <c r="B1466" t="str">
        <f>"1551599090112073"</f>
        <v>1551599090112073</v>
      </c>
      <c r="C1466" t="s">
        <v>40</v>
      </c>
      <c r="D1466">
        <v>5.2155690000000003</v>
      </c>
      <c r="E1466">
        <v>0.50716329999999998</v>
      </c>
      <c r="F1466" t="s">
        <v>57</v>
      </c>
      <c r="G1466">
        <v>-421.88720000000001</v>
      </c>
      <c r="H1466" s="1">
        <v>3.7969929999999998E-6</v>
      </c>
      <c r="I1466">
        <v>282.70429999999999</v>
      </c>
      <c r="J1466">
        <v>-209.67779999999999</v>
      </c>
      <c r="K1466">
        <v>1.1177379999999999</v>
      </c>
      <c r="L1466">
        <v>284.07909999999998</v>
      </c>
      <c r="M1466">
        <v>-0.99203560000000002</v>
      </c>
      <c r="N1466">
        <v>-8.6356169999999999E-3</v>
      </c>
      <c r="O1466">
        <v>-0.1256632</v>
      </c>
      <c r="P1466">
        <v>-0.99636329999999995</v>
      </c>
      <c r="Q1466">
        <v>-8.1659640000000006E-2</v>
      </c>
      <c r="R1466">
        <v>-2.4329480000000001E-2</v>
      </c>
      <c r="S1466">
        <v>-3.0088650000000001</v>
      </c>
      <c r="T1466">
        <v>-1.581573E-2</v>
      </c>
      <c r="U1466">
        <v>-2.011108E-2</v>
      </c>
      <c r="V1466">
        <v>0.1005867</v>
      </c>
      <c r="W1466">
        <v>-7.3763620000000002E-2</v>
      </c>
      <c r="X1466">
        <v>0.99219009999999996</v>
      </c>
      <c r="Y1466">
        <v>0.1190292</v>
      </c>
      <c r="Z1466">
        <v>3.9846819999999998E-4</v>
      </c>
      <c r="AA1466">
        <v>0.99289070000000001</v>
      </c>
      <c r="AB1466">
        <v>21</v>
      </c>
      <c r="AC1466">
        <v>-212.20939999999999</v>
      </c>
      <c r="AD1466">
        <v>-1.1177342030070001</v>
      </c>
      <c r="AE1466">
        <v>-1.37479999999999</v>
      </c>
      <c r="AF1466">
        <v>25.3032976714154</v>
      </c>
      <c r="AG1466">
        <v>-1.1177342030070001</v>
      </c>
      <c r="AH1466">
        <v>210.694005835062</v>
      </c>
      <c r="AI1466">
        <v>90.301783487853996</v>
      </c>
      <c r="AJ1466">
        <v>83.15186053763</v>
      </c>
      <c r="AK1466">
        <v>212.21090994014</v>
      </c>
      <c r="AL1466">
        <v>94.230186267558196</v>
      </c>
      <c r="AM1466">
        <v>84.2112198710211</v>
      </c>
      <c r="AN1466">
        <v>0.99999997519520101</v>
      </c>
    </row>
    <row r="1467" spans="1:40" x14ac:dyDescent="0.25">
      <c r="A1467" t="str">
        <f>"20190303154450142"</f>
        <v>20190303154450142</v>
      </c>
      <c r="B1467" t="str">
        <f>"1551599090131592"</f>
        <v>1551599090131592</v>
      </c>
      <c r="C1467" t="s">
        <v>40</v>
      </c>
      <c r="D1467">
        <v>5.2151560000000003</v>
      </c>
      <c r="E1467">
        <v>0.50690159999999995</v>
      </c>
      <c r="F1467" t="s">
        <v>55</v>
      </c>
      <c r="G1467">
        <v>-324.43759999999997</v>
      </c>
      <c r="H1467" s="1">
        <v>8.8803950000000004E-7</v>
      </c>
      <c r="I1467">
        <v>283.16629999999998</v>
      </c>
      <c r="J1467">
        <v>-209.88399999999999</v>
      </c>
      <c r="K1467">
        <v>1.1177600000000001</v>
      </c>
      <c r="L1467">
        <v>284.05810000000002</v>
      </c>
      <c r="M1467">
        <v>-0.99259500000000001</v>
      </c>
      <c r="N1467">
        <v>-8.3595570000000001E-3</v>
      </c>
      <c r="O1467">
        <v>-0.12118329999999999</v>
      </c>
      <c r="P1467">
        <v>-0.99626789999999998</v>
      </c>
      <c r="Q1467">
        <v>-8.3102319999999993E-2</v>
      </c>
      <c r="R1467">
        <v>-2.3337879999999998E-2</v>
      </c>
      <c r="S1467">
        <v>-3.007965</v>
      </c>
      <c r="T1467">
        <v>-2.9296989999999998E-2</v>
      </c>
      <c r="U1467">
        <v>-2.3925780000000001E-2</v>
      </c>
      <c r="V1467">
        <v>9.708456E-2</v>
      </c>
      <c r="W1467">
        <v>-7.5436980000000001E-2</v>
      </c>
      <c r="X1467">
        <v>0.9924132</v>
      </c>
      <c r="Y1467">
        <v>0.1132784</v>
      </c>
      <c r="Z1467">
        <v>1.188045E-3</v>
      </c>
      <c r="AA1467">
        <v>0.99356259999999996</v>
      </c>
      <c r="AB1467">
        <v>22</v>
      </c>
      <c r="AC1467">
        <v>-114.55359999999899</v>
      </c>
      <c r="AD1467">
        <v>-1.1177591119604999</v>
      </c>
      <c r="AE1467">
        <v>-0.891800000000046</v>
      </c>
      <c r="AF1467">
        <v>12.996003230871199</v>
      </c>
      <c r="AG1467">
        <v>-1.1177591119604999</v>
      </c>
      <c r="AH1467">
        <v>113.80653788842901</v>
      </c>
      <c r="AI1467">
        <v>90.559083286458304</v>
      </c>
      <c r="AJ1467">
        <v>83.485395609779502</v>
      </c>
      <c r="AK1467">
        <v>114.551619593787</v>
      </c>
      <c r="AL1467">
        <v>94.326330307491403</v>
      </c>
      <c r="AM1467">
        <v>84.412718292693199</v>
      </c>
      <c r="AN1467">
        <v>1.0000000546380701</v>
      </c>
    </row>
    <row r="1468" spans="1:40" x14ac:dyDescent="0.25">
      <c r="A1468" t="str">
        <f>"20190303154450164"</f>
        <v>20190303154450164</v>
      </c>
      <c r="B1468" t="str">
        <f>"1551599090161847"</f>
        <v>1551599090161847</v>
      </c>
      <c r="C1468" t="s">
        <v>40</v>
      </c>
      <c r="D1468">
        <v>5.2254189999999996</v>
      </c>
      <c r="E1468">
        <v>0.50714789999999998</v>
      </c>
      <c r="F1468" t="s">
        <v>57</v>
      </c>
      <c r="G1468">
        <v>-292.32819999999998</v>
      </c>
      <c r="H1468" s="1">
        <v>2.7211399999999999E-6</v>
      </c>
      <c r="I1468">
        <v>283.44490000000002</v>
      </c>
      <c r="J1468">
        <v>-210.10550000000001</v>
      </c>
      <c r="K1468">
        <v>1.1177950000000001</v>
      </c>
      <c r="L1468">
        <v>284.03640000000001</v>
      </c>
      <c r="M1468">
        <v>-0.9931508</v>
      </c>
      <c r="N1468">
        <v>-8.0684769999999992E-3</v>
      </c>
      <c r="O1468">
        <v>-0.1165611</v>
      </c>
      <c r="P1468">
        <v>-0.99613470000000004</v>
      </c>
      <c r="Q1468">
        <v>-8.4939210000000001E-2</v>
      </c>
      <c r="R1468">
        <v>-2.239122E-2</v>
      </c>
      <c r="S1468">
        <v>-3.0073240000000001</v>
      </c>
      <c r="T1468">
        <v>-4.0772559999999999E-2</v>
      </c>
      <c r="U1468">
        <v>-2.2369380000000001E-2</v>
      </c>
      <c r="V1468">
        <v>9.3392359999999994E-2</v>
      </c>
      <c r="W1468">
        <v>-7.7518900000000002E-2</v>
      </c>
      <c r="X1468">
        <v>0.99260700000000002</v>
      </c>
      <c r="Y1468">
        <v>0.1091565</v>
      </c>
      <c r="Z1468">
        <v>1.815496E-3</v>
      </c>
      <c r="AA1468">
        <v>0.99402290000000004</v>
      </c>
      <c r="AB1468">
        <v>22</v>
      </c>
      <c r="AC1468">
        <v>-82.222699999999904</v>
      </c>
      <c r="AD1468">
        <v>-1.1177922788600001</v>
      </c>
      <c r="AE1468">
        <v>-0.59149999999999603</v>
      </c>
      <c r="AF1468">
        <v>8.9951496944296903</v>
      </c>
      <c r="AG1468">
        <v>-1.1177922788600001</v>
      </c>
      <c r="AH1468">
        <v>81.7160407931636</v>
      </c>
      <c r="AI1468">
        <v>90.778994260945893</v>
      </c>
      <c r="AJ1468">
        <v>83.718278039291206</v>
      </c>
      <c r="AK1468">
        <v>82.217233598034994</v>
      </c>
      <c r="AL1468">
        <v>94.445966244266302</v>
      </c>
      <c r="AM1468">
        <v>84.624981026145704</v>
      </c>
      <c r="AN1468">
        <v>0.99999998460628903</v>
      </c>
    </row>
    <row r="1469" spans="1:40" x14ac:dyDescent="0.25">
      <c r="A1469" t="str">
        <f>"20190303154450186"</f>
        <v>20190303154450186</v>
      </c>
      <c r="B1469" t="str">
        <f>"1551599090182344"</f>
        <v>1551599090182344</v>
      </c>
      <c r="C1469" t="s">
        <v>40</v>
      </c>
      <c r="D1469">
        <v>5.2190789999999998</v>
      </c>
      <c r="E1469">
        <v>0.50733279999999903</v>
      </c>
      <c r="F1469" t="s">
        <v>55</v>
      </c>
      <c r="G1469">
        <v>-277.58780000000002</v>
      </c>
      <c r="H1469" s="1">
        <v>2.5430410000000001E-6</v>
      </c>
      <c r="I1469">
        <v>283.65559999999999</v>
      </c>
      <c r="J1469">
        <v>-210.32470000000001</v>
      </c>
      <c r="K1469">
        <v>1.1178189999999999</v>
      </c>
      <c r="L1469">
        <v>284.01569999999998</v>
      </c>
      <c r="M1469">
        <v>-0.99366019999999999</v>
      </c>
      <c r="N1469">
        <v>-7.7862769999999899E-3</v>
      </c>
      <c r="O1469">
        <v>-0.11215550000000001</v>
      </c>
      <c r="P1469">
        <v>-0.99592290000000006</v>
      </c>
      <c r="Q1469">
        <v>-8.7635149999999995E-2</v>
      </c>
      <c r="R1469">
        <v>-2.1402729999999998E-2</v>
      </c>
      <c r="S1469">
        <v>-3.0070039999999998</v>
      </c>
      <c r="T1469">
        <v>-4.9808739999999997E-2</v>
      </c>
      <c r="U1469">
        <v>-1.696777E-2</v>
      </c>
      <c r="V1469">
        <v>8.9945170000000005E-2</v>
      </c>
      <c r="W1469">
        <v>-8.0458139999999997E-2</v>
      </c>
      <c r="X1469">
        <v>0.99269149999999995</v>
      </c>
      <c r="Y1469">
        <v>0.10652440000000001</v>
      </c>
      <c r="Z1469">
        <v>2.276789E-3</v>
      </c>
      <c r="AA1469">
        <v>0.99430750000000001</v>
      </c>
      <c r="AB1469">
        <v>22</v>
      </c>
      <c r="AC1469">
        <v>-67.263099999999994</v>
      </c>
      <c r="AD1469">
        <v>-1.1178164569589999</v>
      </c>
      <c r="AE1469">
        <v>-0.36009999999998799</v>
      </c>
      <c r="AF1469">
        <v>7.1843430538700002</v>
      </c>
      <c r="AG1469">
        <v>-1.1178164569589999</v>
      </c>
      <c r="AH1469">
        <v>66.860612591351696</v>
      </c>
      <c r="AI1469">
        <v>90.952335457144599</v>
      </c>
      <c r="AJ1469">
        <v>83.866954522565194</v>
      </c>
      <c r="AK1469">
        <v>67.254782839869094</v>
      </c>
      <c r="AL1469">
        <v>94.614899975656499</v>
      </c>
      <c r="AM1469">
        <v>84.822716966509702</v>
      </c>
      <c r="AN1469">
        <v>1.0000000300354099</v>
      </c>
    </row>
    <row r="1470" spans="1:40" x14ac:dyDescent="0.25">
      <c r="A1470" t="str">
        <f>"20190303154450209"</f>
        <v>20190303154450209</v>
      </c>
      <c r="B1470" t="str">
        <f>"1551599090201864"</f>
        <v>1551599090201864</v>
      </c>
      <c r="C1470" t="s">
        <v>40</v>
      </c>
      <c r="D1470">
        <v>5.2788459999999997</v>
      </c>
      <c r="E1470">
        <v>0.50747520000000002</v>
      </c>
      <c r="F1470" t="s">
        <v>55</v>
      </c>
      <c r="G1470">
        <v>-266.14589999999998</v>
      </c>
      <c r="H1470" s="1">
        <v>1.7337349999999999E-6</v>
      </c>
      <c r="I1470">
        <v>283.78910000000002</v>
      </c>
      <c r="J1470">
        <v>-210.5521</v>
      </c>
      <c r="K1470">
        <v>1.1178300000000001</v>
      </c>
      <c r="L1470">
        <v>283.99509999999998</v>
      </c>
      <c r="M1470">
        <v>-0.99415019999999998</v>
      </c>
      <c r="N1470">
        <v>-7.4966909999999998E-3</v>
      </c>
      <c r="O1470">
        <v>-0.1077471</v>
      </c>
      <c r="P1470">
        <v>-0.99571290000000001</v>
      </c>
      <c r="Q1470">
        <v>-9.0440779999999998E-2</v>
      </c>
      <c r="R1470">
        <v>-1.941319E-2</v>
      </c>
      <c r="S1470">
        <v>-3.006729</v>
      </c>
      <c r="T1470">
        <v>-6.020963E-2</v>
      </c>
      <c r="U1470">
        <v>-1.2207030000000001E-2</v>
      </c>
      <c r="V1470">
        <v>8.7492009999999995E-2</v>
      </c>
      <c r="W1470">
        <v>-8.3524230000000005E-2</v>
      </c>
      <c r="X1470">
        <v>0.99265749999999997</v>
      </c>
      <c r="Y1470">
        <v>0.10367609999999999</v>
      </c>
      <c r="Z1470">
        <v>2.771833E-3</v>
      </c>
      <c r="AA1470">
        <v>0.99460729999999997</v>
      </c>
      <c r="AB1470">
        <v>22</v>
      </c>
      <c r="AC1470">
        <v>-55.593799999999902</v>
      </c>
      <c r="AD1470">
        <v>-1.1178282662650001</v>
      </c>
      <c r="AE1470">
        <v>-0.20599999999995999</v>
      </c>
      <c r="AF1470">
        <v>5.7830995731271999</v>
      </c>
      <c r="AG1470">
        <v>-1.1178282662650001</v>
      </c>
      <c r="AH1470">
        <v>55.269984877955103</v>
      </c>
      <c r="AI1470">
        <v>91.152352527927803</v>
      </c>
      <c r="AJ1470">
        <v>84.026669951551099</v>
      </c>
      <c r="AK1470">
        <v>55.582956102702497</v>
      </c>
      <c r="AL1470">
        <v>94.791167538386404</v>
      </c>
      <c r="AM1470">
        <v>84.963013829512093</v>
      </c>
      <c r="AN1470">
        <v>1.0000000305585901</v>
      </c>
    </row>
    <row r="1471" spans="1:40" x14ac:dyDescent="0.25">
      <c r="A1471" t="str">
        <f>"20190303154450232"</f>
        <v>20190303154450232</v>
      </c>
      <c r="B1471" t="str">
        <f>"1551599090222360"</f>
        <v>1551599090222360</v>
      </c>
      <c r="C1471" t="s">
        <v>40</v>
      </c>
      <c r="D1471">
        <v>5.2056209999999998</v>
      </c>
      <c r="E1471">
        <v>0.50759449999999995</v>
      </c>
      <c r="F1471" t="s">
        <v>55</v>
      </c>
      <c r="G1471">
        <v>-258.03739999999999</v>
      </c>
      <c r="H1471" s="1">
        <v>2.7403369999999998E-6</v>
      </c>
      <c r="I1471">
        <v>283.91410000000002</v>
      </c>
      <c r="J1471">
        <v>-210.77510000000001</v>
      </c>
      <c r="K1471">
        <v>1.1178440000000001</v>
      </c>
      <c r="L1471">
        <v>283.97579999999999</v>
      </c>
      <c r="M1471">
        <v>-0.99459560000000002</v>
      </c>
      <c r="N1471">
        <v>-7.2156609999999999E-3</v>
      </c>
      <c r="O1471">
        <v>-0.1035746</v>
      </c>
      <c r="P1471">
        <v>-0.99557739999999995</v>
      </c>
      <c r="Q1471">
        <v>-9.232071E-2</v>
      </c>
      <c r="R1471">
        <v>-1.7411300000000001E-2</v>
      </c>
      <c r="S1471">
        <v>-3.0063930000000001</v>
      </c>
      <c r="T1471">
        <v>-7.0771929999999997E-2</v>
      </c>
      <c r="U1471">
        <v>-5.1269530000000001E-3</v>
      </c>
      <c r="V1471">
        <v>8.5303480000000001E-2</v>
      </c>
      <c r="W1471">
        <v>-8.5659230000000003E-2</v>
      </c>
      <c r="X1471">
        <v>0.99266600000000005</v>
      </c>
      <c r="Y1471">
        <v>0.1018304</v>
      </c>
      <c r="Z1471">
        <v>3.2520539999999999E-3</v>
      </c>
      <c r="AA1471">
        <v>0.99479649999999997</v>
      </c>
      <c r="AB1471">
        <v>22</v>
      </c>
      <c r="AC1471">
        <v>-47.262299999999897</v>
      </c>
      <c r="AD1471">
        <v>-1.1178412596629901</v>
      </c>
      <c r="AE1471">
        <v>-6.1699999999973401E-2</v>
      </c>
      <c r="AF1471">
        <v>4.8312300624997002</v>
      </c>
      <c r="AG1471">
        <v>-1.1178412596629901</v>
      </c>
      <c r="AH1471">
        <v>46.988200450739903</v>
      </c>
      <c r="AI1471">
        <v>91.355655598551195</v>
      </c>
      <c r="AJ1471">
        <v>84.129594265400002</v>
      </c>
      <c r="AK1471">
        <v>47.249141099045602</v>
      </c>
      <c r="AL1471">
        <v>94.913934292651405</v>
      </c>
      <c r="AM1471">
        <v>85.088426938031404</v>
      </c>
      <c r="AN1471">
        <v>0.99999998747015095</v>
      </c>
    </row>
    <row r="1472" spans="1:40" x14ac:dyDescent="0.25">
      <c r="A1472" t="str">
        <f>"20190303154450254"</f>
        <v>20190303154450254</v>
      </c>
      <c r="B1472" t="str">
        <f>"1551599090251640"</f>
        <v>1551599090251640</v>
      </c>
      <c r="C1472" t="s">
        <v>40</v>
      </c>
      <c r="D1472">
        <v>5.2335209999999996</v>
      </c>
      <c r="E1472">
        <v>0.50780649999999905</v>
      </c>
      <c r="F1472" t="s">
        <v>55</v>
      </c>
      <c r="G1472">
        <v>-254.36529999999999</v>
      </c>
      <c r="H1472" s="1">
        <v>7.862052E-7</v>
      </c>
      <c r="I1472">
        <v>284.00670000000002</v>
      </c>
      <c r="J1472">
        <v>-211.00370000000001</v>
      </c>
      <c r="K1472">
        <v>1.117866</v>
      </c>
      <c r="L1472">
        <v>283.95670000000001</v>
      </c>
      <c r="M1472">
        <v>-0.99501879999999998</v>
      </c>
      <c r="N1472">
        <v>-6.9324E-3</v>
      </c>
      <c r="O1472">
        <v>-9.9446270000000003E-2</v>
      </c>
      <c r="P1472">
        <v>-0.99560360000000003</v>
      </c>
      <c r="Q1472">
        <v>-9.2452190000000004E-2</v>
      </c>
      <c r="R1472">
        <v>-1.5046530000000001E-2</v>
      </c>
      <c r="S1472">
        <v>-3.006195</v>
      </c>
      <c r="T1472">
        <v>-7.7092049999999995E-2</v>
      </c>
      <c r="U1472">
        <v>2.1362299999999998E-3</v>
      </c>
      <c r="V1472">
        <v>8.3550239999999998E-2</v>
      </c>
      <c r="W1472">
        <v>-8.6049890000000004E-2</v>
      </c>
      <c r="X1472">
        <v>0.99278129999999998</v>
      </c>
      <c r="Y1472">
        <v>0.10009659999999999</v>
      </c>
      <c r="Z1472">
        <v>3.4867750000000001E-3</v>
      </c>
      <c r="AA1472">
        <v>0.99497159999999996</v>
      </c>
      <c r="AB1472">
        <v>22</v>
      </c>
      <c r="AC1472">
        <v>-43.361599999999903</v>
      </c>
      <c r="AD1472">
        <v>-1.1178652137948</v>
      </c>
      <c r="AE1472">
        <v>5.0000000000011299E-2</v>
      </c>
      <c r="AF1472">
        <v>4.3591079572410498</v>
      </c>
      <c r="AG1472">
        <v>-1.1178652137948</v>
      </c>
      <c r="AH1472">
        <v>43.113017482409496</v>
      </c>
      <c r="AI1472">
        <v>91.477742334703393</v>
      </c>
      <c r="AJ1472">
        <v>84.226509955084794</v>
      </c>
      <c r="AK1472">
        <v>43.347245832436002</v>
      </c>
      <c r="AL1472">
        <v>94.936400511240194</v>
      </c>
      <c r="AM1472">
        <v>85.189451713039503</v>
      </c>
      <c r="AN1472">
        <v>0.99999996790137902</v>
      </c>
    </row>
    <row r="1473" spans="1:40" x14ac:dyDescent="0.25">
      <c r="A1473" t="str">
        <f>"20190303154450277"</f>
        <v>20190303154450277</v>
      </c>
      <c r="B1473" t="str">
        <f>"1551599090272139"</f>
        <v>1551599090272139</v>
      </c>
      <c r="C1473" t="s">
        <v>40</v>
      </c>
      <c r="D1473">
        <v>5.2577379999999998</v>
      </c>
      <c r="E1473">
        <v>0.5078606</v>
      </c>
      <c r="F1473" t="s">
        <v>55</v>
      </c>
      <c r="G1473">
        <v>-254.55070000000001</v>
      </c>
      <c r="H1473" s="1">
        <v>8.8488919999999903E-7</v>
      </c>
      <c r="I1473">
        <v>284.11619999999999</v>
      </c>
      <c r="J1473">
        <v>-211.23150000000001</v>
      </c>
      <c r="K1473">
        <v>1.1178969999999999</v>
      </c>
      <c r="L1473">
        <v>283.9384</v>
      </c>
      <c r="M1473">
        <v>-0.99540989999999996</v>
      </c>
      <c r="N1473">
        <v>-6.6582580000000002E-3</v>
      </c>
      <c r="O1473">
        <v>-9.5471089999999995E-2</v>
      </c>
      <c r="P1473">
        <v>-0.99573420000000001</v>
      </c>
      <c r="Q1473">
        <v>-9.1320460000000006E-2</v>
      </c>
      <c r="R1473">
        <v>-1.319088E-2</v>
      </c>
      <c r="S1473">
        <v>-3.0062259999999998</v>
      </c>
      <c r="T1473">
        <v>-7.7170610000000001E-2</v>
      </c>
      <c r="U1473">
        <v>1.101685E-2</v>
      </c>
      <c r="V1473">
        <v>8.1462290000000007E-2</v>
      </c>
      <c r="W1473">
        <v>-8.5165489999999996E-2</v>
      </c>
      <c r="X1473">
        <v>0.99303110000000006</v>
      </c>
      <c r="Y1473">
        <v>9.9062220000000006E-2</v>
      </c>
      <c r="Z1473">
        <v>3.4124870000000001E-3</v>
      </c>
      <c r="AA1473">
        <v>0.99507540000000005</v>
      </c>
      <c r="AB1473">
        <v>22</v>
      </c>
      <c r="AC1473">
        <v>-43.319200000000002</v>
      </c>
      <c r="AD1473">
        <v>-1.1178961151108</v>
      </c>
      <c r="AE1473">
        <v>0.17779999999998999</v>
      </c>
      <c r="AF1473">
        <v>4.3099407124203699</v>
      </c>
      <c r="AG1473">
        <v>-1.1178961151108</v>
      </c>
      <c r="AH1473">
        <v>43.075656971530996</v>
      </c>
      <c r="AI1473">
        <v>91.479219440828899</v>
      </c>
      <c r="AJ1473">
        <v>84.286279102774003</v>
      </c>
      <c r="AK1473">
        <v>43.305167176651899</v>
      </c>
      <c r="AL1473">
        <v>94.885541179870401</v>
      </c>
      <c r="AM1473">
        <v>85.310300445404593</v>
      </c>
      <c r="AN1473">
        <v>1.0000000154730899</v>
      </c>
    </row>
    <row r="1474" spans="1:40" x14ac:dyDescent="0.25">
      <c r="A1474" t="str">
        <f>"20190303154450300"</f>
        <v>20190303154450300</v>
      </c>
      <c r="B1474" t="str">
        <f>"1551599090291655"</f>
        <v>1551599090291655</v>
      </c>
      <c r="C1474" t="s">
        <v>40</v>
      </c>
      <c r="D1474">
        <v>5.276027</v>
      </c>
      <c r="E1474">
        <v>0.50794890000000004</v>
      </c>
      <c r="F1474" t="s">
        <v>55</v>
      </c>
      <c r="G1474">
        <v>-256.92180000000002</v>
      </c>
      <c r="H1474" s="1">
        <v>2.1466649999999998E-6</v>
      </c>
      <c r="I1474">
        <v>284.1986</v>
      </c>
      <c r="J1474">
        <v>-211.4691</v>
      </c>
      <c r="K1474">
        <v>1.11792</v>
      </c>
      <c r="L1474">
        <v>283.92020000000002</v>
      </c>
      <c r="M1474">
        <v>-0.99578739999999999</v>
      </c>
      <c r="N1474">
        <v>-6.3825619999999996E-3</v>
      </c>
      <c r="O1474">
        <v>-9.1469449999999994E-2</v>
      </c>
      <c r="P1474">
        <v>-0.99581620000000004</v>
      </c>
      <c r="Q1474">
        <v>-9.0649220000000003E-2</v>
      </c>
      <c r="R1474">
        <v>-1.152683E-2</v>
      </c>
      <c r="S1474">
        <v>-3.006348</v>
      </c>
      <c r="T1474">
        <v>-7.3555590000000004E-2</v>
      </c>
      <c r="U1474">
        <v>1.7120360000000001E-2</v>
      </c>
      <c r="V1474">
        <v>7.9151910000000006E-2</v>
      </c>
      <c r="W1474">
        <v>-8.4741800000000006E-2</v>
      </c>
      <c r="X1474">
        <v>0.99325410000000003</v>
      </c>
      <c r="Y1474">
        <v>9.7089099999999998E-2</v>
      </c>
      <c r="Z1474">
        <v>3.148526E-3</v>
      </c>
      <c r="AA1474">
        <v>0.99527069999999995</v>
      </c>
      <c r="AB1474">
        <v>22</v>
      </c>
      <c r="AC1474">
        <v>-45.4527</v>
      </c>
      <c r="AD1474">
        <v>-1.117917853335</v>
      </c>
      <c r="AE1474">
        <v>0.278399999999976</v>
      </c>
      <c r="AF1474">
        <v>4.4321701171321699</v>
      </c>
      <c r="AG1474">
        <v>-1.117917853335</v>
      </c>
      <c r="AH1474">
        <v>45.209336395571903</v>
      </c>
      <c r="AI1474">
        <v>91.409742087942007</v>
      </c>
      <c r="AJ1474">
        <v>84.400808491135194</v>
      </c>
      <c r="AK1474">
        <v>45.439828010259802</v>
      </c>
      <c r="AL1474">
        <v>94.861177761661594</v>
      </c>
      <c r="AM1474">
        <v>85.443757103637594</v>
      </c>
      <c r="AN1474">
        <v>0.999999952345348</v>
      </c>
    </row>
    <row r="1475" spans="1:40" x14ac:dyDescent="0.25">
      <c r="A1475" t="str">
        <f>"20190303154450324"</f>
        <v>20190303154450324</v>
      </c>
      <c r="B1475" t="str">
        <f>"1551599090312152"</f>
        <v>1551599090312152</v>
      </c>
      <c r="C1475" t="s">
        <v>40</v>
      </c>
      <c r="D1475">
        <v>5.3039589999999999</v>
      </c>
      <c r="E1475">
        <v>0.50789050000000002</v>
      </c>
      <c r="F1475" t="s">
        <v>55</v>
      </c>
      <c r="G1475">
        <v>-258.57190000000003</v>
      </c>
      <c r="H1475" s="1">
        <v>3.0247410000000001E-6</v>
      </c>
      <c r="I1475">
        <v>284.26819999999998</v>
      </c>
      <c r="J1475">
        <v>-211.71090000000001</v>
      </c>
      <c r="K1475">
        <v>1.1179479999999999</v>
      </c>
      <c r="L1475">
        <v>283.9024</v>
      </c>
      <c r="M1475">
        <v>-0.99614049999999998</v>
      </c>
      <c r="N1475">
        <v>-6.1149350000000002E-3</v>
      </c>
      <c r="O1475">
        <v>-8.7559369999999997E-2</v>
      </c>
      <c r="P1475">
        <v>-0.99575670000000005</v>
      </c>
      <c r="Q1475">
        <v>-9.1530089999999995E-2</v>
      </c>
      <c r="R1475">
        <v>-9.535422E-3</v>
      </c>
      <c r="S1475">
        <v>-3.006332</v>
      </c>
      <c r="T1475">
        <v>-7.1350930000000007E-2</v>
      </c>
      <c r="U1475">
        <v>2.2216799999999998E-2</v>
      </c>
      <c r="V1475">
        <v>7.7239509999999997E-2</v>
      </c>
      <c r="W1475">
        <v>-8.586568E-2</v>
      </c>
      <c r="X1475">
        <v>0.99330819999999997</v>
      </c>
      <c r="Y1475">
        <v>9.4872890000000001E-2</v>
      </c>
      <c r="Z1475">
        <v>2.9558990000000001E-3</v>
      </c>
      <c r="AA1475">
        <v>0.99548499999999995</v>
      </c>
      <c r="AB1475">
        <v>23</v>
      </c>
      <c r="AC1475">
        <v>-46.860999999999997</v>
      </c>
      <c r="AD1475">
        <v>-1.1179449752590001</v>
      </c>
      <c r="AE1475">
        <v>0.36579999999997798</v>
      </c>
      <c r="AF1475">
        <v>4.4650504374174202</v>
      </c>
      <c r="AG1475">
        <v>-1.1179449752590001</v>
      </c>
      <c r="AH1475">
        <v>46.622451517229301</v>
      </c>
      <c r="AI1475">
        <v>91.367360109300193</v>
      </c>
      <c r="AJ1475">
        <v>84.529445299628804</v>
      </c>
      <c r="AK1475">
        <v>46.8491137787342</v>
      </c>
      <c r="AL1475">
        <v>94.925806595766701</v>
      </c>
      <c r="AM1475">
        <v>85.553635394610495</v>
      </c>
      <c r="AN1475">
        <v>1.0000000185470701</v>
      </c>
    </row>
    <row r="1476" spans="1:40" x14ac:dyDescent="0.25">
      <c r="A1476" t="str">
        <f>"20190303154450346"</f>
        <v>20190303154450346</v>
      </c>
      <c r="B1476" t="str">
        <f>"1551599090342408"</f>
        <v>1551599090342408</v>
      </c>
      <c r="C1476" t="s">
        <v>40</v>
      </c>
      <c r="D1476">
        <v>5.3064269999999896</v>
      </c>
      <c r="E1476">
        <v>0.50795329999999905</v>
      </c>
      <c r="F1476" t="s">
        <v>55</v>
      </c>
      <c r="G1476">
        <v>-257.10079999999999</v>
      </c>
      <c r="H1476" s="1">
        <v>2.2419129999999998E-6</v>
      </c>
      <c r="I1476">
        <v>284.31569999999999</v>
      </c>
      <c r="J1476">
        <v>-211.93279999999999</v>
      </c>
      <c r="K1476">
        <v>1.1179619999999999</v>
      </c>
      <c r="L1476">
        <v>283.88679999999999</v>
      </c>
      <c r="M1476">
        <v>-0.99643939999999998</v>
      </c>
      <c r="N1476">
        <v>-5.8834069999999898E-3</v>
      </c>
      <c r="O1476">
        <v>-8.4107180000000004E-2</v>
      </c>
      <c r="P1476">
        <v>-0.99550349999999999</v>
      </c>
      <c r="Q1476">
        <v>-9.4426369999999996E-2</v>
      </c>
      <c r="R1476">
        <v>-7.4996029999999997E-3</v>
      </c>
      <c r="S1476">
        <v>-3.0062259999999998</v>
      </c>
      <c r="T1476">
        <v>-7.4042800000000006E-2</v>
      </c>
      <c r="U1476">
        <v>2.7374269999999999E-2</v>
      </c>
      <c r="V1476">
        <v>7.5802019999999998E-2</v>
      </c>
      <c r="W1476">
        <v>-8.8974780000000003E-2</v>
      </c>
      <c r="X1476">
        <v>0.99314530000000001</v>
      </c>
      <c r="Y1476">
        <v>9.3128649999999993E-2</v>
      </c>
      <c r="Z1476">
        <v>2.9950720000000001E-3</v>
      </c>
      <c r="AA1476">
        <v>0.99564960000000002</v>
      </c>
      <c r="AB1476">
        <v>23</v>
      </c>
      <c r="AC1476">
        <v>-45.167999999999999</v>
      </c>
      <c r="AD1476">
        <v>-1.117959758087</v>
      </c>
      <c r="AE1476">
        <v>0.42889999999999801</v>
      </c>
      <c r="AF1476">
        <v>4.2238115253667701</v>
      </c>
      <c r="AG1476">
        <v>-1.117959758087</v>
      </c>
      <c r="AH1476">
        <v>44.944345832398398</v>
      </c>
      <c r="AI1476">
        <v>91.418650948590397</v>
      </c>
      <c r="AJ1476">
        <v>84.631185433997203</v>
      </c>
      <c r="AK1476">
        <v>45.156224821443502</v>
      </c>
      <c r="AL1476">
        <v>95.104629574946401</v>
      </c>
      <c r="AM1476">
        <v>85.635350153411807</v>
      </c>
      <c r="AN1476">
        <v>1.0000000223120999</v>
      </c>
    </row>
    <row r="1477" spans="1:40" x14ac:dyDescent="0.25">
      <c r="A1477" t="str">
        <f>"20190303154450365"</f>
        <v>20190303154450365</v>
      </c>
      <c r="B1477" t="str">
        <f>"1551599090361928"</f>
        <v>1551599090361928</v>
      </c>
      <c r="C1477" t="s">
        <v>40</v>
      </c>
      <c r="D1477">
        <v>5.3365269999999896</v>
      </c>
      <c r="E1477">
        <v>0.50797499999999995</v>
      </c>
      <c r="F1477" t="s">
        <v>55</v>
      </c>
      <c r="G1477">
        <v>-252.36089999999999</v>
      </c>
      <c r="H1477" s="1">
        <v>-2.8044739999999999E-7</v>
      </c>
      <c r="I1477">
        <v>284.34280000000001</v>
      </c>
      <c r="J1477">
        <v>-212.1396</v>
      </c>
      <c r="K1477">
        <v>1.1179650000000001</v>
      </c>
      <c r="L1477">
        <v>283.87279999999998</v>
      </c>
      <c r="M1477">
        <v>-0.99669920000000001</v>
      </c>
      <c r="N1477">
        <v>-5.6835920000000003E-3</v>
      </c>
      <c r="O1477">
        <v>-8.0985799999999997E-2</v>
      </c>
      <c r="P1477">
        <v>-0.99524159999999995</v>
      </c>
      <c r="Q1477">
        <v>-9.7230579999999997E-2</v>
      </c>
      <c r="R1477">
        <v>-6.3737739999999996E-3</v>
      </c>
      <c r="S1477">
        <v>-3.0059200000000001</v>
      </c>
      <c r="T1477">
        <v>-8.3122970000000004E-2</v>
      </c>
      <c r="U1477">
        <v>3.3905030000000003E-2</v>
      </c>
      <c r="V1477">
        <v>7.3787820000000004E-2</v>
      </c>
      <c r="W1477">
        <v>-9.1960059999999996E-2</v>
      </c>
      <c r="X1477">
        <v>0.99302500000000005</v>
      </c>
      <c r="Y1477">
        <v>9.2161660000000006E-2</v>
      </c>
      <c r="Z1477">
        <v>3.312855E-3</v>
      </c>
      <c r="AA1477">
        <v>0.99573860000000003</v>
      </c>
      <c r="AB1477">
        <v>23</v>
      </c>
      <c r="AC1477">
        <v>-40.2212999999999</v>
      </c>
      <c r="AD1477">
        <v>-1.1179652804473901</v>
      </c>
      <c r="AE1477">
        <v>0.47000000000002701</v>
      </c>
      <c r="AF1477">
        <v>3.7229864863883599</v>
      </c>
      <c r="AG1477">
        <v>-1.1179652804473901</v>
      </c>
      <c r="AH1477">
        <v>40.020200474573997</v>
      </c>
      <c r="AI1477">
        <v>91.593267092996598</v>
      </c>
      <c r="AJ1477">
        <v>84.685202899701906</v>
      </c>
      <c r="AK1477">
        <v>40.2085428829647</v>
      </c>
      <c r="AL1477">
        <v>95.276378111567297</v>
      </c>
      <c r="AM1477">
        <v>85.750383577529107</v>
      </c>
      <c r="AN1477">
        <v>0.99999997282027697</v>
      </c>
    </row>
    <row r="1478" spans="1:40" x14ac:dyDescent="0.25">
      <c r="A1478" t="str">
        <f>"20190303154450389"</f>
        <v>20190303154450389</v>
      </c>
      <c r="B1478" t="str">
        <f>"1551599090382425"</f>
        <v>1551599090382425</v>
      </c>
      <c r="C1478" t="s">
        <v>40</v>
      </c>
      <c r="D1478">
        <v>5.3055659999999998</v>
      </c>
      <c r="E1478">
        <v>0.50790420000000003</v>
      </c>
      <c r="F1478" t="s">
        <v>55</v>
      </c>
      <c r="G1478">
        <v>-248.7319</v>
      </c>
      <c r="H1478" s="1">
        <v>3.1098860000000001E-6</v>
      </c>
      <c r="I1478">
        <v>284.33089999999999</v>
      </c>
      <c r="J1478">
        <v>-212.38800000000001</v>
      </c>
      <c r="K1478">
        <v>1.117966</v>
      </c>
      <c r="L1478">
        <v>283.85669999999999</v>
      </c>
      <c r="M1478">
        <v>-0.9969884</v>
      </c>
      <c r="N1478">
        <v>-5.4688820000000004E-3</v>
      </c>
      <c r="O1478">
        <v>-7.7358129999999997E-2</v>
      </c>
      <c r="P1478">
        <v>-0.99509780000000003</v>
      </c>
      <c r="Q1478">
        <v>-9.8725649999999998E-2</v>
      </c>
      <c r="R1478">
        <v>-5.7954069999999998E-3</v>
      </c>
      <c r="S1478">
        <v>-3.00563</v>
      </c>
      <c r="T1478">
        <v>-9.1827510000000001E-2</v>
      </c>
      <c r="U1478">
        <v>3.7628170000000002E-2</v>
      </c>
      <c r="V1478">
        <v>7.0741189999999995E-2</v>
      </c>
      <c r="W1478">
        <v>-9.3645709999999993E-2</v>
      </c>
      <c r="X1478">
        <v>0.99308920000000001</v>
      </c>
      <c r="Y1478">
        <v>8.9760309999999996E-2</v>
      </c>
      <c r="Z1478">
        <v>3.5543879999999999E-3</v>
      </c>
      <c r="AA1478">
        <v>0.99595710000000004</v>
      </c>
      <c r="AB1478">
        <v>23</v>
      </c>
      <c r="AC1478">
        <v>-36.343899999999898</v>
      </c>
      <c r="AD1478">
        <v>-1.117962890114</v>
      </c>
      <c r="AE1478">
        <v>0.47419999999999601</v>
      </c>
      <c r="AF1478">
        <v>3.2812128411110901</v>
      </c>
      <c r="AG1478">
        <v>-1.117962890114</v>
      </c>
      <c r="AH1478">
        <v>36.164090419796601</v>
      </c>
      <c r="AI1478">
        <v>91.763417076687304</v>
      </c>
      <c r="AJ1478">
        <v>84.815677719191399</v>
      </c>
      <c r="AK1478">
        <v>36.329844957329101</v>
      </c>
      <c r="AL1478">
        <v>95.373377226346605</v>
      </c>
      <c r="AM1478">
        <v>85.925505103747597</v>
      </c>
      <c r="AN1478">
        <v>0.99999999706033005</v>
      </c>
    </row>
    <row r="1479" spans="1:40" x14ac:dyDescent="0.25">
      <c r="A1479" t="str">
        <f>"20190303154450411"</f>
        <v>20190303154450411</v>
      </c>
      <c r="B1479" t="str">
        <f>"1551599090401944"</f>
        <v>1551599090401944</v>
      </c>
      <c r="C1479" t="s">
        <v>40</v>
      </c>
      <c r="D1479">
        <v>5.3035930000000002</v>
      </c>
      <c r="E1479">
        <v>0.50783109999999998</v>
      </c>
      <c r="F1479" t="s">
        <v>55</v>
      </c>
      <c r="G1479">
        <v>-247.14179999999999</v>
      </c>
      <c r="H1479" s="1">
        <v>2.2637239999999998E-6</v>
      </c>
      <c r="I1479">
        <v>284.30169999999998</v>
      </c>
      <c r="J1479">
        <v>-212.624</v>
      </c>
      <c r="K1479">
        <v>1.1179600000000001</v>
      </c>
      <c r="L1479">
        <v>283.84199999999998</v>
      </c>
      <c r="M1479">
        <v>-0.99724290000000004</v>
      </c>
      <c r="N1479">
        <v>-5.2888639999999999E-3</v>
      </c>
      <c r="O1479">
        <v>-7.4017050000000001E-2</v>
      </c>
      <c r="P1479">
        <v>-0.99495710000000004</v>
      </c>
      <c r="Q1479">
        <v>-0.1001117</v>
      </c>
      <c r="R1479">
        <v>-6.1718540000000001E-3</v>
      </c>
      <c r="S1479">
        <v>-3.005417</v>
      </c>
      <c r="T1479">
        <v>-9.6678500000000001E-2</v>
      </c>
      <c r="U1479">
        <v>3.8482669999999997E-2</v>
      </c>
      <c r="V1479">
        <v>6.7028249999999998E-2</v>
      </c>
      <c r="W1479">
        <v>-9.5186939999999998E-2</v>
      </c>
      <c r="X1479">
        <v>0.99320019999999998</v>
      </c>
      <c r="Y1479">
        <v>8.6701379999999995E-2</v>
      </c>
      <c r="Z1479">
        <v>3.610776E-3</v>
      </c>
      <c r="AA1479">
        <v>0.9962278</v>
      </c>
      <c r="AB1479">
        <v>23</v>
      </c>
      <c r="AC1479">
        <v>-34.517799999999902</v>
      </c>
      <c r="AD1479">
        <v>-1.117957736276</v>
      </c>
      <c r="AE1479">
        <v>0.459699999999998</v>
      </c>
      <c r="AF1479">
        <v>3.01022350479426</v>
      </c>
      <c r="AG1479">
        <v>-1.117957736276</v>
      </c>
      <c r="AH1479">
        <v>34.353059009440599</v>
      </c>
      <c r="AI1479">
        <v>91.856818979171507</v>
      </c>
      <c r="AJ1479">
        <v>84.992187165634704</v>
      </c>
      <c r="AK1479">
        <v>34.502810586313501</v>
      </c>
      <c r="AL1479">
        <v>95.462079507026601</v>
      </c>
      <c r="AM1479">
        <v>86.139125552784407</v>
      </c>
      <c r="AN1479">
        <v>0.99999998856233296</v>
      </c>
    </row>
    <row r="1480" spans="1:40" x14ac:dyDescent="0.25">
      <c r="A1480" t="str">
        <f>"20190303154450435"</f>
        <v>20190303154450435</v>
      </c>
      <c r="B1480" t="str">
        <f>"1551599090432200"</f>
        <v>1551599090432200</v>
      </c>
      <c r="C1480" t="s">
        <v>40</v>
      </c>
      <c r="D1480">
        <v>5.3696299999999999</v>
      </c>
      <c r="E1480">
        <v>0.51270669999999996</v>
      </c>
      <c r="F1480" t="s">
        <v>55</v>
      </c>
      <c r="G1480">
        <v>-246.01169999999999</v>
      </c>
      <c r="H1480" s="1">
        <v>1.6623679999999999E-6</v>
      </c>
      <c r="I1480">
        <v>284.24689999999998</v>
      </c>
      <c r="J1480">
        <v>-212.87090000000001</v>
      </c>
      <c r="K1480">
        <v>1.117939</v>
      </c>
      <c r="L1480">
        <v>283.82749999999999</v>
      </c>
      <c r="M1480">
        <v>-0.99749060000000001</v>
      </c>
      <c r="N1480">
        <v>-5.1236650000000003E-3</v>
      </c>
      <c r="O1480">
        <v>-7.0612309999999998E-2</v>
      </c>
      <c r="P1480">
        <v>-0.99471100000000001</v>
      </c>
      <c r="Q1480">
        <v>-0.1025224</v>
      </c>
      <c r="R1480">
        <v>-6.2572399999999999E-3</v>
      </c>
      <c r="S1480">
        <v>-3.0052949999999998</v>
      </c>
      <c r="T1480">
        <v>-0.10062939999999999</v>
      </c>
      <c r="U1480">
        <v>3.6437990000000003E-2</v>
      </c>
      <c r="V1480">
        <v>6.3528539999999994E-2</v>
      </c>
      <c r="W1480">
        <v>-9.7741770000000006E-2</v>
      </c>
      <c r="X1480">
        <v>0.99318209999999996</v>
      </c>
      <c r="Y1480">
        <v>8.2619780000000004E-2</v>
      </c>
      <c r="Z1480">
        <v>3.5950489999999999E-3</v>
      </c>
      <c r="AA1480">
        <v>0.99657459999999998</v>
      </c>
      <c r="AB1480">
        <v>23</v>
      </c>
      <c r="AC1480">
        <v>-33.140799999999899</v>
      </c>
      <c r="AD1480">
        <v>-1.1179373376320001</v>
      </c>
      <c r="AE1480">
        <v>0.419399999999996</v>
      </c>
      <c r="AF1480">
        <v>2.75539752029455</v>
      </c>
      <c r="AG1480">
        <v>-1.1179373376320001</v>
      </c>
      <c r="AH1480">
        <v>32.990922948794598</v>
      </c>
      <c r="AI1480">
        <v>91.934065439993105</v>
      </c>
      <c r="AJ1480">
        <v>85.225744548570404</v>
      </c>
      <c r="AK1480">
        <v>33.124658434450602</v>
      </c>
      <c r="AL1480">
        <v>95.609146281387297</v>
      </c>
      <c r="AM1480">
        <v>86.340081883595104</v>
      </c>
      <c r="AN1480">
        <v>1.0000000063788299</v>
      </c>
    </row>
    <row r="1481" spans="1:40" x14ac:dyDescent="0.25">
      <c r="A1481" t="str">
        <f>"20190303154450456"</f>
        <v>20190303154450456</v>
      </c>
      <c r="B1481" t="str">
        <f>"1551599090451720"</f>
        <v>1551599090451720</v>
      </c>
      <c r="C1481" t="s">
        <v>40</v>
      </c>
      <c r="D1481">
        <v>5.3072160000000004</v>
      </c>
      <c r="E1481">
        <v>0.51204399999999906</v>
      </c>
      <c r="F1481" t="s">
        <v>42</v>
      </c>
      <c r="G1481">
        <v>-213.67150000000001</v>
      </c>
      <c r="H1481">
        <v>1.046246</v>
      </c>
      <c r="I1481">
        <v>283.8494</v>
      </c>
      <c r="J1481">
        <v>-213.1002</v>
      </c>
      <c r="K1481">
        <v>1.117909</v>
      </c>
      <c r="L1481">
        <v>283.81470000000002</v>
      </c>
      <c r="M1481">
        <v>-0.99770619999999999</v>
      </c>
      <c r="N1481">
        <v>-4.990085E-3</v>
      </c>
      <c r="O1481">
        <v>-6.7508349999999995E-2</v>
      </c>
      <c r="P1481">
        <v>-0.99431360000000002</v>
      </c>
      <c r="Q1481">
        <v>-0.10626529999999999</v>
      </c>
      <c r="R1481">
        <v>-6.921155E-3</v>
      </c>
      <c r="S1481">
        <v>-2.9888460000000001</v>
      </c>
      <c r="T1481">
        <v>-0.26767150000000001</v>
      </c>
      <c r="U1481">
        <v>8.1085210000000005E-2</v>
      </c>
      <c r="V1481">
        <v>5.9733040000000001E-2</v>
      </c>
      <c r="W1481">
        <v>-0.10159899999999999</v>
      </c>
      <c r="X1481">
        <v>0.99303050000000004</v>
      </c>
      <c r="Y1481">
        <v>9.390453E-2</v>
      </c>
      <c r="Z1481">
        <v>1.0124849999999999E-2</v>
      </c>
      <c r="AA1481">
        <v>0.99552969999999996</v>
      </c>
      <c r="AB1481">
        <v>24</v>
      </c>
      <c r="AC1481">
        <v>-0.57130000000000702</v>
      </c>
      <c r="AD1481">
        <v>-7.1663000000000004E-2</v>
      </c>
      <c r="AE1481">
        <v>3.4699999999986603E-2</v>
      </c>
      <c r="AF1481">
        <v>7.20591691181722E-2</v>
      </c>
      <c r="AG1481">
        <v>-7.1663000000000004E-2</v>
      </c>
      <c r="AH1481">
        <v>0.55889235530571302</v>
      </c>
      <c r="AI1481">
        <v>97.247436772824003</v>
      </c>
      <c r="AJ1481">
        <v>82.653264955653</v>
      </c>
      <c r="AK1481">
        <v>0.56805701671766096</v>
      </c>
      <c r="AL1481">
        <v>95.831255546888698</v>
      </c>
      <c r="AM1481">
        <v>86.557676512066394</v>
      </c>
      <c r="AN1481">
        <v>0.99999998339944496</v>
      </c>
    </row>
    <row r="1482" spans="1:40" x14ac:dyDescent="0.25">
      <c r="A1482" t="str">
        <f>"20190303154450477"</f>
        <v>20190303154450477</v>
      </c>
      <c r="B1482" t="str">
        <f>"1551599090472216"</f>
        <v>1551599090472216</v>
      </c>
      <c r="C1482" t="s">
        <v>40</v>
      </c>
      <c r="D1482">
        <v>5.3015679999999996</v>
      </c>
      <c r="E1482">
        <v>0.51270309999999997</v>
      </c>
      <c r="F1482" t="s">
        <v>42</v>
      </c>
      <c r="G1482">
        <v>-213.88130000000001</v>
      </c>
      <c r="H1482">
        <v>1.0399369999999999</v>
      </c>
      <c r="I1482">
        <v>283.83429999999998</v>
      </c>
      <c r="J1482">
        <v>-213.3237</v>
      </c>
      <c r="K1482">
        <v>1.117875</v>
      </c>
      <c r="L1482">
        <v>283.80279999999999</v>
      </c>
      <c r="M1482">
        <v>-0.99790480000000004</v>
      </c>
      <c r="N1482">
        <v>-4.8772169999999997E-3</v>
      </c>
      <c r="O1482">
        <v>-6.4515610000000001E-2</v>
      </c>
      <c r="P1482">
        <v>-0.99408289999999999</v>
      </c>
      <c r="Q1482">
        <v>-0.1083813</v>
      </c>
      <c r="R1482">
        <v>-7.2837219999999899E-3</v>
      </c>
      <c r="S1482">
        <v>-2.9858090000000002</v>
      </c>
      <c r="T1482">
        <v>-0.29794490000000001</v>
      </c>
      <c r="U1482">
        <v>7.4432369999999998E-2</v>
      </c>
      <c r="V1482">
        <v>5.6367010000000002E-2</v>
      </c>
      <c r="W1482">
        <v>-0.1038121</v>
      </c>
      <c r="X1482">
        <v>0.99299839999999995</v>
      </c>
      <c r="Y1482">
        <v>8.861434E-2</v>
      </c>
      <c r="Z1482">
        <v>1.073118E-2</v>
      </c>
      <c r="AA1482">
        <v>0.99600820000000001</v>
      </c>
      <c r="AB1482">
        <v>24</v>
      </c>
      <c r="AC1482">
        <v>-0.55760000000000698</v>
      </c>
      <c r="AD1482">
        <v>-7.7937999999999799E-2</v>
      </c>
      <c r="AE1482">
        <v>3.1499999999993998E-2</v>
      </c>
      <c r="AF1482">
        <v>6.6121023268912296E-2</v>
      </c>
      <c r="AG1482">
        <v>-7.7937999999999799E-2</v>
      </c>
      <c r="AH1482">
        <v>0.54381545292782496</v>
      </c>
      <c r="AI1482">
        <v>98.097089187855403</v>
      </c>
      <c r="AJ1482">
        <v>83.067591974203907</v>
      </c>
      <c r="AK1482">
        <v>0.55333675858849596</v>
      </c>
      <c r="AL1482">
        <v>95.958730838808293</v>
      </c>
      <c r="AM1482">
        <v>86.751122995195004</v>
      </c>
      <c r="AN1482">
        <v>1.00000000716265</v>
      </c>
    </row>
    <row r="1483" spans="1:40" x14ac:dyDescent="0.25">
      <c r="A1483" t="str">
        <f>"20190303154450503"</f>
        <v>20190303154450503</v>
      </c>
      <c r="B1483" t="str">
        <f>"1551599090491736"</f>
        <v>1551599090491736</v>
      </c>
      <c r="C1483" t="s">
        <v>40</v>
      </c>
      <c r="D1483">
        <v>5.2919960000000001</v>
      </c>
      <c r="E1483">
        <v>0.51323929999999995</v>
      </c>
      <c r="F1483" t="s">
        <v>42</v>
      </c>
      <c r="G1483">
        <v>-214.09870000000001</v>
      </c>
      <c r="H1483">
        <v>1.046041</v>
      </c>
      <c r="I1483">
        <v>283.82319999999999</v>
      </c>
      <c r="J1483">
        <v>-213.59110000000001</v>
      </c>
      <c r="K1483">
        <v>1.1178300000000001</v>
      </c>
      <c r="L1483">
        <v>283.7894</v>
      </c>
      <c r="M1483">
        <v>-0.99812940000000006</v>
      </c>
      <c r="N1483">
        <v>-4.761459E-3</v>
      </c>
      <c r="O1483">
        <v>-6.0953420000000001E-2</v>
      </c>
      <c r="P1483">
        <v>-0.9938709</v>
      </c>
      <c r="Q1483">
        <v>-0.1103493</v>
      </c>
      <c r="R1483">
        <v>-6.6566029999999997E-3</v>
      </c>
      <c r="S1483">
        <v>-2.9882200000000001</v>
      </c>
      <c r="T1483">
        <v>-0.27691519999999997</v>
      </c>
      <c r="U1483">
        <v>7.7545169999999997E-2</v>
      </c>
      <c r="V1483">
        <v>5.3421330000000003E-2</v>
      </c>
      <c r="W1483">
        <v>-0.10588409999999999</v>
      </c>
      <c r="X1483">
        <v>0.99294249999999995</v>
      </c>
      <c r="Y1483">
        <v>8.62039E-2</v>
      </c>
      <c r="Z1483">
        <v>9.5350179999999993E-3</v>
      </c>
      <c r="AA1483">
        <v>0.99623189999999995</v>
      </c>
      <c r="AB1483">
        <v>24</v>
      </c>
      <c r="AC1483">
        <v>-0.50759999999999605</v>
      </c>
      <c r="AD1483">
        <v>-7.1788999999999797E-2</v>
      </c>
      <c r="AE1483">
        <v>3.3799999999985099E-2</v>
      </c>
      <c r="AF1483">
        <v>6.3414635683514298E-2</v>
      </c>
      <c r="AG1483">
        <v>-7.1788999999999797E-2</v>
      </c>
      <c r="AH1483">
        <v>0.49474374343169902</v>
      </c>
      <c r="AI1483">
        <v>98.190104978073805</v>
      </c>
      <c r="AJ1483">
        <v>82.695841205623296</v>
      </c>
      <c r="AK1483">
        <v>0.50393099547922604</v>
      </c>
      <c r="AL1483">
        <v>96.078105450643903</v>
      </c>
      <c r="AM1483">
        <v>86.920397068921403</v>
      </c>
      <c r="AN1483">
        <v>1.0000000447190101</v>
      </c>
    </row>
    <row r="1484" spans="1:40" x14ac:dyDescent="0.25">
      <c r="A1484" t="str">
        <f>"20190303154450525"</f>
        <v>20190303154450525</v>
      </c>
      <c r="B1484" t="str">
        <f>"1551599090521992"</f>
        <v>1551599090521992</v>
      </c>
      <c r="C1484" t="s">
        <v>40</v>
      </c>
      <c r="D1484">
        <v>5.3804850000000002</v>
      </c>
      <c r="E1484">
        <v>0.51249639999999996</v>
      </c>
      <c r="F1484" t="s">
        <v>42</v>
      </c>
      <c r="G1484">
        <v>-214.52610000000001</v>
      </c>
      <c r="H1484">
        <v>1.033847</v>
      </c>
      <c r="I1484">
        <v>283.81580000000002</v>
      </c>
      <c r="J1484">
        <v>-213.84309999999999</v>
      </c>
      <c r="K1484">
        <v>1.1177760000000001</v>
      </c>
      <c r="L1484">
        <v>283.77769999999998</v>
      </c>
      <c r="M1484">
        <v>-0.99832849999999995</v>
      </c>
      <c r="N1484">
        <v>-4.6714800000000004E-3</v>
      </c>
      <c r="O1484">
        <v>-5.7604629999999997E-2</v>
      </c>
      <c r="P1484">
        <v>-0.99375000000000002</v>
      </c>
      <c r="Q1484">
        <v>-0.11143309999999999</v>
      </c>
      <c r="R1484">
        <v>-6.6125289999999998E-3</v>
      </c>
      <c r="S1484">
        <v>-2.989258</v>
      </c>
      <c r="T1484">
        <v>-0.2684916</v>
      </c>
      <c r="U1484">
        <v>8.3526610000000001E-2</v>
      </c>
      <c r="V1484">
        <v>5.0114720000000001E-2</v>
      </c>
      <c r="W1484">
        <v>-0.107044899999999</v>
      </c>
      <c r="X1484">
        <v>0.99299040000000005</v>
      </c>
      <c r="Y1484">
        <v>8.4900149999999994E-2</v>
      </c>
      <c r="Z1484">
        <v>8.8960629999999992E-3</v>
      </c>
      <c r="AA1484">
        <v>0.99634979999999995</v>
      </c>
      <c r="AB1484">
        <v>24</v>
      </c>
      <c r="AC1484">
        <v>-0.68300000000002103</v>
      </c>
      <c r="AD1484">
        <v>-8.3929000000000101E-2</v>
      </c>
      <c r="AE1484">
        <v>3.81000000000426E-2</v>
      </c>
      <c r="AF1484">
        <v>7.6233555042210799E-2</v>
      </c>
      <c r="AG1484">
        <v>-8.3929000000000101E-2</v>
      </c>
      <c r="AH1484">
        <v>0.66959147633437299</v>
      </c>
      <c r="AI1484">
        <v>97.099010756869305</v>
      </c>
      <c r="AJ1484">
        <v>83.504794417227004</v>
      </c>
      <c r="AK1484">
        <v>0.67912324149230696</v>
      </c>
      <c r="AL1484">
        <v>96.144994738859594</v>
      </c>
      <c r="AM1484">
        <v>87.110820190114893</v>
      </c>
      <c r="AN1484">
        <v>1.0000000151344199</v>
      </c>
    </row>
    <row r="1485" spans="1:40" x14ac:dyDescent="0.25">
      <c r="A1485" t="str">
        <f>"20190303154450546"</f>
        <v>20190303154450546</v>
      </c>
      <c r="B1485" t="str">
        <f>"1551599090541513"</f>
        <v>1551599090541513</v>
      </c>
      <c r="C1485" t="s">
        <v>40</v>
      </c>
      <c r="D1485">
        <v>5.2687140000000001</v>
      </c>
      <c r="E1485">
        <v>0.51317939999999995</v>
      </c>
      <c r="F1485" t="s">
        <v>42</v>
      </c>
      <c r="G1485">
        <v>-214.7423</v>
      </c>
      <c r="H1485">
        <v>1.030705</v>
      </c>
      <c r="I1485">
        <v>283.80130000000003</v>
      </c>
      <c r="J1485">
        <v>-214.0753</v>
      </c>
      <c r="K1485">
        <v>1.1177269999999999</v>
      </c>
      <c r="L1485">
        <v>283.76760000000002</v>
      </c>
      <c r="M1485">
        <v>-0.99850240000000001</v>
      </c>
      <c r="N1485">
        <v>-4.6006379999999998E-3</v>
      </c>
      <c r="O1485">
        <v>-5.451512E-2</v>
      </c>
      <c r="P1485">
        <v>-0.99365530000000002</v>
      </c>
      <c r="Q1485">
        <v>-0.1122486</v>
      </c>
      <c r="R1485">
        <v>-7.0625250000000001E-3</v>
      </c>
      <c r="S1485">
        <v>-2.9869379999999999</v>
      </c>
      <c r="T1485">
        <v>-0.28926499999999999</v>
      </c>
      <c r="U1485">
        <v>7.8216549999999996E-2</v>
      </c>
      <c r="V1485">
        <v>4.6575810000000002E-2</v>
      </c>
      <c r="W1485">
        <v>-0.1079166</v>
      </c>
      <c r="X1485">
        <v>0.99306830000000001</v>
      </c>
      <c r="Y1485">
        <v>8.0012130000000001E-2</v>
      </c>
      <c r="Z1485">
        <v>9.064084E-3</v>
      </c>
      <c r="AA1485">
        <v>0.99675270000000005</v>
      </c>
      <c r="AB1485">
        <v>24</v>
      </c>
      <c r="AC1485">
        <v>-0.66700000000000104</v>
      </c>
      <c r="AD1485">
        <v>-8.7022000000000099E-2</v>
      </c>
      <c r="AE1485">
        <v>3.3700000000010201E-2</v>
      </c>
      <c r="AF1485">
        <v>6.8843002457207494E-2</v>
      </c>
      <c r="AG1485">
        <v>-8.7022000000000099E-2</v>
      </c>
      <c r="AH1485">
        <v>0.65308257466022002</v>
      </c>
      <c r="AI1485">
        <v>97.548507487883697</v>
      </c>
      <c r="AJ1485">
        <v>83.982536865198895</v>
      </c>
      <c r="AK1485">
        <v>0.66244172332073503</v>
      </c>
      <c r="AL1485">
        <v>96.195230736705398</v>
      </c>
      <c r="AM1485">
        <v>87.314743388556394</v>
      </c>
      <c r="AN1485">
        <v>0.99999997354880199</v>
      </c>
    </row>
    <row r="1486" spans="1:40" x14ac:dyDescent="0.25">
      <c r="A1486" t="str">
        <f>"20190303154450566"</f>
        <v>20190303154450566</v>
      </c>
      <c r="B1486" t="str">
        <f>"1551599090562009"</f>
        <v>1551599090562009</v>
      </c>
      <c r="C1486" t="s">
        <v>40</v>
      </c>
      <c r="D1486">
        <v>5.2749629999999996</v>
      </c>
      <c r="E1486">
        <v>0.51362509999999995</v>
      </c>
      <c r="F1486" t="s">
        <v>42</v>
      </c>
      <c r="G1486">
        <v>-214.96279999999999</v>
      </c>
      <c r="H1486">
        <v>1.033218</v>
      </c>
      <c r="I1486">
        <v>283.79219999999998</v>
      </c>
      <c r="J1486">
        <v>-214.2997</v>
      </c>
      <c r="K1486">
        <v>1.1176870000000001</v>
      </c>
      <c r="L1486">
        <v>283.75850000000003</v>
      </c>
      <c r="M1486">
        <v>-0.99866149999999998</v>
      </c>
      <c r="N1486">
        <v>-4.5420219999999997E-3</v>
      </c>
      <c r="O1486">
        <v>-5.1522659999999998E-2</v>
      </c>
      <c r="P1486">
        <v>-0.99359410000000004</v>
      </c>
      <c r="Q1486">
        <v>-0.1128102</v>
      </c>
      <c r="R1486">
        <v>-6.6847909999999998E-3</v>
      </c>
      <c r="S1486">
        <v>-2.9875949999999998</v>
      </c>
      <c r="T1486">
        <v>-0.28449869999999999</v>
      </c>
      <c r="U1486">
        <v>8.221436E-2</v>
      </c>
      <c r="V1486">
        <v>4.396361E-2</v>
      </c>
      <c r="W1486">
        <v>-0.1085265</v>
      </c>
      <c r="X1486">
        <v>0.99312089999999997</v>
      </c>
      <c r="Y1486">
        <v>7.8392710000000004E-2</v>
      </c>
      <c r="Z1486">
        <v>8.5619670000000002E-3</v>
      </c>
      <c r="AA1486">
        <v>0.99688580000000004</v>
      </c>
      <c r="AB1486">
        <v>24</v>
      </c>
      <c r="AC1486">
        <v>-0.66309999999998503</v>
      </c>
      <c r="AD1486">
        <v>-8.44690000000001E-2</v>
      </c>
      <c r="AE1486">
        <v>3.3699999999953399E-2</v>
      </c>
      <c r="AF1486">
        <v>6.6740070593957604E-2</v>
      </c>
      <c r="AG1486">
        <v>-8.44690000000001E-2</v>
      </c>
      <c r="AH1486">
        <v>0.64996319476382003</v>
      </c>
      <c r="AI1486">
        <v>97.366335673569907</v>
      </c>
      <c r="AJ1486">
        <v>84.1372538251386</v>
      </c>
      <c r="AK1486">
        <v>0.65881818700721795</v>
      </c>
      <c r="AL1486">
        <v>96.230381961616601</v>
      </c>
      <c r="AM1486">
        <v>87.465277575350299</v>
      </c>
      <c r="AN1486">
        <v>0.99999996111164502</v>
      </c>
    </row>
    <row r="1487" spans="1:40" x14ac:dyDescent="0.25">
      <c r="A1487" t="str">
        <f>"20190303154450589"</f>
        <v>20190303154450589</v>
      </c>
      <c r="B1487" t="str">
        <f>"1551599090581768"</f>
        <v>1551599090581768</v>
      </c>
      <c r="C1487" t="s">
        <v>40</v>
      </c>
      <c r="D1487">
        <v>5.2399209999999998</v>
      </c>
      <c r="E1487">
        <v>0.51391430000000005</v>
      </c>
      <c r="F1487" t="s">
        <v>42</v>
      </c>
      <c r="G1487">
        <v>-215.18389999999999</v>
      </c>
      <c r="H1487">
        <v>1.0344719999999901</v>
      </c>
      <c r="I1487">
        <v>283.78440000000001</v>
      </c>
      <c r="J1487">
        <v>-214.54929999999999</v>
      </c>
      <c r="K1487">
        <v>1.1176429999999999</v>
      </c>
      <c r="L1487">
        <v>283.74930000000001</v>
      </c>
      <c r="M1487">
        <v>-0.9988283</v>
      </c>
      <c r="N1487">
        <v>-4.4870049999999996E-3</v>
      </c>
      <c r="O1487">
        <v>-4.818712E-2</v>
      </c>
      <c r="P1487">
        <v>-0.99360499999999996</v>
      </c>
      <c r="Q1487">
        <v>-0.1127663</v>
      </c>
      <c r="R1487">
        <v>-5.7516619999999899E-3</v>
      </c>
      <c r="S1487">
        <v>-2.9879910000000001</v>
      </c>
      <c r="T1487">
        <v>-0.28119840000000002</v>
      </c>
      <c r="U1487">
        <v>8.6639399999999894E-2</v>
      </c>
      <c r="V1487">
        <v>4.1571799999999999E-2</v>
      </c>
      <c r="W1487">
        <v>-0.108528</v>
      </c>
      <c r="X1487">
        <v>0.99322379999999999</v>
      </c>
      <c r="Y1487">
        <v>7.657013E-2</v>
      </c>
      <c r="Z1487">
        <v>8.0741659999999903E-3</v>
      </c>
      <c r="AA1487">
        <v>0.99703149999999996</v>
      </c>
      <c r="AB1487">
        <v>24</v>
      </c>
      <c r="AC1487">
        <v>-0.63460000000000505</v>
      </c>
      <c r="AD1487">
        <v>-8.3171000000000106E-2</v>
      </c>
      <c r="AE1487">
        <v>3.5099999999999902E-2</v>
      </c>
      <c r="AF1487">
        <v>6.4533967063555797E-2</v>
      </c>
      <c r="AG1487">
        <v>-8.3171000000000106E-2</v>
      </c>
      <c r="AH1487">
        <v>0.62152806367956004</v>
      </c>
      <c r="AI1487">
        <v>97.581587016402295</v>
      </c>
      <c r="AJ1487">
        <v>84.072155537471502</v>
      </c>
      <c r="AK1487">
        <v>0.63038018852691102</v>
      </c>
      <c r="AL1487">
        <v>96.230467990576699</v>
      </c>
      <c r="AM1487">
        <v>87.603259988093498</v>
      </c>
      <c r="AN1487">
        <v>1.0000000291128299</v>
      </c>
    </row>
    <row r="1488" spans="1:40" x14ac:dyDescent="0.25">
      <c r="A1488" t="str">
        <f>"20190303154450611"</f>
        <v>20190303154450611</v>
      </c>
      <c r="B1488" t="str">
        <f>"1551599090602265"</f>
        <v>1551599090602265</v>
      </c>
      <c r="C1488" t="s">
        <v>40</v>
      </c>
      <c r="D1488">
        <v>5.2495669999999999</v>
      </c>
      <c r="E1488">
        <v>0.51390649999999904</v>
      </c>
      <c r="F1488" t="s">
        <v>42</v>
      </c>
      <c r="G1488">
        <v>-215.40710000000001</v>
      </c>
      <c r="H1488">
        <v>1.0377209999999999</v>
      </c>
      <c r="I1488">
        <v>283.77569999999997</v>
      </c>
      <c r="J1488">
        <v>-214.79220000000001</v>
      </c>
      <c r="K1488">
        <v>1.117602</v>
      </c>
      <c r="L1488">
        <v>283.74110000000002</v>
      </c>
      <c r="M1488">
        <v>-0.99898010000000004</v>
      </c>
      <c r="N1488">
        <v>-4.442232E-3</v>
      </c>
      <c r="O1488">
        <v>-4.4934309999999998E-2</v>
      </c>
      <c r="P1488">
        <v>-0.99366779999999999</v>
      </c>
      <c r="Q1488">
        <v>-0.1122808</v>
      </c>
      <c r="R1488">
        <v>-4.1862920000000003E-3</v>
      </c>
      <c r="S1488">
        <v>-2.988251</v>
      </c>
      <c r="T1488">
        <v>-0.27843839999999997</v>
      </c>
      <c r="U1488">
        <v>9.1613769999999997E-2</v>
      </c>
      <c r="V1488">
        <v>3.9899299999999999E-2</v>
      </c>
      <c r="W1488">
        <v>-0.10808089999999999</v>
      </c>
      <c r="X1488">
        <v>0.99334109999999998</v>
      </c>
      <c r="Y1488">
        <v>7.5009699999999999E-2</v>
      </c>
      <c r="Z1488">
        <v>7.6306179999999996E-3</v>
      </c>
      <c r="AA1488">
        <v>0.99715359999999997</v>
      </c>
      <c r="AB1488">
        <v>25</v>
      </c>
      <c r="AC1488">
        <v>-0.614900000000005</v>
      </c>
      <c r="AD1488">
        <v>-7.9880999999999994E-2</v>
      </c>
      <c r="AE1488">
        <v>3.4599999999954799E-2</v>
      </c>
      <c r="AF1488">
        <v>6.1166423647595898E-2</v>
      </c>
      <c r="AG1488">
        <v>-7.9880999999999994E-2</v>
      </c>
      <c r="AH1488">
        <v>0.60258680548397003</v>
      </c>
      <c r="AI1488">
        <v>97.513137349972894</v>
      </c>
      <c r="AJ1488">
        <v>84.203963269080106</v>
      </c>
      <c r="AK1488">
        <v>0.610928116627655</v>
      </c>
      <c r="AL1488">
        <v>96.204699727791507</v>
      </c>
      <c r="AM1488">
        <v>87.699850269042997</v>
      </c>
      <c r="AN1488">
        <v>0.99999998801725498</v>
      </c>
    </row>
    <row r="1489" spans="1:40" x14ac:dyDescent="0.25">
      <c r="A1489" t="str">
        <f>"20190303154450634"</f>
        <v>20190303154450634</v>
      </c>
      <c r="B1489" t="str">
        <f>"1551599090631544"</f>
        <v>1551599090631544</v>
      </c>
      <c r="C1489" t="s">
        <v>40</v>
      </c>
      <c r="D1489">
        <v>5.2657080000000001</v>
      </c>
      <c r="E1489">
        <v>0.51424550000000002</v>
      </c>
      <c r="F1489" t="s">
        <v>42</v>
      </c>
      <c r="G1489">
        <v>-215.631</v>
      </c>
      <c r="H1489">
        <v>1.03986</v>
      </c>
      <c r="I1489">
        <v>283.76819999999998</v>
      </c>
      <c r="J1489">
        <v>-215.05070000000001</v>
      </c>
      <c r="K1489">
        <v>1.1175619999999999</v>
      </c>
      <c r="L1489">
        <v>283.73320000000001</v>
      </c>
      <c r="M1489">
        <v>-0.99913019999999997</v>
      </c>
      <c r="N1489">
        <v>-4.402792E-3</v>
      </c>
      <c r="O1489">
        <v>-4.1466799999999998E-2</v>
      </c>
      <c r="P1489">
        <v>-0.99381350000000002</v>
      </c>
      <c r="Q1489">
        <v>-0.11102579999999999</v>
      </c>
      <c r="R1489">
        <v>-2.8503360000000002E-3</v>
      </c>
      <c r="S1489">
        <v>-2.988235</v>
      </c>
      <c r="T1489">
        <v>-0.2769258</v>
      </c>
      <c r="U1489">
        <v>9.6313480000000007E-2</v>
      </c>
      <c r="V1489">
        <v>3.7792310000000003E-2</v>
      </c>
      <c r="W1489">
        <v>-0.1068559</v>
      </c>
      <c r="X1489">
        <v>0.99355599999999999</v>
      </c>
      <c r="Y1489">
        <v>7.3142979999999996E-2</v>
      </c>
      <c r="Z1489">
        <v>7.1937160000000002E-3</v>
      </c>
      <c r="AA1489">
        <v>0.9972955</v>
      </c>
      <c r="AB1489">
        <v>25</v>
      </c>
      <c r="AC1489">
        <v>-0.58029999999996495</v>
      </c>
      <c r="AD1489">
        <v>-7.7702000000000104E-2</v>
      </c>
      <c r="AE1489">
        <v>3.4999999999968098E-2</v>
      </c>
      <c r="AF1489">
        <v>5.7997240919094903E-2</v>
      </c>
      <c r="AG1489">
        <v>-7.7702000000000104E-2</v>
      </c>
      <c r="AH1489">
        <v>0.56819911969039105</v>
      </c>
      <c r="AI1489">
        <v>97.747213263086607</v>
      </c>
      <c r="AJ1489">
        <v>84.171887661770796</v>
      </c>
      <c r="AK1489">
        <v>0.57641263030502998</v>
      </c>
      <c r="AL1489">
        <v>96.134103561855795</v>
      </c>
      <c r="AM1489">
        <v>87.821666355433607</v>
      </c>
      <c r="AN1489">
        <v>0.99999998359797204</v>
      </c>
    </row>
    <row r="1490" spans="1:40" x14ac:dyDescent="0.25">
      <c r="A1490" t="str">
        <f>"20190303154450654"</f>
        <v>20190303154450654</v>
      </c>
      <c r="B1490" t="str">
        <f>"1551599090652040"</f>
        <v>1551599090652040</v>
      </c>
      <c r="C1490" t="s">
        <v>40</v>
      </c>
      <c r="D1490">
        <v>5.3208679999999999</v>
      </c>
      <c r="E1490">
        <v>0.51442270000000001</v>
      </c>
      <c r="F1490" t="s">
        <v>42</v>
      </c>
      <c r="G1490">
        <v>-215.85730000000001</v>
      </c>
      <c r="H1490">
        <v>1.044664</v>
      </c>
      <c r="I1490">
        <v>283.76119999999997</v>
      </c>
      <c r="J1490">
        <v>-215.28530000000001</v>
      </c>
      <c r="K1490">
        <v>1.117516</v>
      </c>
      <c r="L1490">
        <v>283.72669999999999</v>
      </c>
      <c r="M1490">
        <v>-0.99925609999999998</v>
      </c>
      <c r="N1490">
        <v>-4.3734849999999999E-3</v>
      </c>
      <c r="O1490">
        <v>-3.8317700000000003E-2</v>
      </c>
      <c r="P1490">
        <v>-0.99381649999999999</v>
      </c>
      <c r="Q1490">
        <v>-0.11101709999999999</v>
      </c>
      <c r="R1490">
        <v>-2.062173E-3</v>
      </c>
      <c r="S1490">
        <v>-2.9887999999999999</v>
      </c>
      <c r="T1490">
        <v>-0.2700534</v>
      </c>
      <c r="U1490">
        <v>0.10278320000000001</v>
      </c>
      <c r="V1490">
        <v>3.5442719999999997E-2</v>
      </c>
      <c r="W1490">
        <v>-0.1068658</v>
      </c>
      <c r="X1490">
        <v>0.99364160000000001</v>
      </c>
      <c r="Y1490">
        <v>7.2190039999999997E-2</v>
      </c>
      <c r="Z1490">
        <v>6.6988960000000002E-3</v>
      </c>
      <c r="AA1490">
        <v>0.99736840000000004</v>
      </c>
      <c r="AB1490">
        <v>25</v>
      </c>
      <c r="AC1490">
        <v>-0.57200000000000195</v>
      </c>
      <c r="AD1490">
        <v>-7.2851999999999903E-2</v>
      </c>
      <c r="AE1490">
        <v>3.4499999999979901E-2</v>
      </c>
      <c r="AF1490">
        <v>5.54956363728153E-2</v>
      </c>
      <c r="AG1490">
        <v>-7.2851999999999903E-2</v>
      </c>
      <c r="AH1490">
        <v>0.56118763970102803</v>
      </c>
      <c r="AI1490">
        <v>97.361122975581395</v>
      </c>
      <c r="AJ1490">
        <v>84.352403550957405</v>
      </c>
      <c r="AK1490">
        <v>0.56861124374535099</v>
      </c>
      <c r="AL1490">
        <v>96.1346736020663</v>
      </c>
      <c r="AM1490">
        <v>87.957153072361294</v>
      </c>
      <c r="AN1490">
        <v>1.0000000574305901</v>
      </c>
    </row>
    <row r="1491" spans="1:40" x14ac:dyDescent="0.25">
      <c r="A1491" t="str">
        <f>"20190303154450677"</f>
        <v>20190303154450677</v>
      </c>
      <c r="B1491" t="str">
        <f>"1551599090671561"</f>
        <v>1551599090671561</v>
      </c>
      <c r="C1491" t="s">
        <v>40</v>
      </c>
      <c r="D1491">
        <v>5.2938369999999999</v>
      </c>
      <c r="E1491">
        <v>0.51460399999999995</v>
      </c>
      <c r="F1491" t="s">
        <v>42</v>
      </c>
      <c r="G1491">
        <v>-216.08330000000001</v>
      </c>
      <c r="H1491">
        <v>1.0459860000000001</v>
      </c>
      <c r="I1491">
        <v>283.7552</v>
      </c>
      <c r="J1491">
        <v>-215.54570000000001</v>
      </c>
      <c r="K1491">
        <v>1.117464</v>
      </c>
      <c r="L1491">
        <v>283.72050000000002</v>
      </c>
      <c r="M1491">
        <v>-0.99938400000000005</v>
      </c>
      <c r="N1491">
        <v>-4.3500259999999999E-3</v>
      </c>
      <c r="O1491">
        <v>-3.4823960000000001E-2</v>
      </c>
      <c r="P1491">
        <v>-0.99368599999999996</v>
      </c>
      <c r="Q1491">
        <v>-0.1121935</v>
      </c>
      <c r="R1491">
        <v>-9.558317E-4</v>
      </c>
      <c r="S1491">
        <v>-2.988953</v>
      </c>
      <c r="T1491">
        <v>-0.2679011</v>
      </c>
      <c r="U1491">
        <v>0.10632320000000001</v>
      </c>
      <c r="V1491">
        <v>3.3057320000000001E-2</v>
      </c>
      <c r="W1491">
        <v>-0.1080551</v>
      </c>
      <c r="X1491">
        <v>0.99359509999999995</v>
      </c>
      <c r="Y1491">
        <v>6.9910440000000004E-2</v>
      </c>
      <c r="Z1491">
        <v>6.2411460000000004E-3</v>
      </c>
      <c r="AA1491">
        <v>0.99753369999999997</v>
      </c>
      <c r="AB1491">
        <v>25</v>
      </c>
      <c r="AC1491">
        <v>-0.53759999999999697</v>
      </c>
      <c r="AD1491">
        <v>-7.1477999999999903E-2</v>
      </c>
      <c r="AE1491">
        <v>3.4699999999986603E-2</v>
      </c>
      <c r="AF1491">
        <v>5.2476671545945597E-2</v>
      </c>
      <c r="AG1491">
        <v>-7.1477999999999903E-2</v>
      </c>
      <c r="AH1491">
        <v>0.52679167679021</v>
      </c>
      <c r="AI1491">
        <v>97.689419132939605</v>
      </c>
      <c r="AJ1491">
        <v>84.311213846071695</v>
      </c>
      <c r="AK1491">
        <v>0.53420256109081099</v>
      </c>
      <c r="AL1491">
        <v>96.203212982237801</v>
      </c>
      <c r="AM1491">
        <v>88.094448604411099</v>
      </c>
      <c r="AN1491">
        <v>0.99999995689279997</v>
      </c>
    </row>
    <row r="1492" spans="1:40" x14ac:dyDescent="0.25">
      <c r="A1492" t="str">
        <f>"20190303154450703"</f>
        <v>20190303154450703</v>
      </c>
      <c r="B1492" t="str">
        <f>"1551599090691589"</f>
        <v>1551599090691589</v>
      </c>
      <c r="C1492" t="s">
        <v>40</v>
      </c>
      <c r="D1492">
        <v>5.3094270000000003</v>
      </c>
      <c r="E1492">
        <v>0.51474880000000001</v>
      </c>
      <c r="F1492" t="s">
        <v>42</v>
      </c>
      <c r="G1492">
        <v>-216.31100000000001</v>
      </c>
      <c r="H1492">
        <v>1.0486279999999999</v>
      </c>
      <c r="I1492">
        <v>283.74889999999999</v>
      </c>
      <c r="J1492">
        <v>-215.81960000000001</v>
      </c>
      <c r="K1492">
        <v>1.117421</v>
      </c>
      <c r="L1492">
        <v>283.71480000000003</v>
      </c>
      <c r="M1492">
        <v>-0.99950530000000004</v>
      </c>
      <c r="N1492">
        <v>-4.3403649999999997E-3</v>
      </c>
      <c r="O1492">
        <v>-3.1154029999999999E-2</v>
      </c>
      <c r="P1492">
        <v>-0.99342779999999997</v>
      </c>
      <c r="Q1492">
        <v>-0.11446149999999999</v>
      </c>
      <c r="R1492">
        <v>4.4650279999999999E-4</v>
      </c>
      <c r="S1492">
        <v>-2.9887999999999999</v>
      </c>
      <c r="T1492">
        <v>-0.26880690000000002</v>
      </c>
      <c r="U1492">
        <v>0.1109924</v>
      </c>
      <c r="V1492">
        <v>3.0783810000000002E-2</v>
      </c>
      <c r="W1492">
        <v>-0.1103234</v>
      </c>
      <c r="X1492">
        <v>0.99341889999999999</v>
      </c>
      <c r="Y1492">
        <v>6.7824919999999997E-2</v>
      </c>
      <c r="Z1492">
        <v>5.8508730000000004E-3</v>
      </c>
      <c r="AA1492">
        <v>0.99768009999999996</v>
      </c>
      <c r="AB1492">
        <v>25</v>
      </c>
      <c r="AC1492">
        <v>-0.49139999999997003</v>
      </c>
      <c r="AD1492">
        <v>-6.8792999999999799E-2</v>
      </c>
      <c r="AE1492">
        <v>3.4099999999966699E-2</v>
      </c>
      <c r="AF1492">
        <v>4.8447737473970402E-2</v>
      </c>
      <c r="AG1492">
        <v>-6.8792999999999799E-2</v>
      </c>
      <c r="AH1492">
        <v>0.48072290893695202</v>
      </c>
      <c r="AI1492">
        <v>98.103420321785094</v>
      </c>
      <c r="AJ1492">
        <v>84.245105108156693</v>
      </c>
      <c r="AK1492">
        <v>0.488030916328209</v>
      </c>
      <c r="AL1492">
        <v>96.333958470933496</v>
      </c>
      <c r="AM1492">
        <v>88.225101048749707</v>
      </c>
      <c r="AN1492">
        <v>1.00000000321144</v>
      </c>
    </row>
    <row r="1493" spans="1:40" x14ac:dyDescent="0.25">
      <c r="A1493" t="str">
        <f>"20190303154450724"</f>
        <v>20190303154450724</v>
      </c>
      <c r="B1493" t="str">
        <f>"1551599090721843"</f>
        <v>1551599090721843</v>
      </c>
      <c r="C1493" t="s">
        <v>40</v>
      </c>
      <c r="D1493">
        <v>5.3027290000000002</v>
      </c>
      <c r="E1493">
        <v>0.51497899999999996</v>
      </c>
      <c r="F1493" t="s">
        <v>42</v>
      </c>
      <c r="G1493">
        <v>-216.75919999999999</v>
      </c>
      <c r="H1493">
        <v>1.0310619999999999</v>
      </c>
      <c r="I1493">
        <v>283.75139999999999</v>
      </c>
      <c r="J1493">
        <v>-216.078</v>
      </c>
      <c r="K1493">
        <v>1.117389</v>
      </c>
      <c r="L1493">
        <v>283.71050000000002</v>
      </c>
      <c r="M1493">
        <v>-0.99960669999999996</v>
      </c>
      <c r="N1493">
        <v>-4.3427680000000003E-3</v>
      </c>
      <c r="O1493">
        <v>-2.7706870000000001E-2</v>
      </c>
      <c r="P1493">
        <v>-0.99329060000000002</v>
      </c>
      <c r="Q1493">
        <v>-0.1156445</v>
      </c>
      <c r="R1493">
        <v>4.9148050000000004E-4</v>
      </c>
      <c r="S1493">
        <v>-2.9881440000000001</v>
      </c>
      <c r="T1493">
        <v>-0.27467170000000002</v>
      </c>
      <c r="U1493">
        <v>0.1161804</v>
      </c>
      <c r="V1493">
        <v>2.7388160000000002E-2</v>
      </c>
      <c r="W1493">
        <v>-0.1114868</v>
      </c>
      <c r="X1493">
        <v>0.99338839999999995</v>
      </c>
      <c r="Y1493">
        <v>6.6124890000000006E-2</v>
      </c>
      <c r="Z1493">
        <v>5.5961190000000001E-3</v>
      </c>
      <c r="AA1493">
        <v>0.9977956</v>
      </c>
      <c r="AB1493">
        <v>25</v>
      </c>
      <c r="AC1493">
        <v>-0.68119999999998904</v>
      </c>
      <c r="AD1493">
        <v>-8.6326999999999807E-2</v>
      </c>
      <c r="AE1493">
        <v>4.0899999999964999E-2</v>
      </c>
      <c r="AF1493">
        <v>5.8817187125734798E-2</v>
      </c>
      <c r="AG1493">
        <v>-8.6326999999999807E-2</v>
      </c>
      <c r="AH1493">
        <v>0.66909817395300197</v>
      </c>
      <c r="AI1493">
        <v>97.323750969832702</v>
      </c>
      <c r="AJ1493">
        <v>84.976318205173797</v>
      </c>
      <c r="AK1493">
        <v>0.67720320349037399</v>
      </c>
      <c r="AL1493">
        <v>96.401030391622399</v>
      </c>
      <c r="AM1493">
        <v>88.420729945182003</v>
      </c>
      <c r="AN1493">
        <v>0.99999996556849202</v>
      </c>
    </row>
    <row r="1494" spans="1:40" x14ac:dyDescent="0.25">
      <c r="A1494" t="str">
        <f>"20190303154450746"</f>
        <v>20190303154450746</v>
      </c>
      <c r="B1494" t="str">
        <f>"1551599090742339"</f>
        <v>1551599090742339</v>
      </c>
      <c r="C1494" t="s">
        <v>40</v>
      </c>
      <c r="D1494">
        <v>5.2963760000000004</v>
      </c>
      <c r="E1494">
        <v>0.51511289999999998</v>
      </c>
      <c r="F1494" t="s">
        <v>42</v>
      </c>
      <c r="G1494">
        <v>-216.99</v>
      </c>
      <c r="H1494">
        <v>1.032942</v>
      </c>
      <c r="I1494">
        <v>283.74669999999998</v>
      </c>
      <c r="J1494">
        <v>-216.3219</v>
      </c>
      <c r="K1494">
        <v>1.1173649999999999</v>
      </c>
      <c r="L1494">
        <v>283.7072</v>
      </c>
      <c r="M1494">
        <v>-0.9996912</v>
      </c>
      <c r="N1494">
        <v>-4.3492060000000004E-3</v>
      </c>
      <c r="O1494">
        <v>-2.4466660000000001E-2</v>
      </c>
      <c r="P1494">
        <v>-0.99328170000000005</v>
      </c>
      <c r="Q1494">
        <v>-0.11571919999999999</v>
      </c>
      <c r="R1494">
        <v>7.892388E-4</v>
      </c>
      <c r="S1494">
        <v>-2.9880070000000001</v>
      </c>
      <c r="T1494">
        <v>-0.2766324</v>
      </c>
      <c r="U1494">
        <v>0.1181946</v>
      </c>
      <c r="V1494">
        <v>2.4462190000000002E-2</v>
      </c>
      <c r="W1494">
        <v>-0.1115394</v>
      </c>
      <c r="X1494">
        <v>0.99345890000000003</v>
      </c>
      <c r="Y1494">
        <v>6.3582089999999994E-2</v>
      </c>
      <c r="Z1494">
        <v>5.2278419999999999E-3</v>
      </c>
      <c r="AA1494">
        <v>0.99796289999999999</v>
      </c>
      <c r="AB1494">
        <v>25</v>
      </c>
      <c r="AC1494">
        <v>-0.66810000000000902</v>
      </c>
      <c r="AD1494">
        <v>-8.4422999999999901E-2</v>
      </c>
      <c r="AE1494">
        <v>3.9499999999975402E-2</v>
      </c>
      <c r="AF1494">
        <v>5.4959985140891503E-2</v>
      </c>
      <c r="AG1494">
        <v>-8.4422999999999901E-2</v>
      </c>
      <c r="AH1494">
        <v>0.65648756400567398</v>
      </c>
      <c r="AI1494">
        <v>97.302636106683394</v>
      </c>
      <c r="AJ1494">
        <v>85.214457426384797</v>
      </c>
      <c r="AK1494">
        <v>0.66417148733575604</v>
      </c>
      <c r="AL1494">
        <v>96.404062770909903</v>
      </c>
      <c r="AM1494">
        <v>88.589476538854896</v>
      </c>
      <c r="AN1494">
        <v>1.00000001124058</v>
      </c>
    </row>
    <row r="1495" spans="1:40" x14ac:dyDescent="0.25">
      <c r="A1495" t="str">
        <f>"20190303154450768"</f>
        <v>20190303154450768</v>
      </c>
      <c r="B1495" t="str">
        <f>"1551599090761859"</f>
        <v>1551599090761859</v>
      </c>
      <c r="C1495" t="s">
        <v>40</v>
      </c>
      <c r="D1495">
        <v>5.298171</v>
      </c>
      <c r="E1495">
        <v>0.5151732</v>
      </c>
      <c r="F1495" t="s">
        <v>42</v>
      </c>
      <c r="G1495">
        <v>-217.2216</v>
      </c>
      <c r="H1495">
        <v>1.0342009999999999</v>
      </c>
      <c r="I1495">
        <v>283.74369999999999</v>
      </c>
      <c r="J1495">
        <v>-216.5772</v>
      </c>
      <c r="K1495">
        <v>1.1173599999999999</v>
      </c>
      <c r="L1495">
        <v>283.7045</v>
      </c>
      <c r="M1495">
        <v>-0.99976790000000004</v>
      </c>
      <c r="N1495">
        <v>-4.3577989999999999E-3</v>
      </c>
      <c r="O1495">
        <v>-2.1103170000000001E-2</v>
      </c>
      <c r="P1495">
        <v>-0.99335119999999999</v>
      </c>
      <c r="Q1495">
        <v>-0.1151185</v>
      </c>
      <c r="R1495">
        <v>1.242244E-3</v>
      </c>
      <c r="S1495">
        <v>-2.988022</v>
      </c>
      <c r="T1495">
        <v>-0.27620460000000002</v>
      </c>
      <c r="U1495">
        <v>0.120147699999999</v>
      </c>
      <c r="V1495">
        <v>2.1576720000000001E-2</v>
      </c>
      <c r="W1495">
        <v>-0.1109137</v>
      </c>
      <c r="X1495">
        <v>0.99359580000000003</v>
      </c>
      <c r="Y1495">
        <v>6.0901570000000002E-2</v>
      </c>
      <c r="Z1495">
        <v>4.794871E-3</v>
      </c>
      <c r="AA1495">
        <v>0.99813229999999997</v>
      </c>
      <c r="AB1495">
        <v>26</v>
      </c>
      <c r="AC1495">
        <v>-0.64439999999998998</v>
      </c>
      <c r="AD1495">
        <v>-8.3159000000000205E-2</v>
      </c>
      <c r="AE1495">
        <v>3.9199999999993899E-2</v>
      </c>
      <c r="AF1495">
        <v>5.1928671140840099E-2</v>
      </c>
      <c r="AG1495">
        <v>-8.3159000000000205E-2</v>
      </c>
      <c r="AH1495">
        <v>0.63292759433846801</v>
      </c>
      <c r="AI1495">
        <v>97.460311664399299</v>
      </c>
      <c r="AJ1495">
        <v>85.309661682913998</v>
      </c>
      <c r="AK1495">
        <v>0.64047587452029298</v>
      </c>
      <c r="AL1495">
        <v>96.367988982290598</v>
      </c>
      <c r="AM1495">
        <v>88.755972280219297</v>
      </c>
      <c r="AN1495">
        <v>1.00000000873564</v>
      </c>
    </row>
    <row r="1496" spans="1:40" x14ac:dyDescent="0.25">
      <c r="A1496" t="str">
        <f>"20190303154450790"</f>
        <v>20190303154450790</v>
      </c>
      <c r="B1496" t="str">
        <f>"1551599090781885"</f>
        <v>1551599090781885</v>
      </c>
      <c r="C1496" t="s">
        <v>40</v>
      </c>
      <c r="D1496">
        <v>5.2987399999999996</v>
      </c>
      <c r="E1496">
        <v>0.51527730000000005</v>
      </c>
      <c r="F1496" t="s">
        <v>42</v>
      </c>
      <c r="G1496">
        <v>-217.45500000000001</v>
      </c>
      <c r="H1496">
        <v>1.0367949999999999</v>
      </c>
      <c r="I1496">
        <v>283.74040000000002</v>
      </c>
      <c r="J1496">
        <v>-216.83510000000001</v>
      </c>
      <c r="K1496">
        <v>1.1173660000000001</v>
      </c>
      <c r="L1496">
        <v>283.70269999999999</v>
      </c>
      <c r="M1496">
        <v>-0.99983290000000002</v>
      </c>
      <c r="N1496">
        <v>-4.3692219999999999E-3</v>
      </c>
      <c r="O1496">
        <v>-1.7754430000000002E-2</v>
      </c>
      <c r="P1496">
        <v>-0.99335799999999996</v>
      </c>
      <c r="Q1496">
        <v>-0.115051</v>
      </c>
      <c r="R1496">
        <v>1.793785E-3</v>
      </c>
      <c r="S1496">
        <v>-2.9881440000000001</v>
      </c>
      <c r="T1496">
        <v>-0.27434029999999998</v>
      </c>
      <c r="U1496">
        <v>0.1221008</v>
      </c>
      <c r="V1496">
        <v>1.8803569999999999E-2</v>
      </c>
      <c r="W1496">
        <v>-0.11081870000000001</v>
      </c>
      <c r="X1496">
        <v>0.99366270000000001</v>
      </c>
      <c r="Y1496">
        <v>5.8237169999999998E-2</v>
      </c>
      <c r="Z1496">
        <v>4.3428410000000001E-3</v>
      </c>
      <c r="AA1496">
        <v>0.99829330000000005</v>
      </c>
      <c r="AB1496">
        <v>26</v>
      </c>
      <c r="AC1496">
        <v>-0.61990000000000101</v>
      </c>
      <c r="AD1496">
        <v>-8.0570999999999907E-2</v>
      </c>
      <c r="AE1496">
        <v>3.77000000000293E-2</v>
      </c>
      <c r="AF1496">
        <v>4.7894026778213097E-2</v>
      </c>
      <c r="AG1496">
        <v>-8.0570999999999907E-2</v>
      </c>
      <c r="AH1496">
        <v>0.60888477670450403</v>
      </c>
      <c r="AI1496">
        <v>97.514955742485895</v>
      </c>
      <c r="AJ1496">
        <v>85.502454392724701</v>
      </c>
      <c r="AK1496">
        <v>0.61605697394358405</v>
      </c>
      <c r="AL1496">
        <v>96.362512432025198</v>
      </c>
      <c r="AM1496">
        <v>88.915893061694106</v>
      </c>
      <c r="AN1496">
        <v>0.99999995994286095</v>
      </c>
    </row>
    <row r="1497" spans="1:40" x14ac:dyDescent="0.25">
      <c r="A1497" t="str">
        <f>"20190303154450813"</f>
        <v>20190303154450813</v>
      </c>
      <c r="B1497" t="str">
        <f>"1551599090802383"</f>
        <v>1551599090802383</v>
      </c>
      <c r="C1497" t="s">
        <v>40</v>
      </c>
      <c r="D1497">
        <v>5.2671679999999999</v>
      </c>
      <c r="E1497">
        <v>0.51530929999999997</v>
      </c>
      <c r="F1497" t="s">
        <v>42</v>
      </c>
      <c r="G1497">
        <v>-217.68940000000001</v>
      </c>
      <c r="H1497">
        <v>1.0390699999999999</v>
      </c>
      <c r="I1497">
        <v>283.73849999999999</v>
      </c>
      <c r="J1497">
        <v>-217.09569999999999</v>
      </c>
      <c r="K1497">
        <v>1.1173900000000001</v>
      </c>
      <c r="L1497">
        <v>283.70159999999998</v>
      </c>
      <c r="M1497">
        <v>-0.99988619999999995</v>
      </c>
      <c r="N1497">
        <v>-4.3857559999999898E-3</v>
      </c>
      <c r="O1497">
        <v>-1.4440949999999999E-2</v>
      </c>
      <c r="P1497">
        <v>-0.9933651</v>
      </c>
      <c r="Q1497">
        <v>-0.11496149999999999</v>
      </c>
      <c r="R1497">
        <v>3.09903E-3</v>
      </c>
      <c r="S1497">
        <v>-2.9881129999999998</v>
      </c>
      <c r="T1497">
        <v>-0.27382269999999997</v>
      </c>
      <c r="U1497">
        <v>0.12454220000000001</v>
      </c>
      <c r="V1497">
        <v>1.682376E-2</v>
      </c>
      <c r="W1497">
        <v>-0.11070049999999999</v>
      </c>
      <c r="X1497">
        <v>0.99371140000000002</v>
      </c>
      <c r="Y1497">
        <v>5.576801E-2</v>
      </c>
      <c r="Z1497">
        <v>3.928267E-3</v>
      </c>
      <c r="AA1497">
        <v>0.99843599999999999</v>
      </c>
      <c r="AB1497">
        <v>26</v>
      </c>
      <c r="AC1497">
        <v>-0.593700000000012</v>
      </c>
      <c r="AD1497">
        <v>-7.8319999999999695E-2</v>
      </c>
      <c r="AE1497">
        <v>3.6900000000002799E-2</v>
      </c>
      <c r="AF1497">
        <v>4.4695014555105599E-2</v>
      </c>
      <c r="AG1497">
        <v>-7.8319999999999695E-2</v>
      </c>
      <c r="AH1497">
        <v>0.58299863051548595</v>
      </c>
      <c r="AI1497">
        <v>97.629180586649497</v>
      </c>
      <c r="AJ1497">
        <v>85.616050896371902</v>
      </c>
      <c r="AK1497">
        <v>0.58993141119032899</v>
      </c>
      <c r="AL1497">
        <v>96.355697932584206</v>
      </c>
      <c r="AM1497">
        <v>89.030062087027005</v>
      </c>
      <c r="AN1497">
        <v>0.99999999304537301</v>
      </c>
    </row>
    <row r="1498" spans="1:40" x14ac:dyDescent="0.25">
      <c r="A1498" t="str">
        <f>"20190303154450836"</f>
        <v>20190303154450836</v>
      </c>
      <c r="B1498" t="str">
        <f>"1551599090831662"</f>
        <v>1551599090831662</v>
      </c>
      <c r="C1498" t="s">
        <v>40</v>
      </c>
      <c r="D1498">
        <v>5.3527019999999998</v>
      </c>
      <c r="E1498">
        <v>0.51555260000000003</v>
      </c>
      <c r="F1498" t="s">
        <v>42</v>
      </c>
      <c r="G1498">
        <v>-217.92500000000001</v>
      </c>
      <c r="H1498">
        <v>1.0415479999999999</v>
      </c>
      <c r="I1498">
        <v>283.73750000000001</v>
      </c>
      <c r="J1498">
        <v>-217.37450000000001</v>
      </c>
      <c r="K1498">
        <v>1.1174309999999901</v>
      </c>
      <c r="L1498">
        <v>283.7013</v>
      </c>
      <c r="M1498">
        <v>-0.99992979999999998</v>
      </c>
      <c r="N1498">
        <v>-4.4066660000000001E-3</v>
      </c>
      <c r="O1498">
        <v>-1.099751E-2</v>
      </c>
      <c r="P1498">
        <v>-0.99345249999999996</v>
      </c>
      <c r="Q1498">
        <v>-0.1141139</v>
      </c>
      <c r="R1498">
        <v>5.513998E-3</v>
      </c>
      <c r="S1498">
        <v>-2.988022</v>
      </c>
      <c r="T1498">
        <v>-0.27325379999999999</v>
      </c>
      <c r="U1498">
        <v>0.12878419999999999</v>
      </c>
      <c r="V1498">
        <v>1.5835579999999998E-2</v>
      </c>
      <c r="W1498">
        <v>-0.1098243</v>
      </c>
      <c r="X1498">
        <v>0.99382479999999995</v>
      </c>
      <c r="Y1498">
        <v>5.3768650000000001E-2</v>
      </c>
      <c r="Z1498">
        <v>3.5259620000000001E-3</v>
      </c>
      <c r="AA1498">
        <v>0.99854719999999997</v>
      </c>
      <c r="AB1498">
        <v>26</v>
      </c>
      <c r="AC1498">
        <v>-0.55049999999999899</v>
      </c>
      <c r="AD1498">
        <v>-7.5882999999999895E-2</v>
      </c>
      <c r="AE1498">
        <v>3.6200000000007997E-2</v>
      </c>
      <c r="AF1498">
        <v>4.1467471756878399E-2</v>
      </c>
      <c r="AG1498">
        <v>-7.5882999999999895E-2</v>
      </c>
      <c r="AH1498">
        <v>0.53985502438412603</v>
      </c>
      <c r="AI1498">
        <v>97.977981575904593</v>
      </c>
      <c r="AJ1498">
        <v>85.607608035410607</v>
      </c>
      <c r="AK1498">
        <v>0.54673689125180902</v>
      </c>
      <c r="AL1498">
        <v>96.305187730922199</v>
      </c>
      <c r="AM1498">
        <v>89.087127705452104</v>
      </c>
      <c r="AN1498">
        <v>0.99999993777973095</v>
      </c>
    </row>
    <row r="1499" spans="1:40" x14ac:dyDescent="0.25">
      <c r="A1499" t="str">
        <f>"20190303154450858"</f>
        <v>20190303154450858</v>
      </c>
      <c r="B1499" t="str">
        <f>"1551599090852158"</f>
        <v>1551599090852158</v>
      </c>
      <c r="C1499" t="s">
        <v>40</v>
      </c>
      <c r="D1499">
        <v>5.33561</v>
      </c>
      <c r="E1499">
        <v>0.51565289999999997</v>
      </c>
      <c r="F1499" t="s">
        <v>42</v>
      </c>
      <c r="G1499">
        <v>-218.1627</v>
      </c>
      <c r="H1499">
        <v>1.0461020000000001</v>
      </c>
      <c r="I1499">
        <v>283.73790000000002</v>
      </c>
      <c r="J1499">
        <v>-217.6268</v>
      </c>
      <c r="K1499">
        <v>1.1174949999999999</v>
      </c>
      <c r="L1499">
        <v>283.70170000000002</v>
      </c>
      <c r="M1499">
        <v>-0.99995829999999997</v>
      </c>
      <c r="N1499">
        <v>-4.4254869999999997E-3</v>
      </c>
      <c r="O1499">
        <v>-7.9992989999999996E-3</v>
      </c>
      <c r="P1499">
        <v>-0.99367079999999997</v>
      </c>
      <c r="Q1499">
        <v>-0.1120616</v>
      </c>
      <c r="R1499">
        <v>7.8214909999999999E-3</v>
      </c>
      <c r="S1499">
        <v>-2.987946</v>
      </c>
      <c r="T1499">
        <v>-0.27044590000000002</v>
      </c>
      <c r="U1499">
        <v>0.13812260000000001</v>
      </c>
      <c r="V1499">
        <v>1.5192880000000001E-2</v>
      </c>
      <c r="W1499">
        <v>-0.1077465</v>
      </c>
      <c r="X1499">
        <v>0.99406229999999995</v>
      </c>
      <c r="Y1499">
        <v>5.3906399999999903E-2</v>
      </c>
      <c r="Z1499">
        <v>3.23982E-3</v>
      </c>
      <c r="AA1499">
        <v>0.99854080000000001</v>
      </c>
      <c r="AB1499">
        <v>26</v>
      </c>
      <c r="AC1499">
        <v>-0.53589999999999705</v>
      </c>
      <c r="AD1499">
        <v>-7.1392999999999998E-2</v>
      </c>
      <c r="AE1499">
        <v>3.6200000000007997E-2</v>
      </c>
      <c r="AF1499">
        <v>3.97828578546012E-2</v>
      </c>
      <c r="AG1499">
        <v>-7.1392999999999998E-2</v>
      </c>
      <c r="AH1499">
        <v>0.52629513930732197</v>
      </c>
      <c r="AI1499">
        <v>97.703422090778005</v>
      </c>
      <c r="AJ1499">
        <v>85.677210185748606</v>
      </c>
      <c r="AK1499">
        <v>0.53260323871207604</v>
      </c>
      <c r="AL1499">
        <v>96.185427436345194</v>
      </c>
      <c r="AM1499">
        <v>89.124380702044405</v>
      </c>
      <c r="AN1499">
        <v>0.99999999407311702</v>
      </c>
    </row>
    <row r="1500" spans="1:40" x14ac:dyDescent="0.25">
      <c r="A1500" t="str">
        <f>"20190303154450881"</f>
        <v>20190303154450881</v>
      </c>
      <c r="B1500" t="str">
        <f>"1551599090871678"</f>
        <v>1551599090871678</v>
      </c>
      <c r="C1500" t="s">
        <v>40</v>
      </c>
      <c r="D1500">
        <v>5.3467330000000004</v>
      </c>
      <c r="E1500">
        <v>0.5157214</v>
      </c>
      <c r="F1500" t="s">
        <v>42</v>
      </c>
      <c r="G1500">
        <v>-218.4014</v>
      </c>
      <c r="H1500">
        <v>1.0489200000000001</v>
      </c>
      <c r="I1500">
        <v>283.7396</v>
      </c>
      <c r="J1500">
        <v>-217.8998</v>
      </c>
      <c r="K1500">
        <v>1.1175740000000001</v>
      </c>
      <c r="L1500">
        <v>283.70280000000002</v>
      </c>
      <c r="M1500">
        <v>-0.99997820000000004</v>
      </c>
      <c r="N1500">
        <v>-4.444824E-3</v>
      </c>
      <c r="O1500">
        <v>-4.9071469999999997E-3</v>
      </c>
      <c r="P1500">
        <v>-0.99372740000000004</v>
      </c>
      <c r="Q1500">
        <v>-0.1113541</v>
      </c>
      <c r="R1500">
        <v>1.032084E-2</v>
      </c>
      <c r="S1500">
        <v>-2.9881289999999998</v>
      </c>
      <c r="T1500">
        <v>-0.26462760000000002</v>
      </c>
      <c r="U1500">
        <v>0.1460571</v>
      </c>
      <c r="V1500">
        <v>1.464564E-2</v>
      </c>
      <c r="W1500">
        <v>-0.1070132</v>
      </c>
      <c r="X1500">
        <v>0.99414970000000003</v>
      </c>
      <c r="Y1500">
        <v>5.348493E-2</v>
      </c>
      <c r="Z1500">
        <v>2.8931790000000001E-3</v>
      </c>
      <c r="AA1500">
        <v>0.99856449999999997</v>
      </c>
      <c r="AB1500">
        <v>26</v>
      </c>
      <c r="AC1500">
        <v>-0.50159999999999605</v>
      </c>
      <c r="AD1500">
        <v>-6.8653999999999896E-2</v>
      </c>
      <c r="AE1500">
        <v>3.6799999999971002E-2</v>
      </c>
      <c r="AF1500">
        <v>3.8542833050325798E-2</v>
      </c>
      <c r="AG1500">
        <v>-6.8653999999999896E-2</v>
      </c>
      <c r="AH1500">
        <v>0.49224138817276802</v>
      </c>
      <c r="AI1500">
        <v>97.916029136569804</v>
      </c>
      <c r="AJ1500">
        <v>85.522836690159707</v>
      </c>
      <c r="AK1500">
        <v>0.498498250674764</v>
      </c>
      <c r="AL1500">
        <v>96.143168230109396</v>
      </c>
      <c r="AM1500">
        <v>89.155989622695401</v>
      </c>
      <c r="AN1500">
        <v>0.99999997287766895</v>
      </c>
    </row>
    <row r="1501" spans="1:40" x14ac:dyDescent="0.25">
      <c r="A1501" t="str">
        <f>"20190303154450900"</f>
        <v>20190303154450900</v>
      </c>
      <c r="B1501" t="str">
        <f>"1551599090892174"</f>
        <v>1551599090892174</v>
      </c>
      <c r="C1501" t="s">
        <v>40</v>
      </c>
      <c r="D1501">
        <v>5.3437970000000004</v>
      </c>
      <c r="E1501">
        <v>0.51574979999999904</v>
      </c>
      <c r="F1501" t="s">
        <v>42</v>
      </c>
      <c r="G1501">
        <v>-218.6421</v>
      </c>
      <c r="H1501">
        <v>1.0522959999999999</v>
      </c>
      <c r="I1501">
        <v>283.74130000000002</v>
      </c>
      <c r="J1501">
        <v>-218.14250000000001</v>
      </c>
      <c r="K1501">
        <v>1.1176600000000001</v>
      </c>
      <c r="L1501">
        <v>283.70440000000002</v>
      </c>
      <c r="M1501">
        <v>-0.99998739999999997</v>
      </c>
      <c r="N1501">
        <v>-4.4610159999999999E-3</v>
      </c>
      <c r="O1501">
        <v>-2.3273790000000001E-3</v>
      </c>
      <c r="P1501">
        <v>-0.993703</v>
      </c>
      <c r="Q1501">
        <v>-0.111440899999999</v>
      </c>
      <c r="R1501">
        <v>1.165331E-2</v>
      </c>
      <c r="S1501">
        <v>-2.9878849999999999</v>
      </c>
      <c r="T1501">
        <v>-0.26283970000000001</v>
      </c>
      <c r="U1501">
        <v>0.15423580000000001</v>
      </c>
      <c r="V1501">
        <v>1.3439029999999999E-2</v>
      </c>
      <c r="W1501">
        <v>-0.1070745</v>
      </c>
      <c r="X1501">
        <v>0.99416020000000005</v>
      </c>
      <c r="Y1501">
        <v>5.3650690000000001E-2</v>
      </c>
      <c r="Z1501">
        <v>2.6675219999999999E-3</v>
      </c>
      <c r="AA1501">
        <v>0.9985562</v>
      </c>
      <c r="AB1501">
        <v>26</v>
      </c>
      <c r="AC1501">
        <v>-0.499599999999986</v>
      </c>
      <c r="AD1501">
        <v>-6.53640000000002E-2</v>
      </c>
      <c r="AE1501">
        <v>3.6900000000002799E-2</v>
      </c>
      <c r="AF1501">
        <v>3.7425526123865301E-2</v>
      </c>
      <c r="AG1501">
        <v>-6.53640000000002E-2</v>
      </c>
      <c r="AH1501">
        <v>0.49115125159751499</v>
      </c>
      <c r="AI1501">
        <v>97.558905221391598</v>
      </c>
      <c r="AJ1501">
        <v>85.642505579097303</v>
      </c>
      <c r="AK1501">
        <v>0.49689302112975398</v>
      </c>
      <c r="AL1501">
        <v>96.146700407900099</v>
      </c>
      <c r="AM1501">
        <v>89.225524414697801</v>
      </c>
      <c r="AN1501">
        <v>1.00000002967081</v>
      </c>
    </row>
    <row r="1502" spans="1:40" x14ac:dyDescent="0.25">
      <c r="A1502" t="str">
        <f>"20190303154450927"</f>
        <v>20190303154450927</v>
      </c>
      <c r="B1502" t="str">
        <f>"1551599090922430"</f>
        <v>1551599090922430</v>
      </c>
      <c r="C1502" t="s">
        <v>40</v>
      </c>
      <c r="D1502">
        <v>5.3656199999999998</v>
      </c>
      <c r="E1502">
        <v>0.50569049999999904</v>
      </c>
      <c r="F1502" t="s">
        <v>42</v>
      </c>
      <c r="G1502">
        <v>-218.8811</v>
      </c>
      <c r="H1502">
        <v>1.052643</v>
      </c>
      <c r="I1502">
        <v>283.74369999999999</v>
      </c>
      <c r="J1502">
        <v>-218.44479999999999</v>
      </c>
      <c r="K1502">
        <v>1.1177969999999999</v>
      </c>
      <c r="L1502">
        <v>283.70699999999999</v>
      </c>
      <c r="M1502">
        <v>-0.99998980000000004</v>
      </c>
      <c r="N1502">
        <v>-4.4799640000000003E-3</v>
      </c>
      <c r="O1502">
        <v>6.2167430000000001E-4</v>
      </c>
      <c r="P1502">
        <v>-0.99372150000000004</v>
      </c>
      <c r="Q1502">
        <v>-0.1110589</v>
      </c>
      <c r="R1502">
        <v>1.3545089999999999E-2</v>
      </c>
      <c r="S1502">
        <v>-2.9876559999999999</v>
      </c>
      <c r="T1502">
        <v>-0.26303080000000001</v>
      </c>
      <c r="U1502">
        <v>0.158477799999999</v>
      </c>
      <c r="V1502">
        <v>1.243944E-2</v>
      </c>
      <c r="W1502">
        <v>-0.10666390000000001</v>
      </c>
      <c r="X1502">
        <v>0.99421729999999997</v>
      </c>
      <c r="Y1502">
        <v>5.2139669999999999E-2</v>
      </c>
      <c r="Z1502">
        <v>2.3544379999999999E-3</v>
      </c>
      <c r="AA1502">
        <v>0.998637</v>
      </c>
      <c r="AB1502">
        <v>26</v>
      </c>
      <c r="AC1502">
        <v>-0.43630000000001701</v>
      </c>
      <c r="AD1502">
        <v>-6.5153999999999906E-2</v>
      </c>
      <c r="AE1502">
        <v>3.6699999999996097E-2</v>
      </c>
      <c r="AF1502">
        <v>3.5639562837136797E-2</v>
      </c>
      <c r="AG1502">
        <v>-6.5153999999999906E-2</v>
      </c>
      <c r="AH1502">
        <v>0.42687025560018399</v>
      </c>
      <c r="AI1502">
        <v>98.648551161215593</v>
      </c>
      <c r="AJ1502">
        <v>85.227421972173005</v>
      </c>
      <c r="AK1502">
        <v>0.43328216818995502</v>
      </c>
      <c r="AL1502">
        <v>96.123039540285205</v>
      </c>
      <c r="AM1502">
        <v>89.283164531828405</v>
      </c>
      <c r="AN1502">
        <v>0.99999998342500596</v>
      </c>
    </row>
    <row r="1503" spans="1:40" x14ac:dyDescent="0.25">
      <c r="A1503" t="str">
        <f>"20190303154450948"</f>
        <v>20190303154450948</v>
      </c>
      <c r="B1503" t="str">
        <f>"1551599090941950"</f>
        <v>1551599090941950</v>
      </c>
      <c r="C1503" t="s">
        <v>40</v>
      </c>
      <c r="D1503">
        <v>5.3488920000000002</v>
      </c>
      <c r="E1503">
        <v>0.50598659999999995</v>
      </c>
      <c r="F1503" t="s">
        <v>55</v>
      </c>
      <c r="G1503">
        <v>-241.13319999999999</v>
      </c>
      <c r="H1503" s="1">
        <v>-9.3377880000000003E-7</v>
      </c>
      <c r="I1503">
        <v>284.31020000000001</v>
      </c>
      <c r="J1503">
        <v>-218.70840000000001</v>
      </c>
      <c r="K1503">
        <v>1.117929</v>
      </c>
      <c r="L1503">
        <v>283.7097</v>
      </c>
      <c r="M1503">
        <v>-0.99998549999999997</v>
      </c>
      <c r="N1503">
        <v>-4.49556E-3</v>
      </c>
      <c r="O1503">
        <v>2.976401E-3</v>
      </c>
      <c r="P1503">
        <v>-0.99392210000000003</v>
      </c>
      <c r="Q1503">
        <v>-0.10911369999999999</v>
      </c>
      <c r="R1503">
        <v>1.4605669999999999E-2</v>
      </c>
      <c r="S1503">
        <v>-3.0013730000000001</v>
      </c>
      <c r="T1503">
        <v>-0.1478701</v>
      </c>
      <c r="U1503">
        <v>7.9803470000000001E-2</v>
      </c>
      <c r="V1503">
        <v>1.120255E-2</v>
      </c>
      <c r="W1503">
        <v>-0.1046927</v>
      </c>
      <c r="X1503">
        <v>0.99444149999999998</v>
      </c>
      <c r="Y1503">
        <v>2.3575889999999999E-2</v>
      </c>
      <c r="Z1503">
        <v>5.0019349999999997E-4</v>
      </c>
      <c r="AA1503">
        <v>0.99972190000000005</v>
      </c>
      <c r="AB1503">
        <v>27</v>
      </c>
      <c r="AC1503">
        <v>-22.424799999999902</v>
      </c>
      <c r="AD1503">
        <v>-1.1179299337788</v>
      </c>
      <c r="AE1503">
        <v>0.60050000000001003</v>
      </c>
      <c r="AF1503">
        <v>0.53242919337607297</v>
      </c>
      <c r="AG1503">
        <v>-1.1179299337788</v>
      </c>
      <c r="AH1503">
        <v>22.370930252236501</v>
      </c>
      <c r="AI1503">
        <v>92.860021439585694</v>
      </c>
      <c r="AJ1503">
        <v>88.636615137106702</v>
      </c>
      <c r="AK1503">
        <v>22.405172807484199</v>
      </c>
      <c r="AL1503">
        <v>96.009462121326607</v>
      </c>
      <c r="AM1503">
        <v>89.354580751740997</v>
      </c>
      <c r="AN1503">
        <v>0.99999997774102101</v>
      </c>
    </row>
    <row r="1504" spans="1:40" x14ac:dyDescent="0.25">
      <c r="A1504" t="str">
        <f>"20190303154450969"</f>
        <v>20190303154450969</v>
      </c>
      <c r="B1504" t="str">
        <f>"1551599090962446"</f>
        <v>1551599090962446</v>
      </c>
      <c r="C1504" t="s">
        <v>40</v>
      </c>
      <c r="D1504">
        <v>5.3441140000000003</v>
      </c>
      <c r="E1504">
        <v>0.50544690000000003</v>
      </c>
      <c r="F1504" t="s">
        <v>55</v>
      </c>
      <c r="G1504">
        <v>-248.41739999999999</v>
      </c>
      <c r="H1504" s="1">
        <v>2.9425190000000001E-6</v>
      </c>
      <c r="I1504">
        <v>284.5428</v>
      </c>
      <c r="J1504">
        <v>-218.96969999999999</v>
      </c>
      <c r="K1504">
        <v>1.118047</v>
      </c>
      <c r="L1504">
        <v>283.71280000000002</v>
      </c>
      <c r="M1504">
        <v>-0.9999768</v>
      </c>
      <c r="N1504">
        <v>-4.510671E-3</v>
      </c>
      <c r="O1504">
        <v>5.1316959999999998E-3</v>
      </c>
      <c r="P1504">
        <v>-0.99414800000000003</v>
      </c>
      <c r="Q1504">
        <v>-0.10688209999999999</v>
      </c>
      <c r="R1504">
        <v>1.5692040000000001E-2</v>
      </c>
      <c r="S1504">
        <v>-3.0047000000000001</v>
      </c>
      <c r="T1504">
        <v>-0.1130644</v>
      </c>
      <c r="U1504">
        <v>8.4259029999999999E-2</v>
      </c>
      <c r="V1504">
        <v>1.0185690000000001E-2</v>
      </c>
      <c r="W1504">
        <v>-0.1024375</v>
      </c>
      <c r="X1504">
        <v>0.99468730000000005</v>
      </c>
      <c r="Y1504">
        <v>2.288598E-2</v>
      </c>
      <c r="Z1504">
        <v>3.1214490000000002E-4</v>
      </c>
      <c r="AA1504">
        <v>0.99973800000000002</v>
      </c>
      <c r="AB1504">
        <v>27</v>
      </c>
      <c r="AC1504">
        <v>-29.447700000000001</v>
      </c>
      <c r="AD1504">
        <v>-1.118044057481</v>
      </c>
      <c r="AE1504">
        <v>0.82999999999998397</v>
      </c>
      <c r="AF1504">
        <v>0.67789450036034504</v>
      </c>
      <c r="AG1504">
        <v>-1.118044057481</v>
      </c>
      <c r="AH1504">
        <v>29.409211828769099</v>
      </c>
      <c r="AI1504">
        <v>92.176576003349595</v>
      </c>
      <c r="AJ1504">
        <v>88.6795424061944</v>
      </c>
      <c r="AK1504">
        <v>29.438262582181999</v>
      </c>
      <c r="AL1504">
        <v>95.879549894826596</v>
      </c>
      <c r="AM1504">
        <v>89.413306421879597</v>
      </c>
      <c r="AN1504">
        <v>1.0000000072341499</v>
      </c>
    </row>
    <row r="1505" spans="1:40" x14ac:dyDescent="0.25">
      <c r="A1505" t="str">
        <f>"20190303154450992"</f>
        <v>20190303154450992</v>
      </c>
      <c r="B1505" t="str">
        <f>"1551599090981966"</f>
        <v>1551599090981966</v>
      </c>
      <c r="C1505" t="s">
        <v>40</v>
      </c>
      <c r="D1505">
        <v>5.3537140000000001</v>
      </c>
      <c r="E1505">
        <v>0.50510639999999996</v>
      </c>
      <c r="F1505" t="s">
        <v>55</v>
      </c>
      <c r="G1505">
        <v>-250.13</v>
      </c>
      <c r="H1505" s="1">
        <v>-1.46763299999999E-6</v>
      </c>
      <c r="I1505">
        <v>284.5752</v>
      </c>
      <c r="J1505">
        <v>-219.24449999999999</v>
      </c>
      <c r="K1505">
        <v>1.11817099999999</v>
      </c>
      <c r="L1505">
        <v>283.7165</v>
      </c>
      <c r="M1505">
        <v>-0.99996390000000002</v>
      </c>
      <c r="N1505">
        <v>-4.5263120000000002E-3</v>
      </c>
      <c r="O1505">
        <v>7.1954460000000003E-3</v>
      </c>
      <c r="P1505">
        <v>-0.99419669999999905</v>
      </c>
      <c r="Q1505">
        <v>-0.1064387</v>
      </c>
      <c r="R1505">
        <v>1.562147E-2</v>
      </c>
      <c r="S1505">
        <v>-3.0047450000000002</v>
      </c>
      <c r="T1505">
        <v>-0.1078122</v>
      </c>
      <c r="U1505">
        <v>8.3160399999999995E-2</v>
      </c>
      <c r="V1505">
        <v>8.0952760000000002E-3</v>
      </c>
      <c r="W1505">
        <v>-0.1019673</v>
      </c>
      <c r="X1505">
        <v>0.99475480000000005</v>
      </c>
      <c r="Y1505">
        <v>2.0461E-2</v>
      </c>
      <c r="Z1505">
        <v>1.8773870000000001E-4</v>
      </c>
      <c r="AA1505">
        <v>0.99979059999999997</v>
      </c>
      <c r="AB1505">
        <v>27</v>
      </c>
      <c r="AC1505">
        <v>-30.8855</v>
      </c>
      <c r="AD1505">
        <v>-1.1181724676329901</v>
      </c>
      <c r="AE1505">
        <v>0.85869999999999802</v>
      </c>
      <c r="AF1505">
        <v>0.63560809526884099</v>
      </c>
      <c r="AG1505">
        <v>-1.1181724676329901</v>
      </c>
      <c r="AH1505">
        <v>30.850474274989999</v>
      </c>
      <c r="AI1505">
        <v>92.075331316481098</v>
      </c>
      <c r="AJ1505">
        <v>88.819709887145507</v>
      </c>
      <c r="AK1505">
        <v>30.877274334208298</v>
      </c>
      <c r="AL1505">
        <v>95.852467719511793</v>
      </c>
      <c r="AM1505">
        <v>89.533739460174701</v>
      </c>
      <c r="AN1505">
        <v>0.999999987942923</v>
      </c>
    </row>
    <row r="1506" spans="1:40" x14ac:dyDescent="0.25">
      <c r="A1506" t="str">
        <f>"20190303154451015"</f>
        <v>20190303154451015</v>
      </c>
      <c r="B1506" t="str">
        <f>"1551599091012223"</f>
        <v>1551599091012223</v>
      </c>
      <c r="C1506" t="s">
        <v>40</v>
      </c>
      <c r="D1506">
        <v>5.3496790000000001</v>
      </c>
      <c r="E1506">
        <v>0.50508429999999904</v>
      </c>
      <c r="F1506" t="s">
        <v>55</v>
      </c>
      <c r="G1506">
        <v>-250.6019</v>
      </c>
      <c r="H1506" s="1">
        <v>-1.216494E-6</v>
      </c>
      <c r="I1506">
        <v>284.55309999999997</v>
      </c>
      <c r="J1506">
        <v>-219.52070000000001</v>
      </c>
      <c r="K1506">
        <v>1.1182920000000001</v>
      </c>
      <c r="L1506">
        <v>283.72050000000002</v>
      </c>
      <c r="M1506">
        <v>-0.99994870000000002</v>
      </c>
      <c r="N1506">
        <v>-4.5415630000000002E-3</v>
      </c>
      <c r="O1506">
        <v>9.0601840000000006E-3</v>
      </c>
      <c r="P1506">
        <v>-0.99404720000000002</v>
      </c>
      <c r="Q1506">
        <v>-0.1079498</v>
      </c>
      <c r="R1506">
        <v>1.473874E-2</v>
      </c>
      <c r="S1506">
        <v>-3.0047760000000001</v>
      </c>
      <c r="T1506">
        <v>-0.1071471</v>
      </c>
      <c r="U1506">
        <v>8.0169679999999993E-2</v>
      </c>
      <c r="V1506">
        <v>5.3854369999999999E-3</v>
      </c>
      <c r="W1506">
        <v>-0.1034523</v>
      </c>
      <c r="X1506">
        <v>0.99461980000000005</v>
      </c>
      <c r="Y1506">
        <v>1.7604890000000002E-2</v>
      </c>
      <c r="Z1506" s="1">
        <v>7.1955919999999995E-5</v>
      </c>
      <c r="AA1506">
        <v>0.99984499999999998</v>
      </c>
      <c r="AB1506">
        <v>27</v>
      </c>
      <c r="AC1506">
        <v>-31.0811999999999</v>
      </c>
      <c r="AD1506">
        <v>-1.118293216494</v>
      </c>
      <c r="AE1506">
        <v>0.83259999999995604</v>
      </c>
      <c r="AF1506">
        <v>0.550249736857363</v>
      </c>
      <c r="AG1506">
        <v>-1.118293216494</v>
      </c>
      <c r="AH1506">
        <v>31.047304664512801</v>
      </c>
      <c r="AI1506">
        <v>92.062521928693997</v>
      </c>
      <c r="AJ1506">
        <v>88.984656231607701</v>
      </c>
      <c r="AK1506">
        <v>31.0723105259659</v>
      </c>
      <c r="AL1506">
        <v>95.938004476428702</v>
      </c>
      <c r="AM1506">
        <v>89.689771110980004</v>
      </c>
      <c r="AN1506">
        <v>0.99999996392950397</v>
      </c>
    </row>
    <row r="1507" spans="1:40" x14ac:dyDescent="0.25">
      <c r="A1507" t="str">
        <f>"20190303154451035"</f>
        <v>20190303154451035</v>
      </c>
      <c r="B1507" t="str">
        <f>"1551599091031742"</f>
        <v>1551599091031742</v>
      </c>
      <c r="C1507" t="s">
        <v>40</v>
      </c>
      <c r="D1507">
        <v>5.3506919999999996</v>
      </c>
      <c r="E1507">
        <v>0.50514369999999997</v>
      </c>
      <c r="F1507" t="s">
        <v>55</v>
      </c>
      <c r="G1507">
        <v>-249.73349999999999</v>
      </c>
      <c r="H1507" s="1">
        <v>3.642918E-6</v>
      </c>
      <c r="I1507">
        <v>284.49779999999998</v>
      </c>
      <c r="J1507">
        <v>-219.7782</v>
      </c>
      <c r="K1507">
        <v>1.1184099999999999</v>
      </c>
      <c r="L1507">
        <v>283.72449999999998</v>
      </c>
      <c r="M1507">
        <v>-0.99993339999999997</v>
      </c>
      <c r="N1507">
        <v>-4.5551609999999899E-3</v>
      </c>
      <c r="O1507">
        <v>1.0616260000000001E-2</v>
      </c>
      <c r="P1507">
        <v>-0.99404720000000002</v>
      </c>
      <c r="Q1507">
        <v>-0.10815180000000001</v>
      </c>
      <c r="R1507">
        <v>1.3172639999999999E-2</v>
      </c>
      <c r="S1507">
        <v>-3.0047299999999999</v>
      </c>
      <c r="T1507">
        <v>-0.1112162</v>
      </c>
      <c r="U1507">
        <v>7.7301030000000007E-2</v>
      </c>
      <c r="V1507">
        <v>2.3007330000000001E-3</v>
      </c>
      <c r="W1507">
        <v>-0.10362979999999999</v>
      </c>
      <c r="X1507">
        <v>0.99461330000000003</v>
      </c>
      <c r="Y1507">
        <v>1.5097620000000001E-2</v>
      </c>
      <c r="Z1507" s="1">
        <v>-3.0717080000000003E-5</v>
      </c>
      <c r="AA1507">
        <v>0.99988600000000005</v>
      </c>
      <c r="AB1507">
        <v>27</v>
      </c>
      <c r="AC1507">
        <v>-29.955299999999902</v>
      </c>
      <c r="AD1507">
        <v>-1.118406357082</v>
      </c>
      <c r="AE1507">
        <v>0.77330000000000598</v>
      </c>
      <c r="AF1507">
        <v>0.45460662538671898</v>
      </c>
      <c r="AG1507">
        <v>-1.118406357082</v>
      </c>
      <c r="AH1507">
        <v>29.920141642593499</v>
      </c>
      <c r="AI1507">
        <v>92.140456406607399</v>
      </c>
      <c r="AJ1507">
        <v>89.129514920884702</v>
      </c>
      <c r="AK1507">
        <v>29.944488238677</v>
      </c>
      <c r="AL1507">
        <v>95.948229084262906</v>
      </c>
      <c r="AM1507">
        <v>89.867464012831704</v>
      </c>
      <c r="AN1507">
        <v>1.0000000226786301</v>
      </c>
    </row>
    <row r="1508" spans="1:40" x14ac:dyDescent="0.25">
      <c r="A1508" t="str">
        <f>"20190303154451058"</f>
        <v>20190303154451058</v>
      </c>
      <c r="B1508" t="str">
        <f>"1551599091052238"</f>
        <v>1551599091052238</v>
      </c>
      <c r="C1508" t="s">
        <v>40</v>
      </c>
      <c r="D1508">
        <v>5.3392280000000003</v>
      </c>
      <c r="E1508">
        <v>0.50511119999999998</v>
      </c>
      <c r="F1508" t="s">
        <v>55</v>
      </c>
      <c r="G1508">
        <v>-249.81739999999999</v>
      </c>
      <c r="H1508" s="1">
        <v>3.6875330000000001E-6</v>
      </c>
      <c r="I1508">
        <v>284.45890000000003</v>
      </c>
      <c r="J1508">
        <v>-220.05609999999999</v>
      </c>
      <c r="K1508">
        <v>1.1185339999999999</v>
      </c>
      <c r="L1508">
        <v>283.72919999999999</v>
      </c>
      <c r="M1508">
        <v>-0.99991609999999997</v>
      </c>
      <c r="N1508">
        <v>-4.5694000000000004E-3</v>
      </c>
      <c r="O1508">
        <v>1.212626E-2</v>
      </c>
      <c r="P1508">
        <v>-0.99415220000000004</v>
      </c>
      <c r="Q1508">
        <v>-0.1072752</v>
      </c>
      <c r="R1508">
        <v>1.2394830000000001E-2</v>
      </c>
      <c r="S1508">
        <v>-3.0048370000000002</v>
      </c>
      <c r="T1508">
        <v>-0.1118748</v>
      </c>
      <c r="U1508">
        <v>7.3455809999999996E-2</v>
      </c>
      <c r="V1508" s="1">
        <v>5.3029039999999999E-5</v>
      </c>
      <c r="W1508">
        <v>-0.10273160000000001</v>
      </c>
      <c r="X1508">
        <v>0.99470910000000001</v>
      </c>
      <c r="Y1508">
        <v>1.231089E-2</v>
      </c>
      <c r="Z1508">
        <v>-1.3863769999999999E-4</v>
      </c>
      <c r="AA1508">
        <v>0.99992420000000004</v>
      </c>
      <c r="AB1508">
        <v>27</v>
      </c>
      <c r="AC1508">
        <v>-29.761299999999999</v>
      </c>
      <c r="AD1508">
        <v>-1.1185303124670001</v>
      </c>
      <c r="AE1508">
        <v>0.72970000000003599</v>
      </c>
      <c r="AF1508">
        <v>0.36822952600609199</v>
      </c>
      <c r="AG1508">
        <v>-1.1185303124670001</v>
      </c>
      <c r="AH1508">
        <v>29.7259972945348</v>
      </c>
      <c r="AI1508">
        <v>92.154744730480402</v>
      </c>
      <c r="AJ1508">
        <v>89.290287270556504</v>
      </c>
      <c r="AK1508">
        <v>29.7493129029634</v>
      </c>
      <c r="AL1508">
        <v>95.896490062070299</v>
      </c>
      <c r="AM1508">
        <v>89.996945498758606</v>
      </c>
      <c r="AN1508">
        <v>0.99999998903672405</v>
      </c>
    </row>
    <row r="1509" spans="1:40" x14ac:dyDescent="0.25">
      <c r="A1509" t="str">
        <f>"20190303154451080"</f>
        <v>20190303154451080</v>
      </c>
      <c r="B1509" t="str">
        <f>"1551599091071759"</f>
        <v>1551599091071759</v>
      </c>
      <c r="C1509" t="s">
        <v>40</v>
      </c>
      <c r="D1509">
        <v>5.3612029999999997</v>
      </c>
      <c r="E1509">
        <v>0.50521720000000003</v>
      </c>
      <c r="F1509" t="s">
        <v>55</v>
      </c>
      <c r="G1509">
        <v>-250.80359999999999</v>
      </c>
      <c r="H1509" s="1">
        <v>-1.1091549999999999E-6</v>
      </c>
      <c r="I1509">
        <v>284.45800000000003</v>
      </c>
      <c r="J1509">
        <v>-220.32660000000001</v>
      </c>
      <c r="K1509">
        <v>1.1186529999999999</v>
      </c>
      <c r="L1509">
        <v>283.73390000000001</v>
      </c>
      <c r="M1509">
        <v>-0.99989910000000004</v>
      </c>
      <c r="N1509">
        <v>-4.5831520000000001E-3</v>
      </c>
      <c r="O1509">
        <v>1.344712E-2</v>
      </c>
      <c r="P1509">
        <v>-0.99419250000000003</v>
      </c>
      <c r="Q1509">
        <v>-0.1069393</v>
      </c>
      <c r="R1509">
        <v>1.206513E-2</v>
      </c>
      <c r="S1509">
        <v>-3.0049589999999999</v>
      </c>
      <c r="T1509">
        <v>-0.1093146</v>
      </c>
      <c r="U1509">
        <v>7.1228029999999998E-2</v>
      </c>
      <c r="V1509">
        <v>-1.5632230000000001E-3</v>
      </c>
      <c r="W1509">
        <v>-0.1023777</v>
      </c>
      <c r="X1509">
        <v>0.99474439999999997</v>
      </c>
      <c r="Y1509">
        <v>1.025036E-2</v>
      </c>
      <c r="Z1509">
        <v>-2.174535E-4</v>
      </c>
      <c r="AA1509">
        <v>0.99994740000000004</v>
      </c>
      <c r="AB1509">
        <v>27</v>
      </c>
      <c r="AC1509">
        <v>-30.476999999999901</v>
      </c>
      <c r="AD1509">
        <v>-1.118654109155</v>
      </c>
      <c r="AE1509">
        <v>0.72409999999996399</v>
      </c>
      <c r="AF1509">
        <v>0.31377985521649099</v>
      </c>
      <c r="AG1509">
        <v>-1.118654109155</v>
      </c>
      <c r="AH1509">
        <v>30.442990389403299</v>
      </c>
      <c r="AI1509">
        <v>92.10432464406</v>
      </c>
      <c r="AJ1509">
        <v>89.409465871814405</v>
      </c>
      <c r="AK1509">
        <v>30.465152365658199</v>
      </c>
      <c r="AL1509">
        <v>95.876105368705396</v>
      </c>
      <c r="AM1509">
        <v>90.090039216715695</v>
      </c>
      <c r="AN1509">
        <v>1.0000000292273901</v>
      </c>
    </row>
    <row r="1510" spans="1:40" x14ac:dyDescent="0.25">
      <c r="A1510" t="str">
        <f>"20190303154451103"</f>
        <v>20190303154451103</v>
      </c>
      <c r="B1510" t="str">
        <f>"1551599091092255"</f>
        <v>1551599091092255</v>
      </c>
      <c r="C1510" t="s">
        <v>40</v>
      </c>
      <c r="D1510">
        <v>5.3392249999999999</v>
      </c>
      <c r="E1510">
        <v>0.50530039999999998</v>
      </c>
      <c r="F1510" t="s">
        <v>55</v>
      </c>
      <c r="G1510">
        <v>-251.2302</v>
      </c>
      <c r="H1510" s="1">
        <v>-8.8213229999999995E-7</v>
      </c>
      <c r="I1510">
        <v>284.46929999999998</v>
      </c>
      <c r="J1510">
        <v>-220.61150000000001</v>
      </c>
      <c r="K1510">
        <v>1.1187590000000001</v>
      </c>
      <c r="L1510">
        <v>283.73919999999998</v>
      </c>
      <c r="M1510">
        <v>-0.99988160000000004</v>
      </c>
      <c r="N1510">
        <v>-4.5974079999999999E-3</v>
      </c>
      <c r="O1510">
        <v>1.469264E-2</v>
      </c>
      <c r="P1510">
        <v>-0.99430649999999998</v>
      </c>
      <c r="Q1510">
        <v>-0.105895</v>
      </c>
      <c r="R1510">
        <v>1.1871329999999999E-2</v>
      </c>
      <c r="S1510">
        <v>-3.0049589999999999</v>
      </c>
      <c r="T1510">
        <v>-0.1087738</v>
      </c>
      <c r="U1510">
        <v>7.1502689999999994E-2</v>
      </c>
      <c r="V1510">
        <v>-2.9699370000000002E-3</v>
      </c>
      <c r="W1510">
        <v>-0.1013159</v>
      </c>
      <c r="X1510">
        <v>0.99484989999999995</v>
      </c>
      <c r="Y1510">
        <v>9.0975780000000003E-3</v>
      </c>
      <c r="Z1510">
        <v>-2.785307E-4</v>
      </c>
      <c r="AA1510">
        <v>0.99995860000000003</v>
      </c>
      <c r="AB1510">
        <v>28</v>
      </c>
      <c r="AC1510">
        <v>-30.618699999999901</v>
      </c>
      <c r="AD1510">
        <v>-1.1187598821322999</v>
      </c>
      <c r="AE1510">
        <v>0.73009999999999298</v>
      </c>
      <c r="AF1510">
        <v>0.279773647152736</v>
      </c>
      <c r="AG1510">
        <v>-1.1187598821322999</v>
      </c>
      <c r="AH1510">
        <v>30.5853121004786</v>
      </c>
      <c r="AI1510">
        <v>92.094762875076</v>
      </c>
      <c r="AJ1510">
        <v>89.475911768381195</v>
      </c>
      <c r="AK1510">
        <v>30.607045157139702</v>
      </c>
      <c r="AL1510">
        <v>95.814950718620096</v>
      </c>
      <c r="AM1510">
        <v>90.171045250157306</v>
      </c>
      <c r="AN1510">
        <v>1.0000000278243</v>
      </c>
    </row>
    <row r="1511" spans="1:40" x14ac:dyDescent="0.25">
      <c r="A1511" t="str">
        <f>"20190303154451126"</f>
        <v>20190303154451126</v>
      </c>
      <c r="B1511" t="str">
        <f>"1551599091121534"</f>
        <v>1551599091121534</v>
      </c>
      <c r="C1511" t="s">
        <v>40</v>
      </c>
      <c r="D1511">
        <v>5.3620419999999998</v>
      </c>
      <c r="E1511">
        <v>0.50526459999999995</v>
      </c>
      <c r="F1511" t="s">
        <v>55</v>
      </c>
      <c r="G1511">
        <v>-252.12719999999999</v>
      </c>
      <c r="H1511" s="1">
        <v>-4.0479340000000001E-7</v>
      </c>
      <c r="I1511">
        <v>284.49579999999997</v>
      </c>
      <c r="J1511">
        <v>-220.9066</v>
      </c>
      <c r="K1511">
        <v>1.1188439999999999</v>
      </c>
      <c r="L1511">
        <v>283.7448</v>
      </c>
      <c r="M1511">
        <v>-0.99986390000000003</v>
      </c>
      <c r="N1511">
        <v>-4.6120060000000001E-3</v>
      </c>
      <c r="O1511">
        <v>1.5843860000000001E-2</v>
      </c>
      <c r="P1511">
        <v>-0.99451979999999995</v>
      </c>
      <c r="Q1511">
        <v>-0.1039595</v>
      </c>
      <c r="R1511">
        <v>1.1087720000000001E-2</v>
      </c>
      <c r="S1511">
        <v>-3.0049589999999999</v>
      </c>
      <c r="T1511">
        <v>-0.10667160000000001</v>
      </c>
      <c r="U1511">
        <v>7.2143550000000001E-2</v>
      </c>
      <c r="V1511">
        <v>-4.8769599999999996E-3</v>
      </c>
      <c r="W1511">
        <v>-9.9361580000000005E-2</v>
      </c>
      <c r="X1511">
        <v>0.99503949999999997</v>
      </c>
      <c r="Y1511">
        <v>8.1605210000000004E-3</v>
      </c>
      <c r="Z1511">
        <v>-3.2547910000000003E-4</v>
      </c>
      <c r="AA1511">
        <v>0.99996660000000004</v>
      </c>
      <c r="AB1511">
        <v>28</v>
      </c>
      <c r="AC1511">
        <v>-31.220599999999902</v>
      </c>
      <c r="AD1511">
        <v>-1.1188444047934001</v>
      </c>
      <c r="AE1511">
        <v>0.75099999999997602</v>
      </c>
      <c r="AF1511">
        <v>0.25591720650472799</v>
      </c>
      <c r="AG1511">
        <v>-1.1188444047934001</v>
      </c>
      <c r="AH1511">
        <v>31.188548509303601</v>
      </c>
      <c r="AI1511">
        <v>92.054453707648406</v>
      </c>
      <c r="AJ1511">
        <v>89.529870819081495</v>
      </c>
      <c r="AK1511">
        <v>31.209659795260599</v>
      </c>
      <c r="AL1511">
        <v>95.702408282755002</v>
      </c>
      <c r="AM1511">
        <v>90.280819994944096</v>
      </c>
      <c r="AN1511">
        <v>1.00000005743959</v>
      </c>
    </row>
    <row r="1512" spans="1:40" x14ac:dyDescent="0.25">
      <c r="A1512" t="str">
        <f>"20190303154451148"</f>
        <v>20190303154451148</v>
      </c>
      <c r="B1512" t="str">
        <f>"1551599091142031"</f>
        <v>1551599091142031</v>
      </c>
      <c r="C1512" t="s">
        <v>40</v>
      </c>
      <c r="D1512">
        <v>5.3203449999999997</v>
      </c>
      <c r="E1512">
        <v>0.50522429999999996</v>
      </c>
      <c r="F1512" t="s">
        <v>55</v>
      </c>
      <c r="G1512">
        <v>-253.80119999999999</v>
      </c>
      <c r="H1512" s="1">
        <v>4.8603379999999999E-7</v>
      </c>
      <c r="I1512">
        <v>284.50409999999999</v>
      </c>
      <c r="J1512">
        <v>-221.1797</v>
      </c>
      <c r="K1512">
        <v>1.1189089999999999</v>
      </c>
      <c r="L1512">
        <v>283.75020000000001</v>
      </c>
      <c r="M1512">
        <v>-0.99984790000000001</v>
      </c>
      <c r="N1512">
        <v>-4.6254909999999998E-3</v>
      </c>
      <c r="O1512">
        <v>1.682109E-2</v>
      </c>
      <c r="P1512">
        <v>-0.99472059999999995</v>
      </c>
      <c r="Q1512">
        <v>-0.1020817</v>
      </c>
      <c r="R1512">
        <v>1.0517759999999999E-2</v>
      </c>
      <c r="S1512">
        <v>-3.0050659999999998</v>
      </c>
      <c r="T1512">
        <v>-0.102211</v>
      </c>
      <c r="U1512">
        <v>6.9366460000000005E-2</v>
      </c>
      <c r="V1512">
        <v>-6.4035869999999996E-3</v>
      </c>
      <c r="W1512">
        <v>-9.7467289999999998E-2</v>
      </c>
      <c r="X1512">
        <v>0.99521809999999999</v>
      </c>
      <c r="Y1512">
        <v>6.2601189999999998E-3</v>
      </c>
      <c r="Z1512">
        <v>-3.7315919999999998E-4</v>
      </c>
      <c r="AA1512">
        <v>0.99998030000000004</v>
      </c>
      <c r="AB1512">
        <v>28</v>
      </c>
      <c r="AC1512">
        <v>-32.621499999999997</v>
      </c>
      <c r="AD1512">
        <v>-1.1189085139661901</v>
      </c>
      <c r="AE1512">
        <v>0.75389999999998702</v>
      </c>
      <c r="AF1512">
        <v>0.20481748760573801</v>
      </c>
      <c r="AG1512">
        <v>-1.1189085139661901</v>
      </c>
      <c r="AH1512">
        <v>32.591243826073502</v>
      </c>
      <c r="AI1512">
        <v>91.966242891064994</v>
      </c>
      <c r="AJ1512">
        <v>89.639933253652899</v>
      </c>
      <c r="AK1512">
        <v>32.611088307452</v>
      </c>
      <c r="AL1512">
        <v>95.593344475534707</v>
      </c>
      <c r="AM1512">
        <v>90.368656323329901</v>
      </c>
      <c r="AN1512">
        <v>0.99999997255700901</v>
      </c>
    </row>
    <row r="1513" spans="1:40" x14ac:dyDescent="0.25">
      <c r="A1513" t="str">
        <f>"20190303154451170"</f>
        <v>20190303154451170</v>
      </c>
      <c r="B1513" t="str">
        <f>"1551599091161550"</f>
        <v>1551599091161550</v>
      </c>
      <c r="C1513" t="s">
        <v>40</v>
      </c>
      <c r="D1513">
        <v>5.319032</v>
      </c>
      <c r="E1513">
        <v>0.50520299999999996</v>
      </c>
      <c r="F1513" t="s">
        <v>55</v>
      </c>
      <c r="G1513">
        <v>-255.87090000000001</v>
      </c>
      <c r="H1513" s="1">
        <v>1.5874250000000001E-6</v>
      </c>
      <c r="I1513">
        <v>284.52550000000002</v>
      </c>
      <c r="J1513">
        <v>-221.4562</v>
      </c>
      <c r="K1513">
        <v>1.118967</v>
      </c>
      <c r="L1513">
        <v>283.75580000000002</v>
      </c>
      <c r="M1513">
        <v>-0.99983219999999995</v>
      </c>
      <c r="N1513">
        <v>-4.6389140000000001E-3</v>
      </c>
      <c r="O1513">
        <v>1.7726329999999998E-2</v>
      </c>
      <c r="P1513">
        <v>-0.99485489999999999</v>
      </c>
      <c r="Q1513">
        <v>-0.10077659999999999</v>
      </c>
      <c r="R1513">
        <v>1.0380240000000001E-2</v>
      </c>
      <c r="S1513">
        <v>-3.0052639999999999</v>
      </c>
      <c r="T1513">
        <v>-9.6929909999999994E-2</v>
      </c>
      <c r="U1513">
        <v>6.7169190000000004E-2</v>
      </c>
      <c r="V1513">
        <v>-7.428161E-3</v>
      </c>
      <c r="W1513">
        <v>-9.6147259999999998E-2</v>
      </c>
      <c r="X1513">
        <v>0.99533939999999999</v>
      </c>
      <c r="Y1513">
        <v>4.6233300000000001E-3</v>
      </c>
      <c r="Z1513">
        <v>-4.0399469999999999E-4</v>
      </c>
      <c r="AA1513">
        <v>0.99998920000000002</v>
      </c>
      <c r="AB1513">
        <v>28</v>
      </c>
      <c r="AC1513">
        <v>-34.414700000000003</v>
      </c>
      <c r="AD1513">
        <v>-1.1189654125749999</v>
      </c>
      <c r="AE1513">
        <v>0.76970000000000005</v>
      </c>
      <c r="AF1513">
        <v>0.15935783387169</v>
      </c>
      <c r="AG1513">
        <v>-1.1189654125749999</v>
      </c>
      <c r="AH1513">
        <v>34.3866022674869</v>
      </c>
      <c r="AI1513">
        <v>91.863769276223593</v>
      </c>
      <c r="AJ1513">
        <v>89.734476064883097</v>
      </c>
      <c r="AK1513">
        <v>34.405172489265198</v>
      </c>
      <c r="AL1513">
        <v>95.517355274014804</v>
      </c>
      <c r="AM1513">
        <v>90.427587186570094</v>
      </c>
      <c r="AN1513">
        <v>0.99999999718685395</v>
      </c>
    </row>
    <row r="1514" spans="1:40" x14ac:dyDescent="0.25">
      <c r="A1514" t="str">
        <f>"20190303154451192"</f>
        <v>20190303154451192</v>
      </c>
      <c r="B1514" t="str">
        <f>"1551599091182047"</f>
        <v>1551599091182047</v>
      </c>
      <c r="C1514" t="s">
        <v>40</v>
      </c>
      <c r="D1514">
        <v>5.3043480000000001</v>
      </c>
      <c r="E1514">
        <v>0.50511930000000005</v>
      </c>
      <c r="F1514" t="s">
        <v>55</v>
      </c>
      <c r="G1514">
        <v>-257.25850000000003</v>
      </c>
      <c r="H1514" s="1">
        <v>2.3258229999999998E-6</v>
      </c>
      <c r="I1514">
        <v>284.54770000000002</v>
      </c>
      <c r="J1514">
        <v>-221.7406</v>
      </c>
      <c r="K1514">
        <v>1.1190209999999901</v>
      </c>
      <c r="L1514">
        <v>283.76179999999999</v>
      </c>
      <c r="M1514">
        <v>-0.99981679999999995</v>
      </c>
      <c r="N1514">
        <v>-4.6525439999999998E-3</v>
      </c>
      <c r="O1514">
        <v>1.8566220000000001E-2</v>
      </c>
      <c r="P1514">
        <v>-0.99481450000000005</v>
      </c>
      <c r="Q1514">
        <v>-0.10112210000000001</v>
      </c>
      <c r="R1514">
        <v>1.088659E-2</v>
      </c>
      <c r="S1514">
        <v>-3.0053100000000001</v>
      </c>
      <c r="T1514">
        <v>-9.3927860000000002E-2</v>
      </c>
      <c r="U1514">
        <v>6.6467289999999998E-2</v>
      </c>
      <c r="V1514">
        <v>-7.7440030000000002E-3</v>
      </c>
      <c r="W1514">
        <v>-9.6479889999999999E-2</v>
      </c>
      <c r="X1514">
        <v>0.99530479999999999</v>
      </c>
      <c r="Y1514">
        <v>3.5500900000000001E-3</v>
      </c>
      <c r="Z1514">
        <v>-4.2992179999999999E-4</v>
      </c>
      <c r="AA1514">
        <v>0.99999360000000004</v>
      </c>
      <c r="AB1514">
        <v>28</v>
      </c>
      <c r="AC1514">
        <v>-35.517899999999997</v>
      </c>
      <c r="AD1514">
        <v>-1.1190186741770001</v>
      </c>
      <c r="AE1514">
        <v>0.78590000000002602</v>
      </c>
      <c r="AF1514">
        <v>0.12619904045111299</v>
      </c>
      <c r="AG1514">
        <v>-1.1190186741770001</v>
      </c>
      <c r="AH1514">
        <v>35.491157343013803</v>
      </c>
      <c r="AI1514">
        <v>91.805897974954604</v>
      </c>
      <c r="AJ1514">
        <v>89.796269198752299</v>
      </c>
      <c r="AK1514">
        <v>35.509018270539897</v>
      </c>
      <c r="AL1514">
        <v>95.536502614107107</v>
      </c>
      <c r="AM1514">
        <v>90.445782774692304</v>
      </c>
      <c r="AN1514">
        <v>0.99999999182995802</v>
      </c>
    </row>
    <row r="1515" spans="1:40" x14ac:dyDescent="0.25">
      <c r="A1515" t="str">
        <f>"20190303154451214"</f>
        <v>20190303154451214</v>
      </c>
      <c r="B1515" t="str">
        <f>"1551599091212302"</f>
        <v>1551599091212302</v>
      </c>
      <c r="C1515" t="s">
        <v>40</v>
      </c>
      <c r="D1515">
        <v>5.3317839999999999</v>
      </c>
      <c r="E1515">
        <v>0.50489620000000002</v>
      </c>
      <c r="F1515" t="s">
        <v>55</v>
      </c>
      <c r="G1515">
        <v>-256.76249999999999</v>
      </c>
      <c r="H1515" s="1">
        <v>2.0618849999999999E-6</v>
      </c>
      <c r="I1515">
        <v>284.54950000000002</v>
      </c>
      <c r="J1515">
        <v>-222.02279999999999</v>
      </c>
      <c r="K1515">
        <v>1.119081</v>
      </c>
      <c r="L1515">
        <v>283.7679</v>
      </c>
      <c r="M1515">
        <v>-0.99980279999999999</v>
      </c>
      <c r="N1515">
        <v>-4.666056E-3</v>
      </c>
      <c r="O1515">
        <v>1.9304990000000001E-2</v>
      </c>
      <c r="P1515">
        <v>-0.9946064</v>
      </c>
      <c r="Q1515">
        <v>-0.1030802</v>
      </c>
      <c r="R1515">
        <v>1.1523500000000001E-2</v>
      </c>
      <c r="S1515">
        <v>-3.0051570000000001</v>
      </c>
      <c r="T1515">
        <v>-9.60207E-2</v>
      </c>
      <c r="U1515">
        <v>6.7596439999999994E-2</v>
      </c>
      <c r="V1515">
        <v>-7.8255600000000005E-3</v>
      </c>
      <c r="W1515">
        <v>-9.8426509999999995E-2</v>
      </c>
      <c r="X1515">
        <v>0.99511360000000004</v>
      </c>
      <c r="Y1515">
        <v>3.1886000000000002E-3</v>
      </c>
      <c r="Z1515">
        <v>-4.6811440000000003E-4</v>
      </c>
      <c r="AA1515">
        <v>0.99999479999999996</v>
      </c>
      <c r="AB1515">
        <v>28</v>
      </c>
      <c r="AC1515">
        <v>-34.739699999999999</v>
      </c>
      <c r="AD1515">
        <v>-1.1190789381149999</v>
      </c>
      <c r="AE1515">
        <v>0.78160000000002505</v>
      </c>
      <c r="AF1515">
        <v>0.110682711664598</v>
      </c>
      <c r="AG1515">
        <v>-1.1190789381149999</v>
      </c>
      <c r="AH1515">
        <v>34.712312223815999</v>
      </c>
      <c r="AI1515">
        <v>91.846491079212697</v>
      </c>
      <c r="AJ1515">
        <v>89.817308892854896</v>
      </c>
      <c r="AK1515">
        <v>34.730522717864098</v>
      </c>
      <c r="AL1515">
        <v>95.648568855144802</v>
      </c>
      <c r="AM1515">
        <v>90.450563953598206</v>
      </c>
      <c r="AN1515">
        <v>1.0000000470825201</v>
      </c>
    </row>
    <row r="1516" spans="1:40" x14ac:dyDescent="0.25">
      <c r="A1516" t="str">
        <f>"20190303154451236"</f>
        <v>20190303154451236</v>
      </c>
      <c r="B1516" t="str">
        <f>"1551599091231823"</f>
        <v>1551599091231823</v>
      </c>
      <c r="C1516" t="s">
        <v>40</v>
      </c>
      <c r="D1516">
        <v>5.3384489999999998</v>
      </c>
      <c r="E1516">
        <v>0.50490900000000005</v>
      </c>
      <c r="F1516" t="s">
        <v>55</v>
      </c>
      <c r="G1516">
        <v>-254.5301</v>
      </c>
      <c r="H1516" s="1">
        <v>8.7388409999999898E-7</v>
      </c>
      <c r="I1516">
        <v>284.50049999999999</v>
      </c>
      <c r="J1516">
        <v>-222.2954</v>
      </c>
      <c r="K1516">
        <v>1.1191469999999999</v>
      </c>
      <c r="L1516">
        <v>283.77379999999999</v>
      </c>
      <c r="M1516">
        <v>-0.99979059999999997</v>
      </c>
      <c r="N1516">
        <v>-4.6791480000000002E-3</v>
      </c>
      <c r="O1516">
        <v>1.9924810000000001E-2</v>
      </c>
      <c r="P1516">
        <v>-0.99438660000000001</v>
      </c>
      <c r="Q1516">
        <v>-0.1051546</v>
      </c>
      <c r="R1516">
        <v>1.174477E-2</v>
      </c>
      <c r="S1516">
        <v>-3.0047609999999998</v>
      </c>
      <c r="T1516">
        <v>-0.1034405</v>
      </c>
      <c r="U1516">
        <v>6.7718509999999996E-2</v>
      </c>
      <c r="V1516">
        <v>-8.2029900000000003E-3</v>
      </c>
      <c r="W1516">
        <v>-0.1004897</v>
      </c>
      <c r="X1516">
        <v>0.99490429999999996</v>
      </c>
      <c r="Y1516">
        <v>2.6139549999999998E-3</v>
      </c>
      <c r="Z1516">
        <v>-5.4126119999999998E-4</v>
      </c>
      <c r="AA1516">
        <v>0.99999640000000001</v>
      </c>
      <c r="AB1516">
        <v>28</v>
      </c>
      <c r="AC1516">
        <v>-32.234699999999997</v>
      </c>
      <c r="AD1516">
        <v>-1.1191461261158999</v>
      </c>
      <c r="AE1516">
        <v>0.72669999999999302</v>
      </c>
      <c r="AF1516">
        <v>8.4177058638987598E-2</v>
      </c>
      <c r="AG1516">
        <v>-1.1191461261158999</v>
      </c>
      <c r="AH1516">
        <v>32.203981659641997</v>
      </c>
      <c r="AI1516">
        <v>91.990323340064407</v>
      </c>
      <c r="AJ1516">
        <v>89.850236555877402</v>
      </c>
      <c r="AK1516">
        <v>32.223531907029702</v>
      </c>
      <c r="AL1516">
        <v>95.767370167524604</v>
      </c>
      <c r="AM1516">
        <v>90.472393230869102</v>
      </c>
      <c r="AN1516">
        <v>1.0000000175047501</v>
      </c>
    </row>
    <row r="1517" spans="1:40" x14ac:dyDescent="0.25">
      <c r="A1517" t="str">
        <f>"20190303154451259"</f>
        <v>20190303154451259</v>
      </c>
      <c r="B1517" t="str">
        <f>"1551599091252319"</f>
        <v>1551599091252319</v>
      </c>
      <c r="C1517" t="s">
        <v>40</v>
      </c>
      <c r="D1517">
        <v>5.3530360000000003</v>
      </c>
      <c r="E1517">
        <v>0.50485420000000003</v>
      </c>
      <c r="F1517" t="s">
        <v>55</v>
      </c>
      <c r="G1517">
        <v>-252.70660000000001</v>
      </c>
      <c r="H1517" s="1">
        <v>-9.647491E-8</v>
      </c>
      <c r="I1517">
        <v>284.46789999999999</v>
      </c>
      <c r="J1517">
        <v>-222.5993</v>
      </c>
      <c r="K1517">
        <v>1.1192279999999999</v>
      </c>
      <c r="L1517">
        <v>283.78050000000002</v>
      </c>
      <c r="M1517">
        <v>-0.99977890000000003</v>
      </c>
      <c r="N1517">
        <v>-4.693801E-3</v>
      </c>
      <c r="O1517">
        <v>2.0502650000000001E-2</v>
      </c>
      <c r="P1517">
        <v>-0.9942896</v>
      </c>
      <c r="Q1517">
        <v>-0.1060638</v>
      </c>
      <c r="R1517">
        <v>1.178452E-2</v>
      </c>
      <c r="S1517">
        <v>-3.00441</v>
      </c>
      <c r="T1517">
        <v>-0.11056390000000001</v>
      </c>
      <c r="U1517">
        <v>6.8572999999999995E-2</v>
      </c>
      <c r="V1517">
        <v>-8.7159750000000008E-3</v>
      </c>
      <c r="W1517">
        <v>-0.1013858</v>
      </c>
      <c r="X1517">
        <v>0.99480900000000005</v>
      </c>
      <c r="Y1517">
        <v>2.324624E-3</v>
      </c>
      <c r="Z1517">
        <v>-6.0965339999999996E-4</v>
      </c>
      <c r="AA1517">
        <v>0.99999709999999997</v>
      </c>
      <c r="AB1517">
        <v>29</v>
      </c>
      <c r="AC1517">
        <v>-30.107299999999999</v>
      </c>
      <c r="AD1517">
        <v>-1.11922809647491</v>
      </c>
      <c r="AE1517">
        <v>0.68739999999996804</v>
      </c>
      <c r="AF1517">
        <v>6.9872833189315101E-2</v>
      </c>
      <c r="AG1517">
        <v>-1.11922809647491</v>
      </c>
      <c r="AH1517">
        <v>30.073526363361999</v>
      </c>
      <c r="AI1517">
        <v>92.131352692231005</v>
      </c>
      <c r="AJ1517">
        <v>89.866879221535697</v>
      </c>
      <c r="AK1517">
        <v>30.094427086631601</v>
      </c>
      <c r="AL1517">
        <v>95.818976599521804</v>
      </c>
      <c r="AM1517">
        <v>90.501981590660904</v>
      </c>
      <c r="AN1517">
        <v>0.99999999757142</v>
      </c>
    </row>
    <row r="1518" spans="1:40" x14ac:dyDescent="0.25">
      <c r="A1518" t="str">
        <f>"20190303154451280"</f>
        <v>20190303154451280</v>
      </c>
      <c r="B1518" t="str">
        <f>"1551599091271838"</f>
        <v>1551599091271838</v>
      </c>
      <c r="C1518" t="s">
        <v>40</v>
      </c>
      <c r="D1518">
        <v>5.3376219999999996</v>
      </c>
      <c r="E1518">
        <v>0.50479110000000005</v>
      </c>
      <c r="F1518" t="s">
        <v>55</v>
      </c>
      <c r="G1518">
        <v>-252.07210000000001</v>
      </c>
      <c r="H1518" s="1">
        <v>-4.3410369999999998E-7</v>
      </c>
      <c r="I1518">
        <v>284.44749999999999</v>
      </c>
      <c r="J1518">
        <v>-222.87039999999999</v>
      </c>
      <c r="K1518">
        <v>1.1193090000000001</v>
      </c>
      <c r="L1518">
        <v>283.78649999999999</v>
      </c>
      <c r="M1518">
        <v>-0.99977050000000001</v>
      </c>
      <c r="N1518">
        <v>-4.7069219999999997E-3</v>
      </c>
      <c r="O1518">
        <v>2.0905190000000001E-2</v>
      </c>
      <c r="P1518">
        <v>-0.99442260000000005</v>
      </c>
      <c r="Q1518">
        <v>-0.1047671</v>
      </c>
      <c r="R1518">
        <v>1.2162890000000001E-2</v>
      </c>
      <c r="S1518">
        <v>-3.004257</v>
      </c>
      <c r="T1518">
        <v>-0.1140864</v>
      </c>
      <c r="U1518">
        <v>6.7993159999999997E-2</v>
      </c>
      <c r="V1518">
        <v>-8.7204580000000004E-3</v>
      </c>
      <c r="W1518">
        <v>-0.1000771</v>
      </c>
      <c r="X1518">
        <v>0.99494150000000003</v>
      </c>
      <c r="Y1518">
        <v>1.7316160000000001E-3</v>
      </c>
      <c r="Z1518">
        <v>-6.5808719999999998E-4</v>
      </c>
      <c r="AA1518">
        <v>0.99999830000000001</v>
      </c>
      <c r="AB1518">
        <v>29</v>
      </c>
      <c r="AC1518">
        <v>-29.201699999999999</v>
      </c>
      <c r="AD1518">
        <v>-1.1193094341037</v>
      </c>
      <c r="AE1518">
        <v>0.66100000000000103</v>
      </c>
      <c r="AF1518">
        <v>5.0307890837465001E-2</v>
      </c>
      <c r="AG1518">
        <v>-1.1193094341037</v>
      </c>
      <c r="AH1518">
        <v>29.166307176097099</v>
      </c>
      <c r="AI1518">
        <v>92.197746692958603</v>
      </c>
      <c r="AJ1518">
        <v>89.901172714624494</v>
      </c>
      <c r="AK1518">
        <v>29.187820384256199</v>
      </c>
      <c r="AL1518">
        <v>95.7436100786705</v>
      </c>
      <c r="AM1518">
        <v>90.502172886431694</v>
      </c>
      <c r="AN1518">
        <v>1.0000000303771901</v>
      </c>
    </row>
    <row r="1519" spans="1:40" x14ac:dyDescent="0.25">
      <c r="A1519" t="str">
        <f>"20190303154451304"</f>
        <v>20190303154451304</v>
      </c>
      <c r="B1519" t="str">
        <f>"1551599091292334"</f>
        <v>1551599091292334</v>
      </c>
      <c r="C1519" t="s">
        <v>40</v>
      </c>
      <c r="D1519">
        <v>5.3667199999999999</v>
      </c>
      <c r="E1519">
        <v>0.50469079999999999</v>
      </c>
      <c r="F1519" t="s">
        <v>55</v>
      </c>
      <c r="G1519">
        <v>-253.15379999999999</v>
      </c>
      <c r="H1519" s="1">
        <v>1.415245E-7</v>
      </c>
      <c r="I1519">
        <v>284.47800000000001</v>
      </c>
      <c r="J1519">
        <v>-223.166</v>
      </c>
      <c r="K1519">
        <v>1.11941</v>
      </c>
      <c r="L1519">
        <v>283.79300000000001</v>
      </c>
      <c r="M1519">
        <v>-0.99976370000000003</v>
      </c>
      <c r="N1519">
        <v>-4.7213280000000003E-3</v>
      </c>
      <c r="O1519">
        <v>2.121814E-2</v>
      </c>
      <c r="P1519">
        <v>-0.99467839999999996</v>
      </c>
      <c r="Q1519">
        <v>-0.1022875</v>
      </c>
      <c r="R1519">
        <v>1.234796E-2</v>
      </c>
      <c r="S1519">
        <v>-3.0043030000000002</v>
      </c>
      <c r="T1519">
        <v>-0.1110423</v>
      </c>
      <c r="U1519">
        <v>6.8603520000000001E-2</v>
      </c>
      <c r="V1519">
        <v>-8.8284499999999998E-3</v>
      </c>
      <c r="W1519">
        <v>-9.7583760000000005E-2</v>
      </c>
      <c r="X1519">
        <v>0.99518819999999997</v>
      </c>
      <c r="Y1519">
        <v>1.6209149999999999E-3</v>
      </c>
      <c r="Z1519">
        <v>-6.498672E-4</v>
      </c>
      <c r="AA1519">
        <v>0.99999850000000001</v>
      </c>
      <c r="AB1519">
        <v>29</v>
      </c>
      <c r="AC1519">
        <v>-29.9878</v>
      </c>
      <c r="AD1519">
        <v>-1.1194098584754999</v>
      </c>
      <c r="AE1519">
        <v>0.68500000000000205</v>
      </c>
      <c r="AF1519">
        <v>4.8485811069285699E-2</v>
      </c>
      <c r="AG1519">
        <v>-1.1194098584754999</v>
      </c>
      <c r="AH1519">
        <v>29.9538660600703</v>
      </c>
      <c r="AI1519">
        <v>92.140209321852893</v>
      </c>
      <c r="AJ1519">
        <v>89.907256381907402</v>
      </c>
      <c r="AK1519">
        <v>29.974814782576299</v>
      </c>
      <c r="AL1519">
        <v>95.600049285308302</v>
      </c>
      <c r="AM1519">
        <v>90.508265327182698</v>
      </c>
      <c r="AN1519">
        <v>1.00000004258218</v>
      </c>
    </row>
    <row r="1520" spans="1:40" x14ac:dyDescent="0.25">
      <c r="A1520" t="str">
        <f>"20190303154451328"</f>
        <v>20190303154451328</v>
      </c>
      <c r="B1520" t="str">
        <f>"1551599091321615"</f>
        <v>1551599091321615</v>
      </c>
      <c r="C1520" t="s">
        <v>40</v>
      </c>
      <c r="D1520">
        <v>5.3460619999999999</v>
      </c>
      <c r="E1520">
        <v>0.50457929999999995</v>
      </c>
      <c r="F1520" t="s">
        <v>55</v>
      </c>
      <c r="G1520">
        <v>-255.47409999999999</v>
      </c>
      <c r="H1520" s="1">
        <v>1.3762310000000001E-6</v>
      </c>
      <c r="I1520">
        <v>284.52679999999998</v>
      </c>
      <c r="J1520">
        <v>-223.48869999999999</v>
      </c>
      <c r="K1520">
        <v>1.1195040000000001</v>
      </c>
      <c r="L1520">
        <v>283.80020000000002</v>
      </c>
      <c r="M1520">
        <v>-0.99975930000000002</v>
      </c>
      <c r="N1520">
        <v>-4.7371480000000001E-3</v>
      </c>
      <c r="O1520">
        <v>2.1425309999999999E-2</v>
      </c>
      <c r="P1520">
        <v>-0.99491540000000001</v>
      </c>
      <c r="Q1520">
        <v>-0.1000037</v>
      </c>
      <c r="R1520">
        <v>1.1956100000000001E-2</v>
      </c>
      <c r="S1520">
        <v>-3.0045009999999999</v>
      </c>
      <c r="T1520">
        <v>-0.10409980000000001</v>
      </c>
      <c r="U1520">
        <v>6.8237300000000001E-2</v>
      </c>
      <c r="V1520">
        <v>-9.4094959999999998E-3</v>
      </c>
      <c r="W1520">
        <v>-9.5284800000000003E-2</v>
      </c>
      <c r="X1520">
        <v>0.9954056</v>
      </c>
      <c r="Y1520">
        <v>1.2892890000000001E-3</v>
      </c>
      <c r="Z1520">
        <v>-6.1508760000000004E-4</v>
      </c>
      <c r="AA1520">
        <v>0.99999899999999997</v>
      </c>
      <c r="AB1520">
        <v>29</v>
      </c>
      <c r="AC1520">
        <v>-31.985399999999998</v>
      </c>
      <c r="AD1520">
        <v>-1.119502623769</v>
      </c>
      <c r="AE1520">
        <v>0.72659999999996205</v>
      </c>
      <c r="AF1520">
        <v>4.10781594377507E-2</v>
      </c>
      <c r="AG1520">
        <v>-1.119502623769</v>
      </c>
      <c r="AH1520">
        <v>31.9545004203564</v>
      </c>
      <c r="AI1520">
        <v>92.006493547900106</v>
      </c>
      <c r="AJ1520">
        <v>89.926345152060094</v>
      </c>
      <c r="AK1520">
        <v>31.974131272864401</v>
      </c>
      <c r="AL1520">
        <v>95.467711900518694</v>
      </c>
      <c r="AM1520">
        <v>90.541596662384507</v>
      </c>
      <c r="AN1520">
        <v>1.0000000201186801</v>
      </c>
    </row>
    <row r="1521" spans="1:40" x14ac:dyDescent="0.25">
      <c r="A1521" t="str">
        <f>"20190303154451349"</f>
        <v>20190303154451349</v>
      </c>
      <c r="B1521" t="str">
        <f>"1551599091342110"</f>
        <v>1551599091342110</v>
      </c>
      <c r="C1521" t="s">
        <v>40</v>
      </c>
      <c r="D1521">
        <v>5.3374790000000001</v>
      </c>
      <c r="E1521">
        <v>0.50447259999999905</v>
      </c>
      <c r="F1521" t="s">
        <v>55</v>
      </c>
      <c r="G1521">
        <v>-257.98910000000001</v>
      </c>
      <c r="H1521" s="1">
        <v>2.7146019999999999E-6</v>
      </c>
      <c r="I1521">
        <v>284.56200000000001</v>
      </c>
      <c r="J1521">
        <v>-223.77070000000001</v>
      </c>
      <c r="K1521">
        <v>1.119569</v>
      </c>
      <c r="L1521">
        <v>283.8064</v>
      </c>
      <c r="M1521">
        <v>-0.99975709999999995</v>
      </c>
      <c r="N1521">
        <v>-4.7509709999999997E-3</v>
      </c>
      <c r="O1521">
        <v>2.152567E-2</v>
      </c>
      <c r="P1521">
        <v>-0.99500239999999995</v>
      </c>
      <c r="Q1521">
        <v>-9.9134719999999996E-2</v>
      </c>
      <c r="R1521">
        <v>1.1937959999999999E-2</v>
      </c>
      <c r="S1521">
        <v>-3.004715</v>
      </c>
      <c r="T1521">
        <v>-9.7499970000000005E-2</v>
      </c>
      <c r="U1521">
        <v>6.6345210000000002E-2</v>
      </c>
      <c r="V1521">
        <v>-9.5142449999999993E-3</v>
      </c>
      <c r="W1521">
        <v>-9.4403169999999995E-2</v>
      </c>
      <c r="X1521">
        <v>0.99548859999999995</v>
      </c>
      <c r="Y1521">
        <v>5.5711750000000005E-4</v>
      </c>
      <c r="Z1521">
        <v>-5.8553119999999999E-4</v>
      </c>
      <c r="AA1521">
        <v>0.99999970000000005</v>
      </c>
      <c r="AB1521">
        <v>29</v>
      </c>
      <c r="AC1521">
        <v>-34.218400000000003</v>
      </c>
      <c r="AD1521">
        <v>-1.119566285398</v>
      </c>
      <c r="AE1521">
        <v>0.75560000000001504</v>
      </c>
      <c r="AF1521">
        <v>1.8822549923779901E-2</v>
      </c>
      <c r="AG1521">
        <v>-1.119566285398</v>
      </c>
      <c r="AH1521">
        <v>34.190154078759399</v>
      </c>
      <c r="AI1521">
        <v>91.875496110428998</v>
      </c>
      <c r="AJ1521">
        <v>89.968457218447398</v>
      </c>
      <c r="AK1521">
        <v>34.208484603751302</v>
      </c>
      <c r="AL1521">
        <v>95.416969504613505</v>
      </c>
      <c r="AM1521">
        <v>90.547579838498194</v>
      </c>
      <c r="AN1521">
        <v>1.00000001604696</v>
      </c>
    </row>
    <row r="1522" spans="1:40" x14ac:dyDescent="0.25">
      <c r="A1522" t="str">
        <f>"20190303154451373"</f>
        <v>20190303154451373</v>
      </c>
      <c r="B1522" t="str">
        <f>"1551599091361631"</f>
        <v>1551599091361631</v>
      </c>
      <c r="C1522" t="s">
        <v>40</v>
      </c>
      <c r="D1522">
        <v>5.3759509999999997</v>
      </c>
      <c r="E1522">
        <v>0.50441320000000001</v>
      </c>
      <c r="F1522" t="s">
        <v>55</v>
      </c>
      <c r="G1522">
        <v>-258.93419999999998</v>
      </c>
      <c r="H1522" s="1">
        <v>3.2175399999999999E-6</v>
      </c>
      <c r="I1522">
        <v>284.56950000000001</v>
      </c>
      <c r="J1522">
        <v>-224.08279999999999</v>
      </c>
      <c r="K1522">
        <v>1.119618</v>
      </c>
      <c r="L1522">
        <v>283.81319999999999</v>
      </c>
      <c r="M1522">
        <v>-0.99975590000000003</v>
      </c>
      <c r="N1522">
        <v>-4.7662720000000002E-3</v>
      </c>
      <c r="O1522">
        <v>2.1573040000000002E-2</v>
      </c>
      <c r="P1522">
        <v>-0.99499090000000001</v>
      </c>
      <c r="Q1522">
        <v>-9.9265560000000003E-2</v>
      </c>
      <c r="R1522">
        <v>1.1809399999999999E-2</v>
      </c>
      <c r="S1522">
        <v>-3.0047760000000001</v>
      </c>
      <c r="T1522">
        <v>-9.5668550000000005E-2</v>
      </c>
      <c r="U1522">
        <v>6.5216060000000006E-2</v>
      </c>
      <c r="V1522">
        <v>-9.677906E-3</v>
      </c>
      <c r="W1522">
        <v>-9.4519969999999995E-2</v>
      </c>
      <c r="X1522">
        <v>0.99547589999999997</v>
      </c>
      <c r="Y1522">
        <v>1.335853E-4</v>
      </c>
      <c r="Z1522">
        <v>-5.8128010000000003E-4</v>
      </c>
      <c r="AA1522">
        <v>0.99999979999999999</v>
      </c>
      <c r="AB1522">
        <v>29</v>
      </c>
      <c r="AC1522">
        <v>-34.851399999999899</v>
      </c>
      <c r="AD1522">
        <v>-1.11961478246</v>
      </c>
      <c r="AE1522">
        <v>0.75630000000000996</v>
      </c>
      <c r="AF1522">
        <v>4.2603945835936099E-3</v>
      </c>
      <c r="AG1522">
        <v>-1.11961478246</v>
      </c>
      <c r="AH1522">
        <v>34.823682357346897</v>
      </c>
      <c r="AI1522">
        <v>91.841479914112696</v>
      </c>
      <c r="AJ1522">
        <v>89.9929903269569</v>
      </c>
      <c r="AK1522">
        <v>34.841676313539502</v>
      </c>
      <c r="AL1522">
        <v>95.423691922049699</v>
      </c>
      <c r="AM1522">
        <v>90.557005648926406</v>
      </c>
      <c r="AN1522">
        <v>0.99999997703707699</v>
      </c>
    </row>
    <row r="1523" spans="1:40" x14ac:dyDescent="0.25">
      <c r="A1523" t="str">
        <f>"20190303154451393"</f>
        <v>20190303154451393</v>
      </c>
      <c r="B1523" t="str">
        <f>"1551599091382127"</f>
        <v>1551599091382127</v>
      </c>
      <c r="C1523" t="s">
        <v>40</v>
      </c>
      <c r="D1523">
        <v>5.3541169999999996</v>
      </c>
      <c r="E1523">
        <v>0.50431910000000002</v>
      </c>
      <c r="F1523" t="s">
        <v>55</v>
      </c>
      <c r="G1523">
        <v>-258.76609999999999</v>
      </c>
      <c r="H1523" s="1">
        <v>3.128092E-6</v>
      </c>
      <c r="I1523">
        <v>284.5582</v>
      </c>
      <c r="J1523">
        <v>-224.35429999999999</v>
      </c>
      <c r="K1523">
        <v>1.1196440000000001</v>
      </c>
      <c r="L1523">
        <v>283.81909999999999</v>
      </c>
      <c r="M1523">
        <v>-0.99975590000000003</v>
      </c>
      <c r="N1523">
        <v>-4.7796690000000003E-3</v>
      </c>
      <c r="O1523">
        <v>2.157655E-2</v>
      </c>
      <c r="P1523">
        <v>-0.99500630000000001</v>
      </c>
      <c r="Q1523">
        <v>-9.9174189999999995E-2</v>
      </c>
      <c r="R1523">
        <v>1.129259E-2</v>
      </c>
      <c r="S1523">
        <v>-3.0046539999999999</v>
      </c>
      <c r="T1523">
        <v>-9.6993449999999995E-2</v>
      </c>
      <c r="U1523">
        <v>6.4544679999999993E-2</v>
      </c>
      <c r="V1523">
        <v>-1.019114E-2</v>
      </c>
      <c r="W1523">
        <v>-9.4415840000000001E-2</v>
      </c>
      <c r="X1523">
        <v>0.9954807</v>
      </c>
      <c r="Y1523" s="1">
        <v>-9.1996200000000005E-5</v>
      </c>
      <c r="Z1523">
        <v>-5.9476929999999998E-4</v>
      </c>
      <c r="AA1523">
        <v>0.99999979999999999</v>
      </c>
      <c r="AB1523">
        <v>29</v>
      </c>
      <c r="AC1523">
        <v>-34.411799999999999</v>
      </c>
      <c r="AD1523">
        <v>-1.119640871908</v>
      </c>
      <c r="AE1523">
        <v>0.73910000000000697</v>
      </c>
      <c r="AF1523">
        <v>-3.5646060642444601E-3</v>
      </c>
      <c r="AG1523">
        <v>-1.119640871908</v>
      </c>
      <c r="AH1523">
        <v>34.383353789371697</v>
      </c>
      <c r="AI1523">
        <v>91.865089610397305</v>
      </c>
      <c r="AJ1523">
        <v>90.005939993045104</v>
      </c>
      <c r="AK1523">
        <v>34.401578832861297</v>
      </c>
      <c r="AL1523">
        <v>95.4176986932559</v>
      </c>
      <c r="AM1523">
        <v>90.586539661631903</v>
      </c>
      <c r="AN1523">
        <v>1.0000000171249399</v>
      </c>
    </row>
    <row r="1524" spans="1:40" x14ac:dyDescent="0.25">
      <c r="A1524" t="str">
        <f>"20190303154451416"</f>
        <v>20190303154451416</v>
      </c>
      <c r="B1524" t="str">
        <f>"1551599091412383"</f>
        <v>1551599091412383</v>
      </c>
      <c r="C1524" t="s">
        <v>40</v>
      </c>
      <c r="D1524">
        <v>5.3009089999999999</v>
      </c>
      <c r="E1524">
        <v>0.50419349999999996</v>
      </c>
      <c r="F1524" t="s">
        <v>55</v>
      </c>
      <c r="G1524">
        <v>-258.71929999999998</v>
      </c>
      <c r="H1524" s="1">
        <v>3.1032089999999998E-6</v>
      </c>
      <c r="I1524">
        <v>284.53109999999998</v>
      </c>
      <c r="J1524">
        <v>-224.64920000000001</v>
      </c>
      <c r="K1524">
        <v>1.1196759999999999</v>
      </c>
      <c r="L1524">
        <v>283.8254</v>
      </c>
      <c r="M1524">
        <v>-0.99975619999999998</v>
      </c>
      <c r="N1524">
        <v>-4.7942949999999996E-3</v>
      </c>
      <c r="O1524">
        <v>2.1554340000000002E-2</v>
      </c>
      <c r="P1524">
        <v>-0.99517800000000001</v>
      </c>
      <c r="Q1524">
        <v>-9.7512100000000004E-2</v>
      </c>
      <c r="R1524">
        <v>1.059915E-2</v>
      </c>
      <c r="S1524">
        <v>-3.0046080000000002</v>
      </c>
      <c r="T1524">
        <v>-9.7892519999999997E-2</v>
      </c>
      <c r="U1524">
        <v>6.2255860000000003E-2</v>
      </c>
      <c r="V1524">
        <v>-1.086168E-2</v>
      </c>
      <c r="W1524">
        <v>-9.2738929999999997E-2</v>
      </c>
      <c r="X1524">
        <v>0.99563120000000005</v>
      </c>
      <c r="Y1524">
        <v>-8.3027399999999999E-4</v>
      </c>
      <c r="Z1524">
        <v>-6.1411180000000003E-4</v>
      </c>
      <c r="AA1524">
        <v>0.99999950000000004</v>
      </c>
      <c r="AB1524">
        <v>29</v>
      </c>
      <c r="AC1524">
        <v>-34.070099999999897</v>
      </c>
      <c r="AD1524">
        <v>-1.1196728967909999</v>
      </c>
      <c r="AE1524">
        <v>0.70569999999997801</v>
      </c>
      <c r="AF1524">
        <v>-2.8799808448698699E-2</v>
      </c>
      <c r="AG1524">
        <v>-1.1196728967909999</v>
      </c>
      <c r="AH1524">
        <v>34.040646537532602</v>
      </c>
      <c r="AI1524">
        <v>91.883906285438997</v>
      </c>
      <c r="AJ1524">
        <v>90.048474610473903</v>
      </c>
      <c r="AK1524">
        <v>34.059068007184301</v>
      </c>
      <c r="AL1524">
        <v>95.321195528963202</v>
      </c>
      <c r="AM1524">
        <v>90.625034385870194</v>
      </c>
      <c r="AN1524">
        <v>0.99999998582170302</v>
      </c>
    </row>
    <row r="1525" spans="1:40" x14ac:dyDescent="0.25">
      <c r="A1525" t="str">
        <f>"20190303154451439"</f>
        <v>20190303154451439</v>
      </c>
      <c r="B1525" t="str">
        <f>"1551599091431904"</f>
        <v>1551599091431904</v>
      </c>
      <c r="C1525" t="s">
        <v>40</v>
      </c>
      <c r="D1525">
        <v>5.3860910000000004</v>
      </c>
      <c r="E1525">
        <v>0.50408009999999903</v>
      </c>
      <c r="F1525" t="s">
        <v>55</v>
      </c>
      <c r="G1525">
        <v>-260.3888</v>
      </c>
      <c r="H1525" s="1">
        <v>-1.329892E-6</v>
      </c>
      <c r="I1525">
        <v>284.52640000000002</v>
      </c>
      <c r="J1525">
        <v>-224.9589</v>
      </c>
      <c r="K1525">
        <v>1.1196950000000001</v>
      </c>
      <c r="L1525">
        <v>283.83210000000003</v>
      </c>
      <c r="M1525">
        <v>-0.99975709999999995</v>
      </c>
      <c r="N1525">
        <v>-4.8097640000000002E-3</v>
      </c>
      <c r="O1525">
        <v>2.1515530000000001E-2</v>
      </c>
      <c r="P1525">
        <v>-0.99533729999999998</v>
      </c>
      <c r="Q1525">
        <v>-9.5947069999999995E-2</v>
      </c>
      <c r="R1525">
        <v>9.9087270000000009E-3</v>
      </c>
      <c r="S1525">
        <v>-3.0046689999999998</v>
      </c>
      <c r="T1525">
        <v>-9.4132540000000001E-2</v>
      </c>
      <c r="U1525">
        <v>5.892944E-2</v>
      </c>
      <c r="V1525">
        <v>-1.151283E-2</v>
      </c>
      <c r="W1525">
        <v>-9.1158199999999995E-2</v>
      </c>
      <c r="X1525">
        <v>0.99576989999999999</v>
      </c>
      <c r="Y1525">
        <v>-1.8986960000000001E-3</v>
      </c>
      <c r="Z1525">
        <v>-6.0458460000000001E-4</v>
      </c>
      <c r="AA1525">
        <v>0.99999800000000005</v>
      </c>
      <c r="AB1525">
        <v>30</v>
      </c>
      <c r="AC1525">
        <v>-35.429900000000004</v>
      </c>
      <c r="AD1525">
        <v>-1.119696329892</v>
      </c>
      <c r="AE1525">
        <v>0.69429999999999803</v>
      </c>
      <c r="AF1525">
        <v>-6.8094515761235694E-2</v>
      </c>
      <c r="AG1525">
        <v>-1.119696329892</v>
      </c>
      <c r="AH1525">
        <v>35.401292913561399</v>
      </c>
      <c r="AI1525">
        <v>91.811582866464306</v>
      </c>
      <c r="AJ1525">
        <v>90.110208504501003</v>
      </c>
      <c r="AK1525">
        <v>35.419061205599803</v>
      </c>
      <c r="AL1525">
        <v>95.230240832847898</v>
      </c>
      <c r="AM1525">
        <v>90.662409236886106</v>
      </c>
      <c r="AN1525">
        <v>1.0000000282139201</v>
      </c>
    </row>
    <row r="1526" spans="1:40" x14ac:dyDescent="0.25">
      <c r="A1526" t="str">
        <f>"20190303154451462"</f>
        <v>20190303154451462</v>
      </c>
      <c r="B1526" t="str">
        <f>"1551599091452398"</f>
        <v>1551599091452398</v>
      </c>
      <c r="C1526" t="s">
        <v>40</v>
      </c>
      <c r="D1526">
        <v>5.3601429999999999</v>
      </c>
      <c r="E1526">
        <v>0.50398589999999999</v>
      </c>
      <c r="F1526" t="s">
        <v>55</v>
      </c>
      <c r="G1526">
        <v>-262.07679999999999</v>
      </c>
      <c r="H1526" s="1">
        <v>-4.3160809999999997E-7</v>
      </c>
      <c r="I1526">
        <v>284.52080000000001</v>
      </c>
      <c r="J1526">
        <v>-225.2578</v>
      </c>
      <c r="K1526">
        <v>1.1197060000000001</v>
      </c>
      <c r="L1526">
        <v>283.83850000000001</v>
      </c>
      <c r="M1526">
        <v>-0.99975789999999998</v>
      </c>
      <c r="N1526">
        <v>-4.8247699999999999E-3</v>
      </c>
      <c r="O1526">
        <v>2.1473229999999999E-2</v>
      </c>
      <c r="P1526">
        <v>-0.99538470000000001</v>
      </c>
      <c r="Q1526">
        <v>-9.5510059999999994E-2</v>
      </c>
      <c r="R1526">
        <v>9.3404209999999998E-3</v>
      </c>
      <c r="S1526">
        <v>-3.0047609999999998</v>
      </c>
      <c r="T1526">
        <v>-9.0641379999999994E-2</v>
      </c>
      <c r="U1526">
        <v>5.5755619999999999E-2</v>
      </c>
      <c r="V1526">
        <v>-1.2038E-2</v>
      </c>
      <c r="W1526">
        <v>-9.070636E-2</v>
      </c>
      <c r="X1526">
        <v>0.99580489999999999</v>
      </c>
      <c r="Y1526">
        <v>-2.9130750000000002E-3</v>
      </c>
      <c r="Z1526">
        <v>-5.9485479999999997E-4</v>
      </c>
      <c r="AA1526">
        <v>0.99999559999999998</v>
      </c>
      <c r="AB1526">
        <v>30</v>
      </c>
      <c r="AC1526">
        <v>-36.818999999999903</v>
      </c>
      <c r="AD1526">
        <v>-1.11970643160809</v>
      </c>
      <c r="AE1526">
        <v>0.68229999999999702</v>
      </c>
      <c r="AF1526">
        <v>-0.108389082469617</v>
      </c>
      <c r="AG1526">
        <v>-1.11970643160809</v>
      </c>
      <c r="AH1526">
        <v>36.791147497066298</v>
      </c>
      <c r="AI1526">
        <v>91.743201358241194</v>
      </c>
      <c r="AJ1526">
        <v>90.168796556415302</v>
      </c>
      <c r="AK1526">
        <v>36.808341783311398</v>
      </c>
      <c r="AL1526">
        <v>95.204244869928104</v>
      </c>
      <c r="AM1526">
        <v>90.6925985185798</v>
      </c>
      <c r="AN1526">
        <v>0.99999997802622898</v>
      </c>
    </row>
    <row r="1527" spans="1:40" x14ac:dyDescent="0.25">
      <c r="A1527" t="str">
        <f>"20190303154451482"</f>
        <v>20190303154451482</v>
      </c>
      <c r="B1527" t="str">
        <f>"1551599091472895"</f>
        <v>1551599091472895</v>
      </c>
      <c r="C1527" t="s">
        <v>40</v>
      </c>
      <c r="D1527">
        <v>5.4074289999999996</v>
      </c>
      <c r="E1527">
        <v>0.50390590000000002</v>
      </c>
      <c r="F1527" t="s">
        <v>55</v>
      </c>
      <c r="G1527">
        <v>-262.31299999999999</v>
      </c>
      <c r="H1527" s="1">
        <v>-3.0594170000000002E-7</v>
      </c>
      <c r="I1527">
        <v>284.4975</v>
      </c>
      <c r="J1527">
        <v>-225.54</v>
      </c>
      <c r="K1527">
        <v>1.1197109999999999</v>
      </c>
      <c r="L1527">
        <v>283.84449999999998</v>
      </c>
      <c r="M1527">
        <v>-0.9997587</v>
      </c>
      <c r="N1527">
        <v>-4.838953E-3</v>
      </c>
      <c r="O1527">
        <v>2.1435659999999999E-2</v>
      </c>
      <c r="P1527">
        <v>-0.99537850000000005</v>
      </c>
      <c r="Q1527">
        <v>-9.5624970000000004E-2</v>
      </c>
      <c r="R1527">
        <v>8.8207379999999998E-3</v>
      </c>
      <c r="S1527">
        <v>-3.004715</v>
      </c>
      <c r="T1527">
        <v>-9.079421E-2</v>
      </c>
      <c r="U1527">
        <v>5.3436280000000003E-2</v>
      </c>
      <c r="V1527">
        <v>-1.2518420000000001E-2</v>
      </c>
      <c r="W1527">
        <v>-9.0807440000000003E-2</v>
      </c>
      <c r="X1527">
        <v>0.99578979999999995</v>
      </c>
      <c r="Y1527">
        <v>-3.6464480000000001E-3</v>
      </c>
      <c r="Z1527">
        <v>-6.0765150000000002E-4</v>
      </c>
      <c r="AA1527">
        <v>0.99999309999999997</v>
      </c>
      <c r="AB1527">
        <v>30</v>
      </c>
      <c r="AC1527">
        <v>-36.773000000000003</v>
      </c>
      <c r="AD1527">
        <v>-1.1197113059416901</v>
      </c>
      <c r="AE1527">
        <v>0.65300000000002001</v>
      </c>
      <c r="AF1527">
        <v>-0.135287261808161</v>
      </c>
      <c r="AG1527">
        <v>-1.1197113059416901</v>
      </c>
      <c r="AH1527">
        <v>36.744490885320502</v>
      </c>
      <c r="AI1527">
        <v>91.745416774131201</v>
      </c>
      <c r="AJ1527">
        <v>90.210952823436799</v>
      </c>
      <c r="AK1527">
        <v>36.761796290078998</v>
      </c>
      <c r="AL1527">
        <v>95.210060140022307</v>
      </c>
      <c r="AM1527">
        <v>90.720247236089094</v>
      </c>
      <c r="AN1527">
        <v>1.0000000138913401</v>
      </c>
    </row>
    <row r="1528" spans="1:40" x14ac:dyDescent="0.25">
      <c r="A1528" t="str">
        <f>"20190303154451506"</f>
        <v>20190303154451506</v>
      </c>
      <c r="B1528" t="str">
        <f>"1551599091502175"</f>
        <v>1551599091502175</v>
      </c>
      <c r="C1528" t="s">
        <v>40</v>
      </c>
      <c r="D1528">
        <v>5.3378209999999999</v>
      </c>
      <c r="E1528">
        <v>0.5037007</v>
      </c>
      <c r="F1528" t="s">
        <v>55</v>
      </c>
      <c r="G1528">
        <v>-261.90519999999998</v>
      </c>
      <c r="H1528" s="1">
        <v>-5.229514E-7</v>
      </c>
      <c r="I1528">
        <v>284.46319999999997</v>
      </c>
      <c r="J1528">
        <v>-225.84899999999999</v>
      </c>
      <c r="K1528">
        <v>1.1197170000000001</v>
      </c>
      <c r="L1528">
        <v>283.85109999999997</v>
      </c>
      <c r="M1528">
        <v>-0.99975930000000002</v>
      </c>
      <c r="N1528">
        <v>-4.8546420000000002E-3</v>
      </c>
      <c r="O1528">
        <v>2.1396729999999999E-2</v>
      </c>
      <c r="P1528">
        <v>-0.99543389999999998</v>
      </c>
      <c r="Q1528">
        <v>-9.510006E-2</v>
      </c>
      <c r="R1528">
        <v>8.2135279999999995E-3</v>
      </c>
      <c r="S1528">
        <v>-3.0045929999999998</v>
      </c>
      <c r="T1528">
        <v>-9.2513799999999993E-2</v>
      </c>
      <c r="U1528">
        <v>5.111694E-2</v>
      </c>
      <c r="V1528">
        <v>-1.3086479999999999E-2</v>
      </c>
      <c r="W1528">
        <v>-9.0266890000000002E-2</v>
      </c>
      <c r="X1528">
        <v>0.99583160000000004</v>
      </c>
      <c r="Y1528">
        <v>-4.3777149999999999E-3</v>
      </c>
      <c r="Z1528">
        <v>-6.3270009999999996E-4</v>
      </c>
      <c r="AA1528">
        <v>0.99999020000000005</v>
      </c>
      <c r="AB1528">
        <v>30</v>
      </c>
      <c r="AC1528">
        <v>-36.056199999999897</v>
      </c>
      <c r="AD1528">
        <v>-1.11971752295139</v>
      </c>
      <c r="AE1528">
        <v>0.61209999999999798</v>
      </c>
      <c r="AF1528">
        <v>-0.15938032294471299</v>
      </c>
      <c r="AG1528">
        <v>-1.11971752295139</v>
      </c>
      <c r="AH1528">
        <v>36.0263085785569</v>
      </c>
      <c r="AI1528">
        <v>91.780193909844897</v>
      </c>
      <c r="AJ1528">
        <v>90.253474769630898</v>
      </c>
      <c r="AK1528">
        <v>36.044057474373602</v>
      </c>
      <c r="AL1528">
        <v>95.178961405732494</v>
      </c>
      <c r="AM1528">
        <v>90.752895284199695</v>
      </c>
      <c r="AN1528">
        <v>0.99999997147381003</v>
      </c>
    </row>
    <row r="1529" spans="1:40" x14ac:dyDescent="0.25">
      <c r="A1529" t="str">
        <f>"20190303154451528"</f>
        <v>20190303154451528</v>
      </c>
      <c r="B1529" t="str">
        <f>"1551599091521694"</f>
        <v>1551599091521694</v>
      </c>
      <c r="C1529" t="s">
        <v>40</v>
      </c>
      <c r="D1529">
        <v>5.3639590000000004</v>
      </c>
      <c r="E1529">
        <v>0.50357799999999997</v>
      </c>
      <c r="F1529" t="s">
        <v>55</v>
      </c>
      <c r="G1529">
        <v>-261.8415</v>
      </c>
      <c r="H1529" s="1">
        <v>-5.5683969999999897E-7</v>
      </c>
      <c r="I1529">
        <v>284.42430000000002</v>
      </c>
      <c r="J1529">
        <v>-226.1463</v>
      </c>
      <c r="K1529">
        <v>1.1197159999999999</v>
      </c>
      <c r="L1529">
        <v>283.85750000000002</v>
      </c>
      <c r="M1529">
        <v>-0.99975999999999998</v>
      </c>
      <c r="N1529">
        <v>-4.8698750000000001E-3</v>
      </c>
      <c r="O1529">
        <v>2.1361620000000001E-2</v>
      </c>
      <c r="P1529">
        <v>-0.99561359999999999</v>
      </c>
      <c r="Q1529">
        <v>-9.3261510000000006E-2</v>
      </c>
      <c r="R1529">
        <v>7.4942339999999998E-3</v>
      </c>
      <c r="S1529">
        <v>-3.0044400000000002</v>
      </c>
      <c r="T1529">
        <v>-9.3467239999999993E-2</v>
      </c>
      <c r="U1529">
        <v>4.7851560000000001E-2</v>
      </c>
      <c r="V1529">
        <v>-1.3773509999999999E-2</v>
      </c>
      <c r="W1529">
        <v>-8.8412519999999994E-2</v>
      </c>
      <c r="X1529">
        <v>0.99598869999999895</v>
      </c>
      <c r="Y1529">
        <v>-5.4274850000000001E-3</v>
      </c>
      <c r="Z1529">
        <v>-6.5789119999999895E-4</v>
      </c>
      <c r="AA1529">
        <v>0.99998500000000001</v>
      </c>
      <c r="AB1529">
        <v>30</v>
      </c>
      <c r="AC1529">
        <v>-35.6952</v>
      </c>
      <c r="AD1529">
        <v>-1.1197165568396901</v>
      </c>
      <c r="AE1529">
        <v>0.56679999999999997</v>
      </c>
      <c r="AF1529">
        <v>-0.19565316869054</v>
      </c>
      <c r="AG1529">
        <v>-1.1197165568396901</v>
      </c>
      <c r="AH1529">
        <v>35.664077867358998</v>
      </c>
      <c r="AI1529">
        <v>91.798252054963896</v>
      </c>
      <c r="AJ1529">
        <v>90.314321553400106</v>
      </c>
      <c r="AK1529">
        <v>35.6821873693181</v>
      </c>
      <c r="AL1529">
        <v>95.072287166656096</v>
      </c>
      <c r="AM1529">
        <v>90.792291811224302</v>
      </c>
      <c r="AN1529">
        <v>0.99999998689907998</v>
      </c>
    </row>
    <row r="1530" spans="1:40" x14ac:dyDescent="0.25">
      <c r="A1530" t="str">
        <f>"20190303154451551"</f>
        <v>20190303154451551</v>
      </c>
      <c r="B1530" t="str">
        <f>"1551599091542190"</f>
        <v>1551599091542190</v>
      </c>
      <c r="C1530" t="s">
        <v>40</v>
      </c>
      <c r="D1530">
        <v>5.3772779999999996</v>
      </c>
      <c r="E1530">
        <v>0.50349600000000005</v>
      </c>
      <c r="F1530" t="s">
        <v>55</v>
      </c>
      <c r="G1530">
        <v>-263.78379999999999</v>
      </c>
      <c r="H1530" s="1">
        <v>4.767633E-7</v>
      </c>
      <c r="I1530">
        <v>284.41669999999999</v>
      </c>
      <c r="J1530">
        <v>-226.47309999999999</v>
      </c>
      <c r="K1530">
        <v>1.1197189999999999</v>
      </c>
      <c r="L1530">
        <v>283.86439999999999</v>
      </c>
      <c r="M1530">
        <v>-0.99976069999999995</v>
      </c>
      <c r="N1530">
        <v>-4.8867210000000001E-3</v>
      </c>
      <c r="O1530">
        <v>2.1324550000000001E-2</v>
      </c>
      <c r="P1530">
        <v>-0.9957028</v>
      </c>
      <c r="Q1530">
        <v>-9.2317659999999996E-2</v>
      </c>
      <c r="R1530">
        <v>7.3051319999999998E-3</v>
      </c>
      <c r="S1530">
        <v>-3.0045009999999999</v>
      </c>
      <c r="T1530">
        <v>-8.9383840000000006E-2</v>
      </c>
      <c r="U1530">
        <v>4.4647220000000001E-2</v>
      </c>
      <c r="V1530">
        <v>-1.3927149999999999E-2</v>
      </c>
      <c r="W1530">
        <v>-8.7451580000000001E-2</v>
      </c>
      <c r="X1530">
        <v>0.99607140000000005</v>
      </c>
      <c r="Y1530">
        <v>-6.4574480000000002E-3</v>
      </c>
      <c r="Z1530">
        <v>-6.4178640000000001E-4</v>
      </c>
      <c r="AA1530">
        <v>0.99997899999999995</v>
      </c>
      <c r="AB1530">
        <v>30</v>
      </c>
      <c r="AC1530">
        <v>-37.310699999999997</v>
      </c>
      <c r="AD1530">
        <v>-1.1197185232367</v>
      </c>
      <c r="AE1530">
        <v>0.55230000000000201</v>
      </c>
      <c r="AF1530">
        <v>-0.243249918679181</v>
      </c>
      <c r="AG1530">
        <v>-1.1197185232367</v>
      </c>
      <c r="AH1530">
        <v>37.280424392614897</v>
      </c>
      <c r="AI1530">
        <v>91.720326450088294</v>
      </c>
      <c r="AJ1530">
        <v>90.3738422014317</v>
      </c>
      <c r="AK1530">
        <v>37.298029210505199</v>
      </c>
      <c r="AL1530">
        <v>95.017015249083599</v>
      </c>
      <c r="AM1530">
        <v>90.801061973351594</v>
      </c>
      <c r="AN1530">
        <v>0.99999998912478905</v>
      </c>
    </row>
    <row r="1531" spans="1:40" x14ac:dyDescent="0.25">
      <c r="A1531" t="str">
        <f>"20190303154451574"</f>
        <v>20190303154451574</v>
      </c>
      <c r="B1531" t="str">
        <f>"1551599091561710"</f>
        <v>1551599091561710</v>
      </c>
      <c r="C1531" t="s">
        <v>40</v>
      </c>
      <c r="D1531">
        <v>5.3796179999999998</v>
      </c>
      <c r="E1531">
        <v>0.50345390000000001</v>
      </c>
      <c r="F1531" t="s">
        <v>55</v>
      </c>
      <c r="G1531">
        <v>-264.90449999999998</v>
      </c>
      <c r="H1531" s="1">
        <v>1.073132E-6</v>
      </c>
      <c r="I1531">
        <v>284.423</v>
      </c>
      <c r="J1531">
        <v>-226.7809</v>
      </c>
      <c r="K1531">
        <v>1.119718</v>
      </c>
      <c r="L1531">
        <v>283.87090000000001</v>
      </c>
      <c r="M1531">
        <v>-0.99976129999999996</v>
      </c>
      <c r="N1531">
        <v>-4.9026570000000004E-3</v>
      </c>
      <c r="O1531">
        <v>2.1290650000000001E-2</v>
      </c>
      <c r="P1531">
        <v>-0.99561040000000001</v>
      </c>
      <c r="Q1531">
        <v>-9.3296569999999995E-2</v>
      </c>
      <c r="R1531">
        <v>7.45925699999999E-3</v>
      </c>
      <c r="S1531">
        <v>-3.0045009999999999</v>
      </c>
      <c r="T1531">
        <v>-8.7537770000000001E-2</v>
      </c>
      <c r="U1531">
        <v>4.3670649999999998E-2</v>
      </c>
      <c r="V1531">
        <v>-1.373741E-2</v>
      </c>
      <c r="W1531">
        <v>-8.8415090000000002E-2</v>
      </c>
      <c r="X1531">
        <v>0.99598900000000001</v>
      </c>
      <c r="Y1531">
        <v>-6.7488160000000004E-3</v>
      </c>
      <c r="Z1531">
        <v>-6.305614E-4</v>
      </c>
      <c r="AA1531">
        <v>0.99997709999999995</v>
      </c>
      <c r="AB1531">
        <v>30</v>
      </c>
      <c r="AC1531">
        <v>-38.123599999999897</v>
      </c>
      <c r="AD1531">
        <v>-1.1197169268680001</v>
      </c>
      <c r="AE1531">
        <v>0.55209999999999504</v>
      </c>
      <c r="AF1531">
        <v>-0.25948733706673299</v>
      </c>
      <c r="AG1531">
        <v>-1.1197169268680001</v>
      </c>
      <c r="AH1531">
        <v>38.093858637998999</v>
      </c>
      <c r="AI1531">
        <v>91.683607347702804</v>
      </c>
      <c r="AJ1531">
        <v>90.390280739087899</v>
      </c>
      <c r="AK1531">
        <v>38.111194754379802</v>
      </c>
      <c r="AL1531">
        <v>95.072434845970307</v>
      </c>
      <c r="AM1531">
        <v>90.790215261331795</v>
      </c>
      <c r="AN1531">
        <v>1.0000000163470999</v>
      </c>
    </row>
    <row r="1532" spans="1:40" x14ac:dyDescent="0.25">
      <c r="A1532" t="str">
        <f>"20190303154451593"</f>
        <v>20190303154451593</v>
      </c>
      <c r="B1532" t="str">
        <f>"1551599091591967"</f>
        <v>1551599091591967</v>
      </c>
      <c r="C1532" t="s">
        <v>40</v>
      </c>
      <c r="D1532">
        <v>5.3717810000000004</v>
      </c>
      <c r="E1532">
        <v>0.50339979999999995</v>
      </c>
      <c r="F1532" t="s">
        <v>55</v>
      </c>
      <c r="G1532">
        <v>-263.50060000000002</v>
      </c>
      <c r="H1532" s="1">
        <v>3.2606949999999999E-7</v>
      </c>
      <c r="I1532">
        <v>284.4092</v>
      </c>
      <c r="J1532">
        <v>-227.05690000000001</v>
      </c>
      <c r="K1532">
        <v>1.1197159999999999</v>
      </c>
      <c r="L1532">
        <v>283.8768</v>
      </c>
      <c r="M1532">
        <v>-0.99976189999999998</v>
      </c>
      <c r="N1532">
        <v>-4.9170189999999999E-3</v>
      </c>
      <c r="O1532">
        <v>2.1260569999999999E-2</v>
      </c>
      <c r="P1532">
        <v>-0.99546469999999998</v>
      </c>
      <c r="Q1532">
        <v>-9.4864279999999995E-2</v>
      </c>
      <c r="R1532">
        <v>7.1429379999999997E-3</v>
      </c>
      <c r="S1532">
        <v>-3.004318</v>
      </c>
      <c r="T1532">
        <v>-9.1612579999999999E-2</v>
      </c>
      <c r="U1532">
        <v>4.4036869999999999E-2</v>
      </c>
      <c r="V1532">
        <v>-1.4020410000000001E-2</v>
      </c>
      <c r="W1532">
        <v>-8.9969220000000003E-2</v>
      </c>
      <c r="X1532">
        <v>0.99584589999999995</v>
      </c>
      <c r="Y1532">
        <v>-6.5950640000000003E-3</v>
      </c>
      <c r="Z1532">
        <v>-6.6028569999999995E-4</v>
      </c>
      <c r="AA1532">
        <v>0.99997800000000003</v>
      </c>
      <c r="AB1532">
        <v>31</v>
      </c>
      <c r="AC1532">
        <v>-36.4437</v>
      </c>
      <c r="AD1532">
        <v>-1.1197156739305001</v>
      </c>
      <c r="AE1532">
        <v>0.53239999999999499</v>
      </c>
      <c r="AF1532">
        <v>-0.24231483018089001</v>
      </c>
      <c r="AG1532">
        <v>-1.1197156739305001</v>
      </c>
      <c r="AH1532">
        <v>36.412415767407502</v>
      </c>
      <c r="AI1532">
        <v>91.7613045230745</v>
      </c>
      <c r="AJ1532">
        <v>90.381282368891405</v>
      </c>
      <c r="AK1532">
        <v>36.430433729039201</v>
      </c>
      <c r="AL1532">
        <v>95.161836112804195</v>
      </c>
      <c r="AM1532">
        <v>90.806607980436993</v>
      </c>
      <c r="AN1532">
        <v>1.00000004449539</v>
      </c>
    </row>
    <row r="1533" spans="1:40" x14ac:dyDescent="0.25">
      <c r="A1533" t="str">
        <f>"20190303154451616"</f>
        <v>20190303154451616</v>
      </c>
      <c r="B1533" t="str">
        <f>"1551599091612463"</f>
        <v>1551599091612463</v>
      </c>
      <c r="C1533" t="s">
        <v>40</v>
      </c>
      <c r="D1533">
        <v>5.4043390000000002</v>
      </c>
      <c r="E1533">
        <v>0.50160269999999996</v>
      </c>
      <c r="F1533" t="s">
        <v>55</v>
      </c>
      <c r="G1533">
        <v>-261.47129999999999</v>
      </c>
      <c r="H1533" s="1">
        <v>-7.5385880000000004E-7</v>
      </c>
      <c r="I1533">
        <v>284.36660000000001</v>
      </c>
      <c r="J1533">
        <v>-227.36869999999999</v>
      </c>
      <c r="K1533">
        <v>1.1197159999999999</v>
      </c>
      <c r="L1533">
        <v>283.88339999999999</v>
      </c>
      <c r="M1533">
        <v>-0.9997627</v>
      </c>
      <c r="N1533">
        <v>-4.9332589999999997E-3</v>
      </c>
      <c r="O1533">
        <v>2.1227030000000001E-2</v>
      </c>
      <c r="P1533">
        <v>-0.9954575</v>
      </c>
      <c r="Q1533">
        <v>-9.5026289999999999E-2</v>
      </c>
      <c r="R1533">
        <v>5.9064259999999898E-3</v>
      </c>
      <c r="S1533">
        <v>-3.0040279999999999</v>
      </c>
      <c r="T1533">
        <v>-9.7740170000000001E-2</v>
      </c>
      <c r="U1533">
        <v>4.2755130000000002E-2</v>
      </c>
      <c r="V1533">
        <v>-1.522253E-2</v>
      </c>
      <c r="W1533">
        <v>-9.0115260000000003E-2</v>
      </c>
      <c r="X1533">
        <v>0.99581500000000001</v>
      </c>
      <c r="Y1533">
        <v>-6.9848489999999996E-3</v>
      </c>
      <c r="Z1533">
        <v>-7.1649810000000002E-4</v>
      </c>
      <c r="AA1533">
        <v>0.99997530000000001</v>
      </c>
      <c r="AB1533">
        <v>31</v>
      </c>
      <c r="AC1533">
        <v>-34.102599999999903</v>
      </c>
      <c r="AD1533">
        <v>-1.1197167538588</v>
      </c>
      <c r="AE1533">
        <v>0.48320000000001001</v>
      </c>
      <c r="AF1533">
        <v>-0.24055518130462999</v>
      </c>
      <c r="AG1533">
        <v>-1.1197167538588</v>
      </c>
      <c r="AH1533">
        <v>34.068452551353502</v>
      </c>
      <c r="AI1533">
        <v>91.882397245001599</v>
      </c>
      <c r="AJ1533">
        <v>90.404555139666002</v>
      </c>
      <c r="AK1533">
        <v>34.087697071640797</v>
      </c>
      <c r="AL1533">
        <v>95.170237947209699</v>
      </c>
      <c r="AM1533">
        <v>90.875783951151803</v>
      </c>
      <c r="AN1533">
        <v>0.99999999986473398</v>
      </c>
    </row>
    <row r="1534" spans="1:40" x14ac:dyDescent="0.25">
      <c r="A1534" t="str">
        <f>"20190303154451639"</f>
        <v>20190303154451639</v>
      </c>
      <c r="B1534" t="str">
        <f>"1551599091631982"</f>
        <v>1551599091631982</v>
      </c>
      <c r="C1534" t="s">
        <v>40</v>
      </c>
      <c r="D1534">
        <v>5.3947089999999998</v>
      </c>
      <c r="E1534">
        <v>0.50140479999999998</v>
      </c>
      <c r="F1534" t="s">
        <v>55</v>
      </c>
      <c r="G1534">
        <v>-249.9494</v>
      </c>
      <c r="H1534" s="1">
        <v>3.7577929999999999E-6</v>
      </c>
      <c r="I1534">
        <v>284.08069999999998</v>
      </c>
      <c r="J1534">
        <v>-227.68279999999999</v>
      </c>
      <c r="K1534">
        <v>1.1197250000000001</v>
      </c>
      <c r="L1534">
        <v>283.89</v>
      </c>
      <c r="M1534">
        <v>-0.99976330000000002</v>
      </c>
      <c r="N1534">
        <v>-4.9497370000000001E-3</v>
      </c>
      <c r="O1534">
        <v>2.1193130000000001E-2</v>
      </c>
      <c r="P1534">
        <v>-0.99557260000000003</v>
      </c>
      <c r="Q1534">
        <v>-9.3912590000000004E-2</v>
      </c>
      <c r="R1534">
        <v>4.01229E-3</v>
      </c>
      <c r="S1534">
        <v>-2.9993439999999998</v>
      </c>
      <c r="T1534">
        <v>-0.1487291</v>
      </c>
      <c r="U1534">
        <v>2.62145999999999E-2</v>
      </c>
      <c r="V1534">
        <v>-1.708515E-2</v>
      </c>
      <c r="W1534">
        <v>-8.8984850000000004E-2</v>
      </c>
      <c r="X1534">
        <v>0.99588639999999995</v>
      </c>
      <c r="Y1534">
        <v>-1.241689E-2</v>
      </c>
      <c r="Z1534">
        <v>-1.283726E-3</v>
      </c>
      <c r="AA1534">
        <v>0.99992210000000004</v>
      </c>
      <c r="AB1534">
        <v>31</v>
      </c>
      <c r="AC1534">
        <v>-22.2666</v>
      </c>
      <c r="AD1534">
        <v>-1.119721242207</v>
      </c>
      <c r="AE1534">
        <v>0.19069999999999199</v>
      </c>
      <c r="AF1534">
        <v>-0.28053812084527702</v>
      </c>
      <c r="AG1534">
        <v>-1.119721242207</v>
      </c>
      <c r="AH1534">
        <v>22.209481489214198</v>
      </c>
      <c r="AI1534">
        <v>92.885971147766199</v>
      </c>
      <c r="AJ1534">
        <v>90.723690714543594</v>
      </c>
      <c r="AK1534">
        <v>22.239459195700899</v>
      </c>
      <c r="AL1534">
        <v>95.105209140681296</v>
      </c>
      <c r="AM1534">
        <v>90.982854035758507</v>
      </c>
      <c r="AN1534">
        <v>0.999999963792501</v>
      </c>
    </row>
    <row r="1535" spans="1:40" x14ac:dyDescent="0.25">
      <c r="A1535" t="str">
        <f>"20190303154451660"</f>
        <v>20190303154451660</v>
      </c>
      <c r="B1535" t="str">
        <f>"1551599091651503"</f>
        <v>1551599091651503</v>
      </c>
      <c r="C1535" t="s">
        <v>40</v>
      </c>
      <c r="D1535">
        <v>5.4035769999999896</v>
      </c>
      <c r="E1535">
        <v>0.50161149999999999</v>
      </c>
      <c r="F1535" t="s">
        <v>55</v>
      </c>
      <c r="G1535">
        <v>-250.81479999999999</v>
      </c>
      <c r="H1535" s="1">
        <v>-1.1031990000000001E-6</v>
      </c>
      <c r="I1535">
        <v>284.03590000000003</v>
      </c>
      <c r="J1535">
        <v>-227.97980000000001</v>
      </c>
      <c r="K1535">
        <v>1.119726</v>
      </c>
      <c r="L1535">
        <v>283.8963</v>
      </c>
      <c r="M1535">
        <v>-0.99976379999999998</v>
      </c>
      <c r="N1535">
        <v>-4.9653980000000002E-3</v>
      </c>
      <c r="O1535">
        <v>2.1159049999999999E-2</v>
      </c>
      <c r="P1535">
        <v>-0.99568670000000004</v>
      </c>
      <c r="Q1535">
        <v>-9.2735070000000003E-2</v>
      </c>
      <c r="R1535">
        <v>2.8659139999999998E-3</v>
      </c>
      <c r="S1535">
        <v>-2.9995569999999998</v>
      </c>
      <c r="T1535">
        <v>-0.14519670000000001</v>
      </c>
      <c r="U1535">
        <v>1.8920900000000001E-2</v>
      </c>
      <c r="V1535">
        <v>-1.8199710000000001E-2</v>
      </c>
      <c r="W1535">
        <v>-8.7791430000000004E-2</v>
      </c>
      <c r="X1535">
        <v>0.99597259999999999</v>
      </c>
      <c r="Y1535">
        <v>-1.4813460000000001E-2</v>
      </c>
      <c r="Z1535">
        <v>-1.313645E-3</v>
      </c>
      <c r="AA1535">
        <v>0.99988940000000004</v>
      </c>
      <c r="AB1535">
        <v>31</v>
      </c>
      <c r="AC1535">
        <v>-22.834999999999901</v>
      </c>
      <c r="AD1535">
        <v>-1.1197271031989999</v>
      </c>
      <c r="AE1535">
        <v>0.13960000000002901</v>
      </c>
      <c r="AF1535">
        <v>-0.34277993436137399</v>
      </c>
      <c r="AG1535">
        <v>-1.1197271031989999</v>
      </c>
      <c r="AH1535">
        <v>22.7780739399917</v>
      </c>
      <c r="AI1535">
        <v>92.813968762468903</v>
      </c>
      <c r="AJ1535">
        <v>90.862160744120501</v>
      </c>
      <c r="AK1535">
        <v>22.808155104803301</v>
      </c>
      <c r="AL1535">
        <v>95.036562385574101</v>
      </c>
      <c r="AM1535">
        <v>91.046866680821196</v>
      </c>
      <c r="AN1535">
        <v>0.99999999228814396</v>
      </c>
    </row>
    <row r="1536" spans="1:40" x14ac:dyDescent="0.25">
      <c r="A1536" t="str">
        <f>"20190303154451683"</f>
        <v>20190303154451683</v>
      </c>
      <c r="B1536" t="str">
        <f>"1551599091672002"</f>
        <v>1551599091672002</v>
      </c>
      <c r="C1536" t="s">
        <v>40</v>
      </c>
      <c r="D1536">
        <v>5.374943</v>
      </c>
      <c r="E1536">
        <v>0.50160559999999998</v>
      </c>
      <c r="F1536" t="s">
        <v>55</v>
      </c>
      <c r="G1536">
        <v>-252.25739999999999</v>
      </c>
      <c r="H1536" s="1">
        <v>-3.3553749999999998E-7</v>
      </c>
      <c r="I1536">
        <v>284.036</v>
      </c>
      <c r="J1536">
        <v>-228.2963</v>
      </c>
      <c r="K1536">
        <v>1.1197360000000001</v>
      </c>
      <c r="L1536">
        <v>283.90300000000002</v>
      </c>
      <c r="M1536">
        <v>-0.9997646</v>
      </c>
      <c r="N1536">
        <v>-4.9821320000000002E-3</v>
      </c>
      <c r="O1536">
        <v>2.111594E-2</v>
      </c>
      <c r="P1536">
        <v>-0.9957646</v>
      </c>
      <c r="Q1536">
        <v>-9.1910759999999994E-2</v>
      </c>
      <c r="R1536">
        <v>2.2971290000000002E-3</v>
      </c>
      <c r="S1536">
        <v>-3.0000610000000001</v>
      </c>
      <c r="T1536">
        <v>-0.1383684</v>
      </c>
      <c r="U1536">
        <v>1.7272949999999999E-2</v>
      </c>
      <c r="V1536">
        <v>-1.872588E-2</v>
      </c>
      <c r="W1536">
        <v>-8.6950319999999998E-2</v>
      </c>
      <c r="X1536">
        <v>0.99603660000000005</v>
      </c>
      <c r="Y1536">
        <v>-1.53238E-2</v>
      </c>
      <c r="Z1536">
        <v>-1.2595379999999999E-3</v>
      </c>
      <c r="AA1536">
        <v>0.99988180000000004</v>
      </c>
      <c r="AB1536">
        <v>31</v>
      </c>
      <c r="AC1536">
        <v>-23.961099999999899</v>
      </c>
      <c r="AD1536">
        <v>-1.1197363355374901</v>
      </c>
      <c r="AE1536">
        <v>0.13299999999998099</v>
      </c>
      <c r="AF1536">
        <v>-0.37218433402955098</v>
      </c>
      <c r="AG1536">
        <v>-1.1197363355374901</v>
      </c>
      <c r="AH1536">
        <v>23.906360080736899</v>
      </c>
      <c r="AI1536">
        <v>92.681359898632294</v>
      </c>
      <c r="AJ1536">
        <v>90.891932894186198</v>
      </c>
      <c r="AK1536">
        <v>23.935462873098398</v>
      </c>
      <c r="AL1536">
        <v>94.988185477949699</v>
      </c>
      <c r="AM1536">
        <v>91.077056314613699</v>
      </c>
      <c r="AN1536">
        <v>0.99999996263471702</v>
      </c>
    </row>
    <row r="1537" spans="1:40" x14ac:dyDescent="0.25">
      <c r="A1537" t="str">
        <f>"20190303154451707"</f>
        <v>20190303154451707</v>
      </c>
      <c r="B1537" t="str">
        <f>"1551599091702255"</f>
        <v>1551599091702255</v>
      </c>
      <c r="C1537" t="s">
        <v>40</v>
      </c>
      <c r="D1537">
        <v>5.3685039999999997</v>
      </c>
      <c r="E1537">
        <v>0.50243260000000001</v>
      </c>
      <c r="F1537" t="s">
        <v>55</v>
      </c>
      <c r="G1537">
        <v>-252.91929999999999</v>
      </c>
      <c r="H1537" s="1">
        <v>1.6733789999999999E-8</v>
      </c>
      <c r="I1537">
        <v>284.03019999999998</v>
      </c>
      <c r="J1537">
        <v>-228.62370000000001</v>
      </c>
      <c r="K1537">
        <v>1.119745</v>
      </c>
      <c r="L1537">
        <v>283.90980000000002</v>
      </c>
      <c r="M1537">
        <v>-0.99976580000000004</v>
      </c>
      <c r="N1537">
        <v>-4.999369E-3</v>
      </c>
      <c r="O1537">
        <v>2.106067E-2</v>
      </c>
      <c r="P1537">
        <v>-0.99579600000000001</v>
      </c>
      <c r="Q1537">
        <v>-9.1552700000000001E-2</v>
      </c>
      <c r="R1537">
        <v>2.9697130000000001E-3</v>
      </c>
      <c r="S1537">
        <v>-3.0001370000000001</v>
      </c>
      <c r="T1537">
        <v>-0.13643179999999999</v>
      </c>
      <c r="U1537">
        <v>1.550293E-2</v>
      </c>
      <c r="V1537">
        <v>-1.7997889999999999E-2</v>
      </c>
      <c r="W1537">
        <v>-8.657513E-2</v>
      </c>
      <c r="X1537">
        <v>0.99608269999999999</v>
      </c>
      <c r="Y1537">
        <v>-1.5859020000000001E-2</v>
      </c>
      <c r="Z1537">
        <v>-1.2519950000000001E-3</v>
      </c>
      <c r="AA1537">
        <v>0.99987349999999997</v>
      </c>
      <c r="AB1537">
        <v>31</v>
      </c>
      <c r="AC1537">
        <v>-24.295599999999901</v>
      </c>
      <c r="AD1537">
        <v>-1.1197449832662001</v>
      </c>
      <c r="AE1537">
        <v>0.12039999999996</v>
      </c>
      <c r="AF1537">
        <v>-0.39048523808963798</v>
      </c>
      <c r="AG1537">
        <v>-1.1197449832662001</v>
      </c>
      <c r="AH1537">
        <v>24.241256285532302</v>
      </c>
      <c r="AI1537">
        <v>92.644367321311705</v>
      </c>
      <c r="AJ1537">
        <v>90.922857340204004</v>
      </c>
      <c r="AK1537">
        <v>24.2702454427139</v>
      </c>
      <c r="AL1537">
        <v>94.966607309391307</v>
      </c>
      <c r="AM1537">
        <v>91.035145914893207</v>
      </c>
      <c r="AN1537">
        <v>0.99999996120912804</v>
      </c>
    </row>
    <row r="1538" spans="1:40" x14ac:dyDescent="0.25">
      <c r="A1538" t="str">
        <f>"20190303154451753"</f>
        <v>20190303154451753</v>
      </c>
      <c r="B1538" t="str">
        <f>"1551599091742271"</f>
        <v>1551599091742271</v>
      </c>
      <c r="C1538" t="s">
        <v>40</v>
      </c>
      <c r="D1538">
        <v>4.0850019999999896</v>
      </c>
      <c r="E1538">
        <v>0.50243260000000001</v>
      </c>
      <c r="F1538" t="s">
        <v>55</v>
      </c>
      <c r="G1538">
        <v>-252.80629999999999</v>
      </c>
      <c r="H1538" s="1">
        <v>-4.3395119999999998E-8</v>
      </c>
      <c r="I1538">
        <v>284.10539999999997</v>
      </c>
      <c r="J1538">
        <v>-229.28120000000001</v>
      </c>
      <c r="K1538">
        <v>1.119783</v>
      </c>
      <c r="L1538">
        <v>283.92349999999999</v>
      </c>
      <c r="M1538">
        <v>-0.99976860000000001</v>
      </c>
      <c r="N1538">
        <v>-5.033966E-3</v>
      </c>
      <c r="O1538">
        <v>2.0916170000000001E-2</v>
      </c>
      <c r="P1538">
        <v>-0.99601269999999997</v>
      </c>
      <c r="Q1538">
        <v>-8.912834E-2</v>
      </c>
      <c r="R1538">
        <v>3.857886E-3</v>
      </c>
      <c r="S1538">
        <v>-2.9998170000000002</v>
      </c>
      <c r="T1538">
        <v>-0.13890250000000001</v>
      </c>
      <c r="U1538">
        <v>2.426147E-2</v>
      </c>
      <c r="V1538">
        <v>-1.6966990000000001E-2</v>
      </c>
      <c r="W1538">
        <v>-8.4115780000000001E-2</v>
      </c>
      <c r="X1538">
        <v>0.99631150000000002</v>
      </c>
      <c r="Y1538">
        <v>-1.279713E-2</v>
      </c>
      <c r="Z1538">
        <v>-1.1909830000000001E-3</v>
      </c>
      <c r="AA1538">
        <v>0.99991739999999996</v>
      </c>
      <c r="AB1538">
        <v>31</v>
      </c>
      <c r="AC1538">
        <v>-23.525099999999899</v>
      </c>
      <c r="AD1538">
        <v>-1.1197830433951199</v>
      </c>
      <c r="AE1538">
        <v>0.18189999999998399</v>
      </c>
      <c r="AF1538">
        <v>-0.30949980475375899</v>
      </c>
      <c r="AG1538">
        <v>-1.1197830433951199</v>
      </c>
      <c r="AH1538">
        <v>23.470583635852702</v>
      </c>
      <c r="AI1538">
        <v>92.731276917819699</v>
      </c>
      <c r="AJ1538">
        <v>90.755499100193902</v>
      </c>
      <c r="AK1538">
        <v>23.499319147604599</v>
      </c>
      <c r="AL1538">
        <v>94.825180824031705</v>
      </c>
      <c r="AM1538">
        <v>90.975641610621494</v>
      </c>
      <c r="AN1538">
        <v>0.99999997411345898</v>
      </c>
    </row>
    <row r="1539" spans="1:40" x14ac:dyDescent="0.25">
      <c r="A1539" t="str">
        <f>"20190303154451839"</f>
        <v>20190303154451839</v>
      </c>
      <c r="B1539" t="str">
        <f>"1551599091832063"</f>
        <v>1551599091832063</v>
      </c>
      <c r="C1539" t="s">
        <v>40</v>
      </c>
      <c r="D1539">
        <v>5.3935009999999997</v>
      </c>
      <c r="E1539">
        <v>0.56049539999999998</v>
      </c>
      <c r="F1539" t="s">
        <v>55</v>
      </c>
      <c r="G1539">
        <v>-254.80779999999999</v>
      </c>
      <c r="H1539" s="1">
        <v>1.021696E-6</v>
      </c>
      <c r="I1539">
        <v>284.15379999999999</v>
      </c>
      <c r="J1539">
        <v>-230.51580000000001</v>
      </c>
      <c r="K1539">
        <v>1.1198140000000001</v>
      </c>
      <c r="L1539">
        <v>283.94880000000001</v>
      </c>
      <c r="M1539">
        <v>-0.99977680000000002</v>
      </c>
      <c r="N1539">
        <v>-5.1008219999999996E-3</v>
      </c>
      <c r="O1539">
        <v>2.0503839999999999E-2</v>
      </c>
      <c r="P1539">
        <v>-0.99627239999999995</v>
      </c>
      <c r="Q1539">
        <v>-8.6227999999999999E-2</v>
      </c>
      <c r="R1539">
        <v>2.4841970000000001E-3</v>
      </c>
      <c r="S1539">
        <v>-3.0001069999999999</v>
      </c>
      <c r="T1539">
        <v>-0.1316061</v>
      </c>
      <c r="U1539">
        <v>2.7069090000000001E-2</v>
      </c>
      <c r="V1539">
        <v>-1.792821E-2</v>
      </c>
      <c r="W1539">
        <v>-8.1149289999999999E-2</v>
      </c>
      <c r="X1539">
        <v>0.99654069999999995</v>
      </c>
      <c r="Y1539">
        <v>-1.1455130000000001E-2</v>
      </c>
      <c r="Z1539">
        <v>-1.074736E-3</v>
      </c>
      <c r="AA1539">
        <v>0.99993379999999998</v>
      </c>
      <c r="AB1539">
        <v>32</v>
      </c>
      <c r="AC1539">
        <v>-24.291999999999899</v>
      </c>
      <c r="AD1539">
        <v>-1.1198129783039901</v>
      </c>
      <c r="AE1539">
        <v>0.204999999999984</v>
      </c>
      <c r="AF1539">
        <v>-0.29250729794976899</v>
      </c>
      <c r="AG1539">
        <v>-1.1198129783039901</v>
      </c>
      <c r="AH1539">
        <v>24.239590288250898</v>
      </c>
      <c r="AI1539">
        <v>92.644859489185606</v>
      </c>
      <c r="AJ1539">
        <v>90.691373905859393</v>
      </c>
      <c r="AK1539">
        <v>24.267205833552399</v>
      </c>
      <c r="AL1539">
        <v>94.654630021084699</v>
      </c>
      <c r="AM1539">
        <v>91.030665348373503</v>
      </c>
      <c r="AN1539">
        <v>0.999999997368899</v>
      </c>
    </row>
    <row r="1540" spans="1:40" x14ac:dyDescent="0.25">
      <c r="A1540" t="str">
        <f>"20190303154451861"</f>
        <v>20190303154451861</v>
      </c>
      <c r="B1540" t="str">
        <f>"1551599091851583"</f>
        <v>1551599091851583</v>
      </c>
      <c r="C1540" t="s">
        <v>40</v>
      </c>
      <c r="D1540">
        <v>5.3991509999999998</v>
      </c>
      <c r="E1540">
        <v>0.55386009999999997</v>
      </c>
      <c r="F1540" t="s">
        <v>58</v>
      </c>
      <c r="G1540">
        <v>-510.97489999999999</v>
      </c>
      <c r="H1540">
        <v>64.078580000000002</v>
      </c>
      <c r="I1540">
        <v>326.11470000000003</v>
      </c>
      <c r="J1540">
        <v>-230.82480000000001</v>
      </c>
      <c r="K1540">
        <v>1.119821</v>
      </c>
      <c r="L1540">
        <v>283.95499999999998</v>
      </c>
      <c r="M1540">
        <v>-0.99977919999999998</v>
      </c>
      <c r="N1540">
        <v>-5.1176670000000002E-3</v>
      </c>
      <c r="O1540">
        <v>2.0385629999999998E-2</v>
      </c>
      <c r="P1540">
        <v>-0.99616070000000001</v>
      </c>
      <c r="Q1540">
        <v>-8.7506730000000005E-2</v>
      </c>
      <c r="R1540">
        <v>2.555075E-3</v>
      </c>
      <c r="S1540">
        <v>-3.0697019999999999</v>
      </c>
      <c r="T1540">
        <v>0.68910130000000003</v>
      </c>
      <c r="U1540">
        <v>0.46151730000000002</v>
      </c>
      <c r="V1540">
        <v>-1.77363E-2</v>
      </c>
      <c r="W1540">
        <v>-8.2411929999999994E-2</v>
      </c>
      <c r="X1540">
        <v>0.99644049999999995</v>
      </c>
      <c r="Y1540">
        <v>0.12601119999999999</v>
      </c>
      <c r="Z1540">
        <v>-8.9704190000000003E-3</v>
      </c>
      <c r="AA1540">
        <v>0.99198819999999999</v>
      </c>
      <c r="AB1540">
        <v>32</v>
      </c>
      <c r="AC1540">
        <v>-280.15009999999899</v>
      </c>
      <c r="AD1540">
        <v>62.958758999999901</v>
      </c>
      <c r="AE1540">
        <v>42.159700000000001</v>
      </c>
      <c r="AF1540">
        <v>34.724899942896101</v>
      </c>
      <c r="AG1540">
        <v>62.958758999999901</v>
      </c>
      <c r="AH1540">
        <v>267.72923487444803</v>
      </c>
      <c r="AI1540">
        <v>76.872953186327905</v>
      </c>
      <c r="AJ1540">
        <v>82.609903578671506</v>
      </c>
      <c r="AK1540">
        <v>277.21574128703702</v>
      </c>
      <c r="AL1540">
        <v>94.727217162655805</v>
      </c>
      <c r="AM1540">
        <v>91.019737588779904</v>
      </c>
      <c r="AN1540">
        <v>0.99999998629213205</v>
      </c>
    </row>
    <row r="1541" spans="1:40" x14ac:dyDescent="0.25">
      <c r="A1541" t="str">
        <f>"20190303154451885"</f>
        <v>20190303154451885</v>
      </c>
      <c r="B1541" t="str">
        <f>"1551599091881839"</f>
        <v>1551599091881839</v>
      </c>
      <c r="C1541" t="s">
        <v>40</v>
      </c>
      <c r="D1541">
        <v>5.2036309999999997</v>
      </c>
      <c r="E1541">
        <v>0.53531099999999998</v>
      </c>
      <c r="F1541" t="s">
        <v>59</v>
      </c>
      <c r="G1541">
        <v>-459.875</v>
      </c>
      <c r="H1541">
        <v>36.680019999999999</v>
      </c>
      <c r="I1541">
        <v>315.10449999999997</v>
      </c>
      <c r="J1541">
        <v>-231.17320000000001</v>
      </c>
      <c r="K1541">
        <v>1.1198239999999999</v>
      </c>
      <c r="L1541">
        <v>283.96199999999999</v>
      </c>
      <c r="M1541">
        <v>-0.9997819</v>
      </c>
      <c r="N1541">
        <v>-5.1366169999999996E-3</v>
      </c>
      <c r="O1541">
        <v>2.024894E-2</v>
      </c>
      <c r="P1541">
        <v>-0.99615500000000001</v>
      </c>
      <c r="Q1541">
        <v>-8.7556300000000004E-2</v>
      </c>
      <c r="R1541">
        <v>3.0597979999999999E-3</v>
      </c>
      <c r="S1541">
        <v>-3.0521240000000001</v>
      </c>
      <c r="T1541">
        <v>0.4738443</v>
      </c>
      <c r="U1541">
        <v>0.41506959999999998</v>
      </c>
      <c r="V1541">
        <v>-1.7094809999999998E-2</v>
      </c>
      <c r="W1541">
        <v>-8.2442600000000005E-2</v>
      </c>
      <c r="X1541">
        <v>0.99644920000000003</v>
      </c>
      <c r="Y1541">
        <v>0.1136248</v>
      </c>
      <c r="Z1541">
        <v>-5.2207699999999996E-3</v>
      </c>
      <c r="AA1541">
        <v>0.99351</v>
      </c>
      <c r="AB1541">
        <v>32</v>
      </c>
      <c r="AC1541">
        <v>-228.70179999999999</v>
      </c>
      <c r="AD1541">
        <v>35.560195999999998</v>
      </c>
      <c r="AE1541">
        <v>31.142499999999899</v>
      </c>
      <c r="AF1541">
        <v>25.8905437151376</v>
      </c>
      <c r="AG1541">
        <v>35.560195999999998</v>
      </c>
      <c r="AH1541">
        <v>223.96935221288899</v>
      </c>
      <c r="AI1541">
        <v>81.037014823836699</v>
      </c>
      <c r="AJ1541">
        <v>83.405956270727401</v>
      </c>
      <c r="AK1541">
        <v>228.24793213539701</v>
      </c>
      <c r="AL1541">
        <v>94.728980304982002</v>
      </c>
      <c r="AM1541">
        <v>90.982854309365393</v>
      </c>
      <c r="AN1541">
        <v>1.0000000115021599</v>
      </c>
    </row>
    <row r="1542" spans="1:40" x14ac:dyDescent="0.25">
      <c r="A1542" t="str">
        <f>"20190303154451906"</f>
        <v>20190303154451906</v>
      </c>
      <c r="B1542" t="str">
        <f>"1551599091902335"</f>
        <v>1551599091902335</v>
      </c>
      <c r="C1542" t="s">
        <v>40</v>
      </c>
      <c r="D1542">
        <v>5.2895450000000004</v>
      </c>
      <c r="E1542">
        <v>0.53078080000000005</v>
      </c>
      <c r="F1542" t="s">
        <v>57</v>
      </c>
      <c r="G1542">
        <v>-289.75630000000001</v>
      </c>
      <c r="H1542" s="1">
        <v>3.0637169999999998E-6</v>
      </c>
      <c r="I1542">
        <v>289.51400000000001</v>
      </c>
      <c r="J1542">
        <v>-231.47800000000001</v>
      </c>
      <c r="K1542">
        <v>1.119831</v>
      </c>
      <c r="L1542">
        <v>283.96809999999999</v>
      </c>
      <c r="M1542">
        <v>-0.99978420000000001</v>
      </c>
      <c r="N1542">
        <v>-5.1530600000000001E-3</v>
      </c>
      <c r="O1542">
        <v>2.0128179999999999E-2</v>
      </c>
      <c r="P1542">
        <v>-0.99617869999999997</v>
      </c>
      <c r="Q1542">
        <v>-8.7234619999999999E-2</v>
      </c>
      <c r="R1542">
        <v>4.2370560000000003E-3</v>
      </c>
      <c r="S1542">
        <v>-3.005646</v>
      </c>
      <c r="T1542">
        <v>-5.7453160000000003E-2</v>
      </c>
      <c r="U1542">
        <v>0.28485110000000002</v>
      </c>
      <c r="V1542">
        <v>-1.5798099999999999E-2</v>
      </c>
      <c r="W1542">
        <v>-8.2104120000000003E-2</v>
      </c>
      <c r="X1542">
        <v>0.99649849999999995</v>
      </c>
      <c r="Y1542">
        <v>7.4276320000000007E-2</v>
      </c>
      <c r="Z1542">
        <v>6.1984140000000002E-4</v>
      </c>
      <c r="AA1542">
        <v>0.9972375</v>
      </c>
      <c r="AB1542">
        <v>32</v>
      </c>
      <c r="AC1542">
        <v>-58.278300000000002</v>
      </c>
      <c r="AD1542">
        <v>-1.1198279362829999</v>
      </c>
      <c r="AE1542">
        <v>5.5459000000000103</v>
      </c>
      <c r="AF1542">
        <v>4.37012574053007</v>
      </c>
      <c r="AG1542">
        <v>-1.1198279362829999</v>
      </c>
      <c r="AH1542">
        <v>58.356770004810102</v>
      </c>
      <c r="AI1542">
        <v>91.096264448397406</v>
      </c>
      <c r="AJ1542">
        <v>85.717321736671394</v>
      </c>
      <c r="AK1542">
        <v>58.530886026005298</v>
      </c>
      <c r="AL1542">
        <v>94.709521084862004</v>
      </c>
      <c r="AM1542">
        <v>90.9082689356663</v>
      </c>
      <c r="AN1542">
        <v>0.99999996349341602</v>
      </c>
    </row>
    <row r="1543" spans="1:40" x14ac:dyDescent="0.25">
      <c r="A1543" t="str">
        <f>"20190303154451929"</f>
        <v>20190303154451929</v>
      </c>
      <c r="B1543" t="str">
        <f>"1551599091921855"</f>
        <v>1551599091921855</v>
      </c>
      <c r="C1543" t="s">
        <v>40</v>
      </c>
      <c r="D1543">
        <v>5.3487269999999896</v>
      </c>
      <c r="E1543">
        <v>0.52525809999999995</v>
      </c>
      <c r="F1543" t="s">
        <v>55</v>
      </c>
      <c r="G1543">
        <v>-254.90010000000001</v>
      </c>
      <c r="H1543" s="1">
        <v>1.070785E-6</v>
      </c>
      <c r="I1543">
        <v>285.9597</v>
      </c>
      <c r="J1543">
        <v>-231.8192</v>
      </c>
      <c r="K1543">
        <v>1.1198360000000001</v>
      </c>
      <c r="L1543">
        <v>283.97489999999999</v>
      </c>
      <c r="M1543">
        <v>-0.99978690000000003</v>
      </c>
      <c r="N1543">
        <v>-5.1714259999999998E-3</v>
      </c>
      <c r="O1543">
        <v>1.9992820000000001E-2</v>
      </c>
      <c r="P1543">
        <v>-0.9962415</v>
      </c>
      <c r="Q1543">
        <v>-8.6398210000000003E-2</v>
      </c>
      <c r="R1543">
        <v>6.2280399999999998E-3</v>
      </c>
      <c r="S1543">
        <v>-2.9978639999999999</v>
      </c>
      <c r="T1543">
        <v>-0.1433306</v>
      </c>
      <c r="U1543">
        <v>0.25491329999999901</v>
      </c>
      <c r="V1543">
        <v>-1.367312E-2</v>
      </c>
      <c r="W1543">
        <v>-8.1248479999999998E-2</v>
      </c>
      <c r="X1543">
        <v>0.99660009999999999</v>
      </c>
      <c r="Y1543">
        <v>6.4724450000000003E-2</v>
      </c>
      <c r="Z1543">
        <v>8.6118960000000004E-4</v>
      </c>
      <c r="AA1543">
        <v>0.99790279999999998</v>
      </c>
      <c r="AB1543">
        <v>33</v>
      </c>
      <c r="AC1543">
        <v>-23.0809</v>
      </c>
      <c r="AD1543">
        <v>-1.1198349292150001</v>
      </c>
      <c r="AE1543">
        <v>1.9847999999999999</v>
      </c>
      <c r="AF1543">
        <v>1.5193945266784701</v>
      </c>
      <c r="AG1543">
        <v>-1.1198349292150001</v>
      </c>
      <c r="AH1543">
        <v>23.062079679654101</v>
      </c>
      <c r="AI1543">
        <v>92.773947049956305</v>
      </c>
      <c r="AJ1543">
        <v>86.230640652845395</v>
      </c>
      <c r="AK1543">
        <v>23.1391898982464</v>
      </c>
      <c r="AL1543">
        <v>94.660331937839501</v>
      </c>
      <c r="AM1543">
        <v>90.786035361552194</v>
      </c>
      <c r="AN1543">
        <v>1.0000000145164201</v>
      </c>
    </row>
    <row r="1544" spans="1:40" x14ac:dyDescent="0.25">
      <c r="A1544" t="str">
        <f>"20190303154451954"</f>
        <v>20190303154451954</v>
      </c>
      <c r="B1544" t="str">
        <f>"1551599091942352"</f>
        <v>1551599091942352</v>
      </c>
      <c r="C1544" t="s">
        <v>40</v>
      </c>
      <c r="D1544">
        <v>5.4080659999999998</v>
      </c>
      <c r="E1544">
        <v>0.52128730000000001</v>
      </c>
      <c r="F1544" t="s">
        <v>42</v>
      </c>
      <c r="G1544">
        <v>-232.726</v>
      </c>
      <c r="H1544">
        <v>1.0534939999999999</v>
      </c>
      <c r="I1544">
        <v>284.04149999999998</v>
      </c>
      <c r="J1544">
        <v>-232.17519999999999</v>
      </c>
      <c r="K1544">
        <v>1.1198410000000001</v>
      </c>
      <c r="L1544">
        <v>283.9819</v>
      </c>
      <c r="M1544">
        <v>-0.9997895</v>
      </c>
      <c r="N1544">
        <v>-5.1907769999999997E-3</v>
      </c>
      <c r="O1544">
        <v>1.9849869999999999E-2</v>
      </c>
      <c r="P1544">
        <v>-0.9962512</v>
      </c>
      <c r="Q1544">
        <v>-8.6179110000000003E-2</v>
      </c>
      <c r="R1544">
        <v>7.5357139999999998E-3</v>
      </c>
      <c r="S1544">
        <v>-2.990936</v>
      </c>
      <c r="T1544">
        <v>-0.21899959999999999</v>
      </c>
      <c r="U1544">
        <v>0.21905520000000001</v>
      </c>
      <c r="V1544">
        <v>-1.222299E-2</v>
      </c>
      <c r="W1544">
        <v>-8.1009689999999995E-2</v>
      </c>
      <c r="X1544">
        <v>0.99663840000000004</v>
      </c>
      <c r="Y1544">
        <v>5.3126609999999998E-2</v>
      </c>
      <c r="Z1544">
        <v>7.3165000000000003E-4</v>
      </c>
      <c r="AA1544">
        <v>0.99858749999999996</v>
      </c>
      <c r="AB1544">
        <v>33</v>
      </c>
      <c r="AC1544">
        <v>-0.55080000000000895</v>
      </c>
      <c r="AD1544">
        <v>-6.6346999999999906E-2</v>
      </c>
      <c r="AE1544">
        <v>5.9599999999989002E-2</v>
      </c>
      <c r="AF1544">
        <v>4.7966876737844798E-2</v>
      </c>
      <c r="AG1544">
        <v>-6.6346999999999906E-2</v>
      </c>
      <c r="AH1544">
        <v>0.54407165409129299</v>
      </c>
      <c r="AI1544">
        <v>96.926022911821207</v>
      </c>
      <c r="AJ1544">
        <v>84.961670861341901</v>
      </c>
      <c r="AK1544">
        <v>0.55019697423615399</v>
      </c>
      <c r="AL1544">
        <v>94.646604930095194</v>
      </c>
      <c r="AM1544">
        <v>90.702652668170103</v>
      </c>
      <c r="AN1544">
        <v>1.00000003585649</v>
      </c>
    </row>
    <row r="1545" spans="1:40" x14ac:dyDescent="0.25">
      <c r="A1545" t="str">
        <f>"20190303154451977"</f>
        <v>20190303154451977</v>
      </c>
      <c r="B1545" t="str">
        <f>"1551599091972607"</f>
        <v>1551599091972607</v>
      </c>
      <c r="C1545" t="s">
        <v>40</v>
      </c>
      <c r="D1545">
        <v>5.2620310000000003</v>
      </c>
      <c r="E1545">
        <v>0.51908480000000001</v>
      </c>
      <c r="F1545" t="s">
        <v>42</v>
      </c>
      <c r="G1545">
        <v>-233.0155</v>
      </c>
      <c r="H1545">
        <v>1.048028</v>
      </c>
      <c r="I1545">
        <v>284.03629999999998</v>
      </c>
      <c r="J1545">
        <v>-232.51410000000001</v>
      </c>
      <c r="K1545">
        <v>1.1198440000000001</v>
      </c>
      <c r="L1545">
        <v>283.98849999999999</v>
      </c>
      <c r="M1545">
        <v>-0.99979229999999997</v>
      </c>
      <c r="N1545">
        <v>-5.2092609999999998E-3</v>
      </c>
      <c r="O1545">
        <v>1.9707929999999999E-2</v>
      </c>
      <c r="P1545">
        <v>-0.99625459999999999</v>
      </c>
      <c r="Q1545">
        <v>-8.6027880000000001E-2</v>
      </c>
      <c r="R1545">
        <v>8.7344339999999993E-3</v>
      </c>
      <c r="S1545">
        <v>-2.987717</v>
      </c>
      <c r="T1545">
        <v>-0.2555501</v>
      </c>
      <c r="U1545">
        <v>0.19241330000000001</v>
      </c>
      <c r="V1545">
        <v>-1.0882019999999999E-2</v>
      </c>
      <c r="W1545">
        <v>-8.0839720000000004E-2</v>
      </c>
      <c r="X1545">
        <v>0.99666770000000005</v>
      </c>
      <c r="Y1545">
        <v>4.4479959999999999E-2</v>
      </c>
      <c r="Z1545">
        <v>4.3490830000000001E-4</v>
      </c>
      <c r="AA1545">
        <v>0.99901019999999896</v>
      </c>
      <c r="AB1545">
        <v>33</v>
      </c>
      <c r="AC1545">
        <v>-0.50139999999998897</v>
      </c>
      <c r="AD1545">
        <v>-7.1816000000000102E-2</v>
      </c>
      <c r="AE1545">
        <v>4.7799999999995103E-2</v>
      </c>
      <c r="AF1545">
        <v>3.7153679954935598E-2</v>
      </c>
      <c r="AG1545">
        <v>-7.1816000000000102E-2</v>
      </c>
      <c r="AH1545">
        <v>0.49223731716261498</v>
      </c>
      <c r="AI1545">
        <v>98.277504930860204</v>
      </c>
      <c r="AJ1545">
        <v>85.683544967350002</v>
      </c>
      <c r="AK1545">
        <v>0.49883415099373701</v>
      </c>
      <c r="AL1545">
        <v>94.636834527647693</v>
      </c>
      <c r="AM1545">
        <v>90.625553576647803</v>
      </c>
      <c r="AN1545">
        <v>0.99999999145612395</v>
      </c>
    </row>
    <row r="1546" spans="1:40" x14ac:dyDescent="0.25">
      <c r="A1546" t="str">
        <f>"20190303154451996"</f>
        <v>20190303154451996</v>
      </c>
      <c r="B1546" t="str">
        <f>"1551599091992127"</f>
        <v>1551599091992127</v>
      </c>
      <c r="C1546" t="s">
        <v>40</v>
      </c>
      <c r="D1546">
        <v>5.3000350000000003</v>
      </c>
      <c r="E1546">
        <v>0.51847790000000005</v>
      </c>
      <c r="F1546" t="s">
        <v>42</v>
      </c>
      <c r="G1546">
        <v>-233.31</v>
      </c>
      <c r="H1546">
        <v>1.047358</v>
      </c>
      <c r="I1546">
        <v>284.03620000000001</v>
      </c>
      <c r="J1546">
        <v>-232.79</v>
      </c>
      <c r="K1546">
        <v>1.119847</v>
      </c>
      <c r="L1546">
        <v>283.99380000000002</v>
      </c>
      <c r="M1546">
        <v>-0.99979470000000004</v>
      </c>
      <c r="N1546">
        <v>-5.2243419999999999E-3</v>
      </c>
      <c r="O1546">
        <v>1.9582309999999999E-2</v>
      </c>
      <c r="P1546">
        <v>-0.99621870000000001</v>
      </c>
      <c r="Q1546">
        <v>-8.6424269999999997E-2</v>
      </c>
      <c r="R1546">
        <v>8.9063419999999994E-3</v>
      </c>
      <c r="S1546">
        <v>-2.986237</v>
      </c>
      <c r="T1546">
        <v>-0.2719876</v>
      </c>
      <c r="U1546">
        <v>0.178894</v>
      </c>
      <c r="V1546">
        <v>-1.058276E-2</v>
      </c>
      <c r="W1546">
        <v>-8.1221360000000006E-2</v>
      </c>
      <c r="X1546">
        <v>0.99663990000000002</v>
      </c>
      <c r="Y1546">
        <v>4.0136669999999999E-2</v>
      </c>
      <c r="Z1546">
        <v>2.5168420000000003E-4</v>
      </c>
      <c r="AA1546">
        <v>0.99919409999999997</v>
      </c>
      <c r="AB1546">
        <v>33</v>
      </c>
      <c r="AC1546">
        <v>-0.52000000000001001</v>
      </c>
      <c r="AD1546">
        <v>-7.2488999999999998E-2</v>
      </c>
      <c r="AE1546">
        <v>4.23999999999864E-2</v>
      </c>
      <c r="AF1546">
        <v>3.1598927313569197E-2</v>
      </c>
      <c r="AG1546">
        <v>-7.2488999999999998E-2</v>
      </c>
      <c r="AH1546">
        <v>0.51086850129345296</v>
      </c>
      <c r="AI1546">
        <v>98.060793604732496</v>
      </c>
      <c r="AJ1546">
        <v>86.460573357563405</v>
      </c>
      <c r="AK1546">
        <v>0.51695238943464294</v>
      </c>
      <c r="AL1546">
        <v>94.658773004600803</v>
      </c>
      <c r="AM1546">
        <v>90.608368876591996</v>
      </c>
      <c r="AN1546">
        <v>0.99999999720073796</v>
      </c>
    </row>
    <row r="1547" spans="1:40" x14ac:dyDescent="0.25">
      <c r="A1547" t="str">
        <f>"20190303154452018"</f>
        <v>20190303154452018</v>
      </c>
      <c r="B1547" t="str">
        <f>"1551599092011647"</f>
        <v>1551599092011647</v>
      </c>
      <c r="C1547" t="s">
        <v>40</v>
      </c>
      <c r="D1547">
        <v>5.2564060000000001</v>
      </c>
      <c r="E1547">
        <v>0.51725759999999998</v>
      </c>
      <c r="F1547" t="s">
        <v>42</v>
      </c>
      <c r="G1547">
        <v>-233.60329999999999</v>
      </c>
      <c r="H1547">
        <v>1.0435730000000001</v>
      </c>
      <c r="I1547">
        <v>284.04160000000002</v>
      </c>
      <c r="J1547">
        <v>-233.12989999999999</v>
      </c>
      <c r="K1547">
        <v>1.1198600000000001</v>
      </c>
      <c r="L1547">
        <v>284.00029999999998</v>
      </c>
      <c r="M1547">
        <v>-0.99979799999999996</v>
      </c>
      <c r="N1547">
        <v>-5.2428830000000003E-3</v>
      </c>
      <c r="O1547">
        <v>1.9409659999999999E-2</v>
      </c>
      <c r="P1547">
        <v>-0.99617639999999996</v>
      </c>
      <c r="Q1547">
        <v>-8.6964620000000006E-2</v>
      </c>
      <c r="R1547">
        <v>8.3908519999999903E-3</v>
      </c>
      <c r="S1547">
        <v>-2.985535</v>
      </c>
      <c r="T1547">
        <v>-0.28009400000000001</v>
      </c>
      <c r="U1547">
        <v>0.17477419999999999</v>
      </c>
      <c r="V1547">
        <v>-1.0922080000000001E-2</v>
      </c>
      <c r="W1547">
        <v>-8.1743960000000004E-2</v>
      </c>
      <c r="X1547">
        <v>0.99659350000000002</v>
      </c>
      <c r="Y1547">
        <v>3.8948200000000002E-2</v>
      </c>
      <c r="Z1547">
        <v>2.1027980000000001E-4</v>
      </c>
      <c r="AA1547">
        <v>0.99924120000000005</v>
      </c>
      <c r="AB1547">
        <v>33</v>
      </c>
      <c r="AC1547">
        <v>-0.47339999999999799</v>
      </c>
      <c r="AD1547">
        <v>-7.6287000000000202E-2</v>
      </c>
      <c r="AE1547">
        <v>4.1300000000035197E-2</v>
      </c>
      <c r="AF1547">
        <v>3.1296969310118897E-2</v>
      </c>
      <c r="AG1547">
        <v>-7.6287000000000202E-2</v>
      </c>
      <c r="AH1547">
        <v>0.462200517362507</v>
      </c>
      <c r="AI1547">
        <v>99.351237141103496</v>
      </c>
      <c r="AJ1547">
        <v>86.126245882925502</v>
      </c>
      <c r="AK1547">
        <v>0.46949816283683998</v>
      </c>
      <c r="AL1547">
        <v>94.688815733346601</v>
      </c>
      <c r="AM1547">
        <v>90.627902986587401</v>
      </c>
      <c r="AN1547">
        <v>0.99999998553512803</v>
      </c>
    </row>
    <row r="1548" spans="1:40" x14ac:dyDescent="0.25">
      <c r="A1548" t="str">
        <f>"20190303154452040"</f>
        <v>20190303154452040</v>
      </c>
      <c r="B1548" t="str">
        <f>"1551599092032144"</f>
        <v>1551599092032144</v>
      </c>
      <c r="C1548" t="s">
        <v>40</v>
      </c>
      <c r="D1548">
        <v>5.2727240000000002</v>
      </c>
      <c r="E1548">
        <v>0.51644409999999996</v>
      </c>
      <c r="F1548" t="s">
        <v>42</v>
      </c>
      <c r="G1548">
        <v>-233.9014</v>
      </c>
      <c r="H1548">
        <v>1.0455209999999999</v>
      </c>
      <c r="I1548">
        <v>284.04259999999999</v>
      </c>
      <c r="J1548">
        <v>-233.45599999999999</v>
      </c>
      <c r="K1548">
        <v>1.119875</v>
      </c>
      <c r="L1548">
        <v>284.00650000000002</v>
      </c>
      <c r="M1548">
        <v>-0.99980150000000001</v>
      </c>
      <c r="N1548">
        <v>-5.2607699999999997E-3</v>
      </c>
      <c r="O1548">
        <v>1.9220000000000001E-2</v>
      </c>
      <c r="P1548">
        <v>-0.99617420000000001</v>
      </c>
      <c r="Q1548">
        <v>-8.7087059999999994E-2</v>
      </c>
      <c r="R1548">
        <v>7.2847600000000004E-3</v>
      </c>
      <c r="S1548">
        <v>-2.9850310000000002</v>
      </c>
      <c r="T1548">
        <v>-0.28767870000000001</v>
      </c>
      <c r="U1548">
        <v>0.16345209999999999</v>
      </c>
      <c r="V1548">
        <v>-1.1834860000000001E-2</v>
      </c>
      <c r="W1548">
        <v>-8.1849519999999995E-2</v>
      </c>
      <c r="X1548">
        <v>0.99657439999999997</v>
      </c>
      <c r="Y1548">
        <v>3.5380699999999897E-2</v>
      </c>
      <c r="Z1548" s="1">
        <v>4.7556119999999998E-5</v>
      </c>
      <c r="AA1548">
        <v>0.99937390000000004</v>
      </c>
      <c r="AB1548">
        <v>33</v>
      </c>
      <c r="AC1548">
        <v>-0.44540000000000601</v>
      </c>
      <c r="AD1548">
        <v>-7.4354000000000003E-2</v>
      </c>
      <c r="AE1548">
        <v>3.60999999999762E-2</v>
      </c>
      <c r="AF1548">
        <v>2.6790885495981399E-2</v>
      </c>
      <c r="AG1548">
        <v>-7.4354000000000003E-2</v>
      </c>
      <c r="AH1548">
        <v>0.43399584412060699</v>
      </c>
      <c r="AI1548">
        <v>99.703651281086394</v>
      </c>
      <c r="AJ1548">
        <v>86.467571455132699</v>
      </c>
      <c r="AK1548">
        <v>0.44113338297573601</v>
      </c>
      <c r="AL1548">
        <v>94.694884278247898</v>
      </c>
      <c r="AM1548">
        <v>90.6803863868831</v>
      </c>
      <c r="AN1548">
        <v>0.99999997128540397</v>
      </c>
    </row>
    <row r="1549" spans="1:40" x14ac:dyDescent="0.25">
      <c r="A1549" t="str">
        <f>"20190303154452063"</f>
        <v>20190303154452063</v>
      </c>
      <c r="B1549" t="str">
        <f>"1551599092051667"</f>
        <v>1551599092051667</v>
      </c>
      <c r="C1549" t="s">
        <v>40</v>
      </c>
      <c r="D1549">
        <v>5.2673139999999998</v>
      </c>
      <c r="E1549">
        <v>0.51571230000000001</v>
      </c>
      <c r="F1549" t="s">
        <v>42</v>
      </c>
      <c r="G1549">
        <v>-234.20070000000001</v>
      </c>
      <c r="H1549">
        <v>1.046821</v>
      </c>
      <c r="I1549">
        <v>284.04500000000002</v>
      </c>
      <c r="J1549">
        <v>-233.792</v>
      </c>
      <c r="K1549">
        <v>1.1198980000000001</v>
      </c>
      <c r="L1549">
        <v>284.01280000000003</v>
      </c>
      <c r="M1549">
        <v>-0.99980570000000002</v>
      </c>
      <c r="N1549">
        <v>-5.2793359999999999E-3</v>
      </c>
      <c r="O1549">
        <v>1.8996559999999999E-2</v>
      </c>
      <c r="P1549">
        <v>-0.99619880000000005</v>
      </c>
      <c r="Q1549">
        <v>-8.6941470000000007E-2</v>
      </c>
      <c r="R1549">
        <v>5.4186829999999997E-3</v>
      </c>
      <c r="S1549">
        <v>-2.9847869999999999</v>
      </c>
      <c r="T1549">
        <v>-0.29295349999999998</v>
      </c>
      <c r="U1549">
        <v>0.1539307</v>
      </c>
      <c r="V1549">
        <v>-1.3474470000000001E-2</v>
      </c>
      <c r="W1549">
        <v>-8.1686819999999993E-2</v>
      </c>
      <c r="X1549">
        <v>0.99656699999999998</v>
      </c>
      <c r="Y1549">
        <v>3.244002E-2</v>
      </c>
      <c r="Z1549" s="1">
        <v>-8.5454899999999994E-5</v>
      </c>
      <c r="AA1549">
        <v>0.99947370000000002</v>
      </c>
      <c r="AB1549">
        <v>33</v>
      </c>
      <c r="AC1549">
        <v>-0.40870000000001</v>
      </c>
      <c r="AD1549">
        <v>-7.3077000000000003E-2</v>
      </c>
      <c r="AE1549">
        <v>3.2199999999988897E-2</v>
      </c>
      <c r="AF1549">
        <v>2.36778599090233E-2</v>
      </c>
      <c r="AG1549">
        <v>-7.3077000000000003E-2</v>
      </c>
      <c r="AH1549">
        <v>0.39663545945687301</v>
      </c>
      <c r="AI1549">
        <v>100.42108718030499</v>
      </c>
      <c r="AJ1549">
        <v>86.583680836876397</v>
      </c>
      <c r="AK1549">
        <v>0.40400566416504102</v>
      </c>
      <c r="AL1549">
        <v>94.685530603163002</v>
      </c>
      <c r="AM1549">
        <v>90.774642569194697</v>
      </c>
      <c r="AN1549">
        <v>1.00000004169624</v>
      </c>
    </row>
    <row r="1550" spans="1:40" x14ac:dyDescent="0.25">
      <c r="A1550" t="str">
        <f>"20190303154452085"</f>
        <v>20190303154452085</v>
      </c>
      <c r="B1550" t="str">
        <f>"1551599092081920"</f>
        <v>1551599092081920</v>
      </c>
      <c r="C1550" t="s">
        <v>40</v>
      </c>
      <c r="D1550">
        <v>5.3211950000000003</v>
      </c>
      <c r="E1550">
        <v>0.51479819999999998</v>
      </c>
      <c r="F1550" t="s">
        <v>42</v>
      </c>
      <c r="G1550">
        <v>-234.78460000000001</v>
      </c>
      <c r="H1550">
        <v>1.0198879999999999</v>
      </c>
      <c r="I1550">
        <v>284.06040000000002</v>
      </c>
      <c r="J1550">
        <v>-234.1388</v>
      </c>
      <c r="K1550">
        <v>1.1199140000000001</v>
      </c>
      <c r="L1550">
        <v>284.01909999999998</v>
      </c>
      <c r="M1550">
        <v>-0.99981050000000005</v>
      </c>
      <c r="N1550">
        <v>-5.2983550000000003E-3</v>
      </c>
      <c r="O1550">
        <v>1.8736530000000001E-2</v>
      </c>
      <c r="P1550">
        <v>-0.99622650000000001</v>
      </c>
      <c r="Q1550">
        <v>-8.6705980000000002E-2</v>
      </c>
      <c r="R1550">
        <v>3.8638309999999999E-3</v>
      </c>
      <c r="S1550">
        <v>-2.9844059999999999</v>
      </c>
      <c r="T1550">
        <v>-0.300822599999999</v>
      </c>
      <c r="U1550">
        <v>0.14263919999999999</v>
      </c>
      <c r="V1550">
        <v>-1.476541E-2</v>
      </c>
      <c r="W1550">
        <v>-8.1433740000000004E-2</v>
      </c>
      <c r="X1550">
        <v>0.99656940000000005</v>
      </c>
      <c r="Y1550">
        <v>2.8947460000000001E-2</v>
      </c>
      <c r="Z1550">
        <v>-2.52131E-4</v>
      </c>
      <c r="AA1550">
        <v>0.99958089999999999</v>
      </c>
      <c r="AB1550">
        <v>33</v>
      </c>
      <c r="AC1550">
        <v>-0.64580000000000803</v>
      </c>
      <c r="AD1550">
        <v>-0.100025999999999</v>
      </c>
      <c r="AE1550">
        <v>4.1300000000035197E-2</v>
      </c>
      <c r="AF1550">
        <v>2.8511329917276201E-2</v>
      </c>
      <c r="AG1550">
        <v>-0.100025999999999</v>
      </c>
      <c r="AH1550">
        <v>0.631375475408262</v>
      </c>
      <c r="AI1550">
        <v>98.993282281303607</v>
      </c>
      <c r="AJ1550">
        <v>87.414423119853893</v>
      </c>
      <c r="AK1550">
        <v>0.63988521436009205</v>
      </c>
      <c r="AL1550">
        <v>94.670981817664995</v>
      </c>
      <c r="AM1550">
        <v>90.848845829851797</v>
      </c>
      <c r="AN1550">
        <v>1.0000000201796</v>
      </c>
    </row>
    <row r="1551" spans="1:40" x14ac:dyDescent="0.25">
      <c r="A1551" t="str">
        <f>"20190303154452108"</f>
        <v>20190303154452108</v>
      </c>
      <c r="B1551" t="str">
        <f>"1551599092102415"</f>
        <v>1551599092102415</v>
      </c>
      <c r="C1551" t="s">
        <v>40</v>
      </c>
      <c r="D1551">
        <v>5.3008319999999998</v>
      </c>
      <c r="E1551">
        <v>0.51426170000000004</v>
      </c>
      <c r="F1551" t="s">
        <v>42</v>
      </c>
      <c r="G1551">
        <v>-235.0866</v>
      </c>
      <c r="H1551">
        <v>1.0223899999999999</v>
      </c>
      <c r="I1551">
        <v>284.0607</v>
      </c>
      <c r="J1551">
        <v>-234.46979999999999</v>
      </c>
      <c r="K1551">
        <v>1.1199269999999999</v>
      </c>
      <c r="L1551">
        <v>284.02499999999998</v>
      </c>
      <c r="M1551">
        <v>-0.99981549999999997</v>
      </c>
      <c r="N1551">
        <v>-5.3165130000000001E-3</v>
      </c>
      <c r="O1551">
        <v>1.8466460000000001E-2</v>
      </c>
      <c r="P1551">
        <v>-0.99622129999999998</v>
      </c>
      <c r="Q1551">
        <v>-8.6799020000000005E-2</v>
      </c>
      <c r="R1551">
        <v>3.0696249999999999E-3</v>
      </c>
      <c r="S1551">
        <v>-2.9841160000000002</v>
      </c>
      <c r="T1551">
        <v>-0.30702629999999997</v>
      </c>
      <c r="U1551">
        <v>0.13076779999999999</v>
      </c>
      <c r="V1551">
        <v>-1.5286610000000001E-2</v>
      </c>
      <c r="W1551">
        <v>-8.1509700000000004E-2</v>
      </c>
      <c r="X1551">
        <v>0.99655530000000003</v>
      </c>
      <c r="Y1551">
        <v>2.5270239999999999E-2</v>
      </c>
      <c r="Z1551">
        <v>-4.3253809999999998E-4</v>
      </c>
      <c r="AA1551">
        <v>0.99968060000000003</v>
      </c>
      <c r="AB1551">
        <v>34</v>
      </c>
      <c r="AC1551">
        <v>-0.61680000000001201</v>
      </c>
      <c r="AD1551">
        <v>-9.7537000000000207E-2</v>
      </c>
      <c r="AE1551">
        <v>3.5700000000019799E-2</v>
      </c>
      <c r="AF1551">
        <v>2.3712653776538601E-2</v>
      </c>
      <c r="AG1551">
        <v>-9.7537000000000207E-2</v>
      </c>
      <c r="AH1551">
        <v>0.60234200676017102</v>
      </c>
      <c r="AI1551">
        <v>99.191044920564494</v>
      </c>
      <c r="AJ1551">
        <v>87.745576846780907</v>
      </c>
      <c r="AK1551">
        <v>0.61064854820591896</v>
      </c>
      <c r="AL1551">
        <v>94.675348668467606</v>
      </c>
      <c r="AM1551">
        <v>90.878816809917097</v>
      </c>
      <c r="AN1551">
        <v>0.99999998879873597</v>
      </c>
    </row>
    <row r="1552" spans="1:40" x14ac:dyDescent="0.25">
      <c r="A1552" t="str">
        <f>"20190303154452129"</f>
        <v>20190303154452129</v>
      </c>
      <c r="B1552" t="str">
        <f>"1551599092121936"</f>
        <v>1551599092121936</v>
      </c>
      <c r="C1552" t="s">
        <v>40</v>
      </c>
      <c r="D1552">
        <v>5.3019439999999998</v>
      </c>
      <c r="E1552">
        <v>0.51382019999999995</v>
      </c>
      <c r="F1552" t="s">
        <v>42</v>
      </c>
      <c r="G1552">
        <v>-235.38919999999999</v>
      </c>
      <c r="H1552">
        <v>1.024259</v>
      </c>
      <c r="I1552">
        <v>284.06360000000001</v>
      </c>
      <c r="J1552">
        <v>-234.79519999999999</v>
      </c>
      <c r="K1552">
        <v>1.119936</v>
      </c>
      <c r="L1552">
        <v>284.0308</v>
      </c>
      <c r="M1552">
        <v>-0.99982059999999995</v>
      </c>
      <c r="N1552">
        <v>-5.3343710000000001E-3</v>
      </c>
      <c r="O1552">
        <v>1.8182630000000002E-2</v>
      </c>
      <c r="P1552">
        <v>-0.99612840000000002</v>
      </c>
      <c r="Q1552">
        <v>-8.7835570000000002E-2</v>
      </c>
      <c r="R1552">
        <v>3.6652199999999998E-3</v>
      </c>
      <c r="S1552">
        <v>-2.9839319999999998</v>
      </c>
      <c r="T1552">
        <v>-0.3105965</v>
      </c>
      <c r="U1552">
        <v>0.1245117</v>
      </c>
      <c r="V1552">
        <v>-1.440343E-2</v>
      </c>
      <c r="W1552">
        <v>-8.2528989999999997E-2</v>
      </c>
      <c r="X1552">
        <v>0.99648460000000005</v>
      </c>
      <c r="Y1552">
        <v>2.347229E-2</v>
      </c>
      <c r="Z1552">
        <v>-5.0913230000000002E-4</v>
      </c>
      <c r="AA1552">
        <v>0.99972430000000001</v>
      </c>
      <c r="AB1552">
        <v>34</v>
      </c>
      <c r="AC1552">
        <v>-0.59399999999999398</v>
      </c>
      <c r="AD1552">
        <v>-9.5676999999999998E-2</v>
      </c>
      <c r="AE1552">
        <v>3.2800000000008801E-2</v>
      </c>
      <c r="AF1552">
        <v>2.1439403359646201E-2</v>
      </c>
      <c r="AG1552">
        <v>-9.5676999999999998E-2</v>
      </c>
      <c r="AH1552">
        <v>0.57950893881316801</v>
      </c>
      <c r="AI1552">
        <v>99.368674405960505</v>
      </c>
      <c r="AJ1552">
        <v>87.881262430724703</v>
      </c>
      <c r="AK1552">
        <v>0.58774513737655198</v>
      </c>
      <c r="AL1552">
        <v>94.733946946192603</v>
      </c>
      <c r="AM1552">
        <v>90.828109420351595</v>
      </c>
      <c r="AN1552">
        <v>1.0000000255116701</v>
      </c>
    </row>
    <row r="1553" spans="1:40" x14ac:dyDescent="0.25">
      <c r="A1553" t="str">
        <f>"20190303154452153"</f>
        <v>20190303154452153</v>
      </c>
      <c r="B1553" t="str">
        <f>"1551599092142431"</f>
        <v>1551599092142431</v>
      </c>
      <c r="C1553" t="s">
        <v>40</v>
      </c>
      <c r="D1553">
        <v>5.318098</v>
      </c>
      <c r="E1553">
        <v>0.51343450000000002</v>
      </c>
      <c r="F1553" t="s">
        <v>42</v>
      </c>
      <c r="G1553">
        <v>-235.6936</v>
      </c>
      <c r="H1553">
        <v>1.0279560000000001</v>
      </c>
      <c r="I1553">
        <v>284.0677</v>
      </c>
      <c r="J1553">
        <v>-235.15629999999999</v>
      </c>
      <c r="K1553">
        <v>1.119942</v>
      </c>
      <c r="L1553">
        <v>284.03699999999998</v>
      </c>
      <c r="M1553">
        <v>-0.9998264</v>
      </c>
      <c r="N1553">
        <v>-5.3541439999999999E-3</v>
      </c>
      <c r="O1553">
        <v>1.7848670000000001E-2</v>
      </c>
      <c r="P1553">
        <v>-0.99597329999999995</v>
      </c>
      <c r="Q1553">
        <v>-8.9519130000000002E-2</v>
      </c>
      <c r="R1553">
        <v>4.8294979999999998E-3</v>
      </c>
      <c r="S1553">
        <v>-2.9842680000000001</v>
      </c>
      <c r="T1553">
        <v>-0.3055948</v>
      </c>
      <c r="U1553">
        <v>0.122345</v>
      </c>
      <c r="V1553">
        <v>-1.289915E-2</v>
      </c>
      <c r="W1553">
        <v>-8.4193190000000001E-2</v>
      </c>
      <c r="X1553">
        <v>0.99636599999999997</v>
      </c>
      <c r="Y1553">
        <v>2.3078620000000001E-2</v>
      </c>
      <c r="Z1553">
        <v>-4.866181E-4</v>
      </c>
      <c r="AA1553">
        <v>0.99973350000000005</v>
      </c>
      <c r="AB1553">
        <v>34</v>
      </c>
      <c r="AC1553">
        <v>-0.53730000000001599</v>
      </c>
      <c r="AD1553">
        <v>-9.1986000000000095E-2</v>
      </c>
      <c r="AE1553">
        <v>3.06999999999675E-2</v>
      </c>
      <c r="AF1553">
        <v>2.0505820344368899E-2</v>
      </c>
      <c r="AG1553">
        <v>-9.1986000000000095E-2</v>
      </c>
      <c r="AH1553">
        <v>0.52249799750370596</v>
      </c>
      <c r="AI1553">
        <v>99.977106124708399</v>
      </c>
      <c r="AJ1553">
        <v>87.752538152240504</v>
      </c>
      <c r="AK1553">
        <v>0.53092944000062603</v>
      </c>
      <c r="AL1553">
        <v>94.829631543023297</v>
      </c>
      <c r="AM1553">
        <v>90.741720982319805</v>
      </c>
      <c r="AN1553">
        <v>1.00000004363454</v>
      </c>
    </row>
    <row r="1554" spans="1:40" x14ac:dyDescent="0.25">
      <c r="A1554" t="str">
        <f>"20190303154452176"</f>
        <v>20190303154452176</v>
      </c>
      <c r="B1554" t="str">
        <f>"1551599092171711"</f>
        <v>1551599092171711</v>
      </c>
      <c r="C1554" t="s">
        <v>40</v>
      </c>
      <c r="D1554">
        <v>5.3501779999999997</v>
      </c>
      <c r="E1554">
        <v>0.51297839999999995</v>
      </c>
      <c r="F1554" t="s">
        <v>42</v>
      </c>
      <c r="G1554">
        <v>-236.0008</v>
      </c>
      <c r="H1554">
        <v>1.03548</v>
      </c>
      <c r="I1554">
        <v>284.0718</v>
      </c>
      <c r="J1554">
        <v>-235.50749999999999</v>
      </c>
      <c r="K1554">
        <v>1.1199570000000001</v>
      </c>
      <c r="L1554">
        <v>284.04300000000001</v>
      </c>
      <c r="M1554">
        <v>-0.99983230000000001</v>
      </c>
      <c r="N1554">
        <v>-5.3734309999999997E-3</v>
      </c>
      <c r="O1554">
        <v>1.750697E-2</v>
      </c>
      <c r="P1554">
        <v>-0.99593109999999996</v>
      </c>
      <c r="Q1554">
        <v>-8.9946880000000007E-2</v>
      </c>
      <c r="R1554">
        <v>5.5586969999999996E-3</v>
      </c>
      <c r="S1554">
        <v>-2.9846949999999999</v>
      </c>
      <c r="T1554">
        <v>-0.29866389999999998</v>
      </c>
      <c r="U1554">
        <v>0.1223755</v>
      </c>
      <c r="V1554">
        <v>-1.182595E-2</v>
      </c>
      <c r="W1554">
        <v>-8.4601689999999993E-2</v>
      </c>
      <c r="X1554">
        <v>0.99634469999999997</v>
      </c>
      <c r="Y1554">
        <v>2.3422849999999999E-2</v>
      </c>
      <c r="Z1554">
        <v>-4.2107670000000001E-4</v>
      </c>
      <c r="AA1554">
        <v>0.99972559999999999</v>
      </c>
      <c r="AB1554">
        <v>34</v>
      </c>
      <c r="AC1554">
        <v>-0.49330000000000501</v>
      </c>
      <c r="AD1554">
        <v>-8.4476999999999899E-2</v>
      </c>
      <c r="AE1554">
        <v>2.8799999999989698E-2</v>
      </c>
      <c r="AF1554">
        <v>1.9586818665483102E-2</v>
      </c>
      <c r="AG1554">
        <v>-8.4476999999999899E-2</v>
      </c>
      <c r="AH1554">
        <v>0.47970840085802102</v>
      </c>
      <c r="AI1554">
        <v>99.979279602625198</v>
      </c>
      <c r="AJ1554">
        <v>87.661873299963403</v>
      </c>
      <c r="AK1554">
        <v>0.487483493923839</v>
      </c>
      <c r="AL1554">
        <v>94.853120738975605</v>
      </c>
      <c r="AM1554">
        <v>90.680030924185502</v>
      </c>
      <c r="AN1554">
        <v>1.00000003013117</v>
      </c>
    </row>
    <row r="1555" spans="1:40" x14ac:dyDescent="0.25">
      <c r="A1555" t="str">
        <f>"20190303154452198"</f>
        <v>20190303154452198</v>
      </c>
      <c r="B1555" t="str">
        <f>"1551599092192207"</f>
        <v>1551599092192207</v>
      </c>
      <c r="C1555" t="s">
        <v>40</v>
      </c>
      <c r="D1555">
        <v>5.330012</v>
      </c>
      <c r="E1555">
        <v>0.51272439999999997</v>
      </c>
      <c r="F1555" t="s">
        <v>42</v>
      </c>
      <c r="G1555">
        <v>-236.30950000000001</v>
      </c>
      <c r="H1555">
        <v>1.043026</v>
      </c>
      <c r="I1555">
        <v>284.07549999999998</v>
      </c>
      <c r="J1555">
        <v>-235.83359999999999</v>
      </c>
      <c r="K1555">
        <v>1.119977</v>
      </c>
      <c r="L1555">
        <v>284.04840000000002</v>
      </c>
      <c r="M1555">
        <v>-0.99983809999999995</v>
      </c>
      <c r="N1555">
        <v>-5.3914840000000002E-3</v>
      </c>
      <c r="O1555">
        <v>1.7176239999999999E-2</v>
      </c>
      <c r="P1555">
        <v>-0.99608169999999996</v>
      </c>
      <c r="Q1555">
        <v>-8.8261629999999994E-2</v>
      </c>
      <c r="R1555">
        <v>5.6065469999999999E-3</v>
      </c>
      <c r="S1555">
        <v>-2.985687</v>
      </c>
      <c r="T1555">
        <v>-0.28656320000000002</v>
      </c>
      <c r="U1555">
        <v>0.12051389999999999</v>
      </c>
      <c r="V1555">
        <v>-1.1448939999999999E-2</v>
      </c>
      <c r="W1555">
        <v>-8.2897799999999994E-2</v>
      </c>
      <c r="X1555">
        <v>0.9964923</v>
      </c>
      <c r="Y1555">
        <v>2.3120700000000001E-2</v>
      </c>
      <c r="Z1555">
        <v>-3.8246820000000003E-4</v>
      </c>
      <c r="AA1555">
        <v>0.99973259999999997</v>
      </c>
      <c r="AB1555">
        <v>34</v>
      </c>
      <c r="AC1555">
        <v>-0.47590000000002403</v>
      </c>
      <c r="AD1555">
        <v>-7.6950999999999894E-2</v>
      </c>
      <c r="AE1555">
        <v>2.70999999999617E-2</v>
      </c>
      <c r="AF1555">
        <v>1.8441117882902799E-2</v>
      </c>
      <c r="AG1555">
        <v>-7.6950999999999894E-2</v>
      </c>
      <c r="AH1555">
        <v>0.46419781445170599</v>
      </c>
      <c r="AI1555">
        <v>99.4051536881326</v>
      </c>
      <c r="AJ1555">
        <v>87.725015353476707</v>
      </c>
      <c r="AK1555">
        <v>0.47089398188075399</v>
      </c>
      <c r="AL1555">
        <v>94.755150916270694</v>
      </c>
      <c r="AM1555">
        <v>90.658256045392903</v>
      </c>
      <c r="AN1555">
        <v>1.00000001371562</v>
      </c>
    </row>
    <row r="1556" spans="1:40" x14ac:dyDescent="0.25">
      <c r="A1556" t="str">
        <f>"20190303154452219"</f>
        <v>20190303154452219</v>
      </c>
      <c r="B1556" t="str">
        <f>"1551599092211727"</f>
        <v>1551599092211727</v>
      </c>
      <c r="C1556" t="s">
        <v>40</v>
      </c>
      <c r="D1556">
        <v>5.3318839999999996</v>
      </c>
      <c r="E1556">
        <v>0.51246429999999998</v>
      </c>
      <c r="F1556" t="s">
        <v>42</v>
      </c>
      <c r="G1556">
        <v>-236.61920000000001</v>
      </c>
      <c r="H1556">
        <v>1.0477030000000001</v>
      </c>
      <c r="I1556">
        <v>284.07979999999998</v>
      </c>
      <c r="J1556">
        <v>-236.16489999999999</v>
      </c>
      <c r="K1556">
        <v>1.1200030000000001</v>
      </c>
      <c r="L1556">
        <v>284.05380000000002</v>
      </c>
      <c r="M1556">
        <v>-0.99984379999999995</v>
      </c>
      <c r="N1556">
        <v>-5.4097349999999997E-3</v>
      </c>
      <c r="O1556">
        <v>1.6829779999999999E-2</v>
      </c>
      <c r="P1556">
        <v>-0.99619230000000003</v>
      </c>
      <c r="Q1556">
        <v>-8.6979429999999996E-2</v>
      </c>
      <c r="R1556">
        <v>5.9789659999999996E-3</v>
      </c>
      <c r="S1556">
        <v>-2.9867710000000001</v>
      </c>
      <c r="T1556">
        <v>-0.27496789999999999</v>
      </c>
      <c r="U1556">
        <v>0.1186218</v>
      </c>
      <c r="V1556">
        <v>-1.0731650000000001E-2</v>
      </c>
      <c r="W1556">
        <v>-8.1596689999999999E-2</v>
      </c>
      <c r="X1556">
        <v>0.99660769999999999</v>
      </c>
      <c r="Y1556">
        <v>2.2822970000000001E-2</v>
      </c>
      <c r="Z1556">
        <v>-3.4465239999999898E-4</v>
      </c>
      <c r="AA1556">
        <v>0.9997395</v>
      </c>
      <c r="AB1556">
        <v>34</v>
      </c>
      <c r="AC1556">
        <v>-0.45430000000001702</v>
      </c>
      <c r="AD1556">
        <v>-7.2300000000000003E-2</v>
      </c>
      <c r="AE1556">
        <v>2.5999999999953598E-2</v>
      </c>
      <c r="AF1556">
        <v>1.7898591697912501E-2</v>
      </c>
      <c r="AG1556">
        <v>-7.2300000000000003E-2</v>
      </c>
      <c r="AH1556">
        <v>0.44347775364602599</v>
      </c>
      <c r="AI1556">
        <v>99.252045012190095</v>
      </c>
      <c r="AJ1556">
        <v>87.688818707687005</v>
      </c>
      <c r="AK1556">
        <v>0.44968896758058602</v>
      </c>
      <c r="AL1556">
        <v>94.680349208855304</v>
      </c>
      <c r="AM1556">
        <v>90.616947358591403</v>
      </c>
      <c r="AN1556">
        <v>1.00000004791498</v>
      </c>
    </row>
    <row r="1557" spans="1:40" x14ac:dyDescent="0.25">
      <c r="A1557" t="str">
        <f>"20190303154452242"</f>
        <v>20190303154452242</v>
      </c>
      <c r="B1557" t="str">
        <f>"1551599092232224"</f>
        <v>1551599092232224</v>
      </c>
      <c r="C1557" t="s">
        <v>40</v>
      </c>
      <c r="D1557">
        <v>5.3394579999999996</v>
      </c>
      <c r="E1557">
        <v>0.51219420000000004</v>
      </c>
      <c r="F1557" t="s">
        <v>42</v>
      </c>
      <c r="G1557">
        <v>-236.93520000000001</v>
      </c>
      <c r="H1557">
        <v>1.0516490000000001</v>
      </c>
      <c r="I1557">
        <v>284.084</v>
      </c>
      <c r="J1557">
        <v>-236.52600000000001</v>
      </c>
      <c r="K1557">
        <v>1.120017</v>
      </c>
      <c r="L1557">
        <v>284.05959999999999</v>
      </c>
      <c r="M1557">
        <v>-0.99985020000000002</v>
      </c>
      <c r="N1557">
        <v>-5.4297989999999999E-3</v>
      </c>
      <c r="O1557">
        <v>1.6440389999999999E-2</v>
      </c>
      <c r="P1557">
        <v>-0.99620839999999999</v>
      </c>
      <c r="Q1557">
        <v>-8.6756780000000006E-2</v>
      </c>
      <c r="R1557">
        <v>6.5058429999999999E-3</v>
      </c>
      <c r="S1557">
        <v>-2.987625</v>
      </c>
      <c r="T1557">
        <v>-0.2650901</v>
      </c>
      <c r="U1557">
        <v>0.1173401</v>
      </c>
      <c r="V1557">
        <v>-9.8141909999999999E-3</v>
      </c>
      <c r="W1557">
        <v>-8.1353599999999998E-2</v>
      </c>
      <c r="X1557">
        <v>0.996637</v>
      </c>
      <c r="Y1557">
        <v>2.2773850000000002E-2</v>
      </c>
      <c r="Z1557">
        <v>-2.9611189999999998E-4</v>
      </c>
      <c r="AA1557">
        <v>0.99974059999999998</v>
      </c>
      <c r="AB1557">
        <v>34</v>
      </c>
      <c r="AC1557">
        <v>-0.40920000000002599</v>
      </c>
      <c r="AD1557">
        <v>-6.8367999999999901E-2</v>
      </c>
      <c r="AE1557">
        <v>2.4400000000014101E-2</v>
      </c>
      <c r="AF1557">
        <v>1.7191012623443101E-2</v>
      </c>
      <c r="AG1557">
        <v>-6.8367999999999901E-2</v>
      </c>
      <c r="AH1557">
        <v>0.39846226002979002</v>
      </c>
      <c r="AI1557">
        <v>99.727109791948706</v>
      </c>
      <c r="AJ1557">
        <v>87.529597850598407</v>
      </c>
      <c r="AK1557">
        <v>0.404650326834253</v>
      </c>
      <c r="AL1557">
        <v>94.666374857586106</v>
      </c>
      <c r="AM1557">
        <v>90.564190923078002</v>
      </c>
      <c r="AN1557">
        <v>1.0000000181734701</v>
      </c>
    </row>
    <row r="1558" spans="1:40" x14ac:dyDescent="0.25">
      <c r="A1558" t="str">
        <f>"20190303154452264"</f>
        <v>20190303154452264</v>
      </c>
      <c r="B1558" t="str">
        <f>"1551599092251743"</f>
        <v>1551599092251743</v>
      </c>
      <c r="C1558" t="s">
        <v>40</v>
      </c>
      <c r="D1558">
        <v>5.3281729999999996</v>
      </c>
      <c r="E1558">
        <v>0.5119513</v>
      </c>
      <c r="F1558" t="s">
        <v>42</v>
      </c>
      <c r="G1558">
        <v>-237.53200000000001</v>
      </c>
      <c r="H1558">
        <v>1.032816</v>
      </c>
      <c r="I1558">
        <v>284.09899999999999</v>
      </c>
      <c r="J1558">
        <v>-236.8477</v>
      </c>
      <c r="K1558">
        <v>1.120028</v>
      </c>
      <c r="L1558">
        <v>284.06450000000001</v>
      </c>
      <c r="M1558">
        <v>-0.99985579999999996</v>
      </c>
      <c r="N1558">
        <v>-5.4476000000000004E-3</v>
      </c>
      <c r="O1558">
        <v>1.608178E-2</v>
      </c>
      <c r="P1558">
        <v>-0.99614159999999996</v>
      </c>
      <c r="Q1558">
        <v>-8.7446930000000006E-2</v>
      </c>
      <c r="R1558">
        <v>7.41992E-3</v>
      </c>
      <c r="S1558">
        <v>-2.9881129999999998</v>
      </c>
      <c r="T1558">
        <v>-0.25911859999999998</v>
      </c>
      <c r="U1558">
        <v>0.1166992</v>
      </c>
      <c r="V1558">
        <v>-8.53866E-3</v>
      </c>
      <c r="W1558">
        <v>-8.2025609999999999E-2</v>
      </c>
      <c r="X1558">
        <v>0.99659370000000003</v>
      </c>
      <c r="Y1558">
        <v>2.2911569999999999E-2</v>
      </c>
      <c r="Z1558">
        <v>-2.5010739999999998E-4</v>
      </c>
      <c r="AA1558">
        <v>0.9997374</v>
      </c>
      <c r="AB1558">
        <v>34</v>
      </c>
      <c r="AC1558">
        <v>-0.68430000000000701</v>
      </c>
      <c r="AD1558">
        <v>-8.7211999999999998E-2</v>
      </c>
      <c r="AE1558">
        <v>3.4499999999979901E-2</v>
      </c>
      <c r="AF1558">
        <v>2.31160956568679E-2</v>
      </c>
      <c r="AG1558">
        <v>-8.7211999999999998E-2</v>
      </c>
      <c r="AH1558">
        <v>0.67384892738559199</v>
      </c>
      <c r="AI1558">
        <v>97.370149520369196</v>
      </c>
      <c r="AJ1558">
        <v>88.035263555698407</v>
      </c>
      <c r="AK1558">
        <v>0.67986223881101804</v>
      </c>
      <c r="AL1558">
        <v>94.7050071320039</v>
      </c>
      <c r="AM1558">
        <v>90.490889326431301</v>
      </c>
      <c r="AN1558">
        <v>1.0000000561450699</v>
      </c>
    </row>
    <row r="1559" spans="1:40" x14ac:dyDescent="0.25">
      <c r="A1559" t="str">
        <f>"20190303154452286"</f>
        <v>20190303154452286</v>
      </c>
      <c r="B1559" t="str">
        <f>"1551599092282000"</f>
        <v>1551599092282000</v>
      </c>
      <c r="C1559" t="s">
        <v>40</v>
      </c>
      <c r="D1559">
        <v>5.3037700000000001</v>
      </c>
      <c r="E1559">
        <v>0.51142319999999997</v>
      </c>
      <c r="F1559" t="s">
        <v>42</v>
      </c>
      <c r="G1559">
        <v>-237.8424</v>
      </c>
      <c r="H1559">
        <v>1.0347839999999999</v>
      </c>
      <c r="I1559">
        <v>284.10379999999998</v>
      </c>
      <c r="J1559">
        <v>-237.21010000000001</v>
      </c>
      <c r="K1559">
        <v>1.120042</v>
      </c>
      <c r="L1559">
        <v>284.07</v>
      </c>
      <c r="M1559">
        <v>-0.99986240000000004</v>
      </c>
      <c r="N1559">
        <v>-5.467586E-3</v>
      </c>
      <c r="O1559">
        <v>1.5667839999999999E-2</v>
      </c>
      <c r="P1559">
        <v>-0.99612219999999996</v>
      </c>
      <c r="Q1559">
        <v>-8.7675320000000001E-2</v>
      </c>
      <c r="R1559">
        <v>7.3316190000000002E-3</v>
      </c>
      <c r="S1559">
        <v>-2.988235</v>
      </c>
      <c r="T1559">
        <v>-0.25625910000000002</v>
      </c>
      <c r="U1559">
        <v>0.1174622</v>
      </c>
      <c r="V1559">
        <v>-8.2115720000000003E-3</v>
      </c>
      <c r="W1559">
        <v>-8.2234199999999993E-2</v>
      </c>
      <c r="X1559">
        <v>0.9965792</v>
      </c>
      <c r="Y1559">
        <v>2.3575470000000001E-2</v>
      </c>
      <c r="Z1559">
        <v>-1.8176450000000001E-4</v>
      </c>
      <c r="AA1559">
        <v>0.99972209999999995</v>
      </c>
      <c r="AB1559">
        <v>35</v>
      </c>
      <c r="AC1559">
        <v>-0.63229999999998598</v>
      </c>
      <c r="AD1559">
        <v>-8.5258E-2</v>
      </c>
      <c r="AE1559">
        <v>3.3799999999985099E-2</v>
      </c>
      <c r="AF1559">
        <v>2.3463547372107402E-2</v>
      </c>
      <c r="AG1559">
        <v>-8.5258E-2</v>
      </c>
      <c r="AH1559">
        <v>0.62148478600042401</v>
      </c>
      <c r="AI1559">
        <v>97.805834679880803</v>
      </c>
      <c r="AJ1559">
        <v>87.837881028137502</v>
      </c>
      <c r="AK1559">
        <v>0.62774421849131801</v>
      </c>
      <c r="AL1559">
        <v>94.716999247058197</v>
      </c>
      <c r="AM1559">
        <v>90.472092706210105</v>
      </c>
      <c r="AN1559">
        <v>0.99999999771849502</v>
      </c>
    </row>
    <row r="1560" spans="1:40" x14ac:dyDescent="0.25">
      <c r="A1560" t="str">
        <f>"20190303154452309"</f>
        <v>20190303154452309</v>
      </c>
      <c r="B1560" t="str">
        <f>"1551599092302495"</f>
        <v>1551599092302495</v>
      </c>
      <c r="C1560" t="s">
        <v>40</v>
      </c>
      <c r="D1560">
        <v>5.2454510000000001</v>
      </c>
      <c r="E1560">
        <v>0.51118549999999996</v>
      </c>
      <c r="F1560" t="s">
        <v>42</v>
      </c>
      <c r="G1560">
        <v>-238.1559</v>
      </c>
      <c r="H1560">
        <v>1.041037</v>
      </c>
      <c r="I1560">
        <v>284.10590000000002</v>
      </c>
      <c r="J1560">
        <v>-237.54570000000001</v>
      </c>
      <c r="K1560">
        <v>1.120055</v>
      </c>
      <c r="L1560">
        <v>284.07490000000001</v>
      </c>
      <c r="M1560">
        <v>-0.99986850000000005</v>
      </c>
      <c r="N1560">
        <v>-5.4861700000000003E-3</v>
      </c>
      <c r="O1560">
        <v>1.5274599999999999E-2</v>
      </c>
      <c r="P1560">
        <v>-0.99607869999999998</v>
      </c>
      <c r="Q1560">
        <v>-8.8150740000000005E-2</v>
      </c>
      <c r="R1560">
        <v>7.5524199999999998E-3</v>
      </c>
      <c r="S1560">
        <v>-2.9888759999999999</v>
      </c>
      <c r="T1560">
        <v>-0.24979229999999999</v>
      </c>
      <c r="U1560">
        <v>0.112854</v>
      </c>
      <c r="V1560">
        <v>-7.5954150000000003E-3</v>
      </c>
      <c r="W1560">
        <v>-8.2691000000000001E-2</v>
      </c>
      <c r="X1560">
        <v>0.9965463</v>
      </c>
      <c r="Y1560">
        <v>2.242597E-2</v>
      </c>
      <c r="Z1560">
        <v>-1.933107E-4</v>
      </c>
      <c r="AA1560">
        <v>0.99974850000000004</v>
      </c>
      <c r="AB1560">
        <v>35</v>
      </c>
      <c r="AC1560">
        <v>-0.61019999999999097</v>
      </c>
      <c r="AD1560">
        <v>-7.9018000000000005E-2</v>
      </c>
      <c r="AE1560">
        <v>3.1000000000005901E-2</v>
      </c>
      <c r="AF1560">
        <v>2.1319103985604299E-2</v>
      </c>
      <c r="AG1560">
        <v>-7.9018000000000005E-2</v>
      </c>
      <c r="AH1560">
        <v>0.60055749451510199</v>
      </c>
      <c r="AI1560">
        <v>97.490937477236599</v>
      </c>
      <c r="AJ1560">
        <v>87.966919098261002</v>
      </c>
      <c r="AK1560">
        <v>0.60610861463685395</v>
      </c>
      <c r="AL1560">
        <v>94.743261346100596</v>
      </c>
      <c r="AM1560">
        <v>90.436684975578103</v>
      </c>
      <c r="AN1560">
        <v>1.00000000992685</v>
      </c>
    </row>
    <row r="1561" spans="1:40" x14ac:dyDescent="0.25">
      <c r="A1561" t="str">
        <f>"20190303154452330"</f>
        <v>20190303154452330</v>
      </c>
      <c r="B1561" t="str">
        <f>"1551599092322016"</f>
        <v>1551599092322016</v>
      </c>
      <c r="C1561" t="s">
        <v>40</v>
      </c>
      <c r="D1561">
        <v>5.2148719999999997</v>
      </c>
      <c r="E1561">
        <v>0.51098759999999999</v>
      </c>
      <c r="F1561" t="s">
        <v>42</v>
      </c>
      <c r="G1561">
        <v>-238.4693</v>
      </c>
      <c r="H1561">
        <v>1.0440199999999999</v>
      </c>
      <c r="I1561">
        <v>284.10939999999999</v>
      </c>
      <c r="J1561">
        <v>-237.887</v>
      </c>
      <c r="K1561">
        <v>1.120069</v>
      </c>
      <c r="L1561">
        <v>284.0797</v>
      </c>
      <c r="M1561">
        <v>-0.99987440000000005</v>
      </c>
      <c r="N1561">
        <v>-5.5050689999999996E-3</v>
      </c>
      <c r="O1561">
        <v>1.4866040000000001E-2</v>
      </c>
      <c r="P1561">
        <v>-0.99605940000000004</v>
      </c>
      <c r="Q1561">
        <v>-8.8343889999999994E-2</v>
      </c>
      <c r="R1561">
        <v>7.8253279999999995E-3</v>
      </c>
      <c r="S1561">
        <v>-2.989166</v>
      </c>
      <c r="T1561">
        <v>-0.2462019</v>
      </c>
      <c r="U1561">
        <v>0.1114502</v>
      </c>
      <c r="V1561">
        <v>-6.9124640000000001E-3</v>
      </c>
      <c r="W1561">
        <v>-8.2865049999999996E-2</v>
      </c>
      <c r="X1561">
        <v>0.9965368</v>
      </c>
      <c r="Y1561">
        <v>2.2361849999999999E-2</v>
      </c>
      <c r="Z1561">
        <v>-1.5941309999999999E-4</v>
      </c>
      <c r="AA1561">
        <v>0.99975000000000003</v>
      </c>
      <c r="AB1561">
        <v>35</v>
      </c>
      <c r="AC1561">
        <v>-0.58230000000000304</v>
      </c>
      <c r="AD1561">
        <v>-7.6048999999999797E-2</v>
      </c>
      <c r="AE1561">
        <v>2.9699999999991102E-2</v>
      </c>
      <c r="AF1561">
        <v>2.06881376615673E-2</v>
      </c>
      <c r="AG1561">
        <v>-7.6048999999999797E-2</v>
      </c>
      <c r="AH1561">
        <v>0.57293027068003199</v>
      </c>
      <c r="AI1561">
        <v>97.556198076683998</v>
      </c>
      <c r="AJ1561">
        <v>87.931985350236701</v>
      </c>
      <c r="AK1561">
        <v>0.578325638807755</v>
      </c>
      <c r="AL1561">
        <v>94.753268084579901</v>
      </c>
      <c r="AM1561">
        <v>90.397425023719904</v>
      </c>
      <c r="AN1561">
        <v>0.99999999621214597</v>
      </c>
    </row>
    <row r="1562" spans="1:40" x14ac:dyDescent="0.25">
      <c r="A1562" t="str">
        <f>"20190303154452355"</f>
        <v>20190303154452355</v>
      </c>
      <c r="B1562" t="str">
        <f>"1551599092352271"</f>
        <v>1551599092352271</v>
      </c>
      <c r="C1562" t="s">
        <v>40</v>
      </c>
      <c r="D1562">
        <v>5.2121829999999996</v>
      </c>
      <c r="E1562">
        <v>0.5107467</v>
      </c>
      <c r="F1562" t="s">
        <v>42</v>
      </c>
      <c r="G1562">
        <v>-238.78469999999999</v>
      </c>
      <c r="H1562">
        <v>1.0474760000000001</v>
      </c>
      <c r="I1562">
        <v>284.113</v>
      </c>
      <c r="J1562">
        <v>-238.25960000000001</v>
      </c>
      <c r="K1562">
        <v>1.120077</v>
      </c>
      <c r="L1562">
        <v>284.0849</v>
      </c>
      <c r="M1562">
        <v>-0.99988100000000002</v>
      </c>
      <c r="N1562">
        <v>-5.5257319999999898E-3</v>
      </c>
      <c r="O1562">
        <v>1.4411520000000001E-2</v>
      </c>
      <c r="P1562">
        <v>-0.9960755</v>
      </c>
      <c r="Q1562">
        <v>-8.818086E-2</v>
      </c>
      <c r="R1562">
        <v>7.6211959999999898E-3</v>
      </c>
      <c r="S1562">
        <v>-2.9895939999999999</v>
      </c>
      <c r="T1562">
        <v>-0.24176700000000001</v>
      </c>
      <c r="U1562">
        <v>0.1106567</v>
      </c>
      <c r="V1562">
        <v>-6.6616690000000003E-3</v>
      </c>
      <c r="W1562">
        <v>-8.2681329999999997E-2</v>
      </c>
      <c r="X1562">
        <v>0.99655380000000005</v>
      </c>
      <c r="Y1562">
        <v>2.254517E-2</v>
      </c>
      <c r="Z1562">
        <v>-1.113225E-4</v>
      </c>
      <c r="AA1562">
        <v>0.99974580000000002</v>
      </c>
      <c r="AB1562">
        <v>35</v>
      </c>
      <c r="AC1562">
        <v>-0.52509999999998003</v>
      </c>
      <c r="AD1562">
        <v>-7.2600999999999902E-2</v>
      </c>
      <c r="AE1562">
        <v>2.80999999999949E-2</v>
      </c>
      <c r="AF1562">
        <v>2.0145473047122001E-2</v>
      </c>
      <c r="AG1562">
        <v>-7.2600999999999902E-2</v>
      </c>
      <c r="AH1562">
        <v>0.51562186041175495</v>
      </c>
      <c r="AI1562">
        <v>98.008687199182702</v>
      </c>
      <c r="AJ1562">
        <v>87.762577786685</v>
      </c>
      <c r="AK1562">
        <v>0.52109754194370494</v>
      </c>
      <c r="AL1562">
        <v>94.742705305126904</v>
      </c>
      <c r="AM1562">
        <v>90.382999726780994</v>
      </c>
      <c r="AN1562">
        <v>1.0000000282294299</v>
      </c>
    </row>
    <row r="1563" spans="1:40" x14ac:dyDescent="0.25">
      <c r="A1563" t="str">
        <f>"20190303154452377"</f>
        <v>20190303154452377</v>
      </c>
      <c r="B1563" t="str">
        <f>"1551599092371793"</f>
        <v>1551599092371793</v>
      </c>
      <c r="C1563" t="s">
        <v>40</v>
      </c>
      <c r="D1563">
        <v>5.1725190000000003</v>
      </c>
      <c r="E1563">
        <v>0.51059399999999999</v>
      </c>
      <c r="F1563" t="s">
        <v>55</v>
      </c>
      <c r="G1563">
        <v>-252.5198</v>
      </c>
      <c r="H1563" s="1">
        <v>-1.9586610000000001E-7</v>
      </c>
      <c r="I1563">
        <v>284.59910000000002</v>
      </c>
      <c r="J1563">
        <v>-238.61250000000001</v>
      </c>
      <c r="K1563">
        <v>1.1200829999999999</v>
      </c>
      <c r="L1563">
        <v>284.08960000000002</v>
      </c>
      <c r="M1563">
        <v>-0.99988699999999997</v>
      </c>
      <c r="N1563">
        <v>-5.5452990000000001E-3</v>
      </c>
      <c r="O1563">
        <v>1.3975670000000001E-2</v>
      </c>
      <c r="P1563">
        <v>-0.99615940000000003</v>
      </c>
      <c r="Q1563">
        <v>-8.7292320000000007E-2</v>
      </c>
      <c r="R1563">
        <v>6.8380669999999998E-3</v>
      </c>
      <c r="S1563">
        <v>-2.9902190000000002</v>
      </c>
      <c r="T1563">
        <v>-0.23486860000000001</v>
      </c>
      <c r="U1563">
        <v>0.1078186</v>
      </c>
      <c r="V1563">
        <v>-7.0109880000000001E-3</v>
      </c>
      <c r="W1563">
        <v>-8.1773330000000005E-2</v>
      </c>
      <c r="X1563">
        <v>0.99662629999999996</v>
      </c>
      <c r="Y1563">
        <v>2.2027919999999999E-2</v>
      </c>
      <c r="Z1563" s="1">
        <v>-9.3533830000000004E-5</v>
      </c>
      <c r="AA1563">
        <v>0.99975729999999996</v>
      </c>
      <c r="AB1563">
        <v>35</v>
      </c>
      <c r="AC1563">
        <v>-13.9072999999999</v>
      </c>
      <c r="AD1563">
        <v>-1.1200831958660999</v>
      </c>
      <c r="AE1563">
        <v>0.50950000000000195</v>
      </c>
      <c r="AF1563">
        <v>0.31305548897178898</v>
      </c>
      <c r="AG1563">
        <v>-1.1200831958660999</v>
      </c>
      <c r="AH1563">
        <v>13.823515447608701</v>
      </c>
      <c r="AI1563">
        <v>94.631224201969999</v>
      </c>
      <c r="AJ1563">
        <v>88.702667719656205</v>
      </c>
      <c r="AK1563">
        <v>13.872352700068999</v>
      </c>
      <c r="AL1563">
        <v>94.690504063741301</v>
      </c>
      <c r="AM1563">
        <v>90.403053176966793</v>
      </c>
      <c r="AN1563">
        <v>1.00000000665185</v>
      </c>
    </row>
    <row r="1564" spans="1:40" x14ac:dyDescent="0.25">
      <c r="A1564" t="str">
        <f>"20190303154452400"</f>
        <v>20190303154452400</v>
      </c>
      <c r="B1564" t="str">
        <f>"1551599092392288"</f>
        <v>1551599092392288</v>
      </c>
      <c r="C1564" t="s">
        <v>40</v>
      </c>
      <c r="D1564">
        <v>5.1659110000000004</v>
      </c>
      <c r="E1564">
        <v>0.51043859999999996</v>
      </c>
      <c r="F1564" t="s">
        <v>55</v>
      </c>
      <c r="G1564">
        <v>-253.28469999999999</v>
      </c>
      <c r="H1564" s="1">
        <v>2.1116339999999999E-7</v>
      </c>
      <c r="I1564">
        <v>284.60129999999998</v>
      </c>
      <c r="J1564">
        <v>-238.96680000000001</v>
      </c>
      <c r="K1564">
        <v>1.120093</v>
      </c>
      <c r="L1564">
        <v>284.09410000000003</v>
      </c>
      <c r="M1564">
        <v>-0.99989300000000003</v>
      </c>
      <c r="N1564">
        <v>-5.564678E-3</v>
      </c>
      <c r="O1564">
        <v>1.353507E-2</v>
      </c>
      <c r="P1564">
        <v>-0.99623709999999999</v>
      </c>
      <c r="Q1564">
        <v>-8.6495030000000001E-2</v>
      </c>
      <c r="R1564">
        <v>5.5434530000000003E-3</v>
      </c>
      <c r="S1564">
        <v>-2.9908450000000002</v>
      </c>
      <c r="T1564">
        <v>-0.22832240000000001</v>
      </c>
      <c r="U1564">
        <v>0.1043091</v>
      </c>
      <c r="V1564">
        <v>-7.8664470000000004E-3</v>
      </c>
      <c r="W1564">
        <v>-8.0957340000000003E-2</v>
      </c>
      <c r="X1564">
        <v>0.99668650000000003</v>
      </c>
      <c r="Y1564">
        <v>2.1292100000000001E-2</v>
      </c>
      <c r="Z1564" s="1">
        <v>-8.5524459999999995E-5</v>
      </c>
      <c r="AA1564">
        <v>0.99977329999999998</v>
      </c>
      <c r="AB1564">
        <v>35</v>
      </c>
      <c r="AC1564">
        <v>-14.3178999999999</v>
      </c>
      <c r="AD1564">
        <v>-1.1200927888365999</v>
      </c>
      <c r="AE1564">
        <v>0.50719999999995402</v>
      </c>
      <c r="AF1564">
        <v>0.31145308020631202</v>
      </c>
      <c r="AG1564">
        <v>-1.1200927888365999</v>
      </c>
      <c r="AH1564">
        <v>14.2364361084969</v>
      </c>
      <c r="AI1564">
        <v>94.497572184858996</v>
      </c>
      <c r="AJ1564">
        <v>88.746729816083899</v>
      </c>
      <c r="AK1564">
        <v>14.2838273564226</v>
      </c>
      <c r="AL1564">
        <v>94.643595892351897</v>
      </c>
      <c r="AM1564">
        <v>90.452203229816803</v>
      </c>
      <c r="AN1564">
        <v>0.99999997558526399</v>
      </c>
    </row>
    <row r="1565" spans="1:40" x14ac:dyDescent="0.25">
      <c r="A1565" t="str">
        <f>"20190303154452422"</f>
        <v>20190303154452422</v>
      </c>
      <c r="B1565" t="str">
        <f>"1551599092411808"</f>
        <v>1551599092411808</v>
      </c>
      <c r="C1565" t="s">
        <v>40</v>
      </c>
      <c r="D1565">
        <v>5.15083</v>
      </c>
      <c r="E1565">
        <v>0.51033479999999998</v>
      </c>
      <c r="F1565" t="s">
        <v>55</v>
      </c>
      <c r="G1565">
        <v>-254.01840000000001</v>
      </c>
      <c r="H1565" s="1">
        <v>6.0160130000000004E-7</v>
      </c>
      <c r="I1565">
        <v>284.59269999999998</v>
      </c>
      <c r="J1565">
        <v>-239.32</v>
      </c>
      <c r="K1565">
        <v>1.120101</v>
      </c>
      <c r="L1565">
        <v>284.0985</v>
      </c>
      <c r="M1565">
        <v>-0.99989859999999997</v>
      </c>
      <c r="N1565">
        <v>-5.5842080000000002E-3</v>
      </c>
      <c r="O1565">
        <v>1.309335E-2</v>
      </c>
      <c r="P1565">
        <v>-0.99626459999999994</v>
      </c>
      <c r="Q1565">
        <v>-8.6236389999999996E-2</v>
      </c>
      <c r="R1565">
        <v>4.4788919999999999E-3</v>
      </c>
      <c r="S1565">
        <v>-2.9914399999999999</v>
      </c>
      <c r="T1565">
        <v>-0.2226138</v>
      </c>
      <c r="U1565">
        <v>9.9090579999999998E-2</v>
      </c>
      <c r="V1565">
        <v>-8.4906489999999994E-3</v>
      </c>
      <c r="W1565">
        <v>-8.0679860000000006E-2</v>
      </c>
      <c r="X1565">
        <v>0.99670389999999998</v>
      </c>
      <c r="Y1565">
        <v>1.9988909999999999E-2</v>
      </c>
      <c r="Z1565">
        <v>-1.0123759999999999E-4</v>
      </c>
      <c r="AA1565">
        <v>0.99980020000000003</v>
      </c>
      <c r="AB1565">
        <v>35</v>
      </c>
      <c r="AC1565">
        <v>-14.698399999999999</v>
      </c>
      <c r="AD1565">
        <v>-1.1201003983986999</v>
      </c>
      <c r="AE1565">
        <v>0.49419999999997699</v>
      </c>
      <c r="AF1565">
        <v>0.29996331434103002</v>
      </c>
      <c r="AG1565">
        <v>-1.1201003983986999</v>
      </c>
      <c r="AH1565">
        <v>14.618810963925</v>
      </c>
      <c r="AI1565">
        <v>94.380551265245202</v>
      </c>
      <c r="AJ1565">
        <v>88.824513118913799</v>
      </c>
      <c r="AK1565">
        <v>14.6647276446382</v>
      </c>
      <c r="AL1565">
        <v>94.627645179686795</v>
      </c>
      <c r="AM1565">
        <v>90.488075330933796</v>
      </c>
      <c r="AN1565">
        <v>0.99999999760263503</v>
      </c>
    </row>
    <row r="1566" spans="1:40" x14ac:dyDescent="0.25">
      <c r="A1566" t="str">
        <f>"20190303154452444"</f>
        <v>20190303154452444</v>
      </c>
      <c r="B1566" t="str">
        <f>"1551599092432304"</f>
        <v>1551599092432304</v>
      </c>
      <c r="C1566" t="s">
        <v>40</v>
      </c>
      <c r="D1566">
        <v>5.2015180000000001</v>
      </c>
      <c r="E1566">
        <v>0.51007179999999996</v>
      </c>
      <c r="F1566" t="s">
        <v>42</v>
      </c>
      <c r="G1566">
        <v>-240.35820000000001</v>
      </c>
      <c r="H1566">
        <v>1.044335</v>
      </c>
      <c r="I1566">
        <v>284.13170000000002</v>
      </c>
      <c r="J1566">
        <v>-239.66849999999999</v>
      </c>
      <c r="K1566">
        <v>1.120106</v>
      </c>
      <c r="L1566">
        <v>284.10270000000003</v>
      </c>
      <c r="M1566">
        <v>-0.99990420000000002</v>
      </c>
      <c r="N1566">
        <v>-5.603645E-3</v>
      </c>
      <c r="O1566">
        <v>1.265814E-2</v>
      </c>
      <c r="P1566">
        <v>-0.99630030000000003</v>
      </c>
      <c r="Q1566">
        <v>-8.5846500000000006E-2</v>
      </c>
      <c r="R1566">
        <v>4.0197150000000001E-3</v>
      </c>
      <c r="S1566">
        <v>-2.9918819999999999</v>
      </c>
      <c r="T1566">
        <v>-0.21856529999999999</v>
      </c>
      <c r="U1566">
        <v>9.4818120000000006E-2</v>
      </c>
      <c r="V1566">
        <v>-8.5161200000000003E-3</v>
      </c>
      <c r="W1566">
        <v>-8.0270510000000003E-2</v>
      </c>
      <c r="X1566">
        <v>0.99673679999999998</v>
      </c>
      <c r="Y1566">
        <v>1.8995629999999999E-2</v>
      </c>
      <c r="Z1566">
        <v>-1.0629629999999999E-4</v>
      </c>
      <c r="AA1566">
        <v>0.99981960000000003</v>
      </c>
      <c r="AB1566">
        <v>35</v>
      </c>
      <c r="AC1566">
        <v>-0.68970000000001597</v>
      </c>
      <c r="AD1566">
        <v>-7.5771000000000005E-2</v>
      </c>
      <c r="AE1566">
        <v>2.89999999999963E-2</v>
      </c>
      <c r="AF1566">
        <v>2.00259459257516E-2</v>
      </c>
      <c r="AG1566">
        <v>-7.5771000000000005E-2</v>
      </c>
      <c r="AH1566">
        <v>0.68179747123342405</v>
      </c>
      <c r="AI1566">
        <v>96.338785656615698</v>
      </c>
      <c r="AJ1566">
        <v>88.317576061814293</v>
      </c>
      <c r="AK1566">
        <v>0.68628716637535403</v>
      </c>
      <c r="AL1566">
        <v>94.604114528768093</v>
      </c>
      <c r="AM1566">
        <v>90.489523273549906</v>
      </c>
      <c r="AN1566">
        <v>1.0000000637748701</v>
      </c>
    </row>
    <row r="1567" spans="1:40" x14ac:dyDescent="0.25">
      <c r="A1567" t="str">
        <f>"20190303154452466"</f>
        <v>20190303154452466</v>
      </c>
      <c r="B1567" t="str">
        <f>"1551599092462560"</f>
        <v>1551599092462560</v>
      </c>
      <c r="C1567" t="s">
        <v>40</v>
      </c>
      <c r="D1567">
        <v>5.1365569999999998</v>
      </c>
      <c r="E1567">
        <v>0.50983579999999995</v>
      </c>
      <c r="F1567" t="s">
        <v>42</v>
      </c>
      <c r="G1567">
        <v>-240.6789</v>
      </c>
      <c r="H1567">
        <v>1.0469569999999999</v>
      </c>
      <c r="I1567">
        <v>284.1336</v>
      </c>
      <c r="J1567">
        <v>-240.02719999999999</v>
      </c>
      <c r="K1567">
        <v>1.1201099999999999</v>
      </c>
      <c r="L1567">
        <v>284.1069</v>
      </c>
      <c r="M1567">
        <v>-0.99990959999999995</v>
      </c>
      <c r="N1567">
        <v>-5.6236910000000001E-3</v>
      </c>
      <c r="O1567">
        <v>1.221305E-2</v>
      </c>
      <c r="P1567">
        <v>-0.99627929999999998</v>
      </c>
      <c r="Q1567">
        <v>-8.6089609999999997E-2</v>
      </c>
      <c r="R1567">
        <v>4.0398229999999997E-3</v>
      </c>
      <c r="S1567">
        <v>-2.9921259999999998</v>
      </c>
      <c r="T1567">
        <v>-0.21662580000000001</v>
      </c>
      <c r="U1567">
        <v>9.1400149999999999E-2</v>
      </c>
      <c r="V1567">
        <v>-8.05115E-3</v>
      </c>
      <c r="W1567">
        <v>-8.0493380000000003E-2</v>
      </c>
      <c r="X1567">
        <v>0.99672260000000001</v>
      </c>
      <c r="Y1567">
        <v>1.8298410000000001E-2</v>
      </c>
      <c r="Z1567">
        <v>-1.012933E-4</v>
      </c>
      <c r="AA1567">
        <v>0.99983259999999996</v>
      </c>
      <c r="AB1567">
        <v>35</v>
      </c>
      <c r="AC1567">
        <v>-0.65170000000000505</v>
      </c>
      <c r="AD1567">
        <v>-7.3152999999999996E-2</v>
      </c>
      <c r="AE1567">
        <v>2.6700000000005199E-2</v>
      </c>
      <c r="AF1567">
        <v>1.8505855880373099E-2</v>
      </c>
      <c r="AG1567">
        <v>-7.3152999999999996E-2</v>
      </c>
      <c r="AH1567">
        <v>0.64387824759321699</v>
      </c>
      <c r="AI1567">
        <v>96.479104702920097</v>
      </c>
      <c r="AJ1567">
        <v>88.353701762529795</v>
      </c>
      <c r="AK1567">
        <v>0.64828467962352598</v>
      </c>
      <c r="AL1567">
        <v>94.616925911535901</v>
      </c>
      <c r="AM1567">
        <v>90.462803675484693</v>
      </c>
      <c r="AN1567">
        <v>0.99999997329545298</v>
      </c>
    </row>
    <row r="1568" spans="1:40" x14ac:dyDescent="0.25">
      <c r="A1568" t="str">
        <f>"20190303154452487"</f>
        <v>20190303154452487</v>
      </c>
      <c r="B1568" t="str">
        <f>"1551599092482080"</f>
        <v>1551599092482080</v>
      </c>
      <c r="C1568" t="s">
        <v>40</v>
      </c>
      <c r="D1568">
        <v>5.1373030000000002</v>
      </c>
      <c r="E1568">
        <v>0.50976790000000005</v>
      </c>
      <c r="F1568" t="s">
        <v>42</v>
      </c>
      <c r="G1568">
        <v>-241.0009</v>
      </c>
      <c r="H1568">
        <v>1.0501590000000001</v>
      </c>
      <c r="I1568">
        <v>284.13630000000001</v>
      </c>
      <c r="J1568">
        <v>-240.36099999999999</v>
      </c>
      <c r="K1568">
        <v>1.120106</v>
      </c>
      <c r="L1568">
        <v>284.11059999999998</v>
      </c>
      <c r="M1568">
        <v>-0.99991439999999998</v>
      </c>
      <c r="N1568">
        <v>-5.6424129999999998E-3</v>
      </c>
      <c r="O1568">
        <v>1.180631E-2</v>
      </c>
      <c r="P1568">
        <v>-0.99631800000000004</v>
      </c>
      <c r="Q1568">
        <v>-8.5602979999999995E-2</v>
      </c>
      <c r="R1568">
        <v>4.7454089999999999E-3</v>
      </c>
      <c r="S1568">
        <v>-2.992264</v>
      </c>
      <c r="T1568">
        <v>-0.21521770000000001</v>
      </c>
      <c r="U1568">
        <v>8.9447020000000002E-2</v>
      </c>
      <c r="V1568">
        <v>-6.9416620000000004E-3</v>
      </c>
      <c r="W1568">
        <v>-7.9986740000000001E-2</v>
      </c>
      <c r="X1568">
        <v>0.99677179999999999</v>
      </c>
      <c r="Y1568">
        <v>1.8051729999999998E-2</v>
      </c>
      <c r="Z1568" s="1">
        <v>-8.2090789999999996E-5</v>
      </c>
      <c r="AA1568">
        <v>0.99983699999999998</v>
      </c>
      <c r="AB1568">
        <v>36</v>
      </c>
      <c r="AC1568">
        <v>-0.63990000000001102</v>
      </c>
      <c r="AD1568">
        <v>-6.9946999999999898E-2</v>
      </c>
      <c r="AE1568">
        <v>2.5700000000028901E-2</v>
      </c>
      <c r="AF1568">
        <v>1.79293467414764E-2</v>
      </c>
      <c r="AG1568">
        <v>-6.9946999999999898E-2</v>
      </c>
      <c r="AH1568">
        <v>0.63261222223467795</v>
      </c>
      <c r="AI1568">
        <v>96.306968993663801</v>
      </c>
      <c r="AJ1568">
        <v>88.376571082479003</v>
      </c>
      <c r="AK1568">
        <v>0.636719929014534</v>
      </c>
      <c r="AL1568">
        <v>94.587803352350406</v>
      </c>
      <c r="AM1568">
        <v>90.399009588505294</v>
      </c>
      <c r="AN1568">
        <v>1.00000004326119</v>
      </c>
    </row>
    <row r="1569" spans="1:40" x14ac:dyDescent="0.25">
      <c r="A1569" t="str">
        <f>"20190303154452509"</f>
        <v>20190303154452509</v>
      </c>
      <c r="B1569" t="str">
        <f>"1551599092502107"</f>
        <v>1551599092502107</v>
      </c>
      <c r="C1569" t="s">
        <v>40</v>
      </c>
      <c r="D1569">
        <v>5.1447609999999999</v>
      </c>
      <c r="E1569">
        <v>0.50966049999999996</v>
      </c>
      <c r="F1569" t="s">
        <v>42</v>
      </c>
      <c r="G1569">
        <v>-241.32849999999999</v>
      </c>
      <c r="H1569">
        <v>1.051936</v>
      </c>
      <c r="I1569">
        <v>284.14010000000002</v>
      </c>
      <c r="J1569">
        <v>-240.72630000000001</v>
      </c>
      <c r="K1569">
        <v>1.120096</v>
      </c>
      <c r="L1569">
        <v>284.11450000000002</v>
      </c>
      <c r="M1569">
        <v>-0.99991929999999996</v>
      </c>
      <c r="N1569">
        <v>-5.6628520000000003E-3</v>
      </c>
      <c r="O1569">
        <v>1.137839E-2</v>
      </c>
      <c r="P1569">
        <v>-0.99633130000000003</v>
      </c>
      <c r="Q1569">
        <v>-8.5394490000000003E-2</v>
      </c>
      <c r="R1569">
        <v>5.6573500000000002E-3</v>
      </c>
      <c r="S1569">
        <v>-2.9925229999999998</v>
      </c>
      <c r="T1569">
        <v>-0.21093200000000001</v>
      </c>
      <c r="U1569">
        <v>9.1125490000000003E-2</v>
      </c>
      <c r="V1569">
        <v>-5.6047479999999997E-3</v>
      </c>
      <c r="W1569">
        <v>-7.9756350000000004E-2</v>
      </c>
      <c r="X1569">
        <v>0.99679859999999998</v>
      </c>
      <c r="Y1569">
        <v>1.9034559999999999E-2</v>
      </c>
      <c r="Z1569" s="1">
        <v>-1.261226E-5</v>
      </c>
      <c r="AA1569">
        <v>0.99981880000000001</v>
      </c>
      <c r="AB1569">
        <v>36</v>
      </c>
      <c r="AC1569">
        <v>-0.60219999999998197</v>
      </c>
      <c r="AD1569">
        <v>-6.8159999999999998E-2</v>
      </c>
      <c r="AE1569">
        <v>2.5599999999997101E-2</v>
      </c>
      <c r="AF1569">
        <v>1.8509472690328401E-2</v>
      </c>
      <c r="AG1569">
        <v>-6.8159999999999998E-2</v>
      </c>
      <c r="AH1569">
        <v>0.59484558031149504</v>
      </c>
      <c r="AI1569">
        <v>96.533556824858806</v>
      </c>
      <c r="AJ1569">
        <v>88.217734778448701</v>
      </c>
      <c r="AK1569">
        <v>0.59902391487768902</v>
      </c>
      <c r="AL1569">
        <v>94.5745610115831</v>
      </c>
      <c r="AM1569">
        <v>90.322156372920205</v>
      </c>
      <c r="AN1569">
        <v>0.999999968763712</v>
      </c>
    </row>
    <row r="1570" spans="1:40" x14ac:dyDescent="0.25">
      <c r="A1570" t="str">
        <f>"20190303154452531"</f>
        <v>20190303154452531</v>
      </c>
      <c r="B1570" t="str">
        <f>"1551599092522603"</f>
        <v>1551599092522603</v>
      </c>
      <c r="C1570" t="s">
        <v>40</v>
      </c>
      <c r="D1570">
        <v>5.0796760000000001</v>
      </c>
      <c r="E1570">
        <v>0.50960509999999903</v>
      </c>
      <c r="F1570" t="s">
        <v>55</v>
      </c>
      <c r="G1570">
        <v>-256.8057</v>
      </c>
      <c r="H1570" s="1">
        <v>2.0848430000000001E-6</v>
      </c>
      <c r="I1570">
        <v>284.61349999999999</v>
      </c>
      <c r="J1570">
        <v>-241.0684</v>
      </c>
      <c r="K1570">
        <v>1.1200840000000001</v>
      </c>
      <c r="L1570">
        <v>284.11810000000003</v>
      </c>
      <c r="M1570">
        <v>-0.99992349999999997</v>
      </c>
      <c r="N1570">
        <v>-5.6819189999999997E-3</v>
      </c>
      <c r="O1570">
        <v>1.100172E-2</v>
      </c>
      <c r="P1570">
        <v>-0.99633959999999999</v>
      </c>
      <c r="Q1570">
        <v>-8.5171880000000005E-2</v>
      </c>
      <c r="R1570">
        <v>7.3249839999999997E-3</v>
      </c>
      <c r="S1570">
        <v>-2.992645</v>
      </c>
      <c r="T1570">
        <v>-0.20846870000000001</v>
      </c>
      <c r="U1570">
        <v>9.2864989999999994E-2</v>
      </c>
      <c r="V1570">
        <v>-3.5647740000000002E-3</v>
      </c>
      <c r="W1570">
        <v>-7.9512540000000007E-2</v>
      </c>
      <c r="X1570">
        <v>0.99682749999999998</v>
      </c>
      <c r="Y1570">
        <v>1.998778E-2</v>
      </c>
      <c r="Z1570" s="1">
        <v>4.9243219999999998E-5</v>
      </c>
      <c r="AA1570">
        <v>0.99980020000000003</v>
      </c>
      <c r="AB1570">
        <v>36</v>
      </c>
      <c r="AC1570">
        <v>-15.737299999999999</v>
      </c>
      <c r="AD1570">
        <v>-1.1200819151570001</v>
      </c>
      <c r="AE1570">
        <v>0.49539999999996098</v>
      </c>
      <c r="AF1570">
        <v>0.32060739065785998</v>
      </c>
      <c r="AG1570">
        <v>-1.1200819151570001</v>
      </c>
      <c r="AH1570">
        <v>15.6625347816</v>
      </c>
      <c r="AI1570">
        <v>94.089601519268101</v>
      </c>
      <c r="AJ1570">
        <v>88.827336340277995</v>
      </c>
      <c r="AK1570">
        <v>15.7058068363404</v>
      </c>
      <c r="AL1570">
        <v>94.560547040989803</v>
      </c>
      <c r="AM1570">
        <v>90.204895665947205</v>
      </c>
      <c r="AN1570">
        <v>1.00000000819358</v>
      </c>
    </row>
    <row r="1571" spans="1:40" x14ac:dyDescent="0.25">
      <c r="A1571" t="str">
        <f>"20190303154452555"</f>
        <v>20190303154452555</v>
      </c>
      <c r="B1571" t="str">
        <f>"1551599092551883"</f>
        <v>1551599092551883</v>
      </c>
      <c r="C1571" t="s">
        <v>40</v>
      </c>
      <c r="D1571">
        <v>5.1066260000000003</v>
      </c>
      <c r="E1571">
        <v>0.50935819999999998</v>
      </c>
      <c r="F1571" t="s">
        <v>55</v>
      </c>
      <c r="G1571">
        <v>-257.38720000000001</v>
      </c>
      <c r="H1571" s="1">
        <v>2.394328E-6</v>
      </c>
      <c r="I1571">
        <v>284.64980000000003</v>
      </c>
      <c r="J1571">
        <v>-241.46090000000001</v>
      </c>
      <c r="K1571">
        <v>1.120055</v>
      </c>
      <c r="L1571">
        <v>284.12209999999999</v>
      </c>
      <c r="M1571">
        <v>-0.99992760000000003</v>
      </c>
      <c r="N1571">
        <v>-5.7036669999999999E-3</v>
      </c>
      <c r="O1571">
        <v>1.0609169999999999E-2</v>
      </c>
      <c r="P1571">
        <v>-0.99634420000000001</v>
      </c>
      <c r="Q1571">
        <v>-8.4893469999999999E-2</v>
      </c>
      <c r="R1571">
        <v>9.567262E-3</v>
      </c>
      <c r="S1571">
        <v>-2.9927519999999999</v>
      </c>
      <c r="T1571">
        <v>-0.2054144</v>
      </c>
      <c r="U1571">
        <v>9.7503660000000006E-2</v>
      </c>
      <c r="V1571">
        <v>-9.3624330000000001E-4</v>
      </c>
      <c r="W1571">
        <v>-7.9209849999999998E-2</v>
      </c>
      <c r="X1571">
        <v>0.99685749999999995</v>
      </c>
      <c r="Y1571">
        <v>2.1922259999999999E-2</v>
      </c>
      <c r="Z1571">
        <v>1.4721379999999999E-4</v>
      </c>
      <c r="AA1571">
        <v>0.99975970000000003</v>
      </c>
      <c r="AB1571">
        <v>36</v>
      </c>
      <c r="AC1571">
        <v>-15.9262999999999</v>
      </c>
      <c r="AD1571">
        <v>-1.1200526056719999</v>
      </c>
      <c r="AE1571">
        <v>0.52770000000003803</v>
      </c>
      <c r="AF1571">
        <v>0.35693929567192401</v>
      </c>
      <c r="AG1571">
        <v>-1.1200526056719999</v>
      </c>
      <c r="AH1571">
        <v>15.852682098895899</v>
      </c>
      <c r="AI1571">
        <v>94.040429241135399</v>
      </c>
      <c r="AJ1571">
        <v>88.7101450678135</v>
      </c>
      <c r="AK1571">
        <v>15.8962087690406</v>
      </c>
      <c r="AL1571">
        <v>94.543149453955195</v>
      </c>
      <c r="AM1571">
        <v>90.0538118777406</v>
      </c>
      <c r="AN1571">
        <v>0.99999997609739399</v>
      </c>
    </row>
    <row r="1572" spans="1:40" x14ac:dyDescent="0.25">
      <c r="A1572" t="str">
        <f>"20190303154452579"</f>
        <v>20190303154452579</v>
      </c>
      <c r="B1572" t="str">
        <f>"1551599092572378"</f>
        <v>1551599092572378</v>
      </c>
      <c r="C1572" t="s">
        <v>40</v>
      </c>
      <c r="D1572">
        <v>5.1613009999999999</v>
      </c>
      <c r="E1572">
        <v>0.50911879999999998</v>
      </c>
      <c r="F1572" t="s">
        <v>55</v>
      </c>
      <c r="G1572">
        <v>-257.93180000000001</v>
      </c>
      <c r="H1572" s="1">
        <v>2.6841120000000002E-6</v>
      </c>
      <c r="I1572">
        <v>284.68430000000001</v>
      </c>
      <c r="J1572">
        <v>-241.834</v>
      </c>
      <c r="K1572">
        <v>1.120017</v>
      </c>
      <c r="L1572">
        <v>284.12580000000003</v>
      </c>
      <c r="M1572">
        <v>-0.99993080000000001</v>
      </c>
      <c r="N1572">
        <v>-5.7241849999999997E-3</v>
      </c>
      <c r="O1572">
        <v>1.0285519999999999E-2</v>
      </c>
      <c r="P1572">
        <v>-0.99631080000000005</v>
      </c>
      <c r="Q1572">
        <v>-8.512583E-2</v>
      </c>
      <c r="R1572">
        <v>1.089356E-2</v>
      </c>
      <c r="S1572">
        <v>-2.9927060000000001</v>
      </c>
      <c r="T1572">
        <v>-0.20350979999999999</v>
      </c>
      <c r="U1572">
        <v>0.10214230000000001</v>
      </c>
      <c r="V1572">
        <v>7.0674089999999995E-4</v>
      </c>
      <c r="W1572">
        <v>-7.9420489999999996E-2</v>
      </c>
      <c r="X1572">
        <v>0.99684099999999998</v>
      </c>
      <c r="Y1572">
        <v>2.3789439999999999E-2</v>
      </c>
      <c r="Z1572">
        <v>2.3630449999999999E-4</v>
      </c>
      <c r="AA1572">
        <v>0.99971690000000002</v>
      </c>
      <c r="AB1572">
        <v>36</v>
      </c>
      <c r="AC1572">
        <v>-16.097799999999999</v>
      </c>
      <c r="AD1572">
        <v>-1.120014315888</v>
      </c>
      <c r="AE1572">
        <v>0.55849999999998001</v>
      </c>
      <c r="AF1572">
        <v>0.39100303414216397</v>
      </c>
      <c r="AG1572">
        <v>-1.120014315888</v>
      </c>
      <c r="AH1572">
        <v>16.025211958771099</v>
      </c>
      <c r="AI1572">
        <v>93.996759033712905</v>
      </c>
      <c r="AJ1572">
        <v>88.602303692516102</v>
      </c>
      <c r="AK1572">
        <v>16.069061384039902</v>
      </c>
      <c r="AL1572">
        <v>94.555256057681504</v>
      </c>
      <c r="AM1572">
        <v>89.959378412410203</v>
      </c>
      <c r="AN1572">
        <v>1.0000000464977601</v>
      </c>
    </row>
    <row r="1573" spans="1:40" x14ac:dyDescent="0.25">
      <c r="A1573" t="str">
        <f>"20190303154452601"</f>
        <v>20190303154452601</v>
      </c>
      <c r="B1573" t="str">
        <f>"1551599092592408"</f>
        <v>1551599092592408</v>
      </c>
      <c r="C1573" t="s">
        <v>40</v>
      </c>
      <c r="D1573">
        <v>5.1526110000000003</v>
      </c>
      <c r="E1573">
        <v>0.50890609999999903</v>
      </c>
      <c r="F1573" t="s">
        <v>55</v>
      </c>
      <c r="G1573">
        <v>-258.2371</v>
      </c>
      <c r="H1573" s="1">
        <v>2.8466009999999998E-6</v>
      </c>
      <c r="I1573">
        <v>284.69639999999998</v>
      </c>
      <c r="J1573">
        <v>-242.19309999999999</v>
      </c>
      <c r="K1573">
        <v>1.119974</v>
      </c>
      <c r="L1573">
        <v>284.12920000000003</v>
      </c>
      <c r="M1573">
        <v>-0.99993330000000002</v>
      </c>
      <c r="N1573">
        <v>-5.7441150000000002E-3</v>
      </c>
      <c r="O1573">
        <v>1.0030300000000001E-2</v>
      </c>
      <c r="P1573">
        <v>-0.99618019999999996</v>
      </c>
      <c r="Q1573">
        <v>-8.6679140000000002E-2</v>
      </c>
      <c r="R1573">
        <v>1.058368E-2</v>
      </c>
      <c r="S1573">
        <v>-2.9924930000000001</v>
      </c>
      <c r="T1573">
        <v>-0.2043287</v>
      </c>
      <c r="U1573">
        <v>0.10409549999999999</v>
      </c>
      <c r="V1573">
        <v>6.4605629999999999E-4</v>
      </c>
      <c r="W1573">
        <v>-8.0954789999999999E-2</v>
      </c>
      <c r="X1573">
        <v>0.99671759999999998</v>
      </c>
      <c r="Y1573">
        <v>2.469565E-2</v>
      </c>
      <c r="Z1573">
        <v>2.8662689999999998E-4</v>
      </c>
      <c r="AA1573">
        <v>0.999695</v>
      </c>
      <c r="AB1573">
        <v>36</v>
      </c>
      <c r="AC1573">
        <v>-16.044</v>
      </c>
      <c r="AD1573">
        <v>-1.119971153399</v>
      </c>
      <c r="AE1573">
        <v>0.56719999999995696</v>
      </c>
      <c r="AF1573">
        <v>0.40427515739908898</v>
      </c>
      <c r="AG1573">
        <v>-1.119971153399</v>
      </c>
      <c r="AH1573">
        <v>15.9711533223649</v>
      </c>
      <c r="AI1573">
        <v>94.009998320097594</v>
      </c>
      <c r="AJ1573">
        <v>88.549991067727504</v>
      </c>
      <c r="AK1573">
        <v>16.015477271496501</v>
      </c>
      <c r="AL1573">
        <v>94.643449031492295</v>
      </c>
      <c r="AM1573">
        <v>89.962861803449798</v>
      </c>
      <c r="AN1573">
        <v>1.0000000347812199</v>
      </c>
    </row>
    <row r="1574" spans="1:40" x14ac:dyDescent="0.25">
      <c r="A1574" t="str">
        <f>"20190303154452620"</f>
        <v>20190303154452620</v>
      </c>
      <c r="B1574" t="str">
        <f>"1551599092611928"</f>
        <v>1551599092611928</v>
      </c>
      <c r="C1574" t="s">
        <v>40</v>
      </c>
      <c r="D1574">
        <v>5.1615890000000002</v>
      </c>
      <c r="E1574">
        <v>0.50871709999999903</v>
      </c>
      <c r="F1574" t="s">
        <v>55</v>
      </c>
      <c r="G1574">
        <v>-258.20960000000002</v>
      </c>
      <c r="H1574" s="1">
        <v>2.8319590000000001E-6</v>
      </c>
      <c r="I1574">
        <v>284.67290000000003</v>
      </c>
      <c r="J1574">
        <v>-242.5112</v>
      </c>
      <c r="K1574">
        <v>1.119934</v>
      </c>
      <c r="L1574">
        <v>284.13229999999999</v>
      </c>
      <c r="M1574">
        <v>-0.99993480000000001</v>
      </c>
      <c r="N1574">
        <v>-5.761871E-3</v>
      </c>
      <c r="O1574">
        <v>9.8593220000000002E-3</v>
      </c>
      <c r="P1574">
        <v>-0.99613370000000001</v>
      </c>
      <c r="Q1574">
        <v>-8.729431E-2</v>
      </c>
      <c r="R1574">
        <v>9.8789229999999995E-3</v>
      </c>
      <c r="S1574">
        <v>-2.9922179999999998</v>
      </c>
      <c r="T1574">
        <v>-0.20923449999999999</v>
      </c>
      <c r="U1574">
        <v>0.1015625</v>
      </c>
      <c r="V1574">
        <v>1.0446010000000001E-4</v>
      </c>
      <c r="W1574">
        <v>-8.1552959999999994E-2</v>
      </c>
      <c r="X1574">
        <v>0.99666900000000003</v>
      </c>
      <c r="Y1574">
        <v>2.4024029999999998E-2</v>
      </c>
      <c r="Z1574">
        <v>2.7639519999999999E-4</v>
      </c>
      <c r="AA1574">
        <v>0.99971129999999997</v>
      </c>
      <c r="AB1574">
        <v>36</v>
      </c>
      <c r="AC1574">
        <v>-15.698399999999999</v>
      </c>
      <c r="AD1574">
        <v>-1.119931168041</v>
      </c>
      <c r="AE1574">
        <v>0.54060000000004005</v>
      </c>
      <c r="AF1574">
        <v>0.38384432744034402</v>
      </c>
      <c r="AG1574">
        <v>-1.119931168041</v>
      </c>
      <c r="AH1574">
        <v>15.623545743841101</v>
      </c>
      <c r="AI1574">
        <v>94.098845752047097</v>
      </c>
      <c r="AJ1574">
        <v>88.592621868745397</v>
      </c>
      <c r="AK1574">
        <v>15.6683363475116</v>
      </c>
      <c r="AL1574">
        <v>94.677835530146098</v>
      </c>
      <c r="AM1574">
        <v>89.993994874090006</v>
      </c>
      <c r="AN1574">
        <v>0.99999999587883703</v>
      </c>
    </row>
    <row r="1575" spans="1:40" x14ac:dyDescent="0.25">
      <c r="A1575" t="str">
        <f>"20190303154452644"</f>
        <v>20190303154452644</v>
      </c>
      <c r="B1575" t="str">
        <f>"1551599092632427"</f>
        <v>1551599092632427</v>
      </c>
      <c r="C1575" t="s">
        <v>40</v>
      </c>
      <c r="D1575">
        <v>5.1292030000000004</v>
      </c>
      <c r="E1575">
        <v>0.50854309999999903</v>
      </c>
      <c r="F1575" t="s">
        <v>55</v>
      </c>
      <c r="G1575">
        <v>-258.36790000000002</v>
      </c>
      <c r="H1575" s="1">
        <v>2.9161860000000002E-6</v>
      </c>
      <c r="I1575">
        <v>284.65010000000001</v>
      </c>
      <c r="J1575">
        <v>-242.8964</v>
      </c>
      <c r="K1575">
        <v>1.1198790000000001</v>
      </c>
      <c r="L1575">
        <v>284.13589999999999</v>
      </c>
      <c r="M1575">
        <v>-0.99993620000000005</v>
      </c>
      <c r="N1575">
        <v>-5.7832459999999997E-3</v>
      </c>
      <c r="O1575">
        <v>9.7150480000000004E-3</v>
      </c>
      <c r="P1575">
        <v>-0.99611570000000005</v>
      </c>
      <c r="Q1575">
        <v>-8.7586090000000005E-2</v>
      </c>
      <c r="R1575">
        <v>9.0817980000000003E-3</v>
      </c>
      <c r="S1575">
        <v>-2.9921570000000002</v>
      </c>
      <c r="T1575">
        <v>-0.2113305</v>
      </c>
      <c r="U1575">
        <v>9.7717289999999998E-2</v>
      </c>
      <c r="V1575">
        <v>-5.5918109999999999E-4</v>
      </c>
      <c r="W1575">
        <v>-8.1823859999999998E-2</v>
      </c>
      <c r="X1575">
        <v>0.99664660000000005</v>
      </c>
      <c r="Y1575">
        <v>2.2887580000000001E-2</v>
      </c>
      <c r="Z1575">
        <v>2.4434709999999999E-4</v>
      </c>
      <c r="AA1575">
        <v>0.99973800000000002</v>
      </c>
      <c r="AB1575">
        <v>36</v>
      </c>
      <c r="AC1575">
        <v>-15.471500000000001</v>
      </c>
      <c r="AD1575">
        <v>-1.1198760838140001</v>
      </c>
      <c r="AE1575">
        <v>0.51420000000001598</v>
      </c>
      <c r="AF1575">
        <v>0.36197247380551001</v>
      </c>
      <c r="AG1575">
        <v>-1.1198760838140001</v>
      </c>
      <c r="AH1575">
        <v>15.395194020479501</v>
      </c>
      <c r="AI1575">
        <v>94.159332040550595</v>
      </c>
      <c r="AJ1575">
        <v>88.653107289267496</v>
      </c>
      <c r="AK1575">
        <v>15.4401148131449</v>
      </c>
      <c r="AL1575">
        <v>94.693409215785195</v>
      </c>
      <c r="AM1575">
        <v>90.032146513770897</v>
      </c>
      <c r="AN1575">
        <v>0.99999995102018002</v>
      </c>
    </row>
    <row r="1576" spans="1:40" x14ac:dyDescent="0.25">
      <c r="A1576" t="str">
        <f>"20190303154452665"</f>
        <v>20190303154452665</v>
      </c>
      <c r="B1576" t="str">
        <f>"1551599092661703"</f>
        <v>1551599092661703</v>
      </c>
      <c r="C1576" t="s">
        <v>40</v>
      </c>
      <c r="D1576">
        <v>5.1005440000000002</v>
      </c>
      <c r="E1576">
        <v>0.50827309999999903</v>
      </c>
      <c r="F1576" t="s">
        <v>42</v>
      </c>
      <c r="G1576">
        <v>-243.91319999999999</v>
      </c>
      <c r="H1576">
        <v>1.047749</v>
      </c>
      <c r="I1576">
        <v>284.16789999999997</v>
      </c>
      <c r="J1576">
        <v>-243.24619999999999</v>
      </c>
      <c r="K1576">
        <v>1.1198330000000001</v>
      </c>
      <c r="L1576">
        <v>284.13929999999999</v>
      </c>
      <c r="M1576">
        <v>-0.99993690000000002</v>
      </c>
      <c r="N1576">
        <v>-5.8025450000000001E-3</v>
      </c>
      <c r="O1576">
        <v>9.6302520000000006E-3</v>
      </c>
      <c r="P1576">
        <v>-0.99610940000000003</v>
      </c>
      <c r="Q1576">
        <v>-8.7803229999999996E-2</v>
      </c>
      <c r="R1576">
        <v>7.5629540000000002E-3</v>
      </c>
      <c r="S1576">
        <v>-2.9921720000000001</v>
      </c>
      <c r="T1576">
        <v>-0.21224179999999901</v>
      </c>
      <c r="U1576">
        <v>9.408569E-2</v>
      </c>
      <c r="V1576">
        <v>-2.0014949999999998E-3</v>
      </c>
      <c r="W1576">
        <v>-8.2022339999999999E-2</v>
      </c>
      <c r="X1576">
        <v>0.99662850000000003</v>
      </c>
      <c r="Y1576">
        <v>2.1762569999999998E-2</v>
      </c>
      <c r="Z1576">
        <v>2.076852E-4</v>
      </c>
      <c r="AA1576">
        <v>0.99976310000000002</v>
      </c>
      <c r="AB1576">
        <v>37</v>
      </c>
      <c r="AC1576">
        <v>-0.66700000000000104</v>
      </c>
      <c r="AD1576">
        <v>-7.2083999999999995E-2</v>
      </c>
      <c r="AE1576">
        <v>2.8599999999983E-2</v>
      </c>
      <c r="AF1576">
        <v>2.1919646424664398E-2</v>
      </c>
      <c r="AG1576">
        <v>-7.2083999999999995E-2</v>
      </c>
      <c r="AH1576">
        <v>0.65955532675068496</v>
      </c>
      <c r="AI1576">
        <v>96.233790072060401</v>
      </c>
      <c r="AJ1576">
        <v>88.096533977861</v>
      </c>
      <c r="AK1576">
        <v>0.66384471301697201</v>
      </c>
      <c r="AL1576">
        <v>94.704819318268605</v>
      </c>
      <c r="AM1576">
        <v>90.1150650037074</v>
      </c>
      <c r="AN1576">
        <v>1.0000000186267799</v>
      </c>
    </row>
    <row r="1577" spans="1:40" x14ac:dyDescent="0.25">
      <c r="A1577" t="str">
        <f>"20190303154452688"</f>
        <v>20190303154452688</v>
      </c>
      <c r="B1577" t="str">
        <f>"1551599092682199"</f>
        <v>1551599092682199</v>
      </c>
      <c r="C1577" t="s">
        <v>40</v>
      </c>
      <c r="D1577">
        <v>5.127211</v>
      </c>
      <c r="E1577">
        <v>0.50808180000000003</v>
      </c>
      <c r="F1577" t="s">
        <v>42</v>
      </c>
      <c r="G1577">
        <v>-244.2433</v>
      </c>
      <c r="H1577">
        <v>1.048983</v>
      </c>
      <c r="I1577">
        <v>284.16849999999999</v>
      </c>
      <c r="J1577">
        <v>-243.62370000000001</v>
      </c>
      <c r="K1577">
        <v>1.1197839999999999</v>
      </c>
      <c r="L1577">
        <v>284.1429</v>
      </c>
      <c r="M1577">
        <v>-0.99993730000000003</v>
      </c>
      <c r="N1577">
        <v>-5.8234970000000004E-3</v>
      </c>
      <c r="O1577">
        <v>9.5802820000000007E-3</v>
      </c>
      <c r="P1577">
        <v>-0.99609460000000005</v>
      </c>
      <c r="Q1577">
        <v>-8.8084949999999995E-2</v>
      </c>
      <c r="R1577">
        <v>6.0782479999999996E-3</v>
      </c>
      <c r="S1577">
        <v>-2.9922939999999998</v>
      </c>
      <c r="T1577">
        <v>-0.21276010000000001</v>
      </c>
      <c r="U1577">
        <v>8.7310789999999999E-2</v>
      </c>
      <c r="V1577">
        <v>-3.4437399999999998E-3</v>
      </c>
      <c r="W1577">
        <v>-8.2283529999999994E-2</v>
      </c>
      <c r="X1577">
        <v>0.99660300000000002</v>
      </c>
      <c r="Y1577">
        <v>1.955542E-2</v>
      </c>
      <c r="Z1577">
        <v>1.267966E-4</v>
      </c>
      <c r="AA1577">
        <v>0.99980880000000005</v>
      </c>
      <c r="AB1577">
        <v>37</v>
      </c>
      <c r="AC1577">
        <v>-0.61959999999999105</v>
      </c>
      <c r="AD1577">
        <v>-7.08010000000001E-2</v>
      </c>
      <c r="AE1577">
        <v>2.5599999999997101E-2</v>
      </c>
      <c r="AF1577">
        <v>1.9409773793470999E-2</v>
      </c>
      <c r="AG1577">
        <v>-7.08010000000001E-2</v>
      </c>
      <c r="AH1577">
        <v>0.61184139437562601</v>
      </c>
      <c r="AI1577">
        <v>96.597499039844195</v>
      </c>
      <c r="AJ1577">
        <v>88.182984529167101</v>
      </c>
      <c r="AK1577">
        <v>0.61622999991174099</v>
      </c>
      <c r="AL1577">
        <v>94.719835299742201</v>
      </c>
      <c r="AM1577">
        <v>90.197983532483306</v>
      </c>
      <c r="AN1577">
        <v>0.99999998913172405</v>
      </c>
    </row>
    <row r="1578" spans="1:40" x14ac:dyDescent="0.25">
      <c r="A1578" t="str">
        <f>"20190303154452710"</f>
        <v>20190303154452710</v>
      </c>
      <c r="B1578" t="str">
        <f>"1551599092701719"</f>
        <v>1551599092701719</v>
      </c>
      <c r="C1578" t="s">
        <v>40</v>
      </c>
      <c r="D1578">
        <v>5.0463820000000004</v>
      </c>
      <c r="E1578">
        <v>0.50802849999999999</v>
      </c>
      <c r="F1578" t="s">
        <v>42</v>
      </c>
      <c r="G1578">
        <v>-244.58510000000001</v>
      </c>
      <c r="H1578">
        <v>1.0512440000000001</v>
      </c>
      <c r="I1578">
        <v>284.16910000000001</v>
      </c>
      <c r="J1578">
        <v>-243.99100000000001</v>
      </c>
      <c r="K1578">
        <v>1.119739</v>
      </c>
      <c r="L1578">
        <v>284.14640000000003</v>
      </c>
      <c r="M1578">
        <v>-0.99993699999999996</v>
      </c>
      <c r="N1578">
        <v>-5.8438240000000001E-3</v>
      </c>
      <c r="O1578">
        <v>9.57882E-3</v>
      </c>
      <c r="P1578">
        <v>-0.99604369999999998</v>
      </c>
      <c r="Q1578">
        <v>-8.8701070000000007E-2</v>
      </c>
      <c r="R1578">
        <v>5.3821499999999996E-3</v>
      </c>
      <c r="S1578">
        <v>-2.9923709999999999</v>
      </c>
      <c r="T1578">
        <v>-0.2133776</v>
      </c>
      <c r="U1578">
        <v>8.1451419999999997E-2</v>
      </c>
      <c r="V1578">
        <v>-4.1449540000000002E-3</v>
      </c>
      <c r="W1578">
        <v>-8.2879540000000002E-2</v>
      </c>
      <c r="X1578">
        <v>0.99655099999999996</v>
      </c>
      <c r="Y1578">
        <v>1.7605079999999999E-2</v>
      </c>
      <c r="Z1578" s="1">
        <v>5.218119E-5</v>
      </c>
      <c r="AA1578">
        <v>0.99984499999999998</v>
      </c>
      <c r="AB1578">
        <v>37</v>
      </c>
      <c r="AC1578">
        <v>-0.59410000000002505</v>
      </c>
      <c r="AD1578">
        <v>-6.8494999999999903E-2</v>
      </c>
      <c r="AE1578">
        <v>2.2699999999986099E-2</v>
      </c>
      <c r="AF1578">
        <v>1.6785294988556299E-2</v>
      </c>
      <c r="AG1578">
        <v>-6.8494999999999903E-2</v>
      </c>
      <c r="AH1578">
        <v>0.58650556985059799</v>
      </c>
      <c r="AI1578">
        <v>96.658407053341605</v>
      </c>
      <c r="AJ1578">
        <v>88.360690554770699</v>
      </c>
      <c r="AK1578">
        <v>0.59073013688030895</v>
      </c>
      <c r="AL1578">
        <v>94.754100923134601</v>
      </c>
      <c r="AM1578">
        <v>90.238308928486205</v>
      </c>
      <c r="AN1578">
        <v>1.00000004719763</v>
      </c>
    </row>
    <row r="1579" spans="1:40" x14ac:dyDescent="0.25">
      <c r="A1579" t="str">
        <f>"20190303154452732"</f>
        <v>20190303154452732</v>
      </c>
      <c r="B1579" t="str">
        <f>"1551599092722215"</f>
        <v>1551599092722215</v>
      </c>
      <c r="C1579" t="s">
        <v>40</v>
      </c>
      <c r="D1579">
        <v>5.018097</v>
      </c>
      <c r="E1579">
        <v>0.50793279999999996</v>
      </c>
      <c r="F1579" t="s">
        <v>55</v>
      </c>
      <c r="G1579">
        <v>-259.6875</v>
      </c>
      <c r="H1579" s="1">
        <v>3.6184040000000001E-6</v>
      </c>
      <c r="I1579">
        <v>284.5598</v>
      </c>
      <c r="J1579">
        <v>-244.36170000000001</v>
      </c>
      <c r="K1579">
        <v>1.1196919999999999</v>
      </c>
      <c r="L1579">
        <v>284.1499</v>
      </c>
      <c r="M1579">
        <v>-0.99993659999999995</v>
      </c>
      <c r="N1579">
        <v>-5.8643660000000002E-3</v>
      </c>
      <c r="O1579">
        <v>9.6334339999999997E-3</v>
      </c>
      <c r="P1579">
        <v>-0.99595370000000005</v>
      </c>
      <c r="Q1579">
        <v>-8.9748449999999994E-2</v>
      </c>
      <c r="R1579">
        <v>4.6755039999999996E-3</v>
      </c>
      <c r="S1579">
        <v>-2.9924770000000001</v>
      </c>
      <c r="T1579">
        <v>-0.2134742</v>
      </c>
      <c r="U1579">
        <v>7.8826899999999894E-2</v>
      </c>
      <c r="V1579">
        <v>-4.9138669999999997E-3</v>
      </c>
      <c r="W1579">
        <v>-8.3906579999999995E-2</v>
      </c>
      <c r="X1579">
        <v>0.9964615</v>
      </c>
      <c r="Y1579">
        <v>1.6675840000000001E-2</v>
      </c>
      <c r="Z1579" s="1">
        <v>1.313904E-5</v>
      </c>
      <c r="AA1579">
        <v>0.99986090000000005</v>
      </c>
      <c r="AB1579">
        <v>37</v>
      </c>
      <c r="AC1579">
        <v>-15.3257999999999</v>
      </c>
      <c r="AD1579">
        <v>-1.1196883815959999</v>
      </c>
      <c r="AE1579">
        <v>0.40989999999999299</v>
      </c>
      <c r="AF1579">
        <v>0.26084707814528701</v>
      </c>
      <c r="AG1579">
        <v>-1.1196883815959999</v>
      </c>
      <c r="AH1579">
        <v>15.2477092577045</v>
      </c>
      <c r="AI1579">
        <v>94.199262959093502</v>
      </c>
      <c r="AJ1579">
        <v>89.019919733230097</v>
      </c>
      <c r="AK1579">
        <v>15.2909901863007</v>
      </c>
      <c r="AL1579">
        <v>94.813151942916207</v>
      </c>
      <c r="AM1579">
        <v>90.282541330536702</v>
      </c>
      <c r="AN1579">
        <v>0.99999999061921996</v>
      </c>
    </row>
    <row r="1580" spans="1:40" x14ac:dyDescent="0.25">
      <c r="A1580" t="str">
        <f>"20190303154452755"</f>
        <v>20190303154452755</v>
      </c>
      <c r="B1580" t="str">
        <f>"1551599092752471"</f>
        <v>1551599092752471</v>
      </c>
      <c r="C1580" t="s">
        <v>40</v>
      </c>
      <c r="D1580">
        <v>5.0740100000000004</v>
      </c>
      <c r="E1580">
        <v>0.50773800000000002</v>
      </c>
      <c r="F1580" t="s">
        <v>55</v>
      </c>
      <c r="G1580">
        <v>-259.88740000000001</v>
      </c>
      <c r="H1580" s="1">
        <v>3.724772E-6</v>
      </c>
      <c r="I1580">
        <v>284.54320000000001</v>
      </c>
      <c r="J1580">
        <v>-244.73679999999999</v>
      </c>
      <c r="K1580">
        <v>1.1196269999999999</v>
      </c>
      <c r="L1580">
        <v>284.15359999999998</v>
      </c>
      <c r="M1580">
        <v>-0.99993509999999997</v>
      </c>
      <c r="N1580">
        <v>-5.8851609999999999E-3</v>
      </c>
      <c r="O1580">
        <v>9.7546990000000004E-3</v>
      </c>
      <c r="P1580">
        <v>-0.99585089999999998</v>
      </c>
      <c r="Q1580">
        <v>-9.0912060000000003E-2</v>
      </c>
      <c r="R1580">
        <v>4.021798E-3</v>
      </c>
      <c r="S1580">
        <v>-2.9923860000000002</v>
      </c>
      <c r="T1580">
        <v>-0.21580679999999999</v>
      </c>
      <c r="U1580">
        <v>7.5805659999999997E-2</v>
      </c>
      <c r="V1580">
        <v>-5.6987319999999998E-3</v>
      </c>
      <c r="W1580">
        <v>-8.5049399999999997E-2</v>
      </c>
      <c r="X1580">
        <v>0.99636040000000003</v>
      </c>
      <c r="Y1580">
        <v>1.5549479999999999E-2</v>
      </c>
      <c r="Z1580" s="1">
        <v>-3.9393320000000003E-5</v>
      </c>
      <c r="AA1580">
        <v>0.99987910000000002</v>
      </c>
      <c r="AB1580">
        <v>37</v>
      </c>
      <c r="AC1580">
        <v>-15.150600000000001</v>
      </c>
      <c r="AD1580">
        <v>-1.119623275228</v>
      </c>
      <c r="AE1580">
        <v>0.38960000000002898</v>
      </c>
      <c r="AF1580">
        <v>0.24047694729278199</v>
      </c>
      <c r="AG1580">
        <v>-1.119623275228</v>
      </c>
      <c r="AH1580">
        <v>15.0714266900487</v>
      </c>
      <c r="AI1580">
        <v>94.248035183391494</v>
      </c>
      <c r="AJ1580">
        <v>89.085876516745898</v>
      </c>
      <c r="AK1580">
        <v>15.1148697617321</v>
      </c>
      <c r="AL1580">
        <v>94.878865756819295</v>
      </c>
      <c r="AM1580">
        <v>90.327702437602099</v>
      </c>
      <c r="AN1580">
        <v>0.99999996133746305</v>
      </c>
    </row>
    <row r="1581" spans="1:40" x14ac:dyDescent="0.25">
      <c r="A1581" t="str">
        <f>"20190303154452778"</f>
        <v>20190303154452778</v>
      </c>
      <c r="B1581" t="str">
        <f>"1551599092771991"</f>
        <v>1551599092771991</v>
      </c>
      <c r="C1581" t="s">
        <v>40</v>
      </c>
      <c r="D1581">
        <v>4.9899889999999996</v>
      </c>
      <c r="E1581">
        <v>0.50772829999999902</v>
      </c>
      <c r="F1581" t="s">
        <v>55</v>
      </c>
      <c r="G1581">
        <v>-260.03559999999999</v>
      </c>
      <c r="H1581" s="1">
        <v>-1.5178739999999901E-6</v>
      </c>
      <c r="I1581">
        <v>284.52229999999997</v>
      </c>
      <c r="J1581">
        <v>-245.12870000000001</v>
      </c>
      <c r="K1581">
        <v>1.119553</v>
      </c>
      <c r="L1581">
        <v>284.15750000000003</v>
      </c>
      <c r="M1581">
        <v>-0.99993299999999996</v>
      </c>
      <c r="N1581">
        <v>-5.9070030000000001E-3</v>
      </c>
      <c r="O1581">
        <v>9.9562729999999999E-3</v>
      </c>
      <c r="P1581">
        <v>-0.99574070000000003</v>
      </c>
      <c r="Q1581">
        <v>-9.2121869999999995E-2</v>
      </c>
      <c r="R1581">
        <v>3.7709499999999999E-3</v>
      </c>
      <c r="S1581">
        <v>-2.9922330000000001</v>
      </c>
      <c r="T1581">
        <v>-0.21898480000000001</v>
      </c>
      <c r="U1581">
        <v>7.2113040000000003E-2</v>
      </c>
      <c r="V1581">
        <v>-6.1637000000000003E-3</v>
      </c>
      <c r="W1581">
        <v>-8.6237049999999996E-2</v>
      </c>
      <c r="X1581">
        <v>0.99625560000000002</v>
      </c>
      <c r="Y1581">
        <v>1.412002E-2</v>
      </c>
      <c r="Z1581">
        <v>-1.111128E-4</v>
      </c>
      <c r="AA1581">
        <v>0.99990029999999996</v>
      </c>
      <c r="AB1581">
        <v>37</v>
      </c>
      <c r="AC1581">
        <v>-14.906899999999901</v>
      </c>
      <c r="AD1581">
        <v>-1.1195545178740001</v>
      </c>
      <c r="AE1581">
        <v>0.364799999999945</v>
      </c>
      <c r="AF1581">
        <v>0.215149345951755</v>
      </c>
      <c r="AG1581">
        <v>-1.1195545178740001</v>
      </c>
      <c r="AH1581">
        <v>14.826216349291901</v>
      </c>
      <c r="AI1581">
        <v>94.317860181833097</v>
      </c>
      <c r="AJ1581">
        <v>89.168615645508496</v>
      </c>
      <c r="AK1581">
        <v>14.8699826091212</v>
      </c>
      <c r="AL1581">
        <v>94.947163740682996</v>
      </c>
      <c r="AM1581">
        <v>90.354476793264297</v>
      </c>
      <c r="AN1581">
        <v>1.0000000202608701</v>
      </c>
    </row>
    <row r="1582" spans="1:40" x14ac:dyDescent="0.25">
      <c r="A1582" t="str">
        <f>"20190303154452800"</f>
        <v>20190303154452800</v>
      </c>
      <c r="B1582" t="str">
        <f>"1551599092792017"</f>
        <v>1551599092792017</v>
      </c>
      <c r="C1582" t="s">
        <v>40</v>
      </c>
      <c r="D1582">
        <v>5.0118650000000002</v>
      </c>
      <c r="E1582">
        <v>0.50771729999999904</v>
      </c>
      <c r="F1582" t="s">
        <v>55</v>
      </c>
      <c r="G1582">
        <v>-260.2876</v>
      </c>
      <c r="H1582" s="1">
        <v>-1.3837410000000001E-6</v>
      </c>
      <c r="I1582">
        <v>284.5188</v>
      </c>
      <c r="J1582">
        <v>-245.49180000000001</v>
      </c>
      <c r="K1582">
        <v>1.1194789999999999</v>
      </c>
      <c r="L1582">
        <v>284.16129999999998</v>
      </c>
      <c r="M1582">
        <v>-0.99993030000000005</v>
      </c>
      <c r="N1582">
        <v>-5.927351E-3</v>
      </c>
      <c r="O1582">
        <v>1.0218E-2</v>
      </c>
      <c r="P1582">
        <v>-0.9956952</v>
      </c>
      <c r="Q1582">
        <v>-9.261751E-2</v>
      </c>
      <c r="R1582">
        <v>3.6908560000000002E-3</v>
      </c>
      <c r="S1582">
        <v>-2.9921259999999998</v>
      </c>
      <c r="T1582">
        <v>-0.22098209999999999</v>
      </c>
      <c r="U1582">
        <v>7.1319579999999994E-2</v>
      </c>
      <c r="V1582">
        <v>-6.518294E-3</v>
      </c>
      <c r="W1582">
        <v>-8.6711499999999997E-2</v>
      </c>
      <c r="X1582">
        <v>0.99621210000000004</v>
      </c>
      <c r="Y1582">
        <v>1.3596E-2</v>
      </c>
      <c r="Z1582">
        <v>-1.513264E-4</v>
      </c>
      <c r="AA1582">
        <v>0.99990760000000001</v>
      </c>
      <c r="AB1582">
        <v>37</v>
      </c>
      <c r="AC1582">
        <v>-14.7957999999999</v>
      </c>
      <c r="AD1582">
        <v>-1.1194803837409999</v>
      </c>
      <c r="AE1582">
        <v>0.35750000000001497</v>
      </c>
      <c r="AF1582">
        <v>0.20512162314197499</v>
      </c>
      <c r="AG1582">
        <v>-1.1194803837409999</v>
      </c>
      <c r="AH1582">
        <v>14.7144929995313</v>
      </c>
      <c r="AI1582">
        <v>94.350267422663904</v>
      </c>
      <c r="AJ1582">
        <v>89.201342370353402</v>
      </c>
      <c r="AK1582">
        <v>14.7584421753489</v>
      </c>
      <c r="AL1582">
        <v>94.974450233859102</v>
      </c>
      <c r="AM1582">
        <v>90.374885434839896</v>
      </c>
      <c r="AN1582">
        <v>0.99999996028766402</v>
      </c>
    </row>
    <row r="1583" spans="1:40" x14ac:dyDescent="0.25">
      <c r="A1583" t="str">
        <f>"20190303154452825"</f>
        <v>20190303154452825</v>
      </c>
      <c r="B1583" t="str">
        <f>"1551599092822273"</f>
        <v>1551599092822273</v>
      </c>
      <c r="C1583" t="s">
        <v>40</v>
      </c>
      <c r="D1583">
        <v>4.9839379999999904</v>
      </c>
      <c r="E1583">
        <v>0.50767470000000003</v>
      </c>
      <c r="F1583" t="s">
        <v>55</v>
      </c>
      <c r="G1583">
        <v>-260.67290000000003</v>
      </c>
      <c r="H1583" s="1">
        <v>-1.1787170000000001E-6</v>
      </c>
      <c r="I1583">
        <v>284.52109999999999</v>
      </c>
      <c r="J1583">
        <v>-245.89340000000001</v>
      </c>
      <c r="K1583">
        <v>1.1194010000000001</v>
      </c>
      <c r="L1583">
        <v>284.16579999999999</v>
      </c>
      <c r="M1583">
        <v>-0.99992619999999999</v>
      </c>
      <c r="N1583">
        <v>-5.9499380000000001E-3</v>
      </c>
      <c r="O1583">
        <v>1.059832E-2</v>
      </c>
      <c r="P1583">
        <v>-0.9957106</v>
      </c>
      <c r="Q1583">
        <v>-9.2450450000000003E-2</v>
      </c>
      <c r="R1583">
        <v>3.6607670000000001E-3</v>
      </c>
      <c r="S1583">
        <v>-2.9921880000000001</v>
      </c>
      <c r="T1583">
        <v>-0.22064919999999999</v>
      </c>
      <c r="U1583">
        <v>7.0922849999999996E-2</v>
      </c>
      <c r="V1583">
        <v>-6.9445119999999999E-3</v>
      </c>
      <c r="W1583">
        <v>-8.6520369999999999E-2</v>
      </c>
      <c r="X1583">
        <v>0.9962259</v>
      </c>
      <c r="Y1583">
        <v>1.3085080000000001E-2</v>
      </c>
      <c r="Z1583">
        <v>-1.966316E-4</v>
      </c>
      <c r="AA1583">
        <v>0.99991430000000003</v>
      </c>
      <c r="AB1583">
        <v>37</v>
      </c>
      <c r="AC1583">
        <v>-14.779500000000001</v>
      </c>
      <c r="AD1583">
        <v>-1.1194021787170001</v>
      </c>
      <c r="AE1583">
        <v>0.35529999999999901</v>
      </c>
      <c r="AF1583">
        <v>0.19750705152265999</v>
      </c>
      <c r="AG1583">
        <v>-1.1194021787170001</v>
      </c>
      <c r="AH1583">
        <v>14.698167084306601</v>
      </c>
      <c r="AI1583">
        <v>94.354807650961405</v>
      </c>
      <c r="AJ1583">
        <v>89.230132616777894</v>
      </c>
      <c r="AK1583">
        <v>14.742055009777699</v>
      </c>
      <c r="AL1583">
        <v>94.963457671406005</v>
      </c>
      <c r="AM1583">
        <v>90.399392129580207</v>
      </c>
      <c r="AN1583">
        <v>1.0000000222513299</v>
      </c>
    </row>
    <row r="1584" spans="1:40" x14ac:dyDescent="0.25">
      <c r="A1584" t="str">
        <f>"20190303154452844"</f>
        <v>20190303154452844</v>
      </c>
      <c r="B1584" t="str">
        <f>"1551599092841794"</f>
        <v>1551599092841794</v>
      </c>
      <c r="C1584" t="s">
        <v>40</v>
      </c>
      <c r="D1584">
        <v>4.9992999999999999</v>
      </c>
      <c r="E1584">
        <v>0.50773670000000004</v>
      </c>
      <c r="F1584" t="s">
        <v>42</v>
      </c>
      <c r="G1584">
        <v>-246.90469999999999</v>
      </c>
      <c r="H1584">
        <v>1.0459000000000001</v>
      </c>
      <c r="I1584">
        <v>284.18990000000002</v>
      </c>
      <c r="J1584">
        <v>-246.23339999999999</v>
      </c>
      <c r="K1584">
        <v>1.1193360000000001</v>
      </c>
      <c r="L1584">
        <v>284.16969999999998</v>
      </c>
      <c r="M1584">
        <v>-0.99992190000000003</v>
      </c>
      <c r="N1584">
        <v>-5.9690519999999999E-3</v>
      </c>
      <c r="O1584">
        <v>1.098331E-2</v>
      </c>
      <c r="P1584">
        <v>-0.99570380000000003</v>
      </c>
      <c r="Q1584">
        <v>-9.2530379999999995E-2</v>
      </c>
      <c r="R1584">
        <v>3.477698E-3</v>
      </c>
      <c r="S1584">
        <v>-2.9924620000000002</v>
      </c>
      <c r="T1584">
        <v>-0.21773100000000001</v>
      </c>
      <c r="U1584">
        <v>7.0220950000000004E-2</v>
      </c>
      <c r="V1584">
        <v>-7.5240180000000004E-3</v>
      </c>
      <c r="W1584">
        <v>-8.6579809999999993E-2</v>
      </c>
      <c r="X1584">
        <v>0.99621649999999995</v>
      </c>
      <c r="Y1584">
        <v>1.2466400000000001E-2</v>
      </c>
      <c r="Z1584">
        <v>-2.4233570000000001E-4</v>
      </c>
      <c r="AA1584">
        <v>0.99992230000000004</v>
      </c>
      <c r="AB1584">
        <v>37</v>
      </c>
      <c r="AC1584">
        <v>-0.67130000000000201</v>
      </c>
      <c r="AD1584">
        <v>-7.3436000000000001E-2</v>
      </c>
      <c r="AE1584">
        <v>2.0200000000045199E-2</v>
      </c>
      <c r="AF1584">
        <v>1.2674021805647801E-2</v>
      </c>
      <c r="AG1584">
        <v>-7.3436000000000001E-2</v>
      </c>
      <c r="AH1584">
        <v>0.66354788972710699</v>
      </c>
      <c r="AI1584">
        <v>96.314181103984794</v>
      </c>
      <c r="AJ1584">
        <v>88.905761465812404</v>
      </c>
      <c r="AK1584">
        <v>0.66771946121558201</v>
      </c>
      <c r="AL1584">
        <v>94.966876297982196</v>
      </c>
      <c r="AM1584">
        <v>90.4327234892002</v>
      </c>
      <c r="AN1584">
        <v>0.99999999460937505</v>
      </c>
    </row>
    <row r="1585" spans="1:40" x14ac:dyDescent="0.25">
      <c r="A1585" t="str">
        <f>"20190303154452866"</f>
        <v>20190303154452866</v>
      </c>
      <c r="B1585" t="str">
        <f>"1551599092862290"</f>
        <v>1551599092862290</v>
      </c>
      <c r="C1585" t="s">
        <v>40</v>
      </c>
      <c r="D1585">
        <v>5.0150690000000004</v>
      </c>
      <c r="E1585">
        <v>0.50776109999999997</v>
      </c>
      <c r="F1585" t="s">
        <v>42</v>
      </c>
      <c r="G1585">
        <v>-247.2423</v>
      </c>
      <c r="H1585">
        <v>1.0463960000000001</v>
      </c>
      <c r="I1585">
        <v>284.1936</v>
      </c>
      <c r="J1585">
        <v>-246.59389999999999</v>
      </c>
      <c r="K1585">
        <v>1.119273</v>
      </c>
      <c r="L1585">
        <v>284.17399999999998</v>
      </c>
      <c r="M1585">
        <v>-0.99991669999999999</v>
      </c>
      <c r="N1585">
        <v>-5.9892840000000001E-3</v>
      </c>
      <c r="O1585">
        <v>1.144568E-2</v>
      </c>
      <c r="P1585">
        <v>-0.99567850000000002</v>
      </c>
      <c r="Q1585">
        <v>-9.2806719999999995E-2</v>
      </c>
      <c r="R1585">
        <v>3.3743179999999998E-3</v>
      </c>
      <c r="S1585">
        <v>-2.9925839999999999</v>
      </c>
      <c r="T1585">
        <v>-0.21644630000000001</v>
      </c>
      <c r="U1585">
        <v>7.0251460000000002E-2</v>
      </c>
      <c r="V1585">
        <v>-8.1005260000000003E-3</v>
      </c>
      <c r="W1585">
        <v>-8.6834529999999993E-2</v>
      </c>
      <c r="X1585">
        <v>0.99618980000000001</v>
      </c>
      <c r="Y1585">
        <v>1.2015609999999999E-2</v>
      </c>
      <c r="Z1585">
        <v>-2.8819769999999999E-4</v>
      </c>
      <c r="AA1585">
        <v>0.99992780000000003</v>
      </c>
      <c r="AB1585">
        <v>38</v>
      </c>
      <c r="AC1585">
        <v>-0.64840000000000897</v>
      </c>
      <c r="AD1585">
        <v>-7.2876999999999997E-2</v>
      </c>
      <c r="AE1585">
        <v>1.95999999999685E-2</v>
      </c>
      <c r="AF1585">
        <v>1.2025430554526101E-2</v>
      </c>
      <c r="AG1585">
        <v>-7.2876999999999997E-2</v>
      </c>
      <c r="AH1585">
        <v>0.64049805460690701</v>
      </c>
      <c r="AI1585">
        <v>96.490164266595798</v>
      </c>
      <c r="AJ1585">
        <v>88.924390994950699</v>
      </c>
      <c r="AK1585">
        <v>0.64474291470651601</v>
      </c>
      <c r="AL1585">
        <v>94.981525895233503</v>
      </c>
      <c r="AM1585">
        <v>90.465890859838197</v>
      </c>
      <c r="AN1585">
        <v>0.99999998587291805</v>
      </c>
    </row>
    <row r="1586" spans="1:40" x14ac:dyDescent="0.25">
      <c r="A1586" t="str">
        <f>"20190303154452889"</f>
        <v>20190303154452889</v>
      </c>
      <c r="B1586" t="str">
        <f>"1551599092881810"</f>
        <v>1551599092881810</v>
      </c>
      <c r="C1586" t="s">
        <v>40</v>
      </c>
      <c r="D1586">
        <v>5.0067789999999999</v>
      </c>
      <c r="E1586">
        <v>0.50781239999999905</v>
      </c>
      <c r="F1586" t="s">
        <v>42</v>
      </c>
      <c r="G1586">
        <v>-247.58189999999999</v>
      </c>
      <c r="H1586">
        <v>1.0480149999999999</v>
      </c>
      <c r="I1586">
        <v>284.19729999999998</v>
      </c>
      <c r="J1586">
        <v>-246.99100000000001</v>
      </c>
      <c r="K1586">
        <v>1.119213</v>
      </c>
      <c r="L1586">
        <v>284.17899999999997</v>
      </c>
      <c r="M1586">
        <v>-0.99990990000000002</v>
      </c>
      <c r="N1586">
        <v>-6.0115079999999996E-3</v>
      </c>
      <c r="O1586">
        <v>1.200906E-2</v>
      </c>
      <c r="P1586">
        <v>-0.99560079999999995</v>
      </c>
      <c r="Q1586">
        <v>-9.3632129999999994E-2</v>
      </c>
      <c r="R1586">
        <v>3.5168999999999999E-3</v>
      </c>
      <c r="S1586">
        <v>-2.992661</v>
      </c>
      <c r="T1586">
        <v>-0.21588470000000001</v>
      </c>
      <c r="U1586">
        <v>7.0190429999999998E-2</v>
      </c>
      <c r="V1586">
        <v>-8.5312419999999996E-3</v>
      </c>
      <c r="W1586">
        <v>-8.7636720000000001E-2</v>
      </c>
      <c r="X1586">
        <v>0.996116</v>
      </c>
      <c r="Y1586">
        <v>1.1434110000000001E-2</v>
      </c>
      <c r="Z1586">
        <v>-3.4667299999999998E-4</v>
      </c>
      <c r="AA1586">
        <v>0.99993460000000001</v>
      </c>
      <c r="AB1586">
        <v>38</v>
      </c>
      <c r="AC1586">
        <v>-0.59090000000000398</v>
      </c>
      <c r="AD1586">
        <v>-7.1198000000000095E-2</v>
      </c>
      <c r="AE1586">
        <v>1.8299999999953801E-2</v>
      </c>
      <c r="AF1586">
        <v>1.1042241169829299E-2</v>
      </c>
      <c r="AG1586">
        <v>-7.1198000000000095E-2</v>
      </c>
      <c r="AH1586">
        <v>0.58262667273302404</v>
      </c>
      <c r="AI1586">
        <v>96.965862471977701</v>
      </c>
      <c r="AJ1586">
        <v>88.914230828020095</v>
      </c>
      <c r="AK1586">
        <v>0.58706466941386204</v>
      </c>
      <c r="AL1586">
        <v>95.027663662054707</v>
      </c>
      <c r="AM1586">
        <v>90.490698081090102</v>
      </c>
      <c r="AN1586">
        <v>1.0000000311192101</v>
      </c>
    </row>
    <row r="1587" spans="1:40" x14ac:dyDescent="0.25">
      <c r="A1587" t="str">
        <f>"20190303154452911"</f>
        <v>20190303154452911</v>
      </c>
      <c r="B1587" t="str">
        <f>"1551599092902306"</f>
        <v>1551599092902306</v>
      </c>
      <c r="C1587" t="s">
        <v>40</v>
      </c>
      <c r="D1587">
        <v>4.9991760000000003</v>
      </c>
      <c r="E1587">
        <v>0.50790550000000001</v>
      </c>
      <c r="F1587" t="s">
        <v>55</v>
      </c>
      <c r="G1587">
        <v>-262.43770000000001</v>
      </c>
      <c r="H1587" s="1">
        <v>-2.3953809999999998E-7</v>
      </c>
      <c r="I1587">
        <v>284.54559999999998</v>
      </c>
      <c r="J1587">
        <v>-247.35650000000001</v>
      </c>
      <c r="K1587">
        <v>1.11917</v>
      </c>
      <c r="L1587">
        <v>284.18389999999999</v>
      </c>
      <c r="M1587">
        <v>-0.99990290000000004</v>
      </c>
      <c r="N1587">
        <v>-6.0317909999999999E-3</v>
      </c>
      <c r="O1587">
        <v>1.2563349999999999E-2</v>
      </c>
      <c r="P1587">
        <v>-0.99558089999999999</v>
      </c>
      <c r="Q1587">
        <v>-9.380252E-2</v>
      </c>
      <c r="R1587">
        <v>4.4746769999999998E-3</v>
      </c>
      <c r="S1587">
        <v>-2.9926149999999998</v>
      </c>
      <c r="T1587">
        <v>-0.2168331</v>
      </c>
      <c r="U1587">
        <v>7.1014399999999894E-2</v>
      </c>
      <c r="V1587">
        <v>-8.1345219999999999E-3</v>
      </c>
      <c r="W1587">
        <v>-8.7786520000000007E-2</v>
      </c>
      <c r="X1587">
        <v>0.99610609999999999</v>
      </c>
      <c r="Y1587">
        <v>1.115728E-2</v>
      </c>
      <c r="Z1587">
        <v>-3.9591490000000001E-4</v>
      </c>
      <c r="AA1587">
        <v>0.99993770000000004</v>
      </c>
      <c r="AB1587">
        <v>38</v>
      </c>
      <c r="AC1587">
        <v>-15.0811999999999</v>
      </c>
      <c r="AD1587">
        <v>-1.1191702395381</v>
      </c>
      <c r="AE1587">
        <v>0.36169999999998398</v>
      </c>
      <c r="AF1587">
        <v>0.17125504372731201</v>
      </c>
      <c r="AG1587">
        <v>-1.1191702395381</v>
      </c>
      <c r="AH1587">
        <v>15.001984497517601</v>
      </c>
      <c r="AI1587">
        <v>94.266169900581502</v>
      </c>
      <c r="AJ1587">
        <v>89.345968858945795</v>
      </c>
      <c r="AK1587">
        <v>15.044647193564501</v>
      </c>
      <c r="AL1587">
        <v>95.036279918841004</v>
      </c>
      <c r="AM1587">
        <v>90.467885317375107</v>
      </c>
      <c r="AN1587">
        <v>1.0000000029995399</v>
      </c>
    </row>
    <row r="1588" spans="1:40" x14ac:dyDescent="0.25">
      <c r="A1588" t="str">
        <f>"20190303154452933"</f>
        <v>20190303154452933</v>
      </c>
      <c r="B1588" t="str">
        <f>"1551599092921830"</f>
        <v>1551599092921830</v>
      </c>
      <c r="C1588" t="s">
        <v>40</v>
      </c>
      <c r="D1588">
        <v>4.9815940000000003</v>
      </c>
      <c r="E1588">
        <v>0.50799070000000002</v>
      </c>
      <c r="F1588" t="s">
        <v>55</v>
      </c>
      <c r="G1588">
        <v>-262.87200000000001</v>
      </c>
      <c r="H1588" s="1">
        <v>-8.4465339999999998E-9</v>
      </c>
      <c r="I1588">
        <v>284.56950000000001</v>
      </c>
      <c r="J1588">
        <v>-247.74160000000001</v>
      </c>
      <c r="K1588">
        <v>1.11913</v>
      </c>
      <c r="L1588">
        <v>284.18920000000003</v>
      </c>
      <c r="M1588">
        <v>-0.99989490000000003</v>
      </c>
      <c r="N1588">
        <v>-6.0530360000000004E-3</v>
      </c>
      <c r="O1588">
        <v>1.3172089999999999E-2</v>
      </c>
      <c r="P1588">
        <v>-0.99556929999999999</v>
      </c>
      <c r="Q1588">
        <v>-9.3814300000000003E-2</v>
      </c>
      <c r="R1588">
        <v>6.3719609999999998E-3</v>
      </c>
      <c r="S1588">
        <v>-2.992645</v>
      </c>
      <c r="T1588">
        <v>-0.21586640000000001</v>
      </c>
      <c r="U1588">
        <v>7.4371339999999994E-2</v>
      </c>
      <c r="V1588">
        <v>-6.8511219999999899E-3</v>
      </c>
      <c r="W1588">
        <v>-8.7777930000000004E-2</v>
      </c>
      <c r="X1588">
        <v>0.99611649999999996</v>
      </c>
      <c r="Y1588">
        <v>1.166914E-2</v>
      </c>
      <c r="Z1588">
        <v>-4.1344279999999998E-4</v>
      </c>
      <c r="AA1588">
        <v>0.99993180000000004</v>
      </c>
      <c r="AB1588">
        <v>38</v>
      </c>
      <c r="AC1588">
        <v>-15.1304</v>
      </c>
      <c r="AD1588">
        <v>-1.1191300084465301</v>
      </c>
      <c r="AE1588">
        <v>0.38029999999997699</v>
      </c>
      <c r="AF1588">
        <v>0.179980323256452</v>
      </c>
      <c r="AG1588">
        <v>-1.1191300084465301</v>
      </c>
      <c r="AH1588">
        <v>15.0518015483183</v>
      </c>
      <c r="AI1588">
        <v>94.251922885745699</v>
      </c>
      <c r="AJ1588">
        <v>89.3149244325175</v>
      </c>
      <c r="AK1588">
        <v>15.0944219744422</v>
      </c>
      <c r="AL1588">
        <v>95.035785895225601</v>
      </c>
      <c r="AM1588">
        <v>90.394064535677401</v>
      </c>
      <c r="AN1588">
        <v>0.99999999221999603</v>
      </c>
    </row>
    <row r="1589" spans="1:40" x14ac:dyDescent="0.25">
      <c r="A1589" t="str">
        <f>"20190303154452956"</f>
        <v>20190303154452956</v>
      </c>
      <c r="B1589" t="str">
        <f>"1551599092952082"</f>
        <v>1551599092952082</v>
      </c>
      <c r="C1589" t="s">
        <v>40</v>
      </c>
      <c r="D1589">
        <v>4.9867819999999998</v>
      </c>
      <c r="E1589">
        <v>0.50809529999999903</v>
      </c>
      <c r="F1589" t="s">
        <v>55</v>
      </c>
      <c r="G1589">
        <v>-263.36470000000003</v>
      </c>
      <c r="H1589" s="1">
        <v>2.53721E-7</v>
      </c>
      <c r="I1589">
        <v>284.61059999999998</v>
      </c>
      <c r="J1589">
        <v>-248.13149999999999</v>
      </c>
      <c r="K1589">
        <v>1.119089</v>
      </c>
      <c r="L1589">
        <v>284.19490000000002</v>
      </c>
      <c r="M1589">
        <v>-0.99988650000000001</v>
      </c>
      <c r="N1589">
        <v>-6.0744680000000004E-3</v>
      </c>
      <c r="O1589">
        <v>1.380378E-2</v>
      </c>
      <c r="P1589">
        <v>-0.99554160000000003</v>
      </c>
      <c r="Q1589">
        <v>-9.3994030000000006E-2</v>
      </c>
      <c r="R1589">
        <v>7.9152370000000003E-3</v>
      </c>
      <c r="S1589">
        <v>-2.9926300000000001</v>
      </c>
      <c r="T1589">
        <v>-0.2143719</v>
      </c>
      <c r="U1589">
        <v>8.0718990000000004E-2</v>
      </c>
      <c r="V1589">
        <v>-5.9438140000000004E-3</v>
      </c>
      <c r="W1589">
        <v>-8.7937039999999994E-2</v>
      </c>
      <c r="X1589">
        <v>0.99610829999999995</v>
      </c>
      <c r="Y1589">
        <v>1.3154259999999999E-2</v>
      </c>
      <c r="Z1589">
        <v>-3.9308380000000002E-4</v>
      </c>
      <c r="AA1589">
        <v>0.99991339999999995</v>
      </c>
      <c r="AB1589">
        <v>38</v>
      </c>
      <c r="AC1589">
        <v>-15.2332</v>
      </c>
      <c r="AD1589">
        <v>-1.119088746279</v>
      </c>
      <c r="AE1589">
        <v>0.41569999999995799</v>
      </c>
      <c r="AF1589">
        <v>0.20427915903086899</v>
      </c>
      <c r="AG1589">
        <v>-1.119088746279</v>
      </c>
      <c r="AH1589">
        <v>15.1557532441312</v>
      </c>
      <c r="AI1589">
        <v>94.222628738134503</v>
      </c>
      <c r="AJ1589">
        <v>89.227776755654205</v>
      </c>
      <c r="AK1589">
        <v>15.198386295717601</v>
      </c>
      <c r="AL1589">
        <v>95.044937583574296</v>
      </c>
      <c r="AM1589">
        <v>90.341881916467003</v>
      </c>
      <c r="AN1589">
        <v>0.99999999862885902</v>
      </c>
    </row>
    <row r="1590" spans="1:40" x14ac:dyDescent="0.25">
      <c r="A1590" t="str">
        <f>"20190303154452981"</f>
        <v>20190303154452981</v>
      </c>
      <c r="B1590" t="str">
        <f>"1551599092972579"</f>
        <v>1551599092972579</v>
      </c>
      <c r="C1590" t="s">
        <v>40</v>
      </c>
      <c r="D1590">
        <v>4.9973839999999896</v>
      </c>
      <c r="E1590">
        <v>0.50813770000000003</v>
      </c>
      <c r="F1590" t="s">
        <v>55</v>
      </c>
      <c r="G1590">
        <v>-263.85399999999998</v>
      </c>
      <c r="H1590" s="1">
        <v>5.1410080000000002E-7</v>
      </c>
      <c r="I1590">
        <v>284.64830000000001</v>
      </c>
      <c r="J1590">
        <v>-248.54339999999999</v>
      </c>
      <c r="K1590">
        <v>1.1190599999999999</v>
      </c>
      <c r="L1590">
        <v>284.20100000000002</v>
      </c>
      <c r="M1590">
        <v>-0.9998766</v>
      </c>
      <c r="N1590">
        <v>-6.0970719999999898E-3</v>
      </c>
      <c r="O1590">
        <v>1.4477820000000001E-2</v>
      </c>
      <c r="P1590">
        <v>-0.99546579999999996</v>
      </c>
      <c r="Q1590">
        <v>-9.4665299999999994E-2</v>
      </c>
      <c r="R1590">
        <v>9.2968689999999993E-3</v>
      </c>
      <c r="S1590">
        <v>-2.992645</v>
      </c>
      <c r="T1590">
        <v>-0.2130098</v>
      </c>
      <c r="U1590">
        <v>8.6303710000000006E-2</v>
      </c>
      <c r="V1590">
        <v>-5.2391139999999996E-3</v>
      </c>
      <c r="W1590">
        <v>-8.8586769999999995E-2</v>
      </c>
      <c r="X1590">
        <v>0.99605469999999896</v>
      </c>
      <c r="Y1590">
        <v>1.434274E-2</v>
      </c>
      <c r="Z1590">
        <v>-3.872584E-4</v>
      </c>
      <c r="AA1590">
        <v>0.99989709999999998</v>
      </c>
      <c r="AB1590">
        <v>38</v>
      </c>
      <c r="AC1590">
        <v>-15.310600000000001</v>
      </c>
      <c r="AD1590">
        <v>-1.1190594858992</v>
      </c>
      <c r="AE1590">
        <v>0.447300000000041</v>
      </c>
      <c r="AF1590">
        <v>0.22438718180995201</v>
      </c>
      <c r="AG1590">
        <v>-1.1190594858992</v>
      </c>
      <c r="AH1590">
        <v>15.2341564581659</v>
      </c>
      <c r="AI1590">
        <v>94.200791546540501</v>
      </c>
      <c r="AJ1590">
        <v>89.156139106427801</v>
      </c>
      <c r="AK1590">
        <v>15.2768506810867</v>
      </c>
      <c r="AL1590">
        <v>95.082310143021999</v>
      </c>
      <c r="AM1590">
        <v>90.301365328995701</v>
      </c>
      <c r="AN1590">
        <v>1.0000000147633099</v>
      </c>
    </row>
    <row r="1591" spans="1:40" x14ac:dyDescent="0.25">
      <c r="A1591" t="str">
        <f>"20190303154453003"</f>
        <v>20190303154453003</v>
      </c>
      <c r="B1591" t="str">
        <f>"1551599092992098"</f>
        <v>1551599092992098</v>
      </c>
      <c r="C1591" t="s">
        <v>40</v>
      </c>
      <c r="D1591">
        <v>4.987959</v>
      </c>
      <c r="E1591">
        <v>0.50818009999999902</v>
      </c>
      <c r="F1591" t="s">
        <v>55</v>
      </c>
      <c r="G1591">
        <v>-264.19600000000003</v>
      </c>
      <c r="H1591" s="1">
        <v>6.9608299999999995E-7</v>
      </c>
      <c r="I1591">
        <v>284.6764</v>
      </c>
      <c r="J1591">
        <v>-248.92320000000001</v>
      </c>
      <c r="K1591">
        <v>1.1190469999999999</v>
      </c>
      <c r="L1591">
        <v>284.20710000000003</v>
      </c>
      <c r="M1591">
        <v>-0.99986739999999996</v>
      </c>
      <c r="N1591">
        <v>-6.1177339999999997E-3</v>
      </c>
      <c r="O1591">
        <v>1.5091429999999999E-2</v>
      </c>
      <c r="P1591">
        <v>-0.99537790000000004</v>
      </c>
      <c r="Q1591">
        <v>-9.5494800000000005E-2</v>
      </c>
      <c r="R1591">
        <v>1.017995E-2</v>
      </c>
      <c r="S1591">
        <v>-2.9925079999999999</v>
      </c>
      <c r="T1591">
        <v>-0.21394489999999999</v>
      </c>
      <c r="U1591">
        <v>9.088135E-2</v>
      </c>
      <c r="V1591">
        <v>-4.9699260000000004E-3</v>
      </c>
      <c r="W1591">
        <v>-8.9396370000000003E-2</v>
      </c>
      <c r="X1591">
        <v>0.99598370000000003</v>
      </c>
      <c r="Y1591">
        <v>1.5257349999999999E-2</v>
      </c>
      <c r="Z1591">
        <v>-3.936926E-4</v>
      </c>
      <c r="AA1591">
        <v>0.99988350000000004</v>
      </c>
      <c r="AB1591">
        <v>38</v>
      </c>
      <c r="AC1591">
        <v>-15.272799999999901</v>
      </c>
      <c r="AD1591">
        <v>-1.119046303917</v>
      </c>
      <c r="AE1591">
        <v>0.46929999999997501</v>
      </c>
      <c r="AF1591">
        <v>0.237480120690751</v>
      </c>
      <c r="AG1591">
        <v>-1.119046303917</v>
      </c>
      <c r="AH1591">
        <v>15.1966359013527</v>
      </c>
      <c r="AI1591">
        <v>94.211019452919501</v>
      </c>
      <c r="AJ1591">
        <v>89.104703088834199</v>
      </c>
      <c r="AK1591">
        <v>15.2396326778671</v>
      </c>
      <c r="AL1591">
        <v>95.128881810126202</v>
      </c>
      <c r="AM1591">
        <v>90.285901687825003</v>
      </c>
      <c r="AN1591">
        <v>0.99999997089965498</v>
      </c>
    </row>
    <row r="1592" spans="1:40" x14ac:dyDescent="0.25">
      <c r="A1592" t="str">
        <f>"20190303154453024"</f>
        <v>20190303154453024</v>
      </c>
      <c r="B1592" t="str">
        <f>"1551599093012594"</f>
        <v>1551599093012594</v>
      </c>
      <c r="C1592" t="s">
        <v>40</v>
      </c>
      <c r="D1592">
        <v>4.9761600000000001</v>
      </c>
      <c r="E1592">
        <v>0.50815980000000005</v>
      </c>
      <c r="F1592" t="s">
        <v>42</v>
      </c>
      <c r="G1592">
        <v>-249.9691</v>
      </c>
      <c r="H1592">
        <v>1.0438000000000001</v>
      </c>
      <c r="I1592">
        <v>284.23989999999998</v>
      </c>
      <c r="J1592">
        <v>-249.28450000000001</v>
      </c>
      <c r="K1592">
        <v>1.11904</v>
      </c>
      <c r="L1592">
        <v>284.21300000000002</v>
      </c>
      <c r="M1592">
        <v>-0.99985869999999999</v>
      </c>
      <c r="N1592">
        <v>-6.1372769999999896E-3</v>
      </c>
      <c r="O1592">
        <v>1.5654669999999999E-2</v>
      </c>
      <c r="P1592">
        <v>-0.99539239999999996</v>
      </c>
      <c r="Q1592">
        <v>-9.5346849999999997E-2</v>
      </c>
      <c r="R1592">
        <v>1.017536E-2</v>
      </c>
      <c r="S1592">
        <v>-2.9923099999999998</v>
      </c>
      <c r="T1592">
        <v>-0.21530630000000001</v>
      </c>
      <c r="U1592">
        <v>9.3872070000000002E-2</v>
      </c>
      <c r="V1592">
        <v>-5.5365919999999999E-3</v>
      </c>
      <c r="W1592">
        <v>-8.9228020000000005E-2</v>
      </c>
      <c r="X1592">
        <v>0.99599579999999999</v>
      </c>
      <c r="Y1592">
        <v>1.5694409999999999E-2</v>
      </c>
      <c r="Z1592">
        <v>-4.166161E-4</v>
      </c>
      <c r="AA1592">
        <v>0.99987669999999995</v>
      </c>
      <c r="AB1592">
        <v>38</v>
      </c>
      <c r="AC1592">
        <v>-0.684599999999989</v>
      </c>
      <c r="AD1592">
        <v>-7.5239999999999904E-2</v>
      </c>
      <c r="AE1592">
        <v>2.6900000000011901E-2</v>
      </c>
      <c r="AF1592">
        <v>1.5986515160436698E-2</v>
      </c>
      <c r="AG1592">
        <v>-7.5239999999999904E-2</v>
      </c>
      <c r="AH1592">
        <v>0.67677519283253695</v>
      </c>
      <c r="AI1592">
        <v>96.342012638981103</v>
      </c>
      <c r="AJ1592">
        <v>88.6468334654449</v>
      </c>
      <c r="AK1592">
        <v>0.68113235710872899</v>
      </c>
      <c r="AL1592">
        <v>95.119197401133306</v>
      </c>
      <c r="AM1592">
        <v>90.318495406365201</v>
      </c>
      <c r="AN1592">
        <v>0.99999996351086595</v>
      </c>
    </row>
    <row r="1593" spans="1:40" x14ac:dyDescent="0.25">
      <c r="A1593" t="str">
        <f>"20190303154453044"</f>
        <v>20190303154453044</v>
      </c>
      <c r="B1593" t="str">
        <f>"1551599093041874"</f>
        <v>1551599093041874</v>
      </c>
      <c r="C1593" t="s">
        <v>40</v>
      </c>
      <c r="D1593">
        <v>4.9949529999999998</v>
      </c>
      <c r="E1593">
        <v>0.50816019999999995</v>
      </c>
      <c r="F1593" t="s">
        <v>42</v>
      </c>
      <c r="G1593">
        <v>-250.3159</v>
      </c>
      <c r="H1593">
        <v>1.045512</v>
      </c>
      <c r="I1593">
        <v>284.24549999999999</v>
      </c>
      <c r="J1593">
        <v>-249.64080000000001</v>
      </c>
      <c r="K1593">
        <v>1.119046</v>
      </c>
      <c r="L1593">
        <v>284.21890000000002</v>
      </c>
      <c r="M1593">
        <v>-0.99985000000000002</v>
      </c>
      <c r="N1593">
        <v>-6.1566609999999999E-3</v>
      </c>
      <c r="O1593">
        <v>1.6189439999999999E-2</v>
      </c>
      <c r="P1593">
        <v>-0.99542350000000002</v>
      </c>
      <c r="Q1593">
        <v>-9.4982250000000004E-2</v>
      </c>
      <c r="R1593">
        <v>1.0516370000000001E-2</v>
      </c>
      <c r="S1593">
        <v>-2.9924469999999999</v>
      </c>
      <c r="T1593">
        <v>-0.213505</v>
      </c>
      <c r="U1593">
        <v>9.3811039999999998E-2</v>
      </c>
      <c r="V1593">
        <v>-5.7277099999999996E-3</v>
      </c>
      <c r="W1593">
        <v>-8.8843640000000001E-2</v>
      </c>
      <c r="X1593">
        <v>0.9960291</v>
      </c>
      <c r="Y1593">
        <v>1.5140529999999999E-2</v>
      </c>
      <c r="Z1593">
        <v>-4.6769170000000003E-4</v>
      </c>
      <c r="AA1593">
        <v>0.99988529999999998</v>
      </c>
      <c r="AB1593">
        <v>38</v>
      </c>
      <c r="AC1593">
        <v>-0.67509999999998604</v>
      </c>
      <c r="AD1593">
        <v>-7.3533999999999905E-2</v>
      </c>
      <c r="AE1593">
        <v>2.6599999999973499E-2</v>
      </c>
      <c r="AF1593">
        <v>1.54834016366332E-2</v>
      </c>
      <c r="AG1593">
        <v>-7.3533999999999905E-2</v>
      </c>
      <c r="AH1593">
        <v>0.66753464755427905</v>
      </c>
      <c r="AI1593">
        <v>96.284542155892595</v>
      </c>
      <c r="AJ1593">
        <v>88.671268184799203</v>
      </c>
      <c r="AK1593">
        <v>0.67175106294494003</v>
      </c>
      <c r="AL1593">
        <v>95.097086129908604</v>
      </c>
      <c r="AM1593">
        <v>90.329478317364902</v>
      </c>
      <c r="AN1593">
        <v>0.99999998353855102</v>
      </c>
    </row>
    <row r="1594" spans="1:40" x14ac:dyDescent="0.25">
      <c r="A1594" t="str">
        <f>"20190303154453068"</f>
        <v>20190303154453068</v>
      </c>
      <c r="B1594" t="str">
        <f>"1551599093062371"</f>
        <v>1551599093062371</v>
      </c>
      <c r="C1594" t="s">
        <v>40</v>
      </c>
      <c r="D1594">
        <v>4.9842529999999998</v>
      </c>
      <c r="E1594">
        <v>0.50819740000000002</v>
      </c>
      <c r="F1594" t="s">
        <v>42</v>
      </c>
      <c r="G1594">
        <v>-250.6634</v>
      </c>
      <c r="H1594">
        <v>1.047131</v>
      </c>
      <c r="I1594">
        <v>284.25139999999999</v>
      </c>
      <c r="J1594">
        <v>-250.05420000000001</v>
      </c>
      <c r="K1594">
        <v>1.1190610000000001</v>
      </c>
      <c r="L1594">
        <v>284.22609999999997</v>
      </c>
      <c r="M1594">
        <v>-0.99984030000000002</v>
      </c>
      <c r="N1594">
        <v>-6.1793589999999997E-3</v>
      </c>
      <c r="O1594">
        <v>1.6771640000000001E-2</v>
      </c>
      <c r="P1594">
        <v>-0.99545170000000005</v>
      </c>
      <c r="Q1594">
        <v>-9.4705689999999995E-2</v>
      </c>
      <c r="R1594">
        <v>1.033536E-2</v>
      </c>
      <c r="S1594">
        <v>-2.9927220000000001</v>
      </c>
      <c r="T1594">
        <v>-0.21047650000000001</v>
      </c>
      <c r="U1594">
        <v>9.47876E-2</v>
      </c>
      <c r="V1594">
        <v>-6.4854169999999899E-3</v>
      </c>
      <c r="W1594">
        <v>-8.8543469999999999E-2</v>
      </c>
      <c r="X1594">
        <v>0.99605120000000003</v>
      </c>
      <c r="Y1594">
        <v>1.488329E-2</v>
      </c>
      <c r="Z1594">
        <v>-5.0551559999999999E-4</v>
      </c>
      <c r="AA1594">
        <v>0.99988909999999998</v>
      </c>
      <c r="AB1594">
        <v>39</v>
      </c>
      <c r="AC1594">
        <v>-0.60919999999998697</v>
      </c>
      <c r="AD1594">
        <v>-7.1929999999999994E-2</v>
      </c>
      <c r="AE1594">
        <v>2.5300000000015602E-2</v>
      </c>
      <c r="AF1594">
        <v>1.48719872055593E-2</v>
      </c>
      <c r="AG1594">
        <v>-7.1929999999999994E-2</v>
      </c>
      <c r="AH1594">
        <v>0.60117200861456499</v>
      </c>
      <c r="AI1594">
        <v>96.820914895879397</v>
      </c>
      <c r="AJ1594">
        <v>88.5828875480167</v>
      </c>
      <c r="AK1594">
        <v>0.605642538833851</v>
      </c>
      <c r="AL1594">
        <v>95.0798195242117</v>
      </c>
      <c r="AM1594">
        <v>90.373054890650195</v>
      </c>
      <c r="AN1594">
        <v>0.99999999986737198</v>
      </c>
    </row>
    <row r="1595" spans="1:40" x14ac:dyDescent="0.25">
      <c r="A1595" t="str">
        <f>"20190303154453090"</f>
        <v>20190303154453090</v>
      </c>
      <c r="B1595" t="str">
        <f>"1551599093081889"</f>
        <v>1551599093081889</v>
      </c>
      <c r="C1595" t="s">
        <v>40</v>
      </c>
      <c r="D1595">
        <v>4.9995770000000004</v>
      </c>
      <c r="E1595">
        <v>0.50816709999999998</v>
      </c>
      <c r="F1595" t="s">
        <v>55</v>
      </c>
      <c r="G1595">
        <v>-266.11810000000003</v>
      </c>
      <c r="H1595" s="1">
        <v>1.718949E-6</v>
      </c>
      <c r="I1595">
        <v>284.73469999999998</v>
      </c>
      <c r="J1595">
        <v>-250.43170000000001</v>
      </c>
      <c r="K1595">
        <v>1.119083</v>
      </c>
      <c r="L1595">
        <v>284.2328</v>
      </c>
      <c r="M1595">
        <v>-0.99983200000000005</v>
      </c>
      <c r="N1595">
        <v>-6.2000859999999996E-3</v>
      </c>
      <c r="O1595">
        <v>1.7254180000000001E-2</v>
      </c>
      <c r="P1595">
        <v>-0.99548919999999996</v>
      </c>
      <c r="Q1595">
        <v>-9.4334290000000001E-2</v>
      </c>
      <c r="R1595">
        <v>1.012209E-2</v>
      </c>
      <c r="S1595">
        <v>-2.992874</v>
      </c>
      <c r="T1595">
        <v>-0.20849280000000001</v>
      </c>
      <c r="U1595">
        <v>9.4757079999999994E-2</v>
      </c>
      <c r="V1595">
        <v>-7.1743500000000003E-3</v>
      </c>
      <c r="W1595">
        <v>-8.8150679999999995E-2</v>
      </c>
      <c r="X1595">
        <v>0.99608129999999995</v>
      </c>
      <c r="Y1595">
        <v>1.439117E-2</v>
      </c>
      <c r="Z1595">
        <v>-5.4803489999999996E-4</v>
      </c>
      <c r="AA1595">
        <v>0.99989629999999996</v>
      </c>
      <c r="AB1595">
        <v>39</v>
      </c>
      <c r="AC1595">
        <v>-15.686400000000001</v>
      </c>
      <c r="AD1595">
        <v>-1.119081281051</v>
      </c>
      <c r="AE1595">
        <v>0.50189999999997703</v>
      </c>
      <c r="AF1595">
        <v>0.229994768947241</v>
      </c>
      <c r="AG1595">
        <v>-1.119081281051</v>
      </c>
      <c r="AH1595">
        <v>15.6133416790039</v>
      </c>
      <c r="AI1595">
        <v>94.099202776551294</v>
      </c>
      <c r="AJ1595">
        <v>89.156056607819494</v>
      </c>
      <c r="AK1595">
        <v>15.655084761593001</v>
      </c>
      <c r="AL1595">
        <v>95.057226044078703</v>
      </c>
      <c r="AM1595">
        <v>90.412669997693399</v>
      </c>
      <c r="AN1595">
        <v>0.99999998494603703</v>
      </c>
    </row>
    <row r="1596" spans="1:40" x14ac:dyDescent="0.25">
      <c r="A1596" t="str">
        <f>"20190303154453112"</f>
        <v>20190303154453112</v>
      </c>
      <c r="B1596" t="str">
        <f>"1551599093102386"</f>
        <v>1551599093102386</v>
      </c>
      <c r="C1596" t="s">
        <v>40</v>
      </c>
      <c r="D1596">
        <v>4.9712160000000001</v>
      </c>
      <c r="E1596">
        <v>0.50818229999999998</v>
      </c>
      <c r="F1596" t="s">
        <v>55</v>
      </c>
      <c r="G1596">
        <v>-266.6884</v>
      </c>
      <c r="H1596" s="1">
        <v>2.0224680000000001E-6</v>
      </c>
      <c r="I1596">
        <v>284.74189999999999</v>
      </c>
      <c r="J1596">
        <v>-250.81190000000001</v>
      </c>
      <c r="K1596">
        <v>1.119124</v>
      </c>
      <c r="L1596">
        <v>284.23970000000003</v>
      </c>
      <c r="M1596">
        <v>-0.9998245</v>
      </c>
      <c r="N1596">
        <v>-6.2208960000000001E-3</v>
      </c>
      <c r="O1596">
        <v>1.7676020000000001E-2</v>
      </c>
      <c r="P1596">
        <v>-0.99555720000000003</v>
      </c>
      <c r="Q1596">
        <v>-9.3635839999999998E-2</v>
      </c>
      <c r="R1596">
        <v>9.9085509999999998E-3</v>
      </c>
      <c r="S1596">
        <v>-2.9931030000000001</v>
      </c>
      <c r="T1596">
        <v>-0.20603869999999999</v>
      </c>
      <c r="U1596">
        <v>9.3719479999999994E-2</v>
      </c>
      <c r="V1596">
        <v>-7.7999039999999999E-3</v>
      </c>
      <c r="W1596">
        <v>-8.743099E-2</v>
      </c>
      <c r="X1596">
        <v>0.99614009999999997</v>
      </c>
      <c r="Y1596">
        <v>1.3623329999999999E-2</v>
      </c>
      <c r="Z1596">
        <v>-5.9441270000000002E-4</v>
      </c>
      <c r="AA1596">
        <v>0.99990699999999999</v>
      </c>
      <c r="AB1596">
        <v>39</v>
      </c>
      <c r="AC1596">
        <v>-15.876499999999901</v>
      </c>
      <c r="AD1596">
        <v>-1.119121977532</v>
      </c>
      <c r="AE1596">
        <v>0.50219999999995901</v>
      </c>
      <c r="AF1596">
        <v>0.22038884114014301</v>
      </c>
      <c r="AG1596">
        <v>-1.119121977532</v>
      </c>
      <c r="AH1596">
        <v>15.804447017501101</v>
      </c>
      <c r="AI1596">
        <v>94.049993934509502</v>
      </c>
      <c r="AJ1596">
        <v>89.201077263632598</v>
      </c>
      <c r="AK1596">
        <v>15.845553028244</v>
      </c>
      <c r="AL1596">
        <v>95.0158306481853</v>
      </c>
      <c r="AM1596">
        <v>90.448624090959598</v>
      </c>
      <c r="AN1596">
        <v>1.0000000576713901</v>
      </c>
    </row>
    <row r="1597" spans="1:40" x14ac:dyDescent="0.25">
      <c r="A1597" t="str">
        <f>"20190303154453134"</f>
        <v>20190303154453134</v>
      </c>
      <c r="B1597" t="str">
        <f>"1551599093121906"</f>
        <v>1551599093121906</v>
      </c>
      <c r="C1597" t="s">
        <v>40</v>
      </c>
      <c r="D1597">
        <v>5.0112560000000004</v>
      </c>
      <c r="E1597">
        <v>0.50819789999999998</v>
      </c>
      <c r="F1597" t="s">
        <v>55</v>
      </c>
      <c r="G1597">
        <v>-267.31639999999999</v>
      </c>
      <c r="H1597" s="1">
        <v>2.3566320000000001E-6</v>
      </c>
      <c r="I1597">
        <v>284.75459999999998</v>
      </c>
      <c r="J1597">
        <v>-251.19649999999999</v>
      </c>
      <c r="K1597">
        <v>1.119183</v>
      </c>
      <c r="L1597">
        <v>284.24680000000001</v>
      </c>
      <c r="M1597">
        <v>-0.99981819999999999</v>
      </c>
      <c r="N1597">
        <v>-6.2419179999999999E-3</v>
      </c>
      <c r="O1597">
        <v>1.801877E-2</v>
      </c>
      <c r="P1597">
        <v>-0.99564160000000002</v>
      </c>
      <c r="Q1597">
        <v>-9.2832819999999996E-2</v>
      </c>
      <c r="R1597">
        <v>8.9517520000000003E-3</v>
      </c>
      <c r="S1597">
        <v>-2.9933779999999999</v>
      </c>
      <c r="T1597">
        <v>-0.20297229999999999</v>
      </c>
      <c r="U1597">
        <v>9.3383789999999994E-2</v>
      </c>
      <c r="V1597">
        <v>-9.0863690000000004E-3</v>
      </c>
      <c r="W1597">
        <v>-8.6606230000000006E-2</v>
      </c>
      <c r="X1597">
        <v>0.99620120000000001</v>
      </c>
      <c r="Y1597">
        <v>1.316728E-2</v>
      </c>
      <c r="Z1597">
        <v>-6.2067350000000003E-4</v>
      </c>
      <c r="AA1597">
        <v>0.9999131</v>
      </c>
      <c r="AB1597">
        <v>39</v>
      </c>
      <c r="AC1597">
        <v>-16.119900000000001</v>
      </c>
      <c r="AD1597">
        <v>-1.119180643368</v>
      </c>
      <c r="AE1597">
        <v>0.50779999999997405</v>
      </c>
      <c r="AF1597">
        <v>0.216209968402371</v>
      </c>
      <c r="AG1597">
        <v>-1.119180643368</v>
      </c>
      <c r="AH1597">
        <v>16.049147619661301</v>
      </c>
      <c r="AI1597">
        <v>93.988678870664401</v>
      </c>
      <c r="AJ1597">
        <v>89.228172758175006</v>
      </c>
      <c r="AK1597">
        <v>16.089575860805201</v>
      </c>
      <c r="AL1597">
        <v>94.968395653245693</v>
      </c>
      <c r="AM1597">
        <v>90.522581340468406</v>
      </c>
      <c r="AN1597">
        <v>1.00000001602892</v>
      </c>
    </row>
    <row r="1598" spans="1:40" x14ac:dyDescent="0.25">
      <c r="A1598" t="str">
        <f>"20190303154453156"</f>
        <v>20190303154453156</v>
      </c>
      <c r="B1598" t="str">
        <f>"1551599093152162"</f>
        <v>1551599093152162</v>
      </c>
      <c r="C1598" t="s">
        <v>40</v>
      </c>
      <c r="D1598">
        <v>5.0422859999999998</v>
      </c>
      <c r="E1598">
        <v>0.50814780000000004</v>
      </c>
      <c r="F1598" t="s">
        <v>55</v>
      </c>
      <c r="G1598">
        <v>-268.02710000000002</v>
      </c>
      <c r="H1598" s="1">
        <v>2.7348379999999998E-6</v>
      </c>
      <c r="I1598">
        <v>284.75659999999999</v>
      </c>
      <c r="J1598">
        <v>-251.58260000000001</v>
      </c>
      <c r="K1598">
        <v>1.1192439999999999</v>
      </c>
      <c r="L1598">
        <v>284.25400000000002</v>
      </c>
      <c r="M1598">
        <v>-0.99981359999999997</v>
      </c>
      <c r="N1598">
        <v>-6.2629290000000004E-3</v>
      </c>
      <c r="O1598">
        <v>1.8273029999999999E-2</v>
      </c>
      <c r="P1598">
        <v>-0.99565360000000003</v>
      </c>
      <c r="Q1598">
        <v>-9.2722330000000006E-2</v>
      </c>
      <c r="R1598">
        <v>8.7697969999999993E-3</v>
      </c>
      <c r="S1598">
        <v>-2.9937740000000002</v>
      </c>
      <c r="T1598">
        <v>-0.19907649999999999</v>
      </c>
      <c r="U1598">
        <v>9.0667719999999993E-2</v>
      </c>
      <c r="V1598">
        <v>-9.5073499999999995E-3</v>
      </c>
      <c r="W1598">
        <v>-8.6475880000000005E-2</v>
      </c>
      <c r="X1598">
        <v>0.9962086</v>
      </c>
      <c r="Y1598">
        <v>1.200556E-2</v>
      </c>
      <c r="Z1598">
        <v>-6.6274629999999997E-4</v>
      </c>
      <c r="AA1598">
        <v>0.99992769999999997</v>
      </c>
      <c r="AB1598">
        <v>39</v>
      </c>
      <c r="AC1598">
        <v>-16.444500000000001</v>
      </c>
      <c r="AD1598">
        <v>-1.1192412651620001</v>
      </c>
      <c r="AE1598">
        <v>0.50259999999997196</v>
      </c>
      <c r="AF1598">
        <v>0.20108874474764701</v>
      </c>
      <c r="AG1598">
        <v>-1.1192412651620001</v>
      </c>
      <c r="AH1598">
        <v>16.375152957716999</v>
      </c>
      <c r="AI1598">
        <v>93.909789746885806</v>
      </c>
      <c r="AJ1598">
        <v>89.296436661694997</v>
      </c>
      <c r="AK1598">
        <v>16.4145902197263</v>
      </c>
      <c r="AL1598">
        <v>94.960898997964904</v>
      </c>
      <c r="AM1598">
        <v>90.546787582841205</v>
      </c>
      <c r="AN1598">
        <v>1.0000000211198701</v>
      </c>
    </row>
    <row r="1599" spans="1:40" x14ac:dyDescent="0.25">
      <c r="A1599" t="str">
        <f>"20190303154453182"</f>
        <v>20190303154453182</v>
      </c>
      <c r="B1599" t="str">
        <f>"1551599093171683"</f>
        <v>1551599093171683</v>
      </c>
      <c r="C1599" t="s">
        <v>40</v>
      </c>
      <c r="D1599">
        <v>5.0280800000000001</v>
      </c>
      <c r="E1599">
        <v>0.50812369999999996</v>
      </c>
      <c r="F1599" t="s">
        <v>55</v>
      </c>
      <c r="G1599">
        <v>-268.61110000000002</v>
      </c>
      <c r="H1599" s="1">
        <v>3.045605E-6</v>
      </c>
      <c r="I1599">
        <v>284.7636</v>
      </c>
      <c r="J1599">
        <v>-252.02809999999999</v>
      </c>
      <c r="K1599">
        <v>1.1193249999999999</v>
      </c>
      <c r="L1599">
        <v>284.26229999999998</v>
      </c>
      <c r="M1599">
        <v>-0.99980979999999997</v>
      </c>
      <c r="N1599">
        <v>-6.2872459999999998E-3</v>
      </c>
      <c r="O1599">
        <v>1.8463670000000001E-2</v>
      </c>
      <c r="P1599">
        <v>-0.995672</v>
      </c>
      <c r="Q1599">
        <v>-9.2554090000000006E-2</v>
      </c>
      <c r="R1599">
        <v>8.4211909999999997E-3</v>
      </c>
      <c r="S1599">
        <v>-2.9939580000000001</v>
      </c>
      <c r="T1599">
        <v>-0.19678570000000001</v>
      </c>
      <c r="U1599">
        <v>8.9599609999999996E-2</v>
      </c>
      <c r="V1599">
        <v>-1.002862E-2</v>
      </c>
      <c r="W1599">
        <v>-8.6284910000000006E-2</v>
      </c>
      <c r="X1599">
        <v>0.99622010000000005</v>
      </c>
      <c r="Y1599">
        <v>1.1458029999999999E-2</v>
      </c>
      <c r="Z1599">
        <v>-6.8376319999999995E-4</v>
      </c>
      <c r="AA1599">
        <v>0.99993410000000005</v>
      </c>
      <c r="AB1599">
        <v>39</v>
      </c>
      <c r="AC1599">
        <v>-16.582999999999998</v>
      </c>
      <c r="AD1599">
        <v>-1.1193219543949999</v>
      </c>
      <c r="AE1599">
        <v>0.50130000000001396</v>
      </c>
      <c r="AF1599">
        <v>0.194141758151399</v>
      </c>
      <c r="AG1599">
        <v>-1.1193219543949999</v>
      </c>
      <c r="AH1599">
        <v>16.514258745145899</v>
      </c>
      <c r="AI1599">
        <v>93.877259975258497</v>
      </c>
      <c r="AJ1599">
        <v>89.326461384253705</v>
      </c>
      <c r="AK1599">
        <v>16.553287122546902</v>
      </c>
      <c r="AL1599">
        <v>94.949915913044805</v>
      </c>
      <c r="AM1599">
        <v>90.576758280647496</v>
      </c>
      <c r="AN1599">
        <v>1.0000000732784</v>
      </c>
    </row>
    <row r="1600" spans="1:40" x14ac:dyDescent="0.25">
      <c r="A1600" t="str">
        <f>"20190303154453203"</f>
        <v>20190303154453203</v>
      </c>
      <c r="B1600" t="str">
        <f>"1551599093192178"</f>
        <v>1551599093192178</v>
      </c>
      <c r="C1600" t="s">
        <v>40</v>
      </c>
      <c r="D1600">
        <v>5.008896</v>
      </c>
      <c r="E1600">
        <v>0.50811890000000004</v>
      </c>
      <c r="F1600" t="s">
        <v>42</v>
      </c>
      <c r="G1600">
        <v>-253.1147</v>
      </c>
      <c r="H1600">
        <v>1.0486070000000001</v>
      </c>
      <c r="I1600">
        <v>284.29450000000003</v>
      </c>
      <c r="J1600">
        <v>-252.4102</v>
      </c>
      <c r="K1600">
        <v>1.1194059999999999</v>
      </c>
      <c r="L1600">
        <v>284.26949999999999</v>
      </c>
      <c r="M1600">
        <v>-0.99980880000000005</v>
      </c>
      <c r="N1600">
        <v>-6.3082609999999999E-3</v>
      </c>
      <c r="O1600">
        <v>1.8517849999999999E-2</v>
      </c>
      <c r="P1600">
        <v>-0.99565899999999996</v>
      </c>
      <c r="Q1600">
        <v>-9.2723390000000003E-2</v>
      </c>
      <c r="R1600">
        <v>8.1243419999999997E-3</v>
      </c>
      <c r="S1600">
        <v>-2.9941559999999998</v>
      </c>
      <c r="T1600">
        <v>-0.1949881</v>
      </c>
      <c r="U1600">
        <v>8.8409420000000002E-2</v>
      </c>
      <c r="V1600">
        <v>-1.0362909999999999E-2</v>
      </c>
      <c r="W1600">
        <v>-8.6435070000000003E-2</v>
      </c>
      <c r="X1600">
        <v>0.99620359999999997</v>
      </c>
      <c r="Y1600">
        <v>1.100566E-2</v>
      </c>
      <c r="Z1600">
        <v>-6.9490759999999905E-4</v>
      </c>
      <c r="AA1600">
        <v>0.99993920000000003</v>
      </c>
      <c r="AB1600">
        <v>39</v>
      </c>
      <c r="AC1600">
        <v>-0.70449999999999502</v>
      </c>
      <c r="AD1600">
        <v>-7.0798999999999807E-2</v>
      </c>
      <c r="AE1600">
        <v>2.5000000000034099E-2</v>
      </c>
      <c r="AF1600">
        <v>1.18303026207891E-2</v>
      </c>
      <c r="AG1600">
        <v>-7.0798999999999807E-2</v>
      </c>
      <c r="AH1600">
        <v>0.69780366879225197</v>
      </c>
      <c r="AI1600">
        <v>95.792564944634293</v>
      </c>
      <c r="AJ1600">
        <v>89.028721816001607</v>
      </c>
      <c r="AK1600">
        <v>0.70148586203930396</v>
      </c>
      <c r="AL1600">
        <v>94.958552014936302</v>
      </c>
      <c r="AM1600">
        <v>90.595992216122497</v>
      </c>
      <c r="AN1600">
        <v>1.00000001194126</v>
      </c>
    </row>
    <row r="1601" spans="1:40" x14ac:dyDescent="0.25">
      <c r="A1601" t="str">
        <f>"20190303154453224"</f>
        <v>20190303154453224</v>
      </c>
      <c r="B1601" t="str">
        <f>"1551599093222434"</f>
        <v>1551599093222434</v>
      </c>
      <c r="C1601" t="s">
        <v>40</v>
      </c>
      <c r="D1601">
        <v>5.0128190000000004</v>
      </c>
      <c r="E1601">
        <v>0.50809850000000001</v>
      </c>
      <c r="F1601" t="s">
        <v>55</v>
      </c>
      <c r="G1601">
        <v>-269.6936</v>
      </c>
      <c r="H1601" s="1">
        <v>3.6216409999999998E-6</v>
      </c>
      <c r="I1601">
        <v>284.77519999999998</v>
      </c>
      <c r="J1601">
        <v>-252.78899999999999</v>
      </c>
      <c r="K1601">
        <v>1.1194839999999999</v>
      </c>
      <c r="L1601">
        <v>284.27640000000002</v>
      </c>
      <c r="M1601">
        <v>-0.99980910000000001</v>
      </c>
      <c r="N1601">
        <v>-6.3291550000000004E-3</v>
      </c>
      <c r="O1601">
        <v>1.8491400000000002E-2</v>
      </c>
      <c r="P1601">
        <v>-0.9956796</v>
      </c>
      <c r="Q1601">
        <v>-9.248932E-2</v>
      </c>
      <c r="R1601">
        <v>8.2571490000000001E-3</v>
      </c>
      <c r="S1601">
        <v>-2.9942929999999999</v>
      </c>
      <c r="T1601">
        <v>-0.19393289999999999</v>
      </c>
      <c r="U1601">
        <v>8.7615970000000001E-2</v>
      </c>
      <c r="V1601">
        <v>-1.0188330000000001E-2</v>
      </c>
      <c r="W1601">
        <v>-8.6181960000000002E-2</v>
      </c>
      <c r="X1601">
        <v>0.99622730000000004</v>
      </c>
      <c r="Y1601">
        <v>1.0766370000000001E-2</v>
      </c>
      <c r="Z1601">
        <v>-6.967535E-4</v>
      </c>
      <c r="AA1601">
        <v>0.99994179999999999</v>
      </c>
      <c r="AB1601">
        <v>39</v>
      </c>
      <c r="AC1601">
        <v>-16.904599999999899</v>
      </c>
      <c r="AD1601">
        <v>-1.1194803783589999</v>
      </c>
      <c r="AE1601">
        <v>0.49879999999996</v>
      </c>
      <c r="AF1601">
        <v>0.18530680175009701</v>
      </c>
      <c r="AG1601">
        <v>-1.1194803783589999</v>
      </c>
      <c r="AH1601">
        <v>16.837157409937699</v>
      </c>
      <c r="AI1601">
        <v>93.803692293612599</v>
      </c>
      <c r="AJ1601">
        <v>89.369438157322094</v>
      </c>
      <c r="AK1601">
        <v>16.8753502060054</v>
      </c>
      <c r="AL1601">
        <v>94.943995706827593</v>
      </c>
      <c r="AM1601">
        <v>90.585938529490306</v>
      </c>
      <c r="AN1601">
        <v>0.99999998278145996</v>
      </c>
    </row>
    <row r="1602" spans="1:40" x14ac:dyDescent="0.25">
      <c r="A1602" t="str">
        <f>"20190303154453245"</f>
        <v>20190303154453245</v>
      </c>
      <c r="B1602" t="str">
        <f>"1551599093241954"</f>
        <v>1551599093241954</v>
      </c>
      <c r="C1602" t="s">
        <v>40</v>
      </c>
      <c r="D1602">
        <v>5.0832930000000003</v>
      </c>
      <c r="E1602">
        <v>0.5080829</v>
      </c>
      <c r="F1602" t="s">
        <v>55</v>
      </c>
      <c r="G1602">
        <v>-270.34309999999999</v>
      </c>
      <c r="H1602" s="1">
        <v>-1.3618109999999999E-6</v>
      </c>
      <c r="I1602">
        <v>284.79090000000002</v>
      </c>
      <c r="J1602">
        <v>-253.15729999999999</v>
      </c>
      <c r="K1602">
        <v>1.1195580000000001</v>
      </c>
      <c r="L1602">
        <v>284.28320000000002</v>
      </c>
      <c r="M1602">
        <v>-0.99981089999999995</v>
      </c>
      <c r="N1602">
        <v>-6.3494619999999898E-3</v>
      </c>
      <c r="O1602">
        <v>1.838356E-2</v>
      </c>
      <c r="P1602">
        <v>-0.99569339999999995</v>
      </c>
      <c r="Q1602">
        <v>-9.2328720000000003E-2</v>
      </c>
      <c r="R1602">
        <v>8.3867530000000003E-3</v>
      </c>
      <c r="S1602">
        <v>-2.9945529999999998</v>
      </c>
      <c r="T1602">
        <v>-0.1909727</v>
      </c>
      <c r="U1602">
        <v>8.7768550000000001E-2</v>
      </c>
      <c r="V1602">
        <v>-9.9357609999999996E-3</v>
      </c>
      <c r="W1602">
        <v>-8.6002910000000002E-2</v>
      </c>
      <c r="X1602">
        <v>0.9962453</v>
      </c>
      <c r="Y1602">
        <v>1.0921699999999999E-2</v>
      </c>
      <c r="Z1602">
        <v>-6.7165580000000001E-4</v>
      </c>
      <c r="AA1602">
        <v>0.99994019999999995</v>
      </c>
      <c r="AB1602">
        <v>39</v>
      </c>
      <c r="AC1602">
        <v>-17.1858</v>
      </c>
      <c r="AD1602">
        <v>-1.119559361811</v>
      </c>
      <c r="AE1602">
        <v>0.50769999999999904</v>
      </c>
      <c r="AF1602">
        <v>0.19086238675848699</v>
      </c>
      <c r="AG1602">
        <v>-1.119559361811</v>
      </c>
      <c r="AH1602">
        <v>17.119640191070001</v>
      </c>
      <c r="AI1602">
        <v>93.741366452490496</v>
      </c>
      <c r="AJ1602">
        <v>89.361250817038297</v>
      </c>
      <c r="AK1602">
        <v>17.157270234131001</v>
      </c>
      <c r="AL1602">
        <v>94.933698784477599</v>
      </c>
      <c r="AM1602">
        <v>90.571403747970294</v>
      </c>
      <c r="AN1602">
        <v>0.99999995882360204</v>
      </c>
    </row>
    <row r="1603" spans="1:40" x14ac:dyDescent="0.25">
      <c r="A1603" t="str">
        <f>"20190303154453269"</f>
        <v>20190303154453269</v>
      </c>
      <c r="B1603" t="str">
        <f>"1551599093262450"</f>
        <v>1551599093262450</v>
      </c>
      <c r="C1603" t="s">
        <v>40</v>
      </c>
      <c r="D1603">
        <v>5.0300760000000002</v>
      </c>
      <c r="E1603">
        <v>0.50807230000000003</v>
      </c>
      <c r="F1603" t="s">
        <v>55</v>
      </c>
      <c r="G1603">
        <v>-270.89839999999998</v>
      </c>
      <c r="H1603" s="1">
        <v>-1.066933E-6</v>
      </c>
      <c r="I1603">
        <v>284.80439999999999</v>
      </c>
      <c r="J1603">
        <v>-253.57339999999999</v>
      </c>
      <c r="K1603">
        <v>1.119637</v>
      </c>
      <c r="L1603">
        <v>284.29059999999998</v>
      </c>
      <c r="M1603">
        <v>-0.9998148</v>
      </c>
      <c r="N1603">
        <v>-6.3724059999999997E-3</v>
      </c>
      <c r="O1603">
        <v>1.8159290000000002E-2</v>
      </c>
      <c r="P1603">
        <v>-0.99566600000000005</v>
      </c>
      <c r="Q1603">
        <v>-9.2607289999999995E-2</v>
      </c>
      <c r="R1603">
        <v>8.5516829999999992E-3</v>
      </c>
      <c r="S1603">
        <v>-2.9947050000000002</v>
      </c>
      <c r="T1603">
        <v>-0.18898190000000001</v>
      </c>
      <c r="U1603">
        <v>8.7982179999999993E-2</v>
      </c>
      <c r="V1603">
        <v>-9.5289060000000002E-3</v>
      </c>
      <c r="W1603">
        <v>-8.6260909999999996E-2</v>
      </c>
      <c r="X1603">
        <v>0.99622699999999997</v>
      </c>
      <c r="Y1603">
        <v>1.121453E-2</v>
      </c>
      <c r="Z1603">
        <v>-6.3963639999999999E-4</v>
      </c>
      <c r="AA1603">
        <v>0.99993690000000002</v>
      </c>
      <c r="AB1603">
        <v>40</v>
      </c>
      <c r="AC1603">
        <v>-17.3249999999999</v>
      </c>
      <c r="AD1603">
        <v>-1.1196380669329999</v>
      </c>
      <c r="AE1603">
        <v>0.51380000000000303</v>
      </c>
      <c r="AF1603">
        <v>0.198271839634654</v>
      </c>
      <c r="AG1603">
        <v>-1.1196380669329999</v>
      </c>
      <c r="AH1603">
        <v>17.259453379864599</v>
      </c>
      <c r="AI1603">
        <v>93.711389873614806</v>
      </c>
      <c r="AJ1603">
        <v>89.341830840602199</v>
      </c>
      <c r="AK1603">
        <v>17.2968676960609</v>
      </c>
      <c r="AL1603">
        <v>94.948536080958903</v>
      </c>
      <c r="AM1603">
        <v>90.548017116685301</v>
      </c>
      <c r="AN1603">
        <v>0.99999999008629203</v>
      </c>
    </row>
    <row r="1604" spans="1:40" x14ac:dyDescent="0.25">
      <c r="A1604" t="str">
        <f>"20190303154453291"</f>
        <v>20190303154453291</v>
      </c>
      <c r="B1604" t="str">
        <f>"1551599093281971"</f>
        <v>1551599093281971</v>
      </c>
      <c r="C1604" t="s">
        <v>40</v>
      </c>
      <c r="D1604">
        <v>5.0637080000000001</v>
      </c>
      <c r="E1604">
        <v>0.50807420000000003</v>
      </c>
      <c r="F1604" t="s">
        <v>55</v>
      </c>
      <c r="G1604">
        <v>-271.3655</v>
      </c>
      <c r="H1604" s="1">
        <v>-8.1884540000000005E-7</v>
      </c>
      <c r="I1604">
        <v>284.81549999999999</v>
      </c>
      <c r="J1604">
        <v>-253.9785</v>
      </c>
      <c r="K1604">
        <v>1.1197189999999999</v>
      </c>
      <c r="L1604">
        <v>284.2978</v>
      </c>
      <c r="M1604">
        <v>-0.9998203</v>
      </c>
      <c r="N1604">
        <v>-6.3947240000000001E-3</v>
      </c>
      <c r="O1604">
        <v>1.7845400000000001E-2</v>
      </c>
      <c r="P1604">
        <v>-0.99568310000000004</v>
      </c>
      <c r="Q1604">
        <v>-9.2365429999999998E-2</v>
      </c>
      <c r="R1604">
        <v>9.1553759999999998E-3</v>
      </c>
      <c r="S1604">
        <v>-2.9947509999999999</v>
      </c>
      <c r="T1604">
        <v>-0.1884567</v>
      </c>
      <c r="U1604">
        <v>8.8348389999999999E-2</v>
      </c>
      <c r="V1604">
        <v>-8.5937459999999993E-3</v>
      </c>
      <c r="W1604">
        <v>-8.5998489999999997E-2</v>
      </c>
      <c r="X1604">
        <v>0.99625819999999998</v>
      </c>
      <c r="Y1604">
        <v>1.164865E-2</v>
      </c>
      <c r="Z1604">
        <v>-6.0414659999999995E-4</v>
      </c>
      <c r="AA1604">
        <v>0.99993200000000004</v>
      </c>
      <c r="AB1604">
        <v>40</v>
      </c>
      <c r="AC1604">
        <v>-17.387</v>
      </c>
      <c r="AD1604">
        <v>-1.1197198188453901</v>
      </c>
      <c r="AE1604">
        <v>0.51769999999998995</v>
      </c>
      <c r="AF1604">
        <v>0.206477666354659</v>
      </c>
      <c r="AG1604">
        <v>-1.1197198188453901</v>
      </c>
      <c r="AH1604">
        <v>17.3216946136797</v>
      </c>
      <c r="AI1604">
        <v>93.698341590910502</v>
      </c>
      <c r="AJ1604">
        <v>89.317056510197204</v>
      </c>
      <c r="AK1604">
        <v>17.3590757181653</v>
      </c>
      <c r="AL1604">
        <v>94.933444407007997</v>
      </c>
      <c r="AM1604">
        <v>90.494222445584796</v>
      </c>
      <c r="AN1604">
        <v>0.99999999690991603</v>
      </c>
    </row>
    <row r="1605" spans="1:40" x14ac:dyDescent="0.25">
      <c r="A1605" t="str">
        <f>"20190303154453312"</f>
        <v>20190303154453312</v>
      </c>
      <c r="B1605" t="str">
        <f>"1551599093302466"</f>
        <v>1551599093302466</v>
      </c>
      <c r="C1605" t="s">
        <v>40</v>
      </c>
      <c r="D1605">
        <v>5.0188370000000004</v>
      </c>
      <c r="E1605">
        <v>0.50808109999999995</v>
      </c>
      <c r="F1605" t="s">
        <v>55</v>
      </c>
      <c r="G1605">
        <v>-271.96800000000002</v>
      </c>
      <c r="H1605" s="1">
        <v>-4.9926209999999998E-7</v>
      </c>
      <c r="I1605">
        <v>284.83969999999999</v>
      </c>
      <c r="J1605">
        <v>-254.3451</v>
      </c>
      <c r="K1605">
        <v>1.1198030000000001</v>
      </c>
      <c r="L1605">
        <v>284.30410000000001</v>
      </c>
      <c r="M1605">
        <v>-0.99982660000000001</v>
      </c>
      <c r="N1605">
        <v>-6.4149749999999998E-3</v>
      </c>
      <c r="O1605">
        <v>1.7486249999999998E-2</v>
      </c>
      <c r="P1605">
        <v>-0.9956043</v>
      </c>
      <c r="Q1605">
        <v>-9.3191789999999997E-2</v>
      </c>
      <c r="R1605">
        <v>9.3545099999999999E-3</v>
      </c>
      <c r="S1605">
        <v>-2.994904</v>
      </c>
      <c r="T1605">
        <v>-0.18641170000000001</v>
      </c>
      <c r="U1605">
        <v>9.0209960000000006E-2</v>
      </c>
      <c r="V1605">
        <v>-8.0183670000000002E-3</v>
      </c>
      <c r="W1605">
        <v>-8.6806599999999998E-2</v>
      </c>
      <c r="X1605">
        <v>0.99619290000000005</v>
      </c>
      <c r="Y1605">
        <v>1.262448E-2</v>
      </c>
      <c r="Z1605">
        <v>-5.4195190000000002E-4</v>
      </c>
      <c r="AA1605">
        <v>0.99992020000000004</v>
      </c>
      <c r="AB1605">
        <v>40</v>
      </c>
      <c r="AC1605">
        <v>-17.622900000000001</v>
      </c>
      <c r="AD1605">
        <v>-1.1198034992621</v>
      </c>
      <c r="AE1605">
        <v>0.53559999999998797</v>
      </c>
      <c r="AF1605">
        <v>0.22643991091356</v>
      </c>
      <c r="AG1605">
        <v>-1.1198034992621</v>
      </c>
      <c r="AH1605">
        <v>17.558740584552599</v>
      </c>
      <c r="AI1605">
        <v>93.648777008029199</v>
      </c>
      <c r="AJ1605">
        <v>89.261146778815103</v>
      </c>
      <c r="AK1605">
        <v>17.595868998882299</v>
      </c>
      <c r="AL1605">
        <v>94.979919552820903</v>
      </c>
      <c r="AM1605">
        <v>90.461164365544093</v>
      </c>
      <c r="AN1605">
        <v>0.99999998701165804</v>
      </c>
    </row>
    <row r="1606" spans="1:40" x14ac:dyDescent="0.25">
      <c r="A1606" t="str">
        <f>"20190303154453334"</f>
        <v>20190303154453334</v>
      </c>
      <c r="B1606" t="str">
        <f>"1551599093331746"</f>
        <v>1551599093331746</v>
      </c>
      <c r="C1606" t="s">
        <v>40</v>
      </c>
      <c r="D1606">
        <v>5.072667</v>
      </c>
      <c r="E1606">
        <v>0.50806130000000005</v>
      </c>
      <c r="F1606" t="s">
        <v>55</v>
      </c>
      <c r="G1606">
        <v>-272.22340000000003</v>
      </c>
      <c r="H1606" s="1">
        <v>-3.6370050000000002E-7</v>
      </c>
      <c r="I1606">
        <v>284.84719999999999</v>
      </c>
      <c r="J1606">
        <v>-254.7484</v>
      </c>
      <c r="K1606">
        <v>1.1198889999999999</v>
      </c>
      <c r="L1606">
        <v>284.31079999999997</v>
      </c>
      <c r="M1606">
        <v>-0.99983449999999996</v>
      </c>
      <c r="N1606">
        <v>-6.4372939999999997E-3</v>
      </c>
      <c r="O1606">
        <v>1.7018499999999999E-2</v>
      </c>
      <c r="P1606">
        <v>-0.99564459999999999</v>
      </c>
      <c r="Q1606">
        <v>-9.2780249999999995E-2</v>
      </c>
      <c r="R1606">
        <v>9.1632880000000003E-3</v>
      </c>
      <c r="S1606">
        <v>-2.9948429999999999</v>
      </c>
      <c r="T1606">
        <v>-0.18758169999999999</v>
      </c>
      <c r="U1606">
        <v>9.0972899999999995E-2</v>
      </c>
      <c r="V1606">
        <v>-7.726045E-3</v>
      </c>
      <c r="W1606">
        <v>-8.6374069999999997E-2</v>
      </c>
      <c r="X1606">
        <v>0.99623280000000003</v>
      </c>
      <c r="Y1606">
        <v>1.334511E-2</v>
      </c>
      <c r="Z1606">
        <v>-4.9467309999999998E-4</v>
      </c>
      <c r="AA1606">
        <v>0.99991079999999999</v>
      </c>
      <c r="AB1606">
        <v>40</v>
      </c>
      <c r="AC1606">
        <v>-17.475000000000001</v>
      </c>
      <c r="AD1606">
        <v>-1.1198893637005001</v>
      </c>
      <c r="AE1606">
        <v>0.53640000000001398</v>
      </c>
      <c r="AF1606">
        <v>0.237941590790577</v>
      </c>
      <c r="AG1606">
        <v>-1.1198893637005001</v>
      </c>
      <c r="AH1606">
        <v>17.410163207489099</v>
      </c>
      <c r="AI1606">
        <v>93.680074102091694</v>
      </c>
      <c r="AJ1606">
        <v>89.216997563272002</v>
      </c>
      <c r="AK1606">
        <v>17.447766369910099</v>
      </c>
      <c r="AL1606">
        <v>94.955044002246794</v>
      </c>
      <c r="AM1606">
        <v>90.444334794532793</v>
      </c>
      <c r="AN1606">
        <v>0.99999998176777305</v>
      </c>
    </row>
    <row r="1607" spans="1:40" x14ac:dyDescent="0.25">
      <c r="A1607" t="str">
        <f>"20190303154453359"</f>
        <v>20190303154453359</v>
      </c>
      <c r="B1607" t="str">
        <f>"1551599093352243"</f>
        <v>1551599093352243</v>
      </c>
      <c r="C1607" t="s">
        <v>40</v>
      </c>
      <c r="D1607">
        <v>5.1604769999999904</v>
      </c>
      <c r="E1607">
        <v>0.5075558</v>
      </c>
      <c r="F1607" t="s">
        <v>55</v>
      </c>
      <c r="G1607">
        <v>-272.8596</v>
      </c>
      <c r="H1607" s="1">
        <v>-2.557493E-8</v>
      </c>
      <c r="I1607">
        <v>284.85649999999998</v>
      </c>
      <c r="J1607">
        <v>-255.18090000000001</v>
      </c>
      <c r="K1607">
        <v>1.11998</v>
      </c>
      <c r="L1607">
        <v>284.3177</v>
      </c>
      <c r="M1607">
        <v>-0.99984399999999996</v>
      </c>
      <c r="N1607">
        <v>-6.4610609999999997E-3</v>
      </c>
      <c r="O1607">
        <v>1.6448460000000002E-2</v>
      </c>
      <c r="P1607">
        <v>-0.9956159</v>
      </c>
      <c r="Q1607">
        <v>-9.309423E-2</v>
      </c>
      <c r="R1607">
        <v>9.0883119999999994E-3</v>
      </c>
      <c r="S1607">
        <v>-2.9950260000000002</v>
      </c>
      <c r="T1607">
        <v>-0.18519559999999999</v>
      </c>
      <c r="U1607">
        <v>9.0240479999999998E-2</v>
      </c>
      <c r="V1607">
        <v>-7.2156669999999899E-3</v>
      </c>
      <c r="W1607">
        <v>-8.6665710000000007E-2</v>
      </c>
      <c r="X1607">
        <v>0.99621130000000002</v>
      </c>
      <c r="Y1607">
        <v>1.366739E-2</v>
      </c>
      <c r="Z1607">
        <v>-4.433436E-4</v>
      </c>
      <c r="AA1607">
        <v>0.99990650000000003</v>
      </c>
      <c r="AB1607">
        <v>40</v>
      </c>
      <c r="AC1607">
        <v>-17.6786999999999</v>
      </c>
      <c r="AD1607">
        <v>-1.1199800255749299</v>
      </c>
      <c r="AE1607">
        <v>0.53879999999997996</v>
      </c>
      <c r="AF1607">
        <v>0.24694351227306799</v>
      </c>
      <c r="AG1607">
        <v>-1.1199800255749299</v>
      </c>
      <c r="AH1607">
        <v>17.614541043701401</v>
      </c>
      <c r="AI1607">
        <v>93.637766269121997</v>
      </c>
      <c r="AJ1607">
        <v>89.196805970381007</v>
      </c>
      <c r="AK1607">
        <v>17.651838219748701</v>
      </c>
      <c r="AL1607">
        <v>94.971816634452097</v>
      </c>
      <c r="AM1607">
        <v>90.414992317264904</v>
      </c>
      <c r="AN1607">
        <v>0.99999998269387402</v>
      </c>
    </row>
    <row r="1608" spans="1:40" x14ac:dyDescent="0.25">
      <c r="A1608" t="str">
        <f>"20190303154453381"</f>
        <v>20190303154453381</v>
      </c>
      <c r="B1608" t="str">
        <f>"1551599093371762"</f>
        <v>1551599093371762</v>
      </c>
      <c r="C1608" t="s">
        <v>40</v>
      </c>
      <c r="D1608">
        <v>5.0442359999999997</v>
      </c>
      <c r="E1608">
        <v>0.50630659999999905</v>
      </c>
      <c r="F1608" t="s">
        <v>57</v>
      </c>
      <c r="G1608">
        <v>-291.8417</v>
      </c>
      <c r="H1608" s="1">
        <v>2.468248E-6</v>
      </c>
      <c r="I1608">
        <v>285.35059999999999</v>
      </c>
      <c r="J1608">
        <v>-255.5761</v>
      </c>
      <c r="K1608">
        <v>1.120044</v>
      </c>
      <c r="L1608">
        <v>284.32389999999998</v>
      </c>
      <c r="M1608">
        <v>-0.99985299999999999</v>
      </c>
      <c r="N1608">
        <v>-6.4825789999999996E-3</v>
      </c>
      <c r="O1608">
        <v>1.5878630000000001E-2</v>
      </c>
      <c r="P1608">
        <v>-0.99568029999999996</v>
      </c>
      <c r="Q1608">
        <v>-9.2463450000000003E-2</v>
      </c>
      <c r="R1608">
        <v>8.4680799999999994E-3</v>
      </c>
      <c r="S1608">
        <v>-3.00386</v>
      </c>
      <c r="T1608">
        <v>-9.1767070000000006E-2</v>
      </c>
      <c r="U1608">
        <v>8.4625240000000004E-2</v>
      </c>
      <c r="V1608">
        <v>-7.2555060000000001E-3</v>
      </c>
      <c r="W1608">
        <v>-8.6014320000000005E-2</v>
      </c>
      <c r="X1608">
        <v>0.99626749999999997</v>
      </c>
      <c r="Y1608">
        <v>1.228242E-2</v>
      </c>
      <c r="Z1608">
        <v>-1.5456899999999999E-4</v>
      </c>
      <c r="AA1608">
        <v>0.99992449999999999</v>
      </c>
      <c r="AB1608">
        <v>40</v>
      </c>
      <c r="AC1608">
        <v>-36.265599999999999</v>
      </c>
      <c r="AD1608">
        <v>-1.1200415317520001</v>
      </c>
      <c r="AE1608">
        <v>1.0266999999999999</v>
      </c>
      <c r="AF1608">
        <v>0.45028130631011398</v>
      </c>
      <c r="AG1608">
        <v>-1.1200415317520001</v>
      </c>
      <c r="AH1608">
        <v>36.242788238261902</v>
      </c>
      <c r="AI1608">
        <v>91.769960047897996</v>
      </c>
      <c r="AJ1608">
        <v>89.288192426759807</v>
      </c>
      <c r="AK1608">
        <v>36.262886613880497</v>
      </c>
      <c r="AL1608">
        <v>94.934354665268899</v>
      </c>
      <c r="AM1608">
        <v>90.417259945601103</v>
      </c>
      <c r="AN1608">
        <v>1.0000000185843101</v>
      </c>
    </row>
    <row r="1609" spans="1:40" x14ac:dyDescent="0.25">
      <c r="A1609" t="str">
        <f>"20190303154453405"</f>
        <v>20190303154453405</v>
      </c>
      <c r="B1609" t="str">
        <f>"1551599093402018"</f>
        <v>1551599093402018</v>
      </c>
      <c r="C1609" t="s">
        <v>40</v>
      </c>
      <c r="D1609">
        <v>5.0236219999999996</v>
      </c>
      <c r="E1609">
        <v>0.50578100000000004</v>
      </c>
      <c r="F1609" t="s">
        <v>57</v>
      </c>
      <c r="G1609">
        <v>-292.62009999999998</v>
      </c>
      <c r="H1609" s="1">
        <v>2.6179299999999999E-6</v>
      </c>
      <c r="I1609">
        <v>285.21769999999998</v>
      </c>
      <c r="J1609">
        <v>-256.01609999999999</v>
      </c>
      <c r="K1609">
        <v>1.120098</v>
      </c>
      <c r="L1609">
        <v>284.33030000000002</v>
      </c>
      <c r="M1609">
        <v>-0.99986330000000001</v>
      </c>
      <c r="N1609">
        <v>-6.5062669999999996E-3</v>
      </c>
      <c r="O1609">
        <v>1.5203879999999999E-2</v>
      </c>
      <c r="P1609">
        <v>-0.99579130000000005</v>
      </c>
      <c r="Q1609">
        <v>-9.1404050000000001E-2</v>
      </c>
      <c r="R1609">
        <v>6.7242980000000001E-3</v>
      </c>
      <c r="S1609">
        <v>-3.0039669999999998</v>
      </c>
      <c r="T1609">
        <v>-9.0826390000000007E-2</v>
      </c>
      <c r="U1609">
        <v>7.2479249999999995E-2</v>
      </c>
      <c r="V1609">
        <v>-8.3175530000000001E-3</v>
      </c>
      <c r="W1609">
        <v>-8.4933040000000001E-2</v>
      </c>
      <c r="X1609">
        <v>0.99635200000000002</v>
      </c>
      <c r="Y1609">
        <v>8.9175820000000003E-3</v>
      </c>
      <c r="Z1609">
        <v>-1.9680779999999999E-4</v>
      </c>
      <c r="AA1609">
        <v>0.99996019999999997</v>
      </c>
      <c r="AB1609">
        <v>40</v>
      </c>
      <c r="AC1609">
        <v>-36.6039999999999</v>
      </c>
      <c r="AD1609">
        <v>-1.1200953820699999</v>
      </c>
      <c r="AE1609">
        <v>0.887399999999956</v>
      </c>
      <c r="AF1609">
        <v>0.33045360297902698</v>
      </c>
      <c r="AG1609">
        <v>-1.1200953820699999</v>
      </c>
      <c r="AH1609">
        <v>36.579029317057199</v>
      </c>
      <c r="AI1609">
        <v>91.753848466062493</v>
      </c>
      <c r="AJ1609">
        <v>89.482406119526999</v>
      </c>
      <c r="AK1609">
        <v>36.597666578988203</v>
      </c>
      <c r="AL1609">
        <v>94.872174149491798</v>
      </c>
      <c r="AM1609">
        <v>90.478294430943606</v>
      </c>
      <c r="AN1609">
        <v>1.0000000554377699</v>
      </c>
    </row>
    <row r="1610" spans="1:40" x14ac:dyDescent="0.25">
      <c r="A1610" t="str">
        <f>"20190303154453426"</f>
        <v>20190303154453426</v>
      </c>
      <c r="B1610" t="str">
        <f>"1551599093422515"</f>
        <v>1551599093422515</v>
      </c>
      <c r="C1610" t="s">
        <v>40</v>
      </c>
      <c r="D1610">
        <v>5.0331890000000001</v>
      </c>
      <c r="E1610">
        <v>0.5055904</v>
      </c>
      <c r="F1610" t="s">
        <v>57</v>
      </c>
      <c r="G1610">
        <v>-293.3322</v>
      </c>
      <c r="H1610" s="1">
        <v>2.7533299999999902E-6</v>
      </c>
      <c r="I1610">
        <v>285.1139</v>
      </c>
      <c r="J1610">
        <v>-256.38630000000001</v>
      </c>
      <c r="K1610">
        <v>1.1201380000000001</v>
      </c>
      <c r="L1610">
        <v>284.33550000000002</v>
      </c>
      <c r="M1610">
        <v>-0.99987190000000004</v>
      </c>
      <c r="N1610">
        <v>-6.5261590000000001E-3</v>
      </c>
      <c r="O1610">
        <v>1.4617460000000001E-2</v>
      </c>
      <c r="P1610">
        <v>-0.99575930000000001</v>
      </c>
      <c r="Q1610">
        <v>-9.1847899999999996E-2</v>
      </c>
      <c r="R1610">
        <v>5.2378620000000002E-3</v>
      </c>
      <c r="S1610">
        <v>-3.0039669999999998</v>
      </c>
      <c r="T1610">
        <v>-9.0168120000000004E-2</v>
      </c>
      <c r="U1610">
        <v>6.3079830000000003E-2</v>
      </c>
      <c r="V1610">
        <v>-9.2108720000000002E-3</v>
      </c>
      <c r="W1610">
        <v>-8.5359329999999997E-2</v>
      </c>
      <c r="X1610">
        <v>0.99630770000000002</v>
      </c>
      <c r="Y1610">
        <v>6.3779569999999897E-3</v>
      </c>
      <c r="Z1610">
        <v>-2.2670190000000001E-4</v>
      </c>
      <c r="AA1610">
        <v>0.99997959999999997</v>
      </c>
      <c r="AB1610">
        <v>40</v>
      </c>
      <c r="AC1610">
        <v>-36.945900000000002</v>
      </c>
      <c r="AD1610">
        <v>-1.1201352466700001</v>
      </c>
      <c r="AE1610">
        <v>0.778399999999976</v>
      </c>
      <c r="AF1610">
        <v>0.23803143540209701</v>
      </c>
      <c r="AG1610">
        <v>-1.1201352466700001</v>
      </c>
      <c r="AH1610">
        <v>36.919409836200003</v>
      </c>
      <c r="AI1610">
        <v>91.737785301390801</v>
      </c>
      <c r="AJ1610">
        <v>89.630600604550594</v>
      </c>
      <c r="AK1610">
        <v>36.937165356702401</v>
      </c>
      <c r="AL1610">
        <v>94.896687843205598</v>
      </c>
      <c r="AM1610">
        <v>90.529684811779305</v>
      </c>
      <c r="AN1610">
        <v>1.00000004423016</v>
      </c>
    </row>
    <row r="1611" spans="1:40" x14ac:dyDescent="0.25">
      <c r="A1611" t="str">
        <f>"20190303154453447"</f>
        <v>20190303154453447</v>
      </c>
      <c r="B1611" t="str">
        <f>"1551599093442035"</f>
        <v>1551599093442035</v>
      </c>
      <c r="C1611" t="s">
        <v>40</v>
      </c>
      <c r="D1611">
        <v>5.0544949999999904</v>
      </c>
      <c r="E1611">
        <v>0.50550130000000004</v>
      </c>
      <c r="F1611" t="s">
        <v>57</v>
      </c>
      <c r="G1611">
        <v>-292.76100000000002</v>
      </c>
      <c r="H1611" s="1">
        <v>2.659512E-6</v>
      </c>
      <c r="I1611">
        <v>285.02800000000002</v>
      </c>
      <c r="J1611">
        <v>-256.78140000000002</v>
      </c>
      <c r="K1611">
        <v>1.1201680000000001</v>
      </c>
      <c r="L1611">
        <v>284.34089999999998</v>
      </c>
      <c r="M1611">
        <v>-0.99988100000000002</v>
      </c>
      <c r="N1611">
        <v>-6.5473440000000001E-3</v>
      </c>
      <c r="O1611">
        <v>1.3979689999999999E-2</v>
      </c>
      <c r="P1611">
        <v>-0.99570230000000004</v>
      </c>
      <c r="Q1611">
        <v>-9.2503909999999995E-2</v>
      </c>
      <c r="R1611">
        <v>4.5080509999999999E-3</v>
      </c>
      <c r="S1611">
        <v>-3.0039370000000001</v>
      </c>
      <c r="T1611">
        <v>-9.2504260000000005E-2</v>
      </c>
      <c r="U1611">
        <v>5.7189940000000002E-2</v>
      </c>
      <c r="V1611">
        <v>-9.2963509999999996E-3</v>
      </c>
      <c r="W1611">
        <v>-8.5995539999999995E-2</v>
      </c>
      <c r="X1611">
        <v>0.99625220000000003</v>
      </c>
      <c r="Y1611">
        <v>5.0567700000000004E-3</v>
      </c>
      <c r="Z1611">
        <v>-2.4442369999999998E-4</v>
      </c>
      <c r="AA1611">
        <v>0.99998719999999996</v>
      </c>
      <c r="AB1611">
        <v>40</v>
      </c>
      <c r="AC1611">
        <v>-35.979599999999898</v>
      </c>
      <c r="AD1611">
        <v>-1.1201653404880001</v>
      </c>
      <c r="AE1611">
        <v>0.68710000000004301</v>
      </c>
      <c r="AF1611">
        <v>0.18386034846171401</v>
      </c>
      <c r="AG1611">
        <v>-1.1201653404880001</v>
      </c>
      <c r="AH1611">
        <v>35.950855620095197</v>
      </c>
      <c r="AI1611">
        <v>91.784634863202498</v>
      </c>
      <c r="AJ1611">
        <v>89.706979709851893</v>
      </c>
      <c r="AK1611">
        <v>35.968772495523098</v>
      </c>
      <c r="AL1611">
        <v>94.933274490822598</v>
      </c>
      <c r="AM1611">
        <v>90.534629904261095</v>
      </c>
      <c r="AN1611">
        <v>1.00000005052332</v>
      </c>
    </row>
    <row r="1612" spans="1:40" x14ac:dyDescent="0.25">
      <c r="A1612" t="str">
        <f>"20190303154453470"</f>
        <v>20190303154453470</v>
      </c>
      <c r="B1612" t="str">
        <f>"1551599093462531"</f>
        <v>1551599093462531</v>
      </c>
      <c r="C1612" t="s">
        <v>40</v>
      </c>
      <c r="D1612">
        <v>5.0121669999999998</v>
      </c>
      <c r="E1612">
        <v>0.50556020000000002</v>
      </c>
      <c r="F1612" t="s">
        <v>57</v>
      </c>
      <c r="G1612">
        <v>-291.40649999999999</v>
      </c>
      <c r="H1612" s="1">
        <v>2.4244640000000001E-6</v>
      </c>
      <c r="I1612">
        <v>284.96839999999997</v>
      </c>
      <c r="J1612">
        <v>-257.19389999999999</v>
      </c>
      <c r="K1612">
        <v>1.1202030000000001</v>
      </c>
      <c r="L1612">
        <v>284.34609999999998</v>
      </c>
      <c r="M1612">
        <v>-0.99988999999999995</v>
      </c>
      <c r="N1612">
        <v>-6.5695550000000004E-3</v>
      </c>
      <c r="O1612">
        <v>1.3307080000000001E-2</v>
      </c>
      <c r="P1612">
        <v>-0.99570349999999996</v>
      </c>
      <c r="Q1612">
        <v>-9.2522469999999996E-2</v>
      </c>
      <c r="R1612">
        <v>3.7486910000000002E-3</v>
      </c>
      <c r="S1612">
        <v>-3.0036619999999998</v>
      </c>
      <c r="T1612">
        <v>-9.7172140000000004E-2</v>
      </c>
      <c r="U1612">
        <v>5.4443360000000003E-2</v>
      </c>
      <c r="V1612">
        <v>-9.3799620000000004E-3</v>
      </c>
      <c r="W1612">
        <v>-8.5992810000000003E-2</v>
      </c>
      <c r="X1612">
        <v>0.99625160000000001</v>
      </c>
      <c r="Y1612">
        <v>4.8172839999999998E-3</v>
      </c>
      <c r="Z1612">
        <v>-2.4920239999999999E-4</v>
      </c>
      <c r="AA1612">
        <v>0.9999884</v>
      </c>
      <c r="AB1612">
        <v>41</v>
      </c>
      <c r="AC1612">
        <v>-34.212600000000002</v>
      </c>
      <c r="AD1612">
        <v>-1.1202005755360001</v>
      </c>
      <c r="AE1612">
        <v>0.62229999999999497</v>
      </c>
      <c r="AF1612">
        <v>0.16678657781429301</v>
      </c>
      <c r="AG1612">
        <v>-1.1202005755360001</v>
      </c>
      <c r="AH1612">
        <v>34.181219527115402</v>
      </c>
      <c r="AI1612">
        <v>91.877026026402106</v>
      </c>
      <c r="AJ1612">
        <v>89.720428607301997</v>
      </c>
      <c r="AK1612">
        <v>34.199977126495597</v>
      </c>
      <c r="AL1612">
        <v>94.933117747656595</v>
      </c>
      <c r="AM1612">
        <v>90.539438385695604</v>
      </c>
      <c r="AN1612">
        <v>0.99999999878068802</v>
      </c>
    </row>
    <row r="1613" spans="1:40" x14ac:dyDescent="0.25">
      <c r="A1613" t="str">
        <f>"20190303154453491"</f>
        <v>20190303154453491</v>
      </c>
      <c r="B1613" t="str">
        <f>"1551599093482063"</f>
        <v>1551599093482063</v>
      </c>
      <c r="C1613" t="s">
        <v>40</v>
      </c>
      <c r="D1613">
        <v>5.0779809999999896</v>
      </c>
      <c r="E1613">
        <v>0.50520169999999998</v>
      </c>
      <c r="F1613" t="s">
        <v>57</v>
      </c>
      <c r="G1613">
        <v>-291.27</v>
      </c>
      <c r="H1613" s="1">
        <v>2.4021269999999999E-6</v>
      </c>
      <c r="I1613">
        <v>284.9468</v>
      </c>
      <c r="J1613">
        <v>-257.58429999999998</v>
      </c>
      <c r="K1613">
        <v>1.120236</v>
      </c>
      <c r="L1613">
        <v>284.35090000000002</v>
      </c>
      <c r="M1613">
        <v>-0.99989810000000001</v>
      </c>
      <c r="N1613">
        <v>-6.5905460000000001E-3</v>
      </c>
      <c r="O1613">
        <v>1.266809E-2</v>
      </c>
      <c r="P1613">
        <v>-0.99575570000000002</v>
      </c>
      <c r="Q1613">
        <v>-9.1992909999999997E-2</v>
      </c>
      <c r="R1613">
        <v>2.8982069999999999E-3</v>
      </c>
      <c r="S1613">
        <v>-3.003571</v>
      </c>
      <c r="T1613">
        <v>-9.873796E-2</v>
      </c>
      <c r="U1613">
        <v>5.2948000000000002E-2</v>
      </c>
      <c r="V1613">
        <v>-9.5894380000000005E-3</v>
      </c>
      <c r="W1613">
        <v>-8.5442950000000004E-2</v>
      </c>
      <c r="X1613">
        <v>0.99629690000000004</v>
      </c>
      <c r="Y1613">
        <v>4.9589569999999999E-3</v>
      </c>
      <c r="Z1613">
        <v>-2.3498139999999999E-4</v>
      </c>
      <c r="AA1613">
        <v>0.99998770000000003</v>
      </c>
      <c r="AB1613">
        <v>41</v>
      </c>
      <c r="AC1613">
        <v>-33.685699999999997</v>
      </c>
      <c r="AD1613">
        <v>-1.120233597873</v>
      </c>
      <c r="AE1613">
        <v>0.59589999999997101</v>
      </c>
      <c r="AF1613">
        <v>0.16892270295544401</v>
      </c>
      <c r="AG1613">
        <v>-1.120233597873</v>
      </c>
      <c r="AH1613">
        <v>33.653339446773998</v>
      </c>
      <c r="AI1613">
        <v>91.906501989973407</v>
      </c>
      <c r="AJ1613">
        <v>89.712406649121107</v>
      </c>
      <c r="AK1613">
        <v>33.672402856243799</v>
      </c>
      <c r="AL1613">
        <v>94.901496779727907</v>
      </c>
      <c r="AM1613">
        <v>90.551459468873801</v>
      </c>
      <c r="AN1613">
        <v>0.99999998398773404</v>
      </c>
    </row>
    <row r="1614" spans="1:40" x14ac:dyDescent="0.25">
      <c r="A1614" t="str">
        <f>"20190303154453514"</f>
        <v>20190303154453514</v>
      </c>
      <c r="B1614" t="str">
        <f>"1551599093502550"</f>
        <v>1551599093502550</v>
      </c>
      <c r="C1614" t="s">
        <v>40</v>
      </c>
      <c r="D1614">
        <v>5.058516</v>
      </c>
      <c r="E1614">
        <v>0.50479669999999999</v>
      </c>
      <c r="F1614" t="s">
        <v>57</v>
      </c>
      <c r="G1614">
        <v>-293.90280000000001</v>
      </c>
      <c r="H1614" s="1">
        <v>2.871456E-6</v>
      </c>
      <c r="I1614">
        <v>284.9205</v>
      </c>
      <c r="J1614">
        <v>-257.98680000000002</v>
      </c>
      <c r="K1614">
        <v>1.12026</v>
      </c>
      <c r="L1614">
        <v>284.35550000000001</v>
      </c>
      <c r="M1614">
        <v>-0.99990619999999997</v>
      </c>
      <c r="N1614">
        <v>-6.6120730000000004E-3</v>
      </c>
      <c r="O1614">
        <v>1.20082E-2</v>
      </c>
      <c r="P1614">
        <v>-0.9958998</v>
      </c>
      <c r="Q1614">
        <v>-9.0440510000000002E-2</v>
      </c>
      <c r="R1614">
        <v>2.1199080000000002E-3</v>
      </c>
      <c r="S1614">
        <v>-3.0041500000000001</v>
      </c>
      <c r="T1614">
        <v>-9.2661980000000005E-2</v>
      </c>
      <c r="U1614">
        <v>4.7119139999999997E-2</v>
      </c>
      <c r="V1614">
        <v>-9.7099839999999996E-3</v>
      </c>
      <c r="W1614">
        <v>-8.3868940000000003E-2</v>
      </c>
      <c r="X1614">
        <v>0.99642949999999997</v>
      </c>
      <c r="Y1614">
        <v>3.676038E-3</v>
      </c>
      <c r="Z1614">
        <v>-2.2204540000000001E-4</v>
      </c>
      <c r="AA1614">
        <v>0.99999320000000003</v>
      </c>
      <c r="AB1614">
        <v>41</v>
      </c>
      <c r="AC1614">
        <v>-35.915999999999997</v>
      </c>
      <c r="AD1614">
        <v>-1.1202571285439999</v>
      </c>
      <c r="AE1614">
        <v>0.56499999999999695</v>
      </c>
      <c r="AF1614">
        <v>0.13353351193749999</v>
      </c>
      <c r="AG1614">
        <v>-1.1202571285439999</v>
      </c>
      <c r="AH1614">
        <v>35.885291623572797</v>
      </c>
      <c r="AI1614">
        <v>91.788050759092997</v>
      </c>
      <c r="AJ1614">
        <v>89.786796456198402</v>
      </c>
      <c r="AK1614">
        <v>35.9030216296864</v>
      </c>
      <c r="AL1614">
        <v>94.810987580414803</v>
      </c>
      <c r="AM1614">
        <v>90.558316963883499</v>
      </c>
      <c r="AN1614">
        <v>1.0000000156781199</v>
      </c>
    </row>
    <row r="1615" spans="1:40" x14ac:dyDescent="0.25">
      <c r="A1615" t="str">
        <f>"20190303154453535"</f>
        <v>20190303154453535</v>
      </c>
      <c r="B1615" t="str">
        <f>"1551599093531826"</f>
        <v>1551599093531826</v>
      </c>
      <c r="C1615" t="s">
        <v>40</v>
      </c>
      <c r="D1615">
        <v>5.0301679999999998</v>
      </c>
      <c r="E1615">
        <v>0.50468250000000003</v>
      </c>
      <c r="F1615" t="s">
        <v>57</v>
      </c>
      <c r="G1615">
        <v>-298.2226</v>
      </c>
      <c r="H1615" s="1">
        <v>3.638553E-6</v>
      </c>
      <c r="I1615">
        <v>284.91090000000003</v>
      </c>
      <c r="J1615">
        <v>-258.38920000000002</v>
      </c>
      <c r="K1615">
        <v>1.1202890000000001</v>
      </c>
      <c r="L1615">
        <v>284.35989999999998</v>
      </c>
      <c r="M1615">
        <v>-0.99991370000000002</v>
      </c>
      <c r="N1615">
        <v>-6.6337059999999996E-3</v>
      </c>
      <c r="O1615">
        <v>1.1349049999999999E-2</v>
      </c>
      <c r="P1615">
        <v>-0.99590769999999995</v>
      </c>
      <c r="Q1615">
        <v>-9.0366310000000005E-2</v>
      </c>
      <c r="R1615">
        <v>1.472594E-3</v>
      </c>
      <c r="S1615">
        <v>-3.0046689999999998</v>
      </c>
      <c r="T1615">
        <v>-8.3656910000000001E-2</v>
      </c>
      <c r="U1615">
        <v>4.1473389999999999E-2</v>
      </c>
      <c r="V1615">
        <v>-9.6972340000000008E-3</v>
      </c>
      <c r="W1615">
        <v>-8.377358E-2</v>
      </c>
      <c r="X1615">
        <v>0.99643760000000003</v>
      </c>
      <c r="Y1615">
        <v>2.4539319999999998E-3</v>
      </c>
      <c r="Z1615">
        <v>-1.98326E-4</v>
      </c>
      <c r="AA1615">
        <v>0.99999700000000002</v>
      </c>
      <c r="AB1615">
        <v>41</v>
      </c>
      <c r="AC1615">
        <v>-39.833399999999898</v>
      </c>
      <c r="AD1615">
        <v>-1.1202853614470001</v>
      </c>
      <c r="AE1615">
        <v>0.55100000000004401</v>
      </c>
      <c r="AF1615">
        <v>9.8805228104703297E-2</v>
      </c>
      <c r="AG1615">
        <v>-1.1202853614470001</v>
      </c>
      <c r="AH1615">
        <v>39.805608774534697</v>
      </c>
      <c r="AI1615">
        <v>91.612096593190003</v>
      </c>
      <c r="AJ1615">
        <v>89.857781073774305</v>
      </c>
      <c r="AK1615">
        <v>39.821492835847998</v>
      </c>
      <c r="AL1615">
        <v>94.805504779779895</v>
      </c>
      <c r="AM1615">
        <v>90.557579362253605</v>
      </c>
      <c r="AN1615">
        <v>0.99999996987351303</v>
      </c>
    </row>
    <row r="1616" spans="1:40" x14ac:dyDescent="0.25">
      <c r="A1616" t="str">
        <f>"20190303154453558"</f>
        <v>20190303154453558</v>
      </c>
      <c r="B1616" t="str">
        <f>"1551599093552322"</f>
        <v>1551599093552322</v>
      </c>
      <c r="C1616" t="s">
        <v>40</v>
      </c>
      <c r="D1616">
        <v>5.0297859999999996</v>
      </c>
      <c r="E1616">
        <v>0.50456509999999999</v>
      </c>
      <c r="F1616" t="s">
        <v>57</v>
      </c>
      <c r="G1616">
        <v>-301.24979999999999</v>
      </c>
      <c r="H1616" s="1">
        <v>3.7175750000000001E-6</v>
      </c>
      <c r="I1616">
        <v>284.90609999999998</v>
      </c>
      <c r="J1616">
        <v>-258.7944</v>
      </c>
      <c r="K1616">
        <v>1.1203050000000001</v>
      </c>
      <c r="L1616">
        <v>284.36399999999998</v>
      </c>
      <c r="M1616">
        <v>-0.9999209</v>
      </c>
      <c r="N1616">
        <v>-6.655368E-3</v>
      </c>
      <c r="O1616">
        <v>1.0685750000000001E-2</v>
      </c>
      <c r="P1616">
        <v>-0.9958593</v>
      </c>
      <c r="Q1616">
        <v>-9.0901090000000004E-2</v>
      </c>
      <c r="R1616">
        <v>1.3067619999999999E-3</v>
      </c>
      <c r="S1616">
        <v>-3.0051570000000001</v>
      </c>
      <c r="T1616">
        <v>-7.8548549999999995E-2</v>
      </c>
      <c r="U1616">
        <v>3.8299560000000003E-2</v>
      </c>
      <c r="V1616">
        <v>-9.197462E-3</v>
      </c>
      <c r="W1616">
        <v>-8.4286669999999994E-2</v>
      </c>
      <c r="X1616">
        <v>0.99639909999999998</v>
      </c>
      <c r="Y1616">
        <v>2.0588709999999999E-3</v>
      </c>
      <c r="Z1616">
        <v>-1.7437219999999999E-4</v>
      </c>
      <c r="AA1616">
        <v>0.9999979</v>
      </c>
      <c r="AB1616">
        <v>41</v>
      </c>
      <c r="AC1616">
        <v>-42.455399999999997</v>
      </c>
      <c r="AD1616">
        <v>-1.1203012824249901</v>
      </c>
      <c r="AE1616">
        <v>0.54209999999994796</v>
      </c>
      <c r="AF1616">
        <v>8.8329779297843705E-2</v>
      </c>
      <c r="AG1616">
        <v>-1.1203012824249901</v>
      </c>
      <c r="AH1616">
        <v>42.429229646618097</v>
      </c>
      <c r="AI1616">
        <v>91.512482933166396</v>
      </c>
      <c r="AJ1616">
        <v>89.880720996115301</v>
      </c>
      <c r="AK1616">
        <v>42.444109196904698</v>
      </c>
      <c r="AL1616">
        <v>94.8350068634563</v>
      </c>
      <c r="AM1616">
        <v>90.528865179083496</v>
      </c>
      <c r="AN1616">
        <v>1.0000000012638699</v>
      </c>
    </row>
    <row r="1617" spans="1:40" x14ac:dyDescent="0.25">
      <c r="A1617" t="str">
        <f>"20190303154453583"</f>
        <v>20190303154453583</v>
      </c>
      <c r="B1617" t="str">
        <f>"1551599093571844"</f>
        <v>1551599093571844</v>
      </c>
      <c r="C1617" t="s">
        <v>40</v>
      </c>
      <c r="D1617">
        <v>5.0001530000000001</v>
      </c>
      <c r="E1617">
        <v>0.50441829999999999</v>
      </c>
      <c r="F1617" t="s">
        <v>57</v>
      </c>
      <c r="G1617">
        <v>-302.26609999999999</v>
      </c>
      <c r="H1617" s="1">
        <v>3.5380240000000001E-6</v>
      </c>
      <c r="I1617">
        <v>284.89769999999999</v>
      </c>
      <c r="J1617">
        <v>-259.24349999999998</v>
      </c>
      <c r="K1617">
        <v>1.120322</v>
      </c>
      <c r="L1617">
        <v>284.36829999999998</v>
      </c>
      <c r="M1617">
        <v>-0.99992829999999999</v>
      </c>
      <c r="N1617">
        <v>-6.6790399999999998E-3</v>
      </c>
      <c r="O1617">
        <v>9.9503990000000004E-3</v>
      </c>
      <c r="P1617">
        <v>-0.99582660000000001</v>
      </c>
      <c r="Q1617">
        <v>-9.1251570000000004E-2</v>
      </c>
      <c r="R1617">
        <v>1.7175329999999901E-3</v>
      </c>
      <c r="S1617">
        <v>-3.0053709999999998</v>
      </c>
      <c r="T1617">
        <v>-7.7450870000000005E-2</v>
      </c>
      <c r="U1617">
        <v>3.6895749999999998E-2</v>
      </c>
      <c r="V1617">
        <v>-8.0502950000000007E-3</v>
      </c>
      <c r="W1617">
        <v>-8.4612129999999994E-2</v>
      </c>
      <c r="X1617">
        <v>0.99638150000000003</v>
      </c>
      <c r="Y1617">
        <v>2.326042E-3</v>
      </c>
      <c r="Z1617">
        <v>-1.521839E-4</v>
      </c>
      <c r="AA1617">
        <v>0.99999729999999998</v>
      </c>
      <c r="AB1617">
        <v>41</v>
      </c>
      <c r="AC1617">
        <v>-43.022599999999997</v>
      </c>
      <c r="AD1617">
        <v>-1.120318461976</v>
      </c>
      <c r="AE1617">
        <v>0.52940000000000897</v>
      </c>
      <c r="AF1617">
        <v>0.101203638327149</v>
      </c>
      <c r="AG1617">
        <v>-1.120318461976</v>
      </c>
      <c r="AH1617">
        <v>42.996586569077301</v>
      </c>
      <c r="AI1617">
        <v>91.492556189477199</v>
      </c>
      <c r="AJ1617">
        <v>89.865139744758494</v>
      </c>
      <c r="AK1617">
        <v>43.011298657734201</v>
      </c>
      <c r="AL1617">
        <v>94.853720930291303</v>
      </c>
      <c r="AM1617">
        <v>90.462912941634499</v>
      </c>
      <c r="AN1617">
        <v>1.00000005666748</v>
      </c>
    </row>
    <row r="1618" spans="1:40" x14ac:dyDescent="0.25">
      <c r="A1618" t="str">
        <f>"20190303154453605"</f>
        <v>20190303154453605</v>
      </c>
      <c r="B1618" t="str">
        <f>"1551599093602098"</f>
        <v>1551599093602098</v>
      </c>
      <c r="C1618" t="s">
        <v>40</v>
      </c>
      <c r="D1618">
        <v>5.02766</v>
      </c>
      <c r="E1618">
        <v>0.50432219999999905</v>
      </c>
      <c r="F1618" t="s">
        <v>57</v>
      </c>
      <c r="G1618">
        <v>-302.7346</v>
      </c>
      <c r="H1618" s="1">
        <v>3.4542330000000002E-6</v>
      </c>
      <c r="I1618">
        <v>284.9058</v>
      </c>
      <c r="J1618">
        <v>-259.65839999999997</v>
      </c>
      <c r="K1618">
        <v>1.120341</v>
      </c>
      <c r="L1618">
        <v>284.37189999999998</v>
      </c>
      <c r="M1618">
        <v>-0.99993460000000001</v>
      </c>
      <c r="N1618">
        <v>-6.7008650000000003E-3</v>
      </c>
      <c r="O1618">
        <v>9.2712360000000004E-3</v>
      </c>
      <c r="P1618">
        <v>-0.9958844</v>
      </c>
      <c r="Q1618">
        <v>-9.0611979999999995E-2</v>
      </c>
      <c r="R1618">
        <v>1.904726E-3</v>
      </c>
      <c r="S1618">
        <v>-3.0054020000000001</v>
      </c>
      <c r="T1618">
        <v>-7.741845E-2</v>
      </c>
      <c r="U1618">
        <v>3.7139890000000002E-2</v>
      </c>
      <c r="V1618">
        <v>-7.1864679999999997E-3</v>
      </c>
      <c r="W1618">
        <v>-8.394915E-2</v>
      </c>
      <c r="X1618">
        <v>0.99644410000000005</v>
      </c>
      <c r="Y1618">
        <v>3.0858959999999999E-3</v>
      </c>
      <c r="Z1618">
        <v>-1.26573E-4</v>
      </c>
      <c r="AA1618">
        <v>0.99999519999999997</v>
      </c>
      <c r="AB1618">
        <v>41</v>
      </c>
      <c r="AC1618">
        <v>-43.0762</v>
      </c>
      <c r="AD1618">
        <v>-1.120337545767</v>
      </c>
      <c r="AE1618">
        <v>0.53390000000001603</v>
      </c>
      <c r="AF1618">
        <v>0.13440757885448201</v>
      </c>
      <c r="AG1618">
        <v>-1.120337545767</v>
      </c>
      <c r="AH1618">
        <v>43.050182603688</v>
      </c>
      <c r="AI1618">
        <v>91.4907210928898</v>
      </c>
      <c r="AJ1618">
        <v>89.821116624476602</v>
      </c>
      <c r="AK1618">
        <v>43.064967709550103</v>
      </c>
      <c r="AL1618">
        <v>94.8155997367504</v>
      </c>
      <c r="AM1618">
        <v>90.413216503718502</v>
      </c>
      <c r="AN1618">
        <v>0.99999997476642299</v>
      </c>
    </row>
    <row r="1619" spans="1:40" x14ac:dyDescent="0.25">
      <c r="A1619" t="str">
        <f>"20190303154453624"</f>
        <v>20190303154453624</v>
      </c>
      <c r="B1619" t="str">
        <f>"1551599093611859"</f>
        <v>1551599093611859</v>
      </c>
      <c r="C1619" t="s">
        <v>40</v>
      </c>
      <c r="D1619">
        <v>5.0565329999999999</v>
      </c>
      <c r="E1619">
        <v>0.50436190000000003</v>
      </c>
      <c r="F1619" t="s">
        <v>57</v>
      </c>
      <c r="G1619">
        <v>-305.1112</v>
      </c>
      <c r="H1619" s="1">
        <v>3.0307009999999999E-6</v>
      </c>
      <c r="I1619">
        <v>284.92809999999997</v>
      </c>
      <c r="J1619">
        <v>-260.01740000000001</v>
      </c>
      <c r="K1619">
        <v>1.120355</v>
      </c>
      <c r="L1619">
        <v>284.37479999999999</v>
      </c>
      <c r="M1619">
        <v>-0.99993989999999999</v>
      </c>
      <c r="N1619">
        <v>-6.7200879999999999E-3</v>
      </c>
      <c r="O1619">
        <v>8.6826579999999993E-3</v>
      </c>
      <c r="P1619">
        <v>-0.9959789</v>
      </c>
      <c r="Q1619">
        <v>-8.9585590000000007E-2</v>
      </c>
      <c r="R1619">
        <v>9.8695769999999992E-4</v>
      </c>
      <c r="S1619">
        <v>-3.005585</v>
      </c>
      <c r="T1619">
        <v>-7.4082729999999999E-2</v>
      </c>
      <c r="U1619">
        <v>3.6773680000000003E-2</v>
      </c>
      <c r="V1619">
        <v>-7.5187759999999996E-3</v>
      </c>
      <c r="W1619">
        <v>-8.2903729999999995E-2</v>
      </c>
      <c r="X1619">
        <v>0.9965292</v>
      </c>
      <c r="Y1619">
        <v>3.55156E-3</v>
      </c>
      <c r="Z1619" s="1">
        <v>-9.9928270000000001E-5</v>
      </c>
      <c r="AA1619">
        <v>0.99999369999999999</v>
      </c>
      <c r="AB1619">
        <v>41</v>
      </c>
      <c r="AC1619">
        <v>-45.093799999999902</v>
      </c>
      <c r="AD1619">
        <v>-1.1203519692990001</v>
      </c>
      <c r="AE1619">
        <v>0.55329999999997803</v>
      </c>
      <c r="AF1619">
        <v>0.161636568503293</v>
      </c>
      <c r="AG1619">
        <v>-1.1203519692990001</v>
      </c>
      <c r="AH1619">
        <v>45.069088719320497</v>
      </c>
      <c r="AI1619">
        <v>91.423987288342502</v>
      </c>
      <c r="AJ1619">
        <v>89.794514294673206</v>
      </c>
      <c r="AK1619">
        <v>45.0833014863084</v>
      </c>
      <c r="AL1619">
        <v>94.755491902758195</v>
      </c>
      <c r="AM1619">
        <v>90.432286337072696</v>
      </c>
      <c r="AN1619">
        <v>1.0000000034465399</v>
      </c>
    </row>
    <row r="1620" spans="1:40" x14ac:dyDescent="0.25">
      <c r="A1620" t="str">
        <f>"20190303154453648"</f>
        <v>20190303154453648</v>
      </c>
      <c r="B1620" t="str">
        <f>"1551599093642115"</f>
        <v>1551599093642115</v>
      </c>
      <c r="C1620" t="s">
        <v>40</v>
      </c>
      <c r="D1620">
        <v>5.0077939999999996</v>
      </c>
      <c r="E1620">
        <v>0.50414559999999997</v>
      </c>
      <c r="F1620" t="s">
        <v>57</v>
      </c>
      <c r="G1620">
        <v>-307.94779999999997</v>
      </c>
      <c r="H1620" s="1">
        <v>2.528599E-6</v>
      </c>
      <c r="I1620">
        <v>284.916</v>
      </c>
      <c r="J1620">
        <v>-260.46730000000002</v>
      </c>
      <c r="K1620">
        <v>1.1203620000000001</v>
      </c>
      <c r="L1620">
        <v>284.37819999999999</v>
      </c>
      <c r="M1620">
        <v>-0.9999458</v>
      </c>
      <c r="N1620">
        <v>-6.7444209999999996E-3</v>
      </c>
      <c r="O1620">
        <v>7.9444470000000003E-3</v>
      </c>
      <c r="P1620">
        <v>-0.99603350000000002</v>
      </c>
      <c r="Q1620">
        <v>-8.8979420000000004E-2</v>
      </c>
      <c r="R1620">
        <v>-2.8289100000000001E-4</v>
      </c>
      <c r="S1620">
        <v>-3.0057680000000002</v>
      </c>
      <c r="T1620">
        <v>-7.0258500000000002E-2</v>
      </c>
      <c r="U1620">
        <v>3.3935550000000002E-2</v>
      </c>
      <c r="V1620">
        <v>-8.0533010000000006E-3</v>
      </c>
      <c r="W1620">
        <v>-8.2274089999999994E-2</v>
      </c>
      <c r="X1620">
        <v>0.99657720000000005</v>
      </c>
      <c r="Y1620">
        <v>3.344868E-3</v>
      </c>
      <c r="Z1620" s="1">
        <v>-8.1719819999999998E-5</v>
      </c>
      <c r="AA1620">
        <v>0.99999439999999995</v>
      </c>
      <c r="AB1620">
        <v>41</v>
      </c>
      <c r="AC1620">
        <v>-47.4804999999999</v>
      </c>
      <c r="AD1620">
        <v>-1.1203594714009999</v>
      </c>
      <c r="AE1620">
        <v>0.53780000000000405</v>
      </c>
      <c r="AF1620">
        <v>0.16047883092568399</v>
      </c>
      <c r="AG1620">
        <v>-1.1203594714009999</v>
      </c>
      <c r="AH1620">
        <v>47.456854507468996</v>
      </c>
      <c r="AI1620">
        <v>91.352377472475993</v>
      </c>
      <c r="AJ1620">
        <v>89.806250861726298</v>
      </c>
      <c r="AK1620">
        <v>47.470348624624698</v>
      </c>
      <c r="AL1620">
        <v>94.7192925428769</v>
      </c>
      <c r="AM1620">
        <v>90.462994853752903</v>
      </c>
      <c r="AN1620">
        <v>0.99999999855108201</v>
      </c>
    </row>
    <row r="1621" spans="1:40" x14ac:dyDescent="0.25">
      <c r="A1621" t="str">
        <f>"20190303154453669"</f>
        <v>20190303154453669</v>
      </c>
      <c r="B1621" t="str">
        <f>"1551599093661635"</f>
        <v>1551599093661635</v>
      </c>
      <c r="C1621" t="s">
        <v>40</v>
      </c>
      <c r="D1621">
        <v>5.1018100000000004</v>
      </c>
      <c r="E1621">
        <v>0.50409389999999998</v>
      </c>
      <c r="F1621" t="s">
        <v>57</v>
      </c>
      <c r="G1621">
        <v>-310.42110000000002</v>
      </c>
      <c r="H1621" s="1">
        <v>2.383243E-6</v>
      </c>
      <c r="I1621">
        <v>284.85090000000002</v>
      </c>
      <c r="J1621">
        <v>-260.86020000000002</v>
      </c>
      <c r="K1621">
        <v>1.12036</v>
      </c>
      <c r="L1621">
        <v>284.38080000000002</v>
      </c>
      <c r="M1621">
        <v>-0.99995060000000002</v>
      </c>
      <c r="N1621">
        <v>-6.7655509999999999E-3</v>
      </c>
      <c r="O1621">
        <v>7.2990779999999996E-3</v>
      </c>
      <c r="P1621">
        <v>-0.99597150000000001</v>
      </c>
      <c r="Q1621">
        <v>-8.9666339999999997E-2</v>
      </c>
      <c r="R1621">
        <v>-1.1603640000000001E-3</v>
      </c>
      <c r="S1621">
        <v>-3.0059200000000001</v>
      </c>
      <c r="T1621">
        <v>-6.7416429999999999E-2</v>
      </c>
      <c r="U1621">
        <v>2.844238E-2</v>
      </c>
      <c r="V1621">
        <v>-8.2847419999999995E-3</v>
      </c>
      <c r="W1621">
        <v>-8.2940890000000003E-2</v>
      </c>
      <c r="X1621">
        <v>0.99651999999999996</v>
      </c>
      <c r="Y1621">
        <v>2.1627159999999999E-3</v>
      </c>
      <c r="Z1621" s="1">
        <v>-8.2731540000000002E-5</v>
      </c>
      <c r="AA1621">
        <v>0.99999769999999999</v>
      </c>
      <c r="AB1621">
        <v>41</v>
      </c>
      <c r="AC1621">
        <v>-49.560899999999997</v>
      </c>
      <c r="AD1621">
        <v>-1.120357616757</v>
      </c>
      <c r="AE1621">
        <v>0.47010000000000202</v>
      </c>
      <c r="AF1621">
        <v>0.10827504253027399</v>
      </c>
      <c r="AG1621">
        <v>-1.120357616757</v>
      </c>
      <c r="AH1621">
        <v>49.5376987733476</v>
      </c>
      <c r="AI1621">
        <v>91.295592449443006</v>
      </c>
      <c r="AJ1621">
        <v>89.874768242405494</v>
      </c>
      <c r="AK1621">
        <v>49.550484603414198</v>
      </c>
      <c r="AL1621">
        <v>94.757628534755</v>
      </c>
      <c r="AM1621">
        <v>90.476327434684507</v>
      </c>
      <c r="AN1621">
        <v>0.99999996929199797</v>
      </c>
    </row>
    <row r="1622" spans="1:40" x14ac:dyDescent="0.25">
      <c r="A1622" t="str">
        <f>"20190303154453692"</f>
        <v>20190303154453692</v>
      </c>
      <c r="B1622" t="str">
        <f>"1551599093682130"</f>
        <v>1551599093682130</v>
      </c>
      <c r="C1622" t="s">
        <v>40</v>
      </c>
      <c r="D1622">
        <v>5.0221359999999997</v>
      </c>
      <c r="E1622">
        <v>0.50407829999999998</v>
      </c>
      <c r="F1622" t="s">
        <v>57</v>
      </c>
      <c r="G1622">
        <v>-309.43020000000001</v>
      </c>
      <c r="H1622" s="1">
        <v>2.276694E-6</v>
      </c>
      <c r="I1622">
        <v>284.78960000000001</v>
      </c>
      <c r="J1622">
        <v>-261.29430000000002</v>
      </c>
      <c r="K1622">
        <v>1.1203669999999999</v>
      </c>
      <c r="L1622">
        <v>284.38350000000003</v>
      </c>
      <c r="M1622">
        <v>-0.99995529999999999</v>
      </c>
      <c r="N1622">
        <v>-6.7889329999999996E-3</v>
      </c>
      <c r="O1622">
        <v>6.5860479999999997E-3</v>
      </c>
      <c r="P1622">
        <v>-0.99587979999999998</v>
      </c>
      <c r="Q1622">
        <v>-9.0668799999999994E-2</v>
      </c>
      <c r="R1622">
        <v>-1.678534E-3</v>
      </c>
      <c r="S1622">
        <v>-3.0059200000000001</v>
      </c>
      <c r="T1622">
        <v>-6.9337129999999997E-2</v>
      </c>
      <c r="U1622">
        <v>2.529907E-2</v>
      </c>
      <c r="V1622">
        <v>-8.0892519999999999E-3</v>
      </c>
      <c r="W1622">
        <v>-8.3920430000000004E-2</v>
      </c>
      <c r="X1622">
        <v>0.99643959999999998</v>
      </c>
      <c r="Y1622">
        <v>1.830209E-3</v>
      </c>
      <c r="Z1622" s="1">
        <v>-7.9867089999999897E-5</v>
      </c>
      <c r="AA1622">
        <v>0.99999830000000001</v>
      </c>
      <c r="AB1622">
        <v>42</v>
      </c>
      <c r="AC1622">
        <v>-48.1358999999999</v>
      </c>
      <c r="AD1622">
        <v>-1.1203647233059999</v>
      </c>
      <c r="AE1622">
        <v>0.40609999999997998</v>
      </c>
      <c r="AF1622">
        <v>8.9010332866918701E-2</v>
      </c>
      <c r="AG1622">
        <v>-1.1203647233059999</v>
      </c>
      <c r="AH1622">
        <v>48.111469186593901</v>
      </c>
      <c r="AI1622">
        <v>91.333995030636302</v>
      </c>
      <c r="AJ1622">
        <v>89.893998028456195</v>
      </c>
      <c r="AK1622">
        <v>48.1245946190216</v>
      </c>
      <c r="AL1622">
        <v>94.813948371094199</v>
      </c>
      <c r="AM1622">
        <v>90.465125851703803</v>
      </c>
      <c r="AN1622">
        <v>0.99999997550873099</v>
      </c>
    </row>
    <row r="1623" spans="1:40" x14ac:dyDescent="0.25">
      <c r="A1623" t="str">
        <f>"20190303154453714"</f>
        <v>20190303154453714</v>
      </c>
      <c r="B1623" t="str">
        <f>"1551599093702626"</f>
        <v>1551599093702626</v>
      </c>
      <c r="C1623" t="s">
        <v>40</v>
      </c>
      <c r="D1623">
        <v>4.9750019999999999</v>
      </c>
      <c r="E1623">
        <v>0.50409250000000005</v>
      </c>
      <c r="F1623" t="s">
        <v>57</v>
      </c>
      <c r="G1623">
        <v>-307.65910000000002</v>
      </c>
      <c r="H1623" s="1">
        <v>2.5940129999999998E-6</v>
      </c>
      <c r="I1623">
        <v>284.75349999999997</v>
      </c>
      <c r="J1623">
        <v>-261.68389999999999</v>
      </c>
      <c r="K1623">
        <v>1.120371</v>
      </c>
      <c r="L1623">
        <v>284.38560000000001</v>
      </c>
      <c r="M1623">
        <v>-0.99995919999999905</v>
      </c>
      <c r="N1623">
        <v>-6.8096179999999999E-3</v>
      </c>
      <c r="O1623">
        <v>5.9464729999999999E-3</v>
      </c>
      <c r="P1623">
        <v>-0.99585369999999995</v>
      </c>
      <c r="Q1623">
        <v>-9.0963799999999997E-2</v>
      </c>
      <c r="R1623">
        <v>-1.122678E-3</v>
      </c>
      <c r="S1623">
        <v>-3.0058289999999999</v>
      </c>
      <c r="T1623">
        <v>-7.263327E-2</v>
      </c>
      <c r="U1623">
        <v>2.3986819999999999E-2</v>
      </c>
      <c r="V1623">
        <v>-6.8941130000000003E-3</v>
      </c>
      <c r="W1623">
        <v>-8.4192900000000001E-2</v>
      </c>
      <c r="X1623">
        <v>0.99642560000000002</v>
      </c>
      <c r="Y1623">
        <v>2.0334179999999999E-3</v>
      </c>
      <c r="Z1623" s="1">
        <v>-7.1688660000000001E-5</v>
      </c>
      <c r="AA1623">
        <v>0.9999979</v>
      </c>
      <c r="AB1623">
        <v>42</v>
      </c>
      <c r="AC1623">
        <v>-45.975200000000001</v>
      </c>
      <c r="AD1623">
        <v>-1.120368405987</v>
      </c>
      <c r="AE1623">
        <v>0.36789999999996298</v>
      </c>
      <c r="AF1623">
        <v>9.4440809114105503E-2</v>
      </c>
      <c r="AG1623">
        <v>-1.120368405987</v>
      </c>
      <c r="AH1623">
        <v>45.949289765739401</v>
      </c>
      <c r="AI1623">
        <v>91.396746921921206</v>
      </c>
      <c r="AJ1623">
        <v>89.882238611647495</v>
      </c>
      <c r="AK1623">
        <v>45.963043572063803</v>
      </c>
      <c r="AL1623">
        <v>94.829615201422499</v>
      </c>
      <c r="AM1623">
        <v>90.396414218557197</v>
      </c>
      <c r="AN1623">
        <v>0.99999997476991298</v>
      </c>
    </row>
    <row r="1624" spans="1:40" x14ac:dyDescent="0.25">
      <c r="A1624" t="str">
        <f>"20190303154453736"</f>
        <v>20190303154453736</v>
      </c>
      <c r="B1624" t="str">
        <f>"1551599093731907"</f>
        <v>1551599093731907</v>
      </c>
      <c r="C1624" t="s">
        <v>40</v>
      </c>
      <c r="D1624">
        <v>4.994523</v>
      </c>
      <c r="E1624">
        <v>0.50419599999999998</v>
      </c>
      <c r="F1624" t="s">
        <v>57</v>
      </c>
      <c r="G1624">
        <v>-307.26209999999998</v>
      </c>
      <c r="H1624" s="1">
        <v>2.6623649999999998E-6</v>
      </c>
      <c r="I1624">
        <v>284.77710000000002</v>
      </c>
      <c r="J1624">
        <v>-262.11320000000001</v>
      </c>
      <c r="K1624">
        <v>1.120382</v>
      </c>
      <c r="L1624">
        <v>284.38760000000002</v>
      </c>
      <c r="M1624">
        <v>-0.99996300000000005</v>
      </c>
      <c r="N1624">
        <v>-6.8323990000000003E-3</v>
      </c>
      <c r="O1624">
        <v>5.2422789999999999E-3</v>
      </c>
      <c r="P1624">
        <v>-0.99593609999999999</v>
      </c>
      <c r="Q1624">
        <v>-9.0063660000000004E-2</v>
      </c>
      <c r="R1624">
        <v>-6.3760919999999999E-4</v>
      </c>
      <c r="S1624">
        <v>-3.0057369999999999</v>
      </c>
      <c r="T1624">
        <v>-7.3884729999999996E-2</v>
      </c>
      <c r="U1624">
        <v>2.581787E-2</v>
      </c>
      <c r="V1624">
        <v>-5.7090969999999998E-3</v>
      </c>
      <c r="W1624">
        <v>-8.3267419999999995E-2</v>
      </c>
      <c r="X1624">
        <v>0.99651089999999998</v>
      </c>
      <c r="Y1624">
        <v>3.3464219999999999E-3</v>
      </c>
      <c r="Z1624" s="1">
        <v>-4.0467940000000002E-5</v>
      </c>
      <c r="AA1624">
        <v>0.99999439999999995</v>
      </c>
      <c r="AB1624">
        <v>42</v>
      </c>
      <c r="AC1624">
        <v>-45.148899999999898</v>
      </c>
      <c r="AD1624">
        <v>-1.120379337635</v>
      </c>
      <c r="AE1624">
        <v>0.38949999999999801</v>
      </c>
      <c r="AF1624">
        <v>0.15271198004249101</v>
      </c>
      <c r="AG1624">
        <v>-1.120379337635</v>
      </c>
      <c r="AH1624">
        <v>45.1225373582202</v>
      </c>
      <c r="AI1624">
        <v>91.422336968638703</v>
      </c>
      <c r="AJ1624">
        <v>89.806089837954303</v>
      </c>
      <c r="AK1624">
        <v>45.136702897453901</v>
      </c>
      <c r="AL1624">
        <v>94.776402046302593</v>
      </c>
      <c r="AM1624">
        <v>90.328248877341807</v>
      </c>
      <c r="AN1624">
        <v>1.0000000154204101</v>
      </c>
    </row>
    <row r="1625" spans="1:40" x14ac:dyDescent="0.25">
      <c r="A1625" t="str">
        <f>"20190303154453760"</f>
        <v>20190303154453760</v>
      </c>
      <c r="B1625" t="str">
        <f>"1551599093752403"</f>
        <v>1551599093752403</v>
      </c>
      <c r="C1625" t="s">
        <v>40</v>
      </c>
      <c r="D1625">
        <v>4.9938549999999999</v>
      </c>
      <c r="E1625">
        <v>0.50422860000000003</v>
      </c>
      <c r="F1625" t="s">
        <v>57</v>
      </c>
      <c r="G1625">
        <v>-309.79480000000001</v>
      </c>
      <c r="H1625" s="1">
        <v>2.2080080000000001E-6</v>
      </c>
      <c r="I1625">
        <v>284.83539999999999</v>
      </c>
      <c r="J1625">
        <v>-262.54860000000002</v>
      </c>
      <c r="K1625">
        <v>1.120387</v>
      </c>
      <c r="L1625">
        <v>284.38940000000002</v>
      </c>
      <c r="M1625">
        <v>-0.99996629999999997</v>
      </c>
      <c r="N1625">
        <v>-6.8555329999999996E-3</v>
      </c>
      <c r="O1625">
        <v>4.5309460000000001E-3</v>
      </c>
      <c r="P1625">
        <v>-0.9960772</v>
      </c>
      <c r="Q1625">
        <v>-8.8484939999999998E-2</v>
      </c>
      <c r="R1625">
        <v>-1.0040509999999999E-3</v>
      </c>
      <c r="S1625">
        <v>-3.0058289999999999</v>
      </c>
      <c r="T1625">
        <v>-7.0628289999999996E-2</v>
      </c>
      <c r="U1625">
        <v>2.8228759999999999E-2</v>
      </c>
      <c r="V1625">
        <v>-5.3700629999999996E-3</v>
      </c>
      <c r="W1625">
        <v>-8.1664139999999996E-2</v>
      </c>
      <c r="X1625">
        <v>0.99664549999999996</v>
      </c>
      <c r="Y1625">
        <v>4.8588709999999998E-3</v>
      </c>
      <c r="Z1625" s="1">
        <v>-1.6531380000000001E-6</v>
      </c>
      <c r="AA1625">
        <v>0.99998819999999999</v>
      </c>
      <c r="AB1625">
        <v>42</v>
      </c>
      <c r="AC1625">
        <v>-47.246199999999902</v>
      </c>
      <c r="AD1625">
        <v>-1.120384791992</v>
      </c>
      <c r="AE1625">
        <v>0.44599999999996898</v>
      </c>
      <c r="AF1625">
        <v>0.23179009021823399</v>
      </c>
      <c r="AG1625">
        <v>-1.120384791992</v>
      </c>
      <c r="AH1625">
        <v>47.221183758087697</v>
      </c>
      <c r="AI1625">
        <v>91.359146477233693</v>
      </c>
      <c r="AJ1625">
        <v>89.718759967784294</v>
      </c>
      <c r="AK1625">
        <v>47.235041910038902</v>
      </c>
      <c r="AL1625">
        <v>94.684226688184907</v>
      </c>
      <c r="AM1625">
        <v>90.308714551089395</v>
      </c>
      <c r="AN1625">
        <v>1.0000000610044</v>
      </c>
    </row>
    <row r="1626" spans="1:40" x14ac:dyDescent="0.25">
      <c r="A1626" t="str">
        <f>"20190303154453783"</f>
        <v>20190303154453783</v>
      </c>
      <c r="B1626" t="str">
        <f>"1551599093771922"</f>
        <v>1551599093771922</v>
      </c>
      <c r="C1626" t="s">
        <v>40</v>
      </c>
      <c r="D1626">
        <v>5.0026890000000002</v>
      </c>
      <c r="E1626">
        <v>0.50428249999999997</v>
      </c>
      <c r="F1626" t="s">
        <v>57</v>
      </c>
      <c r="G1626">
        <v>-313.19549999999998</v>
      </c>
      <c r="H1626" s="1">
        <v>3.613639E-6</v>
      </c>
      <c r="I1626">
        <v>284.8501</v>
      </c>
      <c r="J1626">
        <v>-262.97969999999998</v>
      </c>
      <c r="K1626">
        <v>1.120387</v>
      </c>
      <c r="L1626">
        <v>284.39089999999999</v>
      </c>
      <c r="M1626">
        <v>-0.99996910000000006</v>
      </c>
      <c r="N1626">
        <v>-6.8783469999999999E-3</v>
      </c>
      <c r="O1626">
        <v>3.8374210000000001E-3</v>
      </c>
      <c r="P1626">
        <v>-0.99608090000000005</v>
      </c>
      <c r="Q1626">
        <v>-8.84326E-2</v>
      </c>
      <c r="R1626">
        <v>-1.6939710000000001E-3</v>
      </c>
      <c r="S1626">
        <v>-3.005951</v>
      </c>
      <c r="T1626">
        <v>-6.6496009999999994E-2</v>
      </c>
      <c r="U1626">
        <v>2.734375E-2</v>
      </c>
      <c r="V1626">
        <v>-5.3696209999999998E-3</v>
      </c>
      <c r="W1626">
        <v>-8.158899E-2</v>
      </c>
      <c r="X1626">
        <v>0.99665159999999997</v>
      </c>
      <c r="Y1626">
        <v>5.2575030000000002E-3</v>
      </c>
      <c r="Z1626" s="1">
        <v>1.7744589999999999E-5</v>
      </c>
      <c r="AA1626">
        <v>0.99998620000000005</v>
      </c>
      <c r="AB1626">
        <v>42</v>
      </c>
      <c r="AC1626">
        <v>-50.215800000000002</v>
      </c>
      <c r="AD1626">
        <v>-1.120383386361</v>
      </c>
      <c r="AE1626">
        <v>0.45920000000000899</v>
      </c>
      <c r="AF1626">
        <v>0.266360335312743</v>
      </c>
      <c r="AG1626">
        <v>-1.120383386361</v>
      </c>
      <c r="AH1626">
        <v>50.192208974904503</v>
      </c>
      <c r="AI1626">
        <v>91.278717928024406</v>
      </c>
      <c r="AJ1626">
        <v>89.695945245425406</v>
      </c>
      <c r="AK1626">
        <v>50.205418517737201</v>
      </c>
      <c r="AL1626">
        <v>94.679906761662707</v>
      </c>
      <c r="AM1626">
        <v>90.308687252561299</v>
      </c>
      <c r="AN1626">
        <v>1.00000000395073</v>
      </c>
    </row>
    <row r="1627" spans="1:40" x14ac:dyDescent="0.25">
      <c r="A1627" t="str">
        <f>"20190303154453806"</f>
        <v>20190303154453806</v>
      </c>
      <c r="B1627" t="str">
        <f>"1551599093802180"</f>
        <v>1551599093802180</v>
      </c>
      <c r="C1627" t="s">
        <v>40</v>
      </c>
      <c r="D1627">
        <v>5.000165</v>
      </c>
      <c r="E1627">
        <v>0.5041274</v>
      </c>
      <c r="F1627" t="s">
        <v>57</v>
      </c>
      <c r="G1627">
        <v>-313.30220000000003</v>
      </c>
      <c r="H1627" s="1">
        <v>3.6631109999999998E-6</v>
      </c>
      <c r="I1627">
        <v>284.8252</v>
      </c>
      <c r="J1627">
        <v>-263.40249999999997</v>
      </c>
      <c r="K1627">
        <v>1.1203730000000001</v>
      </c>
      <c r="L1627">
        <v>284.392</v>
      </c>
      <c r="M1627">
        <v>-0.99997119999999995</v>
      </c>
      <c r="N1627">
        <v>-6.9004820000000003E-3</v>
      </c>
      <c r="O1627">
        <v>3.1763339999999998E-3</v>
      </c>
      <c r="P1627">
        <v>-0.99600169999999999</v>
      </c>
      <c r="Q1627">
        <v>-8.9292350000000006E-2</v>
      </c>
      <c r="R1627">
        <v>-2.761075E-3</v>
      </c>
      <c r="S1627">
        <v>-3.0059200000000001</v>
      </c>
      <c r="T1627">
        <v>-6.6923979999999994E-2</v>
      </c>
      <c r="U1627">
        <v>2.5939940000000002E-2</v>
      </c>
      <c r="V1627">
        <v>-5.7779270000000004E-3</v>
      </c>
      <c r="W1627">
        <v>-8.242787E-2</v>
      </c>
      <c r="X1627">
        <v>0.99658029999999997</v>
      </c>
      <c r="Y1627">
        <v>5.4515659999999997E-3</v>
      </c>
      <c r="Z1627" s="1">
        <v>3.0699830000000002E-5</v>
      </c>
      <c r="AA1627">
        <v>0.99998520000000002</v>
      </c>
      <c r="AB1627">
        <v>42</v>
      </c>
      <c r="AC1627">
        <v>-49.899700000000003</v>
      </c>
      <c r="AD1627">
        <v>-1.120369336889</v>
      </c>
      <c r="AE1627">
        <v>0.43319999999999897</v>
      </c>
      <c r="AF1627">
        <v>0.27455753846224801</v>
      </c>
      <c r="AG1627">
        <v>-1.120369336889</v>
      </c>
      <c r="AH1627">
        <v>49.875683278442899</v>
      </c>
      <c r="AI1627">
        <v>91.286812818140206</v>
      </c>
      <c r="AJ1627">
        <v>89.684599222380598</v>
      </c>
      <c r="AK1627">
        <v>49.8890207539146</v>
      </c>
      <c r="AL1627">
        <v>94.728133433246796</v>
      </c>
      <c r="AM1627">
        <v>90.332183088709598</v>
      </c>
      <c r="AN1627">
        <v>1.00000001627062</v>
      </c>
    </row>
    <row r="1628" spans="1:40" x14ac:dyDescent="0.25">
      <c r="A1628" t="str">
        <f>"20190303154453829"</f>
        <v>20190303154453829</v>
      </c>
      <c r="B1628" t="str">
        <f>"1551599093821699"</f>
        <v>1551599093821699</v>
      </c>
      <c r="C1628" t="s">
        <v>40</v>
      </c>
      <c r="D1628">
        <v>4.9795239999999996</v>
      </c>
      <c r="E1628">
        <v>0.504017099999999</v>
      </c>
      <c r="F1628" t="s">
        <v>57</v>
      </c>
      <c r="G1628">
        <v>-311.15300000000002</v>
      </c>
      <c r="H1628" s="1">
        <v>2.7180399999999999E-6</v>
      </c>
      <c r="I1628">
        <v>284.73379999999997</v>
      </c>
      <c r="J1628">
        <v>-263.85680000000002</v>
      </c>
      <c r="K1628">
        <v>1.1203620000000001</v>
      </c>
      <c r="L1628">
        <v>284.39299999999997</v>
      </c>
      <c r="M1628">
        <v>-0.99997290000000005</v>
      </c>
      <c r="N1628">
        <v>-6.9240339999999999E-3</v>
      </c>
      <c r="O1628">
        <v>2.4893720000000001E-3</v>
      </c>
      <c r="P1628">
        <v>-0.99596949999999995</v>
      </c>
      <c r="Q1628">
        <v>-8.9579980000000003E-2</v>
      </c>
      <c r="R1628">
        <v>-4.4859499999999998E-3</v>
      </c>
      <c r="S1628">
        <v>-3.0057680000000002</v>
      </c>
      <c r="T1628">
        <v>-7.0524329999999996E-2</v>
      </c>
      <c r="U1628">
        <v>2.1514889999999998E-2</v>
      </c>
      <c r="V1628">
        <v>-6.8203760000000004E-3</v>
      </c>
      <c r="W1628">
        <v>-8.2693900000000001E-2</v>
      </c>
      <c r="X1628">
        <v>0.99655159999999998</v>
      </c>
      <c r="Y1628">
        <v>4.6669729999999996E-3</v>
      </c>
      <c r="Z1628" s="1">
        <v>2.9738479999999999E-5</v>
      </c>
      <c r="AA1628">
        <v>0.99998909999999996</v>
      </c>
      <c r="AB1628">
        <v>42</v>
      </c>
      <c r="AC1628">
        <v>-47.296199999999999</v>
      </c>
      <c r="AD1628">
        <v>-1.1203592819599999</v>
      </c>
      <c r="AE1628">
        <v>0.34080000000000099</v>
      </c>
      <c r="AF1628">
        <v>0.22293319443333401</v>
      </c>
      <c r="AG1628">
        <v>-1.1203592819599999</v>
      </c>
      <c r="AH1628">
        <v>47.270378476726698</v>
      </c>
      <c r="AI1628">
        <v>91.357702885165693</v>
      </c>
      <c r="AJ1628">
        <v>89.729787726101904</v>
      </c>
      <c r="AK1628">
        <v>47.284179018598202</v>
      </c>
      <c r="AL1628">
        <v>94.743428383357497</v>
      </c>
      <c r="AM1628">
        <v>90.392124861675399</v>
      </c>
      <c r="AN1628">
        <v>0.99999994504427403</v>
      </c>
    </row>
    <row r="1629" spans="1:40" x14ac:dyDescent="0.25">
      <c r="A1629" t="str">
        <f>"20190303154453850"</f>
        <v>20190303154453850</v>
      </c>
      <c r="B1629" t="str">
        <f>"1551599093842196"</f>
        <v>1551599093842196</v>
      </c>
      <c r="C1629" t="s">
        <v>40</v>
      </c>
      <c r="D1629">
        <v>4.9610200000000004</v>
      </c>
      <c r="E1629">
        <v>0.50384549999999995</v>
      </c>
      <c r="F1629" t="s">
        <v>57</v>
      </c>
      <c r="G1629">
        <v>-310.69060000000002</v>
      </c>
      <c r="H1629" s="1">
        <v>2.5221579999999999E-6</v>
      </c>
      <c r="I1629">
        <v>284.62880000000001</v>
      </c>
      <c r="J1629">
        <v>-264.23579999999998</v>
      </c>
      <c r="K1629">
        <v>1.120349</v>
      </c>
      <c r="L1629">
        <v>284.39359999999999</v>
      </c>
      <c r="M1629">
        <v>-0.99997400000000003</v>
      </c>
      <c r="N1629">
        <v>-6.9435590000000002E-3</v>
      </c>
      <c r="O1629">
        <v>1.9406200000000001E-3</v>
      </c>
      <c r="P1629">
        <v>-0.99602179999999996</v>
      </c>
      <c r="Q1629">
        <v>-8.8902620000000002E-2</v>
      </c>
      <c r="R1629">
        <v>-6.09028E-3</v>
      </c>
      <c r="S1629">
        <v>-3.0057680000000002</v>
      </c>
      <c r="T1629">
        <v>-7.1904060000000006E-2</v>
      </c>
      <c r="U1629">
        <v>1.5136719999999999E-2</v>
      </c>
      <c r="V1629">
        <v>-7.8824080000000005E-3</v>
      </c>
      <c r="W1629">
        <v>-8.1998269999999998E-2</v>
      </c>
      <c r="X1629">
        <v>0.99660130000000002</v>
      </c>
      <c r="Y1629">
        <v>3.094313E-3</v>
      </c>
      <c r="Z1629" s="1">
        <v>1.480754E-5</v>
      </c>
      <c r="AA1629">
        <v>0.99999519999999997</v>
      </c>
      <c r="AB1629">
        <v>42</v>
      </c>
      <c r="AC1629">
        <v>-46.454799999999999</v>
      </c>
      <c r="AD1629">
        <v>-1.120346477842</v>
      </c>
      <c r="AE1629">
        <v>0.23520000000002</v>
      </c>
      <c r="AF1629">
        <v>0.14496195747267601</v>
      </c>
      <c r="AG1629">
        <v>-1.120346477842</v>
      </c>
      <c r="AH1629">
        <v>46.428165848164802</v>
      </c>
      <c r="AI1629">
        <v>91.382315150665605</v>
      </c>
      <c r="AJ1629">
        <v>89.821106838667404</v>
      </c>
      <c r="AK1629">
        <v>46.441907521377999</v>
      </c>
      <c r="AL1629">
        <v>94.703435635901798</v>
      </c>
      <c r="AM1629">
        <v>90.453159446674107</v>
      </c>
      <c r="AN1629">
        <v>0.99999999990027999</v>
      </c>
    </row>
    <row r="1630" spans="1:40" x14ac:dyDescent="0.25">
      <c r="A1630" t="str">
        <f>"20190303154453871"</f>
        <v>20190303154453871</v>
      </c>
      <c r="B1630" t="str">
        <f>"1551599093862691"</f>
        <v>1551599093862691</v>
      </c>
      <c r="C1630" t="s">
        <v>40</v>
      </c>
      <c r="D1630">
        <v>4.9393960000000003</v>
      </c>
      <c r="E1630">
        <v>0.50391660000000005</v>
      </c>
      <c r="F1630" t="s">
        <v>57</v>
      </c>
      <c r="G1630">
        <v>-311.77850000000001</v>
      </c>
      <c r="H1630" s="1">
        <v>3.012863E-6</v>
      </c>
      <c r="I1630">
        <v>284.53399999999999</v>
      </c>
      <c r="J1630">
        <v>-264.64999999999998</v>
      </c>
      <c r="K1630">
        <v>1.120328</v>
      </c>
      <c r="L1630">
        <v>284.39389999999997</v>
      </c>
      <c r="M1630">
        <v>-0.99997480000000005</v>
      </c>
      <c r="N1630">
        <v>-6.9648899999999996E-3</v>
      </c>
      <c r="O1630">
        <v>1.3754939999999999E-3</v>
      </c>
      <c r="P1630">
        <v>-0.99604729999999997</v>
      </c>
      <c r="Q1630">
        <v>-8.8542940000000001E-2</v>
      </c>
      <c r="R1630">
        <v>-7.0844280000000003E-3</v>
      </c>
      <c r="S1630">
        <v>-3.0057070000000001</v>
      </c>
      <c r="T1630">
        <v>-7.0829749999999997E-2</v>
      </c>
      <c r="U1630">
        <v>8.8806149999999997E-3</v>
      </c>
      <c r="V1630">
        <v>-8.3193899999999994E-3</v>
      </c>
      <c r="W1630">
        <v>-8.1617419999999996E-2</v>
      </c>
      <c r="X1630">
        <v>0.99662899999999999</v>
      </c>
      <c r="Y1630">
        <v>1.578669E-3</v>
      </c>
      <c r="Z1630" s="1">
        <v>1.2670980000000001E-6</v>
      </c>
      <c r="AA1630">
        <v>0.99999870000000002</v>
      </c>
      <c r="AB1630">
        <v>42</v>
      </c>
      <c r="AC1630">
        <v>-47.128500000000003</v>
      </c>
      <c r="AD1630">
        <v>-1.120324987137</v>
      </c>
      <c r="AE1630">
        <v>0.14010000000001799</v>
      </c>
      <c r="AF1630">
        <v>7.5230814062006601E-2</v>
      </c>
      <c r="AG1630">
        <v>-1.120324987137</v>
      </c>
      <c r="AH1630">
        <v>47.102031278987901</v>
      </c>
      <c r="AI1630">
        <v>91.362525336560694</v>
      </c>
      <c r="AJ1630">
        <v>89.908487928168896</v>
      </c>
      <c r="AK1630">
        <v>47.115412959656197</v>
      </c>
      <c r="AL1630">
        <v>94.681541198937296</v>
      </c>
      <c r="AM1630">
        <v>90.4782671024292</v>
      </c>
      <c r="AN1630">
        <v>0.99999998956921399</v>
      </c>
    </row>
    <row r="1631" spans="1:40" x14ac:dyDescent="0.25">
      <c r="A1631" t="str">
        <f>"20190303154453893"</f>
        <v>20190303154453893</v>
      </c>
      <c r="B1631" t="str">
        <f>"1551599093882210"</f>
        <v>1551599093882210</v>
      </c>
      <c r="C1631" t="s">
        <v>40</v>
      </c>
      <c r="D1631">
        <v>4.9871650000000001</v>
      </c>
      <c r="E1631">
        <v>0.51221179999999999</v>
      </c>
      <c r="F1631" t="s">
        <v>57</v>
      </c>
      <c r="G1631">
        <v>-312.47570000000002</v>
      </c>
      <c r="H1631" s="1">
        <v>3.3251199999999901E-6</v>
      </c>
      <c r="I1631">
        <v>284.49880000000002</v>
      </c>
      <c r="J1631">
        <v>-265.0729</v>
      </c>
      <c r="K1631">
        <v>1.120298</v>
      </c>
      <c r="L1631">
        <v>284.39409999999998</v>
      </c>
      <c r="M1631">
        <v>-0.99997530000000001</v>
      </c>
      <c r="N1631">
        <v>-6.9865939999999996E-3</v>
      </c>
      <c r="O1631">
        <v>8.4214969999999996E-4</v>
      </c>
      <c r="P1631">
        <v>-0.99602449999999998</v>
      </c>
      <c r="Q1631">
        <v>-8.8724750000000005E-2</v>
      </c>
      <c r="R1631">
        <v>-7.9528559999999995E-3</v>
      </c>
      <c r="S1631">
        <v>-3.0057070000000001</v>
      </c>
      <c r="T1631">
        <v>-7.0409180000000002E-2</v>
      </c>
      <c r="U1631">
        <v>6.5917969999999999E-3</v>
      </c>
      <c r="V1631">
        <v>-8.6623919999999997E-3</v>
      </c>
      <c r="W1631">
        <v>-8.1777639999999999E-2</v>
      </c>
      <c r="X1631">
        <v>0.99661299999999997</v>
      </c>
      <c r="Y1631">
        <v>1.35055299999999E-3</v>
      </c>
      <c r="Z1631" s="1">
        <v>6.693555E-6</v>
      </c>
      <c r="AA1631">
        <v>0.99999910000000003</v>
      </c>
      <c r="AB1631">
        <v>42</v>
      </c>
      <c r="AC1631">
        <v>-47.402799999999999</v>
      </c>
      <c r="AD1631">
        <v>-1.12029467488</v>
      </c>
      <c r="AE1631">
        <v>0.104700000000036</v>
      </c>
      <c r="AF1631">
        <v>6.4742575843008104E-2</v>
      </c>
      <c r="AG1631">
        <v>-1.12029467488</v>
      </c>
      <c r="AH1631">
        <v>47.376409735767503</v>
      </c>
      <c r="AI1631">
        <v>91.354601102518501</v>
      </c>
      <c r="AJ1631">
        <v>89.921702086287695</v>
      </c>
      <c r="AK1631">
        <v>47.389697732851403</v>
      </c>
      <c r="AL1631">
        <v>94.690751655277595</v>
      </c>
      <c r="AM1631">
        <v>90.497992705335506</v>
      </c>
      <c r="AN1631">
        <v>1.0000000456040601</v>
      </c>
    </row>
    <row r="1632" spans="1:40" x14ac:dyDescent="0.25">
      <c r="A1632" t="str">
        <f>"20190303154453915"</f>
        <v>20190303154453915</v>
      </c>
      <c r="B1632" t="str">
        <f>"1551599093912467"</f>
        <v>1551599093912467</v>
      </c>
      <c r="C1632" t="s">
        <v>40</v>
      </c>
      <c r="D1632">
        <v>4.897246</v>
      </c>
      <c r="E1632">
        <v>0.51217040000000003</v>
      </c>
      <c r="F1632" t="s">
        <v>55</v>
      </c>
      <c r="G1632">
        <v>-322.02069999999998</v>
      </c>
      <c r="H1632" s="1">
        <v>-5.0946030000000004E-7</v>
      </c>
      <c r="I1632">
        <v>285.71409999999997</v>
      </c>
      <c r="J1632">
        <v>-265.488</v>
      </c>
      <c r="K1632">
        <v>1.120261</v>
      </c>
      <c r="L1632">
        <v>284.39420000000001</v>
      </c>
      <c r="M1632">
        <v>-0.99997539999999996</v>
      </c>
      <c r="N1632">
        <v>-7.0078500000000004E-3</v>
      </c>
      <c r="O1632">
        <v>3.642831E-4</v>
      </c>
      <c r="P1632">
        <v>-0.99600789999999995</v>
      </c>
      <c r="Q1632">
        <v>-8.8926959999999999E-2</v>
      </c>
      <c r="R1632">
        <v>-7.7748189999999997E-3</v>
      </c>
      <c r="S1632">
        <v>-3.007263</v>
      </c>
      <c r="T1632">
        <v>-5.9159990000000003E-2</v>
      </c>
      <c r="U1632">
        <v>6.9702150000000004E-2</v>
      </c>
      <c r="V1632">
        <v>-8.0150199999999994E-3</v>
      </c>
      <c r="W1632">
        <v>-8.1956989999999993E-2</v>
      </c>
      <c r="X1632">
        <v>0.99660360000000003</v>
      </c>
      <c r="Y1632">
        <v>2.280157E-2</v>
      </c>
      <c r="Z1632">
        <v>2.995335E-4</v>
      </c>
      <c r="AA1632">
        <v>0.99973990000000001</v>
      </c>
      <c r="AB1632">
        <v>43</v>
      </c>
      <c r="AC1632">
        <v>-56.532699999999899</v>
      </c>
      <c r="AD1632">
        <v>-1.1202615094602999</v>
      </c>
      <c r="AE1632">
        <v>1.3198999999999601</v>
      </c>
      <c r="AF1632">
        <v>1.2987957660000899</v>
      </c>
      <c r="AG1632">
        <v>-1.1202615094602999</v>
      </c>
      <c r="AH1632">
        <v>56.510998398597501</v>
      </c>
      <c r="AI1632">
        <v>91.1353703407149</v>
      </c>
      <c r="AJ1632">
        <v>88.683399347297694</v>
      </c>
      <c r="AK1632">
        <v>56.537021466448401</v>
      </c>
      <c r="AL1632">
        <v>94.701062656370894</v>
      </c>
      <c r="AM1632">
        <v>90.460781918002994</v>
      </c>
      <c r="AN1632">
        <v>0.99999996214420905</v>
      </c>
    </row>
    <row r="1633" spans="1:40" x14ac:dyDescent="0.25">
      <c r="A1633" t="str">
        <f>"20190303154453938"</f>
        <v>20190303154453938</v>
      </c>
      <c r="B1633" t="str">
        <f>"1551599093931987"</f>
        <v>1551599093931987</v>
      </c>
      <c r="C1633" t="s">
        <v>40</v>
      </c>
      <c r="D1633">
        <v>4.8685650000000003</v>
      </c>
      <c r="E1633">
        <v>0.51219359999999903</v>
      </c>
      <c r="F1633" t="s">
        <v>55</v>
      </c>
      <c r="G1633">
        <v>-324.78429999999997</v>
      </c>
      <c r="H1633" s="1">
        <v>9.5889249999999994E-7</v>
      </c>
      <c r="I1633">
        <v>285.7672</v>
      </c>
      <c r="J1633">
        <v>-265.92360000000002</v>
      </c>
      <c r="K1633">
        <v>1.1202319999999999</v>
      </c>
      <c r="L1633">
        <v>284.39400000000001</v>
      </c>
      <c r="M1633">
        <v>-0.99997539999999996</v>
      </c>
      <c r="N1633">
        <v>-7.0301620000000004E-3</v>
      </c>
      <c r="O1633" s="1">
        <v>-9.2040789999999994E-5</v>
      </c>
      <c r="P1633">
        <v>-0.99600259999999996</v>
      </c>
      <c r="Q1633">
        <v>-8.9014979999999994E-2</v>
      </c>
      <c r="R1633">
        <v>-7.445536E-3</v>
      </c>
      <c r="S1633">
        <v>-3.0075069999999999</v>
      </c>
      <c r="T1633">
        <v>-5.6819559999999998E-2</v>
      </c>
      <c r="U1633">
        <v>6.9641110000000006E-2</v>
      </c>
      <c r="V1633">
        <v>-7.2389489999999997E-3</v>
      </c>
      <c r="W1633">
        <v>-8.2020919999999997E-2</v>
      </c>
      <c r="X1633">
        <v>0.9966043</v>
      </c>
      <c r="Y1633">
        <v>2.323588E-2</v>
      </c>
      <c r="Z1633">
        <v>3.022333E-4</v>
      </c>
      <c r="AA1633">
        <v>0.99973000000000001</v>
      </c>
      <c r="AB1633">
        <v>43</v>
      </c>
      <c r="AC1633">
        <v>-58.860699999999902</v>
      </c>
      <c r="AD1633">
        <v>-1.1202310411074901</v>
      </c>
      <c r="AE1633">
        <v>1.37319999999999</v>
      </c>
      <c r="AF1633">
        <v>1.3781188113781</v>
      </c>
      <c r="AG1633">
        <v>-1.1202310411074901</v>
      </c>
      <c r="AH1633">
        <v>58.839272585109903</v>
      </c>
      <c r="AI1633">
        <v>91.090413986420202</v>
      </c>
      <c r="AJ1633">
        <v>88.658277810285497</v>
      </c>
      <c r="AK1633">
        <v>58.866069406650503</v>
      </c>
      <c r="AL1633">
        <v>94.704737854776894</v>
      </c>
      <c r="AM1633">
        <v>90.416167110418399</v>
      </c>
      <c r="AN1633">
        <v>0.99999998223938003</v>
      </c>
    </row>
    <row r="1634" spans="1:40" x14ac:dyDescent="0.25">
      <c r="A1634" t="str">
        <f>"20190303154453959"</f>
        <v>20190303154453959</v>
      </c>
      <c r="B1634" t="str">
        <f>"1551599093952484"</f>
        <v>1551599093952484</v>
      </c>
      <c r="C1634" t="s">
        <v>40</v>
      </c>
      <c r="D1634">
        <v>4.8600949999999896</v>
      </c>
      <c r="E1634">
        <v>0.51242860000000001</v>
      </c>
      <c r="F1634" t="s">
        <v>55</v>
      </c>
      <c r="G1634">
        <v>-322.3734</v>
      </c>
      <c r="H1634" s="1">
        <v>-3.2234660000000003E-7</v>
      </c>
      <c r="I1634">
        <v>285.72710000000001</v>
      </c>
      <c r="J1634">
        <v>-266.32709999999997</v>
      </c>
      <c r="K1634">
        <v>1.1202030000000001</v>
      </c>
      <c r="L1634">
        <v>284.39370000000002</v>
      </c>
      <c r="M1634">
        <v>-0.99997510000000001</v>
      </c>
      <c r="N1634">
        <v>-7.0508510000000003E-3</v>
      </c>
      <c r="O1634">
        <v>-4.8029159999999997E-4</v>
      </c>
      <c r="P1634">
        <v>-0.99608319999999995</v>
      </c>
      <c r="Q1634">
        <v>-8.8143330000000006E-2</v>
      </c>
      <c r="R1634">
        <v>-7.0399410000000001E-3</v>
      </c>
      <c r="S1634">
        <v>-3.0072329999999998</v>
      </c>
      <c r="T1634">
        <v>-5.9677840000000003E-2</v>
      </c>
      <c r="U1634">
        <v>7.1014399999999894E-2</v>
      </c>
      <c r="V1634">
        <v>-6.4538850000000004E-3</v>
      </c>
      <c r="W1634">
        <v>-8.1126480000000001E-2</v>
      </c>
      <c r="X1634">
        <v>0.99668290000000004</v>
      </c>
      <c r="Y1634">
        <v>2.4081660000000001E-2</v>
      </c>
      <c r="Z1634">
        <v>3.2995620000000002E-4</v>
      </c>
      <c r="AA1634">
        <v>0.99970999999999999</v>
      </c>
      <c r="AB1634">
        <v>43</v>
      </c>
      <c r="AC1634">
        <v>-56.046300000000002</v>
      </c>
      <c r="AD1634">
        <v>-1.1202033223465999</v>
      </c>
      <c r="AE1634">
        <v>1.3333999999999799</v>
      </c>
      <c r="AF1634">
        <v>1.35977617840999</v>
      </c>
      <c r="AG1634">
        <v>-1.1202033223465999</v>
      </c>
      <c r="AH1634">
        <v>56.023285330859601</v>
      </c>
      <c r="AI1634">
        <v>91.145157428111602</v>
      </c>
      <c r="AJ1634">
        <v>88.609611308433003</v>
      </c>
      <c r="AK1634">
        <v>56.050979884402402</v>
      </c>
      <c r="AL1634">
        <v>94.653318858450504</v>
      </c>
      <c r="AM1634">
        <v>90.371005867315802</v>
      </c>
      <c r="AN1634">
        <v>0.99999998077059604</v>
      </c>
    </row>
    <row r="1635" spans="1:40" x14ac:dyDescent="0.25">
      <c r="A1635" t="str">
        <f>"20190303154453983"</f>
        <v>20190303154453983</v>
      </c>
      <c r="B1635" t="str">
        <f>"1551599093972003"</f>
        <v>1551599093972003</v>
      </c>
      <c r="C1635" t="s">
        <v>40</v>
      </c>
      <c r="D1635">
        <v>4.8370800000000003</v>
      </c>
      <c r="E1635">
        <v>0.51244350000000005</v>
      </c>
      <c r="F1635" t="s">
        <v>55</v>
      </c>
      <c r="G1635">
        <v>-324.63929999999999</v>
      </c>
      <c r="H1635" s="1">
        <v>8.7925900000000003E-7</v>
      </c>
      <c r="I1635">
        <v>285.82279999999997</v>
      </c>
      <c r="J1635">
        <v>-266.78719999999998</v>
      </c>
      <c r="K1635">
        <v>1.12017099999999</v>
      </c>
      <c r="L1635">
        <v>284.39319999999998</v>
      </c>
      <c r="M1635">
        <v>-0.99997469999999999</v>
      </c>
      <c r="N1635">
        <v>-7.0744600000000003E-3</v>
      </c>
      <c r="O1635">
        <v>-8.9324749999999996E-4</v>
      </c>
      <c r="P1635">
        <v>-0.99611209999999994</v>
      </c>
      <c r="Q1635">
        <v>-8.7812440000000005E-2</v>
      </c>
      <c r="R1635">
        <v>-7.0646540000000001E-3</v>
      </c>
      <c r="S1635">
        <v>-3.0072019999999999</v>
      </c>
      <c r="T1635">
        <v>-5.776966E-2</v>
      </c>
      <c r="U1635">
        <v>7.369995E-2</v>
      </c>
      <c r="V1635">
        <v>-6.0743309999999997E-3</v>
      </c>
      <c r="W1635">
        <v>-8.0770869999999995E-2</v>
      </c>
      <c r="X1635">
        <v>0.99671419999999999</v>
      </c>
      <c r="Y1635">
        <v>2.538698E-2</v>
      </c>
      <c r="Z1635">
        <v>3.4445150000000002E-4</v>
      </c>
      <c r="AA1635">
        <v>0.9996777</v>
      </c>
      <c r="AB1635">
        <v>43</v>
      </c>
      <c r="AC1635">
        <v>-57.8521</v>
      </c>
      <c r="AD1635">
        <v>-1.12017012074099</v>
      </c>
      <c r="AE1635">
        <v>1.42959999999999</v>
      </c>
      <c r="AF1635">
        <v>1.48072215796754</v>
      </c>
      <c r="AG1635">
        <v>-1.12017012074099</v>
      </c>
      <c r="AH1635">
        <v>57.829132277730103</v>
      </c>
      <c r="AI1635">
        <v>91.109336615945097</v>
      </c>
      <c r="AJ1635">
        <v>88.533254893854206</v>
      </c>
      <c r="AK1635">
        <v>57.858930678018098</v>
      </c>
      <c r="AL1635">
        <v>94.632876667631507</v>
      </c>
      <c r="AM1635">
        <v>90.349176545262694</v>
      </c>
      <c r="AN1635">
        <v>1.0000000137096401</v>
      </c>
    </row>
    <row r="1636" spans="1:40" x14ac:dyDescent="0.25">
      <c r="A1636" t="str">
        <f>"20190303154454006"</f>
        <v>20190303154454006</v>
      </c>
      <c r="B1636" t="str">
        <f>"1551599094002259"</f>
        <v>1551599094002259</v>
      </c>
      <c r="C1636" t="s">
        <v>40</v>
      </c>
      <c r="D1636">
        <v>4.8362970000000001</v>
      </c>
      <c r="E1636">
        <v>0.51234329999999995</v>
      </c>
      <c r="F1636" t="s">
        <v>55</v>
      </c>
      <c r="G1636">
        <v>-324.32389999999998</v>
      </c>
      <c r="H1636" s="1">
        <v>7.1230949999999999E-7</v>
      </c>
      <c r="I1636">
        <v>285.80340000000001</v>
      </c>
      <c r="J1636">
        <v>-267.22300000000001</v>
      </c>
      <c r="K1636">
        <v>1.1201559999999999</v>
      </c>
      <c r="L1636">
        <v>284.39260000000002</v>
      </c>
      <c r="M1636">
        <v>-0.99997409999999998</v>
      </c>
      <c r="N1636">
        <v>-7.0968369999999999E-3</v>
      </c>
      <c r="O1636">
        <v>-1.262535E-3</v>
      </c>
      <c r="P1636">
        <v>-0.99619020000000003</v>
      </c>
      <c r="Q1636">
        <v>-8.6891540000000003E-2</v>
      </c>
      <c r="R1636">
        <v>-7.4222009999999998E-3</v>
      </c>
      <c r="S1636">
        <v>-3.0070800000000002</v>
      </c>
      <c r="T1636">
        <v>-5.8544159999999998E-2</v>
      </c>
      <c r="U1636">
        <v>7.369995E-2</v>
      </c>
      <c r="V1636">
        <v>-6.0695669999999997E-3</v>
      </c>
      <c r="W1636">
        <v>-7.9826759999999997E-2</v>
      </c>
      <c r="X1636">
        <v>0.99679030000000002</v>
      </c>
      <c r="Y1636">
        <v>2.5756870000000001E-2</v>
      </c>
      <c r="Z1636">
        <v>3.577047E-4</v>
      </c>
      <c r="AA1636">
        <v>0.99966820000000001</v>
      </c>
      <c r="AB1636">
        <v>43</v>
      </c>
      <c r="AC1636">
        <v>-57.100899999999903</v>
      </c>
      <c r="AD1636">
        <v>-1.1201552876905001</v>
      </c>
      <c r="AE1636">
        <v>1.4107999999999901</v>
      </c>
      <c r="AF1636">
        <v>1.48232247378842</v>
      </c>
      <c r="AG1636">
        <v>-1.1201552876905001</v>
      </c>
      <c r="AH1636">
        <v>57.077121587989801</v>
      </c>
      <c r="AI1636">
        <v>91.123923322155406</v>
      </c>
      <c r="AJ1636">
        <v>88.512333267399697</v>
      </c>
      <c r="AK1636">
        <v>57.107353611903697</v>
      </c>
      <c r="AL1636">
        <v>94.578607845535601</v>
      </c>
      <c r="AM1636">
        <v>90.348876062159306</v>
      </c>
      <c r="AN1636">
        <v>1.0000000267148701</v>
      </c>
    </row>
    <row r="1637" spans="1:40" x14ac:dyDescent="0.25">
      <c r="A1637" t="str">
        <f>"20190303154454028"</f>
        <v>20190303154454028</v>
      </c>
      <c r="B1637" t="str">
        <f>"1551599094021779"</f>
        <v>1551599094021779</v>
      </c>
      <c r="C1637" t="s">
        <v>40</v>
      </c>
      <c r="D1637">
        <v>4.8979809999999997</v>
      </c>
      <c r="E1637">
        <v>0.51238509999999904</v>
      </c>
      <c r="F1637" t="s">
        <v>55</v>
      </c>
      <c r="G1637">
        <v>-326.03789999999998</v>
      </c>
      <c r="H1637" s="1">
        <v>1.6244869999999999E-6</v>
      </c>
      <c r="I1637">
        <v>285.80130000000003</v>
      </c>
      <c r="J1637">
        <v>-267.6601</v>
      </c>
      <c r="K1637">
        <v>1.120152</v>
      </c>
      <c r="L1637">
        <v>284.39179999999999</v>
      </c>
      <c r="M1637">
        <v>-0.99997349999999996</v>
      </c>
      <c r="N1637">
        <v>-7.1192109999999899E-3</v>
      </c>
      <c r="O1637">
        <v>-1.619473E-3</v>
      </c>
      <c r="P1637">
        <v>-0.99626340000000002</v>
      </c>
      <c r="Q1637">
        <v>-8.6007570000000005E-2</v>
      </c>
      <c r="R1637">
        <v>-7.8824669999999902E-3</v>
      </c>
      <c r="S1637">
        <v>-3.0069889999999999</v>
      </c>
      <c r="T1637">
        <v>-5.726933E-2</v>
      </c>
      <c r="U1637">
        <v>7.2021479999999999E-2</v>
      </c>
      <c r="V1637">
        <v>-6.1788590000000001E-3</v>
      </c>
      <c r="W1637">
        <v>-7.8919840000000005E-2</v>
      </c>
      <c r="X1637">
        <v>0.99686180000000002</v>
      </c>
      <c r="Y1637">
        <v>2.555704E-2</v>
      </c>
      <c r="Z1637">
        <v>3.5362300000000001E-4</v>
      </c>
      <c r="AA1637">
        <v>0.99967329999999999</v>
      </c>
      <c r="AB1637">
        <v>43</v>
      </c>
      <c r="AC1637">
        <v>-58.377799999999901</v>
      </c>
      <c r="AD1637">
        <v>-1.120150375513</v>
      </c>
      <c r="AE1637">
        <v>1.40950000000003</v>
      </c>
      <c r="AF1637">
        <v>1.50348857577345</v>
      </c>
      <c r="AG1637">
        <v>-1.120150375513</v>
      </c>
      <c r="AH1637">
        <v>58.353968638609601</v>
      </c>
      <c r="AI1637">
        <v>91.099337804376802</v>
      </c>
      <c r="AJ1637">
        <v>88.524102167094199</v>
      </c>
      <c r="AK1637">
        <v>58.384080626803403</v>
      </c>
      <c r="AL1637">
        <v>94.526480887964297</v>
      </c>
      <c r="AM1637">
        <v>90.355132486041597</v>
      </c>
      <c r="AN1637">
        <v>0.99999998387170297</v>
      </c>
    </row>
    <row r="1638" spans="1:40" x14ac:dyDescent="0.25">
      <c r="A1638" t="str">
        <f>"20190303154454049"</f>
        <v>20190303154454049</v>
      </c>
      <c r="B1638" t="str">
        <f>"1551599094042275"</f>
        <v>1551599094042275</v>
      </c>
      <c r="C1638" t="s">
        <v>40</v>
      </c>
      <c r="D1638">
        <v>4.8261059999999896</v>
      </c>
      <c r="E1638">
        <v>0.51241780000000003</v>
      </c>
      <c r="F1638" t="s">
        <v>55</v>
      </c>
      <c r="G1638">
        <v>-328.33609999999999</v>
      </c>
      <c r="H1638" s="1">
        <v>2.8461409999999998E-6</v>
      </c>
      <c r="I1638">
        <v>285.8322</v>
      </c>
      <c r="J1638">
        <v>-268.05549999999999</v>
      </c>
      <c r="K1638">
        <v>1.120147</v>
      </c>
      <c r="L1638">
        <v>284.39100000000002</v>
      </c>
      <c r="M1638">
        <v>-0.9999728</v>
      </c>
      <c r="N1638">
        <v>-7.1394589999999999E-3</v>
      </c>
      <c r="O1638">
        <v>-1.9352E-3</v>
      </c>
      <c r="P1638">
        <v>-0.99637370000000003</v>
      </c>
      <c r="Q1638">
        <v>-8.4648029999999999E-2</v>
      </c>
      <c r="R1638">
        <v>-8.646585E-3</v>
      </c>
      <c r="S1638">
        <v>-3.0070190000000001</v>
      </c>
      <c r="T1638">
        <v>-5.5513020000000003E-2</v>
      </c>
      <c r="U1638">
        <v>7.1380620000000006E-2</v>
      </c>
      <c r="V1638">
        <v>-6.6321039999999998E-3</v>
      </c>
      <c r="W1638">
        <v>-7.7539620000000004E-2</v>
      </c>
      <c r="X1638">
        <v>0.99696719999999905</v>
      </c>
      <c r="Y1638">
        <v>2.5659789999999998E-2</v>
      </c>
      <c r="Z1638">
        <v>3.5032880000000001E-4</v>
      </c>
      <c r="AA1638">
        <v>0.99967070000000002</v>
      </c>
      <c r="AB1638">
        <v>43</v>
      </c>
      <c r="AC1638">
        <v>-60.2805999999999</v>
      </c>
      <c r="AD1638">
        <v>-1.120144153859</v>
      </c>
      <c r="AE1638">
        <v>1.44120000000003</v>
      </c>
      <c r="AF1638">
        <v>1.5573178431297099</v>
      </c>
      <c r="AG1638">
        <v>-1.120144153859</v>
      </c>
      <c r="AH1638">
        <v>60.256903401191401</v>
      </c>
      <c r="AI1638">
        <v>91.064620341998705</v>
      </c>
      <c r="AJ1638">
        <v>88.519540894438904</v>
      </c>
      <c r="AK1638">
        <v>60.287431271289599</v>
      </c>
      <c r="AL1638">
        <v>94.447156983237406</v>
      </c>
      <c r="AM1638">
        <v>90.381141890533897</v>
      </c>
      <c r="AN1638">
        <v>0.99999998767452503</v>
      </c>
    </row>
    <row r="1639" spans="1:40" x14ac:dyDescent="0.25">
      <c r="A1639" t="str">
        <f>"20190303154454072"</f>
        <v>20190303154454072</v>
      </c>
      <c r="B1639" t="str">
        <f>"1551599094061809"</f>
        <v>1551599094061809</v>
      </c>
      <c r="C1639" t="s">
        <v>40</v>
      </c>
      <c r="D1639">
        <v>4.8414159999999997</v>
      </c>
      <c r="E1639">
        <v>0.51237770000000005</v>
      </c>
      <c r="F1639" t="s">
        <v>55</v>
      </c>
      <c r="G1639">
        <v>-332.54450000000003</v>
      </c>
      <c r="H1639" s="1">
        <v>-2.3763199999999999E-7</v>
      </c>
      <c r="I1639">
        <v>285.87209999999999</v>
      </c>
      <c r="J1639">
        <v>-268.51389999999998</v>
      </c>
      <c r="K1639">
        <v>1.1201410000000001</v>
      </c>
      <c r="L1639">
        <v>284.38979999999998</v>
      </c>
      <c r="M1639">
        <v>-0.99997170000000002</v>
      </c>
      <c r="N1639">
        <v>-7.1630410000000002E-3</v>
      </c>
      <c r="O1639">
        <v>-2.297075E-3</v>
      </c>
      <c r="P1639">
        <v>-0.99642260000000005</v>
      </c>
      <c r="Q1639">
        <v>-8.3952959999999993E-2</v>
      </c>
      <c r="R1639">
        <v>-9.6941949999999992E-3</v>
      </c>
      <c r="S1639">
        <v>-3.0070800000000002</v>
      </c>
      <c r="T1639">
        <v>-5.223179E-2</v>
      </c>
      <c r="U1639">
        <v>6.9061280000000003E-2</v>
      </c>
      <c r="V1639">
        <v>-7.3223029999999996E-3</v>
      </c>
      <c r="W1639">
        <v>-7.6821219999999996E-2</v>
      </c>
      <c r="X1639">
        <v>0.99701799999999996</v>
      </c>
      <c r="Y1639">
        <v>2.5251139999999998E-2</v>
      </c>
      <c r="Z1639">
        <v>3.3315589999999902E-4</v>
      </c>
      <c r="AA1639">
        <v>0.99968109999999999</v>
      </c>
      <c r="AB1639">
        <v>43</v>
      </c>
      <c r="AC1639">
        <v>-64.030600000000007</v>
      </c>
      <c r="AD1639">
        <v>-1.1201412376319999</v>
      </c>
      <c r="AE1639">
        <v>1.4823</v>
      </c>
      <c r="AF1639">
        <v>1.6288847261024599</v>
      </c>
      <c r="AG1639">
        <v>-1.1201412376319999</v>
      </c>
      <c r="AH1639">
        <v>64.007448021990498</v>
      </c>
      <c r="AI1639">
        <v>91.002259133011506</v>
      </c>
      <c r="AJ1639">
        <v>88.542230884371705</v>
      </c>
      <c r="AK1639">
        <v>64.037968301086707</v>
      </c>
      <c r="AL1639">
        <v>94.405872475533997</v>
      </c>
      <c r="AM1639">
        <v>90.420784294323695</v>
      </c>
      <c r="AN1639">
        <v>1.00000000414375</v>
      </c>
    </row>
    <row r="1640" spans="1:40" x14ac:dyDescent="0.25">
      <c r="A1640" t="str">
        <f>"20190303154454093"</f>
        <v>20190303154454093</v>
      </c>
      <c r="B1640" t="str">
        <f>"1551599094082291"</f>
        <v>1551599094082291</v>
      </c>
      <c r="C1640" t="s">
        <v>40</v>
      </c>
      <c r="D1640">
        <v>4.850854</v>
      </c>
      <c r="E1640">
        <v>0.51226850000000002</v>
      </c>
      <c r="F1640" t="s">
        <v>55</v>
      </c>
      <c r="G1640">
        <v>-334.22800000000001</v>
      </c>
      <c r="H1640" s="1">
        <v>6.6056619999999997E-7</v>
      </c>
      <c r="I1640">
        <v>285.81900000000002</v>
      </c>
      <c r="J1640">
        <v>-268.90769999999998</v>
      </c>
      <c r="K1640">
        <v>1.120125</v>
      </c>
      <c r="L1640">
        <v>284.38869999999997</v>
      </c>
      <c r="M1640">
        <v>-0.9999709</v>
      </c>
      <c r="N1640">
        <v>-7.1830130000000002E-3</v>
      </c>
      <c r="O1640">
        <v>-2.6059170000000001E-3</v>
      </c>
      <c r="P1640">
        <v>-0.99641089999999999</v>
      </c>
      <c r="Q1640">
        <v>-8.4018419999999996E-2</v>
      </c>
      <c r="R1640">
        <v>-1.030997E-2</v>
      </c>
      <c r="S1640">
        <v>-3.00705</v>
      </c>
      <c r="T1640">
        <v>-5.1257129999999998E-2</v>
      </c>
      <c r="U1640">
        <v>6.5399170000000006E-2</v>
      </c>
      <c r="V1640">
        <v>-7.6322459999999996E-3</v>
      </c>
      <c r="W1640">
        <v>-7.686693E-2</v>
      </c>
      <c r="X1640">
        <v>0.99701209999999996</v>
      </c>
      <c r="Y1640">
        <v>2.434362E-2</v>
      </c>
      <c r="Z1640">
        <v>3.205835E-4</v>
      </c>
      <c r="AA1640">
        <v>0.99970360000000003</v>
      </c>
      <c r="AB1640">
        <v>43</v>
      </c>
      <c r="AC1640">
        <v>-65.320300000000003</v>
      </c>
      <c r="AD1640">
        <v>-1.1201243394338001</v>
      </c>
      <c r="AE1640">
        <v>1.4303000000000401</v>
      </c>
      <c r="AF1640">
        <v>1.6000485140599701</v>
      </c>
      <c r="AG1640">
        <v>-1.1201243394338001</v>
      </c>
      <c r="AH1640">
        <v>65.297158772415102</v>
      </c>
      <c r="AI1640">
        <v>90.982475357372707</v>
      </c>
      <c r="AJ1640">
        <v>88.596299039519494</v>
      </c>
      <c r="AK1640">
        <v>65.3263635719387</v>
      </c>
      <c r="AL1640">
        <v>94.408499463700394</v>
      </c>
      <c r="AM1640">
        <v>90.438597427598495</v>
      </c>
      <c r="AN1640">
        <v>0.99999995182651802</v>
      </c>
    </row>
    <row r="1641" spans="1:40" x14ac:dyDescent="0.25">
      <c r="A1641" t="str">
        <f>"20190303154454117"</f>
        <v>20190303154454117</v>
      </c>
      <c r="B1641" t="str">
        <f>"1551599094112547"</f>
        <v>1551599094112547</v>
      </c>
      <c r="C1641" t="s">
        <v>40</v>
      </c>
      <c r="D1641">
        <v>4.8500129999999997</v>
      </c>
      <c r="E1641">
        <v>0.51223439999999998</v>
      </c>
      <c r="F1641" t="s">
        <v>55</v>
      </c>
      <c r="G1641">
        <v>-331.73480000000001</v>
      </c>
      <c r="H1641" s="1">
        <v>-6.608932E-7</v>
      </c>
      <c r="I1641">
        <v>285.69779999999997</v>
      </c>
      <c r="J1641">
        <v>-269.37180000000001</v>
      </c>
      <c r="K1641">
        <v>1.120106</v>
      </c>
      <c r="L1641">
        <v>284.38729999999998</v>
      </c>
      <c r="M1641">
        <v>-0.99996960000000001</v>
      </c>
      <c r="N1641">
        <v>-7.206385E-3</v>
      </c>
      <c r="O1641">
        <v>-2.9678109999999999E-3</v>
      </c>
      <c r="P1641">
        <v>-0.99638280000000001</v>
      </c>
      <c r="Q1641">
        <v>-8.4370420000000002E-2</v>
      </c>
      <c r="R1641">
        <v>-1.015429E-2</v>
      </c>
      <c r="S1641">
        <v>-3.0069270000000001</v>
      </c>
      <c r="T1641">
        <v>-5.3609610000000002E-2</v>
      </c>
      <c r="U1641">
        <v>6.2652589999999994E-2</v>
      </c>
      <c r="V1641">
        <v>-7.1181439999999999E-3</v>
      </c>
      <c r="W1641">
        <v>-7.7195059999999996E-2</v>
      </c>
      <c r="X1641">
        <v>0.99699059999999995</v>
      </c>
      <c r="Y1641">
        <v>2.379324E-2</v>
      </c>
      <c r="Z1641">
        <v>3.293317E-4</v>
      </c>
      <c r="AA1641">
        <v>0.99971679999999996</v>
      </c>
      <c r="AB1641">
        <v>43</v>
      </c>
      <c r="AC1641">
        <v>-62.363</v>
      </c>
      <c r="AD1641">
        <v>-1.1201066608932</v>
      </c>
      <c r="AE1641">
        <v>1.31049999999999</v>
      </c>
      <c r="AF1641">
        <v>1.4950985308595499</v>
      </c>
      <c r="AG1641">
        <v>-1.1201066608932</v>
      </c>
      <c r="AH1641">
        <v>62.338734306629597</v>
      </c>
      <c r="AI1641">
        <v>91.029087870151301</v>
      </c>
      <c r="AJ1641">
        <v>88.626112355487805</v>
      </c>
      <c r="AK1641">
        <v>62.366719919371398</v>
      </c>
      <c r="AL1641">
        <v>94.427355739565101</v>
      </c>
      <c r="AM1641">
        <v>90.409063715943205</v>
      </c>
      <c r="AN1641">
        <v>1.00000000087538</v>
      </c>
    </row>
    <row r="1642" spans="1:40" x14ac:dyDescent="0.25">
      <c r="A1642" t="str">
        <f>"20190303154454137"</f>
        <v>20190303154454137</v>
      </c>
      <c r="B1642" t="str">
        <f>"1551599094132066"</f>
        <v>1551599094132066</v>
      </c>
      <c r="C1642" t="s">
        <v>40</v>
      </c>
      <c r="D1642">
        <v>4.8670099999999996</v>
      </c>
      <c r="E1642">
        <v>0.51217959999999996</v>
      </c>
      <c r="F1642" t="s">
        <v>55</v>
      </c>
      <c r="G1642">
        <v>-327.3329</v>
      </c>
      <c r="H1642" s="1">
        <v>2.3224290000000002E-6</v>
      </c>
      <c r="I1642">
        <v>285.5992</v>
      </c>
      <c r="J1642">
        <v>-269.79320000000001</v>
      </c>
      <c r="K1642">
        <v>1.120093</v>
      </c>
      <c r="L1642">
        <v>284.38580000000002</v>
      </c>
      <c r="M1642">
        <v>-0.99996839999999998</v>
      </c>
      <c r="N1642">
        <v>-7.2277460000000002E-3</v>
      </c>
      <c r="O1642">
        <v>-3.2949110000000002E-3</v>
      </c>
      <c r="P1642">
        <v>-0.9964132</v>
      </c>
      <c r="Q1642">
        <v>-8.4102339999999998E-2</v>
      </c>
      <c r="R1642">
        <v>-9.3692900000000006E-3</v>
      </c>
      <c r="S1642">
        <v>-3.006653</v>
      </c>
      <c r="T1642">
        <v>-5.8103920000000003E-2</v>
      </c>
      <c r="U1642">
        <v>6.2866210000000006E-2</v>
      </c>
      <c r="V1642">
        <v>-6.0086860000000001E-3</v>
      </c>
      <c r="W1642">
        <v>-7.6904189999999997E-2</v>
      </c>
      <c r="X1642">
        <v>0.99702040000000003</v>
      </c>
      <c r="Y1642">
        <v>2.4192189999999999E-2</v>
      </c>
      <c r="Z1642">
        <v>3.6101170000000003E-4</v>
      </c>
      <c r="AA1642">
        <v>0.99970729999999997</v>
      </c>
      <c r="AB1642">
        <v>43</v>
      </c>
      <c r="AC1642">
        <v>-57.539699999999897</v>
      </c>
      <c r="AD1642">
        <v>-1.120090677571</v>
      </c>
      <c r="AE1642">
        <v>1.2133999999999701</v>
      </c>
      <c r="AF1642">
        <v>1.4024553543732401</v>
      </c>
      <c r="AG1642">
        <v>-1.120090677571</v>
      </c>
      <c r="AH1642">
        <v>57.513604940776503</v>
      </c>
      <c r="AI1642">
        <v>91.115375957321007</v>
      </c>
      <c r="AJ1642">
        <v>88.603133088815994</v>
      </c>
      <c r="AK1642">
        <v>57.541604404384699</v>
      </c>
      <c r="AL1642">
        <v>94.410640348468604</v>
      </c>
      <c r="AM1642">
        <v>90.345297027293199</v>
      </c>
      <c r="AN1642">
        <v>1.00000001838158</v>
      </c>
    </row>
    <row r="1643" spans="1:40" x14ac:dyDescent="0.25">
      <c r="A1643" t="str">
        <f>"20190303154454161"</f>
        <v>20190303154454161</v>
      </c>
      <c r="B1643" t="str">
        <f>"1551599094151587"</f>
        <v>1551599094151587</v>
      </c>
      <c r="C1643" t="s">
        <v>40</v>
      </c>
      <c r="D1643">
        <v>4.8736819999999996</v>
      </c>
      <c r="E1643">
        <v>0.51224170000000002</v>
      </c>
      <c r="F1643" t="s">
        <v>55</v>
      </c>
      <c r="G1643">
        <v>-326.8777</v>
      </c>
      <c r="H1643" s="1">
        <v>2.0795709999999998E-6</v>
      </c>
      <c r="I1643">
        <v>285.61419999999998</v>
      </c>
      <c r="J1643">
        <v>-270.23480000000001</v>
      </c>
      <c r="K1643">
        <v>1.12009</v>
      </c>
      <c r="L1643">
        <v>284.38409999999999</v>
      </c>
      <c r="M1643">
        <v>-0.99996700000000005</v>
      </c>
      <c r="N1643">
        <v>-7.2502399999999998E-3</v>
      </c>
      <c r="O1643">
        <v>-3.6363300000000001E-3</v>
      </c>
      <c r="P1643">
        <v>-0.99647629999999998</v>
      </c>
      <c r="Q1643">
        <v>-8.3404880000000001E-2</v>
      </c>
      <c r="R1643">
        <v>-8.8699940000000008E-3</v>
      </c>
      <c r="S1643">
        <v>-3.0064389999999999</v>
      </c>
      <c r="T1643">
        <v>-5.8991189999999999E-2</v>
      </c>
      <c r="U1643">
        <v>6.4697270000000001E-2</v>
      </c>
      <c r="V1643">
        <v>-5.1717630000000002E-3</v>
      </c>
      <c r="W1643">
        <v>-7.6182920000000001E-2</v>
      </c>
      <c r="X1643">
        <v>0.99708039999999998</v>
      </c>
      <c r="Y1643">
        <v>2.5143120000000001E-2</v>
      </c>
      <c r="Z1643">
        <v>3.8276910000000001E-4</v>
      </c>
      <c r="AA1643">
        <v>0.99968380000000001</v>
      </c>
      <c r="AB1643">
        <v>44</v>
      </c>
      <c r="AC1643">
        <v>-56.642899999999997</v>
      </c>
      <c r="AD1643">
        <v>-1.120087920429</v>
      </c>
      <c r="AE1643">
        <v>1.23009999999999</v>
      </c>
      <c r="AF1643">
        <v>1.4355085123654501</v>
      </c>
      <c r="AG1643">
        <v>-1.120087920429</v>
      </c>
      <c r="AH1643">
        <v>56.615924068567899</v>
      </c>
      <c r="AI1643">
        <v>91.133026255751702</v>
      </c>
      <c r="AJ1643">
        <v>88.547564808662202</v>
      </c>
      <c r="AK1643">
        <v>56.645195204681002</v>
      </c>
      <c r="AL1643">
        <v>94.369193305624407</v>
      </c>
      <c r="AM1643">
        <v>90.297185197086606</v>
      </c>
      <c r="AN1643">
        <v>0.99999995424820598</v>
      </c>
    </row>
    <row r="1644" spans="1:40" x14ac:dyDescent="0.25">
      <c r="A1644" t="str">
        <f>"20190303154454183"</f>
        <v>20190303154454183</v>
      </c>
      <c r="B1644" t="str">
        <f>"1551599094172083"</f>
        <v>1551599094172083</v>
      </c>
      <c r="C1644" t="s">
        <v>40</v>
      </c>
      <c r="D1644">
        <v>4.9028749999999999</v>
      </c>
      <c r="E1644">
        <v>0.51228229999999997</v>
      </c>
      <c r="F1644" t="s">
        <v>55</v>
      </c>
      <c r="G1644">
        <v>-328.13060000000002</v>
      </c>
      <c r="H1644" s="1">
        <v>2.74408E-6</v>
      </c>
      <c r="I1644">
        <v>285.6653</v>
      </c>
      <c r="J1644">
        <v>-270.6671</v>
      </c>
      <c r="K1644">
        <v>1.12009</v>
      </c>
      <c r="L1644">
        <v>284.38229999999999</v>
      </c>
      <c r="M1644">
        <v>-0.99996580000000002</v>
      </c>
      <c r="N1644">
        <v>-7.2722699999999999E-3</v>
      </c>
      <c r="O1644">
        <v>-3.9694229999999997E-3</v>
      </c>
      <c r="P1644">
        <v>-0.99659350000000002</v>
      </c>
      <c r="Q1644">
        <v>-8.2068569999999993E-2</v>
      </c>
      <c r="R1644">
        <v>-8.1397190000000001E-3</v>
      </c>
      <c r="S1644">
        <v>-3.006348</v>
      </c>
      <c r="T1644">
        <v>-5.8162569999999997E-2</v>
      </c>
      <c r="U1644">
        <v>6.6528320000000002E-2</v>
      </c>
      <c r="V1644">
        <v>-4.1114669999999997E-3</v>
      </c>
      <c r="W1644">
        <v>-7.4822730000000004E-2</v>
      </c>
      <c r="X1644">
        <v>0.99718839999999997</v>
      </c>
      <c r="Y1644">
        <v>2.6085250000000001E-2</v>
      </c>
      <c r="Z1644">
        <v>3.950677E-4</v>
      </c>
      <c r="AA1644">
        <v>0.99965970000000004</v>
      </c>
      <c r="AB1644">
        <v>44</v>
      </c>
      <c r="AC1644">
        <v>-57.463500000000003</v>
      </c>
      <c r="AD1644">
        <v>-1.1200872559199999</v>
      </c>
      <c r="AE1644">
        <v>1.2830000000000099</v>
      </c>
      <c r="AF1644">
        <v>1.5105192076273499</v>
      </c>
      <c r="AG1644">
        <v>-1.1200872559199999</v>
      </c>
      <c r="AH1644">
        <v>57.436142720796497</v>
      </c>
      <c r="AI1644">
        <v>91.116822302628904</v>
      </c>
      <c r="AJ1644">
        <v>88.493519470780498</v>
      </c>
      <c r="AK1644">
        <v>57.466918782732598</v>
      </c>
      <c r="AL1644">
        <v>94.291036754864905</v>
      </c>
      <c r="AM1644">
        <v>90.236232563330901</v>
      </c>
      <c r="AN1644">
        <v>1.00000002509005</v>
      </c>
    </row>
    <row r="1645" spans="1:40" x14ac:dyDescent="0.25">
      <c r="A1645" t="str">
        <f>"20190303154454209"</f>
        <v>20190303154454209</v>
      </c>
      <c r="B1645" t="str">
        <f>"1551599094202565"</f>
        <v>1551599094202565</v>
      </c>
      <c r="C1645" t="s">
        <v>40</v>
      </c>
      <c r="D1645">
        <v>4.9447140000000003</v>
      </c>
      <c r="E1645">
        <v>0.51227069999999997</v>
      </c>
      <c r="F1645" t="s">
        <v>55</v>
      </c>
      <c r="G1645">
        <v>-331.50839999999999</v>
      </c>
      <c r="H1645" s="1">
        <v>-7.8508819999999998E-7</v>
      </c>
      <c r="I1645">
        <v>285.78309999999999</v>
      </c>
      <c r="J1645">
        <v>-271.16140000000001</v>
      </c>
      <c r="K1645">
        <v>1.120093</v>
      </c>
      <c r="L1645">
        <v>284.38010000000003</v>
      </c>
      <c r="M1645">
        <v>-0.99996399999999996</v>
      </c>
      <c r="N1645">
        <v>-7.2973719999999999E-3</v>
      </c>
      <c r="O1645">
        <v>-4.348078E-3</v>
      </c>
      <c r="P1645">
        <v>-0.99671140000000003</v>
      </c>
      <c r="Q1645">
        <v>-8.0645750000000002E-2</v>
      </c>
      <c r="R1645">
        <v>-7.9185890000000002E-3</v>
      </c>
      <c r="S1645">
        <v>-3.006256</v>
      </c>
      <c r="T1645">
        <v>-5.53453E-2</v>
      </c>
      <c r="U1645">
        <v>6.9213869999999997E-2</v>
      </c>
      <c r="V1645">
        <v>-3.5150979999999999E-3</v>
      </c>
      <c r="W1645">
        <v>-7.3373439999999998E-2</v>
      </c>
      <c r="X1645">
        <v>0.99729840000000003</v>
      </c>
      <c r="Y1645">
        <v>2.735727E-2</v>
      </c>
      <c r="Z1645">
        <v>3.9992180000000002E-4</v>
      </c>
      <c r="AA1645">
        <v>0.9996256</v>
      </c>
      <c r="AB1645">
        <v>44</v>
      </c>
      <c r="AC1645">
        <v>-60.346999999999902</v>
      </c>
      <c r="AD1645">
        <v>-1.1200937850882</v>
      </c>
      <c r="AE1645">
        <v>1.4029999999999601</v>
      </c>
      <c r="AF1645">
        <v>1.6648139364225201</v>
      </c>
      <c r="AG1645">
        <v>-1.1200937850882</v>
      </c>
      <c r="AH1645">
        <v>60.319559744340403</v>
      </c>
      <c r="AI1645">
        <v>91.063417087665201</v>
      </c>
      <c r="AJ1645">
        <v>88.4190434536917</v>
      </c>
      <c r="AK1645">
        <v>60.3529245627861</v>
      </c>
      <c r="AL1645">
        <v>94.207769505218593</v>
      </c>
      <c r="AM1645">
        <v>90.201945020653795</v>
      </c>
      <c r="AN1645">
        <v>1.0000000581269699</v>
      </c>
    </row>
    <row r="1646" spans="1:40" x14ac:dyDescent="0.25">
      <c r="A1646" t="str">
        <f>"20190303154454229"</f>
        <v>20190303154454229</v>
      </c>
      <c r="B1646" t="str">
        <f>"1551599094222085"</f>
        <v>1551599094222085</v>
      </c>
      <c r="C1646" t="s">
        <v>40</v>
      </c>
      <c r="D1646">
        <v>4.9468899999999998</v>
      </c>
      <c r="E1646">
        <v>0.51226859999999996</v>
      </c>
      <c r="F1646" t="s">
        <v>55</v>
      </c>
      <c r="G1646">
        <v>-333.4803</v>
      </c>
      <c r="H1646" s="1">
        <v>2.6209059999999999E-7</v>
      </c>
      <c r="I1646">
        <v>285.83199999999999</v>
      </c>
      <c r="J1646">
        <v>-271.5761</v>
      </c>
      <c r="K1646">
        <v>1.120099</v>
      </c>
      <c r="L1646">
        <v>284.37810000000002</v>
      </c>
      <c r="M1646">
        <v>-0.99996240000000003</v>
      </c>
      <c r="N1646">
        <v>-7.318321E-3</v>
      </c>
      <c r="O1646">
        <v>-4.6640340000000001E-3</v>
      </c>
      <c r="P1646">
        <v>-0.99692080000000005</v>
      </c>
      <c r="Q1646">
        <v>-7.8009140000000005E-2</v>
      </c>
      <c r="R1646">
        <v>-7.9776980000000001E-3</v>
      </c>
      <c r="S1646">
        <v>-3.0061040000000001</v>
      </c>
      <c r="T1646">
        <v>-5.4030420000000003E-2</v>
      </c>
      <c r="U1646">
        <v>7.0037840000000004E-2</v>
      </c>
      <c r="V1646">
        <v>-3.2608310000000001E-3</v>
      </c>
      <c r="W1646">
        <v>-7.071421E-2</v>
      </c>
      <c r="X1646">
        <v>0.99749129999999997</v>
      </c>
      <c r="Y1646">
        <v>2.7948250000000001E-2</v>
      </c>
      <c r="Z1646">
        <v>4.0308990000000001E-4</v>
      </c>
      <c r="AA1646">
        <v>0.99960930000000003</v>
      </c>
      <c r="AB1646">
        <v>44</v>
      </c>
      <c r="AC1646">
        <v>-61.904200000000003</v>
      </c>
      <c r="AD1646">
        <v>-1.1200987379093901</v>
      </c>
      <c r="AE1646">
        <v>1.45389999999997</v>
      </c>
      <c r="AF1646">
        <v>1.74204517198405</v>
      </c>
      <c r="AG1646">
        <v>-1.1200987379093901</v>
      </c>
      <c r="AH1646">
        <v>61.8764985285855</v>
      </c>
      <c r="AI1646">
        <v>91.036653859659097</v>
      </c>
      <c r="AJ1646">
        <v>88.387344470217997</v>
      </c>
      <c r="AK1646">
        <v>61.911149340986597</v>
      </c>
      <c r="AL1646">
        <v>94.0550100447402</v>
      </c>
      <c r="AM1646">
        <v>90.187301070675105</v>
      </c>
      <c r="AN1646">
        <v>1.00000001304521</v>
      </c>
    </row>
    <row r="1647" spans="1:40" x14ac:dyDescent="0.25">
      <c r="A1647" t="str">
        <f>"20190303154454250"</f>
        <v>20190303154454250</v>
      </c>
      <c r="B1647" t="str">
        <f>"1551599094242581"</f>
        <v>1551599094242581</v>
      </c>
      <c r="C1647" t="s">
        <v>40</v>
      </c>
      <c r="D1647">
        <v>4.9338660000000001</v>
      </c>
      <c r="E1647">
        <v>0.51219440000000005</v>
      </c>
      <c r="F1647" t="s">
        <v>55</v>
      </c>
      <c r="G1647">
        <v>-341.83479999999997</v>
      </c>
      <c r="H1647" s="1">
        <v>-5.6037619999999897E-7</v>
      </c>
      <c r="I1647">
        <v>286.00150000000002</v>
      </c>
      <c r="J1647">
        <v>-271.98039999999997</v>
      </c>
      <c r="K1647">
        <v>1.1201030000000001</v>
      </c>
      <c r="L1647">
        <v>284.3759</v>
      </c>
      <c r="M1647">
        <v>-0.99996079999999998</v>
      </c>
      <c r="N1647">
        <v>-7.3385840000000004E-3</v>
      </c>
      <c r="O1647">
        <v>-4.9711759999999999E-3</v>
      </c>
      <c r="P1647">
        <v>-0.99710089999999996</v>
      </c>
      <c r="Q1647">
        <v>-7.5704049999999995E-2</v>
      </c>
      <c r="R1647">
        <v>-7.6723519999999899E-3</v>
      </c>
      <c r="S1647">
        <v>-3.0060419999999999</v>
      </c>
      <c r="T1647">
        <v>-4.7923800000000003E-2</v>
      </c>
      <c r="U1647">
        <v>6.9458010000000001E-2</v>
      </c>
      <c r="V1647">
        <v>-2.6510150000000001E-3</v>
      </c>
      <c r="W1647">
        <v>-6.8387039999999996E-2</v>
      </c>
      <c r="X1647">
        <v>0.99765530000000002</v>
      </c>
      <c r="Y1647">
        <v>2.806428E-2</v>
      </c>
      <c r="Z1647">
        <v>3.6942669999999998E-4</v>
      </c>
      <c r="AA1647">
        <v>0.99960610000000005</v>
      </c>
      <c r="AB1647">
        <v>44</v>
      </c>
      <c r="AC1647">
        <v>-69.854399999999998</v>
      </c>
      <c r="AD1647">
        <v>-1.1201035603762</v>
      </c>
      <c r="AE1647">
        <v>1.6256000000000199</v>
      </c>
      <c r="AF1647">
        <v>1.97234090539874</v>
      </c>
      <c r="AG1647">
        <v>-1.1201035603762</v>
      </c>
      <c r="AH1647">
        <v>69.827511404911803</v>
      </c>
      <c r="AI1647">
        <v>90.918636827148205</v>
      </c>
      <c r="AJ1647">
        <v>88.382059330122004</v>
      </c>
      <c r="AK1647">
        <v>69.864340758617104</v>
      </c>
      <c r="AL1647">
        <v>93.9213495495122</v>
      </c>
      <c r="AM1647">
        <v>90.152248590697297</v>
      </c>
      <c r="AN1647">
        <v>0.99999995636928996</v>
      </c>
    </row>
    <row r="1648" spans="1:40" x14ac:dyDescent="0.25">
      <c r="A1648" t="str">
        <f>"20190303154454273"</f>
        <v>20190303154454273</v>
      </c>
      <c r="B1648" t="str">
        <f>"1551599094262101"</f>
        <v>1551599094262101</v>
      </c>
      <c r="C1648" t="s">
        <v>40</v>
      </c>
      <c r="D1648">
        <v>4.9653720000000003</v>
      </c>
      <c r="E1648">
        <v>0.51213869999999995</v>
      </c>
      <c r="F1648" t="s">
        <v>55</v>
      </c>
      <c r="G1648">
        <v>-348.97160000000002</v>
      </c>
      <c r="H1648" s="1">
        <v>3.2374429999999998E-6</v>
      </c>
      <c r="I1648">
        <v>286.16120000000001</v>
      </c>
      <c r="J1648">
        <v>-272.44990000000001</v>
      </c>
      <c r="K1648">
        <v>1.120112</v>
      </c>
      <c r="L1648">
        <v>284.3734</v>
      </c>
      <c r="M1648">
        <v>-0.99995880000000004</v>
      </c>
      <c r="N1648">
        <v>-7.3620179999999997E-3</v>
      </c>
      <c r="O1648">
        <v>-5.3279310000000002E-3</v>
      </c>
      <c r="P1648">
        <v>-0.9972396</v>
      </c>
      <c r="Q1648">
        <v>-7.384288E-2</v>
      </c>
      <c r="R1648">
        <v>-7.7696589999999999E-3</v>
      </c>
      <c r="S1648">
        <v>-3.005951</v>
      </c>
      <c r="T1648">
        <v>-4.3731810000000003E-2</v>
      </c>
      <c r="U1648">
        <v>6.9702150000000004E-2</v>
      </c>
      <c r="V1648">
        <v>-2.3934809999999998E-3</v>
      </c>
      <c r="W1648">
        <v>-6.6501249999999998E-2</v>
      </c>
      <c r="X1648">
        <v>0.99778350000000005</v>
      </c>
      <c r="Y1648">
        <v>2.8503460000000001E-2</v>
      </c>
      <c r="Z1648">
        <v>3.5052789999999998E-4</v>
      </c>
      <c r="AA1648">
        <v>0.99959359999999997</v>
      </c>
      <c r="AB1648">
        <v>44</v>
      </c>
      <c r="AC1648">
        <v>-76.521699999999996</v>
      </c>
      <c r="AD1648">
        <v>-1.1201087625570001</v>
      </c>
      <c r="AE1648">
        <v>1.7878000000000001</v>
      </c>
      <c r="AF1648">
        <v>2.1950179129283001</v>
      </c>
      <c r="AG1648">
        <v>-1.1201087625570001</v>
      </c>
      <c r="AH1648">
        <v>76.494707101998202</v>
      </c>
      <c r="AI1648">
        <v>90.838574598744998</v>
      </c>
      <c r="AJ1648">
        <v>88.356346921217394</v>
      </c>
      <c r="AK1648">
        <v>76.534390713577395</v>
      </c>
      <c r="AL1648">
        <v>93.813054862504401</v>
      </c>
      <c r="AM1648">
        <v>90.137440733994396</v>
      </c>
      <c r="AN1648">
        <v>1.0000000289375499</v>
      </c>
    </row>
    <row r="1649" spans="1:40" x14ac:dyDescent="0.25">
      <c r="A1649" t="str">
        <f>"20190303154454295"</f>
        <v>20190303154454295</v>
      </c>
      <c r="B1649" t="str">
        <f>"1551599094292358"</f>
        <v>1551599094292358</v>
      </c>
      <c r="C1649" t="s">
        <v>40</v>
      </c>
      <c r="D1649">
        <v>5.0015099999999997</v>
      </c>
      <c r="E1649">
        <v>0.51089099999999998</v>
      </c>
      <c r="F1649" t="s">
        <v>55</v>
      </c>
      <c r="G1649">
        <v>-355.02710000000002</v>
      </c>
      <c r="H1649" s="1">
        <v>1.1383880000000001E-6</v>
      </c>
      <c r="I1649">
        <v>286.28230000000002</v>
      </c>
      <c r="J1649">
        <v>-272.86799999999999</v>
      </c>
      <c r="K1649">
        <v>1.12012</v>
      </c>
      <c r="L1649">
        <v>284.37099999999998</v>
      </c>
      <c r="M1649">
        <v>-0.99995679999999998</v>
      </c>
      <c r="N1649">
        <v>-7.3829730000000001E-3</v>
      </c>
      <c r="O1649">
        <v>-5.6486969999999899E-3</v>
      </c>
      <c r="P1649">
        <v>-0.99735830000000003</v>
      </c>
      <c r="Q1649">
        <v>-7.220261E-2</v>
      </c>
      <c r="R1649">
        <v>-7.9706999999999903E-3</v>
      </c>
      <c r="S1649">
        <v>-3.0058590000000001</v>
      </c>
      <c r="T1649">
        <v>-4.0772679999999999E-2</v>
      </c>
      <c r="U1649">
        <v>6.9488530000000007E-2</v>
      </c>
      <c r="V1649">
        <v>-2.2752610000000002E-3</v>
      </c>
      <c r="W1649">
        <v>-6.4839129999999995E-2</v>
      </c>
      <c r="X1649">
        <v>0.99789320000000004</v>
      </c>
      <c r="Y1649">
        <v>2.87543E-2</v>
      </c>
      <c r="Z1649">
        <v>3.360622E-4</v>
      </c>
      <c r="AA1649">
        <v>0.99958650000000004</v>
      </c>
      <c r="AB1649">
        <v>44</v>
      </c>
      <c r="AC1649">
        <v>-82.159099999999995</v>
      </c>
      <c r="AD1649">
        <v>-1.1201188616119999</v>
      </c>
      <c r="AE1649">
        <v>1.91130000000004</v>
      </c>
      <c r="AF1649">
        <v>2.3749328142099699</v>
      </c>
      <c r="AG1649">
        <v>-1.1201188616119999</v>
      </c>
      <c r="AH1649">
        <v>82.131734677740695</v>
      </c>
      <c r="AI1649">
        <v>90.781029352464202</v>
      </c>
      <c r="AJ1649">
        <v>88.343688700220298</v>
      </c>
      <c r="AK1649">
        <v>82.173699036315398</v>
      </c>
      <c r="AL1649">
        <v>93.7176162470642</v>
      </c>
      <c r="AM1649">
        <v>90.130637854517701</v>
      </c>
      <c r="AN1649">
        <v>1.0000000640990001</v>
      </c>
    </row>
    <row r="1650" spans="1:40" x14ac:dyDescent="0.25">
      <c r="A1650" t="str">
        <f>"20190303154454317"</f>
        <v>20190303154454317</v>
      </c>
      <c r="B1650" t="str">
        <f>"1551599094311877"</f>
        <v>1551599094311877</v>
      </c>
      <c r="C1650" t="s">
        <v>40</v>
      </c>
      <c r="D1650">
        <v>4.9785769999999996</v>
      </c>
      <c r="E1650">
        <v>0.51131530000000003</v>
      </c>
      <c r="F1650" t="s">
        <v>57</v>
      </c>
      <c r="G1650">
        <v>-305.01760000000002</v>
      </c>
      <c r="H1650" s="1">
        <v>3.039649E-6</v>
      </c>
      <c r="I1650">
        <v>285.01569999999998</v>
      </c>
      <c r="J1650">
        <v>-273.32240000000002</v>
      </c>
      <c r="K1650">
        <v>1.120136</v>
      </c>
      <c r="L1650">
        <v>284.3682</v>
      </c>
      <c r="M1650">
        <v>-0.99995460000000003</v>
      </c>
      <c r="N1650">
        <v>-7.405811E-3</v>
      </c>
      <c r="O1650">
        <v>-6.0038319999999997E-3</v>
      </c>
      <c r="P1650">
        <v>-0.9974788</v>
      </c>
      <c r="Q1650">
        <v>-7.0396100000000003E-2</v>
      </c>
      <c r="R1650">
        <v>-8.9649240000000009E-3</v>
      </c>
      <c r="S1650">
        <v>-3.0008240000000002</v>
      </c>
      <c r="T1650">
        <v>-0.1045512</v>
      </c>
      <c r="U1650">
        <v>6.0180659999999997E-2</v>
      </c>
      <c r="V1650">
        <v>-2.9155980000000001E-3</v>
      </c>
      <c r="W1650">
        <v>-6.3009570000000001E-2</v>
      </c>
      <c r="X1650">
        <v>0.99800869999999997</v>
      </c>
      <c r="Y1650">
        <v>2.6031700000000001E-2</v>
      </c>
      <c r="Z1650">
        <v>7.1438729999999905E-4</v>
      </c>
      <c r="AA1650">
        <v>0.99966080000000002</v>
      </c>
      <c r="AB1650">
        <v>44</v>
      </c>
      <c r="AC1650">
        <v>-31.6952</v>
      </c>
      <c r="AD1650">
        <v>-1.120132960351</v>
      </c>
      <c r="AE1650">
        <v>0.64749999999997898</v>
      </c>
      <c r="AF1650">
        <v>0.83674156551601397</v>
      </c>
      <c r="AG1650">
        <v>-1.120132960351</v>
      </c>
      <c r="AH1650">
        <v>31.651226178695602</v>
      </c>
      <c r="AI1650">
        <v>92.026137330626895</v>
      </c>
      <c r="AJ1650">
        <v>88.485663835868095</v>
      </c>
      <c r="AK1650">
        <v>31.682091990764601</v>
      </c>
      <c r="AL1650">
        <v>93.612575439197698</v>
      </c>
      <c r="AM1650">
        <v>90.167384297267404</v>
      </c>
      <c r="AN1650">
        <v>1.0000000359494801</v>
      </c>
    </row>
    <row r="1651" spans="1:40" x14ac:dyDescent="0.25">
      <c r="A1651" t="str">
        <f>"20190303154454339"</f>
        <v>20190303154454339</v>
      </c>
      <c r="B1651" t="str">
        <f>"1551599094332374"</f>
        <v>1551599094332374</v>
      </c>
      <c r="C1651" t="s">
        <v>40</v>
      </c>
      <c r="D1651">
        <v>4.9706270000000004</v>
      </c>
      <c r="E1651">
        <v>0.51156449999999998</v>
      </c>
      <c r="F1651" t="s">
        <v>57</v>
      </c>
      <c r="G1651">
        <v>-306.41379999999998</v>
      </c>
      <c r="H1651" s="1">
        <v>2.790138E-6</v>
      </c>
      <c r="I1651">
        <v>285.03680000000003</v>
      </c>
      <c r="J1651">
        <v>-273.7439</v>
      </c>
      <c r="K1651">
        <v>1.120152</v>
      </c>
      <c r="L1651">
        <v>284.36540000000002</v>
      </c>
      <c r="M1651">
        <v>-0.99995239999999996</v>
      </c>
      <c r="N1651">
        <v>-7.4269590000000003E-3</v>
      </c>
      <c r="O1651">
        <v>-6.342777E-3</v>
      </c>
      <c r="P1651">
        <v>-0.99760289999999996</v>
      </c>
      <c r="Q1651">
        <v>-6.8496749999999995E-2</v>
      </c>
      <c r="R1651">
        <v>-9.8467820000000001E-3</v>
      </c>
      <c r="S1651">
        <v>-3.0009459999999999</v>
      </c>
      <c r="T1651">
        <v>-0.1015812</v>
      </c>
      <c r="U1651">
        <v>6.063843E-2</v>
      </c>
      <c r="V1651">
        <v>-3.4599510000000002E-3</v>
      </c>
      <c r="W1651">
        <v>-6.1088759999999999E-2</v>
      </c>
      <c r="X1651">
        <v>0.99812630000000002</v>
      </c>
      <c r="Y1651">
        <v>2.6522830000000001E-2</v>
      </c>
      <c r="Z1651">
        <v>7.1478679999999997E-4</v>
      </c>
      <c r="AA1651">
        <v>0.99964799999999998</v>
      </c>
      <c r="AB1651">
        <v>44</v>
      </c>
      <c r="AC1651">
        <v>-32.669899999999899</v>
      </c>
      <c r="AD1651">
        <v>-1.1201492098620001</v>
      </c>
      <c r="AE1651">
        <v>0.67140000000000499</v>
      </c>
      <c r="AF1651">
        <v>0.87757884125607599</v>
      </c>
      <c r="AG1651">
        <v>-1.1201492098620001</v>
      </c>
      <c r="AH1651">
        <v>32.626644743461803</v>
      </c>
      <c r="AI1651">
        <v>91.965615755140007</v>
      </c>
      <c r="AJ1651">
        <v>88.459251831674393</v>
      </c>
      <c r="AK1651">
        <v>32.657661062774203</v>
      </c>
      <c r="AL1651">
        <v>93.502308914771007</v>
      </c>
      <c r="AM1651">
        <v>90.198611934773893</v>
      </c>
      <c r="AN1651">
        <v>0.99999995930547403</v>
      </c>
    </row>
    <row r="1652" spans="1:40" x14ac:dyDescent="0.25">
      <c r="A1652" t="str">
        <f>"20190303154454363"</f>
        <v>20190303154454363</v>
      </c>
      <c r="B1652" t="str">
        <f>"1551599094351893"</f>
        <v>1551599094351893</v>
      </c>
      <c r="C1652" t="s">
        <v>40</v>
      </c>
      <c r="D1652">
        <v>4.9872949999999996</v>
      </c>
      <c r="E1652">
        <v>0.51180539999999997</v>
      </c>
      <c r="F1652" t="s">
        <v>57</v>
      </c>
      <c r="G1652">
        <v>-308.80110000000002</v>
      </c>
      <c r="H1652" s="1">
        <v>2.3639369999999999E-6</v>
      </c>
      <c r="I1652">
        <v>285.06810000000002</v>
      </c>
      <c r="J1652">
        <v>-274.20979999999997</v>
      </c>
      <c r="K1652">
        <v>1.1201719999999999</v>
      </c>
      <c r="L1652">
        <v>284.36219999999997</v>
      </c>
      <c r="M1652">
        <v>-0.99994959999999999</v>
      </c>
      <c r="N1652">
        <v>-7.4502619999999896E-3</v>
      </c>
      <c r="O1652">
        <v>-6.7324430000000003E-3</v>
      </c>
      <c r="P1652">
        <v>-0.9977028</v>
      </c>
      <c r="Q1652">
        <v>-6.6872619999999994E-2</v>
      </c>
      <c r="R1652">
        <v>-1.082702E-2</v>
      </c>
      <c r="S1652">
        <v>-3.0011899999999998</v>
      </c>
      <c r="T1652">
        <v>-9.5894220000000002E-2</v>
      </c>
      <c r="U1652">
        <v>6.0150149999999999E-2</v>
      </c>
      <c r="V1652">
        <v>-4.0505239999999998E-3</v>
      </c>
      <c r="W1652">
        <v>-5.9441309999999997E-2</v>
      </c>
      <c r="X1652">
        <v>0.99822359999999999</v>
      </c>
      <c r="Y1652">
        <v>2.6750050000000001E-2</v>
      </c>
      <c r="Z1652">
        <v>6.9179560000000003E-4</v>
      </c>
      <c r="AA1652">
        <v>0.99964189999999997</v>
      </c>
      <c r="AB1652">
        <v>44</v>
      </c>
      <c r="AC1652">
        <v>-34.591299999999997</v>
      </c>
      <c r="AD1652">
        <v>-1.120169636063</v>
      </c>
      <c r="AE1652">
        <v>0.70590000000004205</v>
      </c>
      <c r="AF1652">
        <v>0.937791403260679</v>
      </c>
      <c r="AG1652">
        <v>-1.120169636063</v>
      </c>
      <c r="AH1652">
        <v>34.549547871294301</v>
      </c>
      <c r="AI1652">
        <v>91.856316985115996</v>
      </c>
      <c r="AJ1652">
        <v>88.445180825195493</v>
      </c>
      <c r="AK1652">
        <v>34.580420628448799</v>
      </c>
      <c r="AL1652">
        <v>93.407744897078899</v>
      </c>
      <c r="AM1652">
        <v>90.232489650909102</v>
      </c>
      <c r="AN1652">
        <v>1.00000001583807</v>
      </c>
    </row>
    <row r="1653" spans="1:40" x14ac:dyDescent="0.25">
      <c r="A1653" t="str">
        <f>"20190303154454385"</f>
        <v>20190303154454385</v>
      </c>
      <c r="B1653" t="str">
        <f>"1551599094382149"</f>
        <v>1551599094382149</v>
      </c>
      <c r="C1653" t="s">
        <v>40</v>
      </c>
      <c r="D1653">
        <v>4.976286</v>
      </c>
      <c r="E1653">
        <v>0.50581779999999998</v>
      </c>
      <c r="F1653" t="s">
        <v>57</v>
      </c>
      <c r="G1653">
        <v>-310.4853</v>
      </c>
      <c r="H1653" s="1">
        <v>2.3918659999999998E-6</v>
      </c>
      <c r="I1653">
        <v>285.07780000000002</v>
      </c>
      <c r="J1653">
        <v>-274.65449999999998</v>
      </c>
      <c r="K1653">
        <v>1.1201920000000001</v>
      </c>
      <c r="L1653">
        <v>284.35890000000001</v>
      </c>
      <c r="M1653">
        <v>-0.99994689999999997</v>
      </c>
      <c r="N1653">
        <v>-7.4724269999999898E-3</v>
      </c>
      <c r="O1653">
        <v>-7.123445E-3</v>
      </c>
      <c r="P1653">
        <v>-0.99775639999999999</v>
      </c>
      <c r="Q1653">
        <v>-6.5944379999999997E-2</v>
      </c>
      <c r="R1653">
        <v>-1.156898E-2</v>
      </c>
      <c r="S1653">
        <v>-3.0013429999999999</v>
      </c>
      <c r="T1653">
        <v>-9.2679979999999995E-2</v>
      </c>
      <c r="U1653">
        <v>5.9204100000000003E-2</v>
      </c>
      <c r="V1653">
        <v>-4.4010999999999998E-3</v>
      </c>
      <c r="W1653">
        <v>-5.8491019999999998E-2</v>
      </c>
      <c r="X1653">
        <v>0.99827829999999995</v>
      </c>
      <c r="Y1653">
        <v>2.6825959999999999E-2</v>
      </c>
      <c r="Z1653">
        <v>6.8099800000000004E-4</v>
      </c>
      <c r="AA1653">
        <v>0.99963990000000003</v>
      </c>
      <c r="AB1653">
        <v>45</v>
      </c>
      <c r="AC1653">
        <v>-35.830800000000004</v>
      </c>
      <c r="AD1653">
        <v>-1.1201896081339999</v>
      </c>
      <c r="AE1653">
        <v>0.71890000000001897</v>
      </c>
      <c r="AF1653">
        <v>0.97317677411418402</v>
      </c>
      <c r="AG1653">
        <v>-1.1201896081339999</v>
      </c>
      <c r="AH1653">
        <v>35.789802966936698</v>
      </c>
      <c r="AI1653">
        <v>91.792060711161895</v>
      </c>
      <c r="AJ1653">
        <v>88.442428259030706</v>
      </c>
      <c r="AK1653">
        <v>35.820551282804097</v>
      </c>
      <c r="AL1653">
        <v>93.353202213926394</v>
      </c>
      <c r="AM1653">
        <v>90.252597718990998</v>
      </c>
      <c r="AN1653">
        <v>1.00000006667636</v>
      </c>
    </row>
    <row r="1654" spans="1:40" x14ac:dyDescent="0.25">
      <c r="A1654" t="str">
        <f>"20190303154454410"</f>
        <v>20190303154454410</v>
      </c>
      <c r="B1654" t="str">
        <f>"1551599094402645"</f>
        <v>1551599094402645</v>
      </c>
      <c r="C1654" t="s">
        <v>40</v>
      </c>
      <c r="D1654">
        <v>4.9716120000000004</v>
      </c>
      <c r="E1654">
        <v>0.50487649999999995</v>
      </c>
      <c r="F1654" t="s">
        <v>57</v>
      </c>
      <c r="G1654">
        <v>-297.358</v>
      </c>
      <c r="H1654" s="1">
        <v>3.5264529999999998E-6</v>
      </c>
      <c r="I1654">
        <v>284.43889999999999</v>
      </c>
      <c r="J1654">
        <v>-275.13990000000001</v>
      </c>
      <c r="K1654">
        <v>1.1202110000000001</v>
      </c>
      <c r="L1654">
        <v>284.35520000000002</v>
      </c>
      <c r="M1654">
        <v>-0.99994340000000004</v>
      </c>
      <c r="N1654">
        <v>-7.4965329999999997E-3</v>
      </c>
      <c r="O1654">
        <v>-7.5662159999999997E-3</v>
      </c>
      <c r="P1654">
        <v>-0.99782170000000003</v>
      </c>
      <c r="Q1654">
        <v>-6.4951179999999997E-2</v>
      </c>
      <c r="R1654">
        <v>-1.154459E-2</v>
      </c>
      <c r="S1654">
        <v>-2.997131</v>
      </c>
      <c r="T1654">
        <v>-0.14787819999999999</v>
      </c>
      <c r="U1654">
        <v>1.055908E-2</v>
      </c>
      <c r="V1654">
        <v>-3.9329320000000001E-3</v>
      </c>
      <c r="W1654">
        <v>-5.7472959999999997E-2</v>
      </c>
      <c r="X1654">
        <v>0.99833930000000004</v>
      </c>
      <c r="Y1654">
        <v>1.1067189999999999E-2</v>
      </c>
      <c r="Z1654">
        <v>6.3076759999999995E-4</v>
      </c>
      <c r="AA1654">
        <v>0.99993849999999995</v>
      </c>
      <c r="AB1654">
        <v>45</v>
      </c>
      <c r="AC1654">
        <v>-22.2181</v>
      </c>
      <c r="AD1654">
        <v>-1.120207473547</v>
      </c>
      <c r="AE1654">
        <v>8.3699999999964803E-2</v>
      </c>
      <c r="AF1654">
        <v>0.25117077250379</v>
      </c>
      <c r="AG1654">
        <v>-1.120207473547</v>
      </c>
      <c r="AH1654">
        <v>22.1604985113796</v>
      </c>
      <c r="AI1654">
        <v>92.893638145568303</v>
      </c>
      <c r="AJ1654">
        <v>89.350627920126698</v>
      </c>
      <c r="AK1654">
        <v>22.190215091648099</v>
      </c>
      <c r="AL1654">
        <v>93.294773649347604</v>
      </c>
      <c r="AM1654">
        <v>90.225714082379099</v>
      </c>
      <c r="AN1654">
        <v>0.99999998350488395</v>
      </c>
    </row>
    <row r="1655" spans="1:40" x14ac:dyDescent="0.25">
      <c r="A1655" t="str">
        <f>"20190303154454431"</f>
        <v>20190303154454431</v>
      </c>
      <c r="B1655" t="str">
        <f>"1551599094422165"</f>
        <v>1551599094422165</v>
      </c>
      <c r="C1655" t="s">
        <v>40</v>
      </c>
      <c r="D1655">
        <v>4.9535150000000003</v>
      </c>
      <c r="E1655">
        <v>0.50497190000000003</v>
      </c>
      <c r="F1655" t="s">
        <v>57</v>
      </c>
      <c r="G1655">
        <v>-296.49439999999998</v>
      </c>
      <c r="H1655" s="1">
        <v>3.378364E-6</v>
      </c>
      <c r="I1655">
        <v>284.38060000000002</v>
      </c>
      <c r="J1655">
        <v>-275.59120000000001</v>
      </c>
      <c r="K1655">
        <v>1.1202259999999999</v>
      </c>
      <c r="L1655">
        <v>284.35149999999999</v>
      </c>
      <c r="M1655">
        <v>-0.99993989999999999</v>
      </c>
      <c r="N1655">
        <v>-7.5188030000000001E-3</v>
      </c>
      <c r="O1655">
        <v>-7.9906000000000005E-3</v>
      </c>
      <c r="P1655">
        <v>-0.99785230000000003</v>
      </c>
      <c r="Q1655">
        <v>-6.4643149999999996E-2</v>
      </c>
      <c r="R1655">
        <v>-1.0603710000000001E-2</v>
      </c>
      <c r="S1655">
        <v>-2.9963380000000002</v>
      </c>
      <c r="T1655">
        <v>-0.1571804</v>
      </c>
      <c r="U1655">
        <v>3.5705569999999998E-3</v>
      </c>
      <c r="V1655">
        <v>-2.5667279999999999E-3</v>
      </c>
      <c r="W1655">
        <v>-5.714114E-2</v>
      </c>
      <c r="X1655">
        <v>0.99836279999999999</v>
      </c>
      <c r="Y1655">
        <v>9.1599569999999998E-3</v>
      </c>
      <c r="Z1655">
        <v>6.3338309999999998E-4</v>
      </c>
      <c r="AA1655">
        <v>0.99995789999999996</v>
      </c>
      <c r="AB1655">
        <v>45</v>
      </c>
      <c r="AC1655">
        <v>-20.903199999999899</v>
      </c>
      <c r="AD1655">
        <v>-1.1202226216359901</v>
      </c>
      <c r="AE1655">
        <v>2.91000000000281E-2</v>
      </c>
      <c r="AF1655">
        <v>0.195571209078991</v>
      </c>
      <c r="AG1655">
        <v>-1.1202226216359901</v>
      </c>
      <c r="AH1655">
        <v>20.8424408936893</v>
      </c>
      <c r="AI1655">
        <v>93.076391781659794</v>
      </c>
      <c r="AJ1655">
        <v>89.462391373303205</v>
      </c>
      <c r="AK1655">
        <v>20.873439803414701</v>
      </c>
      <c r="AL1655">
        <v>93.275730449163007</v>
      </c>
      <c r="AM1655">
        <v>90.147303522872704</v>
      </c>
      <c r="AN1655">
        <v>0.99999998919848199</v>
      </c>
    </row>
    <row r="1656" spans="1:40" x14ac:dyDescent="0.25">
      <c r="A1656" t="str">
        <f>"20190303154454453"</f>
        <v>20190303154454453</v>
      </c>
      <c r="B1656" t="str">
        <f>"1551599094442662"</f>
        <v>1551599094442662</v>
      </c>
      <c r="C1656" t="s">
        <v>40</v>
      </c>
      <c r="D1656">
        <v>4.9248440000000002</v>
      </c>
      <c r="E1656">
        <v>0.50498739999999998</v>
      </c>
      <c r="F1656" t="s">
        <v>57</v>
      </c>
      <c r="G1656">
        <v>-297.10140000000001</v>
      </c>
      <c r="H1656" s="1">
        <v>3.4840169999999998E-6</v>
      </c>
      <c r="I1656">
        <v>284.40359999999998</v>
      </c>
      <c r="J1656">
        <v>-276.0136</v>
      </c>
      <c r="K1656">
        <v>1.120239</v>
      </c>
      <c r="L1656">
        <v>284.34780000000001</v>
      </c>
      <c r="M1656">
        <v>-0.99993639999999995</v>
      </c>
      <c r="N1656">
        <v>-7.5395119999999999E-3</v>
      </c>
      <c r="O1656">
        <v>-8.396588E-3</v>
      </c>
      <c r="P1656">
        <v>-0.99791249999999998</v>
      </c>
      <c r="Q1656">
        <v>-6.3928170000000006E-2</v>
      </c>
      <c r="R1656">
        <v>-9.1772539999999993E-3</v>
      </c>
      <c r="S1656">
        <v>-2.996429</v>
      </c>
      <c r="T1656">
        <v>-0.15605039999999901</v>
      </c>
      <c r="U1656">
        <v>7.2631839999999998E-3</v>
      </c>
      <c r="V1656">
        <v>-7.3393779999999999E-4</v>
      </c>
      <c r="W1656">
        <v>-5.6403139999999997E-2</v>
      </c>
      <c r="X1656">
        <v>0.99840779999999996</v>
      </c>
      <c r="Y1656">
        <v>1.0795580000000001E-2</v>
      </c>
      <c r="Z1656">
        <v>6.9536269999999996E-4</v>
      </c>
      <c r="AA1656">
        <v>0.99994150000000004</v>
      </c>
      <c r="AB1656">
        <v>45</v>
      </c>
      <c r="AC1656">
        <v>-21.087800000000001</v>
      </c>
      <c r="AD1656">
        <v>-1.120235515983</v>
      </c>
      <c r="AE1656">
        <v>5.57999999999765E-2</v>
      </c>
      <c r="AF1656">
        <v>0.232213320610342</v>
      </c>
      <c r="AG1656">
        <v>-1.120235515983</v>
      </c>
      <c r="AH1656">
        <v>21.027249666046099</v>
      </c>
      <c r="AI1656">
        <v>93.049388022537002</v>
      </c>
      <c r="AJ1656">
        <v>89.367282807194101</v>
      </c>
      <c r="AK1656">
        <v>21.058349392955201</v>
      </c>
      <c r="AL1656">
        <v>93.233377839065398</v>
      </c>
      <c r="AM1656">
        <v>90.042118592012599</v>
      </c>
      <c r="AN1656">
        <v>0.99999999398369699</v>
      </c>
    </row>
    <row r="1657" spans="1:40" x14ac:dyDescent="0.25">
      <c r="A1657" t="str">
        <f>"20190303154454474"</f>
        <v>20190303154454474</v>
      </c>
      <c r="B1657" t="str">
        <f>"1551599094462181"</f>
        <v>1551599094462181</v>
      </c>
      <c r="C1657" t="s">
        <v>40</v>
      </c>
      <c r="D1657">
        <v>4.9472100000000001</v>
      </c>
      <c r="E1657">
        <v>0.50479719999999995</v>
      </c>
      <c r="F1657" t="s">
        <v>57</v>
      </c>
      <c r="G1657">
        <v>-297.68650000000002</v>
      </c>
      <c r="H1657" s="1">
        <v>3.585306E-6</v>
      </c>
      <c r="I1657">
        <v>284.43220000000002</v>
      </c>
      <c r="J1657">
        <v>-276.45359999999999</v>
      </c>
      <c r="K1657">
        <v>1.1202529999999999</v>
      </c>
      <c r="L1657">
        <v>284.34390000000002</v>
      </c>
      <c r="M1657">
        <v>-0.9999325</v>
      </c>
      <c r="N1657">
        <v>-7.5609619999999897E-3</v>
      </c>
      <c r="O1657">
        <v>-8.8259310000000004E-3</v>
      </c>
      <c r="P1657">
        <v>-0.99799689999999996</v>
      </c>
      <c r="Q1657">
        <v>-6.28581E-2</v>
      </c>
      <c r="R1657">
        <v>-7.1600149999999996E-3</v>
      </c>
      <c r="S1657">
        <v>-2.9964599999999999</v>
      </c>
      <c r="T1657">
        <v>-0.1548822</v>
      </c>
      <c r="U1657">
        <v>1.165771E-2</v>
      </c>
      <c r="V1657">
        <v>1.712667E-3</v>
      </c>
      <c r="W1657">
        <v>-5.5308370000000003E-2</v>
      </c>
      <c r="X1657">
        <v>0.99846789999999996</v>
      </c>
      <c r="Y1657">
        <v>1.2688430000000001E-2</v>
      </c>
      <c r="Z1657">
        <v>7.6490219999999999E-4</v>
      </c>
      <c r="AA1657">
        <v>0.99991920000000001</v>
      </c>
      <c r="AB1657">
        <v>45</v>
      </c>
      <c r="AC1657">
        <v>-21.232900000000001</v>
      </c>
      <c r="AD1657">
        <v>-1.1202494146940001</v>
      </c>
      <c r="AE1657">
        <v>8.8300000000003806E-2</v>
      </c>
      <c r="AF1657">
        <v>0.274936713622216</v>
      </c>
      <c r="AG1657">
        <v>-1.1202494146940001</v>
      </c>
      <c r="AH1657">
        <v>21.172358693958302</v>
      </c>
      <c r="AI1657">
        <v>93.028494444466801</v>
      </c>
      <c r="AJ1657">
        <v>89.256019218405996</v>
      </c>
      <c r="AK1657">
        <v>21.203757252271402</v>
      </c>
      <c r="AL1657">
        <v>93.170553885557496</v>
      </c>
      <c r="AM1657">
        <v>89.901720932067704</v>
      </c>
      <c r="AN1657">
        <v>1.0000000481753499</v>
      </c>
    </row>
    <row r="1658" spans="1:40" x14ac:dyDescent="0.25">
      <c r="A1658" t="str">
        <f>"20190303154454496"</f>
        <v>20190303154454496</v>
      </c>
      <c r="B1658" t="str">
        <f>"1551599094492438"</f>
        <v>1551599094492438</v>
      </c>
      <c r="C1658" t="s">
        <v>40</v>
      </c>
      <c r="D1658">
        <v>4.9770240000000001</v>
      </c>
      <c r="E1658">
        <v>0.50394170000000005</v>
      </c>
      <c r="F1658" t="s">
        <v>57</v>
      </c>
      <c r="G1658">
        <v>-298.25209999999998</v>
      </c>
      <c r="H1658" s="1">
        <v>3.6830370000000001E-6</v>
      </c>
      <c r="I1658">
        <v>284.46199999999999</v>
      </c>
      <c r="J1658">
        <v>-276.88850000000002</v>
      </c>
      <c r="K1658">
        <v>1.120258</v>
      </c>
      <c r="L1658">
        <v>284.33980000000003</v>
      </c>
      <c r="M1658">
        <v>-0.9999285</v>
      </c>
      <c r="N1658">
        <v>-7.583925E-3</v>
      </c>
      <c r="O1658">
        <v>-9.2509570000000006E-3</v>
      </c>
      <c r="P1658">
        <v>-0.99802849999999999</v>
      </c>
      <c r="Q1658">
        <v>-6.2576699999999999E-2</v>
      </c>
      <c r="R1658">
        <v>-4.8566939999999999E-3</v>
      </c>
      <c r="S1658">
        <v>-2.996429</v>
      </c>
      <c r="T1658">
        <v>-0.15398970000000001</v>
      </c>
      <c r="U1658">
        <v>1.6235349999999999E-2</v>
      </c>
      <c r="V1658">
        <v>4.4409189999999998E-3</v>
      </c>
      <c r="W1658">
        <v>-5.5000750000000001E-2</v>
      </c>
      <c r="X1658">
        <v>0.99847640000000004</v>
      </c>
      <c r="Y1658">
        <v>1.463797E-2</v>
      </c>
      <c r="Z1658">
        <v>8.3640679999999901E-4</v>
      </c>
      <c r="AA1658">
        <v>0.99989249999999996</v>
      </c>
      <c r="AB1658">
        <v>45</v>
      </c>
      <c r="AC1658">
        <v>-21.363599999999899</v>
      </c>
      <c r="AD1658">
        <v>-1.1202543169629999</v>
      </c>
      <c r="AE1658">
        <v>0.122199999999963</v>
      </c>
      <c r="AF1658">
        <v>0.318957183405712</v>
      </c>
      <c r="AG1658">
        <v>-1.1202543169629999</v>
      </c>
      <c r="AH1658">
        <v>21.302980515263702</v>
      </c>
      <c r="AI1658">
        <v>93.009888835451804</v>
      </c>
      <c r="AJ1658">
        <v>89.142207587195102</v>
      </c>
      <c r="AK1658">
        <v>21.3347997940742</v>
      </c>
      <c r="AL1658">
        <v>93.152901958401003</v>
      </c>
      <c r="AM1658">
        <v>89.745167499138205</v>
      </c>
      <c r="AN1658">
        <v>0.99999996280954295</v>
      </c>
    </row>
    <row r="1659" spans="1:40" x14ac:dyDescent="0.25">
      <c r="A1659" t="str">
        <f>"20190303154454518"</f>
        <v>20190303154454518</v>
      </c>
      <c r="B1659" t="str">
        <f>"1551599094511957"</f>
        <v>1551599094511957</v>
      </c>
      <c r="C1659" t="s">
        <v>40</v>
      </c>
      <c r="D1659">
        <v>4.9418129999999998</v>
      </c>
      <c r="E1659">
        <v>0.50358639999999999</v>
      </c>
      <c r="F1659" t="s">
        <v>57</v>
      </c>
      <c r="G1659">
        <v>-297.45370000000003</v>
      </c>
      <c r="H1659" s="1">
        <v>3.5422300000000001E-6</v>
      </c>
      <c r="I1659">
        <v>284.45249999999999</v>
      </c>
      <c r="J1659">
        <v>-277.33510000000001</v>
      </c>
      <c r="K1659">
        <v>1.1202589999999999</v>
      </c>
      <c r="L1659">
        <v>284.33539999999999</v>
      </c>
      <c r="M1659">
        <v>-0.99992440000000005</v>
      </c>
      <c r="N1659">
        <v>-7.612621E-3</v>
      </c>
      <c r="O1659">
        <v>-9.6736670000000004E-3</v>
      </c>
      <c r="P1659">
        <v>-0.99796269999999998</v>
      </c>
      <c r="Q1659">
        <v>-6.3737349999999998E-2</v>
      </c>
      <c r="R1659">
        <v>-2.90369E-3</v>
      </c>
      <c r="S1659">
        <v>-2.995819</v>
      </c>
      <c r="T1659">
        <v>-0.16319249999999999</v>
      </c>
      <c r="U1659">
        <v>1.6418459999999999E-2</v>
      </c>
      <c r="V1659">
        <v>6.8163819999999898E-3</v>
      </c>
      <c r="W1659">
        <v>-5.6130600000000003E-2</v>
      </c>
      <c r="X1659">
        <v>0.99840019999999996</v>
      </c>
      <c r="Y1659">
        <v>1.5117759999999999E-2</v>
      </c>
      <c r="Z1659">
        <v>9.220074E-4</v>
      </c>
      <c r="AA1659">
        <v>0.99988529999999998</v>
      </c>
      <c r="AB1659">
        <v>45</v>
      </c>
      <c r="AC1659">
        <v>-20.118600000000001</v>
      </c>
      <c r="AD1659">
        <v>-1.1202554577699999</v>
      </c>
      <c r="AE1659">
        <v>0.117099999999993</v>
      </c>
      <c r="AF1659">
        <v>0.31075727850103002</v>
      </c>
      <c r="AG1659">
        <v>-1.1202554577699999</v>
      </c>
      <c r="AH1659">
        <v>20.054348370075999</v>
      </c>
      <c r="AI1659">
        <v>93.196892242155499</v>
      </c>
      <c r="AJ1659">
        <v>89.112229663190803</v>
      </c>
      <c r="AK1659">
        <v>20.088017097891299</v>
      </c>
      <c r="AL1659">
        <v>93.217737542694493</v>
      </c>
      <c r="AM1659">
        <v>89.608830354597899</v>
      </c>
      <c r="AN1659">
        <v>1.0000000333399801</v>
      </c>
    </row>
    <row r="1660" spans="1:40" x14ac:dyDescent="0.25">
      <c r="A1660" t="str">
        <f>"20190303154454540"</f>
        <v>20190303154454540</v>
      </c>
      <c r="B1660" t="str">
        <f>"1551599094532453"</f>
        <v>1551599094532453</v>
      </c>
      <c r="C1660" t="s">
        <v>40</v>
      </c>
      <c r="D1660">
        <v>4.9632050000000003</v>
      </c>
      <c r="E1660">
        <v>0.50339109999999998</v>
      </c>
      <c r="F1660" t="s">
        <v>57</v>
      </c>
      <c r="G1660">
        <v>-296.93099999999998</v>
      </c>
      <c r="H1660" s="1">
        <v>3.4486240000000001E-6</v>
      </c>
      <c r="I1660">
        <v>284.46280000000002</v>
      </c>
      <c r="J1660">
        <v>-277.78160000000003</v>
      </c>
      <c r="K1660">
        <v>1.120242</v>
      </c>
      <c r="L1660">
        <v>284.33080000000001</v>
      </c>
      <c r="M1660">
        <v>-0.99992020000000004</v>
      </c>
      <c r="N1660">
        <v>-7.646328E-3</v>
      </c>
      <c r="O1660">
        <v>-1.0062160000000001E-2</v>
      </c>
      <c r="P1660">
        <v>-0.99792519999999996</v>
      </c>
      <c r="Q1660">
        <v>-6.4380010000000001E-2</v>
      </c>
      <c r="R1660">
        <v>-8.4367359999999996E-4</v>
      </c>
      <c r="S1660">
        <v>-2.9952390000000002</v>
      </c>
      <c r="T1660">
        <v>-0.171231299999999</v>
      </c>
      <c r="U1660">
        <v>1.9470210000000002E-2</v>
      </c>
      <c r="V1660">
        <v>9.2624170000000002E-3</v>
      </c>
      <c r="W1660">
        <v>-5.6737509999999998E-2</v>
      </c>
      <c r="X1660">
        <v>0.99834610000000001</v>
      </c>
      <c r="Y1660">
        <v>1.6519249999999999E-2</v>
      </c>
      <c r="Z1660">
        <v>1.032879E-3</v>
      </c>
      <c r="AA1660">
        <v>0.99986299999999995</v>
      </c>
      <c r="AB1660">
        <v>45</v>
      </c>
      <c r="AC1660">
        <v>-19.149399999999901</v>
      </c>
      <c r="AD1660">
        <v>-1.120238551376</v>
      </c>
      <c r="AE1660">
        <v>0.132000000000005</v>
      </c>
      <c r="AF1660">
        <v>0.32357596276127198</v>
      </c>
      <c r="AG1660">
        <v>-1.120238551376</v>
      </c>
      <c r="AH1660">
        <v>19.081802825026401</v>
      </c>
      <c r="AI1660">
        <v>93.3593345843408</v>
      </c>
      <c r="AJ1660">
        <v>89.028511064773895</v>
      </c>
      <c r="AK1660">
        <v>19.117396132027299</v>
      </c>
      <c r="AL1660">
        <v>93.252566745060406</v>
      </c>
      <c r="AM1660">
        <v>89.468438674669102</v>
      </c>
      <c r="AN1660">
        <v>0.999999936397444</v>
      </c>
    </row>
    <row r="1661" spans="1:40" x14ac:dyDescent="0.25">
      <c r="A1661" t="str">
        <f>"20190303154454563"</f>
        <v>20190303154454563</v>
      </c>
      <c r="B1661" t="str">
        <f>"1551599094551973"</f>
        <v>1551599094551973</v>
      </c>
      <c r="C1661" t="s">
        <v>40</v>
      </c>
      <c r="D1661">
        <v>4.9583729999999999</v>
      </c>
      <c r="E1661">
        <v>0.50314529999999902</v>
      </c>
      <c r="F1661" t="s">
        <v>57</v>
      </c>
      <c r="G1661">
        <v>-297.0668</v>
      </c>
      <c r="H1661" s="1">
        <v>3.4706610000000001E-6</v>
      </c>
      <c r="I1661">
        <v>284.4862</v>
      </c>
      <c r="J1661">
        <v>-278.24680000000001</v>
      </c>
      <c r="K1661">
        <v>1.120209</v>
      </c>
      <c r="L1661">
        <v>284.32589999999999</v>
      </c>
      <c r="M1661">
        <v>-0.99991629999999998</v>
      </c>
      <c r="N1661">
        <v>-7.6871300000000004E-3</v>
      </c>
      <c r="O1661">
        <v>-1.039896E-2</v>
      </c>
      <c r="P1661">
        <v>-0.99793220000000005</v>
      </c>
      <c r="Q1661">
        <v>-6.4276940000000005E-2</v>
      </c>
      <c r="R1661">
        <v>1.908119E-4</v>
      </c>
      <c r="S1661">
        <v>-2.9950559999999999</v>
      </c>
      <c r="T1661">
        <v>-0.17397670000000001</v>
      </c>
      <c r="U1661">
        <v>2.4139399999999998E-2</v>
      </c>
      <c r="V1661">
        <v>1.062808E-2</v>
      </c>
      <c r="W1661">
        <v>-5.6593129999999998E-2</v>
      </c>
      <c r="X1661">
        <v>0.99834069999999997</v>
      </c>
      <c r="Y1661">
        <v>1.8409640000000001E-2</v>
      </c>
      <c r="Z1661">
        <v>1.1287129999999999E-3</v>
      </c>
      <c r="AA1661">
        <v>0.99982990000000005</v>
      </c>
      <c r="AB1661">
        <v>45</v>
      </c>
      <c r="AC1661">
        <v>-18.82</v>
      </c>
      <c r="AD1661">
        <v>-1.1202055293390001</v>
      </c>
      <c r="AE1661">
        <v>0.16030000000000599</v>
      </c>
      <c r="AF1661">
        <v>0.35474881716268702</v>
      </c>
      <c r="AG1661">
        <v>-1.1202055293390001</v>
      </c>
      <c r="AH1661">
        <v>18.750888039718902</v>
      </c>
      <c r="AI1661">
        <v>93.418260085858194</v>
      </c>
      <c r="AJ1661">
        <v>88.916148107810201</v>
      </c>
      <c r="AK1661">
        <v>18.787669079194298</v>
      </c>
      <c r="AL1661">
        <v>93.2442810359601</v>
      </c>
      <c r="AM1661">
        <v>89.390066812230003</v>
      </c>
      <c r="AN1661">
        <v>0.99999994586208496</v>
      </c>
    </row>
    <row r="1662" spans="1:40" x14ac:dyDescent="0.25">
      <c r="A1662" t="str">
        <f>"20190303154454585"</f>
        <v>20190303154454585</v>
      </c>
      <c r="B1662" t="str">
        <f>"1551599094582229"</f>
        <v>1551599094582229</v>
      </c>
      <c r="C1662" t="s">
        <v>40</v>
      </c>
      <c r="D1662">
        <v>4.9775219999999996</v>
      </c>
      <c r="E1662">
        <v>0.50270139999999996</v>
      </c>
      <c r="F1662" t="s">
        <v>57</v>
      </c>
      <c r="G1662">
        <v>-297.5677</v>
      </c>
      <c r="H1662" s="1">
        <v>3.559286E-6</v>
      </c>
      <c r="I1662">
        <v>284.48869999999999</v>
      </c>
      <c r="J1662">
        <v>-278.68439999999998</v>
      </c>
      <c r="K1662">
        <v>1.12016</v>
      </c>
      <c r="L1662">
        <v>284.32119999999998</v>
      </c>
      <c r="M1662">
        <v>-0.99991359999999996</v>
      </c>
      <c r="N1662">
        <v>-7.7314979999999998E-3</v>
      </c>
      <c r="O1662">
        <v>-1.064204E-2</v>
      </c>
      <c r="P1662">
        <v>-0.99797239999999998</v>
      </c>
      <c r="Q1662">
        <v>-6.3648200000000002E-2</v>
      </c>
      <c r="R1662">
        <v>7.1986259999999905E-4</v>
      </c>
      <c r="S1662">
        <v>-2.9949949999999999</v>
      </c>
      <c r="T1662">
        <v>-0.173647</v>
      </c>
      <c r="U1662">
        <v>2.523804E-2</v>
      </c>
      <c r="V1662">
        <v>1.139248E-2</v>
      </c>
      <c r="W1662">
        <v>-5.5920449999999997E-2</v>
      </c>
      <c r="X1662">
        <v>0.99837019999999999</v>
      </c>
      <c r="Y1662">
        <v>1.901831E-2</v>
      </c>
      <c r="Z1662">
        <v>1.158718E-3</v>
      </c>
      <c r="AA1662">
        <v>0.9998184</v>
      </c>
      <c r="AB1662">
        <v>45</v>
      </c>
      <c r="AC1662">
        <v>-18.883299999999998</v>
      </c>
      <c r="AD1662">
        <v>-1.1201564407139999</v>
      </c>
      <c r="AE1662">
        <v>0.167500000000018</v>
      </c>
      <c r="AF1662">
        <v>0.36716144402162498</v>
      </c>
      <c r="AG1662">
        <v>-1.1201564407139999</v>
      </c>
      <c r="AH1662">
        <v>18.814248580911698</v>
      </c>
      <c r="AI1662">
        <v>93.406587757197997</v>
      </c>
      <c r="AJ1662">
        <v>88.882010561115194</v>
      </c>
      <c r="AK1662">
        <v>18.851140751742001</v>
      </c>
      <c r="AL1662">
        <v>93.205678094092306</v>
      </c>
      <c r="AM1662">
        <v>89.346221779578599</v>
      </c>
      <c r="AN1662">
        <v>0.99999997078839598</v>
      </c>
    </row>
    <row r="1663" spans="1:40" x14ac:dyDescent="0.25">
      <c r="A1663" t="str">
        <f>"20190303154454610"</f>
        <v>20190303154454610</v>
      </c>
      <c r="B1663" t="str">
        <f>"1551599094601750"</f>
        <v>1551599094601750</v>
      </c>
      <c r="C1663" t="s">
        <v>40</v>
      </c>
      <c r="D1663">
        <v>4.9693370000000003</v>
      </c>
      <c r="E1663">
        <v>0.50242719999999996</v>
      </c>
      <c r="F1663" t="s">
        <v>57</v>
      </c>
      <c r="G1663">
        <v>-298.24630000000002</v>
      </c>
      <c r="H1663" s="1">
        <v>3.6809990000000002E-6</v>
      </c>
      <c r="I1663">
        <v>284.4735</v>
      </c>
      <c r="J1663">
        <v>-279.19420000000002</v>
      </c>
      <c r="K1663">
        <v>1.120099</v>
      </c>
      <c r="L1663">
        <v>284.31569999999999</v>
      </c>
      <c r="M1663">
        <v>-0.99991099999999999</v>
      </c>
      <c r="N1663">
        <v>-7.7882990000000003E-3</v>
      </c>
      <c r="O1663">
        <v>-1.0841730000000001E-2</v>
      </c>
      <c r="P1663">
        <v>-0.99794300000000002</v>
      </c>
      <c r="Q1663">
        <v>-6.4108719999999994E-2</v>
      </c>
      <c r="R1663">
        <v>2.9059870000000001E-4</v>
      </c>
      <c r="S1663">
        <v>-2.995117</v>
      </c>
      <c r="T1663">
        <v>-0.17150699999999999</v>
      </c>
      <c r="U1663">
        <v>2.3315430000000002E-2</v>
      </c>
      <c r="V1663">
        <v>1.115332E-2</v>
      </c>
      <c r="W1663">
        <v>-5.6326479999999998E-2</v>
      </c>
      <c r="X1663">
        <v>0.99835010000000002</v>
      </c>
      <c r="Y1663">
        <v>1.8577679999999999E-2</v>
      </c>
      <c r="Z1663">
        <v>1.1397919999999999E-3</v>
      </c>
      <c r="AA1663">
        <v>0.99982680000000002</v>
      </c>
      <c r="AB1663">
        <v>45</v>
      </c>
      <c r="AC1663">
        <v>-19.052099999999999</v>
      </c>
      <c r="AD1663">
        <v>-1.1200953190009999</v>
      </c>
      <c r="AE1663">
        <v>0.15780000000000799</v>
      </c>
      <c r="AF1663">
        <v>0.36309975985047899</v>
      </c>
      <c r="AG1663">
        <v>-1.1200953190009999</v>
      </c>
      <c r="AH1663">
        <v>18.983658644561601</v>
      </c>
      <c r="AI1663">
        <v>93.376099475540201</v>
      </c>
      <c r="AJ1663">
        <v>88.904239286329698</v>
      </c>
      <c r="AK1663">
        <v>19.0201406538567</v>
      </c>
      <c r="AL1663">
        <v>93.228978545761393</v>
      </c>
      <c r="AM1663">
        <v>89.359932372574093</v>
      </c>
      <c r="AN1663">
        <v>0.99999999553311103</v>
      </c>
    </row>
    <row r="1664" spans="1:40" x14ac:dyDescent="0.25">
      <c r="A1664" t="str">
        <f>"20190303154454632"</f>
        <v>20190303154454632</v>
      </c>
      <c r="B1664" t="str">
        <f>"1551599094622245"</f>
        <v>1551599094622245</v>
      </c>
      <c r="C1664" t="s">
        <v>40</v>
      </c>
      <c r="D1664">
        <v>4.9456889999999998</v>
      </c>
      <c r="E1664">
        <v>0.5020654</v>
      </c>
      <c r="F1664" t="s">
        <v>57</v>
      </c>
      <c r="G1664">
        <v>-298.6123</v>
      </c>
      <c r="H1664" s="1">
        <v>3.748455E-6</v>
      </c>
      <c r="I1664">
        <v>284.44450000000001</v>
      </c>
      <c r="J1664">
        <v>-279.62810000000002</v>
      </c>
      <c r="K1664">
        <v>1.1200369999999999</v>
      </c>
      <c r="L1664">
        <v>284.31099999999998</v>
      </c>
      <c r="M1664">
        <v>-0.99990950000000001</v>
      </c>
      <c r="N1664">
        <v>-7.8410809999999997E-3</v>
      </c>
      <c r="O1664">
        <v>-1.0938349999999999E-2</v>
      </c>
      <c r="P1664">
        <v>-0.99786070000000004</v>
      </c>
      <c r="Q1664">
        <v>-6.5377950000000004E-2</v>
      </c>
      <c r="R1664">
        <v>-4.3930960000000002E-4</v>
      </c>
      <c r="S1664">
        <v>-2.9950869999999998</v>
      </c>
      <c r="T1664">
        <v>-0.172766</v>
      </c>
      <c r="U1664">
        <v>1.986694E-2</v>
      </c>
      <c r="V1664">
        <v>1.0511650000000001E-2</v>
      </c>
      <c r="W1664">
        <v>-5.7545609999999997E-2</v>
      </c>
      <c r="X1664">
        <v>0.99828760000000005</v>
      </c>
      <c r="Y1664">
        <v>1.7524410000000001E-2</v>
      </c>
      <c r="Z1664">
        <v>1.118494E-3</v>
      </c>
      <c r="AA1664">
        <v>0.99984580000000001</v>
      </c>
      <c r="AB1664">
        <v>45</v>
      </c>
      <c r="AC1664">
        <v>-18.984199999999898</v>
      </c>
      <c r="AD1664">
        <v>-1.120033251545</v>
      </c>
      <c r="AE1664">
        <v>0.13350000000002599</v>
      </c>
      <c r="AF1664">
        <v>0.33997089923603602</v>
      </c>
      <c r="AG1664">
        <v>-1.120033251545</v>
      </c>
      <c r="AH1664">
        <v>18.915765414142701</v>
      </c>
      <c r="AI1664">
        <v>93.388073954778093</v>
      </c>
      <c r="AJ1664">
        <v>88.970340333815898</v>
      </c>
      <c r="AK1664">
        <v>18.951945438391601</v>
      </c>
      <c r="AL1664">
        <v>93.2989428285575</v>
      </c>
      <c r="AM1664">
        <v>89.396716013150396</v>
      </c>
      <c r="AN1664">
        <v>1.0000000621648699</v>
      </c>
    </row>
    <row r="1665" spans="1:40" x14ac:dyDescent="0.25">
      <c r="A1665" t="str">
        <f>"20190303154454652"</f>
        <v>20190303154454652</v>
      </c>
      <c r="B1665" t="str">
        <f>"1551599094641769"</f>
        <v>1551599094641769</v>
      </c>
      <c r="C1665" t="s">
        <v>40</v>
      </c>
      <c r="D1665">
        <v>4.9387429999999997</v>
      </c>
      <c r="E1665">
        <v>0.50166270000000002</v>
      </c>
      <c r="F1665" t="s">
        <v>57</v>
      </c>
      <c r="G1665">
        <v>-298.47329999999999</v>
      </c>
      <c r="H1665" s="1">
        <v>3.7272539999999999E-6</v>
      </c>
      <c r="I1665">
        <v>284.4049</v>
      </c>
      <c r="J1665">
        <v>-280.05349999999999</v>
      </c>
      <c r="K1665">
        <v>1.119972</v>
      </c>
      <c r="L1665">
        <v>284.3064</v>
      </c>
      <c r="M1665">
        <v>-0.99990889999999999</v>
      </c>
      <c r="N1665">
        <v>-7.9003370000000003E-3</v>
      </c>
      <c r="O1665">
        <v>-1.0945750000000001E-2</v>
      </c>
      <c r="P1665">
        <v>-0.99783180000000005</v>
      </c>
      <c r="Q1665">
        <v>-6.5798129999999996E-2</v>
      </c>
      <c r="R1665">
        <v>-1.53684E-3</v>
      </c>
      <c r="S1665">
        <v>-2.9947810000000001</v>
      </c>
      <c r="T1665">
        <v>-0.1779906</v>
      </c>
      <c r="U1665">
        <v>1.49231E-2</v>
      </c>
      <c r="V1665">
        <v>9.4112750000000002E-3</v>
      </c>
      <c r="W1665">
        <v>-5.7909040000000002E-2</v>
      </c>
      <c r="X1665">
        <v>0.99827750000000004</v>
      </c>
      <c r="Y1665">
        <v>1.588235E-2</v>
      </c>
      <c r="Z1665">
        <v>1.097907E-3</v>
      </c>
      <c r="AA1665">
        <v>0.99987329999999996</v>
      </c>
      <c r="AB1665">
        <v>46</v>
      </c>
      <c r="AC1665">
        <v>-18.419799999999999</v>
      </c>
      <c r="AD1665">
        <v>-1.1199682727460001</v>
      </c>
      <c r="AE1665">
        <v>9.8500000000001295E-2</v>
      </c>
      <c r="AF1665">
        <v>0.29901351228309597</v>
      </c>
      <c r="AG1665">
        <v>-1.1199682727460001</v>
      </c>
      <c r="AH1665">
        <v>18.349782293128602</v>
      </c>
      <c r="AI1665">
        <v>93.492219372956896</v>
      </c>
      <c r="AJ1665">
        <v>89.066436002055099</v>
      </c>
      <c r="AK1665">
        <v>18.386360385288398</v>
      </c>
      <c r="AL1665">
        <v>93.319800828453694</v>
      </c>
      <c r="AM1665">
        <v>89.459859244482502</v>
      </c>
      <c r="AN1665">
        <v>0.999999998008548</v>
      </c>
    </row>
    <row r="1666" spans="1:40" x14ac:dyDescent="0.25">
      <c r="A1666" t="str">
        <f>"20190303154454673"</f>
        <v>20190303154454673</v>
      </c>
      <c r="B1666" t="str">
        <f>"1551599094662261"</f>
        <v>1551599094662261</v>
      </c>
      <c r="C1666" t="s">
        <v>40</v>
      </c>
      <c r="D1666">
        <v>4.9580570000000002</v>
      </c>
      <c r="E1666">
        <v>0.50135479999999999</v>
      </c>
      <c r="F1666" t="s">
        <v>57</v>
      </c>
      <c r="G1666">
        <v>-298.6155</v>
      </c>
      <c r="H1666" s="1">
        <v>3.7567040000000001E-6</v>
      </c>
      <c r="I1666">
        <v>284.35669999999999</v>
      </c>
      <c r="J1666">
        <v>-280.50909999999999</v>
      </c>
      <c r="K1666">
        <v>1.1198900000000001</v>
      </c>
      <c r="L1666">
        <v>284.30149999999998</v>
      </c>
      <c r="M1666">
        <v>-0.99990939999999995</v>
      </c>
      <c r="N1666">
        <v>-7.9789700000000002E-3</v>
      </c>
      <c r="O1666">
        <v>-1.0837980000000001E-2</v>
      </c>
      <c r="P1666">
        <v>-0.99776200000000004</v>
      </c>
      <c r="Q1666">
        <v>-6.6801150000000004E-2</v>
      </c>
      <c r="R1666">
        <v>-2.9213170000000001E-3</v>
      </c>
      <c r="S1666">
        <v>-2.9946290000000002</v>
      </c>
      <c r="T1666">
        <v>-0.18068519999999999</v>
      </c>
      <c r="U1666">
        <v>8.1176759999999903E-3</v>
      </c>
      <c r="V1666">
        <v>7.9058710000000001E-3</v>
      </c>
      <c r="W1666">
        <v>-5.8836390000000002E-2</v>
      </c>
      <c r="X1666">
        <v>0.99823640000000002</v>
      </c>
      <c r="Y1666">
        <v>1.3506199999999999E-2</v>
      </c>
      <c r="Z1666">
        <v>1.0279389999999901E-3</v>
      </c>
      <c r="AA1666">
        <v>0.99990829999999997</v>
      </c>
      <c r="AB1666">
        <v>46</v>
      </c>
      <c r="AC1666">
        <v>-18.106400000000001</v>
      </c>
      <c r="AD1666">
        <v>-1.119886243296</v>
      </c>
      <c r="AE1666">
        <v>5.5200000000013398E-2</v>
      </c>
      <c r="AF1666">
        <v>0.25048161386471801</v>
      </c>
      <c r="AG1666">
        <v>-1.119886243296</v>
      </c>
      <c r="AH1666">
        <v>18.035743855289599</v>
      </c>
      <c r="AI1666">
        <v>93.552740628248202</v>
      </c>
      <c r="AJ1666">
        <v>89.204323545435599</v>
      </c>
      <c r="AK1666">
        <v>18.072214658154799</v>
      </c>
      <c r="AL1666">
        <v>93.373024593266194</v>
      </c>
      <c r="AM1666">
        <v>89.546236170815803</v>
      </c>
      <c r="AN1666">
        <v>1.00000006693472</v>
      </c>
    </row>
    <row r="1667" spans="1:40" x14ac:dyDescent="0.25">
      <c r="A1667" t="str">
        <f>"20190303154454697"</f>
        <v>20190303154454697</v>
      </c>
      <c r="B1667" t="str">
        <f>"1551599094692517"</f>
        <v>1551599094692517</v>
      </c>
      <c r="C1667" t="s">
        <v>40</v>
      </c>
      <c r="D1667">
        <v>4.9468610000000002</v>
      </c>
      <c r="E1667">
        <v>0.50109179999999998</v>
      </c>
      <c r="F1667" t="s">
        <v>57</v>
      </c>
      <c r="G1667">
        <v>-298.66879999999998</v>
      </c>
      <c r="H1667" s="1">
        <v>3.7700649999999998E-6</v>
      </c>
      <c r="I1667">
        <v>284.31180000000001</v>
      </c>
      <c r="J1667">
        <v>-280.98829999999998</v>
      </c>
      <c r="K1667">
        <v>1.119788</v>
      </c>
      <c r="L1667">
        <v>284.29649999999998</v>
      </c>
      <c r="M1667">
        <v>-0.9999112</v>
      </c>
      <c r="N1667">
        <v>-8.0883090000000001E-3</v>
      </c>
      <c r="O1667">
        <v>-1.0590520000000001E-2</v>
      </c>
      <c r="P1667">
        <v>-0.99774839999999998</v>
      </c>
      <c r="Q1667">
        <v>-6.6954330000000006E-2</v>
      </c>
      <c r="R1667">
        <v>-3.8985769999999999E-3</v>
      </c>
      <c r="S1667">
        <v>-2.994354</v>
      </c>
      <c r="T1667">
        <v>-0.1846585</v>
      </c>
      <c r="U1667">
        <v>1.708984E-3</v>
      </c>
      <c r="V1667">
        <v>6.6650210000000001E-3</v>
      </c>
      <c r="W1667">
        <v>-5.888256E-2</v>
      </c>
      <c r="X1667">
        <v>0.99824270000000004</v>
      </c>
      <c r="Y1667">
        <v>1.1122480000000001E-2</v>
      </c>
      <c r="Z1667">
        <v>9.5454619999999998E-4</v>
      </c>
      <c r="AA1667">
        <v>0.99993770000000004</v>
      </c>
      <c r="AB1667">
        <v>46</v>
      </c>
      <c r="AC1667">
        <v>-17.680499999999899</v>
      </c>
      <c r="AD1667">
        <v>-1.119784229935</v>
      </c>
      <c r="AE1667">
        <v>1.53000000000247E-2</v>
      </c>
      <c r="AF1667">
        <v>0.20174172143882699</v>
      </c>
      <c r="AG1667">
        <v>-1.119784229935</v>
      </c>
      <c r="AH1667">
        <v>17.608713473152999</v>
      </c>
      <c r="AI1667">
        <v>93.638450906935802</v>
      </c>
      <c r="AJ1667">
        <v>89.343595231949905</v>
      </c>
      <c r="AK1667">
        <v>17.64543585813</v>
      </c>
      <c r="AL1667">
        <v>93.375674647361507</v>
      </c>
      <c r="AM1667">
        <v>89.617455855936896</v>
      </c>
      <c r="AN1667">
        <v>1.0000000332401799</v>
      </c>
    </row>
    <row r="1668" spans="1:40" x14ac:dyDescent="0.25">
      <c r="A1668" t="str">
        <f>"20190303154454719"</f>
        <v>20190303154454719</v>
      </c>
      <c r="B1668" t="str">
        <f>"1551599094712038"</f>
        <v>1551599094712038</v>
      </c>
      <c r="C1668" t="s">
        <v>40</v>
      </c>
      <c r="D1668">
        <v>4.943892</v>
      </c>
      <c r="E1668">
        <v>0.50097579999999997</v>
      </c>
      <c r="F1668" t="s">
        <v>57</v>
      </c>
      <c r="G1668">
        <v>-299.08580000000001</v>
      </c>
      <c r="H1668" s="1">
        <v>3.8470559999999996E-6</v>
      </c>
      <c r="I1668">
        <v>284.27730000000003</v>
      </c>
      <c r="J1668">
        <v>-281.43290000000002</v>
      </c>
      <c r="K1668">
        <v>1.1196919999999999</v>
      </c>
      <c r="L1668">
        <v>284.2921</v>
      </c>
      <c r="M1668">
        <v>-0.99991379999999996</v>
      </c>
      <c r="N1668">
        <v>-8.2258550000000007E-3</v>
      </c>
      <c r="O1668">
        <v>-1.0235640000000001E-2</v>
      </c>
      <c r="P1668">
        <v>-0.99770519999999996</v>
      </c>
      <c r="Q1668">
        <v>-6.756827E-2</v>
      </c>
      <c r="R1668">
        <v>-4.3904269999999997E-3</v>
      </c>
      <c r="S1668">
        <v>-2.9943240000000002</v>
      </c>
      <c r="T1668">
        <v>-0.1852741</v>
      </c>
      <c r="U1668">
        <v>-3.1738280000000001E-3</v>
      </c>
      <c r="V1668">
        <v>5.8017930000000004E-3</v>
      </c>
      <c r="W1668">
        <v>-5.9361089999999998E-2</v>
      </c>
      <c r="X1668">
        <v>0.99821970000000004</v>
      </c>
      <c r="Y1668">
        <v>9.1415569999999998E-3</v>
      </c>
      <c r="Z1668">
        <v>8.6877399999999902E-4</v>
      </c>
      <c r="AA1668">
        <v>0.99995789999999996</v>
      </c>
      <c r="AB1668">
        <v>46</v>
      </c>
      <c r="AC1668">
        <v>-17.652899999999899</v>
      </c>
      <c r="AD1668">
        <v>-1.1196881529439999</v>
      </c>
      <c r="AE1668">
        <v>-1.4799999999979699E-2</v>
      </c>
      <c r="AF1668">
        <v>0.16523087277465501</v>
      </c>
      <c r="AG1668">
        <v>-1.1196881529439999</v>
      </c>
      <c r="AH1668">
        <v>17.581394815558301</v>
      </c>
      <c r="AI1668">
        <v>93.643855442258598</v>
      </c>
      <c r="AJ1668">
        <v>89.461547104241802</v>
      </c>
      <c r="AK1668">
        <v>17.617787785692599</v>
      </c>
      <c r="AL1668">
        <v>93.403140605528094</v>
      </c>
      <c r="AM1668">
        <v>89.666992637545803</v>
      </c>
      <c r="AN1668">
        <v>0.99999998463804596</v>
      </c>
    </row>
    <row r="1669" spans="1:40" x14ac:dyDescent="0.25">
      <c r="A1669" t="str">
        <f>"20190303154454742"</f>
        <v>20190303154454742</v>
      </c>
      <c r="B1669" t="str">
        <f>"1551599094732533"</f>
        <v>1551599094732533</v>
      </c>
      <c r="C1669" t="s">
        <v>40</v>
      </c>
      <c r="D1669">
        <v>4.9236639999999996</v>
      </c>
      <c r="E1669">
        <v>0.5009034</v>
      </c>
      <c r="F1669" t="s">
        <v>57</v>
      </c>
      <c r="G1669">
        <v>-299.30459999999999</v>
      </c>
      <c r="H1669" s="1">
        <v>3.8876169999999997E-6</v>
      </c>
      <c r="I1669">
        <v>284.25729999999999</v>
      </c>
      <c r="J1669">
        <v>-281.88760000000002</v>
      </c>
      <c r="K1669">
        <v>1.119597</v>
      </c>
      <c r="L1669">
        <v>284.2878</v>
      </c>
      <c r="M1669">
        <v>-0.99991699999999994</v>
      </c>
      <c r="N1669">
        <v>-8.412648E-3</v>
      </c>
      <c r="O1669">
        <v>-9.7589270000000006E-3</v>
      </c>
      <c r="P1669">
        <v>-0.99761089999999997</v>
      </c>
      <c r="Q1669">
        <v>-6.8921109999999994E-2</v>
      </c>
      <c r="R1669">
        <v>-4.7368319999999998E-3</v>
      </c>
      <c r="S1669">
        <v>-2.9941710000000001</v>
      </c>
      <c r="T1669">
        <v>-0.18758929999999999</v>
      </c>
      <c r="U1669">
        <v>-5.8288569999999998E-3</v>
      </c>
      <c r="V1669">
        <v>4.9596930000000003E-3</v>
      </c>
      <c r="W1669">
        <v>-6.0529399999999997E-2</v>
      </c>
      <c r="X1669">
        <v>0.99815410000000004</v>
      </c>
      <c r="Y1669">
        <v>7.7809669999999997E-3</v>
      </c>
      <c r="Z1669">
        <v>8.0504369999999999E-4</v>
      </c>
      <c r="AA1669">
        <v>0.99996940000000001</v>
      </c>
      <c r="AB1669">
        <v>46</v>
      </c>
      <c r="AC1669">
        <v>-17.416999999999899</v>
      </c>
      <c r="AD1669">
        <v>-1.1195931123830001</v>
      </c>
      <c r="AE1669">
        <v>-3.05000000000177E-2</v>
      </c>
      <c r="AF1669">
        <v>0.13890472734673401</v>
      </c>
      <c r="AG1669">
        <v>-1.1195931123830001</v>
      </c>
      <c r="AH1669">
        <v>17.344797512823899</v>
      </c>
      <c r="AI1669">
        <v>93.693155870112093</v>
      </c>
      <c r="AJ1669">
        <v>89.541160138128703</v>
      </c>
      <c r="AK1669">
        <v>17.381449422342101</v>
      </c>
      <c r="AL1669">
        <v>93.470200360525595</v>
      </c>
      <c r="AM1669">
        <v>89.715307347896996</v>
      </c>
      <c r="AN1669">
        <v>1.00000000708291</v>
      </c>
    </row>
    <row r="1670" spans="1:40" x14ac:dyDescent="0.25">
      <c r="A1670" t="str">
        <f>"20190303154454775"</f>
        <v>20190303154454775</v>
      </c>
      <c r="B1670" t="str">
        <f>"1551599094772549"</f>
        <v>1551599094772549</v>
      </c>
      <c r="C1670" t="s">
        <v>40</v>
      </c>
      <c r="D1670">
        <v>4.9686690000000002</v>
      </c>
      <c r="E1670">
        <v>0.50094479999999997</v>
      </c>
      <c r="F1670" t="s">
        <v>42</v>
      </c>
      <c r="G1670">
        <v>-283.02940000000001</v>
      </c>
      <c r="H1670">
        <v>1.0464929999999999</v>
      </c>
      <c r="I1670">
        <v>284.28519999999997</v>
      </c>
      <c r="J1670">
        <v>-282.57</v>
      </c>
      <c r="K1670">
        <v>1.1194740000000001</v>
      </c>
      <c r="L1670">
        <v>284.28190000000001</v>
      </c>
      <c r="M1670">
        <v>-0.99992230000000004</v>
      </c>
      <c r="N1670">
        <v>-8.7847089999999999E-3</v>
      </c>
      <c r="O1670">
        <v>-8.8508030000000008E-3</v>
      </c>
      <c r="P1670">
        <v>-0.99752569999999996</v>
      </c>
      <c r="Q1670">
        <v>-7.0217169999999995E-2</v>
      </c>
      <c r="R1670">
        <v>-3.5192079999999998E-3</v>
      </c>
      <c r="S1670">
        <v>-2.9939269999999998</v>
      </c>
      <c r="T1670">
        <v>-0.1917983</v>
      </c>
      <c r="U1670">
        <v>-7.385254E-3</v>
      </c>
      <c r="V1670">
        <v>5.2435850000000003E-3</v>
      </c>
      <c r="W1670">
        <v>-6.1457280000000003E-2</v>
      </c>
      <c r="X1670">
        <v>0.99809590000000004</v>
      </c>
      <c r="Y1670">
        <v>6.3561499999999996E-3</v>
      </c>
      <c r="Z1670">
        <v>7.2006849999999999E-4</v>
      </c>
      <c r="AA1670">
        <v>0.99997959999999997</v>
      </c>
      <c r="AB1670">
        <v>46</v>
      </c>
      <c r="AC1670">
        <v>-0.45940000000001602</v>
      </c>
      <c r="AD1670">
        <v>-7.2980999999999893E-2</v>
      </c>
      <c r="AE1670">
        <v>3.2999999999674301E-3</v>
      </c>
      <c r="AF1670">
        <v>7.1847735615490002E-3</v>
      </c>
      <c r="AG1670">
        <v>-7.2980999999999893E-2</v>
      </c>
      <c r="AH1670">
        <v>0.44804604330674203</v>
      </c>
      <c r="AI1670">
        <v>99.250334689079807</v>
      </c>
      <c r="AJ1670">
        <v>89.081295487367498</v>
      </c>
      <c r="AK1670">
        <v>0.45400782400191902</v>
      </c>
      <c r="AL1670">
        <v>93.523463305601595</v>
      </c>
      <c r="AM1670">
        <v>89.698994329061804</v>
      </c>
      <c r="AN1670">
        <v>0.99999995902272898</v>
      </c>
    </row>
    <row r="1671" spans="1:40" x14ac:dyDescent="0.25">
      <c r="A1671" t="str">
        <f>"20190303154454798"</f>
        <v>20190303154454798</v>
      </c>
      <c r="B1671" t="str">
        <f>"1551599094792070"</f>
        <v>1551599094792070</v>
      </c>
      <c r="C1671" t="s">
        <v>40</v>
      </c>
      <c r="D1671">
        <v>4.938688</v>
      </c>
      <c r="E1671">
        <v>0.50095670000000003</v>
      </c>
      <c r="F1671" t="s">
        <v>57</v>
      </c>
      <c r="G1671">
        <v>-299.7303</v>
      </c>
      <c r="H1671" s="1">
        <v>3.9626139999999999E-6</v>
      </c>
      <c r="I1671">
        <v>284.26330000000002</v>
      </c>
      <c r="J1671">
        <v>-283.04739999999998</v>
      </c>
      <c r="K1671">
        <v>1.119413</v>
      </c>
      <c r="L1671">
        <v>284.27820000000003</v>
      </c>
      <c r="M1671">
        <v>-0.99992579999999998</v>
      </c>
      <c r="N1671">
        <v>-9.0820180000000007E-3</v>
      </c>
      <c r="O1671">
        <v>-8.127937E-3</v>
      </c>
      <c r="P1671">
        <v>-0.99747059999999999</v>
      </c>
      <c r="Q1671">
        <v>-7.1056659999999994E-2</v>
      </c>
      <c r="R1671">
        <v>-1.8229819999999999E-3</v>
      </c>
      <c r="S1671">
        <v>-2.9936829999999999</v>
      </c>
      <c r="T1671">
        <v>-0.19529589999999999</v>
      </c>
      <c r="U1671">
        <v>-3.2348630000000001E-3</v>
      </c>
      <c r="V1671">
        <v>6.2010519999999899E-3</v>
      </c>
      <c r="W1671">
        <v>-6.2003259999999998E-2</v>
      </c>
      <c r="X1671">
        <v>0.99805670000000002</v>
      </c>
      <c r="Y1671">
        <v>7.0179419999999897E-3</v>
      </c>
      <c r="Z1671">
        <v>7.1648929999999897E-4</v>
      </c>
      <c r="AA1671">
        <v>0.99997510000000001</v>
      </c>
      <c r="AB1671">
        <v>46</v>
      </c>
      <c r="AC1671">
        <v>-16.6829</v>
      </c>
      <c r="AD1671">
        <v>-1.1194090373859999</v>
      </c>
      <c r="AE1671">
        <v>-1.4900000000011401E-2</v>
      </c>
      <c r="AF1671">
        <v>0.120162626812108</v>
      </c>
      <c r="AG1671">
        <v>-1.1194090373859999</v>
      </c>
      <c r="AH1671">
        <v>16.6076972007995</v>
      </c>
      <c r="AI1671">
        <v>93.855975717870095</v>
      </c>
      <c r="AJ1671">
        <v>89.585451784723702</v>
      </c>
      <c r="AK1671">
        <v>16.645813947155201</v>
      </c>
      <c r="AL1671">
        <v>93.554805224692004</v>
      </c>
      <c r="AM1671">
        <v>89.644018685061994</v>
      </c>
      <c r="AN1671">
        <v>1.0000000168557099</v>
      </c>
    </row>
    <row r="1672" spans="1:40" x14ac:dyDescent="0.25">
      <c r="A1672" t="str">
        <f>"20190303154454823"</f>
        <v>20190303154454823</v>
      </c>
      <c r="B1672" t="str">
        <f>"1551599094812565"</f>
        <v>1551599094812565</v>
      </c>
      <c r="C1672" t="s">
        <v>40</v>
      </c>
      <c r="D1672">
        <v>4.9157460000000004</v>
      </c>
      <c r="E1672">
        <v>0.50095809999999996</v>
      </c>
      <c r="F1672" t="s">
        <v>57</v>
      </c>
      <c r="G1672">
        <v>-299.97609999999997</v>
      </c>
      <c r="H1672" s="1">
        <v>3.9974720000000003E-6</v>
      </c>
      <c r="I1672">
        <v>284.28890000000001</v>
      </c>
      <c r="J1672">
        <v>-283.55160000000001</v>
      </c>
      <c r="K1672">
        <v>1.119375</v>
      </c>
      <c r="L1672">
        <v>284.2747</v>
      </c>
      <c r="M1672">
        <v>-0.99992840000000005</v>
      </c>
      <c r="N1672">
        <v>-9.4711819999999999E-3</v>
      </c>
      <c r="O1672">
        <v>-7.308859E-3</v>
      </c>
      <c r="P1672">
        <v>-0.99743729999999997</v>
      </c>
      <c r="Q1672">
        <v>-7.154692E-2</v>
      </c>
      <c r="R1672">
        <v>-1.1275470000000001E-4</v>
      </c>
      <c r="S1672">
        <v>-2.9934690000000002</v>
      </c>
      <c r="T1672">
        <v>-0.19794339999999999</v>
      </c>
      <c r="U1672">
        <v>1.8920899999999999E-3</v>
      </c>
      <c r="V1672">
        <v>7.0793740000000003E-3</v>
      </c>
      <c r="W1672">
        <v>-6.2108330000000003E-2</v>
      </c>
      <c r="X1672">
        <v>0.9980443</v>
      </c>
      <c r="Y1672">
        <v>7.9097709999999995E-3</v>
      </c>
      <c r="Z1672">
        <v>7.1234490000000004E-4</v>
      </c>
      <c r="AA1672">
        <v>0.99996850000000004</v>
      </c>
      <c r="AB1672">
        <v>46</v>
      </c>
      <c r="AC1672">
        <v>-16.424499999999899</v>
      </c>
      <c r="AD1672">
        <v>-1.1193710025279999</v>
      </c>
      <c r="AE1672">
        <v>1.42000000000166E-2</v>
      </c>
      <c r="AF1672">
        <v>0.13362869074543701</v>
      </c>
      <c r="AG1672">
        <v>-1.1193710025279999</v>
      </c>
      <c r="AH1672">
        <v>16.3480247864556</v>
      </c>
      <c r="AI1672">
        <v>93.916874033796702</v>
      </c>
      <c r="AJ1672">
        <v>89.531674952140705</v>
      </c>
      <c r="AK1672">
        <v>16.386847240603</v>
      </c>
      <c r="AL1672">
        <v>93.560837000491503</v>
      </c>
      <c r="AM1672">
        <v>89.593593742059497</v>
      </c>
      <c r="AN1672">
        <v>0.99999999347705504</v>
      </c>
    </row>
    <row r="1673" spans="1:40" x14ac:dyDescent="0.25">
      <c r="A1673" t="str">
        <f>"20190303154454843"</f>
        <v>20190303154454843</v>
      </c>
      <c r="B1673" t="str">
        <f>"1551599094832085"</f>
        <v>1551599094832085</v>
      </c>
      <c r="C1673" t="s">
        <v>40</v>
      </c>
      <c r="D1673">
        <v>4.9746249999999996</v>
      </c>
      <c r="E1673">
        <v>0.50092060000000005</v>
      </c>
      <c r="F1673" t="s">
        <v>42</v>
      </c>
      <c r="G1673">
        <v>-284.66480000000001</v>
      </c>
      <c r="H1673">
        <v>1.0452980000000001</v>
      </c>
      <c r="I1673">
        <v>284.27749999999997</v>
      </c>
      <c r="J1673">
        <v>-283.96929999999998</v>
      </c>
      <c r="K1673">
        <v>1.1193770000000001</v>
      </c>
      <c r="L1673">
        <v>284.2722</v>
      </c>
      <c r="M1673">
        <v>-0.99992919999999996</v>
      </c>
      <c r="N1673">
        <v>-9.8896790000000002E-3</v>
      </c>
      <c r="O1673">
        <v>-6.6110939999999997E-3</v>
      </c>
      <c r="P1673">
        <v>-0.99734780000000001</v>
      </c>
      <c r="Q1673">
        <v>-7.2745169999999998E-2</v>
      </c>
      <c r="R1673">
        <v>2.3867799999999998E-3</v>
      </c>
      <c r="S1673">
        <v>-2.9933779999999999</v>
      </c>
      <c r="T1673">
        <v>-0.1992968</v>
      </c>
      <c r="U1673">
        <v>6.9885249999999998E-3</v>
      </c>
      <c r="V1673">
        <v>8.8710939999999995E-3</v>
      </c>
      <c r="W1673">
        <v>-6.2894080000000005E-2</v>
      </c>
      <c r="X1673">
        <v>0.9979808</v>
      </c>
      <c r="Y1673">
        <v>8.9127240000000003E-3</v>
      </c>
      <c r="Z1673">
        <v>7.1485280000000003E-4</v>
      </c>
      <c r="AA1673">
        <v>0.99995999999999996</v>
      </c>
      <c r="AB1673">
        <v>46</v>
      </c>
      <c r="AC1673">
        <v>-0.69550000000003798</v>
      </c>
      <c r="AD1673">
        <v>-7.4078999999999895E-2</v>
      </c>
      <c r="AE1673">
        <v>5.2999999999769898E-3</v>
      </c>
      <c r="AF1673">
        <v>9.7870990979275398E-3</v>
      </c>
      <c r="AG1673">
        <v>-7.4078999999999895E-2</v>
      </c>
      <c r="AH1673">
        <v>0.68764898763144</v>
      </c>
      <c r="AI1673">
        <v>96.148025194573194</v>
      </c>
      <c r="AJ1673">
        <v>89.184581636280797</v>
      </c>
      <c r="AK1673">
        <v>0.69169691031570801</v>
      </c>
      <c r="AL1673">
        <v>93.605945259017105</v>
      </c>
      <c r="AM1673">
        <v>89.490708779832701</v>
      </c>
      <c r="AN1673">
        <v>1.0000000193882199</v>
      </c>
    </row>
    <row r="1674" spans="1:40" x14ac:dyDescent="0.25">
      <c r="A1674" t="str">
        <f>"20190303154455098"</f>
        <v>20190303154455098</v>
      </c>
      <c r="B1674" t="str">
        <f>"1551599095092678"</f>
        <v>1551599095092678</v>
      </c>
      <c r="C1674" t="s">
        <v>40</v>
      </c>
      <c r="D1674">
        <v>5.0112680000000003</v>
      </c>
      <c r="E1674">
        <v>0.57494999999999996</v>
      </c>
      <c r="F1674" t="s">
        <v>42</v>
      </c>
      <c r="G1674">
        <v>-289.49520000000001</v>
      </c>
      <c r="H1674">
        <v>0.93628080000000002</v>
      </c>
      <c r="I1674">
        <v>284.33150000000001</v>
      </c>
      <c r="J1674">
        <v>-289.17009999999999</v>
      </c>
      <c r="K1674">
        <v>1.1195550000000001</v>
      </c>
      <c r="L1674">
        <v>284.2663</v>
      </c>
      <c r="M1674">
        <v>-0.99989439999999996</v>
      </c>
      <c r="N1674">
        <v>-1.4308629999999999E-2</v>
      </c>
      <c r="O1674">
        <v>2.5300800000000001E-3</v>
      </c>
      <c r="P1674">
        <v>-0.99702329999999995</v>
      </c>
      <c r="Q1674">
        <v>-7.6580640000000005E-2</v>
      </c>
      <c r="R1674">
        <v>8.9342229999999998E-3</v>
      </c>
      <c r="S1674">
        <v>-2.9539490000000002</v>
      </c>
      <c r="T1674">
        <v>-0.69224980000000003</v>
      </c>
      <c r="U1674">
        <v>0.25061040000000001</v>
      </c>
      <c r="V1674">
        <v>6.2613790000000001E-3</v>
      </c>
      <c r="W1674">
        <v>-6.232174E-2</v>
      </c>
      <c r="X1674">
        <v>0.99803640000000005</v>
      </c>
      <c r="Y1674">
        <v>7.9792050000000003E-2</v>
      </c>
      <c r="Z1674">
        <v>9.2403599999999995E-3</v>
      </c>
      <c r="AA1674">
        <v>0.99676869999999995</v>
      </c>
      <c r="AB1674">
        <v>45</v>
      </c>
      <c r="AC1674">
        <v>-0.32510000000001998</v>
      </c>
      <c r="AD1674">
        <v>-0.183274199999999</v>
      </c>
      <c r="AE1674">
        <v>6.5200000000004296E-2</v>
      </c>
      <c r="AF1674">
        <v>4.9311438456781501E-2</v>
      </c>
      <c r="AG1674">
        <v>-0.183274199999999</v>
      </c>
      <c r="AH1674">
        <v>0.24914469878748699</v>
      </c>
      <c r="AI1674">
        <v>125.814788031077</v>
      </c>
      <c r="AJ1674">
        <v>78.804545522773495</v>
      </c>
      <c r="AK1674">
        <v>0.31319982644028399</v>
      </c>
      <c r="AL1674">
        <v>93.573088453703093</v>
      </c>
      <c r="AM1674">
        <v>89.640548296614696</v>
      </c>
      <c r="AN1674">
        <v>0.99999992993428199</v>
      </c>
    </row>
    <row r="1675" spans="1:40" x14ac:dyDescent="0.25">
      <c r="A1675" t="str">
        <f>"20190303154455121"</f>
        <v>20190303154455121</v>
      </c>
      <c r="B1675" t="str">
        <f>"1551599095112197"</f>
        <v>1551599095112197</v>
      </c>
      <c r="C1675" t="s">
        <v>40</v>
      </c>
      <c r="D1675">
        <v>4.9668890000000001</v>
      </c>
      <c r="E1675">
        <v>0.57541019999999998</v>
      </c>
      <c r="F1675" t="s">
        <v>42</v>
      </c>
      <c r="G1675">
        <v>-289.90539999999999</v>
      </c>
      <c r="H1675">
        <v>0.94385810000000003</v>
      </c>
      <c r="I1675">
        <v>284.42469999999997</v>
      </c>
      <c r="J1675">
        <v>-289.63650000000001</v>
      </c>
      <c r="K1675">
        <v>1.119561</v>
      </c>
      <c r="L1675">
        <v>284.26819999999998</v>
      </c>
      <c r="M1675">
        <v>-0.99988940000000004</v>
      </c>
      <c r="N1675">
        <v>-1.448583E-2</v>
      </c>
      <c r="O1675">
        <v>3.3651229999999998E-3</v>
      </c>
      <c r="P1675">
        <v>-0.99696180000000001</v>
      </c>
      <c r="Q1675">
        <v>-7.724557E-2</v>
      </c>
      <c r="R1675">
        <v>1.0035779999999999E-2</v>
      </c>
      <c r="S1675">
        <v>-2.9490970000000001</v>
      </c>
      <c r="T1675">
        <v>-0.70473580000000002</v>
      </c>
      <c r="U1675">
        <v>0.63513180000000002</v>
      </c>
      <c r="V1675">
        <v>6.5293829999999997E-3</v>
      </c>
      <c r="W1675">
        <v>-6.2811160000000005E-2</v>
      </c>
      <c r="X1675">
        <v>0.99800409999999995</v>
      </c>
      <c r="Y1675">
        <v>0.2015507</v>
      </c>
      <c r="Z1675">
        <v>2.4249590000000001E-2</v>
      </c>
      <c r="AA1675">
        <v>0.97917779999999999</v>
      </c>
      <c r="AB1675">
        <v>45</v>
      </c>
      <c r="AC1675">
        <v>-0.26889999999997299</v>
      </c>
      <c r="AD1675">
        <v>-0.1757029</v>
      </c>
      <c r="AE1675">
        <v>0.15649999999999401</v>
      </c>
      <c r="AF1675">
        <v>0.117970659786805</v>
      </c>
      <c r="AG1675">
        <v>-0.1757029</v>
      </c>
      <c r="AH1675">
        <v>0.20427675579678001</v>
      </c>
      <c r="AI1675">
        <v>126.680132228744</v>
      </c>
      <c r="AJ1675">
        <v>59.993390935894602</v>
      </c>
      <c r="AK1675">
        <v>0.29413870639173201</v>
      </c>
      <c r="AL1675">
        <v>93.601184845780395</v>
      </c>
      <c r="AM1675">
        <v>89.625151087882401</v>
      </c>
      <c r="AN1675">
        <v>1.0000000291398501</v>
      </c>
    </row>
    <row r="1676" spans="1:40" x14ac:dyDescent="0.25">
      <c r="A1676" t="str">
        <f>"20190303154455143"</f>
        <v>20190303154455143</v>
      </c>
      <c r="B1676" t="str">
        <f>"1551599095132697"</f>
        <v>1551599095132697</v>
      </c>
      <c r="C1676" t="s">
        <v>40</v>
      </c>
      <c r="D1676">
        <v>4.9361610000000002</v>
      </c>
      <c r="E1676">
        <v>0.57566490000000003</v>
      </c>
      <c r="F1676" t="s">
        <v>42</v>
      </c>
      <c r="G1676">
        <v>-290.68400000000003</v>
      </c>
      <c r="H1676">
        <v>0.87083860000000002</v>
      </c>
      <c r="I1676">
        <v>284.49650000000003</v>
      </c>
      <c r="J1676">
        <v>-290.06630000000001</v>
      </c>
      <c r="K1676">
        <v>1.1195679999999999</v>
      </c>
      <c r="L1676">
        <v>284.27019999999999</v>
      </c>
      <c r="M1676">
        <v>-0.99988449999999995</v>
      </c>
      <c r="N1676">
        <v>-1.462605E-2</v>
      </c>
      <c r="O1676">
        <v>4.1343959999999898E-3</v>
      </c>
      <c r="P1676">
        <v>-0.99689629999999996</v>
      </c>
      <c r="Q1676">
        <v>-7.8022960000000002E-2</v>
      </c>
      <c r="R1676">
        <v>1.050829E-2</v>
      </c>
      <c r="S1676">
        <v>-2.9484249999999999</v>
      </c>
      <c r="T1676">
        <v>-0.70013210000000003</v>
      </c>
      <c r="U1676">
        <v>0.64208980000000004</v>
      </c>
      <c r="V1676">
        <v>6.2331859999999999E-3</v>
      </c>
      <c r="W1676">
        <v>-6.3448679999999993E-2</v>
      </c>
      <c r="X1676">
        <v>0.99796560000000001</v>
      </c>
      <c r="Y1676">
        <v>0.20309379999999999</v>
      </c>
      <c r="Z1676">
        <v>2.4142899999999998E-2</v>
      </c>
      <c r="AA1676">
        <v>0.9788616</v>
      </c>
      <c r="AB1676">
        <v>45</v>
      </c>
      <c r="AC1676">
        <v>-0.61770000000001302</v>
      </c>
      <c r="AD1676">
        <v>-0.24872939999999999</v>
      </c>
      <c r="AE1676">
        <v>0.226300000000037</v>
      </c>
      <c r="AF1676">
        <v>0.19575906002827101</v>
      </c>
      <c r="AG1676">
        <v>-0.24872939999999999</v>
      </c>
      <c r="AH1676">
        <v>0.54125485022262199</v>
      </c>
      <c r="AI1676">
        <v>113.371396071864</v>
      </c>
      <c r="AJ1676">
        <v>70.116142718826197</v>
      </c>
      <c r="AK1676">
        <v>0.627012549234085</v>
      </c>
      <c r="AL1676">
        <v>93.637785296730996</v>
      </c>
      <c r="AM1676">
        <v>89.642141365654098</v>
      </c>
      <c r="AN1676">
        <v>0.99999996319240503</v>
      </c>
    </row>
    <row r="1677" spans="1:40" x14ac:dyDescent="0.25">
      <c r="A1677" t="str">
        <f>"20190303154455165"</f>
        <v>20190303154455165</v>
      </c>
      <c r="B1677" t="str">
        <f>"1551599095161973"</f>
        <v>1551599095161973</v>
      </c>
      <c r="C1677" t="s">
        <v>40</v>
      </c>
      <c r="D1677">
        <v>4.9520549999999997</v>
      </c>
      <c r="E1677">
        <v>0.57416829999999996</v>
      </c>
      <c r="F1677" t="s">
        <v>42</v>
      </c>
      <c r="G1677">
        <v>-291.08929999999998</v>
      </c>
      <c r="H1677">
        <v>0.87751749999999995</v>
      </c>
      <c r="I1677">
        <v>284.49439999999998</v>
      </c>
      <c r="J1677">
        <v>-290.5129</v>
      </c>
      <c r="K1677">
        <v>1.11957</v>
      </c>
      <c r="L1677">
        <v>284.27269999999999</v>
      </c>
      <c r="M1677">
        <v>-0.99987899999999996</v>
      </c>
      <c r="N1677">
        <v>-1.4752110000000001E-2</v>
      </c>
      <c r="O1677">
        <v>4.9342520000000001E-3</v>
      </c>
      <c r="P1677">
        <v>-0.99691439999999998</v>
      </c>
      <c r="Q1677">
        <v>-7.7832250000000006E-2</v>
      </c>
      <c r="R1677">
        <v>1.0195310000000001E-2</v>
      </c>
      <c r="S1677">
        <v>-2.947937</v>
      </c>
      <c r="T1677">
        <v>-0.6975597</v>
      </c>
      <c r="U1677">
        <v>0.64529419999999904</v>
      </c>
      <c r="V1677">
        <v>5.123463E-3</v>
      </c>
      <c r="W1677">
        <v>-6.3129169999999998E-2</v>
      </c>
      <c r="X1677">
        <v>0.9979922</v>
      </c>
      <c r="Y1677">
        <v>0.2034069</v>
      </c>
      <c r="Z1677">
        <v>2.3942379999999999E-2</v>
      </c>
      <c r="AA1677">
        <v>0.97880149999999999</v>
      </c>
      <c r="AB1677">
        <v>45</v>
      </c>
      <c r="AC1677">
        <v>-0.57639999999997804</v>
      </c>
      <c r="AD1677">
        <v>-0.2420525</v>
      </c>
      <c r="AE1677">
        <v>0.22169999999999801</v>
      </c>
      <c r="AF1677">
        <v>0.18970942260905199</v>
      </c>
      <c r="AG1677">
        <v>-0.2420525</v>
      </c>
      <c r="AH1677">
        <v>0.500586174062991</v>
      </c>
      <c r="AI1677">
        <v>114.33045059544401</v>
      </c>
      <c r="AJ1677">
        <v>69.244566607997498</v>
      </c>
      <c r="AK1677">
        <v>0.58750795351717</v>
      </c>
      <c r="AL1677">
        <v>93.619441862663393</v>
      </c>
      <c r="AM1677">
        <v>89.705859196582793</v>
      </c>
      <c r="AN1677">
        <v>0.99999998661942002</v>
      </c>
    </row>
    <row r="1678" spans="1:40" x14ac:dyDescent="0.25">
      <c r="A1678" t="str">
        <f>"20190303154455187"</f>
        <v>20190303154455187</v>
      </c>
      <c r="B1678" t="str">
        <f>"1551599095182470"</f>
        <v>1551599095182470</v>
      </c>
      <c r="C1678" t="s">
        <v>40</v>
      </c>
      <c r="D1678">
        <v>4.9575680000000002</v>
      </c>
      <c r="E1678">
        <v>0.57275619999999905</v>
      </c>
      <c r="F1678" t="s">
        <v>42</v>
      </c>
      <c r="G1678">
        <v>-291.49419999999998</v>
      </c>
      <c r="H1678">
        <v>0.88548300000000002</v>
      </c>
      <c r="I1678">
        <v>284.4837</v>
      </c>
      <c r="J1678">
        <v>-290.96289999999999</v>
      </c>
      <c r="K1678">
        <v>1.1195809999999999</v>
      </c>
      <c r="L1678">
        <v>284.2756</v>
      </c>
      <c r="M1678">
        <v>-0.99987320000000002</v>
      </c>
      <c r="N1678">
        <v>-1.4861569999999999E-2</v>
      </c>
      <c r="O1678">
        <v>5.7402180000000001E-3</v>
      </c>
      <c r="P1678">
        <v>-0.99691379999999996</v>
      </c>
      <c r="Q1678">
        <v>-7.7910080000000007E-2</v>
      </c>
      <c r="R1678">
        <v>9.6526579999999997E-3</v>
      </c>
      <c r="S1678">
        <v>-2.9478759999999999</v>
      </c>
      <c r="T1678">
        <v>-0.70323899999999995</v>
      </c>
      <c r="U1678">
        <v>0.63305659999999997</v>
      </c>
      <c r="V1678">
        <v>3.7771419999999998E-3</v>
      </c>
      <c r="W1678">
        <v>-6.3094510000000006E-2</v>
      </c>
      <c r="X1678">
        <v>0.99800040000000001</v>
      </c>
      <c r="Y1678">
        <v>0.19879459999999999</v>
      </c>
      <c r="Z1678">
        <v>2.3393339999999999E-2</v>
      </c>
      <c r="AA1678">
        <v>0.97976200000000002</v>
      </c>
      <c r="AB1678">
        <v>45</v>
      </c>
      <c r="AC1678">
        <v>-0.531299999999987</v>
      </c>
      <c r="AD1678">
        <v>-0.234097999999999</v>
      </c>
      <c r="AE1678">
        <v>0.20810000000000101</v>
      </c>
      <c r="AF1678">
        <v>0.175505686482718</v>
      </c>
      <c r="AG1678">
        <v>-0.234097999999999</v>
      </c>
      <c r="AH1678">
        <v>0.45577137907478599</v>
      </c>
      <c r="AI1678">
        <v>115.609374911305</v>
      </c>
      <c r="AJ1678">
        <v>68.939604301178903</v>
      </c>
      <c r="AK1678">
        <v>0.54160102434864599</v>
      </c>
      <c r="AL1678">
        <v>93.617452007516107</v>
      </c>
      <c r="AM1678">
        <v>89.783153131078606</v>
      </c>
      <c r="AN1678">
        <v>0.99999999119699401</v>
      </c>
    </row>
    <row r="1679" spans="1:40" x14ac:dyDescent="0.25">
      <c r="A1679" t="str">
        <f>"20190303154455211"</f>
        <v>20190303154455211</v>
      </c>
      <c r="B1679" t="str">
        <f>"1551599095201989"</f>
        <v>1551599095201989</v>
      </c>
      <c r="C1679" t="s">
        <v>40</v>
      </c>
      <c r="D1679">
        <v>4.9448270000000001</v>
      </c>
      <c r="E1679">
        <v>0.57152419999999904</v>
      </c>
      <c r="F1679" t="s">
        <v>42</v>
      </c>
      <c r="G1679">
        <v>-291.899</v>
      </c>
      <c r="H1679">
        <v>0.89383089999999998</v>
      </c>
      <c r="I1679">
        <v>284.47329999999999</v>
      </c>
      <c r="J1679">
        <v>-291.43799999999999</v>
      </c>
      <c r="K1679">
        <v>1.1195889999999999</v>
      </c>
      <c r="L1679">
        <v>284.279</v>
      </c>
      <c r="M1679">
        <v>-0.99986649999999999</v>
      </c>
      <c r="N1679">
        <v>-1.4960660000000001E-2</v>
      </c>
      <c r="O1679">
        <v>6.5924850000000004E-3</v>
      </c>
      <c r="P1679">
        <v>-0.99695400000000001</v>
      </c>
      <c r="Q1679">
        <v>-7.753488E-2</v>
      </c>
      <c r="R1679">
        <v>8.4419539999999998E-3</v>
      </c>
      <c r="S1679">
        <v>-2.9477229999999999</v>
      </c>
      <c r="T1679">
        <v>-0.71086689999999997</v>
      </c>
      <c r="U1679">
        <v>0.62069700000000005</v>
      </c>
      <c r="V1679">
        <v>1.717489E-3</v>
      </c>
      <c r="W1679">
        <v>-6.2614909999999996E-2</v>
      </c>
      <c r="X1679">
        <v>0.99803629999999999</v>
      </c>
      <c r="Y1679">
        <v>0.19407260000000001</v>
      </c>
      <c r="Z1679">
        <v>2.286442E-2</v>
      </c>
      <c r="AA1679">
        <v>0.9807207</v>
      </c>
      <c r="AB1679">
        <v>45</v>
      </c>
      <c r="AC1679">
        <v>-0.46100000000001201</v>
      </c>
      <c r="AD1679">
        <v>-0.22575809999999899</v>
      </c>
      <c r="AE1679">
        <v>0.194299999999998</v>
      </c>
      <c r="AF1679">
        <v>0.15889771854686899</v>
      </c>
      <c r="AG1679">
        <v>-0.22575809999999899</v>
      </c>
      <c r="AH1679">
        <v>0.38405957608260399</v>
      </c>
      <c r="AI1679">
        <v>118.509384285498</v>
      </c>
      <c r="AJ1679">
        <v>67.523557111163001</v>
      </c>
      <c r="AK1679">
        <v>0.47298727536347102</v>
      </c>
      <c r="AL1679">
        <v>93.589918418161304</v>
      </c>
      <c r="AM1679">
        <v>89.901401608416407</v>
      </c>
      <c r="AN1679">
        <v>1.0000000164202301</v>
      </c>
    </row>
    <row r="1680" spans="1:40" x14ac:dyDescent="0.25">
      <c r="A1680" t="str">
        <f>"20190303154455234"</f>
        <v>20190303154455234</v>
      </c>
      <c r="B1680" t="str">
        <f>"1551599095222485"</f>
        <v>1551599095222485</v>
      </c>
      <c r="C1680" t="s">
        <v>40</v>
      </c>
      <c r="D1680">
        <v>4.8433229999999998</v>
      </c>
      <c r="E1680">
        <v>0.57126409999999905</v>
      </c>
      <c r="F1680" t="s">
        <v>42</v>
      </c>
      <c r="G1680">
        <v>-292.30599999999998</v>
      </c>
      <c r="H1680">
        <v>0.90884419999999999</v>
      </c>
      <c r="I1680">
        <v>284.45800000000003</v>
      </c>
      <c r="J1680">
        <v>-291.88339999999999</v>
      </c>
      <c r="K1680">
        <v>1.119597</v>
      </c>
      <c r="L1680">
        <v>284.2826</v>
      </c>
      <c r="M1680">
        <v>-0.99985950000000001</v>
      </c>
      <c r="N1680">
        <v>-1.503995E-2</v>
      </c>
      <c r="O1680">
        <v>7.3925359999999999E-3</v>
      </c>
      <c r="P1680">
        <v>-0.99691160000000001</v>
      </c>
      <c r="Q1680">
        <v>-7.8157859999999996E-2</v>
      </c>
      <c r="R1680">
        <v>7.6676950000000004E-3</v>
      </c>
      <c r="S1680">
        <v>-2.9483640000000002</v>
      </c>
      <c r="T1680">
        <v>-0.71581229999999996</v>
      </c>
      <c r="U1680">
        <v>0.60772709999999996</v>
      </c>
      <c r="V1680">
        <v>1.4479210000000001E-4</v>
      </c>
      <c r="W1680">
        <v>-6.3155639999999999E-2</v>
      </c>
      <c r="X1680">
        <v>0.99800370000000005</v>
      </c>
      <c r="Y1680">
        <v>0.189194</v>
      </c>
      <c r="Z1680">
        <v>2.222793E-2</v>
      </c>
      <c r="AA1680">
        <v>0.98168809999999995</v>
      </c>
      <c r="AB1680">
        <v>45</v>
      </c>
      <c r="AC1680">
        <v>-0.42259999999998799</v>
      </c>
      <c r="AD1680">
        <v>-0.21075279999999999</v>
      </c>
      <c r="AE1680">
        <v>0.175399999999967</v>
      </c>
      <c r="AF1680">
        <v>0.14211895198298199</v>
      </c>
      <c r="AG1680">
        <v>-0.21075279999999999</v>
      </c>
      <c r="AH1680">
        <v>0.34969442723050898</v>
      </c>
      <c r="AI1680">
        <v>119.17589735620901</v>
      </c>
      <c r="AJ1680">
        <v>67.882734060236103</v>
      </c>
      <c r="AK1680">
        <v>0.43232017262285499</v>
      </c>
      <c r="AL1680">
        <v>93.620961391470502</v>
      </c>
      <c r="AM1680">
        <v>89.991687429436695</v>
      </c>
      <c r="AN1680">
        <v>1.0000000205211199</v>
      </c>
    </row>
    <row r="1681" spans="1:40" x14ac:dyDescent="0.25">
      <c r="A1681" t="str">
        <f>"20190303154455256"</f>
        <v>20190303154455256</v>
      </c>
      <c r="B1681" t="str">
        <f>"1551599095251767"</f>
        <v>1551599095251767</v>
      </c>
      <c r="C1681" t="s">
        <v>40</v>
      </c>
      <c r="D1681">
        <v>4.7993940000000004</v>
      </c>
      <c r="E1681">
        <v>0.57077959999999905</v>
      </c>
      <c r="F1681" t="s">
        <v>42</v>
      </c>
      <c r="G1681">
        <v>-292.71050000000002</v>
      </c>
      <c r="H1681">
        <v>0.91783550000000003</v>
      </c>
      <c r="I1681">
        <v>284.45240000000001</v>
      </c>
      <c r="J1681">
        <v>-292.34160000000003</v>
      </c>
      <c r="K1681">
        <v>1.1196090000000001</v>
      </c>
      <c r="L1681">
        <v>284.2867</v>
      </c>
      <c r="M1681">
        <v>-0.99985219999999997</v>
      </c>
      <c r="N1681">
        <v>-1.510982E-2</v>
      </c>
      <c r="O1681">
        <v>8.2164170000000002E-3</v>
      </c>
      <c r="P1681">
        <v>-0.99694559999999999</v>
      </c>
      <c r="Q1681">
        <v>-7.7779470000000003E-2</v>
      </c>
      <c r="R1681">
        <v>7.0893110000000001E-3</v>
      </c>
      <c r="S1681">
        <v>-2.948242</v>
      </c>
      <c r="T1681">
        <v>-0.71925260000000002</v>
      </c>
      <c r="U1681">
        <v>0.60394289999999995</v>
      </c>
      <c r="V1681">
        <v>-1.253819E-3</v>
      </c>
      <c r="W1681">
        <v>-6.2703720000000004E-2</v>
      </c>
      <c r="X1681">
        <v>0.99803140000000001</v>
      </c>
      <c r="Y1681">
        <v>0.18721080000000001</v>
      </c>
      <c r="Z1681">
        <v>2.189984E-2</v>
      </c>
      <c r="AA1681">
        <v>0.98207560000000005</v>
      </c>
      <c r="AB1681">
        <v>45</v>
      </c>
      <c r="AC1681">
        <v>-0.36889999999999601</v>
      </c>
      <c r="AD1681">
        <v>-0.20177349999999999</v>
      </c>
      <c r="AE1681">
        <v>0.165700000000015</v>
      </c>
      <c r="AF1681">
        <v>0.130240877984513</v>
      </c>
      <c r="AG1681">
        <v>-0.20177349999999999</v>
      </c>
      <c r="AH1681">
        <v>0.29645075245369901</v>
      </c>
      <c r="AI1681">
        <v>121.928868781004</v>
      </c>
      <c r="AJ1681">
        <v>66.282485753973006</v>
      </c>
      <c r="AK1681">
        <v>0.38152100889831903</v>
      </c>
      <c r="AL1681">
        <v>93.595016926854598</v>
      </c>
      <c r="AM1681">
        <v>90.071980199400301</v>
      </c>
      <c r="AN1681">
        <v>1.00000000197494</v>
      </c>
    </row>
    <row r="1682" spans="1:40" x14ac:dyDescent="0.25">
      <c r="A1682" t="str">
        <f>"20190303154455278"</f>
        <v>20190303154455278</v>
      </c>
      <c r="B1682" t="str">
        <f>"1551599095272262"</f>
        <v>1551599095272262</v>
      </c>
      <c r="C1682" t="s">
        <v>40</v>
      </c>
      <c r="D1682">
        <v>4.8270580000000001</v>
      </c>
      <c r="E1682">
        <v>0.57038250000000001</v>
      </c>
      <c r="F1682" t="s">
        <v>42</v>
      </c>
      <c r="G1682">
        <v>-293.11610000000002</v>
      </c>
      <c r="H1682">
        <v>0.93063379999999996</v>
      </c>
      <c r="I1682">
        <v>284.44400000000002</v>
      </c>
      <c r="J1682">
        <v>-292.77690000000001</v>
      </c>
      <c r="K1682">
        <v>1.1196189999999999</v>
      </c>
      <c r="L1682">
        <v>284.29090000000002</v>
      </c>
      <c r="M1682">
        <v>-0.99984459999999997</v>
      </c>
      <c r="N1682">
        <v>-1.5166489999999999E-2</v>
      </c>
      <c r="O1682">
        <v>8.9990160000000003E-3</v>
      </c>
      <c r="P1682">
        <v>-0.99700809999999995</v>
      </c>
      <c r="Q1682">
        <v>-7.7016890000000005E-2</v>
      </c>
      <c r="R1682">
        <v>6.5928369999999998E-3</v>
      </c>
      <c r="S1682">
        <v>-2.9487920000000001</v>
      </c>
      <c r="T1682">
        <v>-0.71946949999999998</v>
      </c>
      <c r="U1682">
        <v>0.59863279999999996</v>
      </c>
      <c r="V1682">
        <v>-2.5293550000000001E-3</v>
      </c>
      <c r="W1682">
        <v>-6.1880730000000002E-2</v>
      </c>
      <c r="X1682">
        <v>0.99808039999999998</v>
      </c>
      <c r="Y1682">
        <v>0.1847955</v>
      </c>
      <c r="Z1682">
        <v>2.1430319999999999E-2</v>
      </c>
      <c r="AA1682">
        <v>0.98254330000000001</v>
      </c>
      <c r="AB1682">
        <v>45</v>
      </c>
      <c r="AC1682">
        <v>-0.339200000000005</v>
      </c>
      <c r="AD1682">
        <v>-0.18898519999999999</v>
      </c>
      <c r="AE1682">
        <v>0.15309999999999399</v>
      </c>
      <c r="AF1682">
        <v>0.119280844270305</v>
      </c>
      <c r="AG1682">
        <v>-0.18898519999999999</v>
      </c>
      <c r="AH1682">
        <v>0.270744573079166</v>
      </c>
      <c r="AI1682">
        <v>122.569427250076</v>
      </c>
      <c r="AJ1682">
        <v>66.223343414374497</v>
      </c>
      <c r="AK1682">
        <v>0.35106402476000997</v>
      </c>
      <c r="AL1682">
        <v>93.547771135380799</v>
      </c>
      <c r="AM1682">
        <v>90.145199781651002</v>
      </c>
      <c r="AN1682">
        <v>1.0000000536231</v>
      </c>
    </row>
    <row r="1683" spans="1:40" x14ac:dyDescent="0.25">
      <c r="A1683" t="str">
        <f>"20190303154455299"</f>
        <v>20190303154455299</v>
      </c>
      <c r="B1683" t="str">
        <f>"1551599095291781"</f>
        <v>1551599095291781</v>
      </c>
      <c r="C1683" t="s">
        <v>40</v>
      </c>
      <c r="D1683">
        <v>4.7974160000000001</v>
      </c>
      <c r="E1683">
        <v>0.57007649999999999</v>
      </c>
      <c r="F1683" t="s">
        <v>42</v>
      </c>
      <c r="G1683">
        <v>-293.51960000000003</v>
      </c>
      <c r="H1683">
        <v>0.93840210000000002</v>
      </c>
      <c r="I1683">
        <v>284.44080000000002</v>
      </c>
      <c r="J1683">
        <v>-293.20510000000002</v>
      </c>
      <c r="K1683">
        <v>1.119637</v>
      </c>
      <c r="L1683">
        <v>284.2953</v>
      </c>
      <c r="M1683">
        <v>-0.99983659999999996</v>
      </c>
      <c r="N1683">
        <v>-1.5214159999999999E-2</v>
      </c>
      <c r="O1683">
        <v>9.7644159999999997E-3</v>
      </c>
      <c r="P1683">
        <v>-0.99702950000000001</v>
      </c>
      <c r="Q1683">
        <v>-7.6707079999999997E-2</v>
      </c>
      <c r="R1683">
        <v>6.9409950000000002E-3</v>
      </c>
      <c r="S1683">
        <v>-2.9494929999999999</v>
      </c>
      <c r="T1683">
        <v>-0.71965000000000001</v>
      </c>
      <c r="U1683">
        <v>0.59399409999999997</v>
      </c>
      <c r="V1683">
        <v>-2.9434719999999999E-3</v>
      </c>
      <c r="W1683">
        <v>-6.1522060000000003E-2</v>
      </c>
      <c r="X1683">
        <v>0.99810140000000003</v>
      </c>
      <c r="Y1683">
        <v>0.18259529999999999</v>
      </c>
      <c r="Z1683">
        <v>2.0988349999999999E-2</v>
      </c>
      <c r="AA1683">
        <v>0.98296410000000001</v>
      </c>
      <c r="AB1683">
        <v>45</v>
      </c>
      <c r="AC1683">
        <v>-0.31450000000000899</v>
      </c>
      <c r="AD1683">
        <v>-0.1812349</v>
      </c>
      <c r="AE1683">
        <v>0.145500000000026</v>
      </c>
      <c r="AF1683">
        <v>0.11183196326921301</v>
      </c>
      <c r="AG1683">
        <v>-0.1812349</v>
      </c>
      <c r="AH1683">
        <v>0.24805455686309899</v>
      </c>
      <c r="AI1683">
        <v>123.666163937698</v>
      </c>
      <c r="AJ1683">
        <v>65.732426571854802</v>
      </c>
      <c r="AK1683">
        <v>0.32693048216280601</v>
      </c>
      <c r="AL1683">
        <v>93.527181760852798</v>
      </c>
      <c r="AM1683">
        <v>90.168968838040101</v>
      </c>
      <c r="AN1683">
        <v>1.0000000162880001</v>
      </c>
    </row>
    <row r="1684" spans="1:40" x14ac:dyDescent="0.25">
      <c r="A1684" t="str">
        <f>"20190303154455321"</f>
        <v>20190303154455321</v>
      </c>
      <c r="B1684" t="str">
        <f>"1551599095312278"</f>
        <v>1551599095312278</v>
      </c>
      <c r="C1684" t="s">
        <v>40</v>
      </c>
      <c r="D1684">
        <v>4.7352550000000004</v>
      </c>
      <c r="E1684">
        <v>0.56949659999999902</v>
      </c>
      <c r="F1684" t="s">
        <v>42</v>
      </c>
      <c r="G1684">
        <v>-293.92200000000003</v>
      </c>
      <c r="H1684">
        <v>0.94443060000000001</v>
      </c>
      <c r="I1684">
        <v>284.43950000000001</v>
      </c>
      <c r="J1684">
        <v>-293.62479999999999</v>
      </c>
      <c r="K1684">
        <v>1.119648</v>
      </c>
      <c r="L1684">
        <v>284.3</v>
      </c>
      <c r="M1684">
        <v>-0.99982850000000001</v>
      </c>
      <c r="N1684">
        <v>-1.525406E-2</v>
      </c>
      <c r="O1684">
        <v>1.0502310000000001E-2</v>
      </c>
      <c r="P1684">
        <v>-0.99700219999999995</v>
      </c>
      <c r="Q1684">
        <v>-7.6977989999999996E-2</v>
      </c>
      <c r="R1684">
        <v>7.8203070000000003E-3</v>
      </c>
      <c r="S1684">
        <v>-2.9493710000000002</v>
      </c>
      <c r="T1684">
        <v>-0.72080849999999996</v>
      </c>
      <c r="U1684">
        <v>0.59268189999999998</v>
      </c>
      <c r="V1684">
        <v>-2.7992249999999998E-3</v>
      </c>
      <c r="W1684">
        <v>-6.1753809999999999E-2</v>
      </c>
      <c r="X1684">
        <v>0.99808750000000002</v>
      </c>
      <c r="Y1684">
        <v>0.1814916</v>
      </c>
      <c r="Z1684">
        <v>2.0719230000000002E-2</v>
      </c>
      <c r="AA1684">
        <v>0.9831742</v>
      </c>
      <c r="AB1684">
        <v>45</v>
      </c>
      <c r="AC1684">
        <v>-0.29720000000003199</v>
      </c>
      <c r="AD1684">
        <v>-0.175217399999999</v>
      </c>
      <c r="AE1684">
        <v>0.13949999999999799</v>
      </c>
      <c r="AF1684">
        <v>0.106139175739321</v>
      </c>
      <c r="AG1684">
        <v>-0.175217399999999</v>
      </c>
      <c r="AH1684">
        <v>0.23244254843869799</v>
      </c>
      <c r="AI1684">
        <v>124.438611614991</v>
      </c>
      <c r="AJ1684">
        <v>65.457355895947998</v>
      </c>
      <c r="AK1684">
        <v>0.30983253575772002</v>
      </c>
      <c r="AL1684">
        <v>93.540485364361004</v>
      </c>
      <c r="AM1684">
        <v>90.160690678821496</v>
      </c>
      <c r="AN1684">
        <v>1.0000000131831801</v>
      </c>
    </row>
    <row r="1685" spans="1:40" x14ac:dyDescent="0.25">
      <c r="A1685" t="str">
        <f>"20190303154455344"</f>
        <v>20190303154455344</v>
      </c>
      <c r="B1685" t="str">
        <f>"1551599095331798"</f>
        <v>1551599095331798</v>
      </c>
      <c r="C1685" t="s">
        <v>40</v>
      </c>
      <c r="D1685">
        <v>4.733028</v>
      </c>
      <c r="E1685">
        <v>0.56964669999999995</v>
      </c>
      <c r="F1685" t="s">
        <v>42</v>
      </c>
      <c r="G1685">
        <v>-294.32330000000002</v>
      </c>
      <c r="H1685">
        <v>0.94902370000000003</v>
      </c>
      <c r="I1685">
        <v>284.44009999999997</v>
      </c>
      <c r="J1685">
        <v>-294.09109999999998</v>
      </c>
      <c r="K1685">
        <v>1.119669</v>
      </c>
      <c r="L1685">
        <v>284.30560000000003</v>
      </c>
      <c r="M1685">
        <v>-0.99981940000000002</v>
      </c>
      <c r="N1685">
        <v>-1.52912E-2</v>
      </c>
      <c r="O1685">
        <v>1.1295329999999999E-2</v>
      </c>
      <c r="P1685">
        <v>-0.99700869999999997</v>
      </c>
      <c r="Q1685">
        <v>-7.6795909999999995E-2</v>
      </c>
      <c r="R1685">
        <v>8.7436949999999992E-3</v>
      </c>
      <c r="S1685">
        <v>-2.9487299999999999</v>
      </c>
      <c r="T1685">
        <v>-0.72033619999999898</v>
      </c>
      <c r="U1685">
        <v>0.59042359999999905</v>
      </c>
      <c r="V1685">
        <v>-2.6636229999999999E-3</v>
      </c>
      <c r="W1685">
        <v>-6.1534869999999998E-2</v>
      </c>
      <c r="X1685">
        <v>0.99810140000000003</v>
      </c>
      <c r="Y1685">
        <v>0.18009429999999901</v>
      </c>
      <c r="Z1685">
        <v>2.0361379999999998E-2</v>
      </c>
      <c r="AA1685">
        <v>0.98343860000000005</v>
      </c>
      <c r="AB1685">
        <v>45</v>
      </c>
      <c r="AC1685">
        <v>-0.23220000000003399</v>
      </c>
      <c r="AD1685">
        <v>-0.1706453</v>
      </c>
      <c r="AE1685">
        <v>0.134499999999945</v>
      </c>
      <c r="AF1685">
        <v>9.3896424440142595E-2</v>
      </c>
      <c r="AG1685">
        <v>-0.1706453</v>
      </c>
      <c r="AH1685">
        <v>0.16640859683554299</v>
      </c>
      <c r="AI1685">
        <v>131.76791550245599</v>
      </c>
      <c r="AJ1685">
        <v>60.566038143413301</v>
      </c>
      <c r="AK1685">
        <v>0.256179971964062</v>
      </c>
      <c r="AL1685">
        <v>93.527917100275999</v>
      </c>
      <c r="AM1685">
        <v>90.152904297913807</v>
      </c>
      <c r="AN1685">
        <v>1.0000000198976799</v>
      </c>
    </row>
    <row r="1686" spans="1:40" x14ac:dyDescent="0.25">
      <c r="A1686" t="str">
        <f>"20190303154455366"</f>
        <v>20190303154455366</v>
      </c>
      <c r="B1686" t="str">
        <f>"1551599095362054"</f>
        <v>1551599095362054</v>
      </c>
      <c r="C1686" t="s">
        <v>40</v>
      </c>
      <c r="D1686">
        <v>4.7503650000000004</v>
      </c>
      <c r="E1686">
        <v>0.56985410000000003</v>
      </c>
      <c r="F1686" t="s">
        <v>42</v>
      </c>
      <c r="G1686">
        <v>-295.0899</v>
      </c>
      <c r="H1686">
        <v>0.87582469999999901</v>
      </c>
      <c r="I1686">
        <v>284.50729999999999</v>
      </c>
      <c r="J1686">
        <v>-294.54910000000001</v>
      </c>
      <c r="K1686">
        <v>1.119702</v>
      </c>
      <c r="L1686">
        <v>284.31139999999999</v>
      </c>
      <c r="M1686">
        <v>-0.99981019999999998</v>
      </c>
      <c r="N1686">
        <v>-1.5321660000000001E-2</v>
      </c>
      <c r="O1686">
        <v>1.2042290000000001E-2</v>
      </c>
      <c r="P1686">
        <v>-0.9969211</v>
      </c>
      <c r="Q1686">
        <v>-7.7860470000000001E-2</v>
      </c>
      <c r="R1686">
        <v>9.2870020000000008E-3</v>
      </c>
      <c r="S1686">
        <v>-2.948334</v>
      </c>
      <c r="T1686">
        <v>-0.71978549999999997</v>
      </c>
      <c r="U1686">
        <v>0.59445190000000003</v>
      </c>
      <c r="V1686">
        <v>-2.8628529999999998E-3</v>
      </c>
      <c r="W1686">
        <v>-6.2569890000000003E-2</v>
      </c>
      <c r="X1686">
        <v>0.99803649999999999</v>
      </c>
      <c r="Y1686">
        <v>0.18068500000000001</v>
      </c>
      <c r="Z1686">
        <v>2.0259039999999999E-2</v>
      </c>
      <c r="AA1686">
        <v>0.98333230000000005</v>
      </c>
      <c r="AB1686">
        <v>45</v>
      </c>
      <c r="AC1686">
        <v>-0.54079999999998996</v>
      </c>
      <c r="AD1686">
        <v>-0.24387729999999999</v>
      </c>
      <c r="AE1686">
        <v>0.195899999999994</v>
      </c>
      <c r="AF1686">
        <v>0.16051618864252001</v>
      </c>
      <c r="AG1686">
        <v>-0.24387729999999999</v>
      </c>
      <c r="AH1686">
        <v>0.46036012675479798</v>
      </c>
      <c r="AI1686">
        <v>116.57505906223</v>
      </c>
      <c r="AJ1686">
        <v>70.777600214966299</v>
      </c>
      <c r="AK1686">
        <v>0.54513579095240605</v>
      </c>
      <c r="AL1686">
        <v>93.587333877248199</v>
      </c>
      <c r="AM1686">
        <v>90.164351648841702</v>
      </c>
      <c r="AN1686">
        <v>1.0000000211970801</v>
      </c>
    </row>
    <row r="1687" spans="1:40" x14ac:dyDescent="0.25">
      <c r="A1687" t="str">
        <f>"20190303154455390"</f>
        <v>20190303154455390</v>
      </c>
      <c r="B1687" t="str">
        <f>"1551599095382551"</f>
        <v>1551599095382551</v>
      </c>
      <c r="C1687" t="s">
        <v>40</v>
      </c>
      <c r="D1687">
        <v>4.7763169999999997</v>
      </c>
      <c r="E1687">
        <v>0.56968989999999997</v>
      </c>
      <c r="F1687" t="s">
        <v>42</v>
      </c>
      <c r="G1687">
        <v>-295.49259999999998</v>
      </c>
      <c r="H1687">
        <v>0.88809479999999996</v>
      </c>
      <c r="I1687">
        <v>284.50290000000001</v>
      </c>
      <c r="J1687">
        <v>-295.00259999999997</v>
      </c>
      <c r="K1687">
        <v>1.11975</v>
      </c>
      <c r="L1687">
        <v>284.31740000000002</v>
      </c>
      <c r="M1687">
        <v>-0.9998011</v>
      </c>
      <c r="N1687">
        <v>-1.534686E-2</v>
      </c>
      <c r="O1687">
        <v>1.2750289999999999E-2</v>
      </c>
      <c r="P1687">
        <v>-0.99693580000000004</v>
      </c>
      <c r="Q1687">
        <v>-7.753082E-2</v>
      </c>
      <c r="R1687">
        <v>1.0398279999999999E-2</v>
      </c>
      <c r="S1687">
        <v>-2.947174</v>
      </c>
      <c r="T1687">
        <v>-0.72340389999999999</v>
      </c>
      <c r="U1687">
        <v>0.59750369999999997</v>
      </c>
      <c r="V1687">
        <v>-2.4522049999999998E-3</v>
      </c>
      <c r="W1687">
        <v>-6.2215819999999998E-2</v>
      </c>
      <c r="X1687">
        <v>0.99805969999999999</v>
      </c>
      <c r="Y1687">
        <v>0.1809983</v>
      </c>
      <c r="Z1687">
        <v>2.0239509999999999E-2</v>
      </c>
      <c r="AA1687">
        <v>0.98327509999999996</v>
      </c>
      <c r="AB1687">
        <v>45</v>
      </c>
      <c r="AC1687">
        <v>-0.49000000000000898</v>
      </c>
      <c r="AD1687">
        <v>-0.23165519999999901</v>
      </c>
      <c r="AE1687">
        <v>0.18549999999999001</v>
      </c>
      <c r="AF1687">
        <v>0.14992720426589601</v>
      </c>
      <c r="AG1687">
        <v>-0.23165519999999901</v>
      </c>
      <c r="AH1687">
        <v>0.41181894617973303</v>
      </c>
      <c r="AI1687">
        <v>117.859933959359</v>
      </c>
      <c r="AJ1687">
        <v>69.995409591863506</v>
      </c>
      <c r="AK1687">
        <v>0.49571881414629898</v>
      </c>
      <c r="AL1687">
        <v>93.567007658616106</v>
      </c>
      <c r="AM1687">
        <v>90.140773857796802</v>
      </c>
      <c r="AN1687">
        <v>0.99999999316586197</v>
      </c>
    </row>
    <row r="1688" spans="1:40" x14ac:dyDescent="0.25">
      <c r="A1688" t="str">
        <f>"20190303154455414"</f>
        <v>20190303154455414</v>
      </c>
      <c r="B1688" t="str">
        <f>"1551599095402070"</f>
        <v>1551599095402070</v>
      </c>
      <c r="C1688" t="s">
        <v>40</v>
      </c>
      <c r="D1688">
        <v>4.7229739999999998</v>
      </c>
      <c r="E1688">
        <v>0.56939379999999995</v>
      </c>
      <c r="F1688" t="s">
        <v>42</v>
      </c>
      <c r="G1688">
        <v>-295.89490000000001</v>
      </c>
      <c r="H1688">
        <v>0.90022230000000003</v>
      </c>
      <c r="I1688">
        <v>284.4991</v>
      </c>
      <c r="J1688">
        <v>-295.49259999999998</v>
      </c>
      <c r="K1688">
        <v>1.119801</v>
      </c>
      <c r="L1688">
        <v>284.32429999999999</v>
      </c>
      <c r="M1688">
        <v>-0.99979110000000004</v>
      </c>
      <c r="N1688">
        <v>-1.536944E-2</v>
      </c>
      <c r="O1688">
        <v>1.347112E-2</v>
      </c>
      <c r="P1688">
        <v>-0.99700599999999995</v>
      </c>
      <c r="Q1688">
        <v>-7.6395969999999994E-2</v>
      </c>
      <c r="R1688">
        <v>1.19382E-2</v>
      </c>
      <c r="S1688">
        <v>-2.9465940000000002</v>
      </c>
      <c r="T1688">
        <v>-0.72492049999999997</v>
      </c>
      <c r="U1688">
        <v>0.5988464</v>
      </c>
      <c r="V1688">
        <v>-1.624234E-3</v>
      </c>
      <c r="W1688">
        <v>-6.1059170000000003E-2</v>
      </c>
      <c r="X1688">
        <v>0.99813280000000004</v>
      </c>
      <c r="Y1688">
        <v>0.1807609</v>
      </c>
      <c r="Z1688">
        <v>2.0090210000000001E-2</v>
      </c>
      <c r="AA1688">
        <v>0.98332180000000002</v>
      </c>
      <c r="AB1688">
        <v>44</v>
      </c>
      <c r="AC1688">
        <v>-0.40230000000002503</v>
      </c>
      <c r="AD1688">
        <v>-0.21957869999999999</v>
      </c>
      <c r="AE1688">
        <v>0.17480000000000401</v>
      </c>
      <c r="AF1688">
        <v>0.13542664947195199</v>
      </c>
      <c r="AG1688">
        <v>-0.21957869999999999</v>
      </c>
      <c r="AH1688">
        <v>0.32354047887602</v>
      </c>
      <c r="AI1688">
        <v>122.04835215921401</v>
      </c>
      <c r="AJ1688">
        <v>67.286928733715897</v>
      </c>
      <c r="AK1688">
        <v>0.41380384767690798</v>
      </c>
      <c r="AL1688">
        <v>93.500610312376494</v>
      </c>
      <c r="AM1688">
        <v>90.093235760811297</v>
      </c>
      <c r="AN1688">
        <v>0.99999997340650704</v>
      </c>
    </row>
    <row r="1689" spans="1:40" x14ac:dyDescent="0.25">
      <c r="A1689" t="str">
        <f>"20190303154455437"</f>
        <v>20190303154455437</v>
      </c>
      <c r="B1689" t="str">
        <f>"1551599095432326"</f>
        <v>1551599095432326</v>
      </c>
      <c r="C1689" t="s">
        <v>40</v>
      </c>
      <c r="D1689">
        <v>4.6930379999999996</v>
      </c>
      <c r="E1689">
        <v>0.53635059999999901</v>
      </c>
      <c r="F1689" t="s">
        <v>42</v>
      </c>
      <c r="G1689">
        <v>-296.3005</v>
      </c>
      <c r="H1689">
        <v>0.92163059999999997</v>
      </c>
      <c r="I1689">
        <v>284.48919999999998</v>
      </c>
      <c r="J1689">
        <v>-295.93380000000002</v>
      </c>
      <c r="K1689">
        <v>1.11985</v>
      </c>
      <c r="L1689">
        <v>284.33080000000001</v>
      </c>
      <c r="M1689">
        <v>-0.99978270000000002</v>
      </c>
      <c r="N1689">
        <v>-1.5386159999999999E-2</v>
      </c>
      <c r="O1689">
        <v>1.407072E-2</v>
      </c>
      <c r="P1689">
        <v>-0.99704550000000003</v>
      </c>
      <c r="Q1689">
        <v>-7.5593099999999996E-2</v>
      </c>
      <c r="R1689">
        <v>1.364167E-2</v>
      </c>
      <c r="S1689">
        <v>-2.9464419999999998</v>
      </c>
      <c r="T1689">
        <v>-0.72278980000000004</v>
      </c>
      <c r="U1689">
        <v>0.6006165</v>
      </c>
      <c r="V1689">
        <v>-5.1149430000000003E-4</v>
      </c>
      <c r="W1689">
        <v>-6.024111E-2</v>
      </c>
      <c r="X1689">
        <v>0.99818370000000001</v>
      </c>
      <c r="Y1689">
        <v>0.1807917</v>
      </c>
      <c r="Z1689">
        <v>1.9908599999999999E-2</v>
      </c>
      <c r="AA1689">
        <v>0.98331990000000002</v>
      </c>
      <c r="AB1689">
        <v>44</v>
      </c>
      <c r="AC1689">
        <v>-0.36669999999997999</v>
      </c>
      <c r="AD1689">
        <v>-0.19821939999999999</v>
      </c>
      <c r="AE1689">
        <v>0.15839999999997101</v>
      </c>
      <c r="AF1689">
        <v>0.122948382478529</v>
      </c>
      <c r="AG1689">
        <v>-0.19821939999999999</v>
      </c>
      <c r="AH1689">
        <v>0.296003079801058</v>
      </c>
      <c r="AI1689">
        <v>121.73378602979101</v>
      </c>
      <c r="AJ1689">
        <v>67.443866511770295</v>
      </c>
      <c r="AK1689">
        <v>0.376862121394759</v>
      </c>
      <c r="AL1689">
        <v>93.453652470261801</v>
      </c>
      <c r="AM1689">
        <v>90.029359788253302</v>
      </c>
      <c r="AN1689">
        <v>0.99999997595307</v>
      </c>
    </row>
    <row r="1690" spans="1:40" x14ac:dyDescent="0.25">
      <c r="A1690" t="str">
        <f>"20190303154455457"</f>
        <v>20190303154455457</v>
      </c>
      <c r="B1690" t="str">
        <f>"1551599095451846"</f>
        <v>1551599095451846</v>
      </c>
      <c r="C1690" t="s">
        <v>40</v>
      </c>
      <c r="D1690">
        <v>4.7595850000000004</v>
      </c>
      <c r="E1690">
        <v>0.52191809999999905</v>
      </c>
      <c r="F1690" t="s">
        <v>42</v>
      </c>
      <c r="G1690">
        <v>-296.738</v>
      </c>
      <c r="H1690">
        <v>1.008418</v>
      </c>
      <c r="I1690">
        <v>284.42169999999999</v>
      </c>
      <c r="J1690">
        <v>-296.34620000000001</v>
      </c>
      <c r="K1690">
        <v>1.1198969999999999</v>
      </c>
      <c r="L1690">
        <v>284.33699999999999</v>
      </c>
      <c r="M1690">
        <v>-0.99977510000000003</v>
      </c>
      <c r="N1690">
        <v>-1.539895E-2</v>
      </c>
      <c r="O1690">
        <v>1.4584049999999999E-2</v>
      </c>
      <c r="P1690">
        <v>-0.99703470000000005</v>
      </c>
      <c r="Q1690">
        <v>-7.5502130000000001E-2</v>
      </c>
      <c r="R1690">
        <v>1.487841E-2</v>
      </c>
      <c r="S1690">
        <v>-2.9730530000000002</v>
      </c>
      <c r="T1690">
        <v>-0.41206749999999998</v>
      </c>
      <c r="U1690">
        <v>0.33520509999999998</v>
      </c>
      <c r="V1690">
        <v>2.1988969999999999E-4</v>
      </c>
      <c r="W1690">
        <v>-6.013872E-2</v>
      </c>
      <c r="X1690">
        <v>0.99819000000000002</v>
      </c>
      <c r="Y1690">
        <v>9.6625600000000006E-2</v>
      </c>
      <c r="Z1690">
        <v>5.6118210000000003E-3</v>
      </c>
      <c r="AA1690">
        <v>0.995305</v>
      </c>
      <c r="AB1690">
        <v>44</v>
      </c>
      <c r="AC1690">
        <v>-0.39179999999998899</v>
      </c>
      <c r="AD1690">
        <v>-0.111478999999999</v>
      </c>
      <c r="AE1690">
        <v>8.4699999999997999E-2</v>
      </c>
      <c r="AF1690">
        <v>7.3306537978685707E-2</v>
      </c>
      <c r="AG1690">
        <v>-0.111478999999999</v>
      </c>
      <c r="AH1690">
        <v>0.36478053525591703</v>
      </c>
      <c r="AI1690">
        <v>106.679032723848</v>
      </c>
      <c r="AJ1690">
        <v>78.637152414411204</v>
      </c>
      <c r="AK1690">
        <v>0.38841505487431099</v>
      </c>
      <c r="AL1690">
        <v>93.447775233698295</v>
      </c>
      <c r="AM1690">
        <v>89.987378403345403</v>
      </c>
      <c r="AN1690">
        <v>0.99999999504735904</v>
      </c>
    </row>
    <row r="1691" spans="1:40" x14ac:dyDescent="0.25">
      <c r="A1691" t="str">
        <f>"20190303154455480"</f>
        <v>20190303154455480</v>
      </c>
      <c r="B1691" t="str">
        <f>"1551599095472342"</f>
        <v>1551599095472342</v>
      </c>
      <c r="C1691" t="s">
        <v>40</v>
      </c>
      <c r="D1691">
        <v>4.7958290000000003</v>
      </c>
      <c r="E1691">
        <v>0.51808750000000003</v>
      </c>
      <c r="F1691" t="s">
        <v>58</v>
      </c>
      <c r="G1691">
        <v>-511.82119999999998</v>
      </c>
      <c r="H1691">
        <v>3.2469800000000002</v>
      </c>
      <c r="I1691">
        <v>299.63749999999999</v>
      </c>
      <c r="J1691">
        <v>-296.78699999999998</v>
      </c>
      <c r="K1691">
        <v>1.119947</v>
      </c>
      <c r="L1691">
        <v>284.34379999999999</v>
      </c>
      <c r="M1691">
        <v>-0.99976759999999998</v>
      </c>
      <c r="N1691">
        <v>-1.541003E-2</v>
      </c>
      <c r="O1691">
        <v>1.50826E-2</v>
      </c>
      <c r="P1691">
        <v>-0.99698319999999996</v>
      </c>
      <c r="Q1691">
        <v>-7.6036590000000001E-2</v>
      </c>
      <c r="R1691">
        <v>1.5594240000000001E-2</v>
      </c>
      <c r="S1691">
        <v>-3.0079959999999999</v>
      </c>
      <c r="T1691">
        <v>2.9694910000000001E-2</v>
      </c>
      <c r="U1691">
        <v>0.21359249999999999</v>
      </c>
      <c r="V1691">
        <v>4.455878E-4</v>
      </c>
      <c r="W1691">
        <v>-6.066303E-2</v>
      </c>
      <c r="X1691">
        <v>0.9981582</v>
      </c>
      <c r="Y1691">
        <v>5.578168E-2</v>
      </c>
      <c r="Z1691">
        <v>5.3622209999999997E-4</v>
      </c>
      <c r="AA1691">
        <v>0.99844279999999996</v>
      </c>
      <c r="AB1691">
        <v>44</v>
      </c>
      <c r="AC1691">
        <v>-215.0342</v>
      </c>
      <c r="AD1691">
        <v>2.127033</v>
      </c>
      <c r="AE1691">
        <v>15.293699999999999</v>
      </c>
      <c r="AF1691">
        <v>12.0471274964369</v>
      </c>
      <c r="AG1691">
        <v>2.127033</v>
      </c>
      <c r="AH1691">
        <v>215.219478511608</v>
      </c>
      <c r="AI1691">
        <v>89.434644184825999</v>
      </c>
      <c r="AJ1691">
        <v>86.796154348611196</v>
      </c>
      <c r="AK1691">
        <v>215.566884008437</v>
      </c>
      <c r="AL1691">
        <v>93.477870926297399</v>
      </c>
      <c r="AM1691">
        <v>89.974422592884906</v>
      </c>
      <c r="AN1691">
        <v>0.99999999699225395</v>
      </c>
    </row>
    <row r="1692" spans="1:40" x14ac:dyDescent="0.25">
      <c r="A1692" t="str">
        <f>"20190303154455502"</f>
        <v>20190303154455502</v>
      </c>
      <c r="B1692" t="str">
        <f>"1551599095491862"</f>
        <v>1551599095491862</v>
      </c>
      <c r="C1692" t="s">
        <v>40</v>
      </c>
      <c r="D1692">
        <v>4.7907359999999999</v>
      </c>
      <c r="E1692">
        <v>0.51426879999999997</v>
      </c>
      <c r="F1692" t="s">
        <v>58</v>
      </c>
      <c r="G1692">
        <v>-511.82130000000001</v>
      </c>
      <c r="H1692">
        <v>3.3833489999999999</v>
      </c>
      <c r="I1692">
        <v>297.56630000000001</v>
      </c>
      <c r="J1692">
        <v>-297.22089999999997</v>
      </c>
      <c r="K1692">
        <v>1.120007</v>
      </c>
      <c r="L1692">
        <v>284.35079999999999</v>
      </c>
      <c r="M1692">
        <v>-0.99976069999999995</v>
      </c>
      <c r="N1692">
        <v>-1.5418670000000001E-2</v>
      </c>
      <c r="O1692">
        <v>1.5521220000000001E-2</v>
      </c>
      <c r="P1692">
        <v>-0.9969287</v>
      </c>
      <c r="Q1692">
        <v>-7.6774529999999994E-2</v>
      </c>
      <c r="R1692">
        <v>1.5451609999999999E-2</v>
      </c>
      <c r="S1692">
        <v>-3.008575</v>
      </c>
      <c r="T1692">
        <v>3.1668780000000001E-2</v>
      </c>
      <c r="U1692">
        <v>0.18499760000000001</v>
      </c>
      <c r="V1692">
        <v>-1.269008E-4</v>
      </c>
      <c r="W1692">
        <v>-6.1392139999999998E-2</v>
      </c>
      <c r="X1692">
        <v>0.99811369999999999</v>
      </c>
      <c r="Y1692">
        <v>4.5879360000000001E-2</v>
      </c>
      <c r="Z1692">
        <v>5.151372E-4</v>
      </c>
      <c r="AA1692">
        <v>0.99894680000000002</v>
      </c>
      <c r="AB1692">
        <v>44</v>
      </c>
      <c r="AC1692">
        <v>-214.60040000000001</v>
      </c>
      <c r="AD1692">
        <v>2.2633420000000002</v>
      </c>
      <c r="AE1692">
        <v>13.2155</v>
      </c>
      <c r="AF1692">
        <v>9.8815567926014491</v>
      </c>
      <c r="AG1692">
        <v>2.2633420000000002</v>
      </c>
      <c r="AH1692">
        <v>214.75588984822801</v>
      </c>
      <c r="AI1692">
        <v>89.396812365398901</v>
      </c>
      <c r="AJ1692">
        <v>87.365509083134697</v>
      </c>
      <c r="AK1692">
        <v>214.99502344509901</v>
      </c>
      <c r="AL1692">
        <v>93.519723907571901</v>
      </c>
      <c r="AM1692">
        <v>90.007284621198593</v>
      </c>
      <c r="AN1692">
        <v>0.99999998454264105</v>
      </c>
    </row>
    <row r="1693" spans="1:40" x14ac:dyDescent="0.25">
      <c r="A1693" t="str">
        <f>"20190303154455523"</f>
        <v>20190303154455523</v>
      </c>
      <c r="B1693" t="str">
        <f>"1551599095512358"</f>
        <v>1551599095512358</v>
      </c>
      <c r="C1693" t="s">
        <v>40</v>
      </c>
      <c r="D1693">
        <v>4.8105960000000003</v>
      </c>
      <c r="E1693">
        <v>0.51244009999999995</v>
      </c>
      <c r="F1693" t="s">
        <v>58</v>
      </c>
      <c r="G1693">
        <v>-510.95429999999999</v>
      </c>
      <c r="H1693">
        <v>2.1480980000000001</v>
      </c>
      <c r="I1693">
        <v>295.34050000000002</v>
      </c>
      <c r="J1693">
        <v>-297.63740000000001</v>
      </c>
      <c r="K1693">
        <v>1.1200650000000001</v>
      </c>
      <c r="L1693">
        <v>284.35750000000002</v>
      </c>
      <c r="M1693">
        <v>-0.9997547</v>
      </c>
      <c r="N1693">
        <v>-1.542514E-2</v>
      </c>
      <c r="O1693">
        <v>1.5894109999999999E-2</v>
      </c>
      <c r="P1693">
        <v>-0.99690919999999905</v>
      </c>
      <c r="Q1693">
        <v>-7.7221219999999993E-2</v>
      </c>
      <c r="R1693">
        <v>1.4460509999999999E-2</v>
      </c>
      <c r="S1693">
        <v>-3.007965</v>
      </c>
      <c r="T1693">
        <v>1.446998E-2</v>
      </c>
      <c r="U1693">
        <v>0.1546631</v>
      </c>
      <c r="V1693">
        <v>-1.482807E-3</v>
      </c>
      <c r="W1693">
        <v>-6.1830789999999997E-2</v>
      </c>
      <c r="X1693">
        <v>0.99808560000000002</v>
      </c>
      <c r="Y1693">
        <v>3.547264E-2</v>
      </c>
      <c r="Z1693">
        <v>5.099608E-4</v>
      </c>
      <c r="AA1693">
        <v>0.99937050000000005</v>
      </c>
      <c r="AB1693">
        <v>44</v>
      </c>
      <c r="AC1693">
        <v>-213.3169</v>
      </c>
      <c r="AD1693">
        <v>1.028033</v>
      </c>
      <c r="AE1693">
        <v>10.983000000000001</v>
      </c>
      <c r="AF1693">
        <v>7.5905508045373598</v>
      </c>
      <c r="AG1693">
        <v>1.028033</v>
      </c>
      <c r="AH1693">
        <v>213.45958873481399</v>
      </c>
      <c r="AI1693">
        <v>89.724236832139695</v>
      </c>
      <c r="AJ1693">
        <v>87.963439566139897</v>
      </c>
      <c r="AK1693">
        <v>213.59697876187599</v>
      </c>
      <c r="AL1693">
        <v>93.544904289283494</v>
      </c>
      <c r="AM1693">
        <v>90.085121476982295</v>
      </c>
      <c r="AN1693">
        <v>1.0000000551179899</v>
      </c>
    </row>
    <row r="1694" spans="1:40" x14ac:dyDescent="0.25">
      <c r="A1694" t="str">
        <f>"20190303154455545"</f>
        <v>20190303154455545</v>
      </c>
      <c r="B1694" t="str">
        <f>"1551599095542614"</f>
        <v>1551599095542614</v>
      </c>
      <c r="C1694" t="s">
        <v>40</v>
      </c>
      <c r="D1694">
        <v>4.8253870000000001</v>
      </c>
      <c r="E1694">
        <v>0.5100536</v>
      </c>
      <c r="F1694" t="s">
        <v>58</v>
      </c>
      <c r="G1694">
        <v>-510.95409999999998</v>
      </c>
      <c r="H1694">
        <v>1.4146430000000001</v>
      </c>
      <c r="I1694">
        <v>294.08030000000002</v>
      </c>
      <c r="J1694">
        <v>-298.0822</v>
      </c>
      <c r="K1694">
        <v>1.120123</v>
      </c>
      <c r="L1694">
        <v>284.36489999999998</v>
      </c>
      <c r="M1694">
        <v>-0.99974890000000005</v>
      </c>
      <c r="N1694">
        <v>-1.543042E-2</v>
      </c>
      <c r="O1694">
        <v>1.6250379999999998E-2</v>
      </c>
      <c r="P1694">
        <v>-0.99692919999999996</v>
      </c>
      <c r="Q1694">
        <v>-7.7121410000000001E-2</v>
      </c>
      <c r="R1694">
        <v>1.35862E-2</v>
      </c>
      <c r="S1694">
        <v>-3.0076290000000001</v>
      </c>
      <c r="T1694">
        <v>4.154563E-3</v>
      </c>
      <c r="U1694">
        <v>0.13708499999999901</v>
      </c>
      <c r="V1694">
        <v>-2.7045200000000002E-3</v>
      </c>
      <c r="W1694">
        <v>-6.1724099999999997E-2</v>
      </c>
      <c r="X1694">
        <v>0.99808960000000002</v>
      </c>
      <c r="Y1694">
        <v>2.9292909999999998E-2</v>
      </c>
      <c r="Z1694">
        <v>4.7900729999999998E-4</v>
      </c>
      <c r="AA1694">
        <v>0.99957070000000003</v>
      </c>
      <c r="AB1694">
        <v>44</v>
      </c>
      <c r="AC1694">
        <v>-212.87190000000001</v>
      </c>
      <c r="AD1694">
        <v>0.29452</v>
      </c>
      <c r="AE1694">
        <v>9.7154000000000398</v>
      </c>
      <c r="AF1694">
        <v>6.2544437679536804</v>
      </c>
      <c r="AG1694">
        <v>0.29452</v>
      </c>
      <c r="AH1694">
        <v>213.00127524585301</v>
      </c>
      <c r="AI1694">
        <v>89.920810464002102</v>
      </c>
      <c r="AJ1694">
        <v>88.318083814075095</v>
      </c>
      <c r="AK1694">
        <v>213.09328489006</v>
      </c>
      <c r="AL1694">
        <v>93.538779849306394</v>
      </c>
      <c r="AM1694">
        <v>90.155253799212005</v>
      </c>
      <c r="AN1694">
        <v>1.0000000142887</v>
      </c>
    </row>
    <row r="1695" spans="1:40" x14ac:dyDescent="0.25">
      <c r="A1695" t="str">
        <f>"20190303154455567"</f>
        <v>20190303154455567</v>
      </c>
      <c r="B1695" t="str">
        <f>"1551599095562134"</f>
        <v>1551599095562134</v>
      </c>
      <c r="C1695" t="s">
        <v>40</v>
      </c>
      <c r="D1695">
        <v>4.862215</v>
      </c>
      <c r="E1695">
        <v>0.50850620000000002</v>
      </c>
      <c r="F1695" t="s">
        <v>58</v>
      </c>
      <c r="G1695">
        <v>-550.05709999999999</v>
      </c>
      <c r="H1695">
        <v>0.72596289999999997</v>
      </c>
      <c r="I1695">
        <v>294.05329999999998</v>
      </c>
      <c r="J1695">
        <v>-298.53089999999997</v>
      </c>
      <c r="K1695">
        <v>1.1201810000000001</v>
      </c>
      <c r="L1695">
        <v>284.3725</v>
      </c>
      <c r="M1695">
        <v>-0.99974370000000001</v>
      </c>
      <c r="N1695">
        <v>-1.543431E-2</v>
      </c>
      <c r="O1695">
        <v>1.6567640000000002E-2</v>
      </c>
      <c r="P1695">
        <v>-0.99699839999999995</v>
      </c>
      <c r="Q1695">
        <v>-7.6431460000000007E-2</v>
      </c>
      <c r="R1695">
        <v>1.235794E-2</v>
      </c>
      <c r="S1695">
        <v>-3.0073240000000001</v>
      </c>
      <c r="T1695">
        <v>-4.7032829999999999E-3</v>
      </c>
      <c r="U1695">
        <v>0.1156311</v>
      </c>
      <c r="V1695">
        <v>-4.2414660000000002E-3</v>
      </c>
      <c r="W1695">
        <v>-6.1027959999999999E-2</v>
      </c>
      <c r="X1695">
        <v>0.99812699999999999</v>
      </c>
      <c r="Y1695">
        <v>2.186008E-2</v>
      </c>
      <c r="Z1695">
        <v>4.1562180000000003E-4</v>
      </c>
      <c r="AA1695">
        <v>0.99976089999999995</v>
      </c>
      <c r="AB1695">
        <v>44</v>
      </c>
      <c r="AC1695">
        <v>-251.52619999999999</v>
      </c>
      <c r="AD1695">
        <v>-0.39421809999999902</v>
      </c>
      <c r="AE1695">
        <v>9.6807999999999694</v>
      </c>
      <c r="AF1695">
        <v>5.5117658314922897</v>
      </c>
      <c r="AG1695">
        <v>-0.39421809999999902</v>
      </c>
      <c r="AH1695">
        <v>251.65145896223501</v>
      </c>
      <c r="AI1695">
        <v>90.089733631013203</v>
      </c>
      <c r="AJ1695">
        <v>88.745286685105398</v>
      </c>
      <c r="AK1695">
        <v>251.71212082121301</v>
      </c>
      <c r="AL1695">
        <v>93.498818834375598</v>
      </c>
      <c r="AM1695">
        <v>90.243472662284802</v>
      </c>
      <c r="AN1695">
        <v>0.999999955032294</v>
      </c>
    </row>
    <row r="1696" spans="1:40" x14ac:dyDescent="0.25">
      <c r="A1696" t="str">
        <f>"20190303154455589"</f>
        <v>20190303154455589</v>
      </c>
      <c r="B1696" t="str">
        <f>"1551599095582630"</f>
        <v>1551599095582630</v>
      </c>
      <c r="C1696" t="s">
        <v>40</v>
      </c>
      <c r="D1696">
        <v>4.8577380000000003</v>
      </c>
      <c r="E1696">
        <v>0.50751270000000004</v>
      </c>
      <c r="F1696" t="s">
        <v>54</v>
      </c>
      <c r="G1696">
        <v>-500.68680000000001</v>
      </c>
      <c r="H1696">
        <v>8.0004110000000003E-2</v>
      </c>
      <c r="I1696">
        <v>291.10289999999998</v>
      </c>
      <c r="J1696">
        <v>-298.94889999999998</v>
      </c>
      <c r="K1696">
        <v>1.120236</v>
      </c>
      <c r="L1696">
        <v>284.37959999999998</v>
      </c>
      <c r="M1696">
        <v>-0.9997393</v>
      </c>
      <c r="N1696">
        <v>-1.5436780000000001E-2</v>
      </c>
      <c r="O1696">
        <v>1.682442E-2</v>
      </c>
      <c r="P1696">
        <v>-0.99700180000000005</v>
      </c>
      <c r="Q1696">
        <v>-7.6505799999999999E-2</v>
      </c>
      <c r="R1696">
        <v>1.159087E-2</v>
      </c>
      <c r="S1696">
        <v>-3.006561</v>
      </c>
      <c r="T1696">
        <v>-1.5470029999999999E-2</v>
      </c>
      <c r="U1696">
        <v>0.1000977</v>
      </c>
      <c r="V1696">
        <v>-5.2580559999999997E-3</v>
      </c>
      <c r="W1696">
        <v>-6.1099260000000002E-2</v>
      </c>
      <c r="X1696">
        <v>0.9981179</v>
      </c>
      <c r="Y1696">
        <v>1.645284E-2</v>
      </c>
      <c r="Z1696">
        <v>3.425061E-4</v>
      </c>
      <c r="AA1696">
        <v>0.99986459999999999</v>
      </c>
      <c r="AB1696">
        <v>44</v>
      </c>
      <c r="AC1696">
        <v>-201.7379</v>
      </c>
      <c r="AD1696">
        <v>-1.04023189</v>
      </c>
      <c r="AE1696">
        <v>6.7232999999999903</v>
      </c>
      <c r="AF1696">
        <v>3.3277321817228498</v>
      </c>
      <c r="AG1696">
        <v>-1.04023189</v>
      </c>
      <c r="AH1696">
        <v>201.81710824226201</v>
      </c>
      <c r="AI1696">
        <v>90.295278578644002</v>
      </c>
      <c r="AJ1696">
        <v>89.055344047057105</v>
      </c>
      <c r="AK1696">
        <v>201.84722208424699</v>
      </c>
      <c r="AL1696">
        <v>93.502911312453904</v>
      </c>
      <c r="AM1696">
        <v>90.301829704127798</v>
      </c>
      <c r="AN1696">
        <v>1.00000005451292</v>
      </c>
    </row>
    <row r="1697" spans="1:40" x14ac:dyDescent="0.25">
      <c r="A1697" t="str">
        <f>"20190303154455614"</f>
        <v>20190303154455614</v>
      </c>
      <c r="B1697" t="str">
        <f>"1551599095602689"</f>
        <v>1551599095602689</v>
      </c>
      <c r="C1697" t="s">
        <v>40</v>
      </c>
      <c r="D1697">
        <v>4.8549749999999996</v>
      </c>
      <c r="E1697">
        <v>0.50692619999999999</v>
      </c>
      <c r="F1697" t="s">
        <v>57</v>
      </c>
      <c r="G1697">
        <v>-436.05020000000002</v>
      </c>
      <c r="H1697" s="1">
        <v>4.5617249999999999E-6</v>
      </c>
      <c r="I1697">
        <v>288.48559999999998</v>
      </c>
      <c r="J1697">
        <v>-299.42</v>
      </c>
      <c r="K1697">
        <v>1.1203000000000001</v>
      </c>
      <c r="L1697">
        <v>284.38780000000003</v>
      </c>
      <c r="M1697">
        <v>-0.99973540000000005</v>
      </c>
      <c r="N1697">
        <v>-1.543842E-2</v>
      </c>
      <c r="O1697">
        <v>1.7062629999999999E-2</v>
      </c>
      <c r="P1697">
        <v>-0.9970405</v>
      </c>
      <c r="Q1697">
        <v>-7.6082540000000004E-2</v>
      </c>
      <c r="R1697">
        <v>1.1047110000000001E-2</v>
      </c>
      <c r="S1697">
        <v>-3.0060730000000002</v>
      </c>
      <c r="T1697">
        <v>-2.456212E-2</v>
      </c>
      <c r="U1697">
        <v>9.002686E-2</v>
      </c>
      <c r="V1697">
        <v>-6.0311369999999998E-3</v>
      </c>
      <c r="W1697">
        <v>-6.0673879999999999E-2</v>
      </c>
      <c r="X1697">
        <v>0.99813940000000001</v>
      </c>
      <c r="Y1697">
        <v>1.2872750000000001E-2</v>
      </c>
      <c r="Z1697">
        <v>2.760169E-4</v>
      </c>
      <c r="AA1697">
        <v>0.9999171</v>
      </c>
      <c r="AB1697">
        <v>44</v>
      </c>
      <c r="AC1697">
        <v>-136.6302</v>
      </c>
      <c r="AD1697">
        <v>-1.1202954382750001</v>
      </c>
      <c r="AE1697">
        <v>4.0977999999999497</v>
      </c>
      <c r="AF1697">
        <v>1.76553670250299</v>
      </c>
      <c r="AG1697">
        <v>-1.1202954382750001</v>
      </c>
      <c r="AH1697">
        <v>136.671052261195</v>
      </c>
      <c r="AI1697">
        <v>90.469604989534801</v>
      </c>
      <c r="AJ1697">
        <v>89.259885882946904</v>
      </c>
      <c r="AK1697">
        <v>136.68704659878799</v>
      </c>
      <c r="AL1697">
        <v>93.478493798600297</v>
      </c>
      <c r="AM1697">
        <v>90.346198627534093</v>
      </c>
      <c r="AN1697">
        <v>0.99999997808006302</v>
      </c>
    </row>
    <row r="1698" spans="1:40" x14ac:dyDescent="0.25">
      <c r="A1698" t="str">
        <f>"20190303154455636"</f>
        <v>20190303154455636</v>
      </c>
      <c r="B1698" t="str">
        <f>"1551599095631969"</f>
        <v>1551599095631969</v>
      </c>
      <c r="C1698" t="s">
        <v>40</v>
      </c>
      <c r="D1698">
        <v>4.8490589999999996</v>
      </c>
      <c r="E1698">
        <v>0.50667890000000004</v>
      </c>
      <c r="F1698" t="s">
        <v>57</v>
      </c>
      <c r="G1698">
        <v>-411.25569999999999</v>
      </c>
      <c r="H1698" s="1">
        <v>2.1753830000000001E-6</v>
      </c>
      <c r="I1698">
        <v>287.51150000000001</v>
      </c>
      <c r="J1698">
        <v>-299.86320000000001</v>
      </c>
      <c r="K1698">
        <v>1.120366</v>
      </c>
      <c r="L1698">
        <v>284.39550000000003</v>
      </c>
      <c r="M1698">
        <v>-0.99973230000000002</v>
      </c>
      <c r="N1698">
        <v>-1.5439049999999999E-2</v>
      </c>
      <c r="O1698">
        <v>1.7234389999999999E-2</v>
      </c>
      <c r="P1698">
        <v>-0.9970774</v>
      </c>
      <c r="Q1698">
        <v>-7.5611460000000005E-2</v>
      </c>
      <c r="R1698">
        <v>1.0931939999999999E-2</v>
      </c>
      <c r="S1698">
        <v>-3.0056759999999998</v>
      </c>
      <c r="T1698">
        <v>-3.0108929999999999E-2</v>
      </c>
      <c r="U1698">
        <v>8.3953860000000005E-2</v>
      </c>
      <c r="V1698">
        <v>-6.3092720000000003E-3</v>
      </c>
      <c r="W1698">
        <v>-6.02023E-2</v>
      </c>
      <c r="X1698">
        <v>0.99816629999999995</v>
      </c>
      <c r="Y1698">
        <v>1.06859E-2</v>
      </c>
      <c r="Z1698">
        <v>2.2951460000000001E-4</v>
      </c>
      <c r="AA1698">
        <v>0.99994289999999997</v>
      </c>
      <c r="AB1698">
        <v>44</v>
      </c>
      <c r="AC1698">
        <v>-111.392499999999</v>
      </c>
      <c r="AD1698">
        <v>-1.120363824617</v>
      </c>
      <c r="AE1698">
        <v>3.1159999999999801</v>
      </c>
      <c r="AF1698">
        <v>1.1954056846972301</v>
      </c>
      <c r="AG1698">
        <v>-1.120363824617</v>
      </c>
      <c r="AH1698">
        <v>111.418398246794</v>
      </c>
      <c r="AI1698">
        <v>90.576083145644503</v>
      </c>
      <c r="AJ1698">
        <v>89.385298355128</v>
      </c>
      <c r="AK1698">
        <v>111.430443226847</v>
      </c>
      <c r="AL1698">
        <v>93.451424545605406</v>
      </c>
      <c r="AM1698">
        <v>90.362153924865495</v>
      </c>
      <c r="AN1698">
        <v>1.0000000431470699</v>
      </c>
    </row>
    <row r="1699" spans="1:40" x14ac:dyDescent="0.25">
      <c r="A1699" t="str">
        <f>"20190303154455657"</f>
        <v>20190303154455657</v>
      </c>
      <c r="B1699" t="str">
        <f>"1551599095652466"</f>
        <v>1551599095652466</v>
      </c>
      <c r="C1699" t="s">
        <v>40</v>
      </c>
      <c r="D1699">
        <v>4.8635630000000001</v>
      </c>
      <c r="E1699">
        <v>0.50666520000000004</v>
      </c>
      <c r="F1699" t="s">
        <v>55</v>
      </c>
      <c r="G1699">
        <v>-396.22460000000001</v>
      </c>
      <c r="H1699" s="1">
        <v>1.7756429999999999E-6</v>
      </c>
      <c r="I1699">
        <v>287.02480000000003</v>
      </c>
      <c r="J1699">
        <v>-300.27949999999998</v>
      </c>
      <c r="K1699">
        <v>1.120425</v>
      </c>
      <c r="L1699">
        <v>284.40280000000001</v>
      </c>
      <c r="M1699">
        <v>-0.99973020000000001</v>
      </c>
      <c r="N1699">
        <v>-1.543892E-2</v>
      </c>
      <c r="O1699">
        <v>1.7351889999999998E-2</v>
      </c>
      <c r="P1699">
        <v>-0.99708090000000005</v>
      </c>
      <c r="Q1699">
        <v>-7.5544620000000007E-2</v>
      </c>
      <c r="R1699">
        <v>1.1075949999999999E-2</v>
      </c>
      <c r="S1699">
        <v>-3.0052490000000001</v>
      </c>
      <c r="T1699">
        <v>-3.4941079999999999E-2</v>
      </c>
      <c r="U1699">
        <v>8.2000729999999994E-2</v>
      </c>
      <c r="V1699">
        <v>-6.2745519999999897E-3</v>
      </c>
      <c r="W1699">
        <v>-6.01364E-2</v>
      </c>
      <c r="X1699">
        <v>0.99817040000000001</v>
      </c>
      <c r="Y1699">
        <v>9.9226450000000008E-3</v>
      </c>
      <c r="Z1699">
        <v>2.0050189999999999E-4</v>
      </c>
      <c r="AA1699">
        <v>0.99995080000000003</v>
      </c>
      <c r="AB1699">
        <v>44</v>
      </c>
      <c r="AC1699">
        <v>-95.945099999999996</v>
      </c>
      <c r="AD1699">
        <v>-1.120423224357</v>
      </c>
      <c r="AE1699">
        <v>2.6220000000000101</v>
      </c>
      <c r="AF1699">
        <v>0.95644747941082697</v>
      </c>
      <c r="AG1699">
        <v>-1.120423224357</v>
      </c>
      <c r="AH1699">
        <v>95.963076872954105</v>
      </c>
      <c r="AI1699">
        <v>90.668897033007696</v>
      </c>
      <c r="AJ1699">
        <v>89.428961729774798</v>
      </c>
      <c r="AK1699">
        <v>95.9743833682043</v>
      </c>
      <c r="AL1699">
        <v>93.447642214985194</v>
      </c>
      <c r="AM1699">
        <v>90.360159560759897</v>
      </c>
      <c r="AN1699">
        <v>0.99999995202195902</v>
      </c>
    </row>
    <row r="1700" spans="1:40" x14ac:dyDescent="0.25">
      <c r="A1700" t="str">
        <f>"20190303154455678"</f>
        <v>20190303154455678</v>
      </c>
      <c r="B1700" t="str">
        <f>"1551599095671985"</f>
        <v>1551599095671985</v>
      </c>
      <c r="C1700" t="s">
        <v>40</v>
      </c>
      <c r="D1700">
        <v>4.8425000000000002</v>
      </c>
      <c r="E1700">
        <v>0.50644469999999997</v>
      </c>
      <c r="F1700" t="s">
        <v>55</v>
      </c>
      <c r="G1700">
        <v>-395.8</v>
      </c>
      <c r="H1700" s="1">
        <v>1.5497110000000001E-6</v>
      </c>
      <c r="I1700">
        <v>287.01979999999998</v>
      </c>
      <c r="J1700">
        <v>-300.70359999999999</v>
      </c>
      <c r="K1700">
        <v>1.120484</v>
      </c>
      <c r="L1700">
        <v>284.41030000000001</v>
      </c>
      <c r="M1700">
        <v>-0.99972899999999998</v>
      </c>
      <c r="N1700">
        <v>-1.5438199999999999E-2</v>
      </c>
      <c r="O1700">
        <v>1.7433629999999999E-2</v>
      </c>
      <c r="P1700">
        <v>-0.99708640000000004</v>
      </c>
      <c r="Q1700">
        <v>-7.5424950000000004E-2</v>
      </c>
      <c r="R1700">
        <v>1.1407540000000001E-2</v>
      </c>
      <c r="S1700">
        <v>-3.0052490000000001</v>
      </c>
      <c r="T1700">
        <v>-3.5250539999999997E-2</v>
      </c>
      <c r="U1700">
        <v>8.2336430000000002E-2</v>
      </c>
      <c r="V1700">
        <v>-6.0166219999999897E-3</v>
      </c>
      <c r="W1700">
        <v>-6.0018290000000002E-2</v>
      </c>
      <c r="X1700">
        <v>0.99817909999999999</v>
      </c>
      <c r="Y1700">
        <v>9.9524690000000002E-3</v>
      </c>
      <c r="Z1700">
        <v>1.9991909999999999E-4</v>
      </c>
      <c r="AA1700">
        <v>0.99995049999999996</v>
      </c>
      <c r="AB1700">
        <v>44</v>
      </c>
      <c r="AC1700">
        <v>-95.096400000000003</v>
      </c>
      <c r="AD1700">
        <v>-1.1204824502890001</v>
      </c>
      <c r="AE1700">
        <v>2.6094999999999602</v>
      </c>
      <c r="AF1700">
        <v>0.95089863709394695</v>
      </c>
      <c r="AG1700">
        <v>-1.1204824502890001</v>
      </c>
      <c r="AH1700">
        <v>95.114247805219506</v>
      </c>
      <c r="AI1700">
        <v>90.674901392234702</v>
      </c>
      <c r="AJ1700">
        <v>89.427208174751399</v>
      </c>
      <c r="AK1700">
        <v>95.125600259300001</v>
      </c>
      <c r="AL1700">
        <v>93.440862753375697</v>
      </c>
      <c r="AM1700">
        <v>90.345351723703502</v>
      </c>
      <c r="AN1700">
        <v>0.99999995527581098</v>
      </c>
    </row>
    <row r="1701" spans="1:40" x14ac:dyDescent="0.25">
      <c r="A1701" t="str">
        <f>"20190303154455702"</f>
        <v>20190303154455702</v>
      </c>
      <c r="B1701" t="str">
        <f>"1551599095692485"</f>
        <v>1551599095692485</v>
      </c>
      <c r="C1701" t="s">
        <v>40</v>
      </c>
      <c r="D1701">
        <v>4.8756559999999904</v>
      </c>
      <c r="E1701">
        <v>0.50621740000000004</v>
      </c>
      <c r="F1701" t="s">
        <v>55</v>
      </c>
      <c r="G1701">
        <v>-389.14400000000001</v>
      </c>
      <c r="H1701" s="1">
        <v>3.3292069999999998E-6</v>
      </c>
      <c r="I1701">
        <v>286.80840000000001</v>
      </c>
      <c r="J1701">
        <v>-301.15320000000003</v>
      </c>
      <c r="K1701">
        <v>1.1205430000000001</v>
      </c>
      <c r="L1701">
        <v>284.41820000000001</v>
      </c>
      <c r="M1701">
        <v>-0.99972830000000001</v>
      </c>
      <c r="N1701">
        <v>-1.5436999999999999E-2</v>
      </c>
      <c r="O1701">
        <v>1.7472350000000001E-2</v>
      </c>
      <c r="P1701">
        <v>-0.99707349999999995</v>
      </c>
      <c r="Q1701">
        <v>-7.5416590000000006E-2</v>
      </c>
      <c r="R1701">
        <v>1.255008E-2</v>
      </c>
      <c r="S1701">
        <v>-3.0049130000000002</v>
      </c>
      <c r="T1701">
        <v>-3.8070199999999998E-2</v>
      </c>
      <c r="U1701">
        <v>8.1481929999999994E-2</v>
      </c>
      <c r="V1701">
        <v>-4.9038049999999998E-3</v>
      </c>
      <c r="W1701">
        <v>-6.0012389999999999E-2</v>
      </c>
      <c r="X1701">
        <v>0.99818560000000001</v>
      </c>
      <c r="Y1701">
        <v>9.6324740000000002E-3</v>
      </c>
      <c r="Z1701">
        <v>1.8380180000000001E-4</v>
      </c>
      <c r="AA1701">
        <v>0.9999536</v>
      </c>
      <c r="AB1701">
        <v>44</v>
      </c>
      <c r="AC1701">
        <v>-87.990799999999894</v>
      </c>
      <c r="AD1701">
        <v>-1.120539670793</v>
      </c>
      <c r="AE1701">
        <v>2.3901999999999899</v>
      </c>
      <c r="AF1701">
        <v>0.85210788254104997</v>
      </c>
      <c r="AG1701">
        <v>-1.120539670793</v>
      </c>
      <c r="AH1701">
        <v>88.004870574452994</v>
      </c>
      <c r="AI1701">
        <v>90.729456398267104</v>
      </c>
      <c r="AJ1701">
        <v>89.445250479688596</v>
      </c>
      <c r="AK1701">
        <v>88.016128873198696</v>
      </c>
      <c r="AL1701">
        <v>93.4405238984547</v>
      </c>
      <c r="AM1701">
        <v>90.281475779378098</v>
      </c>
      <c r="AN1701">
        <v>1.00000001315217</v>
      </c>
    </row>
    <row r="1702" spans="1:40" x14ac:dyDescent="0.25">
      <c r="A1702" t="str">
        <f>"20190303154455723"</f>
        <v>20190303154455723</v>
      </c>
      <c r="B1702" t="str">
        <f>"1551599095712008"</f>
        <v>1551599095712008</v>
      </c>
      <c r="C1702" t="s">
        <v>40</v>
      </c>
      <c r="D1702">
        <v>4.8712419999999996</v>
      </c>
      <c r="E1702">
        <v>0.50616149999999904</v>
      </c>
      <c r="F1702" t="s">
        <v>55</v>
      </c>
      <c r="G1702">
        <v>-383.37240000000003</v>
      </c>
      <c r="H1702" s="1">
        <v>2.578189E-7</v>
      </c>
      <c r="I1702">
        <v>286.69619999999998</v>
      </c>
      <c r="J1702">
        <v>-301.5795</v>
      </c>
      <c r="K1702">
        <v>1.1205989999999999</v>
      </c>
      <c r="L1702">
        <v>284.42570000000001</v>
      </c>
      <c r="M1702">
        <v>-0.99972870000000003</v>
      </c>
      <c r="N1702">
        <v>-1.54352E-2</v>
      </c>
      <c r="O1702">
        <v>1.7451789999999998E-2</v>
      </c>
      <c r="P1702">
        <v>-0.99709729999999996</v>
      </c>
      <c r="Q1702">
        <v>-7.4834590000000006E-2</v>
      </c>
      <c r="R1702">
        <v>1.40421E-2</v>
      </c>
      <c r="S1702">
        <v>-3.0046689999999998</v>
      </c>
      <c r="T1702">
        <v>-4.0949819999999998E-2</v>
      </c>
      <c r="U1702">
        <v>8.3251950000000005E-2</v>
      </c>
      <c r="V1702">
        <v>-3.3836629999999999E-3</v>
      </c>
      <c r="W1702">
        <v>-5.9432659999999998E-2</v>
      </c>
      <c r="X1702">
        <v>0.99822659999999996</v>
      </c>
      <c r="Y1702">
        <v>1.0243510000000001E-2</v>
      </c>
      <c r="Z1702">
        <v>1.8046819999999999E-4</v>
      </c>
      <c r="AA1702">
        <v>0.99994749999999999</v>
      </c>
      <c r="AB1702">
        <v>44</v>
      </c>
      <c r="AC1702">
        <v>-81.792900000000003</v>
      </c>
      <c r="AD1702">
        <v>-1.1205987421810999</v>
      </c>
      <c r="AE1702">
        <v>2.27049999999997</v>
      </c>
      <c r="AF1702">
        <v>0.84239375513139103</v>
      </c>
      <c r="AG1702">
        <v>-1.1205987421810999</v>
      </c>
      <c r="AH1702">
        <v>81.804726371610599</v>
      </c>
      <c r="AI1702">
        <v>90.784773233069103</v>
      </c>
      <c r="AJ1702">
        <v>89.4100108506764</v>
      </c>
      <c r="AK1702">
        <v>81.816738052269798</v>
      </c>
      <c r="AL1702">
        <v>93.407248404829701</v>
      </c>
      <c r="AM1702">
        <v>90.194213284524807</v>
      </c>
      <c r="AN1702">
        <v>1.00000001759876</v>
      </c>
    </row>
    <row r="1703" spans="1:40" x14ac:dyDescent="0.25">
      <c r="A1703" t="str">
        <f>"20190303154455746"</f>
        <v>20190303154455746</v>
      </c>
      <c r="B1703" t="str">
        <f>"1551599095742258"</f>
        <v>1551599095742258</v>
      </c>
      <c r="C1703" t="s">
        <v>40</v>
      </c>
      <c r="D1703">
        <v>4.9148440000000004</v>
      </c>
      <c r="E1703">
        <v>0.5059553</v>
      </c>
      <c r="F1703" t="s">
        <v>55</v>
      </c>
      <c r="G1703">
        <v>-383.72399999999999</v>
      </c>
      <c r="H1703" s="1">
        <v>4.449469E-7</v>
      </c>
      <c r="I1703">
        <v>286.81450000000001</v>
      </c>
      <c r="J1703">
        <v>-302.00349999999997</v>
      </c>
      <c r="K1703">
        <v>1.1206590000000001</v>
      </c>
      <c r="L1703">
        <v>284.43299999999999</v>
      </c>
      <c r="M1703">
        <v>-0.9997298</v>
      </c>
      <c r="N1703">
        <v>-1.5433000000000001E-2</v>
      </c>
      <c r="O1703">
        <v>1.7385749999999998E-2</v>
      </c>
      <c r="P1703">
        <v>-0.99712339999999999</v>
      </c>
      <c r="Q1703">
        <v>-7.4441660000000007E-2</v>
      </c>
      <c r="R1703">
        <v>1.4264560000000001E-2</v>
      </c>
      <c r="S1703">
        <v>-3.0044559999999998</v>
      </c>
      <c r="T1703">
        <v>-4.0986179999999997E-2</v>
      </c>
      <c r="U1703">
        <v>8.7371829999999998E-2</v>
      </c>
      <c r="V1703">
        <v>-3.0876670000000001E-3</v>
      </c>
      <c r="W1703">
        <v>-5.9042039999999997E-2</v>
      </c>
      <c r="X1703">
        <v>0.99825070000000005</v>
      </c>
      <c r="Y1703">
        <v>1.168131E-2</v>
      </c>
      <c r="Z1703">
        <v>2.0104310000000001E-4</v>
      </c>
      <c r="AA1703">
        <v>0.99993180000000004</v>
      </c>
      <c r="AB1703">
        <v>44</v>
      </c>
      <c r="AC1703">
        <v>-81.720500000000001</v>
      </c>
      <c r="AD1703">
        <v>-1.1206585550531001</v>
      </c>
      <c r="AE1703">
        <v>2.3815000000000102</v>
      </c>
      <c r="AF1703">
        <v>0.96001825344354397</v>
      </c>
      <c r="AG1703">
        <v>-1.1206585550531001</v>
      </c>
      <c r="AH1703">
        <v>81.734197151505001</v>
      </c>
      <c r="AI1703">
        <v>90.785479722721803</v>
      </c>
      <c r="AJ1703">
        <v>89.327056889059094</v>
      </c>
      <c r="AK1703">
        <v>81.747516749103994</v>
      </c>
      <c r="AL1703">
        <v>93.384828289887096</v>
      </c>
      <c r="AM1703">
        <v>90.177219733951105</v>
      </c>
      <c r="AN1703">
        <v>0.99999997811267705</v>
      </c>
    </row>
    <row r="1704" spans="1:40" x14ac:dyDescent="0.25">
      <c r="A1704" t="str">
        <f>"20190303154455769"</f>
        <v>20190303154455769</v>
      </c>
      <c r="B1704" t="str">
        <f>"1551599095761778"</f>
        <v>1551599095761778</v>
      </c>
      <c r="C1704" t="s">
        <v>40</v>
      </c>
      <c r="D1704">
        <v>4.8751030000000002</v>
      </c>
      <c r="E1704">
        <v>0.50608609999999998</v>
      </c>
      <c r="F1704" t="s">
        <v>55</v>
      </c>
      <c r="G1704">
        <v>-378.7371</v>
      </c>
      <c r="H1704" s="1">
        <v>3.112667E-6</v>
      </c>
      <c r="I1704">
        <v>286.64519999999999</v>
      </c>
      <c r="J1704">
        <v>-302.464</v>
      </c>
      <c r="K1704">
        <v>1.1207240000000001</v>
      </c>
      <c r="L1704">
        <v>284.4409</v>
      </c>
      <c r="M1704">
        <v>-0.99973199999999995</v>
      </c>
      <c r="N1704">
        <v>-1.543021E-2</v>
      </c>
      <c r="O1704">
        <v>1.7260669999999999E-2</v>
      </c>
      <c r="P1704">
        <v>-0.99709930000000002</v>
      </c>
      <c r="Q1704">
        <v>-7.4728849999999999E-2</v>
      </c>
      <c r="R1704">
        <v>1.444464E-2</v>
      </c>
      <c r="S1704">
        <v>-3.0042110000000002</v>
      </c>
      <c r="T1704">
        <v>-4.3874980000000001E-2</v>
      </c>
      <c r="U1704">
        <v>8.6608889999999994E-2</v>
      </c>
      <c r="V1704">
        <v>-2.7739330000000001E-3</v>
      </c>
      <c r="W1704">
        <v>-5.9332790000000003E-2</v>
      </c>
      <c r="X1704">
        <v>0.99823439999999997</v>
      </c>
      <c r="Y1704">
        <v>1.155481E-2</v>
      </c>
      <c r="Z1704">
        <v>1.878653E-4</v>
      </c>
      <c r="AA1704">
        <v>0.99993319999999997</v>
      </c>
      <c r="AB1704">
        <v>44</v>
      </c>
      <c r="AC1704">
        <v>-76.273099999999999</v>
      </c>
      <c r="AD1704">
        <v>-1.1207208873329999</v>
      </c>
      <c r="AE1704">
        <v>2.2042999999999799</v>
      </c>
      <c r="AF1704">
        <v>0.88709866673887805</v>
      </c>
      <c r="AG1704">
        <v>-1.1207208873329999</v>
      </c>
      <c r="AH1704">
        <v>76.283330813804895</v>
      </c>
      <c r="AI1704">
        <v>90.841646744813104</v>
      </c>
      <c r="AJ1704">
        <v>89.3337375533211</v>
      </c>
      <c r="AK1704">
        <v>76.2967202401272</v>
      </c>
      <c r="AL1704">
        <v>93.401516233197995</v>
      </c>
      <c r="AM1704">
        <v>90.159215355089799</v>
      </c>
      <c r="AN1704">
        <v>0.99999999600841605</v>
      </c>
    </row>
    <row r="1705" spans="1:40" x14ac:dyDescent="0.25">
      <c r="A1705" t="str">
        <f>"20190303154455790"</f>
        <v>20190303154455790</v>
      </c>
      <c r="B1705" t="str">
        <f>"1551599095782273"</f>
        <v>1551599095782273</v>
      </c>
      <c r="C1705" t="s">
        <v>40</v>
      </c>
      <c r="D1705">
        <v>4.895111</v>
      </c>
      <c r="E1705">
        <v>0.50611329999999999</v>
      </c>
      <c r="F1705" t="s">
        <v>55</v>
      </c>
      <c r="G1705">
        <v>-381.24849999999998</v>
      </c>
      <c r="H1705" s="1">
        <v>-8.7240489999999999E-7</v>
      </c>
      <c r="I1705">
        <v>286.75299999999999</v>
      </c>
      <c r="J1705">
        <v>-302.8698</v>
      </c>
      <c r="K1705">
        <v>1.1207739999999999</v>
      </c>
      <c r="L1705">
        <v>284.44779999999997</v>
      </c>
      <c r="M1705">
        <v>-0.99973469999999998</v>
      </c>
      <c r="N1705">
        <v>-1.5427450000000001E-2</v>
      </c>
      <c r="O1705">
        <v>1.7104899999999999E-2</v>
      </c>
      <c r="P1705">
        <v>-0.99705659999999896</v>
      </c>
      <c r="Q1705">
        <v>-7.5271130000000006E-2</v>
      </c>
      <c r="R1705">
        <v>1.457524E-2</v>
      </c>
      <c r="S1705">
        <v>-3.0042420000000001</v>
      </c>
      <c r="T1705">
        <v>-4.2735929999999998E-2</v>
      </c>
      <c r="U1705">
        <v>8.8165279999999999E-2</v>
      </c>
      <c r="V1705">
        <v>-2.4792109999999998E-3</v>
      </c>
      <c r="W1705">
        <v>-5.9878729999999998E-2</v>
      </c>
      <c r="X1705">
        <v>0.99820260000000005</v>
      </c>
      <c r="Y1705">
        <v>1.222787E-2</v>
      </c>
      <c r="Z1705">
        <v>2.019465E-4</v>
      </c>
      <c r="AA1705">
        <v>0.99992519999999996</v>
      </c>
      <c r="AB1705">
        <v>44</v>
      </c>
      <c r="AC1705">
        <v>-78.378699999999895</v>
      </c>
      <c r="AD1705">
        <v>-1.12077487240489</v>
      </c>
      <c r="AE1705">
        <v>2.3052000000000099</v>
      </c>
      <c r="AF1705">
        <v>0.96384639729482602</v>
      </c>
      <c r="AG1705">
        <v>-1.12077487240489</v>
      </c>
      <c r="AH1705">
        <v>78.390650321921498</v>
      </c>
      <c r="AI1705">
        <v>90.819057404207996</v>
      </c>
      <c r="AJ1705">
        <v>89.295559511272501</v>
      </c>
      <c r="AK1705">
        <v>78.404586562815098</v>
      </c>
      <c r="AL1705">
        <v>93.432851925217605</v>
      </c>
      <c r="AM1705">
        <v>90.142303811612706</v>
      </c>
      <c r="AN1705">
        <v>1.0000000197201699</v>
      </c>
    </row>
    <row r="1706" spans="1:40" x14ac:dyDescent="0.25">
      <c r="A1706" t="str">
        <f>"20190303154455814"</f>
        <v>20190303154455814</v>
      </c>
      <c r="B1706" t="str">
        <f>"1551599095802373"</f>
        <v>1551599095802373</v>
      </c>
      <c r="C1706" t="s">
        <v>40</v>
      </c>
      <c r="D1706">
        <v>4.9175930000000001</v>
      </c>
      <c r="E1706">
        <v>0.50595489999999999</v>
      </c>
      <c r="F1706" t="s">
        <v>55</v>
      </c>
      <c r="G1706">
        <v>-380.2774</v>
      </c>
      <c r="H1706" s="1">
        <v>-1.38917E-6</v>
      </c>
      <c r="I1706">
        <v>286.73680000000002</v>
      </c>
      <c r="J1706">
        <v>-303.32729999999998</v>
      </c>
      <c r="K1706">
        <v>1.120835</v>
      </c>
      <c r="L1706">
        <v>284.45549999999997</v>
      </c>
      <c r="M1706">
        <v>-0.99973860000000003</v>
      </c>
      <c r="N1706">
        <v>-1.542409E-2</v>
      </c>
      <c r="O1706">
        <v>1.6883539999999999E-2</v>
      </c>
      <c r="P1706">
        <v>-0.99705670000000002</v>
      </c>
      <c r="Q1706">
        <v>-7.5250479999999995E-2</v>
      </c>
      <c r="R1706">
        <v>1.4681990000000001E-2</v>
      </c>
      <c r="S1706">
        <v>-3.0042420000000001</v>
      </c>
      <c r="T1706">
        <v>-4.3498040000000002E-2</v>
      </c>
      <c r="U1706">
        <v>8.8836670000000006E-2</v>
      </c>
      <c r="V1706">
        <v>-2.1431710000000001E-3</v>
      </c>
      <c r="W1706">
        <v>-5.9861650000000002E-2</v>
      </c>
      <c r="X1706">
        <v>0.99820439999999999</v>
      </c>
      <c r="Y1706">
        <v>1.267238E-2</v>
      </c>
      <c r="Z1706">
        <v>2.0551750000000001E-4</v>
      </c>
      <c r="AA1706">
        <v>0.99991969999999997</v>
      </c>
      <c r="AB1706">
        <v>44</v>
      </c>
      <c r="AC1706">
        <v>-76.950100000000006</v>
      </c>
      <c r="AD1706">
        <v>-1.1208363891699999</v>
      </c>
      <c r="AE1706">
        <v>2.2813000000000399</v>
      </c>
      <c r="AF1706">
        <v>0.98142220267467895</v>
      </c>
      <c r="AG1706">
        <v>-1.1208363891699999</v>
      </c>
      <c r="AH1706">
        <v>76.961336269634401</v>
      </c>
      <c r="AI1706">
        <v>90.8343076952915</v>
      </c>
      <c r="AJ1706">
        <v>89.269395451088101</v>
      </c>
      <c r="AK1706">
        <v>76.975754261708502</v>
      </c>
      <c r="AL1706">
        <v>93.4318715631901</v>
      </c>
      <c r="AM1706">
        <v>90.123015350756106</v>
      </c>
      <c r="AN1706">
        <v>1.000000017251</v>
      </c>
    </row>
    <row r="1707" spans="1:40" x14ac:dyDescent="0.25">
      <c r="A1707" t="str">
        <f>"20190303154455837"</f>
        <v>20190303154455837</v>
      </c>
      <c r="B1707" t="str">
        <f>"1551599095832615"</f>
        <v>1551599095832615</v>
      </c>
      <c r="C1707" t="s">
        <v>40</v>
      </c>
      <c r="D1707">
        <v>4.9005519999999896</v>
      </c>
      <c r="E1707">
        <v>0.50555909999999904</v>
      </c>
      <c r="F1707" t="s">
        <v>55</v>
      </c>
      <c r="G1707">
        <v>-378.52229999999997</v>
      </c>
      <c r="H1707" s="1">
        <v>2.998356E-6</v>
      </c>
      <c r="I1707">
        <v>286.65609999999998</v>
      </c>
      <c r="J1707">
        <v>-303.77440000000001</v>
      </c>
      <c r="K1707">
        <v>1.120895</v>
      </c>
      <c r="L1707">
        <v>284.46280000000002</v>
      </c>
      <c r="M1707">
        <v>-0.99974289999999999</v>
      </c>
      <c r="N1707">
        <v>-1.5420440000000001E-2</v>
      </c>
      <c r="O1707">
        <v>1.6631900000000002E-2</v>
      </c>
      <c r="P1707">
        <v>-0.99712630000000002</v>
      </c>
      <c r="Q1707">
        <v>-7.4479199999999995E-2</v>
      </c>
      <c r="R1707">
        <v>1.3862930000000001E-2</v>
      </c>
      <c r="S1707">
        <v>-3.0042420000000001</v>
      </c>
      <c r="T1707">
        <v>-4.4780250000000001E-2</v>
      </c>
      <c r="U1707">
        <v>8.7921139999999995E-2</v>
      </c>
      <c r="V1707">
        <v>-2.7054280000000002E-3</v>
      </c>
      <c r="W1707">
        <v>-5.9093699999999999E-2</v>
      </c>
      <c r="X1707">
        <v>0.99824880000000005</v>
      </c>
      <c r="Y1707">
        <v>1.2619490000000001E-2</v>
      </c>
      <c r="Z1707">
        <v>1.999995E-4</v>
      </c>
      <c r="AA1707">
        <v>0.99992040000000004</v>
      </c>
      <c r="AB1707">
        <v>43</v>
      </c>
      <c r="AC1707">
        <v>-74.747899999999902</v>
      </c>
      <c r="AD1707">
        <v>-1.120892001644</v>
      </c>
      <c r="AE1707">
        <v>2.1932999999999598</v>
      </c>
      <c r="AF1707">
        <v>0.94943597362769105</v>
      </c>
      <c r="AG1707">
        <v>-1.120892001644</v>
      </c>
      <c r="AH1707">
        <v>74.757245397793596</v>
      </c>
      <c r="AI1707">
        <v>90.858945390388996</v>
      </c>
      <c r="AJ1707">
        <v>89.272368190808905</v>
      </c>
      <c r="AK1707">
        <v>74.771676235144696</v>
      </c>
      <c r="AL1707">
        <v>93.387793205597404</v>
      </c>
      <c r="AM1707">
        <v>90.155281155019395</v>
      </c>
      <c r="AN1707">
        <v>1.0000000257108901</v>
      </c>
    </row>
    <row r="1708" spans="1:40" x14ac:dyDescent="0.25">
      <c r="A1708" t="str">
        <f>"20190303154455870"</f>
        <v>20190303154455870</v>
      </c>
      <c r="B1708" t="str">
        <f>"1551599095861895"</f>
        <v>1551599095861895</v>
      </c>
      <c r="C1708" t="s">
        <v>40</v>
      </c>
      <c r="D1708">
        <v>4.9812479999999999</v>
      </c>
      <c r="E1708">
        <v>0.50552640000000004</v>
      </c>
      <c r="F1708" t="s">
        <v>55</v>
      </c>
      <c r="G1708">
        <v>-376.49990000000003</v>
      </c>
      <c r="H1708" s="1">
        <v>1.9221210000000001E-6</v>
      </c>
      <c r="I1708">
        <v>286.4554</v>
      </c>
      <c r="J1708">
        <v>-304.4144</v>
      </c>
      <c r="K1708">
        <v>1.120962</v>
      </c>
      <c r="L1708">
        <v>284.47309999999999</v>
      </c>
      <c r="M1708">
        <v>-0.99974960000000002</v>
      </c>
      <c r="N1708">
        <v>-1.541492E-2</v>
      </c>
      <c r="O1708">
        <v>1.6225730000000001E-2</v>
      </c>
      <c r="P1708">
        <v>-0.99724049999999997</v>
      </c>
      <c r="Q1708">
        <v>-7.3341939999999994E-2</v>
      </c>
      <c r="R1708">
        <v>1.15277E-2</v>
      </c>
      <c r="S1708">
        <v>-3.0040279999999999</v>
      </c>
      <c r="T1708">
        <v>-4.6300050000000002E-2</v>
      </c>
      <c r="U1708">
        <v>8.2305909999999996E-2</v>
      </c>
      <c r="V1708">
        <v>-4.6287780000000001E-3</v>
      </c>
      <c r="W1708">
        <v>-5.7962189999999997E-2</v>
      </c>
      <c r="X1708">
        <v>0.99830810000000003</v>
      </c>
      <c r="Y1708">
        <v>1.1160410000000001E-2</v>
      </c>
      <c r="Z1708">
        <v>1.7214509999999999E-4</v>
      </c>
      <c r="AA1708">
        <v>0.99993770000000004</v>
      </c>
      <c r="AB1708">
        <v>43</v>
      </c>
      <c r="AC1708">
        <v>-72.085499999999996</v>
      </c>
      <c r="AD1708">
        <v>-1.1209600778790001</v>
      </c>
      <c r="AE1708">
        <v>1.9823</v>
      </c>
      <c r="AF1708">
        <v>0.81206399733507295</v>
      </c>
      <c r="AG1708">
        <v>-1.1209600778790001</v>
      </c>
      <c r="AH1708">
        <v>72.090756572470596</v>
      </c>
      <c r="AI1708">
        <v>90.890780394642704</v>
      </c>
      <c r="AJ1708">
        <v>89.354620839638997</v>
      </c>
      <c r="AK1708">
        <v>72.104044148876895</v>
      </c>
      <c r="AL1708">
        <v>93.322851043912806</v>
      </c>
      <c r="AM1708">
        <v>90.265657008305098</v>
      </c>
      <c r="AN1708">
        <v>1.0000000517904799</v>
      </c>
    </row>
    <row r="1709" spans="1:40" x14ac:dyDescent="0.25">
      <c r="A1709" t="str">
        <f>"20190303154455893"</f>
        <v>20190303154455893</v>
      </c>
      <c r="B1709" t="str">
        <f>"1551599095882390"</f>
        <v>1551599095882390</v>
      </c>
      <c r="C1709" t="s">
        <v>40</v>
      </c>
      <c r="D1709">
        <v>4.9354050000000003</v>
      </c>
      <c r="E1709">
        <v>0.50558950000000003</v>
      </c>
      <c r="F1709" t="s">
        <v>55</v>
      </c>
      <c r="G1709">
        <v>-381.62119999999999</v>
      </c>
      <c r="H1709" s="1">
        <v>-6.740403E-7</v>
      </c>
      <c r="I1709">
        <v>286.3938</v>
      </c>
      <c r="J1709">
        <v>-304.85579999999999</v>
      </c>
      <c r="K1709">
        <v>1.1209910000000001</v>
      </c>
      <c r="L1709">
        <v>284.48</v>
      </c>
      <c r="M1709">
        <v>-0.99975440000000004</v>
      </c>
      <c r="N1709">
        <v>-1.5410999999999999E-2</v>
      </c>
      <c r="O1709">
        <v>1.5925559999999998E-2</v>
      </c>
      <c r="P1709">
        <v>-0.99726579999999998</v>
      </c>
      <c r="Q1709">
        <v>-7.3154369999999996E-2</v>
      </c>
      <c r="R1709">
        <v>1.046105E-2</v>
      </c>
      <c r="S1709">
        <v>-3.0042420000000001</v>
      </c>
      <c r="T1709">
        <v>-4.3618440000000001E-2</v>
      </c>
      <c r="U1709">
        <v>7.473755E-2</v>
      </c>
      <c r="V1709">
        <v>-5.3923859999999999E-3</v>
      </c>
      <c r="W1709">
        <v>-5.7779199999999899E-2</v>
      </c>
      <c r="X1709">
        <v>0.99831479999999995</v>
      </c>
      <c r="Y1709">
        <v>8.9420290000000006E-3</v>
      </c>
      <c r="Z1709">
        <v>1.4809639999999999E-4</v>
      </c>
      <c r="AA1709">
        <v>0.99995999999999996</v>
      </c>
      <c r="AB1709">
        <v>43</v>
      </c>
      <c r="AC1709">
        <v>-76.7654</v>
      </c>
      <c r="AD1709">
        <v>-1.1209916740403001</v>
      </c>
      <c r="AE1709">
        <v>1.91379999999998</v>
      </c>
      <c r="AF1709">
        <v>0.69073283747820002</v>
      </c>
      <c r="AG1709">
        <v>-1.1209916740403001</v>
      </c>
      <c r="AH1709">
        <v>76.769783862200299</v>
      </c>
      <c r="AI1709">
        <v>90.836539133291495</v>
      </c>
      <c r="AJ1709">
        <v>89.4844975917715</v>
      </c>
      <c r="AK1709">
        <v>76.781074806458605</v>
      </c>
      <c r="AL1709">
        <v>93.312349137593401</v>
      </c>
      <c r="AM1709">
        <v>90.309479489437194</v>
      </c>
      <c r="AN1709">
        <v>0.99999997683922603</v>
      </c>
    </row>
    <row r="1710" spans="1:40" x14ac:dyDescent="0.25">
      <c r="A1710" t="str">
        <f>"20190303154455915"</f>
        <v>20190303154455915</v>
      </c>
      <c r="B1710" t="str">
        <f>"1551599095902436"</f>
        <v>1551599095902436</v>
      </c>
      <c r="C1710" t="s">
        <v>40</v>
      </c>
      <c r="D1710">
        <v>4.9715850000000001</v>
      </c>
      <c r="E1710">
        <v>0.50550450000000002</v>
      </c>
      <c r="F1710" t="s">
        <v>55</v>
      </c>
      <c r="G1710">
        <v>-383.91379999999998</v>
      </c>
      <c r="H1710" s="1">
        <v>5.4596480000000005E-7</v>
      </c>
      <c r="I1710">
        <v>286.37920000000003</v>
      </c>
      <c r="J1710">
        <v>-305.27719999999999</v>
      </c>
      <c r="K1710">
        <v>1.121014</v>
      </c>
      <c r="L1710">
        <v>284.48649999999998</v>
      </c>
      <c r="M1710">
        <v>-0.99975910000000001</v>
      </c>
      <c r="N1710">
        <v>-1.540716E-2</v>
      </c>
      <c r="O1710">
        <v>1.5629469999999999E-2</v>
      </c>
      <c r="P1710">
        <v>-0.99725200000000003</v>
      </c>
      <c r="Q1710">
        <v>-7.3478130000000003E-2</v>
      </c>
      <c r="R1710">
        <v>9.4460710000000003E-3</v>
      </c>
      <c r="S1710">
        <v>-3.0043329999999999</v>
      </c>
      <c r="T1710">
        <v>-4.2599440000000002E-2</v>
      </c>
      <c r="U1710">
        <v>7.2174070000000007E-2</v>
      </c>
      <c r="V1710">
        <v>-6.1082230000000003E-3</v>
      </c>
      <c r="W1710">
        <v>-5.810792E-2</v>
      </c>
      <c r="X1710">
        <v>0.99829159999999995</v>
      </c>
      <c r="Y1710">
        <v>8.3849030000000008E-3</v>
      </c>
      <c r="Z1710">
        <v>1.432982E-4</v>
      </c>
      <c r="AA1710">
        <v>0.99996479999999999</v>
      </c>
      <c r="AB1710">
        <v>43</v>
      </c>
      <c r="AC1710">
        <v>-78.636599999999902</v>
      </c>
      <c r="AD1710">
        <v>-1.1210134540351999</v>
      </c>
      <c r="AE1710">
        <v>1.89270000000004</v>
      </c>
      <c r="AF1710">
        <v>0.66313973674351001</v>
      </c>
      <c r="AG1710">
        <v>-1.1210134540351999</v>
      </c>
      <c r="AH1710">
        <v>78.640605552810101</v>
      </c>
      <c r="AI1710">
        <v>90.816660887199404</v>
      </c>
      <c r="AJ1710">
        <v>89.516862728446199</v>
      </c>
      <c r="AK1710">
        <v>78.651390751767707</v>
      </c>
      <c r="AL1710">
        <v>93.331215094697995</v>
      </c>
      <c r="AM1710">
        <v>90.350569944533305</v>
      </c>
      <c r="AN1710">
        <v>0.99999997969275101</v>
      </c>
    </row>
    <row r="1711" spans="1:40" x14ac:dyDescent="0.25">
      <c r="A1711" t="str">
        <f>"20190303154455937"</f>
        <v>20190303154455937</v>
      </c>
      <c r="B1711" t="str">
        <f>"1551599095932673"</f>
        <v>1551599095932673</v>
      </c>
      <c r="C1711" t="s">
        <v>40</v>
      </c>
      <c r="D1711">
        <v>4.9746180000000004</v>
      </c>
      <c r="E1711">
        <v>0.50554129999999997</v>
      </c>
      <c r="F1711" t="s">
        <v>55</v>
      </c>
      <c r="G1711">
        <v>-380.24</v>
      </c>
      <c r="H1711" s="1">
        <v>-1.4090639999999901E-6</v>
      </c>
      <c r="I1711">
        <v>286.20209999999997</v>
      </c>
      <c r="J1711">
        <v>-305.71890000000002</v>
      </c>
      <c r="K1711">
        <v>1.12103</v>
      </c>
      <c r="L1711">
        <v>284.49310000000003</v>
      </c>
      <c r="M1711">
        <v>-0.99976410000000004</v>
      </c>
      <c r="N1711">
        <v>-1.540301E-2</v>
      </c>
      <c r="O1711">
        <v>1.531383E-2</v>
      </c>
      <c r="P1711">
        <v>-0.99722710000000003</v>
      </c>
      <c r="Q1711">
        <v>-7.3865509999999995E-2</v>
      </c>
      <c r="R1711">
        <v>9.0705990000000004E-3</v>
      </c>
      <c r="S1711">
        <v>-3.0043030000000002</v>
      </c>
      <c r="T1711">
        <v>-4.492724E-2</v>
      </c>
      <c r="U1711">
        <v>6.8756100000000001E-2</v>
      </c>
      <c r="V1711">
        <v>-6.165205E-3</v>
      </c>
      <c r="W1711">
        <v>-5.8500150000000001E-2</v>
      </c>
      <c r="X1711">
        <v>0.99826839999999994</v>
      </c>
      <c r="Y1711">
        <v>7.5638499999999996E-3</v>
      </c>
      <c r="Z1711">
        <v>1.2174809999999999E-4</v>
      </c>
      <c r="AA1711">
        <v>0.99997139999999995</v>
      </c>
      <c r="AB1711">
        <v>43</v>
      </c>
      <c r="AC1711">
        <v>-74.521099999999905</v>
      </c>
      <c r="AD1711">
        <v>-1.1210314090639999</v>
      </c>
      <c r="AE1711">
        <v>1.7089999999999399</v>
      </c>
      <c r="AF1711">
        <v>0.56733238608937397</v>
      </c>
      <c r="AG1711">
        <v>-1.1210314090639999</v>
      </c>
      <c r="AH1711">
        <v>74.521678656579894</v>
      </c>
      <c r="AI1711">
        <v>90.861811817578101</v>
      </c>
      <c r="AJ1711">
        <v>89.5638165440253</v>
      </c>
      <c r="AK1711">
        <v>74.5322693016318</v>
      </c>
      <c r="AL1711">
        <v>93.353726318350894</v>
      </c>
      <c r="AM1711">
        <v>90.353848459363405</v>
      </c>
      <c r="AN1711">
        <v>1.00000003787063</v>
      </c>
    </row>
    <row r="1712" spans="1:40" x14ac:dyDescent="0.25">
      <c r="A1712" t="str">
        <f>"20190303154455960"</f>
        <v>20190303154455960</v>
      </c>
      <c r="B1712" t="str">
        <f>"1551599095952193"</f>
        <v>1551599095952193</v>
      </c>
      <c r="C1712" t="s">
        <v>40</v>
      </c>
      <c r="D1712">
        <v>5.0024499999999996</v>
      </c>
      <c r="E1712">
        <v>0.50550909999999905</v>
      </c>
      <c r="F1712" t="s">
        <v>55</v>
      </c>
      <c r="G1712">
        <v>-378.52140000000003</v>
      </c>
      <c r="H1712" s="1">
        <v>2.9978879999999998E-6</v>
      </c>
      <c r="I1712">
        <v>286.14080000000001</v>
      </c>
      <c r="J1712">
        <v>-306.14249999999998</v>
      </c>
      <c r="K1712">
        <v>1.1210450000000001</v>
      </c>
      <c r="L1712">
        <v>284.49939999999998</v>
      </c>
      <c r="M1712">
        <v>-0.99976880000000001</v>
      </c>
      <c r="N1712">
        <v>-1.539892E-2</v>
      </c>
      <c r="O1712">
        <v>1.500923E-2</v>
      </c>
      <c r="P1712">
        <v>-0.99726749999999997</v>
      </c>
      <c r="Q1712">
        <v>-7.3344010000000001E-2</v>
      </c>
      <c r="R1712">
        <v>8.8552270000000002E-3</v>
      </c>
      <c r="S1712">
        <v>-3.0043030000000002</v>
      </c>
      <c r="T1712">
        <v>-4.6260830000000003E-2</v>
      </c>
      <c r="U1712">
        <v>6.7993159999999997E-2</v>
      </c>
      <c r="V1712">
        <v>-6.0754219999999996E-3</v>
      </c>
      <c r="W1712">
        <v>-5.7982369999999998E-2</v>
      </c>
      <c r="X1712">
        <v>0.99829909999999999</v>
      </c>
      <c r="Y1712">
        <v>7.6146119999999998E-3</v>
      </c>
      <c r="Z1712">
        <v>1.1733199999999999E-4</v>
      </c>
      <c r="AA1712">
        <v>0.99997100000000005</v>
      </c>
      <c r="AB1712">
        <v>43</v>
      </c>
      <c r="AC1712">
        <v>-72.378900000000002</v>
      </c>
      <c r="AD1712">
        <v>-1.121042002112</v>
      </c>
      <c r="AE1712">
        <v>1.6414000000000299</v>
      </c>
      <c r="AF1712">
        <v>0.55460173295757698</v>
      </c>
      <c r="AG1712">
        <v>-1.121042002112</v>
      </c>
      <c r="AH1712">
        <v>72.378029880921403</v>
      </c>
      <c r="AI1712">
        <v>90.887340464512405</v>
      </c>
      <c r="AJ1712">
        <v>89.560975661155894</v>
      </c>
      <c r="AK1712">
        <v>72.388835656448094</v>
      </c>
      <c r="AL1712">
        <v>93.324009461003499</v>
      </c>
      <c r="AM1712">
        <v>90.348684820031295</v>
      </c>
      <c r="AN1712">
        <v>0.999999979522052</v>
      </c>
    </row>
    <row r="1713" spans="1:40" x14ac:dyDescent="0.25">
      <c r="A1713" t="str">
        <f>"20190303154455982"</f>
        <v>20190303154455982</v>
      </c>
      <c r="B1713" t="str">
        <f>"1551599095971713"</f>
        <v>1551599095971713</v>
      </c>
      <c r="C1713" t="s">
        <v>40</v>
      </c>
      <c r="D1713">
        <v>5.0152619999999999</v>
      </c>
      <c r="E1713">
        <v>0.50553919999999997</v>
      </c>
      <c r="F1713" t="s">
        <v>55</v>
      </c>
      <c r="G1713">
        <v>-379.46010000000001</v>
      </c>
      <c r="H1713" s="1">
        <v>3.4973989999999999E-6</v>
      </c>
      <c r="I1713">
        <v>286.13420000000002</v>
      </c>
      <c r="J1713">
        <v>-306.57979999999998</v>
      </c>
      <c r="K1713">
        <v>1.121062</v>
      </c>
      <c r="L1713">
        <v>284.50569999999999</v>
      </c>
      <c r="M1713">
        <v>-0.99977360000000004</v>
      </c>
      <c r="N1713">
        <v>-1.539456E-2</v>
      </c>
      <c r="O1713">
        <v>1.4693950000000001E-2</v>
      </c>
      <c r="P1713">
        <v>-0.99728749999999999</v>
      </c>
      <c r="Q1713">
        <v>-7.3023469999999993E-2</v>
      </c>
      <c r="R1713">
        <v>9.2389020000000002E-3</v>
      </c>
      <c r="S1713">
        <v>-3.0042110000000002</v>
      </c>
      <c r="T1713">
        <v>-4.5935030000000002E-2</v>
      </c>
      <c r="U1713">
        <v>6.6986080000000003E-2</v>
      </c>
      <c r="V1713">
        <v>-5.3757609999999997E-3</v>
      </c>
      <c r="W1713">
        <v>-5.766549E-2</v>
      </c>
      <c r="X1713">
        <v>0.99832149999999997</v>
      </c>
      <c r="Y1713">
        <v>7.5956219999999998E-3</v>
      </c>
      <c r="Z1713">
        <v>1.1813229999999999E-4</v>
      </c>
      <c r="AA1713">
        <v>0.99997119999999995</v>
      </c>
      <c r="AB1713">
        <v>43</v>
      </c>
      <c r="AC1713">
        <v>-72.880300000000005</v>
      </c>
      <c r="AD1713">
        <v>-1.121058502601</v>
      </c>
      <c r="AE1713">
        <v>1.62850000000003</v>
      </c>
      <c r="AF1713">
        <v>0.55716605534888797</v>
      </c>
      <c r="AG1713">
        <v>-1.121058502601</v>
      </c>
      <c r="AH1713">
        <v>72.879126321389506</v>
      </c>
      <c r="AI1713">
        <v>90.881253412562899</v>
      </c>
      <c r="AJ1713">
        <v>89.561978262476202</v>
      </c>
      <c r="AK1713">
        <v>72.889877620617099</v>
      </c>
      <c r="AL1713">
        <v>93.305823035553601</v>
      </c>
      <c r="AM1713">
        <v>90.308523296365095</v>
      </c>
      <c r="AN1713">
        <v>1.0000000124527499</v>
      </c>
    </row>
    <row r="1714" spans="1:40" x14ac:dyDescent="0.25">
      <c r="A1714" t="str">
        <f>"20190303154456004"</f>
        <v>20190303154456004</v>
      </c>
      <c r="B1714" t="str">
        <f>"1551599095992209"</f>
        <v>1551599095992209</v>
      </c>
      <c r="C1714" t="s">
        <v>40</v>
      </c>
      <c r="D1714">
        <v>5.0016870000000004</v>
      </c>
      <c r="E1714">
        <v>0.50553930000000002</v>
      </c>
      <c r="F1714" t="s">
        <v>55</v>
      </c>
      <c r="G1714">
        <v>-379.89159999999998</v>
      </c>
      <c r="H1714" s="1">
        <v>3.7270250000000001E-6</v>
      </c>
      <c r="I1714">
        <v>286.17680000000001</v>
      </c>
      <c r="J1714">
        <v>-306.98790000000002</v>
      </c>
      <c r="K1714">
        <v>1.121073</v>
      </c>
      <c r="L1714">
        <v>284.51150000000001</v>
      </c>
      <c r="M1714">
        <v>-0.9997779</v>
      </c>
      <c r="N1714">
        <v>-1.539044E-2</v>
      </c>
      <c r="O1714">
        <v>1.4400130000000001E-2</v>
      </c>
      <c r="P1714">
        <v>-0.99720830000000005</v>
      </c>
      <c r="Q1714">
        <v>-7.3978760000000005E-2</v>
      </c>
      <c r="R1714">
        <v>1.013468E-2</v>
      </c>
      <c r="S1714">
        <v>-3.004181</v>
      </c>
      <c r="T1714">
        <v>-4.5938850000000003E-2</v>
      </c>
      <c r="U1714">
        <v>6.8481449999999999E-2</v>
      </c>
      <c r="V1714">
        <v>-4.1840030000000004E-3</v>
      </c>
      <c r="W1714">
        <v>-5.8625030000000002E-2</v>
      </c>
      <c r="X1714">
        <v>0.99827129999999997</v>
      </c>
      <c r="Y1714">
        <v>8.3870319999999905E-3</v>
      </c>
      <c r="Z1714">
        <v>1.301516E-4</v>
      </c>
      <c r="AA1714">
        <v>0.99996479999999999</v>
      </c>
      <c r="AB1714">
        <v>43</v>
      </c>
      <c r="AC1714">
        <v>-72.903699999999901</v>
      </c>
      <c r="AD1714">
        <v>-1.121069272975</v>
      </c>
      <c r="AE1714">
        <v>1.6653</v>
      </c>
      <c r="AF1714">
        <v>0.61503485901617605</v>
      </c>
      <c r="AG1714">
        <v>-1.121069272975</v>
      </c>
      <c r="AH1714">
        <v>72.902892453520906</v>
      </c>
      <c r="AI1714">
        <v>90.880969030230304</v>
      </c>
      <c r="AJ1714">
        <v>89.516643791273097</v>
      </c>
      <c r="AK1714">
        <v>72.914105578291597</v>
      </c>
      <c r="AL1714">
        <v>93.360893863051501</v>
      </c>
      <c r="AM1714">
        <v>90.240139438713598</v>
      </c>
      <c r="AN1714">
        <v>0.99999999421364705</v>
      </c>
    </row>
    <row r="1715" spans="1:40" x14ac:dyDescent="0.25">
      <c r="A1715" t="str">
        <f>"20190303154456026"</f>
        <v>20190303154456026</v>
      </c>
      <c r="B1715" t="str">
        <f>"1551599096021999"</f>
        <v>1551599096021999</v>
      </c>
      <c r="C1715" t="s">
        <v>40</v>
      </c>
      <c r="D1715">
        <v>5.0463620000000002</v>
      </c>
      <c r="E1715">
        <v>0.50546999999999997</v>
      </c>
      <c r="F1715" t="s">
        <v>55</v>
      </c>
      <c r="G1715">
        <v>-374.24829999999997</v>
      </c>
      <c r="H1715" s="1">
        <v>7.2391669999999903E-7</v>
      </c>
      <c r="I1715">
        <v>286.10969999999998</v>
      </c>
      <c r="J1715">
        <v>-307.43299999999999</v>
      </c>
      <c r="K1715">
        <v>1.121084</v>
      </c>
      <c r="L1715">
        <v>284.51760000000002</v>
      </c>
      <c r="M1715">
        <v>-0.99978250000000002</v>
      </c>
      <c r="N1715">
        <v>-1.538583E-2</v>
      </c>
      <c r="O1715">
        <v>1.407946E-2</v>
      </c>
      <c r="P1715">
        <v>-0.99716760000000004</v>
      </c>
      <c r="Q1715">
        <v>-7.4383399999999905E-2</v>
      </c>
      <c r="R1715">
        <v>1.1142569999999999E-2</v>
      </c>
      <c r="S1715">
        <v>-3.0039980000000002</v>
      </c>
      <c r="T1715">
        <v>-5.0069570000000001E-2</v>
      </c>
      <c r="U1715">
        <v>7.1380620000000006E-2</v>
      </c>
      <c r="V1715">
        <v>-2.8544270000000001E-3</v>
      </c>
      <c r="W1715">
        <v>-5.9033679999999998E-2</v>
      </c>
      <c r="X1715">
        <v>0.99825189999999997</v>
      </c>
      <c r="Y1715">
        <v>9.6730930000000007E-3</v>
      </c>
      <c r="Z1715">
        <v>1.370492E-4</v>
      </c>
      <c r="AA1715">
        <v>0.99995319999999999</v>
      </c>
      <c r="AB1715">
        <v>43</v>
      </c>
      <c r="AC1715">
        <v>-66.815299999999894</v>
      </c>
      <c r="AD1715">
        <v>-1.1210832760833001</v>
      </c>
      <c r="AE1715">
        <v>1.5920999999999501</v>
      </c>
      <c r="AF1715">
        <v>0.65092429424158604</v>
      </c>
      <c r="AG1715">
        <v>-1.1210832760833001</v>
      </c>
      <c r="AH1715">
        <v>66.812295269219007</v>
      </c>
      <c r="AI1715">
        <v>90.961264168327006</v>
      </c>
      <c r="AJ1715">
        <v>89.441808805327597</v>
      </c>
      <c r="AK1715">
        <v>66.824870589399893</v>
      </c>
      <c r="AL1715">
        <v>93.384348421662096</v>
      </c>
      <c r="AM1715">
        <v>90.163832570009802</v>
      </c>
      <c r="AN1715">
        <v>0.99999998949072499</v>
      </c>
    </row>
    <row r="1716" spans="1:40" x14ac:dyDescent="0.25">
      <c r="A1716" t="str">
        <f>"20190303154456053"</f>
        <v>20190303154456053</v>
      </c>
      <c r="B1716" t="str">
        <f>"1551599096042495"</f>
        <v>1551599096042495</v>
      </c>
      <c r="C1716" t="s">
        <v>40</v>
      </c>
      <c r="D1716">
        <v>5.077178</v>
      </c>
      <c r="E1716">
        <v>0.50532339999999998</v>
      </c>
      <c r="F1716" t="s">
        <v>55</v>
      </c>
      <c r="G1716">
        <v>-371.0077</v>
      </c>
      <c r="H1716" s="1">
        <v>-1.0005349999999999E-6</v>
      </c>
      <c r="I1716">
        <v>286.08069999999998</v>
      </c>
      <c r="J1716">
        <v>-307.92009999999999</v>
      </c>
      <c r="K1716">
        <v>1.121094</v>
      </c>
      <c r="L1716">
        <v>284.52420000000001</v>
      </c>
      <c r="M1716">
        <v>-0.9997876</v>
      </c>
      <c r="N1716">
        <v>-1.538075E-2</v>
      </c>
      <c r="O1716">
        <v>1.3727349999999999E-2</v>
      </c>
      <c r="P1716">
        <v>-0.99714860000000005</v>
      </c>
      <c r="Q1716">
        <v>-7.4641830000000006E-2</v>
      </c>
      <c r="R1716">
        <v>1.1118090000000001E-2</v>
      </c>
      <c r="S1716">
        <v>-3.0037229999999999</v>
      </c>
      <c r="T1716">
        <v>-5.2968029999999999E-2</v>
      </c>
      <c r="U1716">
        <v>7.3852539999999994E-2</v>
      </c>
      <c r="V1716">
        <v>-2.5259449999999999E-3</v>
      </c>
      <c r="W1716">
        <v>-5.9297210000000003E-2</v>
      </c>
      <c r="X1716">
        <v>0.99823720000000005</v>
      </c>
      <c r="Y1716">
        <v>1.0849309999999999E-2</v>
      </c>
      <c r="Z1716">
        <v>1.4823289999999999E-4</v>
      </c>
      <c r="AA1716">
        <v>0.99994110000000003</v>
      </c>
      <c r="AB1716">
        <v>43</v>
      </c>
      <c r="AC1716">
        <v>-63.087600000000002</v>
      </c>
      <c r="AD1716">
        <v>-1.121095000535</v>
      </c>
      <c r="AE1716">
        <v>1.55649999999997</v>
      </c>
      <c r="AF1716">
        <v>0.69000762940423699</v>
      </c>
      <c r="AG1716">
        <v>-1.121095000535</v>
      </c>
      <c r="AH1716">
        <v>63.083114515356101</v>
      </c>
      <c r="AI1716">
        <v>91.0180760786576</v>
      </c>
      <c r="AJ1716">
        <v>89.373319647292206</v>
      </c>
      <c r="AK1716">
        <v>63.096848586014197</v>
      </c>
      <c r="AL1716">
        <v>93.399473960195095</v>
      </c>
      <c r="AM1716">
        <v>90.144981251842793</v>
      </c>
      <c r="AN1716">
        <v>1.0000000234878801</v>
      </c>
    </row>
    <row r="1717" spans="1:40" x14ac:dyDescent="0.25">
      <c r="A1717" t="str">
        <f>"20190303154456069"</f>
        <v>20190303154456069</v>
      </c>
      <c r="B1717" t="str">
        <f>"1551599096062015"</f>
        <v>1551599096062015</v>
      </c>
      <c r="C1717" t="s">
        <v>40</v>
      </c>
      <c r="D1717">
        <v>5.0833120000000003</v>
      </c>
      <c r="E1717">
        <v>0.50522349999999905</v>
      </c>
      <c r="F1717" t="s">
        <v>55</v>
      </c>
      <c r="G1717">
        <v>-368.56819999999999</v>
      </c>
      <c r="H1717" s="1">
        <v>3.0227860000000001E-6</v>
      </c>
      <c r="I1717">
        <v>285.98829999999998</v>
      </c>
      <c r="J1717">
        <v>-308.26119999999997</v>
      </c>
      <c r="K1717">
        <v>1.121092</v>
      </c>
      <c r="L1717">
        <v>284.52870000000001</v>
      </c>
      <c r="M1717">
        <v>-0.99979099999999999</v>
      </c>
      <c r="N1717">
        <v>-1.5377160000000001E-2</v>
      </c>
      <c r="O1717">
        <v>1.348032E-2</v>
      </c>
      <c r="P1717">
        <v>-0.99717089999999997</v>
      </c>
      <c r="Q1717">
        <v>-7.4355260000000006E-2</v>
      </c>
      <c r="R1717">
        <v>1.1039790000000001E-2</v>
      </c>
      <c r="S1717">
        <v>-3.0036010000000002</v>
      </c>
      <c r="T1717">
        <v>-5.5522080000000001E-2</v>
      </c>
      <c r="U1717">
        <v>7.2509770000000001E-2</v>
      </c>
      <c r="V1717">
        <v>-2.3574820000000002E-3</v>
      </c>
      <c r="W1717">
        <v>-5.901381E-2</v>
      </c>
      <c r="X1717">
        <v>0.99825439999999999</v>
      </c>
      <c r="Y1717">
        <v>1.065047E-2</v>
      </c>
      <c r="Z1717">
        <v>1.3850040000000001E-4</v>
      </c>
      <c r="AA1717">
        <v>0.99994329999999998</v>
      </c>
      <c r="AB1717">
        <v>43</v>
      </c>
      <c r="AC1717">
        <v>-60.307000000000002</v>
      </c>
      <c r="AD1717">
        <v>-1.121088977214</v>
      </c>
      <c r="AE1717">
        <v>1.45959999999996</v>
      </c>
      <c r="AF1717">
        <v>0.646190465602967</v>
      </c>
      <c r="AG1717">
        <v>-1.121088977214</v>
      </c>
      <c r="AH1717">
        <v>60.300370974774403</v>
      </c>
      <c r="AI1717">
        <v>91.065044541111106</v>
      </c>
      <c r="AJ1717">
        <v>89.386030820358798</v>
      </c>
      <c r="AK1717">
        <v>60.314253226812603</v>
      </c>
      <c r="AL1717">
        <v>93.383207872003695</v>
      </c>
      <c r="AM1717">
        <v>90.135309714406304</v>
      </c>
      <c r="AN1717">
        <v>1.00000001730572</v>
      </c>
    </row>
    <row r="1718" spans="1:40" x14ac:dyDescent="0.25">
      <c r="A1718" t="str">
        <f>"20190303154456092"</f>
        <v>20190303154456092</v>
      </c>
      <c r="B1718" t="str">
        <f>"1551599096082514"</f>
        <v>1551599096082514</v>
      </c>
      <c r="C1718" t="s">
        <v>40</v>
      </c>
      <c r="D1718">
        <v>5.0568720000000003</v>
      </c>
      <c r="E1718">
        <v>0.50515480000000001</v>
      </c>
      <c r="F1718" t="s">
        <v>55</v>
      </c>
      <c r="G1718">
        <v>-369.27260000000001</v>
      </c>
      <c r="H1718" s="1">
        <v>3.3976229999999999E-6</v>
      </c>
      <c r="I1718">
        <v>285.98480000000001</v>
      </c>
      <c r="J1718">
        <v>-308.67399999999998</v>
      </c>
      <c r="K1718">
        <v>1.121095</v>
      </c>
      <c r="L1718">
        <v>284.53399999999999</v>
      </c>
      <c r="M1718">
        <v>-0.99979499999999999</v>
      </c>
      <c r="N1718">
        <v>-1.5372759999999999E-2</v>
      </c>
      <c r="O1718">
        <v>1.318073E-2</v>
      </c>
      <c r="P1718">
        <v>-0.99711719999999904</v>
      </c>
      <c r="Q1718">
        <v>-7.5105549999999993E-2</v>
      </c>
      <c r="R1718">
        <v>1.080745E-2</v>
      </c>
      <c r="S1718">
        <v>-3.003571</v>
      </c>
      <c r="T1718">
        <v>-5.5190799999999998E-2</v>
      </c>
      <c r="U1718">
        <v>7.1685789999999999E-2</v>
      </c>
      <c r="V1718">
        <v>-2.2893100000000001E-3</v>
      </c>
      <c r="W1718">
        <v>-5.9769240000000001E-2</v>
      </c>
      <c r="X1718">
        <v>0.99820960000000003</v>
      </c>
      <c r="Y1718">
        <v>1.067621E-2</v>
      </c>
      <c r="Z1718">
        <v>1.4064620000000001E-4</v>
      </c>
      <c r="AA1718">
        <v>0.99994300000000003</v>
      </c>
      <c r="AB1718">
        <v>43</v>
      </c>
      <c r="AC1718">
        <v>-60.598599999999898</v>
      </c>
      <c r="AD1718">
        <v>-1.1210916023769999</v>
      </c>
      <c r="AE1718">
        <v>1.4508000000000101</v>
      </c>
      <c r="AF1718">
        <v>0.65162289999884404</v>
      </c>
      <c r="AG1718">
        <v>-1.1210916023769999</v>
      </c>
      <c r="AH1718">
        <v>60.591733154073097</v>
      </c>
      <c r="AI1718">
        <v>91.059926373238298</v>
      </c>
      <c r="AJ1718">
        <v>89.383846593921803</v>
      </c>
      <c r="AK1718">
        <v>60.605606880874703</v>
      </c>
      <c r="AL1718">
        <v>93.426567407439606</v>
      </c>
      <c r="AM1718">
        <v>90.131402834662694</v>
      </c>
      <c r="AN1718">
        <v>1.0000000042613</v>
      </c>
    </row>
    <row r="1719" spans="1:40" x14ac:dyDescent="0.25">
      <c r="A1719" t="str">
        <f>"20190303154456114"</f>
        <v>20190303154456114</v>
      </c>
      <c r="B1719" t="str">
        <f>"1551599096102031"</f>
        <v>1551599096102031</v>
      </c>
      <c r="C1719" t="s">
        <v>40</v>
      </c>
      <c r="D1719">
        <v>5.0435089999999896</v>
      </c>
      <c r="E1719">
        <v>0.50514029999999999</v>
      </c>
      <c r="F1719" t="s">
        <v>55</v>
      </c>
      <c r="G1719">
        <v>-366.04480000000001</v>
      </c>
      <c r="H1719" s="1">
        <v>1.6799509999999999E-6</v>
      </c>
      <c r="I1719">
        <v>285.88810000000001</v>
      </c>
      <c r="J1719">
        <v>-309.1026</v>
      </c>
      <c r="K1719">
        <v>1.121095</v>
      </c>
      <c r="L1719">
        <v>284.5394</v>
      </c>
      <c r="M1719">
        <v>-0.9997992</v>
      </c>
      <c r="N1719">
        <v>-1.5368120000000001E-2</v>
      </c>
      <c r="O1719">
        <v>1.28684E-2</v>
      </c>
      <c r="P1719">
        <v>-0.99706459999999997</v>
      </c>
      <c r="Q1719">
        <v>-7.576811E-2</v>
      </c>
      <c r="R1719">
        <v>1.103437E-2</v>
      </c>
      <c r="S1719">
        <v>-3.003479</v>
      </c>
      <c r="T1719">
        <v>-5.8691500000000001E-2</v>
      </c>
      <c r="U1719">
        <v>7.0892330000000003E-2</v>
      </c>
      <c r="V1719">
        <v>-1.7489980000000001E-3</v>
      </c>
      <c r="W1719">
        <v>-6.0436690000000001E-2</v>
      </c>
      <c r="X1719">
        <v>0.99817049999999996</v>
      </c>
      <c r="Y1719">
        <v>1.0725E-2</v>
      </c>
      <c r="Z1719">
        <v>1.3357169999999999E-4</v>
      </c>
      <c r="AA1719">
        <v>0.99994249999999996</v>
      </c>
      <c r="AB1719">
        <v>43</v>
      </c>
      <c r="AC1719">
        <v>-56.9422</v>
      </c>
      <c r="AD1719">
        <v>-1.1210933200489901</v>
      </c>
      <c r="AE1719">
        <v>1.3487</v>
      </c>
      <c r="AF1719">
        <v>0.61550837142218695</v>
      </c>
      <c r="AG1719">
        <v>-1.1210933200489901</v>
      </c>
      <c r="AH1719">
        <v>56.932785295532703</v>
      </c>
      <c r="AI1719">
        <v>91.1280295323877</v>
      </c>
      <c r="AJ1719">
        <v>89.380591378463293</v>
      </c>
      <c r="AK1719">
        <v>56.947148675721898</v>
      </c>
      <c r="AL1719">
        <v>93.464878751456695</v>
      </c>
      <c r="AM1719">
        <v>90.1003937716265</v>
      </c>
      <c r="AN1719">
        <v>0.99999999978120402</v>
      </c>
    </row>
    <row r="1720" spans="1:40" x14ac:dyDescent="0.25">
      <c r="A1720" t="str">
        <f>"20190303154456314"</f>
        <v>20190303154456314</v>
      </c>
      <c r="B1720" t="str">
        <f>"1551599096311909"</f>
        <v>1551599096311909</v>
      </c>
      <c r="C1720" t="s">
        <v>40</v>
      </c>
      <c r="D1720">
        <v>5.1481190000000003</v>
      </c>
      <c r="E1720">
        <v>0.51387510000000003</v>
      </c>
      <c r="F1720" t="s">
        <v>55</v>
      </c>
      <c r="G1720">
        <v>-364.39940000000001</v>
      </c>
      <c r="H1720" s="1">
        <v>8.0435059999999897E-7</v>
      </c>
      <c r="I1720">
        <v>285.85469999999998</v>
      </c>
      <c r="J1720">
        <v>-312.91969999999998</v>
      </c>
      <c r="K1720">
        <v>1.1211180000000001</v>
      </c>
      <c r="L1720">
        <v>284.58139999999997</v>
      </c>
      <c r="M1720">
        <v>-0.99983200000000005</v>
      </c>
      <c r="N1720">
        <v>-1.532507E-2</v>
      </c>
      <c r="O1720">
        <v>1.0075870000000001E-2</v>
      </c>
      <c r="P1720">
        <v>-0.99706309999999998</v>
      </c>
      <c r="Q1720">
        <v>-7.6402139999999993E-2</v>
      </c>
      <c r="R1720">
        <v>5.3042870000000004E-3</v>
      </c>
      <c r="S1720">
        <v>-3.003387</v>
      </c>
      <c r="T1720">
        <v>-6.0891029999999999E-2</v>
      </c>
      <c r="U1720">
        <v>7.1441649999999995E-2</v>
      </c>
      <c r="V1720">
        <v>-4.6931100000000003E-3</v>
      </c>
      <c r="W1720">
        <v>-6.1116959999999998E-2</v>
      </c>
      <c r="X1720">
        <v>0.9981196</v>
      </c>
      <c r="Y1720">
        <v>1.370007E-2</v>
      </c>
      <c r="Z1720">
        <v>1.940442E-4</v>
      </c>
      <c r="AA1720">
        <v>0.99990610000000002</v>
      </c>
      <c r="AB1720">
        <v>42</v>
      </c>
      <c r="AC1720">
        <v>-51.479700000000001</v>
      </c>
      <c r="AD1720">
        <v>-1.1211171956493999</v>
      </c>
      <c r="AE1720">
        <v>1.2733000000000001</v>
      </c>
      <c r="AF1720">
        <v>0.75411432965605496</v>
      </c>
      <c r="AG1720">
        <v>-1.1211171956493999</v>
      </c>
      <c r="AH1720">
        <v>51.465523364248398</v>
      </c>
      <c r="AI1720">
        <v>91.247791341887805</v>
      </c>
      <c r="AJ1720">
        <v>89.160516134996399</v>
      </c>
      <c r="AK1720">
        <v>51.483256378599201</v>
      </c>
      <c r="AL1720">
        <v>93.503927460598803</v>
      </c>
      <c r="AM1720">
        <v>90.269399993954494</v>
      </c>
      <c r="AN1720">
        <v>1.0000000219926299</v>
      </c>
    </row>
    <row r="1721" spans="1:40" x14ac:dyDescent="0.25">
      <c r="A1721" t="str">
        <f>"20190303154456337"</f>
        <v>20190303154456337</v>
      </c>
      <c r="B1721" t="str">
        <f>"1551599096332406"</f>
        <v>1551599096332406</v>
      </c>
      <c r="C1721" t="s">
        <v>40</v>
      </c>
      <c r="D1721">
        <v>5.2662420000000001</v>
      </c>
      <c r="E1721">
        <v>0.51322479999999904</v>
      </c>
      <c r="F1721" t="s">
        <v>58</v>
      </c>
      <c r="G1721">
        <v>-530.98140000000001</v>
      </c>
      <c r="H1721">
        <v>5.5187150000000003</v>
      </c>
      <c r="I1721">
        <v>293.44959999999998</v>
      </c>
      <c r="J1721">
        <v>-313.32679999999999</v>
      </c>
      <c r="K1721">
        <v>1.1211169999999999</v>
      </c>
      <c r="L1721">
        <v>284.58530000000002</v>
      </c>
      <c r="M1721">
        <v>-0.99983500000000003</v>
      </c>
      <c r="N1721">
        <v>-1.532037E-2</v>
      </c>
      <c r="O1721">
        <v>9.7771909999999993E-3</v>
      </c>
      <c r="P1721">
        <v>-0.99705909999999998</v>
      </c>
      <c r="Q1721">
        <v>-7.6481419999999994E-2</v>
      </c>
      <c r="R1721">
        <v>4.9130140000000003E-3</v>
      </c>
      <c r="S1721">
        <v>-3.012848</v>
      </c>
      <c r="T1721">
        <v>6.0760500000000002E-2</v>
      </c>
      <c r="U1721">
        <v>0.1225281</v>
      </c>
      <c r="V1721">
        <v>-4.7863690000000004E-3</v>
      </c>
      <c r="W1721">
        <v>-6.1201079999999998E-2</v>
      </c>
      <c r="X1721">
        <v>0.99811399999999995</v>
      </c>
      <c r="Y1721">
        <v>3.086738E-2</v>
      </c>
      <c r="Z1721">
        <v>2.7225799999999999E-4</v>
      </c>
      <c r="AA1721">
        <v>0.99952350000000001</v>
      </c>
      <c r="AB1721">
        <v>42</v>
      </c>
      <c r="AC1721">
        <v>-217.65459999999999</v>
      </c>
      <c r="AD1721">
        <v>4.3975980000000003</v>
      </c>
      <c r="AE1721">
        <v>8.8642999999999503</v>
      </c>
      <c r="AF1721">
        <v>6.7328322480091201</v>
      </c>
      <c r="AG1721">
        <v>4.3975980000000003</v>
      </c>
      <c r="AH1721">
        <v>217.642173258696</v>
      </c>
      <c r="AI1721">
        <v>88.843013318249405</v>
      </c>
      <c r="AJ1721">
        <v>88.228101295085906</v>
      </c>
      <c r="AK1721">
        <v>217.79069190169201</v>
      </c>
      <c r="AL1721">
        <v>93.508756230341206</v>
      </c>
      <c r="AM1721">
        <v>90.274754828397406</v>
      </c>
      <c r="AN1721">
        <v>1.00000001925868</v>
      </c>
    </row>
    <row r="1722" spans="1:40" x14ac:dyDescent="0.25">
      <c r="A1722" t="str">
        <f>"20190303154456359"</f>
        <v>20190303154456359</v>
      </c>
      <c r="B1722" t="str">
        <f>"1551599096351925"</f>
        <v>1551599096351925</v>
      </c>
      <c r="C1722" t="s">
        <v>40</v>
      </c>
      <c r="D1722">
        <v>5.1476980000000001</v>
      </c>
      <c r="E1722">
        <v>0.51104689999999997</v>
      </c>
      <c r="F1722" t="s">
        <v>58</v>
      </c>
      <c r="G1722">
        <v>-549.25699999999995</v>
      </c>
      <c r="H1722">
        <v>5.5126540000000004</v>
      </c>
      <c r="I1722">
        <v>293.70049999999998</v>
      </c>
      <c r="J1722">
        <v>-313.76299999999998</v>
      </c>
      <c r="K1722">
        <v>1.1211120000000001</v>
      </c>
      <c r="L1722">
        <v>284.58920000000001</v>
      </c>
      <c r="M1722">
        <v>-0.999838</v>
      </c>
      <c r="N1722">
        <v>-1.531537E-2</v>
      </c>
      <c r="O1722">
        <v>9.4566519999999994E-3</v>
      </c>
      <c r="P1722">
        <v>-0.99701669999999998</v>
      </c>
      <c r="Q1722">
        <v>-7.7037229999999998E-2</v>
      </c>
      <c r="R1722">
        <v>4.7982470000000003E-3</v>
      </c>
      <c r="S1722">
        <v>-3.0126339999999998</v>
      </c>
      <c r="T1722">
        <v>5.607736E-2</v>
      </c>
      <c r="U1722">
        <v>0.116394</v>
      </c>
      <c r="V1722">
        <v>-4.5810809999999999E-3</v>
      </c>
      <c r="W1722">
        <v>-6.1762299999999999E-2</v>
      </c>
      <c r="X1722">
        <v>0.99808039999999998</v>
      </c>
      <c r="Y1722">
        <v>2.9158610000000001E-2</v>
      </c>
      <c r="Z1722">
        <v>2.7283949999999999E-4</v>
      </c>
      <c r="AA1722">
        <v>0.99957479999999999</v>
      </c>
      <c r="AB1722">
        <v>42</v>
      </c>
      <c r="AC1722">
        <v>-235.494</v>
      </c>
      <c r="AD1722">
        <v>4.3915419999999896</v>
      </c>
      <c r="AE1722">
        <v>9.1112999999999698</v>
      </c>
      <c r="AF1722">
        <v>6.8812570544712699</v>
      </c>
      <c r="AG1722">
        <v>4.3915419999999896</v>
      </c>
      <c r="AH1722">
        <v>235.48787001345701</v>
      </c>
      <c r="AI1722">
        <v>88.932087924529498</v>
      </c>
      <c r="AJ1722">
        <v>88.326220263150304</v>
      </c>
      <c r="AK1722">
        <v>235.62931537324101</v>
      </c>
      <c r="AL1722">
        <v>93.540972688860293</v>
      </c>
      <c r="AM1722">
        <v>90.262979579323797</v>
      </c>
      <c r="AN1722">
        <v>1.0000000264342801</v>
      </c>
    </row>
    <row r="1723" spans="1:40" x14ac:dyDescent="0.25">
      <c r="A1723" t="str">
        <f>"20190303154456382"</f>
        <v>20190303154456382</v>
      </c>
      <c r="B1723" t="str">
        <f>"1551599096372421"</f>
        <v>1551599096372421</v>
      </c>
      <c r="C1723" t="s">
        <v>40</v>
      </c>
      <c r="D1723">
        <v>5.1745089999999996</v>
      </c>
      <c r="E1723">
        <v>0.50855919999999999</v>
      </c>
      <c r="F1723" t="s">
        <v>45</v>
      </c>
      <c r="G1723">
        <v>0</v>
      </c>
      <c r="H1723">
        <v>0</v>
      </c>
      <c r="I1723">
        <v>0</v>
      </c>
      <c r="J1723">
        <v>-314.16739999999999</v>
      </c>
      <c r="K1723">
        <v>1.121105</v>
      </c>
      <c r="L1723">
        <v>284.59280000000001</v>
      </c>
      <c r="M1723">
        <v>-0.99984099999999998</v>
      </c>
      <c r="N1723">
        <v>-1.531071E-2</v>
      </c>
      <c r="O1723">
        <v>9.1597620000000001E-3</v>
      </c>
      <c r="P1723">
        <v>-0.99701580000000001</v>
      </c>
      <c r="Q1723">
        <v>-7.7000269999999996E-2</v>
      </c>
      <c r="R1723">
        <v>5.5415789999999996E-3</v>
      </c>
      <c r="S1723">
        <v>-3.0115970000000001</v>
      </c>
      <c r="T1723">
        <v>4.0475959999999998E-2</v>
      </c>
      <c r="U1723">
        <v>9.8419190000000004E-2</v>
      </c>
      <c r="V1723">
        <v>-3.5411969999999998E-3</v>
      </c>
      <c r="W1723">
        <v>-6.1729010000000001E-2</v>
      </c>
      <c r="X1723">
        <v>0.99808669999999999</v>
      </c>
      <c r="Y1723">
        <v>2.3509390000000002E-2</v>
      </c>
      <c r="Z1723">
        <v>2.8536559999999998E-4</v>
      </c>
      <c r="AA1723">
        <v>0.99972360000000005</v>
      </c>
      <c r="AB1723">
        <v>42</v>
      </c>
      <c r="AC1723">
        <v>-3.0115970000000001</v>
      </c>
      <c r="AD1723">
        <v>4.0475959999999998E-2</v>
      </c>
      <c r="AE1723">
        <v>9.8419190000000004E-2</v>
      </c>
      <c r="AF1723">
        <v>7.0813541636101499E-2</v>
      </c>
      <c r="AG1723">
        <v>4.0475959999999998E-2</v>
      </c>
      <c r="AH1723">
        <v>3.0118287716362602</v>
      </c>
      <c r="AI1723">
        <v>89.230261203003195</v>
      </c>
      <c r="AJ1723">
        <v>88.6531207487768</v>
      </c>
      <c r="AK1723">
        <v>3.0129330245913102</v>
      </c>
      <c r="AL1723">
        <v>93.539061633064605</v>
      </c>
      <c r="AM1723">
        <v>90.203283733935294</v>
      </c>
      <c r="AN1723">
        <v>1.0000000357343299</v>
      </c>
    </row>
    <row r="1724" spans="1:40" x14ac:dyDescent="0.25">
      <c r="A1724" t="str">
        <f>"20190303154456406"</f>
        <v>20190303154456406</v>
      </c>
      <c r="B1724" t="str">
        <f>"1551599096401701"</f>
        <v>1551599096401701</v>
      </c>
      <c r="C1724" t="s">
        <v>40</v>
      </c>
      <c r="D1724">
        <v>5.1625759999999996</v>
      </c>
      <c r="E1724">
        <v>0.50663349999999996</v>
      </c>
      <c r="F1724" t="s">
        <v>45</v>
      </c>
      <c r="G1724">
        <v>0</v>
      </c>
      <c r="H1724">
        <v>0</v>
      </c>
      <c r="I1724">
        <v>0</v>
      </c>
      <c r="J1724">
        <v>-314.62119999999999</v>
      </c>
      <c r="K1724">
        <v>1.1211070000000001</v>
      </c>
      <c r="L1724">
        <v>284.5967</v>
      </c>
      <c r="M1724">
        <v>-0.99984410000000001</v>
      </c>
      <c r="N1724">
        <v>-1.530548E-2</v>
      </c>
      <c r="O1724">
        <v>8.8258720000000002E-3</v>
      </c>
      <c r="P1724">
        <v>-0.99703030000000004</v>
      </c>
      <c r="Q1724">
        <v>-7.6725719999999997E-2</v>
      </c>
      <c r="R1724">
        <v>6.6432669999999996E-3</v>
      </c>
      <c r="S1724">
        <v>-3.0103759999999999</v>
      </c>
      <c r="T1724">
        <v>2.3834709999999999E-2</v>
      </c>
      <c r="U1724">
        <v>8.1268309999999996E-2</v>
      </c>
      <c r="V1724">
        <v>-2.1072669999999999E-3</v>
      </c>
      <c r="W1724">
        <v>-6.1458159999999998E-2</v>
      </c>
      <c r="X1724">
        <v>0.99810739999999998</v>
      </c>
      <c r="Y1724">
        <v>1.8164400000000001E-2</v>
      </c>
      <c r="Z1724">
        <v>2.720736E-4</v>
      </c>
      <c r="AA1724">
        <v>0.99983500000000003</v>
      </c>
      <c r="AB1724">
        <v>42</v>
      </c>
      <c r="AC1724">
        <v>-3.0103759999999999</v>
      </c>
      <c r="AD1724">
        <v>2.3834709999999999E-2</v>
      </c>
      <c r="AE1724">
        <v>8.1268309999999996E-2</v>
      </c>
      <c r="AF1724">
        <v>5.4689417343993699E-2</v>
      </c>
      <c r="AG1724">
        <v>2.3834709999999999E-2</v>
      </c>
      <c r="AH1724">
        <v>3.0107874696107202</v>
      </c>
      <c r="AI1724">
        <v>89.546505838744395</v>
      </c>
      <c r="AJ1724">
        <v>88.959365857181396</v>
      </c>
      <c r="AK1724">
        <v>3.0113784572741999</v>
      </c>
      <c r="AL1724">
        <v>93.523513803927202</v>
      </c>
      <c r="AM1724">
        <v>90.120966266771106</v>
      </c>
      <c r="AN1724">
        <v>0.99999996396977597</v>
      </c>
    </row>
    <row r="1725" spans="1:40" x14ac:dyDescent="0.25">
      <c r="A1725" t="str">
        <f>"20190303154456429"</f>
        <v>20190303154456429</v>
      </c>
      <c r="B1725" t="str">
        <f>"1551599096421729"</f>
        <v>1551599096421729</v>
      </c>
      <c r="C1725" t="s">
        <v>40</v>
      </c>
      <c r="D1725">
        <v>5.1886910000000004</v>
      </c>
      <c r="E1725">
        <v>0.50535410000000003</v>
      </c>
      <c r="F1725" t="s">
        <v>45</v>
      </c>
      <c r="G1725">
        <v>0</v>
      </c>
      <c r="H1725">
        <v>0</v>
      </c>
      <c r="I1725">
        <v>0</v>
      </c>
      <c r="J1725">
        <v>-315.05220000000003</v>
      </c>
      <c r="K1725">
        <v>1.121113</v>
      </c>
      <c r="L1725">
        <v>284.60019999999997</v>
      </c>
      <c r="M1725">
        <v>-0.99984689999999998</v>
      </c>
      <c r="N1725">
        <v>-1.530051E-2</v>
      </c>
      <c r="O1725">
        <v>8.5090269999999902E-3</v>
      </c>
      <c r="P1725">
        <v>-0.99706470000000003</v>
      </c>
      <c r="Q1725">
        <v>-7.619745E-2</v>
      </c>
      <c r="R1725">
        <v>7.4983530000000001E-3</v>
      </c>
      <c r="S1725">
        <v>-3.009277</v>
      </c>
      <c r="T1725">
        <v>1.0279180000000001E-2</v>
      </c>
      <c r="U1725">
        <v>6.9671629999999998E-2</v>
      </c>
      <c r="V1725">
        <v>-9.3744909999999996E-4</v>
      </c>
      <c r="W1725">
        <v>-6.0933290000000001E-2</v>
      </c>
      <c r="X1725">
        <v>0.99814139999999996</v>
      </c>
      <c r="Y1725">
        <v>1.4639279999999999E-2</v>
      </c>
      <c r="Z1725">
        <v>2.4626070000000001E-4</v>
      </c>
      <c r="AA1725">
        <v>0.99989280000000003</v>
      </c>
      <c r="AB1725">
        <v>42</v>
      </c>
      <c r="AC1725">
        <v>-3.009277</v>
      </c>
      <c r="AD1725">
        <v>1.0279180000000001E-2</v>
      </c>
      <c r="AE1725">
        <v>6.9671629999999998E-2</v>
      </c>
      <c r="AF1725">
        <v>4.4059580554384803E-2</v>
      </c>
      <c r="AG1725">
        <v>1.0279180000000001E-2</v>
      </c>
      <c r="AH1725">
        <v>3.0097258401274298</v>
      </c>
      <c r="AI1725">
        <v>89.804338243403095</v>
      </c>
      <c r="AJ1725">
        <v>89.161303108687093</v>
      </c>
      <c r="AK1725">
        <v>3.0100658698624598</v>
      </c>
      <c r="AL1725">
        <v>93.493384373571402</v>
      </c>
      <c r="AM1725">
        <v>90.053811875898006</v>
      </c>
      <c r="AN1725">
        <v>0.99999999951749896</v>
      </c>
    </row>
    <row r="1726" spans="1:40" x14ac:dyDescent="0.25">
      <c r="A1726" t="str">
        <f>"20190303154456451"</f>
        <v>20190303154456451</v>
      </c>
      <c r="B1726" t="str">
        <f>"1551599096442225"</f>
        <v>1551599096442225</v>
      </c>
      <c r="C1726" t="s">
        <v>40</v>
      </c>
      <c r="D1726">
        <v>5.1733079999999996</v>
      </c>
      <c r="E1726">
        <v>0.50427010000000005</v>
      </c>
      <c r="F1726" t="s">
        <v>45</v>
      </c>
      <c r="G1726">
        <v>0</v>
      </c>
      <c r="H1726">
        <v>0</v>
      </c>
      <c r="I1726">
        <v>0</v>
      </c>
      <c r="J1726">
        <v>-315.47030000000001</v>
      </c>
      <c r="K1726">
        <v>1.121119</v>
      </c>
      <c r="L1726">
        <v>284.6035</v>
      </c>
      <c r="M1726">
        <v>-0.9998494</v>
      </c>
      <c r="N1726">
        <v>-1.5295700000000001E-2</v>
      </c>
      <c r="O1726">
        <v>8.2013599999999996E-3</v>
      </c>
      <c r="P1726">
        <v>-0.99707590000000001</v>
      </c>
      <c r="Q1726">
        <v>-7.6022069999999997E-2</v>
      </c>
      <c r="R1726">
        <v>7.7651519999999896E-3</v>
      </c>
      <c r="S1726">
        <v>-3.008575</v>
      </c>
      <c r="T1726">
        <v>3.4035440000000001E-3</v>
      </c>
      <c r="U1726">
        <v>6.2072750000000003E-2</v>
      </c>
      <c r="V1726">
        <v>-3.6440780000000002E-4</v>
      </c>
      <c r="W1726">
        <v>-6.0762080000000003E-2</v>
      </c>
      <c r="X1726">
        <v>0.99815220000000004</v>
      </c>
      <c r="Y1726">
        <v>1.2427489999999999E-2</v>
      </c>
      <c r="Z1726">
        <v>2.2274959999999999E-4</v>
      </c>
      <c r="AA1726">
        <v>0.9999228</v>
      </c>
      <c r="AB1726">
        <v>42</v>
      </c>
      <c r="AC1726">
        <v>-3.008575</v>
      </c>
      <c r="AD1726">
        <v>3.4035440000000001E-3</v>
      </c>
      <c r="AE1726">
        <v>6.2072750000000003E-2</v>
      </c>
      <c r="AF1726">
        <v>3.7393321037336801E-2</v>
      </c>
      <c r="AG1726">
        <v>3.4035440000000001E-3</v>
      </c>
      <c r="AH1726">
        <v>3.0089790840549702</v>
      </c>
      <c r="AI1726">
        <v>89.935196104222896</v>
      </c>
      <c r="AJ1726">
        <v>89.288007947048001</v>
      </c>
      <c r="AK1726">
        <v>3.0092133478452898</v>
      </c>
      <c r="AL1726">
        <v>93.483556590324497</v>
      </c>
      <c r="AM1726">
        <v>90.020917679722601</v>
      </c>
      <c r="AN1726">
        <v>0.99999998876190499</v>
      </c>
    </row>
    <row r="1727" spans="1:40" x14ac:dyDescent="0.25">
      <c r="A1727" t="str">
        <f>"20190303154456472"</f>
        <v>20190303154456472</v>
      </c>
      <c r="B1727" t="str">
        <f>"1551599096461745"</f>
        <v>1551599096461745</v>
      </c>
      <c r="C1727" t="s">
        <v>40</v>
      </c>
      <c r="D1727">
        <v>5.1718769999999896</v>
      </c>
      <c r="E1727">
        <v>0.50328530000000005</v>
      </c>
      <c r="F1727" t="s">
        <v>44</v>
      </c>
      <c r="G1727">
        <v>-1163.0899999999999</v>
      </c>
      <c r="H1727">
        <v>-0.1</v>
      </c>
      <c r="I1727">
        <v>299.90190000000001</v>
      </c>
      <c r="J1727">
        <v>-315.86369999999999</v>
      </c>
      <c r="K1727">
        <v>1.12112099999999</v>
      </c>
      <c r="L1727">
        <v>284.60640000000001</v>
      </c>
      <c r="M1727">
        <v>-0.99985179999999996</v>
      </c>
      <c r="N1727">
        <v>-1.529118E-2</v>
      </c>
      <c r="O1727">
        <v>7.9116289999999999E-3</v>
      </c>
      <c r="P1727">
        <v>-0.99709210000000004</v>
      </c>
      <c r="Q1727">
        <v>-7.5797310000000007E-2</v>
      </c>
      <c r="R1727">
        <v>7.8920929999999993E-3</v>
      </c>
      <c r="S1727">
        <v>-3.0080260000000001</v>
      </c>
      <c r="T1727">
        <v>-4.333496E-3</v>
      </c>
      <c r="U1727">
        <v>5.4290770000000002E-2</v>
      </c>
      <c r="V1727" s="1">
        <v>5.1641110000000003E-5</v>
      </c>
      <c r="W1727">
        <v>-6.0541240000000003E-2</v>
      </c>
      <c r="X1727">
        <v>0.99816570000000004</v>
      </c>
      <c r="Y1727">
        <v>1.0134499999999999E-2</v>
      </c>
      <c r="Z1727">
        <v>1.9437759999999999E-4</v>
      </c>
      <c r="AA1727">
        <v>0.99994859999999997</v>
      </c>
      <c r="AB1727">
        <v>42</v>
      </c>
      <c r="AC1727">
        <v>-847.22629999999901</v>
      </c>
      <c r="AD1727">
        <v>-1.2211209999999999</v>
      </c>
      <c r="AE1727">
        <v>15.295500000000001</v>
      </c>
      <c r="AF1727">
        <v>8.5912795139472102</v>
      </c>
      <c r="AG1727">
        <v>-1.2211209999999999</v>
      </c>
      <c r="AH1727">
        <v>847.31904462519196</v>
      </c>
      <c r="AI1727">
        <v>90.082567995400694</v>
      </c>
      <c r="AJ1727">
        <v>89.419076920017901</v>
      </c>
      <c r="AK1727">
        <v>847.36347844636998</v>
      </c>
      <c r="AL1727">
        <v>93.470879997815501</v>
      </c>
      <c r="AM1727">
        <v>89.9970357450173</v>
      </c>
      <c r="AN1727">
        <v>1.0000000045320101</v>
      </c>
    </row>
    <row r="1728" spans="1:40" x14ac:dyDescent="0.25">
      <c r="A1728" t="str">
        <f>"20190303154456493"</f>
        <v>20190303154456493</v>
      </c>
      <c r="B1728" t="str">
        <f>"1551599096482243"</f>
        <v>1551599096482243</v>
      </c>
      <c r="C1728" t="s">
        <v>40</v>
      </c>
      <c r="D1728">
        <v>5.1760619999999999</v>
      </c>
      <c r="E1728">
        <v>0.50272859999999997</v>
      </c>
      <c r="F1728" t="s">
        <v>44</v>
      </c>
      <c r="G1728">
        <v>-656.02449999999999</v>
      </c>
      <c r="H1728">
        <v>-0.1</v>
      </c>
      <c r="I1728">
        <v>289.94940000000003</v>
      </c>
      <c r="J1728">
        <v>-316.27449999999999</v>
      </c>
      <c r="K1728">
        <v>1.121129</v>
      </c>
      <c r="L1728">
        <v>284.60950000000003</v>
      </c>
      <c r="M1728">
        <v>-0.99985429999999997</v>
      </c>
      <c r="N1728">
        <v>-1.528647E-2</v>
      </c>
      <c r="O1728">
        <v>7.608788E-3</v>
      </c>
      <c r="P1728">
        <v>-0.99711620000000001</v>
      </c>
      <c r="Q1728">
        <v>-7.5494359999999996E-2</v>
      </c>
      <c r="R1728">
        <v>7.7576049999999999E-3</v>
      </c>
      <c r="S1728">
        <v>-3.0075989999999999</v>
      </c>
      <c r="T1728">
        <v>-1.0796790000000001E-2</v>
      </c>
      <c r="U1728">
        <v>4.7241209999999999E-2</v>
      </c>
      <c r="V1728">
        <v>2.1866330000000001E-4</v>
      </c>
      <c r="W1728">
        <v>-6.0242530000000002E-2</v>
      </c>
      <c r="X1728">
        <v>0.99818370000000001</v>
      </c>
      <c r="Y1728">
        <v>8.0964030000000003E-3</v>
      </c>
      <c r="Z1728">
        <v>1.6542560000000001E-4</v>
      </c>
      <c r="AA1728">
        <v>0.99996719999999895</v>
      </c>
      <c r="AB1728">
        <v>42</v>
      </c>
      <c r="AC1728">
        <v>-339.75</v>
      </c>
      <c r="AD1728">
        <v>-1.2211289999999999</v>
      </c>
      <c r="AE1728">
        <v>5.3399000000000001</v>
      </c>
      <c r="AF1728">
        <v>2.7543222508454401</v>
      </c>
      <c r="AG1728">
        <v>-1.2211289999999999</v>
      </c>
      <c r="AH1728">
        <v>339.776409549947</v>
      </c>
      <c r="AI1728">
        <v>90.205908756788006</v>
      </c>
      <c r="AJ1728">
        <v>89.535554619410803</v>
      </c>
      <c r="AK1728">
        <v>339.78976725874099</v>
      </c>
      <c r="AL1728">
        <v>93.453734052176202</v>
      </c>
      <c r="AM1728">
        <v>89.987448719084398</v>
      </c>
      <c r="AN1728">
        <v>0.99999995459006297</v>
      </c>
    </row>
    <row r="1729" spans="1:40" x14ac:dyDescent="0.25">
      <c r="A1729" t="str">
        <f>"20190303154456517"</f>
        <v>20190303154456517</v>
      </c>
      <c r="B1729" t="str">
        <f>"1551599096512497"</f>
        <v>1551599096512497</v>
      </c>
      <c r="C1729" t="s">
        <v>40</v>
      </c>
      <c r="D1729">
        <v>5.1842449999999998</v>
      </c>
      <c r="E1729">
        <v>0.50218439999999998</v>
      </c>
      <c r="F1729" t="s">
        <v>54</v>
      </c>
      <c r="G1729">
        <v>-499.98489999999998</v>
      </c>
      <c r="H1729">
        <v>7.7084659999999999E-2</v>
      </c>
      <c r="I1729">
        <v>287.2253</v>
      </c>
      <c r="J1729">
        <v>-316.70240000000001</v>
      </c>
      <c r="K1729">
        <v>1.12113</v>
      </c>
      <c r="L1729">
        <v>284.61239999999998</v>
      </c>
      <c r="M1729">
        <v>-0.99985670000000004</v>
      </c>
      <c r="N1729">
        <v>-1.528152E-2</v>
      </c>
      <c r="O1729">
        <v>7.2920499999999996E-3</v>
      </c>
      <c r="P1729">
        <v>-0.99716499999999997</v>
      </c>
      <c r="Q1729">
        <v>-7.4826110000000001E-2</v>
      </c>
      <c r="R1729">
        <v>7.9511730000000006E-3</v>
      </c>
      <c r="S1729">
        <v>-3.00705</v>
      </c>
      <c r="T1729">
        <v>-1.708937E-2</v>
      </c>
      <c r="U1729">
        <v>4.2816159999999999E-2</v>
      </c>
      <c r="V1729">
        <v>7.2718779999999996E-4</v>
      </c>
      <c r="W1729">
        <v>-5.9578119999999998E-2</v>
      </c>
      <c r="X1729">
        <v>0.99822339999999998</v>
      </c>
      <c r="Y1729">
        <v>6.9445339999999996E-3</v>
      </c>
      <c r="Z1729">
        <v>1.4280090000000001E-4</v>
      </c>
      <c r="AA1729">
        <v>0.99997590000000003</v>
      </c>
      <c r="AB1729">
        <v>42</v>
      </c>
      <c r="AC1729">
        <v>-183.2825</v>
      </c>
      <c r="AD1729">
        <v>-1.04404534</v>
      </c>
      <c r="AE1729">
        <v>2.6129000000000202</v>
      </c>
      <c r="AF1729">
        <v>1.2761279582285801</v>
      </c>
      <c r="AG1729">
        <v>-1.04404534</v>
      </c>
      <c r="AH1729">
        <v>183.29073515820201</v>
      </c>
      <c r="AI1729">
        <v>90.326351983168806</v>
      </c>
      <c r="AJ1729">
        <v>89.601095141661503</v>
      </c>
      <c r="AK1729">
        <v>183.29815091285499</v>
      </c>
      <c r="AL1729">
        <v>93.4155974394819</v>
      </c>
      <c r="AM1729">
        <v>89.958261062119803</v>
      </c>
      <c r="AN1729">
        <v>1.0000000187461899</v>
      </c>
    </row>
    <row r="1730" spans="1:40" x14ac:dyDescent="0.25">
      <c r="A1730" t="str">
        <f>"20190303154456538"</f>
        <v>20190303154456538</v>
      </c>
      <c r="B1730" t="str">
        <f>"1551599096532018"</f>
        <v>1551599096532018</v>
      </c>
      <c r="C1730" t="s">
        <v>40</v>
      </c>
      <c r="D1730">
        <v>5.2106649999999997</v>
      </c>
      <c r="E1730">
        <v>0.50199899999999997</v>
      </c>
      <c r="F1730" t="s">
        <v>55</v>
      </c>
      <c r="G1730">
        <v>-454.50200000000001</v>
      </c>
      <c r="H1730" s="1">
        <v>7.805918E-7</v>
      </c>
      <c r="I1730">
        <v>286.4085</v>
      </c>
      <c r="J1730">
        <v>-317.10660000000001</v>
      </c>
      <c r="K1730">
        <v>1.121135</v>
      </c>
      <c r="L1730">
        <v>284.61509999999998</v>
      </c>
      <c r="M1730">
        <v>-0.99985900000000005</v>
      </c>
      <c r="N1730">
        <v>-1.527685E-2</v>
      </c>
      <c r="O1730">
        <v>6.9879119999999998E-3</v>
      </c>
      <c r="P1730">
        <v>-0.99720540000000002</v>
      </c>
      <c r="Q1730">
        <v>-7.4305430000000006E-2</v>
      </c>
      <c r="R1730">
        <v>7.774403E-3</v>
      </c>
      <c r="S1730">
        <v>-3.0064090000000001</v>
      </c>
      <c r="T1730">
        <v>-2.4459959999999999E-2</v>
      </c>
      <c r="U1730">
        <v>3.9184570000000002E-2</v>
      </c>
      <c r="V1730">
        <v>8.5338709999999997E-4</v>
      </c>
      <c r="W1730">
        <v>-5.9061450000000001E-2</v>
      </c>
      <c r="X1730">
        <v>0.99825399999999997</v>
      </c>
      <c r="Y1730">
        <v>6.0437260000000001E-3</v>
      </c>
      <c r="Z1730">
        <v>1.206652E-4</v>
      </c>
      <c r="AA1730">
        <v>0.99998169999999997</v>
      </c>
      <c r="AB1730">
        <v>42</v>
      </c>
      <c r="AC1730">
        <v>-137.395399999999</v>
      </c>
      <c r="AD1730">
        <v>-1.1211342194081999</v>
      </c>
      <c r="AE1730">
        <v>1.7934000000000101</v>
      </c>
      <c r="AF1730">
        <v>0.83308183391285995</v>
      </c>
      <c r="AG1730">
        <v>-1.1211342194081999</v>
      </c>
      <c r="AH1730">
        <v>137.39543138879901</v>
      </c>
      <c r="AI1730">
        <v>90.467509378158894</v>
      </c>
      <c r="AJ1730">
        <v>89.652597705387606</v>
      </c>
      <c r="AK1730">
        <v>137.40253103125201</v>
      </c>
      <c r="AL1730">
        <v>93.385942217243596</v>
      </c>
      <c r="AM1730">
        <v>89.951019011985196</v>
      </c>
      <c r="AN1730">
        <v>1.00000001583082</v>
      </c>
    </row>
    <row r="1731" spans="1:40" x14ac:dyDescent="0.25">
      <c r="A1731" t="str">
        <f>"20190303154456561"</f>
        <v>20190303154456561</v>
      </c>
      <c r="B1731" t="str">
        <f>"1551599096552517"</f>
        <v>1551599096552517</v>
      </c>
      <c r="C1731" t="s">
        <v>40</v>
      </c>
      <c r="D1731">
        <v>5.206048</v>
      </c>
      <c r="E1731">
        <v>0.50166149999999998</v>
      </c>
      <c r="F1731" t="s">
        <v>57</v>
      </c>
      <c r="G1731">
        <v>-437.86540000000002</v>
      </c>
      <c r="H1731" s="1">
        <v>5.5739150000000003E-6</v>
      </c>
      <c r="I1731">
        <v>286.1157</v>
      </c>
      <c r="J1731">
        <v>-317.51749999999998</v>
      </c>
      <c r="K1731">
        <v>1.1211450000000001</v>
      </c>
      <c r="L1731">
        <v>284.61770000000001</v>
      </c>
      <c r="M1731">
        <v>-0.99986120000000001</v>
      </c>
      <c r="N1731">
        <v>-1.527215E-2</v>
      </c>
      <c r="O1731">
        <v>6.6710149999999998E-3</v>
      </c>
      <c r="P1731">
        <v>-0.99720920000000002</v>
      </c>
      <c r="Q1731">
        <v>-7.4308609999999997E-2</v>
      </c>
      <c r="R1731">
        <v>7.2350039999999997E-3</v>
      </c>
      <c r="S1731">
        <v>-3.0060419999999999</v>
      </c>
      <c r="T1731">
        <v>-2.7908209999999999E-2</v>
      </c>
      <c r="U1731">
        <v>3.7353520000000001E-2</v>
      </c>
      <c r="V1731">
        <v>6.3068300000000005E-4</v>
      </c>
      <c r="W1731">
        <v>-5.9069530000000002E-2</v>
      </c>
      <c r="X1731">
        <v>0.99825359999999996</v>
      </c>
      <c r="Y1731">
        <v>5.7530960000000001E-3</v>
      </c>
      <c r="Z1731">
        <v>1.105987E-4</v>
      </c>
      <c r="AA1731">
        <v>0.99998339999999997</v>
      </c>
      <c r="AB1731">
        <v>42</v>
      </c>
      <c r="AC1731">
        <v>-120.3479</v>
      </c>
      <c r="AD1731">
        <v>-1.1211394260850001</v>
      </c>
      <c r="AE1731">
        <v>1.49799999999999</v>
      </c>
      <c r="AF1731">
        <v>0.69497013115602002</v>
      </c>
      <c r="AG1731">
        <v>-1.1211394260850001</v>
      </c>
      <c r="AH1731">
        <v>120.344773359149</v>
      </c>
      <c r="AI1731">
        <v>90.533746720702496</v>
      </c>
      <c r="AJ1731">
        <v>89.669130518378594</v>
      </c>
      <c r="AK1731">
        <v>120.352002110314</v>
      </c>
      <c r="AL1731">
        <v>93.386406272808401</v>
      </c>
      <c r="AM1731">
        <v>89.963801313310697</v>
      </c>
      <c r="AN1731">
        <v>0.99999992852421105</v>
      </c>
    </row>
    <row r="1732" spans="1:40" x14ac:dyDescent="0.25">
      <c r="A1732" t="str">
        <f>"20190303154456582"</f>
        <v>20190303154456582</v>
      </c>
      <c r="B1732" t="str">
        <f>"1551599096572035"</f>
        <v>1551599096572035</v>
      </c>
      <c r="C1732" t="s">
        <v>40</v>
      </c>
      <c r="D1732">
        <v>5.221063</v>
      </c>
      <c r="E1732">
        <v>0.50140129999999905</v>
      </c>
      <c r="F1732" t="s">
        <v>57</v>
      </c>
      <c r="G1732">
        <v>-418.55669999999998</v>
      </c>
      <c r="H1732" s="1">
        <v>3.6261310000000001E-6</v>
      </c>
      <c r="I1732">
        <v>285.73079999999999</v>
      </c>
      <c r="J1732">
        <v>-317.92779999999999</v>
      </c>
      <c r="K1732">
        <v>1.1211580000000001</v>
      </c>
      <c r="L1732">
        <v>284.62020000000001</v>
      </c>
      <c r="M1732">
        <v>-0.99986339999999996</v>
      </c>
      <c r="N1732">
        <v>-1.526746E-2</v>
      </c>
      <c r="O1732">
        <v>6.3378080000000003E-3</v>
      </c>
      <c r="P1732">
        <v>-0.99723600000000001</v>
      </c>
      <c r="Q1732">
        <v>-7.4083510000000005E-2</v>
      </c>
      <c r="R1732">
        <v>5.662673E-3</v>
      </c>
      <c r="S1732">
        <v>-3.0056759999999998</v>
      </c>
      <c r="T1732">
        <v>-3.33513E-2</v>
      </c>
      <c r="U1732">
        <v>3.311157E-2</v>
      </c>
      <c r="V1732">
        <v>-6.0816709999999999E-4</v>
      </c>
      <c r="W1732">
        <v>-5.884992E-2</v>
      </c>
      <c r="X1732">
        <v>0.9982666</v>
      </c>
      <c r="Y1732">
        <v>4.6766669999999998E-3</v>
      </c>
      <c r="Z1732" s="1">
        <v>8.8098629999999999E-5</v>
      </c>
      <c r="AA1732">
        <v>0.99998900000000002</v>
      </c>
      <c r="AB1732">
        <v>42</v>
      </c>
      <c r="AC1732">
        <v>-100.6289</v>
      </c>
      <c r="AD1732">
        <v>-1.121154373869</v>
      </c>
      <c r="AE1732">
        <v>1.1105999999999701</v>
      </c>
      <c r="AF1732">
        <v>0.47267805727769502</v>
      </c>
      <c r="AG1732">
        <v>-1.121154373869</v>
      </c>
      <c r="AH1732">
        <v>100.62142921231199</v>
      </c>
      <c r="AI1732">
        <v>90.638373430530706</v>
      </c>
      <c r="AJ1732">
        <v>89.730849991373304</v>
      </c>
      <c r="AK1732">
        <v>100.628785287333</v>
      </c>
      <c r="AL1732">
        <v>93.373801566566001</v>
      </c>
      <c r="AM1732">
        <v>90.034905909661504</v>
      </c>
      <c r="AN1732">
        <v>0.99999994381339197</v>
      </c>
    </row>
    <row r="1733" spans="1:40" x14ac:dyDescent="0.25">
      <c r="A1733" t="str">
        <f>"20190303154456606"</f>
        <v>20190303154456606</v>
      </c>
      <c r="B1733" t="str">
        <f>"1551599096602290"</f>
        <v>1551599096602290</v>
      </c>
      <c r="C1733" t="s">
        <v>40</v>
      </c>
      <c r="D1733">
        <v>5.2286419999999998</v>
      </c>
      <c r="E1733">
        <v>0.49453399999999997</v>
      </c>
      <c r="F1733" t="s">
        <v>57</v>
      </c>
      <c r="G1733">
        <v>-415.00900000000001</v>
      </c>
      <c r="H1733" s="1">
        <v>3.0192129999999898E-6</v>
      </c>
      <c r="I1733">
        <v>285.47480000000002</v>
      </c>
      <c r="J1733">
        <v>-318.36189999999999</v>
      </c>
      <c r="K1733">
        <v>1.1211739999999999</v>
      </c>
      <c r="L1733">
        <v>284.62259999999998</v>
      </c>
      <c r="M1733">
        <v>-0.99986580000000003</v>
      </c>
      <c r="N1733">
        <v>-1.526255E-2</v>
      </c>
      <c r="O1733">
        <v>5.9582000000000003E-3</v>
      </c>
      <c r="P1733">
        <v>-0.99724669999999904</v>
      </c>
      <c r="Q1733">
        <v>-7.404239E-2</v>
      </c>
      <c r="R1733">
        <v>4.1181289999999999E-3</v>
      </c>
      <c r="S1733">
        <v>-3.0055540000000001</v>
      </c>
      <c r="T1733">
        <v>-3.4710049999999999E-2</v>
      </c>
      <c r="U1733">
        <v>2.6458740000000001E-2</v>
      </c>
      <c r="V1733">
        <v>-1.7715400000000001E-3</v>
      </c>
      <c r="W1733">
        <v>-5.8814760000000001E-2</v>
      </c>
      <c r="X1733">
        <v>0.99826740000000003</v>
      </c>
      <c r="Y1733">
        <v>2.8437219999999999E-3</v>
      </c>
      <c r="Z1733" s="1">
        <v>6.026239E-5</v>
      </c>
      <c r="AA1733">
        <v>0.99999590000000005</v>
      </c>
      <c r="AB1733">
        <v>42</v>
      </c>
      <c r="AC1733">
        <v>-96.647099999999995</v>
      </c>
      <c r="AD1733">
        <v>-1.1211709807869901</v>
      </c>
      <c r="AE1733">
        <v>0.85220000000003804</v>
      </c>
      <c r="AF1733">
        <v>0.27623788317065001</v>
      </c>
      <c r="AG1733">
        <v>-1.1211709807869901</v>
      </c>
      <c r="AH1733">
        <v>96.637458237006598</v>
      </c>
      <c r="AI1733">
        <v>90.664703129564401</v>
      </c>
      <c r="AJ1733">
        <v>89.836220632992195</v>
      </c>
      <c r="AK1733">
        <v>96.644356618715506</v>
      </c>
      <c r="AL1733">
        <v>93.371783165515097</v>
      </c>
      <c r="AM1733">
        <v>90.101677825687801</v>
      </c>
      <c r="AN1733">
        <v>1.0000000581252899</v>
      </c>
    </row>
    <row r="1734" spans="1:40" x14ac:dyDescent="0.25">
      <c r="A1734" t="str">
        <f>"20190303154456628"</f>
        <v>20190303154456628</v>
      </c>
      <c r="B1734" t="str">
        <f>"1551599096622785"</f>
        <v>1551599096622785</v>
      </c>
      <c r="C1734" t="s">
        <v>40</v>
      </c>
      <c r="D1734">
        <v>5.2373459999999996</v>
      </c>
      <c r="E1734">
        <v>0.49508350000000001</v>
      </c>
      <c r="F1734" t="s">
        <v>55</v>
      </c>
      <c r="G1734">
        <v>-353.24790000000002</v>
      </c>
      <c r="H1734" s="1">
        <v>1.9157769999999999E-7</v>
      </c>
      <c r="I1734">
        <v>284.24369999999999</v>
      </c>
      <c r="J1734">
        <v>-318.77839999999998</v>
      </c>
      <c r="K1734">
        <v>1.121191</v>
      </c>
      <c r="L1734">
        <v>284.62470000000002</v>
      </c>
      <c r="M1734">
        <v>-0.99986819999999998</v>
      </c>
      <c r="N1734">
        <v>-1.5257710000000001E-2</v>
      </c>
      <c r="O1734">
        <v>5.5692290000000002E-3</v>
      </c>
      <c r="P1734">
        <v>-0.99723010000000001</v>
      </c>
      <c r="Q1734">
        <v>-7.4319469999999999E-2</v>
      </c>
      <c r="R1734">
        <v>2.966055E-3</v>
      </c>
      <c r="S1734">
        <v>-3.0012509999999999</v>
      </c>
      <c r="T1734">
        <v>-9.6454860000000003E-2</v>
      </c>
      <c r="U1734">
        <v>-3.259277E-2</v>
      </c>
      <c r="V1734">
        <v>-2.5326390000000002E-3</v>
      </c>
      <c r="W1734">
        <v>-5.9097789999999997E-2</v>
      </c>
      <c r="X1734">
        <v>0.99824900000000005</v>
      </c>
      <c r="Y1734">
        <v>-1.641517E-2</v>
      </c>
      <c r="Z1734">
        <v>-4.8295899999999998E-4</v>
      </c>
      <c r="AA1734">
        <v>0.99986520000000001</v>
      </c>
      <c r="AB1734">
        <v>42</v>
      </c>
      <c r="AC1734">
        <v>-34.469499999999996</v>
      </c>
      <c r="AD1734">
        <v>-1.1211908084222999</v>
      </c>
      <c r="AE1734">
        <v>-0.38100000000002798</v>
      </c>
      <c r="AF1734">
        <v>-0.57237944734060597</v>
      </c>
      <c r="AG1734">
        <v>-1.1211908084222999</v>
      </c>
      <c r="AH1734">
        <v>34.430419968702402</v>
      </c>
      <c r="AI1734">
        <v>91.864860885652902</v>
      </c>
      <c r="AJ1734">
        <v>90.952410862759507</v>
      </c>
      <c r="AK1734">
        <v>34.4534251748915</v>
      </c>
      <c r="AL1734">
        <v>93.388027993549898</v>
      </c>
      <c r="AM1734">
        <v>90.145363746305094</v>
      </c>
      <c r="AN1734">
        <v>1.00000001452209</v>
      </c>
    </row>
    <row r="1735" spans="1:40" x14ac:dyDescent="0.25">
      <c r="A1735" t="str">
        <f>"20190303154456652"</f>
        <v>20190303154456652</v>
      </c>
      <c r="B1735" t="str">
        <f>"1551599096642305"</f>
        <v>1551599096642305</v>
      </c>
      <c r="C1735" t="s">
        <v>40</v>
      </c>
      <c r="D1735">
        <v>5.2205510000000004</v>
      </c>
      <c r="E1735">
        <v>0.49553209999999998</v>
      </c>
      <c r="F1735" t="s">
        <v>55</v>
      </c>
      <c r="G1735">
        <v>-352.66550000000001</v>
      </c>
      <c r="H1735" s="1">
        <v>-1.183315E-7</v>
      </c>
      <c r="I1735">
        <v>284.26870000000002</v>
      </c>
      <c r="J1735">
        <v>-319.19900000000001</v>
      </c>
      <c r="K1735">
        <v>1.1212150000000001</v>
      </c>
      <c r="L1735">
        <v>284.62670000000003</v>
      </c>
      <c r="M1735">
        <v>-0.9998705</v>
      </c>
      <c r="N1735">
        <v>-1.525259E-2</v>
      </c>
      <c r="O1735">
        <v>5.1435669999999999E-3</v>
      </c>
      <c r="P1735">
        <v>-0.99719349999999995</v>
      </c>
      <c r="Q1735">
        <v>-7.4825779999999995E-2</v>
      </c>
      <c r="R1735">
        <v>2.5598209999999999E-3</v>
      </c>
      <c r="S1735">
        <v>-3.0010680000000001</v>
      </c>
      <c r="T1735">
        <v>-9.9293350000000002E-2</v>
      </c>
      <c r="U1735">
        <v>-3.1524660000000003E-2</v>
      </c>
      <c r="V1735">
        <v>-2.5097140000000001E-3</v>
      </c>
      <c r="W1735">
        <v>-5.9609860000000001E-2</v>
      </c>
      <c r="X1735">
        <v>0.99821859999999996</v>
      </c>
      <c r="Y1735">
        <v>-1.563432E-2</v>
      </c>
      <c r="Z1735">
        <v>-4.6953689999999998E-4</v>
      </c>
      <c r="AA1735">
        <v>0.99987769999999998</v>
      </c>
      <c r="AB1735">
        <v>42</v>
      </c>
      <c r="AC1735">
        <v>-33.466500000000003</v>
      </c>
      <c r="AD1735">
        <v>-1.1212151183315</v>
      </c>
      <c r="AE1735">
        <v>-0.35800000000000398</v>
      </c>
      <c r="AF1735">
        <v>-0.52955814370922005</v>
      </c>
      <c r="AG1735">
        <v>-1.1212151183315</v>
      </c>
      <c r="AH1735">
        <v>33.426700914237202</v>
      </c>
      <c r="AI1735">
        <v>91.920882564007499</v>
      </c>
      <c r="AJ1735">
        <v>90.907624977085106</v>
      </c>
      <c r="AK1735">
        <v>33.449691914560397</v>
      </c>
      <c r="AL1735">
        <v>93.4174192967658</v>
      </c>
      <c r="AM1735">
        <v>90.144052331823801</v>
      </c>
      <c r="AN1735">
        <v>1.00000000372977</v>
      </c>
    </row>
    <row r="1736" spans="1:40" x14ac:dyDescent="0.25">
      <c r="A1736" t="str">
        <f>"20190303154456673"</f>
        <v>20190303154456673</v>
      </c>
      <c r="B1736" t="str">
        <f>"1551599096662801"</f>
        <v>1551599096662801</v>
      </c>
      <c r="C1736" t="s">
        <v>40</v>
      </c>
      <c r="D1736">
        <v>5.2106529999999998</v>
      </c>
      <c r="E1736">
        <v>0.4958013</v>
      </c>
      <c r="F1736" t="s">
        <v>55</v>
      </c>
      <c r="G1736">
        <v>-353.03199999999998</v>
      </c>
      <c r="H1736" s="1">
        <v>7.6697289999999995E-8</v>
      </c>
      <c r="I1736">
        <v>284.29849999999999</v>
      </c>
      <c r="J1736">
        <v>-319.61180000000002</v>
      </c>
      <c r="K1736">
        <v>1.121248</v>
      </c>
      <c r="L1736">
        <v>284.6284</v>
      </c>
      <c r="M1736">
        <v>-0.99987280000000001</v>
      </c>
      <c r="N1736">
        <v>-1.524797E-2</v>
      </c>
      <c r="O1736">
        <v>4.6849550000000002E-3</v>
      </c>
      <c r="P1736">
        <v>-0.99714049999999999</v>
      </c>
      <c r="Q1736">
        <v>-7.5526360000000001E-2</v>
      </c>
      <c r="R1736">
        <v>2.622723E-3</v>
      </c>
      <c r="S1736">
        <v>-3.001099</v>
      </c>
      <c r="T1736">
        <v>-9.9455360000000007E-2</v>
      </c>
      <c r="U1736">
        <v>-2.9113770000000001E-2</v>
      </c>
      <c r="V1736">
        <v>-1.9836630000000001E-3</v>
      </c>
      <c r="W1736">
        <v>-6.031537E-2</v>
      </c>
      <c r="X1736">
        <v>0.99817739999999999</v>
      </c>
      <c r="Y1736">
        <v>-1.4373479999999999E-2</v>
      </c>
      <c r="Z1736">
        <v>-4.3151540000000002E-4</v>
      </c>
      <c r="AA1736">
        <v>0.99989660000000002</v>
      </c>
      <c r="AB1736">
        <v>41</v>
      </c>
      <c r="AC1736">
        <v>-33.420199999999902</v>
      </c>
      <c r="AD1736">
        <v>-1.1212479233027099</v>
      </c>
      <c r="AE1736">
        <v>-0.32990000000000902</v>
      </c>
      <c r="AF1736">
        <v>-0.48593978941351601</v>
      </c>
      <c r="AG1736">
        <v>-1.1212479233027099</v>
      </c>
      <c r="AH1736">
        <v>33.380717627078802</v>
      </c>
      <c r="AI1736">
        <v>91.923620438892399</v>
      </c>
      <c r="AJ1736">
        <v>90.834024385110993</v>
      </c>
      <c r="AK1736">
        <v>33.403078356391298</v>
      </c>
      <c r="AL1736">
        <v>93.457914921513904</v>
      </c>
      <c r="AM1736">
        <v>90.113862894768602</v>
      </c>
      <c r="AN1736">
        <v>1.00000000032394</v>
      </c>
    </row>
    <row r="1737" spans="1:40" x14ac:dyDescent="0.25">
      <c r="A1737" t="str">
        <f>"20190303154456695"</f>
        <v>20190303154456695</v>
      </c>
      <c r="B1737" t="str">
        <f>"1551599096692081"</f>
        <v>1551599096692081</v>
      </c>
      <c r="C1737" t="s">
        <v>40</v>
      </c>
      <c r="D1737">
        <v>5.1993400000000003</v>
      </c>
      <c r="E1737">
        <v>0.49587290000000001</v>
      </c>
      <c r="F1737" t="s">
        <v>55</v>
      </c>
      <c r="G1737">
        <v>-353.01199999999898</v>
      </c>
      <c r="H1737" s="1">
        <v>6.6059779999999901E-8</v>
      </c>
      <c r="I1737">
        <v>284.33019999999999</v>
      </c>
      <c r="J1737">
        <v>-320.0145</v>
      </c>
      <c r="K1737">
        <v>1.121283</v>
      </c>
      <c r="L1737">
        <v>284.62990000000002</v>
      </c>
      <c r="M1737">
        <v>-0.99987490000000001</v>
      </c>
      <c r="N1737">
        <v>-1.524384E-2</v>
      </c>
      <c r="O1737">
        <v>4.1932829999999999E-3</v>
      </c>
      <c r="P1737">
        <v>-0.99716450000000001</v>
      </c>
      <c r="Q1737">
        <v>-7.5217220000000001E-2</v>
      </c>
      <c r="R1737">
        <v>2.2473089999999999E-3</v>
      </c>
      <c r="S1737">
        <v>-3.0010680000000001</v>
      </c>
      <c r="T1737">
        <v>-0.10074619999999999</v>
      </c>
      <c r="U1737">
        <v>-2.6794430000000001E-2</v>
      </c>
      <c r="V1737">
        <v>-1.8647049999999999E-3</v>
      </c>
      <c r="W1737">
        <v>-6.0010090000000002E-2</v>
      </c>
      <c r="X1737">
        <v>0.99819599999999997</v>
      </c>
      <c r="Y1737">
        <v>-1.311002E-2</v>
      </c>
      <c r="Z1737">
        <v>-3.9677089999999999E-4</v>
      </c>
      <c r="AA1737">
        <v>0.99991399999999997</v>
      </c>
      <c r="AB1737">
        <v>41</v>
      </c>
      <c r="AC1737">
        <v>-32.997499999999903</v>
      </c>
      <c r="AD1737">
        <v>-1.1212829339402199</v>
      </c>
      <c r="AE1737">
        <v>-0.299700000000029</v>
      </c>
      <c r="AF1737">
        <v>-0.43757608881921201</v>
      </c>
      <c r="AG1737">
        <v>-1.1212829339402199</v>
      </c>
      <c r="AH1737">
        <v>32.957899674224798</v>
      </c>
      <c r="AI1737">
        <v>91.948375209436307</v>
      </c>
      <c r="AJ1737">
        <v>90.760661036413197</v>
      </c>
      <c r="AK1737">
        <v>32.979871121454003</v>
      </c>
      <c r="AL1737">
        <v>93.440392024659701</v>
      </c>
      <c r="AM1737">
        <v>90.107032689228902</v>
      </c>
      <c r="AN1737">
        <v>0.99999997122127204</v>
      </c>
    </row>
    <row r="1738" spans="1:40" x14ac:dyDescent="0.25">
      <c r="A1738" t="str">
        <f>"20190303154456717"</f>
        <v>20190303154456717</v>
      </c>
      <c r="B1738" t="str">
        <f>"1551599096712578"</f>
        <v>1551599096712578</v>
      </c>
      <c r="C1738" t="s">
        <v>40</v>
      </c>
      <c r="D1738">
        <v>5.2063670000000002</v>
      </c>
      <c r="E1738">
        <v>0.4959384</v>
      </c>
      <c r="F1738" t="s">
        <v>55</v>
      </c>
      <c r="G1738">
        <v>-352.56950000000001</v>
      </c>
      <c r="H1738" s="1">
        <v>-1.6941440000000001E-7</v>
      </c>
      <c r="I1738">
        <v>284.33089999999999</v>
      </c>
      <c r="J1738">
        <v>-320.41980000000001</v>
      </c>
      <c r="K1738">
        <v>1.1213280000000001</v>
      </c>
      <c r="L1738">
        <v>284.6311</v>
      </c>
      <c r="M1738">
        <v>-0.99987720000000002</v>
      </c>
      <c r="N1738">
        <v>-1.5239839999999999E-2</v>
      </c>
      <c r="O1738">
        <v>3.6506009999999998E-3</v>
      </c>
      <c r="P1738">
        <v>-0.99714150000000001</v>
      </c>
      <c r="Q1738">
        <v>-7.5544E-2</v>
      </c>
      <c r="R1738">
        <v>1.3882790000000001E-3</v>
      </c>
      <c r="S1738">
        <v>-3.0008240000000002</v>
      </c>
      <c r="T1738">
        <v>-0.10335660000000001</v>
      </c>
      <c r="U1738">
        <v>-2.7557370000000001E-2</v>
      </c>
      <c r="V1738">
        <v>-2.1754750000000001E-3</v>
      </c>
      <c r="W1738">
        <v>-6.0341789999999999E-2</v>
      </c>
      <c r="X1738">
        <v>0.99817540000000005</v>
      </c>
      <c r="Y1738">
        <v>-1.282205E-2</v>
      </c>
      <c r="Z1738">
        <v>-3.8856550000000001E-4</v>
      </c>
      <c r="AA1738">
        <v>0.99991770000000002</v>
      </c>
      <c r="AB1738">
        <v>41</v>
      </c>
      <c r="AC1738">
        <v>-32.149700000000003</v>
      </c>
      <c r="AD1738">
        <v>-1.1213281694143999</v>
      </c>
      <c r="AE1738">
        <v>-0.30020000000001801</v>
      </c>
      <c r="AF1738">
        <v>-0.41707003718839603</v>
      </c>
      <c r="AG1738">
        <v>-1.1213281694143999</v>
      </c>
      <c r="AH1738">
        <v>32.109332131767502</v>
      </c>
      <c r="AI1738">
        <v>91.9999126757927</v>
      </c>
      <c r="AJ1738">
        <v>90.744176460406607</v>
      </c>
      <c r="AK1738">
        <v>32.131612692605401</v>
      </c>
      <c r="AL1738">
        <v>93.459431450652204</v>
      </c>
      <c r="AM1738">
        <v>90.124873182189205</v>
      </c>
      <c r="AN1738">
        <v>0.99999999673851903</v>
      </c>
    </row>
    <row r="1739" spans="1:40" x14ac:dyDescent="0.25">
      <c r="A1739" t="str">
        <f>"20190303154456739"</f>
        <v>20190303154456739</v>
      </c>
      <c r="B1739" t="str">
        <f>"1551599096732097"</f>
        <v>1551599096732097</v>
      </c>
      <c r="C1739" t="s">
        <v>40</v>
      </c>
      <c r="D1739">
        <v>5.1556129999999998</v>
      </c>
      <c r="E1739">
        <v>0.49598740000000002</v>
      </c>
      <c r="F1739" t="s">
        <v>55</v>
      </c>
      <c r="G1739">
        <v>-352.38150000000002</v>
      </c>
      <c r="H1739" s="1">
        <v>-2.6948380000000002E-7</v>
      </c>
      <c r="I1739">
        <v>284.31540000000001</v>
      </c>
      <c r="J1739">
        <v>-320.83229999999998</v>
      </c>
      <c r="K1739">
        <v>1.121373</v>
      </c>
      <c r="L1739">
        <v>284.63209999999998</v>
      </c>
      <c r="M1739">
        <v>-0.99987939999999997</v>
      </c>
      <c r="N1739">
        <v>-1.5235800000000001E-2</v>
      </c>
      <c r="O1739">
        <v>3.0493040000000001E-3</v>
      </c>
      <c r="P1739">
        <v>-0.99711490000000003</v>
      </c>
      <c r="Q1739">
        <v>-7.5904440000000004E-2</v>
      </c>
      <c r="R1739">
        <v>8.8164859999999995E-4</v>
      </c>
      <c r="S1739">
        <v>-3.0006710000000001</v>
      </c>
      <c r="T1739">
        <v>-0.10527400000000001</v>
      </c>
      <c r="U1739">
        <v>-2.963257E-2</v>
      </c>
      <c r="V1739">
        <v>-2.075E-3</v>
      </c>
      <c r="W1739">
        <v>-6.0706749999999997E-2</v>
      </c>
      <c r="X1739">
        <v>0.99815350000000003</v>
      </c>
      <c r="Y1739">
        <v>-1.29123E-2</v>
      </c>
      <c r="Z1739">
        <v>-3.8533810000000002E-4</v>
      </c>
      <c r="AA1739">
        <v>0.99991660000000004</v>
      </c>
      <c r="AB1739">
        <v>41</v>
      </c>
      <c r="AC1739">
        <v>-31.549199999999999</v>
      </c>
      <c r="AD1739">
        <v>-1.1213732694837999</v>
      </c>
      <c r="AE1739">
        <v>-0.31669999999996801</v>
      </c>
      <c r="AF1739">
        <v>-0.41239184235316301</v>
      </c>
      <c r="AG1739">
        <v>-1.1213732694837999</v>
      </c>
      <c r="AH1739">
        <v>31.508285480013999</v>
      </c>
      <c r="AI1739">
        <v>92.038110061165398</v>
      </c>
      <c r="AJ1739">
        <v>90.749865079405893</v>
      </c>
      <c r="AK1739">
        <v>31.530930828810199</v>
      </c>
      <c r="AL1739">
        <v>93.480380469551605</v>
      </c>
      <c r="AM1739">
        <v>90.119108505082707</v>
      </c>
      <c r="AN1739">
        <v>1.0000000123413999</v>
      </c>
    </row>
    <row r="1740" spans="1:40" x14ac:dyDescent="0.25">
      <c r="A1740" t="str">
        <f>"20190303154456761"</f>
        <v>20190303154456761</v>
      </c>
      <c r="B1740" t="str">
        <f>"1551599096752593"</f>
        <v>1551599096752593</v>
      </c>
      <c r="C1740" t="s">
        <v>40</v>
      </c>
      <c r="D1740">
        <v>5.198626</v>
      </c>
      <c r="E1740">
        <v>0.49619459999999999</v>
      </c>
      <c r="F1740" t="s">
        <v>55</v>
      </c>
      <c r="G1740">
        <v>-352.06380000000001</v>
      </c>
      <c r="H1740" s="1">
        <v>-4.3854540000000001E-7</v>
      </c>
      <c r="I1740">
        <v>284.31279999999998</v>
      </c>
      <c r="J1740">
        <v>-321.22899999999998</v>
      </c>
      <c r="K1740">
        <v>1.121418</v>
      </c>
      <c r="L1740">
        <v>284.63279999999997</v>
      </c>
      <c r="M1740">
        <v>-0.99988109999999997</v>
      </c>
      <c r="N1740">
        <v>-1.523187E-2</v>
      </c>
      <c r="O1740">
        <v>2.4280690000000001E-3</v>
      </c>
      <c r="P1740">
        <v>-0.99707190000000001</v>
      </c>
      <c r="Q1740">
        <v>-7.6471049999999999E-2</v>
      </c>
      <c r="R1740" s="1">
        <v>8.4084689999999997E-5</v>
      </c>
      <c r="S1740">
        <v>-3.0005190000000002</v>
      </c>
      <c r="T1740">
        <v>-0.1077342</v>
      </c>
      <c r="U1740">
        <v>-3.067017E-2</v>
      </c>
      <c r="V1740">
        <v>-2.2462659999999998E-3</v>
      </c>
      <c r="W1740">
        <v>-6.1278350000000002E-2</v>
      </c>
      <c r="X1740">
        <v>0.99811819999999896</v>
      </c>
      <c r="Y1740">
        <v>-1.263716E-2</v>
      </c>
      <c r="Z1740">
        <v>-3.7325889999999999E-4</v>
      </c>
      <c r="AA1740">
        <v>0.99992009999999998</v>
      </c>
      <c r="AB1740">
        <v>41</v>
      </c>
      <c r="AC1740">
        <v>-30.834799999999898</v>
      </c>
      <c r="AD1740">
        <v>-1.12141843854539</v>
      </c>
      <c r="AE1740">
        <v>-0.31999999999999301</v>
      </c>
      <c r="AF1740">
        <v>-0.39435521313692801</v>
      </c>
      <c r="AG1740">
        <v>-1.12141843854539</v>
      </c>
      <c r="AH1740">
        <v>30.7932069970261</v>
      </c>
      <c r="AI1740">
        <v>92.085489174701905</v>
      </c>
      <c r="AJ1740">
        <v>90.733722025674894</v>
      </c>
      <c r="AK1740">
        <v>30.8161433750256</v>
      </c>
      <c r="AL1740">
        <v>93.513191827502396</v>
      </c>
      <c r="AM1740">
        <v>90.128943990986002</v>
      </c>
      <c r="AN1740">
        <v>1.0000000115304499</v>
      </c>
    </row>
    <row r="1741" spans="1:40" x14ac:dyDescent="0.25">
      <c r="A1741" t="str">
        <f>"20190303154456784"</f>
        <v>20190303154456784</v>
      </c>
      <c r="B1741" t="str">
        <f>"1551599096772115"</f>
        <v>1551599096772115</v>
      </c>
      <c r="C1741" t="s">
        <v>40</v>
      </c>
      <c r="D1741">
        <v>5.1758280000000001</v>
      </c>
      <c r="E1741">
        <v>0.49651250000000002</v>
      </c>
      <c r="F1741" t="s">
        <v>55</v>
      </c>
      <c r="G1741">
        <v>-351.6728</v>
      </c>
      <c r="H1741" s="1">
        <v>-6.4660589999999999E-7</v>
      </c>
      <c r="I1741">
        <v>284.31509999999997</v>
      </c>
      <c r="J1741">
        <v>-321.65649999999999</v>
      </c>
      <c r="K1741">
        <v>1.1214599999999999</v>
      </c>
      <c r="L1741">
        <v>284.63310000000001</v>
      </c>
      <c r="M1741">
        <v>-0.99988250000000001</v>
      </c>
      <c r="N1741">
        <v>-1.5227259999999999E-2</v>
      </c>
      <c r="O1741">
        <v>1.7153139999999999E-3</v>
      </c>
      <c r="P1741">
        <v>-0.99699340000000003</v>
      </c>
      <c r="Q1741">
        <v>-7.7488230000000005E-2</v>
      </c>
      <c r="R1741" s="1">
        <v>6.8159540000000006E-5</v>
      </c>
      <c r="S1741">
        <v>-3.0003660000000001</v>
      </c>
      <c r="T1741">
        <v>-0.1105207</v>
      </c>
      <c r="U1741">
        <v>-3.1311039999999998E-2</v>
      </c>
      <c r="V1741">
        <v>-1.5432039999999901E-3</v>
      </c>
      <c r="W1741">
        <v>-6.2300319999999999E-2</v>
      </c>
      <c r="X1741">
        <v>0.99805619999999995</v>
      </c>
      <c r="Y1741">
        <v>-1.213854E-2</v>
      </c>
      <c r="Z1741">
        <v>-3.5300149999999998E-4</v>
      </c>
      <c r="AA1741">
        <v>0.99992630000000005</v>
      </c>
      <c r="AB1741">
        <v>41</v>
      </c>
      <c r="AC1741">
        <v>-30.016300000000001</v>
      </c>
      <c r="AD1741">
        <v>-1.1214606466058901</v>
      </c>
      <c r="AE1741">
        <v>-0.31800000000003997</v>
      </c>
      <c r="AF1741">
        <v>-0.36897788860340902</v>
      </c>
      <c r="AG1741">
        <v>-1.1214606466058901</v>
      </c>
      <c r="AH1741">
        <v>29.9738745147237</v>
      </c>
      <c r="AI1741">
        <v>92.142537277670598</v>
      </c>
      <c r="AJ1741">
        <v>90.7052744539793</v>
      </c>
      <c r="AK1741">
        <v>29.997116062857899</v>
      </c>
      <c r="AL1741">
        <v>93.571858735147003</v>
      </c>
      <c r="AM1741">
        <v>90.088591209257302</v>
      </c>
      <c r="AN1741">
        <v>0.99999994485456201</v>
      </c>
    </row>
    <row r="1742" spans="1:40" x14ac:dyDescent="0.25">
      <c r="A1742" t="str">
        <f>"20190303154456806"</f>
        <v>20190303154456806</v>
      </c>
      <c r="B1742" t="str">
        <f>"1551599096802370"</f>
        <v>1551599096802370</v>
      </c>
      <c r="C1742" t="s">
        <v>40</v>
      </c>
      <c r="D1742">
        <v>5.0777390000000002</v>
      </c>
      <c r="E1742">
        <v>0.49691669999999999</v>
      </c>
      <c r="F1742" t="s">
        <v>55</v>
      </c>
      <c r="G1742">
        <v>-351.34030000000001</v>
      </c>
      <c r="H1742" s="1">
        <v>-8.235647E-7</v>
      </c>
      <c r="I1742">
        <v>284.34719999999999</v>
      </c>
      <c r="J1742">
        <v>-322.053</v>
      </c>
      <c r="K1742">
        <v>1.1214900000000001</v>
      </c>
      <c r="L1742">
        <v>284.63319999999999</v>
      </c>
      <c r="M1742">
        <v>-0.99988370000000004</v>
      </c>
      <c r="N1742">
        <v>-1.5222930000000001E-2</v>
      </c>
      <c r="O1742">
        <v>1.026162E-3</v>
      </c>
      <c r="P1742">
        <v>-0.99698750000000003</v>
      </c>
      <c r="Q1742">
        <v>-7.7563409999999999E-2</v>
      </c>
      <c r="R1742">
        <v>-2.712514E-4</v>
      </c>
      <c r="S1742">
        <v>-3.0002749999999998</v>
      </c>
      <c r="T1742">
        <v>-0.1133512</v>
      </c>
      <c r="U1742">
        <v>-2.8900149999999999E-2</v>
      </c>
      <c r="V1742">
        <v>-1.1900719999999999E-3</v>
      </c>
      <c r="W1742">
        <v>-6.2379419999999998E-2</v>
      </c>
      <c r="X1742">
        <v>0.99805180000000004</v>
      </c>
      <c r="Y1742">
        <v>-1.064736E-2</v>
      </c>
      <c r="Z1742">
        <v>-3.0527849999999998E-4</v>
      </c>
      <c r="AA1742">
        <v>0.99994329999999998</v>
      </c>
      <c r="AB1742">
        <v>41</v>
      </c>
      <c r="AC1742">
        <v>-29.287299999999998</v>
      </c>
      <c r="AD1742">
        <v>-1.1214908235647001</v>
      </c>
      <c r="AE1742">
        <v>-0.28600000000000098</v>
      </c>
      <c r="AF1742">
        <v>-0.315594121400466</v>
      </c>
      <c r="AG1742">
        <v>-1.1214908235647001</v>
      </c>
      <c r="AH1742">
        <v>29.2441135237396</v>
      </c>
      <c r="AI1742">
        <v>92.196048196420705</v>
      </c>
      <c r="AJ1742">
        <v>90.618295687837701</v>
      </c>
      <c r="AK1742">
        <v>29.267311408910999</v>
      </c>
      <c r="AL1742">
        <v>93.576399459489096</v>
      </c>
      <c r="AM1742">
        <v>90.068319170007896</v>
      </c>
      <c r="AN1742">
        <v>1.0000000018970701</v>
      </c>
    </row>
    <row r="1743" spans="1:40" x14ac:dyDescent="0.25">
      <c r="A1743" t="str">
        <f>"20190303154456830"</f>
        <v>20190303154456830</v>
      </c>
      <c r="B1743" t="str">
        <f>"1551599096821889"</f>
        <v>1551599096821889</v>
      </c>
      <c r="C1743" t="s">
        <v>40</v>
      </c>
      <c r="D1743">
        <v>5.0786239999999996</v>
      </c>
      <c r="E1743">
        <v>0.49703269999999999</v>
      </c>
      <c r="F1743" t="s">
        <v>55</v>
      </c>
      <c r="G1743">
        <v>-351.71019999999999</v>
      </c>
      <c r="H1743" s="1">
        <v>-6.2668919999999997E-7</v>
      </c>
      <c r="I1743">
        <v>284.36529999999999</v>
      </c>
      <c r="J1743">
        <v>-322.49650000000003</v>
      </c>
      <c r="K1743">
        <v>1.1215219999999999</v>
      </c>
      <c r="L1743">
        <v>284.63290000000001</v>
      </c>
      <c r="M1743">
        <v>-0.9998842</v>
      </c>
      <c r="N1743">
        <v>-1.521815E-2</v>
      </c>
      <c r="O1743">
        <v>2.3225019999999999E-4</v>
      </c>
      <c r="P1743">
        <v>-0.99700219999999995</v>
      </c>
      <c r="Q1743">
        <v>-7.7369850000000004E-2</v>
      </c>
      <c r="R1743">
        <v>-8.6798509999999997E-4</v>
      </c>
      <c r="S1743">
        <v>-3.0002140000000002</v>
      </c>
      <c r="T1743">
        <v>-0.113453399999999</v>
      </c>
      <c r="U1743">
        <v>-2.709961E-2</v>
      </c>
      <c r="V1743">
        <v>-9.9163060000000006E-4</v>
      </c>
      <c r="W1743">
        <v>-6.2190200000000001E-2</v>
      </c>
      <c r="X1743">
        <v>0.99806379999999995</v>
      </c>
      <c r="Y1743">
        <v>-9.255124E-3</v>
      </c>
      <c r="Z1743">
        <v>-2.5063480000000001E-4</v>
      </c>
      <c r="AA1743">
        <v>0.99995710000000004</v>
      </c>
      <c r="AB1743">
        <v>41</v>
      </c>
      <c r="AC1743">
        <v>-29.2136999999999</v>
      </c>
      <c r="AD1743">
        <v>-1.1215226266892</v>
      </c>
      <c r="AE1743">
        <v>-0.26760000000001499</v>
      </c>
      <c r="AF1743">
        <v>-0.27398190131087302</v>
      </c>
      <c r="AG1743">
        <v>-1.1215226266892</v>
      </c>
      <c r="AH1743">
        <v>29.170648524516999</v>
      </c>
      <c r="AI1743">
        <v>92.201666840866693</v>
      </c>
      <c r="AJ1743">
        <v>90.538128077945103</v>
      </c>
      <c r="AK1743">
        <v>29.1934858217605</v>
      </c>
      <c r="AL1743">
        <v>93.5655369518051</v>
      </c>
      <c r="AM1743">
        <v>90.056926450514098</v>
      </c>
      <c r="AN1743">
        <v>0.99999997658886297</v>
      </c>
    </row>
    <row r="1744" spans="1:40" x14ac:dyDescent="0.25">
      <c r="A1744" t="str">
        <f>"20190303154456853"</f>
        <v>20190303154456853</v>
      </c>
      <c r="B1744" t="str">
        <f>"1551599096842387"</f>
        <v>1551599096842387</v>
      </c>
      <c r="C1744" t="s">
        <v>40</v>
      </c>
      <c r="D1744">
        <v>5.0189409999999999</v>
      </c>
      <c r="E1744">
        <v>0.49712020000000001</v>
      </c>
      <c r="F1744" t="s">
        <v>55</v>
      </c>
      <c r="G1744">
        <v>-352.34679999999997</v>
      </c>
      <c r="H1744" s="1">
        <v>-2.879518E-7</v>
      </c>
      <c r="I1744">
        <v>284.35410000000002</v>
      </c>
      <c r="J1744">
        <v>-322.90750000000003</v>
      </c>
      <c r="K1744">
        <v>1.12155</v>
      </c>
      <c r="L1744">
        <v>284.63229999999999</v>
      </c>
      <c r="M1744">
        <v>-0.99988410000000005</v>
      </c>
      <c r="N1744">
        <v>-1.521367E-2</v>
      </c>
      <c r="O1744">
        <v>-5.1762909999999995E-4</v>
      </c>
      <c r="P1744">
        <v>-0.99703600000000003</v>
      </c>
      <c r="Q1744">
        <v>-7.6907690000000001E-2</v>
      </c>
      <c r="R1744">
        <v>-2.1128079999999999E-3</v>
      </c>
      <c r="S1744">
        <v>-3.0001829999999998</v>
      </c>
      <c r="T1744">
        <v>-0.1127214</v>
      </c>
      <c r="U1744">
        <v>-2.8015140000000001E-2</v>
      </c>
      <c r="V1744">
        <v>-1.4861480000000001E-3</v>
      </c>
      <c r="W1744">
        <v>-6.1732960000000003E-2</v>
      </c>
      <c r="X1744">
        <v>0.99809159999999997</v>
      </c>
      <c r="Y1744">
        <v>-8.8111289999999991E-3</v>
      </c>
      <c r="Z1744">
        <v>-2.2095799999999999E-4</v>
      </c>
      <c r="AA1744">
        <v>0.99996110000000005</v>
      </c>
      <c r="AB1744">
        <v>41</v>
      </c>
      <c r="AC1744">
        <v>-29.4392999999999</v>
      </c>
      <c r="AD1744">
        <v>-1.1215502879518</v>
      </c>
      <c r="AE1744">
        <v>-0.27819999999996903</v>
      </c>
      <c r="AF1744">
        <v>-0.26257849165834601</v>
      </c>
      <c r="AG1744">
        <v>-1.1215502879518</v>
      </c>
      <c r="AH1744">
        <v>29.3967778520678</v>
      </c>
      <c r="AI1744">
        <v>92.184810431315796</v>
      </c>
      <c r="AJ1744">
        <v>90.511764906610793</v>
      </c>
      <c r="AK1744">
        <v>29.419336678390799</v>
      </c>
      <c r="AL1744">
        <v>93.539288494568396</v>
      </c>
      <c r="AM1744">
        <v>90.085312756067097</v>
      </c>
      <c r="AN1744">
        <v>1.0000000044883901</v>
      </c>
    </row>
    <row r="1745" spans="1:40" x14ac:dyDescent="0.25">
      <c r="A1745" t="str">
        <f>"20190303154456873"</f>
        <v>20190303154456873</v>
      </c>
      <c r="B1745" t="str">
        <f>"1551599096861907"</f>
        <v>1551599096861907</v>
      </c>
      <c r="C1745" t="s">
        <v>40</v>
      </c>
      <c r="D1745">
        <v>5.1515620000000002</v>
      </c>
      <c r="E1745">
        <v>0.4971544</v>
      </c>
      <c r="F1745" t="s">
        <v>55</v>
      </c>
      <c r="G1745">
        <v>-353.16500000000002</v>
      </c>
      <c r="H1745" s="1">
        <v>1.4747640000000001E-7</v>
      </c>
      <c r="I1745">
        <v>284.3186</v>
      </c>
      <c r="J1745">
        <v>-323.28539999999998</v>
      </c>
      <c r="K1745">
        <v>1.121567</v>
      </c>
      <c r="L1745">
        <v>284.63150000000002</v>
      </c>
      <c r="M1745">
        <v>-0.99988370000000004</v>
      </c>
      <c r="N1745">
        <v>-1.5209479999999999E-2</v>
      </c>
      <c r="O1745">
        <v>-1.2141739999999999E-3</v>
      </c>
      <c r="P1745">
        <v>-0.99708680000000005</v>
      </c>
      <c r="Q1745">
        <v>-7.6190419999999995E-2</v>
      </c>
      <c r="R1745">
        <v>-3.6854779999999998E-3</v>
      </c>
      <c r="S1745">
        <v>-3.0002140000000002</v>
      </c>
      <c r="T1745">
        <v>-0.11120819999999999</v>
      </c>
      <c r="U1745">
        <v>-3.1097409999999999E-2</v>
      </c>
      <c r="V1745">
        <v>-2.3633840000000001E-3</v>
      </c>
      <c r="W1745">
        <v>-6.1020770000000002E-2</v>
      </c>
      <c r="X1745">
        <v>0.99813370000000001</v>
      </c>
      <c r="Y1745">
        <v>-9.1416870000000008E-3</v>
      </c>
      <c r="Z1745">
        <v>-2.1239849999999999E-4</v>
      </c>
      <c r="AA1745">
        <v>0.99995820000000002</v>
      </c>
      <c r="AB1745">
        <v>41</v>
      </c>
      <c r="AC1745">
        <v>-29.8796</v>
      </c>
      <c r="AD1745">
        <v>-1.1215668525236</v>
      </c>
      <c r="AE1745">
        <v>-0.312900000000013</v>
      </c>
      <c r="AF1745">
        <v>-0.27622739030567101</v>
      </c>
      <c r="AG1745">
        <v>-1.1215668525236</v>
      </c>
      <c r="AH1745">
        <v>29.837921896593201</v>
      </c>
      <c r="AI1745">
        <v>92.152564725812496</v>
      </c>
      <c r="AJ1745">
        <v>90.530405957805897</v>
      </c>
      <c r="AK1745">
        <v>29.8602712124828</v>
      </c>
      <c r="AL1745">
        <v>93.498405945675898</v>
      </c>
      <c r="AM1745">
        <v>90.1356648668486</v>
      </c>
      <c r="AN1745">
        <v>1.0000000015154999</v>
      </c>
    </row>
    <row r="1746" spans="1:40" x14ac:dyDescent="0.25">
      <c r="A1746" t="str">
        <f>"20190303154456897"</f>
        <v>20190303154456897</v>
      </c>
      <c r="B1746" t="str">
        <f>"1551599096892162"</f>
        <v>1551599096892162</v>
      </c>
      <c r="C1746" t="s">
        <v>40</v>
      </c>
      <c r="D1746">
        <v>4.9857209999999998</v>
      </c>
      <c r="E1746">
        <v>0.49736039999999998</v>
      </c>
      <c r="F1746" t="s">
        <v>55</v>
      </c>
      <c r="G1746">
        <v>-354.03590000000003</v>
      </c>
      <c r="H1746" s="1">
        <v>6.1089480000000003E-7</v>
      </c>
      <c r="I1746">
        <v>284.26710000000003</v>
      </c>
      <c r="J1746">
        <v>-323.71269999999998</v>
      </c>
      <c r="K1746">
        <v>1.121577</v>
      </c>
      <c r="L1746">
        <v>284.6302</v>
      </c>
      <c r="M1746">
        <v>-0.99988250000000001</v>
      </c>
      <c r="N1746">
        <v>-1.520469E-2</v>
      </c>
      <c r="O1746">
        <v>-2.0020900000000002E-3</v>
      </c>
      <c r="P1746">
        <v>-0.99711510000000003</v>
      </c>
      <c r="Q1746">
        <v>-7.5685920000000004E-2</v>
      </c>
      <c r="R1746">
        <v>-5.7671789999999999E-3</v>
      </c>
      <c r="S1746">
        <v>-3.0002749999999998</v>
      </c>
      <c r="T1746">
        <v>-0.1094295</v>
      </c>
      <c r="U1746">
        <v>-3.5552979999999998E-2</v>
      </c>
      <c r="V1746">
        <v>-3.658545E-3</v>
      </c>
      <c r="W1746">
        <v>-6.052312E-2</v>
      </c>
      <c r="X1746">
        <v>0.99816009999999999</v>
      </c>
      <c r="Y1746">
        <v>-9.8380550000000001E-3</v>
      </c>
      <c r="Z1746">
        <v>-2.1162159999999999E-4</v>
      </c>
      <c r="AA1746">
        <v>0.99995160000000005</v>
      </c>
      <c r="AB1746">
        <v>41</v>
      </c>
      <c r="AC1746">
        <v>-30.3232</v>
      </c>
      <c r="AD1746">
        <v>-1.1215763891052</v>
      </c>
      <c r="AE1746">
        <v>-0.363099999999974</v>
      </c>
      <c r="AF1746">
        <v>-0.30196942864473098</v>
      </c>
      <c r="AG1746">
        <v>-1.1215763891052</v>
      </c>
      <c r="AH1746">
        <v>30.2824437553822</v>
      </c>
      <c r="AI1746">
        <v>92.120999353771097</v>
      </c>
      <c r="AJ1746">
        <v>90.571321142713401</v>
      </c>
      <c r="AK1746">
        <v>30.304711167247898</v>
      </c>
      <c r="AL1746">
        <v>93.469839875059904</v>
      </c>
      <c r="AM1746">
        <v>90.210004636498297</v>
      </c>
      <c r="AN1746">
        <v>1.00000000911903</v>
      </c>
    </row>
    <row r="1747" spans="1:40" x14ac:dyDescent="0.25">
      <c r="A1747" t="str">
        <f>"20190303154456918"</f>
        <v>20190303154456918</v>
      </c>
      <c r="B1747" t="str">
        <f>"1551599096912658"</f>
        <v>1551599096912658</v>
      </c>
      <c r="C1747" t="s">
        <v>40</v>
      </c>
      <c r="D1747">
        <v>5.0212570000000003</v>
      </c>
      <c r="E1747">
        <v>0.49749979999999999</v>
      </c>
      <c r="F1747" t="s">
        <v>55</v>
      </c>
      <c r="G1747">
        <v>-355.1302</v>
      </c>
      <c r="H1747" s="1">
        <v>1.1932760000000001E-6</v>
      </c>
      <c r="I1747">
        <v>284.2097</v>
      </c>
      <c r="J1747">
        <v>-324.11040000000003</v>
      </c>
      <c r="K1747">
        <v>1.121591</v>
      </c>
      <c r="L1747">
        <v>284.62880000000001</v>
      </c>
      <c r="M1747">
        <v>-0.99988080000000001</v>
      </c>
      <c r="N1747">
        <v>-1.5200139999999999E-2</v>
      </c>
      <c r="O1747">
        <v>-2.7251139999999998E-3</v>
      </c>
      <c r="P1747">
        <v>-0.9971738</v>
      </c>
      <c r="Q1747">
        <v>-7.4657299999999996E-2</v>
      </c>
      <c r="R1747">
        <v>-8.4132459999999992E-3</v>
      </c>
      <c r="S1747">
        <v>-3.0003359999999999</v>
      </c>
      <c r="T1747">
        <v>-0.1071092</v>
      </c>
      <c r="U1747">
        <v>-4.0161130000000003E-2</v>
      </c>
      <c r="V1747">
        <v>-5.5836619999999997E-3</v>
      </c>
      <c r="W1747">
        <v>-5.9501760000000001E-2</v>
      </c>
      <c r="X1747">
        <v>0.99821260000000001</v>
      </c>
      <c r="Y1747">
        <v>-1.065001E-2</v>
      </c>
      <c r="Z1747">
        <v>-2.1518169999999999E-4</v>
      </c>
      <c r="AA1747">
        <v>0.99994329999999998</v>
      </c>
      <c r="AB1747">
        <v>41</v>
      </c>
      <c r="AC1747">
        <v>-31.019799999999901</v>
      </c>
      <c r="AD1747">
        <v>-1.121589806724</v>
      </c>
      <c r="AE1747">
        <v>-0.41910000000001402</v>
      </c>
      <c r="AF1747">
        <v>-0.33411945913276098</v>
      </c>
      <c r="AG1747">
        <v>-1.121589806724</v>
      </c>
      <c r="AH1747">
        <v>30.9803324375494</v>
      </c>
      <c r="AI1747">
        <v>92.073269440300194</v>
      </c>
      <c r="AJ1747">
        <v>90.617904689326906</v>
      </c>
      <c r="AK1747">
        <v>31.002428895952502</v>
      </c>
      <c r="AL1747">
        <v>93.411214568468793</v>
      </c>
      <c r="AM1747">
        <v>90.320489773646301</v>
      </c>
      <c r="AN1747">
        <v>1.00000001576159</v>
      </c>
    </row>
    <row r="1748" spans="1:40" x14ac:dyDescent="0.25">
      <c r="A1748" t="str">
        <f>"20190303154456952"</f>
        <v>20190303154456952</v>
      </c>
      <c r="B1748" t="str">
        <f>"1551599096941937"</f>
        <v>1551599096941937</v>
      </c>
      <c r="C1748" t="s">
        <v>40</v>
      </c>
      <c r="D1748">
        <v>5.0988239999999996</v>
      </c>
      <c r="E1748">
        <v>0.49764760000000002</v>
      </c>
      <c r="F1748" t="s">
        <v>55</v>
      </c>
      <c r="G1748">
        <v>-356.63850000000002</v>
      </c>
      <c r="H1748" s="1">
        <v>1.9958699999999998E-6</v>
      </c>
      <c r="I1748">
        <v>284.11959999999999</v>
      </c>
      <c r="J1748">
        <v>-324.7149</v>
      </c>
      <c r="K1748">
        <v>1.1215790000000001</v>
      </c>
      <c r="L1748">
        <v>284.62610000000001</v>
      </c>
      <c r="M1748">
        <v>-0.99987749999999997</v>
      </c>
      <c r="N1748">
        <v>-1.519302E-2</v>
      </c>
      <c r="O1748">
        <v>-3.7711049999999999E-3</v>
      </c>
      <c r="P1748">
        <v>-0.99712679999999998</v>
      </c>
      <c r="Q1748">
        <v>-7.5020210000000004E-2</v>
      </c>
      <c r="R1748">
        <v>-1.0508989999999999E-2</v>
      </c>
      <c r="S1748">
        <v>-3.0003359999999999</v>
      </c>
      <c r="T1748">
        <v>-0.10345360000000001</v>
      </c>
      <c r="U1748">
        <v>-4.6966550000000003E-2</v>
      </c>
      <c r="V1748">
        <v>-6.6378169999999998E-3</v>
      </c>
      <c r="W1748">
        <v>-5.987398E-2</v>
      </c>
      <c r="X1748">
        <v>0.99818379999999995</v>
      </c>
      <c r="Y1748">
        <v>-1.18712E-2</v>
      </c>
      <c r="Z1748">
        <v>-2.2212189999999999E-4</v>
      </c>
      <c r="AA1748">
        <v>0.99992950000000003</v>
      </c>
      <c r="AB1748">
        <v>41</v>
      </c>
      <c r="AC1748">
        <v>-31.9236</v>
      </c>
      <c r="AD1748">
        <v>-1.1215770041299999</v>
      </c>
      <c r="AE1748">
        <v>-0.50650000000001605</v>
      </c>
      <c r="AF1748">
        <v>-0.38561939185177602</v>
      </c>
      <c r="AG1748">
        <v>-1.1215770041299999</v>
      </c>
      <c r="AH1748">
        <v>31.885935085458801</v>
      </c>
      <c r="AI1748">
        <v>92.014381966267507</v>
      </c>
      <c r="AJ1748">
        <v>90.692885014292202</v>
      </c>
      <c r="AK1748">
        <v>31.907984793240399</v>
      </c>
      <c r="AL1748">
        <v>93.432579602014997</v>
      </c>
      <c r="AM1748">
        <v>90.381005275169997</v>
      </c>
      <c r="AN1748">
        <v>0.99999992633900003</v>
      </c>
    </row>
    <row r="1749" spans="1:40" x14ac:dyDescent="0.25">
      <c r="A1749" t="str">
        <f>"20190303154456973"</f>
        <v>20190303154456973</v>
      </c>
      <c r="B1749" t="str">
        <f>"1551599096962434"</f>
        <v>1551599096962434</v>
      </c>
      <c r="C1749" t="s">
        <v>40</v>
      </c>
      <c r="D1749">
        <v>4.9263019999999997</v>
      </c>
      <c r="E1749">
        <v>0.49802669999999999</v>
      </c>
      <c r="F1749" t="s">
        <v>55</v>
      </c>
      <c r="G1749">
        <v>-357.21420000000001</v>
      </c>
      <c r="H1749" s="1">
        <v>2.3022679999999999E-6</v>
      </c>
      <c r="I1749">
        <v>284.05950000000001</v>
      </c>
      <c r="J1749">
        <v>-325.11250000000001</v>
      </c>
      <c r="K1749">
        <v>1.1215550000000001</v>
      </c>
      <c r="L1749">
        <v>284.62400000000002</v>
      </c>
      <c r="M1749">
        <v>-0.99987499999999996</v>
      </c>
      <c r="N1749">
        <v>-1.5188200000000001E-2</v>
      </c>
      <c r="O1749">
        <v>-4.4146280000000003E-3</v>
      </c>
      <c r="P1749">
        <v>-0.99709230000000004</v>
      </c>
      <c r="Q1749">
        <v>-7.5435619999999995E-2</v>
      </c>
      <c r="R1749">
        <v>-1.0799599999999999E-2</v>
      </c>
      <c r="S1749">
        <v>-3.000305</v>
      </c>
      <c r="T1749">
        <v>-0.10354289999999899</v>
      </c>
      <c r="U1749">
        <v>-5.230713E-2</v>
      </c>
      <c r="V1749">
        <v>-6.2901989999999998E-3</v>
      </c>
      <c r="W1749">
        <v>-6.0293590000000001E-2</v>
      </c>
      <c r="X1749">
        <v>0.99816079999999996</v>
      </c>
      <c r="Y1749">
        <v>-1.300633E-2</v>
      </c>
      <c r="Z1749">
        <v>-2.3791749999999999E-4</v>
      </c>
      <c r="AA1749">
        <v>0.99991540000000001</v>
      </c>
      <c r="AB1749">
        <v>41</v>
      </c>
      <c r="AC1749">
        <v>-32.101699999999902</v>
      </c>
      <c r="AD1749">
        <v>-1.1215526977319901</v>
      </c>
      <c r="AE1749">
        <v>-0.56450000000000899</v>
      </c>
      <c r="AF1749">
        <v>-0.42224585313381802</v>
      </c>
      <c r="AG1749">
        <v>-1.1215526977319901</v>
      </c>
      <c r="AH1749">
        <v>32.064752423486802</v>
      </c>
      <c r="AI1749">
        <v>92.003086880385695</v>
      </c>
      <c r="AJ1749">
        <v>90.754457938551695</v>
      </c>
      <c r="AK1749">
        <v>32.087139479763202</v>
      </c>
      <c r="AL1749">
        <v>93.456664976707103</v>
      </c>
      <c r="AM1749">
        <v>90.361061147949101</v>
      </c>
      <c r="AN1749">
        <v>0.99999993312759095</v>
      </c>
    </row>
    <row r="1750" spans="1:40" x14ac:dyDescent="0.25">
      <c r="A1750" t="str">
        <f>"20190303154456996"</f>
        <v>20190303154456996</v>
      </c>
      <c r="B1750" t="str">
        <f>"1551599096992690"</f>
        <v>1551599096992690</v>
      </c>
      <c r="C1750" t="s">
        <v>40</v>
      </c>
      <c r="D1750">
        <v>4.8865879999999997</v>
      </c>
      <c r="E1750">
        <v>0.50056729999999905</v>
      </c>
      <c r="F1750" t="s">
        <v>55</v>
      </c>
      <c r="G1750">
        <v>-348.23039999999997</v>
      </c>
      <c r="H1750" s="1">
        <v>2.8430050000000001E-6</v>
      </c>
      <c r="I1750">
        <v>284.24169999999998</v>
      </c>
      <c r="J1750">
        <v>-325.5249</v>
      </c>
      <c r="K1750">
        <v>1.1215139999999999</v>
      </c>
      <c r="L1750">
        <v>284.6216</v>
      </c>
      <c r="M1750">
        <v>-0.99987219999999999</v>
      </c>
      <c r="N1750">
        <v>-1.5183139999999999E-2</v>
      </c>
      <c r="O1750">
        <v>-5.0331109999999998E-3</v>
      </c>
      <c r="P1750">
        <v>-0.9970696</v>
      </c>
      <c r="Q1750">
        <v>-7.5719209999999995E-2</v>
      </c>
      <c r="R1750">
        <v>-1.092746E-2</v>
      </c>
      <c r="S1750">
        <v>-2.9972530000000002</v>
      </c>
      <c r="T1750">
        <v>-0.1454105</v>
      </c>
      <c r="U1750">
        <v>-4.9560550000000002E-2</v>
      </c>
      <c r="V1750">
        <v>-5.8055700000000003E-3</v>
      </c>
      <c r="W1750">
        <v>-6.0581099999999999E-2</v>
      </c>
      <c r="X1750">
        <v>0.99814639999999999</v>
      </c>
      <c r="Y1750">
        <v>-1.1484909999999999E-2</v>
      </c>
      <c r="Z1750">
        <v>-1.9804870000000001E-4</v>
      </c>
      <c r="AA1750">
        <v>0.99993399999999999</v>
      </c>
      <c r="AB1750">
        <v>41</v>
      </c>
      <c r="AC1750">
        <v>-22.705499999999901</v>
      </c>
      <c r="AD1750">
        <v>-1.12151115699499</v>
      </c>
      <c r="AE1750">
        <v>-0.37990000000002</v>
      </c>
      <c r="AF1750">
        <v>-0.264956480181885</v>
      </c>
      <c r="AG1750">
        <v>-1.12151115699499</v>
      </c>
      <c r="AH1750">
        <v>22.651875229456301</v>
      </c>
      <c r="AI1750">
        <v>92.834248486439904</v>
      </c>
      <c r="AJ1750">
        <v>90.670151836723093</v>
      </c>
      <c r="AK1750">
        <v>22.681169295750799</v>
      </c>
      <c r="AL1750">
        <v>93.473168005352093</v>
      </c>
      <c r="AM1750">
        <v>90.333248617377393</v>
      </c>
      <c r="AN1750">
        <v>1.00000000507659</v>
      </c>
    </row>
    <row r="1751" spans="1:40" x14ac:dyDescent="0.25">
      <c r="A1751" t="str">
        <f>"20190303154457018"</f>
        <v>20190303154457018</v>
      </c>
      <c r="B1751" t="str">
        <f>"1551599097012210"</f>
        <v>1551599097012210</v>
      </c>
      <c r="C1751" t="s">
        <v>40</v>
      </c>
      <c r="D1751">
        <v>4.9933529999999999</v>
      </c>
      <c r="E1751">
        <v>0.50112719999999999</v>
      </c>
      <c r="F1751" t="s">
        <v>55</v>
      </c>
      <c r="G1751">
        <v>-355.15690000000001</v>
      </c>
      <c r="H1751" s="1">
        <v>1.2074390000000001E-6</v>
      </c>
      <c r="I1751">
        <v>284.32339999999999</v>
      </c>
      <c r="J1751">
        <v>-325.92529999999999</v>
      </c>
      <c r="K1751">
        <v>1.121464</v>
      </c>
      <c r="L1751">
        <v>284.6191</v>
      </c>
      <c r="M1751">
        <v>-0.99986929999999996</v>
      </c>
      <c r="N1751">
        <v>-1.517817E-2</v>
      </c>
      <c r="O1751">
        <v>-5.5669450000000002E-3</v>
      </c>
      <c r="P1751">
        <v>-0.99710580000000004</v>
      </c>
      <c r="Q1751">
        <v>-7.5407950000000001E-2</v>
      </c>
      <c r="R1751">
        <v>-9.6952930000000007E-3</v>
      </c>
      <c r="S1751">
        <v>-2.999908</v>
      </c>
      <c r="T1751">
        <v>-0.1135409</v>
      </c>
      <c r="U1751">
        <v>-3.0181880000000001E-2</v>
      </c>
      <c r="V1751">
        <v>-4.0488950000000003E-3</v>
      </c>
      <c r="W1751">
        <v>-6.0270879999999999E-2</v>
      </c>
      <c r="X1751">
        <v>0.9981738</v>
      </c>
      <c r="Y1751">
        <v>-4.4898910000000002E-3</v>
      </c>
      <c r="Z1751" s="1">
        <v>7.1052850000000002E-6</v>
      </c>
      <c r="AA1751">
        <v>0.99998989999999999</v>
      </c>
      <c r="AB1751">
        <v>41</v>
      </c>
      <c r="AC1751">
        <v>-29.2316</v>
      </c>
      <c r="AD1751">
        <v>-1.1214627925609999</v>
      </c>
      <c r="AE1751">
        <v>-0.29570000000001001</v>
      </c>
      <c r="AF1751">
        <v>-0.13275058885795701</v>
      </c>
      <c r="AG1751">
        <v>-1.1214627925609999</v>
      </c>
      <c r="AH1751">
        <v>29.189834508835901</v>
      </c>
      <c r="AI1751">
        <v>92.200178092166297</v>
      </c>
      <c r="AJ1751">
        <v>90.260570029255206</v>
      </c>
      <c r="AK1751">
        <v>29.211671300477999</v>
      </c>
      <c r="AL1751">
        <v>93.455361347378798</v>
      </c>
      <c r="AM1751">
        <v>90.232407745903203</v>
      </c>
      <c r="AN1751">
        <v>0.99999995376656603</v>
      </c>
    </row>
    <row r="1752" spans="1:40" x14ac:dyDescent="0.25">
      <c r="A1752" t="str">
        <f>"20190303154457042"</f>
        <v>20190303154457042</v>
      </c>
      <c r="B1752" t="str">
        <f>"1551599097032706"</f>
        <v>1551599097032706</v>
      </c>
      <c r="C1752" t="s">
        <v>40</v>
      </c>
      <c r="D1752">
        <v>4.905964</v>
      </c>
      <c r="E1752">
        <v>0.50162640000000003</v>
      </c>
      <c r="F1752" t="s">
        <v>55</v>
      </c>
      <c r="G1752">
        <v>-357.6884</v>
      </c>
      <c r="H1752" s="1">
        <v>2.554614E-6</v>
      </c>
      <c r="I1752">
        <v>284.38260000000002</v>
      </c>
      <c r="J1752">
        <v>-326.34859999999998</v>
      </c>
      <c r="K1752">
        <v>1.1214010000000001</v>
      </c>
      <c r="L1752">
        <v>284.61630000000002</v>
      </c>
      <c r="M1752">
        <v>-0.9998667</v>
      </c>
      <c r="N1752">
        <v>-1.517289E-2</v>
      </c>
      <c r="O1752">
        <v>-6.0468090000000002E-3</v>
      </c>
      <c r="P1752">
        <v>-0.99712330000000005</v>
      </c>
      <c r="Q1752">
        <v>-7.533637E-2</v>
      </c>
      <c r="R1752">
        <v>-8.3316350000000004E-3</v>
      </c>
      <c r="S1752">
        <v>-3.0004879999999998</v>
      </c>
      <c r="T1752">
        <v>-0.1059383</v>
      </c>
      <c r="U1752">
        <v>-2.233887E-2</v>
      </c>
      <c r="V1752">
        <v>-2.2159509999999999E-3</v>
      </c>
      <c r="W1752">
        <v>-6.020118E-2</v>
      </c>
      <c r="X1752">
        <v>0.99818379999999995</v>
      </c>
      <c r="Y1752">
        <v>-1.3973779999999999E-3</v>
      </c>
      <c r="Z1752" s="1">
        <v>8.6419850000000006E-5</v>
      </c>
      <c r="AA1752">
        <v>0.99999899999999997</v>
      </c>
      <c r="AB1752">
        <v>41</v>
      </c>
      <c r="AC1752">
        <v>-31.3398</v>
      </c>
      <c r="AD1752">
        <v>-1.121398445386</v>
      </c>
      <c r="AE1752">
        <v>-0.23369999999999799</v>
      </c>
      <c r="AF1752">
        <v>-4.4111668053684702E-2</v>
      </c>
      <c r="AG1752">
        <v>-1.121398445386</v>
      </c>
      <c r="AH1752">
        <v>31.300566874782</v>
      </c>
      <c r="AI1752">
        <v>92.051843521777002</v>
      </c>
      <c r="AJ1752">
        <v>90.080746484356993</v>
      </c>
      <c r="AK1752">
        <v>31.320679542360999</v>
      </c>
      <c r="AL1752">
        <v>93.451360422214506</v>
      </c>
      <c r="AM1752">
        <v>90.127195443698895</v>
      </c>
      <c r="AN1752">
        <v>0.99999999554733299</v>
      </c>
    </row>
    <row r="1753" spans="1:40" x14ac:dyDescent="0.25">
      <c r="A1753" t="str">
        <f>"20190303154457063"</f>
        <v>20190303154457063</v>
      </c>
      <c r="B1753" t="str">
        <f>"1551599097052226"</f>
        <v>1551599097052226</v>
      </c>
      <c r="C1753" t="s">
        <v>40</v>
      </c>
      <c r="D1753">
        <v>4.8856719999999996</v>
      </c>
      <c r="E1753">
        <v>0.50193789999999905</v>
      </c>
      <c r="F1753" t="s">
        <v>55</v>
      </c>
      <c r="G1753">
        <v>-359.53309999999999</v>
      </c>
      <c r="H1753" s="1">
        <v>3.5362320000000002E-6</v>
      </c>
      <c r="I1753">
        <v>284.45600000000002</v>
      </c>
      <c r="J1753">
        <v>-326.74619999999999</v>
      </c>
      <c r="K1753">
        <v>1.121345</v>
      </c>
      <c r="L1753">
        <v>284.61349999999999</v>
      </c>
      <c r="M1753">
        <v>-0.99986439999999999</v>
      </c>
      <c r="N1753">
        <v>-1.516809E-2</v>
      </c>
      <c r="O1753">
        <v>-6.4051029999999997E-3</v>
      </c>
      <c r="P1753">
        <v>-0.99718399999999996</v>
      </c>
      <c r="Q1753">
        <v>-7.4596919999999997E-2</v>
      </c>
      <c r="R1753">
        <v>-7.7214329999999998E-3</v>
      </c>
      <c r="S1753">
        <v>-3.0008849999999998</v>
      </c>
      <c r="T1753">
        <v>-0.1014085</v>
      </c>
      <c r="U1753">
        <v>-1.4495849999999999E-2</v>
      </c>
      <c r="V1753">
        <v>-1.259303E-3</v>
      </c>
      <c r="W1753">
        <v>-5.9464129999999997E-2</v>
      </c>
      <c r="X1753">
        <v>0.99822960000000005</v>
      </c>
      <c r="Y1753">
        <v>1.5729850000000001E-3</v>
      </c>
      <c r="Z1753">
        <v>1.5774340000000001E-4</v>
      </c>
      <c r="AA1753">
        <v>0.99999870000000002</v>
      </c>
      <c r="AB1753">
        <v>41</v>
      </c>
      <c r="AC1753">
        <v>-32.786900000000003</v>
      </c>
      <c r="AD1753">
        <v>-1.1213414637679999</v>
      </c>
      <c r="AE1753">
        <v>-0.15750000000002701</v>
      </c>
      <c r="AF1753">
        <v>5.24695018142479E-2</v>
      </c>
      <c r="AG1753">
        <v>-1.1213414637679999</v>
      </c>
      <c r="AH1753">
        <v>32.748930621519797</v>
      </c>
      <c r="AI1753">
        <v>91.9610704481304</v>
      </c>
      <c r="AJ1753">
        <v>89.908202241180902</v>
      </c>
      <c r="AK1753">
        <v>32.768164681289498</v>
      </c>
      <c r="AL1753">
        <v>93.409054923366995</v>
      </c>
      <c r="AM1753">
        <v>90.072280674457801</v>
      </c>
      <c r="AN1753">
        <v>0.99999995145843001</v>
      </c>
    </row>
    <row r="1754" spans="1:40" x14ac:dyDescent="0.25">
      <c r="A1754" t="str">
        <f>"20190303154457085"</f>
        <v>20190303154457085</v>
      </c>
      <c r="B1754" t="str">
        <f>"1551599097082482"</f>
        <v>1551599097082482</v>
      </c>
      <c r="C1754" t="s">
        <v>40</v>
      </c>
      <c r="D1754">
        <v>4.8895339999999896</v>
      </c>
      <c r="E1754">
        <v>0.50335649999999998</v>
      </c>
      <c r="F1754" t="s">
        <v>55</v>
      </c>
      <c r="G1754">
        <v>-361.4153</v>
      </c>
      <c r="H1754" s="1">
        <v>-7.8362799999999898E-7</v>
      </c>
      <c r="I1754">
        <v>284.49360000000001</v>
      </c>
      <c r="J1754">
        <v>-327.1447</v>
      </c>
      <c r="K1754">
        <v>1.1212819999999999</v>
      </c>
      <c r="L1754">
        <v>284.61059999999998</v>
      </c>
      <c r="M1754">
        <v>-0.99986269999999999</v>
      </c>
      <c r="N1754">
        <v>-1.516322E-2</v>
      </c>
      <c r="O1754">
        <v>-6.693793E-3</v>
      </c>
      <c r="P1754">
        <v>-0.99727330000000003</v>
      </c>
      <c r="Q1754">
        <v>-7.3310639999999996E-2</v>
      </c>
      <c r="R1754">
        <v>-8.4694450000000008E-3</v>
      </c>
      <c r="S1754">
        <v>-3.001099</v>
      </c>
      <c r="T1754">
        <v>-9.7068310000000005E-2</v>
      </c>
      <c r="U1754">
        <v>-1.037598E-2</v>
      </c>
      <c r="V1754">
        <v>-1.7301910000000001E-3</v>
      </c>
      <c r="W1754">
        <v>-5.8181709999999998E-2</v>
      </c>
      <c r="X1754">
        <v>0.99830450000000004</v>
      </c>
      <c r="Y1754">
        <v>3.233756E-3</v>
      </c>
      <c r="Z1754">
        <v>1.9176579999999999E-4</v>
      </c>
      <c r="AA1754">
        <v>0.99999479999999996</v>
      </c>
      <c r="AB1754">
        <v>41</v>
      </c>
      <c r="AC1754">
        <v>-34.270600000000002</v>
      </c>
      <c r="AD1754">
        <v>-1.1212827836279999</v>
      </c>
      <c r="AE1754">
        <v>-0.116999999999961</v>
      </c>
      <c r="AF1754">
        <v>0.11230905840028201</v>
      </c>
      <c r="AG1754">
        <v>-1.1212827836279999</v>
      </c>
      <c r="AH1754">
        <v>34.233968245183299</v>
      </c>
      <c r="AI1754">
        <v>91.875957421561097</v>
      </c>
      <c r="AJ1754">
        <v>89.812034295398803</v>
      </c>
      <c r="AK1754">
        <v>34.2525104221235</v>
      </c>
      <c r="AL1754">
        <v>93.335450081486599</v>
      </c>
      <c r="AM1754">
        <v>90.099300907484107</v>
      </c>
      <c r="AN1754">
        <v>0.99999998982983496</v>
      </c>
    </row>
    <row r="1755" spans="1:40" x14ac:dyDescent="0.25">
      <c r="A1755" t="str">
        <f>"20190303154457108"</f>
        <v>20190303154457108</v>
      </c>
      <c r="B1755" t="str">
        <f>"1551599097102002"</f>
        <v>1551599097102002</v>
      </c>
      <c r="C1755" t="s">
        <v>40</v>
      </c>
      <c r="D1755">
        <v>4.8704929999999997</v>
      </c>
      <c r="E1755">
        <v>0.50384510000000005</v>
      </c>
      <c r="F1755" t="s">
        <v>55</v>
      </c>
      <c r="G1755">
        <v>-364.1934</v>
      </c>
      <c r="H1755" s="1">
        <v>6.9471729999999996E-7</v>
      </c>
      <c r="I1755">
        <v>284.59440000000001</v>
      </c>
      <c r="J1755">
        <v>-327.54860000000002</v>
      </c>
      <c r="K1755">
        <v>1.121216</v>
      </c>
      <c r="L1755">
        <v>284.60770000000002</v>
      </c>
      <c r="M1755">
        <v>-0.99986140000000001</v>
      </c>
      <c r="N1755">
        <v>-1.5158309999999999E-2</v>
      </c>
      <c r="O1755">
        <v>-6.9148209999999998E-3</v>
      </c>
      <c r="P1755">
        <v>-0.99733660000000002</v>
      </c>
      <c r="Q1755">
        <v>-7.2269730000000004E-2</v>
      </c>
      <c r="R1755">
        <v>-9.8703709999999993E-3</v>
      </c>
      <c r="S1755">
        <v>-3.0015260000000001</v>
      </c>
      <c r="T1755">
        <v>-9.0841290000000005E-2</v>
      </c>
      <c r="U1755">
        <v>-1.3122559999999999E-3</v>
      </c>
      <c r="V1755">
        <v>-2.9209129999999998E-3</v>
      </c>
      <c r="W1755">
        <v>-5.7145460000000002E-2</v>
      </c>
      <c r="X1755">
        <v>0.99836159999999996</v>
      </c>
      <c r="Y1755">
        <v>6.4731909999999997E-3</v>
      </c>
      <c r="Z1755">
        <v>2.5143060000000001E-4</v>
      </c>
      <c r="AA1755">
        <v>0.99997899999999995</v>
      </c>
      <c r="AB1755">
        <v>40</v>
      </c>
      <c r="AC1755">
        <v>-36.644799999999897</v>
      </c>
      <c r="AD1755">
        <v>-1.1212153052826901</v>
      </c>
      <c r="AE1755">
        <v>-1.33000000000151E-2</v>
      </c>
      <c r="AF1755">
        <v>0.239897031759542</v>
      </c>
      <c r="AG1755">
        <v>-1.1212153052826901</v>
      </c>
      <c r="AH1755">
        <v>36.609742856970797</v>
      </c>
      <c r="AI1755">
        <v>91.754162912800098</v>
      </c>
      <c r="AJ1755">
        <v>89.624556480474396</v>
      </c>
      <c r="AK1755">
        <v>36.627693708451901</v>
      </c>
      <c r="AL1755">
        <v>93.275978304337897</v>
      </c>
      <c r="AM1755">
        <v>90.1676301549643</v>
      </c>
      <c r="AN1755">
        <v>1.00000000984296</v>
      </c>
    </row>
    <row r="1756" spans="1:40" x14ac:dyDescent="0.25">
      <c r="A1756" t="str">
        <f>"20190303154457130"</f>
        <v>20190303154457130</v>
      </c>
      <c r="B1756" t="str">
        <f>"1551599097122501"</f>
        <v>1551599097122501</v>
      </c>
      <c r="C1756" t="s">
        <v>40</v>
      </c>
      <c r="D1756">
        <v>4.8774699999999998</v>
      </c>
      <c r="E1756">
        <v>0.50424239999999998</v>
      </c>
      <c r="F1756" t="s">
        <v>55</v>
      </c>
      <c r="G1756">
        <v>-366.6105</v>
      </c>
      <c r="H1756" s="1">
        <v>1.9809759999999999E-6</v>
      </c>
      <c r="I1756">
        <v>284.58550000000002</v>
      </c>
      <c r="J1756">
        <v>-327.94380000000001</v>
      </c>
      <c r="K1756">
        <v>1.1211599999999999</v>
      </c>
      <c r="L1756">
        <v>284.60480000000001</v>
      </c>
      <c r="M1756">
        <v>-0.99986010000000003</v>
      </c>
      <c r="N1756">
        <v>-1.515352E-2</v>
      </c>
      <c r="O1756">
        <v>-7.0656260000000002E-3</v>
      </c>
      <c r="P1756">
        <v>-0.99734080000000003</v>
      </c>
      <c r="Q1756">
        <v>-7.2001140000000005E-2</v>
      </c>
      <c r="R1756">
        <v>-1.126943E-2</v>
      </c>
      <c r="S1756">
        <v>-3.0017399999999999</v>
      </c>
      <c r="T1756">
        <v>-8.6160539999999994E-2</v>
      </c>
      <c r="U1756">
        <v>-1.708984E-3</v>
      </c>
      <c r="V1756">
        <v>-4.1791889999999998E-3</v>
      </c>
      <c r="W1756">
        <v>-5.6881950000000001E-2</v>
      </c>
      <c r="X1756">
        <v>0.99837209999999998</v>
      </c>
      <c r="Y1756">
        <v>6.4923869999999996E-3</v>
      </c>
      <c r="Z1756">
        <v>2.3806740000000001E-4</v>
      </c>
      <c r="AA1756">
        <v>0.9999789</v>
      </c>
      <c r="AB1756">
        <v>40</v>
      </c>
      <c r="AC1756">
        <v>-38.666699999999899</v>
      </c>
      <c r="AD1756">
        <v>-1.121158019024</v>
      </c>
      <c r="AE1756">
        <v>-1.9299999999986901E-2</v>
      </c>
      <c r="AF1756">
        <v>0.25372301325148899</v>
      </c>
      <c r="AG1756">
        <v>-1.121158019024</v>
      </c>
      <c r="AH1756">
        <v>38.633390509459304</v>
      </c>
      <c r="AI1756">
        <v>91.662246400206101</v>
      </c>
      <c r="AJ1756">
        <v>89.623718016099005</v>
      </c>
      <c r="AK1756">
        <v>38.650488133107203</v>
      </c>
      <c r="AL1756">
        <v>93.260855936273998</v>
      </c>
      <c r="AM1756">
        <v>90.239838926694105</v>
      </c>
      <c r="AN1756">
        <v>0.99999993595745296</v>
      </c>
    </row>
    <row r="1757" spans="1:40" x14ac:dyDescent="0.25">
      <c r="A1757" t="str">
        <f>"20190303154457152"</f>
        <v>20190303154457152</v>
      </c>
      <c r="B1757" t="str">
        <f>"1551599097142018"</f>
        <v>1551599097142018</v>
      </c>
      <c r="C1757" t="s">
        <v>40</v>
      </c>
      <c r="D1757">
        <v>4.8808230000000004</v>
      </c>
      <c r="E1757">
        <v>0.50451170000000001</v>
      </c>
      <c r="F1757" t="s">
        <v>55</v>
      </c>
      <c r="G1757">
        <v>-367.38279999999997</v>
      </c>
      <c r="H1757" s="1">
        <v>2.3919700000000002E-6</v>
      </c>
      <c r="I1757">
        <v>284.56790000000001</v>
      </c>
      <c r="J1757">
        <v>-328.35169999999999</v>
      </c>
      <c r="K1757">
        <v>1.121105</v>
      </c>
      <c r="L1757">
        <v>284.60180000000003</v>
      </c>
      <c r="M1757">
        <v>-0.99985959999999996</v>
      </c>
      <c r="N1757">
        <v>-1.5148599999999899E-2</v>
      </c>
      <c r="O1757">
        <v>-7.1660830000000002E-3</v>
      </c>
      <c r="P1757">
        <v>-0.99738199999999999</v>
      </c>
      <c r="Q1757">
        <v>-7.1081489999999997E-2</v>
      </c>
      <c r="R1757">
        <v>-1.329371E-2</v>
      </c>
      <c r="S1757">
        <v>-3.00177</v>
      </c>
      <c r="T1757">
        <v>-8.5333229999999996E-2</v>
      </c>
      <c r="U1757">
        <v>-2.8076170000000001E-3</v>
      </c>
      <c r="V1757">
        <v>-6.111829E-3</v>
      </c>
      <c r="W1757">
        <v>-5.596698E-2</v>
      </c>
      <c r="X1757">
        <v>0.99841389999999997</v>
      </c>
      <c r="Y1757">
        <v>6.2271189999999997E-3</v>
      </c>
      <c r="Z1757">
        <v>2.3079590000000001E-4</v>
      </c>
      <c r="AA1757">
        <v>0.9999806</v>
      </c>
      <c r="AB1757">
        <v>40</v>
      </c>
      <c r="AC1757">
        <v>-39.031099999999903</v>
      </c>
      <c r="AD1757">
        <v>-1.1211026080299999</v>
      </c>
      <c r="AE1757">
        <v>-3.3900000000016903E-2</v>
      </c>
      <c r="AF1757">
        <v>0.24563041176964401</v>
      </c>
      <c r="AG1757">
        <v>-1.1211026080299999</v>
      </c>
      <c r="AH1757">
        <v>38.998165949813199</v>
      </c>
      <c r="AI1757">
        <v>91.646628426373297</v>
      </c>
      <c r="AJ1757">
        <v>89.639126623764497</v>
      </c>
      <c r="AK1757">
        <v>39.015050337095403</v>
      </c>
      <c r="AL1757">
        <v>93.208348197967098</v>
      </c>
      <c r="AM1757">
        <v>90.350733931842697</v>
      </c>
      <c r="AN1757">
        <v>0.99999998650862698</v>
      </c>
    </row>
    <row r="1758" spans="1:40" x14ac:dyDescent="0.25">
      <c r="A1758" t="str">
        <f>"20190303154457174"</f>
        <v>20190303154457174</v>
      </c>
      <c r="B1758" t="str">
        <f>"1551599097162514"</f>
        <v>1551599097162514</v>
      </c>
      <c r="C1758" t="s">
        <v>40</v>
      </c>
      <c r="D1758">
        <v>4.848668</v>
      </c>
      <c r="E1758">
        <v>0.50475559999999997</v>
      </c>
      <c r="F1758" t="s">
        <v>55</v>
      </c>
      <c r="G1758">
        <v>-368.66860000000003</v>
      </c>
      <c r="H1758" s="1">
        <v>3.0762019999999999E-6</v>
      </c>
      <c r="I1758">
        <v>284.51280000000003</v>
      </c>
      <c r="J1758">
        <v>-328.73489999999998</v>
      </c>
      <c r="K1758">
        <v>1.1210580000000001</v>
      </c>
      <c r="L1758">
        <v>284.59890000000001</v>
      </c>
      <c r="M1758">
        <v>-0.99985930000000001</v>
      </c>
      <c r="N1758">
        <v>-1.5143999999999999E-2</v>
      </c>
      <c r="O1758">
        <v>-7.2236150000000001E-3</v>
      </c>
      <c r="P1758">
        <v>-0.99739619999999996</v>
      </c>
      <c r="Q1758">
        <v>-7.0596130000000007E-2</v>
      </c>
      <c r="R1758">
        <v>-1.473639E-2</v>
      </c>
      <c r="S1758">
        <v>-3.0018310000000001</v>
      </c>
      <c r="T1758">
        <v>-8.3472610000000003E-2</v>
      </c>
      <c r="U1758">
        <v>-6.6223139999999998E-3</v>
      </c>
      <c r="V1758">
        <v>-7.5036080000000002E-3</v>
      </c>
      <c r="W1758">
        <v>-5.5485810000000003E-2</v>
      </c>
      <c r="X1758">
        <v>0.99843130000000002</v>
      </c>
      <c r="Y1758">
        <v>5.0148240000000002E-3</v>
      </c>
      <c r="Z1758">
        <v>1.9913250000000001E-4</v>
      </c>
      <c r="AA1758">
        <v>0.99998739999999997</v>
      </c>
      <c r="AB1758">
        <v>40</v>
      </c>
      <c r="AC1758">
        <v>-39.933700000000002</v>
      </c>
      <c r="AD1758">
        <v>-1.1210549237980001</v>
      </c>
      <c r="AE1758">
        <v>-8.6099999999987603E-2</v>
      </c>
      <c r="AF1758">
        <v>0.20224160161080301</v>
      </c>
      <c r="AG1758">
        <v>-1.1210549237980001</v>
      </c>
      <c r="AH1758">
        <v>39.901833881906697</v>
      </c>
      <c r="AI1758">
        <v>91.6092994416707</v>
      </c>
      <c r="AJ1758">
        <v>89.709600039343798</v>
      </c>
      <c r="AK1758">
        <v>39.918091298894502</v>
      </c>
      <c r="AL1758">
        <v>93.1807361735668</v>
      </c>
      <c r="AM1758">
        <v>90.430592445937094</v>
      </c>
      <c r="AN1758">
        <v>1.00000002003203</v>
      </c>
    </row>
    <row r="1759" spans="1:40" x14ac:dyDescent="0.25">
      <c r="A1759" t="str">
        <f>"20190303154457196"</f>
        <v>20190303154457196</v>
      </c>
      <c r="B1759" t="str">
        <f>"1551599097192770"</f>
        <v>1551599097192770</v>
      </c>
      <c r="C1759" t="s">
        <v>40</v>
      </c>
      <c r="D1759">
        <v>4.8280919999999998</v>
      </c>
      <c r="E1759">
        <v>0.50502440000000004</v>
      </c>
      <c r="F1759" t="s">
        <v>55</v>
      </c>
      <c r="G1759">
        <v>-368.96089999999998</v>
      </c>
      <c r="H1759" s="1">
        <v>3.2317419999999998E-6</v>
      </c>
      <c r="I1759">
        <v>284.47829999999999</v>
      </c>
      <c r="J1759">
        <v>-329.14600000000002</v>
      </c>
      <c r="K1759">
        <v>1.1210150000000001</v>
      </c>
      <c r="L1759">
        <v>284.59589999999997</v>
      </c>
      <c r="M1759">
        <v>-0.99985900000000005</v>
      </c>
      <c r="N1759">
        <v>-1.5138850000000001E-2</v>
      </c>
      <c r="O1759">
        <v>-7.2590800000000002E-3</v>
      </c>
      <c r="P1759">
        <v>-0.99729129999999999</v>
      </c>
      <c r="Q1759">
        <v>-7.193708E-2</v>
      </c>
      <c r="R1759">
        <v>-1.534349E-2</v>
      </c>
      <c r="S1759">
        <v>-3.00177</v>
      </c>
      <c r="T1759">
        <v>-8.3656069999999999E-2</v>
      </c>
      <c r="U1759">
        <v>-9.0026859999999993E-3</v>
      </c>
      <c r="V1759">
        <v>-8.0823960000000004E-3</v>
      </c>
      <c r="W1759">
        <v>-5.683266E-2</v>
      </c>
      <c r="X1759">
        <v>0.99835099999999999</v>
      </c>
      <c r="Y1759">
        <v>4.2577070000000003E-3</v>
      </c>
      <c r="Z1759">
        <v>1.839268E-4</v>
      </c>
      <c r="AA1759">
        <v>0.99999090000000002</v>
      </c>
      <c r="AB1759">
        <v>40</v>
      </c>
      <c r="AC1759">
        <v>-39.814900000000002</v>
      </c>
      <c r="AD1759">
        <v>-1.1210117682580001</v>
      </c>
      <c r="AE1759">
        <v>-0.117599999999981</v>
      </c>
      <c r="AF1759">
        <v>0.17131997273094199</v>
      </c>
      <c r="AG1759">
        <v>-1.1210117682580001</v>
      </c>
      <c r="AH1759">
        <v>39.783167192996103</v>
      </c>
      <c r="AI1759">
        <v>91.614040843766205</v>
      </c>
      <c r="AJ1759">
        <v>89.753266232940106</v>
      </c>
      <c r="AK1759">
        <v>39.7993267508825</v>
      </c>
      <c r="AL1759">
        <v>93.258027049547294</v>
      </c>
      <c r="AM1759">
        <v>90.463841937825407</v>
      </c>
      <c r="AN1759">
        <v>0.99999999778438797</v>
      </c>
    </row>
    <row r="1760" spans="1:40" x14ac:dyDescent="0.25">
      <c r="A1760" t="str">
        <f>"20190303154457219"</f>
        <v>20190303154457219</v>
      </c>
      <c r="B1760" t="str">
        <f>"1551599097212290"</f>
        <v>1551599097212290</v>
      </c>
      <c r="C1760" t="s">
        <v>40</v>
      </c>
      <c r="D1760">
        <v>4.9020149999999996</v>
      </c>
      <c r="E1760">
        <v>0.5051795</v>
      </c>
      <c r="F1760" t="s">
        <v>55</v>
      </c>
      <c r="G1760">
        <v>-366.59589999999997</v>
      </c>
      <c r="H1760" s="1">
        <v>1.9731970000000001E-6</v>
      </c>
      <c r="I1760">
        <v>284.48820000000001</v>
      </c>
      <c r="J1760">
        <v>-329.5564</v>
      </c>
      <c r="K1760">
        <v>1.120967</v>
      </c>
      <c r="L1760">
        <v>284.59289999999999</v>
      </c>
      <c r="M1760">
        <v>-0.9998591</v>
      </c>
      <c r="N1760">
        <v>-1.513373E-2</v>
      </c>
      <c r="O1760">
        <v>-7.276958E-3</v>
      </c>
      <c r="P1760">
        <v>-0.9972569</v>
      </c>
      <c r="Q1760">
        <v>-7.250703E-2</v>
      </c>
      <c r="R1760">
        <v>-1.4895759999999999E-2</v>
      </c>
      <c r="S1760">
        <v>-3.0014949999999998</v>
      </c>
      <c r="T1760">
        <v>-8.984578E-2</v>
      </c>
      <c r="U1760">
        <v>-8.6364749999999994E-3</v>
      </c>
      <c r="V1760">
        <v>-7.6218010000000001E-3</v>
      </c>
      <c r="W1760">
        <v>-5.7407380000000001E-2</v>
      </c>
      <c r="X1760">
        <v>0.99832180000000004</v>
      </c>
      <c r="Y1760">
        <v>4.3966980000000001E-3</v>
      </c>
      <c r="Z1760">
        <v>2.067246E-4</v>
      </c>
      <c r="AA1760">
        <v>0.9999903</v>
      </c>
      <c r="AB1760">
        <v>40</v>
      </c>
      <c r="AC1760">
        <v>-37.039499999999897</v>
      </c>
      <c r="AD1760">
        <v>-1.120965026803</v>
      </c>
      <c r="AE1760">
        <v>-0.104699999999979</v>
      </c>
      <c r="AF1760">
        <v>0.16471763654730301</v>
      </c>
      <c r="AG1760">
        <v>-1.120965026803</v>
      </c>
      <c r="AH1760">
        <v>37.005387631016802</v>
      </c>
      <c r="AI1760">
        <v>91.735052636031199</v>
      </c>
      <c r="AJ1760">
        <v>89.744967863837999</v>
      </c>
      <c r="AK1760">
        <v>37.0227282653901</v>
      </c>
      <c r="AL1760">
        <v>93.291009733472094</v>
      </c>
      <c r="AM1760">
        <v>90.437422627906003</v>
      </c>
      <c r="AN1760">
        <v>1.00000005774209</v>
      </c>
    </row>
    <row r="1761" spans="1:40" x14ac:dyDescent="0.25">
      <c r="A1761" t="str">
        <f>"20190303154457242"</f>
        <v>20190303154457242</v>
      </c>
      <c r="B1761" t="str">
        <f>"1551599097231810"</f>
        <v>1551599097231810</v>
      </c>
      <c r="C1761" t="s">
        <v>40</v>
      </c>
      <c r="D1761">
        <v>4.8353650000000004</v>
      </c>
      <c r="E1761">
        <v>0.50972770000000001</v>
      </c>
      <c r="F1761" t="s">
        <v>55</v>
      </c>
      <c r="G1761">
        <v>-366.17869999999999</v>
      </c>
      <c r="H1761" s="1">
        <v>1.75120999999999E-6</v>
      </c>
      <c r="I1761">
        <v>284.51990000000001</v>
      </c>
      <c r="J1761">
        <v>-329.95819999999998</v>
      </c>
      <c r="K1761">
        <v>1.120941</v>
      </c>
      <c r="L1761">
        <v>284.5899</v>
      </c>
      <c r="M1761">
        <v>-0.9998591</v>
      </c>
      <c r="N1761">
        <v>-1.512903E-2</v>
      </c>
      <c r="O1761">
        <v>-7.2848629999999999E-3</v>
      </c>
      <c r="P1761">
        <v>-0.99726539999999997</v>
      </c>
      <c r="Q1761">
        <v>-7.2489269999999995E-2</v>
      </c>
      <c r="R1761">
        <v>-1.440226E-2</v>
      </c>
      <c r="S1761">
        <v>-3.0014340000000002</v>
      </c>
      <c r="T1761">
        <v>-9.1870430000000003E-2</v>
      </c>
      <c r="U1761">
        <v>-5.9814450000000002E-3</v>
      </c>
      <c r="V1761">
        <v>-7.1238710000000004E-3</v>
      </c>
      <c r="W1761">
        <v>-5.7393609999999998E-2</v>
      </c>
      <c r="X1761">
        <v>0.99832619999999905</v>
      </c>
      <c r="Y1761">
        <v>5.2883050000000001E-3</v>
      </c>
      <c r="Z1761">
        <v>2.336552E-4</v>
      </c>
      <c r="AA1761">
        <v>0.99998600000000004</v>
      </c>
      <c r="AB1761">
        <v>40</v>
      </c>
      <c r="AC1761">
        <v>-36.220500000000001</v>
      </c>
      <c r="AD1761">
        <v>-1.1209392487899901</v>
      </c>
      <c r="AE1761">
        <v>-6.9999999999993096E-2</v>
      </c>
      <c r="AF1761">
        <v>0.19370789296060301</v>
      </c>
      <c r="AG1761">
        <v>-1.1209392487899901</v>
      </c>
      <c r="AH1761">
        <v>36.185391991288597</v>
      </c>
      <c r="AI1761">
        <v>91.774297117689002</v>
      </c>
      <c r="AJ1761">
        <v>89.693286763006398</v>
      </c>
      <c r="AK1761">
        <v>36.203268099862001</v>
      </c>
      <c r="AL1761">
        <v>93.290219694731604</v>
      </c>
      <c r="AM1761">
        <v>90.408845139354099</v>
      </c>
      <c r="AN1761">
        <v>0.99999998880664798</v>
      </c>
    </row>
    <row r="1762" spans="1:40" x14ac:dyDescent="0.25">
      <c r="A1762" t="str">
        <f>"20190303154457264"</f>
        <v>20190303154457264</v>
      </c>
      <c r="B1762" t="str">
        <f>"1551599097252306"</f>
        <v>1551599097252306</v>
      </c>
      <c r="C1762" t="s">
        <v>40</v>
      </c>
      <c r="D1762">
        <v>4.832624</v>
      </c>
      <c r="E1762">
        <v>0.50935169999999996</v>
      </c>
      <c r="F1762" t="s">
        <v>55</v>
      </c>
      <c r="G1762">
        <v>-363.23599999999999</v>
      </c>
      <c r="H1762" s="1">
        <v>1.8523649999999999E-7</v>
      </c>
      <c r="I1762">
        <v>284.94420000000002</v>
      </c>
      <c r="J1762">
        <v>-330.36450000000002</v>
      </c>
      <c r="K1762">
        <v>1.120922</v>
      </c>
      <c r="L1762">
        <v>284.58690000000001</v>
      </c>
      <c r="M1762">
        <v>-0.9998591</v>
      </c>
      <c r="N1762">
        <v>-1.5124439999999999E-2</v>
      </c>
      <c r="O1762">
        <v>-7.2875240000000001E-3</v>
      </c>
      <c r="P1762">
        <v>-0.99729279999999998</v>
      </c>
      <c r="Q1762">
        <v>-7.2201829999999995E-2</v>
      </c>
      <c r="R1762">
        <v>-1.392849E-2</v>
      </c>
      <c r="S1762">
        <v>-3.0013429999999999</v>
      </c>
      <c r="T1762">
        <v>-0.1010984</v>
      </c>
      <c r="U1762">
        <v>3.1951899999999998E-2</v>
      </c>
      <c r="V1762">
        <v>-6.6507959999999996E-3</v>
      </c>
      <c r="W1762">
        <v>-5.7109979999999998E-2</v>
      </c>
      <c r="X1762">
        <v>0.9983457</v>
      </c>
      <c r="Y1762">
        <v>1.7916950000000001E-2</v>
      </c>
      <c r="Z1762">
        <v>5.7242049999999998E-4</v>
      </c>
      <c r="AA1762">
        <v>0.99983929999999999</v>
      </c>
      <c r="AB1762">
        <v>40</v>
      </c>
      <c r="AC1762">
        <v>-32.871499999999898</v>
      </c>
      <c r="AD1762">
        <v>-1.1209218147634901</v>
      </c>
      <c r="AE1762">
        <v>0.357300000000009</v>
      </c>
      <c r="AF1762">
        <v>0.59617658650592897</v>
      </c>
      <c r="AG1762">
        <v>-1.1209218147634901</v>
      </c>
      <c r="AH1762">
        <v>32.829852168527999</v>
      </c>
      <c r="AI1762">
        <v>91.955189282099496</v>
      </c>
      <c r="AJ1762">
        <v>88.9596466043741</v>
      </c>
      <c r="AK1762">
        <v>32.854392181936802</v>
      </c>
      <c r="AL1762">
        <v>93.273942288769007</v>
      </c>
      <c r="AM1762">
        <v>90.381688331198902</v>
      </c>
      <c r="AN1762">
        <v>0.99999995980576095</v>
      </c>
    </row>
    <row r="1763" spans="1:40" x14ac:dyDescent="0.25">
      <c r="A1763" t="str">
        <f>"20190303154457286"</f>
        <v>20190303154457286</v>
      </c>
      <c r="B1763" t="str">
        <f>"1551599097282562"</f>
        <v>1551599097282562</v>
      </c>
      <c r="C1763" t="s">
        <v>40</v>
      </c>
      <c r="D1763">
        <v>4.8349520000000004</v>
      </c>
      <c r="E1763">
        <v>0.50910069999999996</v>
      </c>
      <c r="F1763" t="s">
        <v>55</v>
      </c>
      <c r="G1763">
        <v>-362.59530000000001</v>
      </c>
      <c r="H1763" s="1">
        <v>-1.557077E-7</v>
      </c>
      <c r="I1763">
        <v>284.91329999999999</v>
      </c>
      <c r="J1763">
        <v>-330.76100000000002</v>
      </c>
      <c r="K1763">
        <v>1.120906</v>
      </c>
      <c r="L1763">
        <v>284.584</v>
      </c>
      <c r="M1763">
        <v>-0.99985919999999895</v>
      </c>
      <c r="N1763">
        <v>-1.511998E-2</v>
      </c>
      <c r="O1763">
        <v>-7.2893130000000004E-3</v>
      </c>
      <c r="P1763">
        <v>-0.99731110000000001</v>
      </c>
      <c r="Q1763">
        <v>-7.2019440000000004E-2</v>
      </c>
      <c r="R1763">
        <v>-1.356897E-2</v>
      </c>
      <c r="S1763">
        <v>-3.001007</v>
      </c>
      <c r="T1763">
        <v>-0.104369</v>
      </c>
      <c r="U1763">
        <v>3.0395510000000001E-2</v>
      </c>
      <c r="V1763">
        <v>-6.2919179999999996E-3</v>
      </c>
      <c r="W1763">
        <v>-5.6931500000000003E-2</v>
      </c>
      <c r="X1763">
        <v>0.99835819999999997</v>
      </c>
      <c r="Y1763">
        <v>1.7400909999999999E-2</v>
      </c>
      <c r="Z1763">
        <v>5.7733079999999998E-4</v>
      </c>
      <c r="AA1763">
        <v>0.99984839999999997</v>
      </c>
      <c r="AB1763">
        <v>40</v>
      </c>
      <c r="AC1763">
        <v>-31.834299999999999</v>
      </c>
      <c r="AD1763">
        <v>-1.1209061557077</v>
      </c>
      <c r="AE1763">
        <v>0.32929999999998899</v>
      </c>
      <c r="AF1763">
        <v>0.56067289430531297</v>
      </c>
      <c r="AG1763">
        <v>-1.1209061557077</v>
      </c>
      <c r="AH1763">
        <v>31.791642684553501</v>
      </c>
      <c r="AI1763">
        <v>92.018977985390293</v>
      </c>
      <c r="AJ1763">
        <v>88.989644510919803</v>
      </c>
      <c r="AK1763">
        <v>31.816337458711899</v>
      </c>
      <c r="AL1763">
        <v>93.263699538130794</v>
      </c>
      <c r="AM1763">
        <v>90.361088408655704</v>
      </c>
      <c r="AN1763">
        <v>0.99999993971580203</v>
      </c>
    </row>
    <row r="1764" spans="1:40" x14ac:dyDescent="0.25">
      <c r="A1764" t="str">
        <f>"20190303154457308"</f>
        <v>20190303154457308</v>
      </c>
      <c r="B1764" t="str">
        <f>"1551599097302082"</f>
        <v>1551599097302082</v>
      </c>
      <c r="C1764" t="s">
        <v>40</v>
      </c>
      <c r="D1764">
        <v>4.8430910000000003</v>
      </c>
      <c r="E1764">
        <v>0.52030299999999996</v>
      </c>
      <c r="F1764" t="s">
        <v>55</v>
      </c>
      <c r="G1764">
        <v>-362.95859999999999</v>
      </c>
      <c r="H1764" s="1">
        <v>3.7608399999999997E-8</v>
      </c>
      <c r="I1764">
        <v>284.90030000000002</v>
      </c>
      <c r="J1764">
        <v>-331.15129999999999</v>
      </c>
      <c r="K1764">
        <v>1.1208910000000001</v>
      </c>
      <c r="L1764">
        <v>284.58109999999999</v>
      </c>
      <c r="M1764">
        <v>-0.99985919999999895</v>
      </c>
      <c r="N1764">
        <v>-1.511558E-2</v>
      </c>
      <c r="O1764">
        <v>-7.2909289999999998E-3</v>
      </c>
      <c r="P1764">
        <v>-0.99733110000000003</v>
      </c>
      <c r="Q1764">
        <v>-7.1794999999999998E-2</v>
      </c>
      <c r="R1764">
        <v>-1.327356E-2</v>
      </c>
      <c r="S1764">
        <v>-3.0008849999999998</v>
      </c>
      <c r="T1764">
        <v>-0.1044711</v>
      </c>
      <c r="U1764">
        <v>2.9479979999999999E-2</v>
      </c>
      <c r="V1764">
        <v>-5.996365E-3</v>
      </c>
      <c r="W1764">
        <v>-5.6710990000000003E-2</v>
      </c>
      <c r="X1764">
        <v>0.99837260000000005</v>
      </c>
      <c r="Y1764">
        <v>1.7098169999999999E-2</v>
      </c>
      <c r="Z1764">
        <v>5.7036519999999896E-4</v>
      </c>
      <c r="AA1764">
        <v>0.99985369999999996</v>
      </c>
      <c r="AB1764">
        <v>40</v>
      </c>
      <c r="AC1764">
        <v>-31.807300000000001</v>
      </c>
      <c r="AD1764">
        <v>-1.1208909623915999</v>
      </c>
      <c r="AE1764">
        <v>0.31920000000002302</v>
      </c>
      <c r="AF1764">
        <v>0.55043927020340599</v>
      </c>
      <c r="AG1764">
        <v>-1.1208909623915999</v>
      </c>
      <c r="AH1764">
        <v>31.764683502963202</v>
      </c>
      <c r="AI1764">
        <v>92.020673576661096</v>
      </c>
      <c r="AJ1764">
        <v>89.007240513697397</v>
      </c>
      <c r="AK1764">
        <v>31.789219839171601</v>
      </c>
      <c r="AL1764">
        <v>93.251044699067506</v>
      </c>
      <c r="AM1764">
        <v>90.344122300402702</v>
      </c>
      <c r="AN1764">
        <v>0.99999997060537604</v>
      </c>
    </row>
    <row r="1765" spans="1:40" x14ac:dyDescent="0.25">
      <c r="A1765" t="str">
        <f>"20190303154457331"</f>
        <v>20190303154457331</v>
      </c>
      <c r="B1765" t="str">
        <f>"1551599097322578"</f>
        <v>1551599097322578</v>
      </c>
      <c r="C1765" t="s">
        <v>40</v>
      </c>
      <c r="D1765">
        <v>4.7821870000000004</v>
      </c>
      <c r="E1765">
        <v>0.52048499999999998</v>
      </c>
      <c r="F1765" t="s">
        <v>55</v>
      </c>
      <c r="G1765">
        <v>-387.66570000000002</v>
      </c>
      <c r="H1765" s="1">
        <v>2.5425199999999999E-6</v>
      </c>
      <c r="I1765">
        <v>286.81229999999999</v>
      </c>
      <c r="J1765">
        <v>-331.55</v>
      </c>
      <c r="K1765">
        <v>1.1208750000000001</v>
      </c>
      <c r="L1765">
        <v>284.57819999999998</v>
      </c>
      <c r="M1765">
        <v>-0.99985930000000001</v>
      </c>
      <c r="N1765">
        <v>-1.511098E-2</v>
      </c>
      <c r="O1765">
        <v>-7.2930690000000001E-3</v>
      </c>
      <c r="P1765">
        <v>-0.99731110000000001</v>
      </c>
      <c r="Q1765">
        <v>-7.2114250000000005E-2</v>
      </c>
      <c r="R1765">
        <v>-1.304262E-2</v>
      </c>
      <c r="S1765">
        <v>-3.0053100000000001</v>
      </c>
      <c r="T1765">
        <v>-5.9606310000000003E-2</v>
      </c>
      <c r="U1765">
        <v>0.1186523</v>
      </c>
      <c r="V1765">
        <v>-5.7648919999999998E-3</v>
      </c>
      <c r="W1765">
        <v>-5.7034939999999999E-2</v>
      </c>
      <c r="X1765">
        <v>0.99835560000000001</v>
      </c>
      <c r="Y1765">
        <v>4.6721079999999998E-2</v>
      </c>
      <c r="Z1765">
        <v>8.5073769999999998E-4</v>
      </c>
      <c r="AA1765">
        <v>0.99890760000000001</v>
      </c>
      <c r="AB1765">
        <v>40</v>
      </c>
      <c r="AC1765">
        <v>-56.115699999999997</v>
      </c>
      <c r="AD1765">
        <v>-1.12087245748</v>
      </c>
      <c r="AE1765">
        <v>2.23410000000001</v>
      </c>
      <c r="AF1765">
        <v>2.6422904108885299</v>
      </c>
      <c r="AG1765">
        <v>-1.12087245748</v>
      </c>
      <c r="AH1765">
        <v>56.075574728499902</v>
      </c>
      <c r="AI1765">
        <v>91.143841357137205</v>
      </c>
      <c r="AJ1765">
        <v>87.302208800173403</v>
      </c>
      <c r="AK1765">
        <v>56.148981600853503</v>
      </c>
      <c r="AL1765">
        <v>93.269635461978197</v>
      </c>
      <c r="AM1765">
        <v>90.330844350302698</v>
      </c>
      <c r="AN1765">
        <v>1.0000000612059601</v>
      </c>
    </row>
    <row r="1766" spans="1:40" x14ac:dyDescent="0.25">
      <c r="A1766" t="str">
        <f>"20190303154457352"</f>
        <v>20190303154457352</v>
      </c>
      <c r="B1766" t="str">
        <f>"1551599097342098"</f>
        <v>1551599097342098</v>
      </c>
      <c r="C1766" t="s">
        <v>40</v>
      </c>
      <c r="D1766">
        <v>4.7984099999999996</v>
      </c>
      <c r="E1766">
        <v>0.52052609999999999</v>
      </c>
      <c r="F1766" t="s">
        <v>55</v>
      </c>
      <c r="G1766">
        <v>-388.70429999999999</v>
      </c>
      <c r="H1766" s="1">
        <v>3.0952060000000002E-6</v>
      </c>
      <c r="I1766">
        <v>286.87819999999999</v>
      </c>
      <c r="J1766">
        <v>-331.94670000000002</v>
      </c>
      <c r="K1766">
        <v>1.1208610000000001</v>
      </c>
      <c r="L1766">
        <v>284.57530000000003</v>
      </c>
      <c r="M1766">
        <v>-0.99985930000000001</v>
      </c>
      <c r="N1766">
        <v>-1.510631E-2</v>
      </c>
      <c r="O1766">
        <v>-7.2952549999999996E-3</v>
      </c>
      <c r="P1766">
        <v>-0.99729420000000002</v>
      </c>
      <c r="Q1766">
        <v>-7.2451559999999998E-2</v>
      </c>
      <c r="R1766">
        <v>-1.2457350000000001E-2</v>
      </c>
      <c r="S1766">
        <v>-3.0054319999999999</v>
      </c>
      <c r="T1766">
        <v>-5.8940529999999998E-2</v>
      </c>
      <c r="U1766">
        <v>0.1209412</v>
      </c>
      <c r="V1766">
        <v>-5.1787680000000003E-3</v>
      </c>
      <c r="W1766">
        <v>-5.7377039999999997E-2</v>
      </c>
      <c r="X1766">
        <v>0.99833919999999998</v>
      </c>
      <c r="Y1766">
        <v>4.7481210000000003E-2</v>
      </c>
      <c r="Z1766">
        <v>8.5705340000000001E-4</v>
      </c>
      <c r="AA1766">
        <v>0.99887170000000003</v>
      </c>
      <c r="AB1766">
        <v>40</v>
      </c>
      <c r="AC1766">
        <v>-56.757599999999897</v>
      </c>
      <c r="AD1766">
        <v>-1.1208579047939999</v>
      </c>
      <c r="AE1766">
        <v>2.3028999999999602</v>
      </c>
      <c r="AF1766">
        <v>2.7158896854010002</v>
      </c>
      <c r="AG1766">
        <v>-1.1208579047939999</v>
      </c>
      <c r="AH1766">
        <v>56.7172043667724</v>
      </c>
      <c r="AI1766">
        <v>91.130849054358904</v>
      </c>
      <c r="AJ1766">
        <v>87.258499477939495</v>
      </c>
      <c r="AK1766">
        <v>56.793253564206303</v>
      </c>
      <c r="AL1766">
        <v>93.289268530768496</v>
      </c>
      <c r="AM1766">
        <v>90.297212498549996</v>
      </c>
      <c r="AN1766">
        <v>1.0000000513068901</v>
      </c>
    </row>
    <row r="1767" spans="1:40" x14ac:dyDescent="0.25">
      <c r="A1767" t="str">
        <f>"20190303154457376"</f>
        <v>20190303154457376</v>
      </c>
      <c r="B1767" t="str">
        <f>"1551599097372354"</f>
        <v>1551599097372354</v>
      </c>
      <c r="C1767" t="s">
        <v>40</v>
      </c>
      <c r="D1767">
        <v>4.7880859999999998</v>
      </c>
      <c r="E1767">
        <v>0.520625</v>
      </c>
      <c r="F1767" t="s">
        <v>55</v>
      </c>
      <c r="G1767">
        <v>-389.66669999999999</v>
      </c>
      <c r="H1767" s="1">
        <v>3.6073339999999998E-6</v>
      </c>
      <c r="I1767">
        <v>286.93959999999998</v>
      </c>
      <c r="J1767">
        <v>-332.34780000000001</v>
      </c>
      <c r="K1767">
        <v>1.1208530000000001</v>
      </c>
      <c r="L1767">
        <v>284.57240000000002</v>
      </c>
      <c r="M1767">
        <v>-0.99985939999999995</v>
      </c>
      <c r="N1767">
        <v>-1.5101699999999999E-2</v>
      </c>
      <c r="O1767">
        <v>-7.2972380000000002E-3</v>
      </c>
      <c r="P1767">
        <v>-0.99736469999999999</v>
      </c>
      <c r="Q1767">
        <v>-7.1396979999999999E-2</v>
      </c>
      <c r="R1767">
        <v>-1.2907699999999999E-2</v>
      </c>
      <c r="S1767">
        <v>-3.0054319999999999</v>
      </c>
      <c r="T1767">
        <v>-5.8362129999999998E-2</v>
      </c>
      <c r="U1767">
        <v>0.12310790000000001</v>
      </c>
      <c r="V1767">
        <v>-5.6280150000000001E-3</v>
      </c>
      <c r="W1767">
        <v>-5.6325979999999998E-2</v>
      </c>
      <c r="X1767">
        <v>0.99839659999999997</v>
      </c>
      <c r="Y1767">
        <v>4.8202139999999997E-2</v>
      </c>
      <c r="Z1767">
        <v>8.6345770000000001E-4</v>
      </c>
      <c r="AA1767">
        <v>0.99883719999999998</v>
      </c>
      <c r="AB1767">
        <v>40</v>
      </c>
      <c r="AC1767">
        <v>-57.3188999999999</v>
      </c>
      <c r="AD1767">
        <v>-1.1208493926659999</v>
      </c>
      <c r="AE1767">
        <v>2.36719999999996</v>
      </c>
      <c r="AF1767">
        <v>2.7843913983366599</v>
      </c>
      <c r="AG1767">
        <v>-1.1208493926659999</v>
      </c>
      <c r="AH1767">
        <v>57.278232591892902</v>
      </c>
      <c r="AI1767">
        <v>91.119727786955096</v>
      </c>
      <c r="AJ1767">
        <v>87.216946444023407</v>
      </c>
      <c r="AK1767">
        <v>57.356822328918803</v>
      </c>
      <c r="AL1767">
        <v>93.228949738536897</v>
      </c>
      <c r="AM1767">
        <v>90.322975950688502</v>
      </c>
      <c r="AN1767">
        <v>1.0000000307336701</v>
      </c>
    </row>
    <row r="1768" spans="1:40" x14ac:dyDescent="0.25">
      <c r="A1768" t="str">
        <f>"20190303154457398"</f>
        <v>20190303154457398</v>
      </c>
      <c r="B1768" t="str">
        <f>"1551599097392850"</f>
        <v>1551599097392850</v>
      </c>
      <c r="C1768" t="s">
        <v>40</v>
      </c>
      <c r="D1768">
        <v>4.7491669999999999</v>
      </c>
      <c r="E1768">
        <v>0.52049209999999901</v>
      </c>
      <c r="F1768" t="s">
        <v>55</v>
      </c>
      <c r="G1768">
        <v>-393.08199999999999</v>
      </c>
      <c r="H1768" s="1">
        <v>1.033122E-7</v>
      </c>
      <c r="I1768">
        <v>287.04399999999998</v>
      </c>
      <c r="J1768">
        <v>-332.7432</v>
      </c>
      <c r="K1768">
        <v>1.1208549999999999</v>
      </c>
      <c r="L1768">
        <v>284.56950000000001</v>
      </c>
      <c r="M1768">
        <v>-0.99985950000000001</v>
      </c>
      <c r="N1768">
        <v>-1.5097269999999999E-2</v>
      </c>
      <c r="O1768">
        <v>-7.2990169999999997E-3</v>
      </c>
      <c r="P1768">
        <v>-0.99731579999999997</v>
      </c>
      <c r="Q1768">
        <v>-7.1934230000000002E-2</v>
      </c>
      <c r="R1768">
        <v>-1.3680039999999999E-2</v>
      </c>
      <c r="S1768">
        <v>-3.005585</v>
      </c>
      <c r="T1768">
        <v>-5.5468200000000002E-2</v>
      </c>
      <c r="U1768">
        <v>0.12231450000000001</v>
      </c>
      <c r="V1768">
        <v>-6.3995299999999996E-3</v>
      </c>
      <c r="W1768">
        <v>-5.6868170000000003E-2</v>
      </c>
      <c r="X1768">
        <v>0.99836119999999995</v>
      </c>
      <c r="Y1768">
        <v>4.7939919999999997E-2</v>
      </c>
      <c r="Z1768">
        <v>8.2874320000000002E-4</v>
      </c>
      <c r="AA1768">
        <v>0.99884989999999996</v>
      </c>
      <c r="AB1768">
        <v>40</v>
      </c>
      <c r="AC1768">
        <v>-60.3387999999999</v>
      </c>
      <c r="AD1768">
        <v>-1.1208548966878</v>
      </c>
      <c r="AE1768">
        <v>2.4745000000000301</v>
      </c>
      <c r="AF1768">
        <v>2.913894341247</v>
      </c>
      <c r="AG1768">
        <v>-1.1208548966878</v>
      </c>
      <c r="AH1768">
        <v>60.298356709157297</v>
      </c>
      <c r="AI1768">
        <v>91.063677926152806</v>
      </c>
      <c r="AJ1768">
        <v>87.233356297540595</v>
      </c>
      <c r="AK1768">
        <v>60.379126507065003</v>
      </c>
      <c r="AL1768">
        <v>93.2600648649248</v>
      </c>
      <c r="AM1768">
        <v>90.367262908520601</v>
      </c>
      <c r="AN1768">
        <v>1.0000000142044001</v>
      </c>
    </row>
    <row r="1769" spans="1:40" x14ac:dyDescent="0.25">
      <c r="A1769" t="str">
        <f>"20190303154457422"</f>
        <v>20190303154457422</v>
      </c>
      <c r="B1769" t="str">
        <f>"1551599097412371"</f>
        <v>1551599097412371</v>
      </c>
      <c r="C1769" t="s">
        <v>40</v>
      </c>
      <c r="D1769">
        <v>4.7732859999999997</v>
      </c>
      <c r="E1769">
        <v>0.52028319999999995</v>
      </c>
      <c r="F1769" t="s">
        <v>55</v>
      </c>
      <c r="G1769">
        <v>-390.67930000000001</v>
      </c>
      <c r="H1769" s="1">
        <v>-1.1753030000000001E-6</v>
      </c>
      <c r="I1769">
        <v>286.86380000000003</v>
      </c>
      <c r="J1769">
        <v>-333.16340000000002</v>
      </c>
      <c r="K1769">
        <v>1.1208450000000001</v>
      </c>
      <c r="L1769">
        <v>284.56639999999999</v>
      </c>
      <c r="M1769">
        <v>-0.99985950000000001</v>
      </c>
      <c r="N1769">
        <v>-1.5092639999999999E-2</v>
      </c>
      <c r="O1769">
        <v>-7.3043029999999998E-3</v>
      </c>
      <c r="P1769">
        <v>-0.99725920000000001</v>
      </c>
      <c r="Q1769">
        <v>-7.2575959999999995E-2</v>
      </c>
      <c r="R1769">
        <v>-1.4388400000000001E-2</v>
      </c>
      <c r="S1769">
        <v>-3.0055540000000001</v>
      </c>
      <c r="T1769">
        <v>-5.8146719999999999E-2</v>
      </c>
      <c r="U1769">
        <v>0.1190186</v>
      </c>
      <c r="V1769">
        <v>-7.1028749999999998E-3</v>
      </c>
      <c r="W1769">
        <v>-5.7515219999999999E-2</v>
      </c>
      <c r="X1769">
        <v>0.99831939999999997</v>
      </c>
      <c r="Y1769">
        <v>4.6851230000000001E-2</v>
      </c>
      <c r="Z1769">
        <v>8.3780270000000003E-4</v>
      </c>
      <c r="AA1769">
        <v>0.9989015</v>
      </c>
      <c r="AB1769">
        <v>40</v>
      </c>
      <c r="AC1769">
        <v>-57.515899999999903</v>
      </c>
      <c r="AD1769">
        <v>-1.1208461753029999</v>
      </c>
      <c r="AE1769">
        <v>2.2974000000000299</v>
      </c>
      <c r="AF1769">
        <v>2.7164701026763001</v>
      </c>
      <c r="AG1769">
        <v>-1.1208461753029999</v>
      </c>
      <c r="AH1769">
        <v>57.475789909733599</v>
      </c>
      <c r="AI1769">
        <v>91.115948771527897</v>
      </c>
      <c r="AJ1769">
        <v>87.294051333690803</v>
      </c>
      <c r="AK1769">
        <v>57.550863865933898</v>
      </c>
      <c r="AL1769">
        <v>93.297198801381498</v>
      </c>
      <c r="AM1769">
        <v>90.407642977940597</v>
      </c>
      <c r="AN1769">
        <v>1.00000003789063</v>
      </c>
    </row>
    <row r="1770" spans="1:40" x14ac:dyDescent="0.25">
      <c r="A1770" t="str">
        <f>"20190303154457444"</f>
        <v>20190303154457444</v>
      </c>
      <c r="B1770" t="str">
        <f>"1551599097431890"</f>
        <v>1551599097431890</v>
      </c>
      <c r="C1770" t="s">
        <v>40</v>
      </c>
      <c r="D1770">
        <v>4.78667</v>
      </c>
      <c r="E1770">
        <v>0.51997780000000005</v>
      </c>
      <c r="F1770" t="s">
        <v>55</v>
      </c>
      <c r="G1770">
        <v>-385.26760000000002</v>
      </c>
      <c r="H1770" s="1">
        <v>1.2663569999999999E-6</v>
      </c>
      <c r="I1770">
        <v>286.56909999999999</v>
      </c>
      <c r="J1770">
        <v>-333.56270000000001</v>
      </c>
      <c r="K1770">
        <v>1.120846</v>
      </c>
      <c r="L1770">
        <v>284.56349999999998</v>
      </c>
      <c r="M1770">
        <v>-0.99985950000000001</v>
      </c>
      <c r="N1770">
        <v>-1.5088249999999999E-2</v>
      </c>
      <c r="O1770">
        <v>-7.3188599999999999E-3</v>
      </c>
      <c r="P1770">
        <v>-0.99714729999999996</v>
      </c>
      <c r="Q1770">
        <v>-7.3917529999999995E-2</v>
      </c>
      <c r="R1770">
        <v>-1.529376E-2</v>
      </c>
      <c r="S1770">
        <v>-3.0052490000000001</v>
      </c>
      <c r="T1770">
        <v>-6.4647670000000004E-2</v>
      </c>
      <c r="U1770">
        <v>0.115509</v>
      </c>
      <c r="V1770">
        <v>-7.9943329999999993E-3</v>
      </c>
      <c r="W1770">
        <v>-5.8862640000000001E-2</v>
      </c>
      <c r="X1770">
        <v>0.99823410000000001</v>
      </c>
      <c r="Y1770">
        <v>4.570254E-2</v>
      </c>
      <c r="Z1770">
        <v>8.8331029999999999E-4</v>
      </c>
      <c r="AA1770">
        <v>0.99895469999999997</v>
      </c>
      <c r="AB1770">
        <v>40</v>
      </c>
      <c r="AC1770">
        <v>-51.704900000000002</v>
      </c>
      <c r="AD1770">
        <v>-1.1208447336430001</v>
      </c>
      <c r="AE1770">
        <v>2.00560000000001</v>
      </c>
      <c r="AF1770">
        <v>2.38289213673949</v>
      </c>
      <c r="AG1770">
        <v>-1.1208447336430001</v>
      </c>
      <c r="AH1770">
        <v>51.664592536091497</v>
      </c>
      <c r="AI1770">
        <v>91.241496967078305</v>
      </c>
      <c r="AJ1770">
        <v>87.359255782270495</v>
      </c>
      <c r="AK1770">
        <v>51.731659453110801</v>
      </c>
      <c r="AL1770">
        <v>93.374531380251696</v>
      </c>
      <c r="AM1770">
        <v>90.458842018151003</v>
      </c>
      <c r="AN1770">
        <v>1.00000001907534</v>
      </c>
    </row>
    <row r="1771" spans="1:40" x14ac:dyDescent="0.25">
      <c r="A1771" t="str">
        <f>"20190303154457468"</f>
        <v>20190303154457468</v>
      </c>
      <c r="B1771" t="str">
        <f>"1551599097462146"</f>
        <v>1551599097462146</v>
      </c>
      <c r="C1771" t="s">
        <v>40</v>
      </c>
      <c r="D1771">
        <v>4.7607710000000001</v>
      </c>
      <c r="E1771">
        <v>0.51974220000000004</v>
      </c>
      <c r="F1771" t="s">
        <v>55</v>
      </c>
      <c r="G1771">
        <v>-379.06299999999999</v>
      </c>
      <c r="H1771" s="1">
        <v>3.2860759999999999E-6</v>
      </c>
      <c r="I1771">
        <v>286.24149999999997</v>
      </c>
      <c r="J1771">
        <v>-333.96809999999999</v>
      </c>
      <c r="K1771">
        <v>1.1208579999999999</v>
      </c>
      <c r="L1771">
        <v>284.56049999999999</v>
      </c>
      <c r="M1771">
        <v>-0.99985919999999895</v>
      </c>
      <c r="N1771">
        <v>-1.508379E-2</v>
      </c>
      <c r="O1771">
        <v>-7.3421780000000004E-3</v>
      </c>
      <c r="P1771">
        <v>-0.99714080000000005</v>
      </c>
      <c r="Q1771">
        <v>-7.4055170000000003E-2</v>
      </c>
      <c r="R1771">
        <v>-1.503639E-2</v>
      </c>
      <c r="S1771">
        <v>-3.004791</v>
      </c>
      <c r="T1771">
        <v>-7.4019189999999999E-2</v>
      </c>
      <c r="U1771">
        <v>0.1108093</v>
      </c>
      <c r="V1771">
        <v>-7.712956E-3</v>
      </c>
      <c r="W1771">
        <v>-5.9004939999999999E-2</v>
      </c>
      <c r="X1771">
        <v>0.99822789999999995</v>
      </c>
      <c r="Y1771">
        <v>4.4167610000000003E-2</v>
      </c>
      <c r="Z1771">
        <v>9.4713429999999997E-4</v>
      </c>
      <c r="AA1771">
        <v>0.99902369999999996</v>
      </c>
      <c r="AB1771">
        <v>40</v>
      </c>
      <c r="AC1771">
        <v>-45.094900000000003</v>
      </c>
      <c r="AD1771">
        <v>-1.1208547139239999</v>
      </c>
      <c r="AE1771">
        <v>1.6809999999999801</v>
      </c>
      <c r="AF1771">
        <v>2.0108465940840401</v>
      </c>
      <c r="AG1771">
        <v>-1.1208547139239999</v>
      </c>
      <c r="AH1771">
        <v>45.053545428701597</v>
      </c>
      <c r="AI1771">
        <v>91.423709711621001</v>
      </c>
      <c r="AJ1771">
        <v>87.444449488086704</v>
      </c>
      <c r="AK1771">
        <v>45.112323981488103</v>
      </c>
      <c r="AL1771">
        <v>93.382698807944607</v>
      </c>
      <c r="AM1771">
        <v>90.442695533073305</v>
      </c>
      <c r="AN1771">
        <v>1.00000000648653</v>
      </c>
    </row>
    <row r="1772" spans="1:40" x14ac:dyDescent="0.25">
      <c r="A1772" t="str">
        <f>"20190303154457487"</f>
        <v>20190303154457487</v>
      </c>
      <c r="B1772" t="str">
        <f>"1551599097482642"</f>
        <v>1551599097482642</v>
      </c>
      <c r="C1772" t="s">
        <v>40</v>
      </c>
      <c r="D1772">
        <v>4.8406940000000001</v>
      </c>
      <c r="E1772">
        <v>0.51979359999999997</v>
      </c>
      <c r="F1772" t="s">
        <v>55</v>
      </c>
      <c r="G1772">
        <v>-378.09730000000002</v>
      </c>
      <c r="H1772" s="1">
        <v>2.7721620000000001E-6</v>
      </c>
      <c r="I1772">
        <v>286.17099999999999</v>
      </c>
      <c r="J1772">
        <v>-334.32319999999999</v>
      </c>
      <c r="K1772">
        <v>1.1208689999999999</v>
      </c>
      <c r="L1772">
        <v>284.55790000000002</v>
      </c>
      <c r="M1772">
        <v>-0.99985919999999895</v>
      </c>
      <c r="N1772">
        <v>-1.507987E-2</v>
      </c>
      <c r="O1772">
        <v>-7.3728029999999998E-3</v>
      </c>
      <c r="P1772">
        <v>-0.99716590000000005</v>
      </c>
      <c r="Q1772">
        <v>-7.3801649999999996E-2</v>
      </c>
      <c r="R1772">
        <v>-1.462024E-2</v>
      </c>
      <c r="S1772">
        <v>-3.004578</v>
      </c>
      <c r="T1772">
        <v>-7.6314569999999998E-2</v>
      </c>
      <c r="U1772">
        <v>0.1096497</v>
      </c>
      <c r="V1772">
        <v>-7.2651540000000002E-3</v>
      </c>
      <c r="W1772">
        <v>-5.8755170000000002E-2</v>
      </c>
      <c r="X1772">
        <v>0.99824599999999997</v>
      </c>
      <c r="Y1772">
        <v>4.3814779999999998E-2</v>
      </c>
      <c r="Z1772">
        <v>9.6277220000000004E-4</v>
      </c>
      <c r="AA1772">
        <v>0.99903920000000002</v>
      </c>
      <c r="AB1772">
        <v>40</v>
      </c>
      <c r="AC1772">
        <v>-43.774099999999997</v>
      </c>
      <c r="AD1772">
        <v>-1.1208662278379999</v>
      </c>
      <c r="AE1772">
        <v>1.61309999999997</v>
      </c>
      <c r="AF1772">
        <v>1.9345639556027701</v>
      </c>
      <c r="AG1772">
        <v>-1.1208662278379999</v>
      </c>
      <c r="AH1772">
        <v>43.732381231559899</v>
      </c>
      <c r="AI1772">
        <v>91.466742565078604</v>
      </c>
      <c r="AJ1772">
        <v>87.467091192162201</v>
      </c>
      <c r="AK1772">
        <v>43.789496993931202</v>
      </c>
      <c r="AL1772">
        <v>93.368363142754006</v>
      </c>
      <c r="AM1772">
        <v>90.416986707081193</v>
      </c>
      <c r="AN1772">
        <v>1.0000000144901799</v>
      </c>
    </row>
    <row r="1773" spans="1:40" x14ac:dyDescent="0.25">
      <c r="A1773" t="str">
        <f>"20190303154457509"</f>
        <v>20190303154457509</v>
      </c>
      <c r="B1773" t="str">
        <f>"1551599097502162"</f>
        <v>1551599097502162</v>
      </c>
      <c r="C1773" t="s">
        <v>40</v>
      </c>
      <c r="D1773">
        <v>4.7653189999999999</v>
      </c>
      <c r="E1773">
        <v>0.5197273</v>
      </c>
      <c r="F1773" t="s">
        <v>55</v>
      </c>
      <c r="G1773">
        <v>-379.45080000000002</v>
      </c>
      <c r="H1773" s="1">
        <v>3.4924499999999999E-6</v>
      </c>
      <c r="I1773">
        <v>286.22809999999998</v>
      </c>
      <c r="J1773">
        <v>-334.7217</v>
      </c>
      <c r="K1773">
        <v>1.120878</v>
      </c>
      <c r="L1773">
        <v>284.55500000000001</v>
      </c>
      <c r="M1773">
        <v>-0.99985889999999999</v>
      </c>
      <c r="N1773">
        <v>-1.5075420000000001E-2</v>
      </c>
      <c r="O1773">
        <v>-7.4208779999999997E-3</v>
      </c>
      <c r="P1773">
        <v>-0.99721700000000002</v>
      </c>
      <c r="Q1773">
        <v>-7.3267369999999998E-2</v>
      </c>
      <c r="R1773">
        <v>-1.3785469999999999E-2</v>
      </c>
      <c r="S1773">
        <v>-3.0046390000000001</v>
      </c>
      <c r="T1773">
        <v>-7.4628349999999996E-2</v>
      </c>
      <c r="U1773">
        <v>0.1112061</v>
      </c>
      <c r="V1773">
        <v>-6.3809399999999999E-3</v>
      </c>
      <c r="W1773">
        <v>-5.8224829999999998E-2</v>
      </c>
      <c r="X1773">
        <v>0.99828309999999998</v>
      </c>
      <c r="Y1773">
        <v>4.4379429999999997E-2</v>
      </c>
      <c r="Z1773">
        <v>9.5800400000000004E-4</v>
      </c>
      <c r="AA1773">
        <v>0.99901430000000002</v>
      </c>
      <c r="AB1773">
        <v>40</v>
      </c>
      <c r="AC1773">
        <v>-44.729100000000003</v>
      </c>
      <c r="AD1773">
        <v>-1.12087450755</v>
      </c>
      <c r="AE1773">
        <v>1.6730999999999701</v>
      </c>
      <c r="AF1773">
        <v>2.0037642828436599</v>
      </c>
      <c r="AG1773">
        <v>-1.12087450755</v>
      </c>
      <c r="AH1773">
        <v>44.6874280011045</v>
      </c>
      <c r="AI1773">
        <v>91.435381158393994</v>
      </c>
      <c r="AJ1773">
        <v>87.432602610824702</v>
      </c>
      <c r="AK1773">
        <v>44.746370269741099</v>
      </c>
      <c r="AL1773">
        <v>93.337924845324295</v>
      </c>
      <c r="AM1773">
        <v>90.366224723609704</v>
      </c>
      <c r="AN1773">
        <v>0.99999999748471102</v>
      </c>
    </row>
    <row r="1774" spans="1:40" x14ac:dyDescent="0.25">
      <c r="A1774" t="str">
        <f>"20190303154457531"</f>
        <v>20190303154457531</v>
      </c>
      <c r="B1774" t="str">
        <f>"1551599097522661"</f>
        <v>1551599097522661</v>
      </c>
      <c r="C1774" t="s">
        <v>40</v>
      </c>
      <c r="D1774">
        <v>4.8244680000000004</v>
      </c>
      <c r="E1774">
        <v>0.51967600000000003</v>
      </c>
      <c r="F1774" t="s">
        <v>55</v>
      </c>
      <c r="G1774">
        <v>-381.10809999999998</v>
      </c>
      <c r="H1774" s="1">
        <v>-9.4714079999999999E-7</v>
      </c>
      <c r="I1774">
        <v>286.3048</v>
      </c>
      <c r="J1774">
        <v>-335.1035</v>
      </c>
      <c r="K1774">
        <v>1.120889</v>
      </c>
      <c r="L1774">
        <v>284.5521</v>
      </c>
      <c r="M1774">
        <v>-0.99985860000000004</v>
      </c>
      <c r="N1774">
        <v>-1.507115E-2</v>
      </c>
      <c r="O1774">
        <v>-7.4794419999999898E-3</v>
      </c>
      <c r="P1774">
        <v>-0.99723609999999896</v>
      </c>
      <c r="Q1774">
        <v>-7.3293239999999996E-2</v>
      </c>
      <c r="R1774">
        <v>-1.218961E-2</v>
      </c>
      <c r="S1774">
        <v>-3.0046390000000001</v>
      </c>
      <c r="T1774">
        <v>-7.2604059999999998E-2</v>
      </c>
      <c r="U1774">
        <v>0.11334230000000001</v>
      </c>
      <c r="V1774">
        <v>-4.7248560000000004E-3</v>
      </c>
      <c r="W1774">
        <v>-5.8254859999999999E-2</v>
      </c>
      <c r="X1774">
        <v>0.99829049999999997</v>
      </c>
      <c r="Y1774">
        <v>4.5147850000000003E-2</v>
      </c>
      <c r="Z1774">
        <v>9.5360560000000004E-4</v>
      </c>
      <c r="AA1774">
        <v>0.99897990000000003</v>
      </c>
      <c r="AB1774">
        <v>40</v>
      </c>
      <c r="AC1774">
        <v>-46.004599999999897</v>
      </c>
      <c r="AD1774">
        <v>-1.1208899471408</v>
      </c>
      <c r="AE1774">
        <v>1.7526999999999999</v>
      </c>
      <c r="AF1774">
        <v>2.0955365415656999</v>
      </c>
      <c r="AG1774">
        <v>-1.1208899471408</v>
      </c>
      <c r="AH1774">
        <v>45.962956269556699</v>
      </c>
      <c r="AI1774">
        <v>91.395535412754199</v>
      </c>
      <c r="AJ1774">
        <v>87.389586680842001</v>
      </c>
      <c r="AK1774">
        <v>46.0243524311622</v>
      </c>
      <c r="AL1774">
        <v>93.339648562992195</v>
      </c>
      <c r="AM1774">
        <v>90.271175861364696</v>
      </c>
      <c r="AN1774">
        <v>0.99999993768404305</v>
      </c>
    </row>
    <row r="1775" spans="1:40" x14ac:dyDescent="0.25">
      <c r="A1775" t="str">
        <f>"20190303154457555"</f>
        <v>20190303154457555</v>
      </c>
      <c r="B1775" t="str">
        <f>"1551599097551938"</f>
        <v>1551599097551938</v>
      </c>
      <c r="C1775" t="s">
        <v>40</v>
      </c>
      <c r="D1775">
        <v>4.8731839999999904</v>
      </c>
      <c r="E1775">
        <v>0.51951930000000002</v>
      </c>
      <c r="F1775" t="s">
        <v>55</v>
      </c>
      <c r="G1775">
        <v>-381.92680000000001</v>
      </c>
      <c r="H1775" s="1">
        <v>-5.1145520000000001E-7</v>
      </c>
      <c r="I1775">
        <v>286.387</v>
      </c>
      <c r="J1775">
        <v>-335.52839999999998</v>
      </c>
      <c r="K1775">
        <v>1.1208990000000001</v>
      </c>
      <c r="L1775">
        <v>284.54880000000003</v>
      </c>
      <c r="M1775">
        <v>-0.99985789999999997</v>
      </c>
      <c r="N1775">
        <v>-1.5066400000000001E-2</v>
      </c>
      <c r="O1775">
        <v>-7.556236E-3</v>
      </c>
      <c r="P1775">
        <v>-0.99720229999999999</v>
      </c>
      <c r="Q1775">
        <v>-7.3840420000000004E-2</v>
      </c>
      <c r="R1775">
        <v>-1.162822E-2</v>
      </c>
      <c r="S1775">
        <v>-3.0044559999999998</v>
      </c>
      <c r="T1775">
        <v>-7.1922780000000006E-2</v>
      </c>
      <c r="U1775">
        <v>0.1177368</v>
      </c>
      <c r="V1775">
        <v>-4.0858999999999999E-3</v>
      </c>
      <c r="W1775">
        <v>-5.880734E-2</v>
      </c>
      <c r="X1775">
        <v>0.99826099999999995</v>
      </c>
      <c r="Y1775">
        <v>4.6685459999999998E-2</v>
      </c>
      <c r="Z1775">
        <v>9.7742630000000009E-4</v>
      </c>
      <c r="AA1775">
        <v>0.99890919999999905</v>
      </c>
      <c r="AB1775">
        <v>39</v>
      </c>
      <c r="AC1775">
        <v>-46.398400000000002</v>
      </c>
      <c r="AD1775">
        <v>-1.1208995114551901</v>
      </c>
      <c r="AE1775">
        <v>1.8381999999999701</v>
      </c>
      <c r="AF1775">
        <v>2.1875099187224398</v>
      </c>
      <c r="AG1775">
        <v>-1.1208995114551901</v>
      </c>
      <c r="AH1775">
        <v>46.356171815273903</v>
      </c>
      <c r="AI1775">
        <v>91.383611957677402</v>
      </c>
      <c r="AJ1775">
        <v>87.298263158264206</v>
      </c>
      <c r="AK1775">
        <v>46.421291243636098</v>
      </c>
      <c r="AL1775">
        <v>93.371357452893207</v>
      </c>
      <c r="AM1775">
        <v>90.234511333431101</v>
      </c>
      <c r="AN1775">
        <v>1.0000000109688401</v>
      </c>
    </row>
    <row r="1776" spans="1:40" x14ac:dyDescent="0.25">
      <c r="A1776" t="str">
        <f>"20190303154457576"</f>
        <v>20190303154457576</v>
      </c>
      <c r="B1776" t="str">
        <f>"1551599097572434"</f>
        <v>1551599097572434</v>
      </c>
      <c r="C1776" t="s">
        <v>40</v>
      </c>
      <c r="D1776">
        <v>4.830654</v>
      </c>
      <c r="E1776">
        <v>0.51951590000000003</v>
      </c>
      <c r="F1776" t="s">
        <v>55</v>
      </c>
      <c r="G1776">
        <v>-380.94170000000003</v>
      </c>
      <c r="H1776" s="1">
        <v>-1.0356939999999999E-6</v>
      </c>
      <c r="I1776">
        <v>286.33269999999999</v>
      </c>
      <c r="J1776">
        <v>-335.8784</v>
      </c>
      <c r="K1776">
        <v>1.120908</v>
      </c>
      <c r="L1776">
        <v>284.54610000000002</v>
      </c>
      <c r="M1776">
        <v>-0.99985749999999995</v>
      </c>
      <c r="N1776">
        <v>-1.506247E-2</v>
      </c>
      <c r="O1776">
        <v>-7.6265389999999999E-3</v>
      </c>
      <c r="P1776">
        <v>-0.99719310000000005</v>
      </c>
      <c r="Q1776">
        <v>-7.3991669999999995E-2</v>
      </c>
      <c r="R1776">
        <v>-1.145899E-2</v>
      </c>
      <c r="S1776">
        <v>-3.0043030000000002</v>
      </c>
      <c r="T1776">
        <v>-7.4152949999999995E-2</v>
      </c>
      <c r="U1776">
        <v>0.11801150000000001</v>
      </c>
      <c r="V1776">
        <v>-3.845481E-3</v>
      </c>
      <c r="W1776">
        <v>-5.8962689999999998E-2</v>
      </c>
      <c r="X1776">
        <v>0.99825280000000005</v>
      </c>
      <c r="Y1776">
        <v>4.6847630000000001E-2</v>
      </c>
      <c r="Z1776">
        <v>1.0042230000000001E-3</v>
      </c>
      <c r="AA1776">
        <v>0.9989015</v>
      </c>
      <c r="AB1776">
        <v>39</v>
      </c>
      <c r="AC1776">
        <v>-45.063299999999998</v>
      </c>
      <c r="AD1776">
        <v>-1.1209090356939999</v>
      </c>
      <c r="AE1776">
        <v>1.78659999999996</v>
      </c>
      <c r="AF1776">
        <v>2.1289488688240601</v>
      </c>
      <c r="AG1776">
        <v>-1.1209090356939999</v>
      </c>
      <c r="AH1776">
        <v>45.020550591994599</v>
      </c>
      <c r="AI1776">
        <v>91.424648236712102</v>
      </c>
      <c r="AJ1776">
        <v>87.292592342371194</v>
      </c>
      <c r="AK1776">
        <v>45.084796062073003</v>
      </c>
      <c r="AL1776">
        <v>93.380273794804594</v>
      </c>
      <c r="AM1776">
        <v>90.220714373797307</v>
      </c>
      <c r="AN1776">
        <v>1.00000001962199</v>
      </c>
    </row>
    <row r="1777" spans="1:40" x14ac:dyDescent="0.25">
      <c r="A1777" t="str">
        <f>"20190303154457598"</f>
        <v>20190303154457598</v>
      </c>
      <c r="B1777" t="str">
        <f>"1551599097591954"</f>
        <v>1551599097591954</v>
      </c>
      <c r="C1777" t="s">
        <v>40</v>
      </c>
      <c r="D1777">
        <v>4.8487369999999999</v>
      </c>
      <c r="E1777">
        <v>0.51926229999999995</v>
      </c>
      <c r="F1777" t="s">
        <v>55</v>
      </c>
      <c r="G1777">
        <v>-381.2944</v>
      </c>
      <c r="H1777" s="1">
        <v>-8.4799059999999996E-7</v>
      </c>
      <c r="I1777">
        <v>286.33789999999999</v>
      </c>
      <c r="J1777">
        <v>-336.29610000000002</v>
      </c>
      <c r="K1777">
        <v>1.1209169999999999</v>
      </c>
      <c r="L1777">
        <v>284.5428</v>
      </c>
      <c r="M1777">
        <v>-0.99985690000000005</v>
      </c>
      <c r="N1777">
        <v>-1.505777E-2</v>
      </c>
      <c r="O1777">
        <v>-7.71566099999999E-3</v>
      </c>
      <c r="P1777">
        <v>-0.99720790000000004</v>
      </c>
      <c r="Q1777">
        <v>-7.3688009999999998E-2</v>
      </c>
      <c r="R1777">
        <v>-1.211014E-2</v>
      </c>
      <c r="S1777">
        <v>-3.0043329999999999</v>
      </c>
      <c r="T1777">
        <v>-7.4149850000000003E-2</v>
      </c>
      <c r="U1777">
        <v>0.11853030000000001</v>
      </c>
      <c r="V1777">
        <v>-4.4067680000000001E-3</v>
      </c>
      <c r="W1777">
        <v>-5.866358E-2</v>
      </c>
      <c r="X1777">
        <v>0.99826809999999999</v>
      </c>
      <c r="Y1777">
        <v>4.7108369999999997E-2</v>
      </c>
      <c r="Z1777">
        <v>1.0101450000000001E-3</v>
      </c>
      <c r="AA1777">
        <v>0.99888929999999998</v>
      </c>
      <c r="AB1777">
        <v>39</v>
      </c>
      <c r="AC1777">
        <v>-44.998299999999901</v>
      </c>
      <c r="AD1777">
        <v>-1.1209178479905999</v>
      </c>
      <c r="AE1777">
        <v>1.7950999999999899</v>
      </c>
      <c r="AF1777">
        <v>2.1409511440415399</v>
      </c>
      <c r="AG1777">
        <v>-1.1209178479905999</v>
      </c>
      <c r="AH1777">
        <v>44.955257031614103</v>
      </c>
      <c r="AI1777">
        <v>91.426705104041005</v>
      </c>
      <c r="AJ1777">
        <v>87.273403375761404</v>
      </c>
      <c r="AK1777">
        <v>45.020165075237202</v>
      </c>
      <c r="AL1777">
        <v>93.363106345409903</v>
      </c>
      <c r="AM1777">
        <v>90.252925609485999</v>
      </c>
      <c r="AN1777">
        <v>1.00000001735011</v>
      </c>
    </row>
    <row r="1778" spans="1:40" x14ac:dyDescent="0.25">
      <c r="A1778" t="str">
        <f>"20190303154457621"</f>
        <v>20190303154457621</v>
      </c>
      <c r="B1778" t="str">
        <f>"1551599097612452"</f>
        <v>1551599097612452</v>
      </c>
      <c r="C1778" t="s">
        <v>40</v>
      </c>
      <c r="D1778">
        <v>4.8324339999999903</v>
      </c>
      <c r="E1778">
        <v>0.51919349999999997</v>
      </c>
      <c r="F1778" t="s">
        <v>55</v>
      </c>
      <c r="G1778">
        <v>-380.32229999999998</v>
      </c>
      <c r="H1778" s="1">
        <v>-1.365267E-6</v>
      </c>
      <c r="I1778">
        <v>286.2235</v>
      </c>
      <c r="J1778">
        <v>-336.67910000000001</v>
      </c>
      <c r="K1778">
        <v>1.1209260000000001</v>
      </c>
      <c r="L1778">
        <v>284.53980000000001</v>
      </c>
      <c r="M1778">
        <v>-0.99985639999999998</v>
      </c>
      <c r="N1778">
        <v>-1.505344E-2</v>
      </c>
      <c r="O1778">
        <v>-7.8005790000000002E-3</v>
      </c>
      <c r="P1778">
        <v>-0.99720660000000005</v>
      </c>
      <c r="Q1778">
        <v>-7.3599670000000006E-2</v>
      </c>
      <c r="R1778">
        <v>-1.274721E-2</v>
      </c>
      <c r="S1778">
        <v>-3.004181</v>
      </c>
      <c r="T1778">
        <v>-7.6487180000000002E-2</v>
      </c>
      <c r="U1778">
        <v>0.1146851</v>
      </c>
      <c r="V1778">
        <v>-4.958489E-3</v>
      </c>
      <c r="W1778">
        <v>-5.8579630000000001E-2</v>
      </c>
      <c r="X1778">
        <v>0.99827049999999995</v>
      </c>
      <c r="Y1778">
        <v>4.5917909999999999E-2</v>
      </c>
      <c r="Z1778">
        <v>1.0112070000000001E-3</v>
      </c>
      <c r="AA1778">
        <v>0.99894470000000002</v>
      </c>
      <c r="AB1778">
        <v>39</v>
      </c>
      <c r="AC1778">
        <v>-43.643199999999901</v>
      </c>
      <c r="AD1778">
        <v>-1.120927365267</v>
      </c>
      <c r="AE1778">
        <v>1.68369999999998</v>
      </c>
      <c r="AF1778">
        <v>2.0227971436888601</v>
      </c>
      <c r="AG1778">
        <v>-1.120927365267</v>
      </c>
      <c r="AH1778">
        <v>43.600017981755997</v>
      </c>
      <c r="AI1778">
        <v>91.471130125593106</v>
      </c>
      <c r="AJ1778">
        <v>87.343700820100494</v>
      </c>
      <c r="AK1778">
        <v>43.661307292065402</v>
      </c>
      <c r="AL1778">
        <v>93.358287883478795</v>
      </c>
      <c r="AM1778">
        <v>90.284590355084703</v>
      </c>
      <c r="AN1778">
        <v>1.0000000754171701</v>
      </c>
    </row>
    <row r="1779" spans="1:40" x14ac:dyDescent="0.25">
      <c r="A1779" t="str">
        <f>"20190303154457644"</f>
        <v>20190303154457644</v>
      </c>
      <c r="B1779" t="str">
        <f>"1551599097642706"</f>
        <v>1551599097642706</v>
      </c>
      <c r="C1779" t="s">
        <v>40</v>
      </c>
      <c r="D1779">
        <v>4.9737900000000002</v>
      </c>
      <c r="E1779">
        <v>0.51844480000000004</v>
      </c>
      <c r="F1779" t="s">
        <v>55</v>
      </c>
      <c r="G1779">
        <v>-380.81290000000001</v>
      </c>
      <c r="H1779" s="1">
        <v>-1.104193E-6</v>
      </c>
      <c r="I1779">
        <v>286.18740000000003</v>
      </c>
      <c r="J1779">
        <v>-337.09309999999999</v>
      </c>
      <c r="K1779">
        <v>1.1209340000000001</v>
      </c>
      <c r="L1779">
        <v>284.53649999999999</v>
      </c>
      <c r="M1779">
        <v>-0.99985559999999996</v>
      </c>
      <c r="N1779">
        <v>-1.504876E-2</v>
      </c>
      <c r="O1779">
        <v>-7.8935930000000008E-3</v>
      </c>
      <c r="P1779">
        <v>-0.99720730000000002</v>
      </c>
      <c r="Q1779">
        <v>-7.350458E-2</v>
      </c>
      <c r="R1779">
        <v>-1.321601E-2</v>
      </c>
      <c r="S1779">
        <v>-3.0042110000000002</v>
      </c>
      <c r="T1779">
        <v>-7.6302049999999996E-2</v>
      </c>
      <c r="U1779">
        <v>0.1121521</v>
      </c>
      <c r="V1779">
        <v>-5.3336130000000001E-3</v>
      </c>
      <c r="W1779">
        <v>-5.8489279999999998E-2</v>
      </c>
      <c r="X1779">
        <v>0.99827379999999999</v>
      </c>
      <c r="Y1779">
        <v>4.5169880000000003E-2</v>
      </c>
      <c r="Z1779">
        <v>9.9507369999999999E-4</v>
      </c>
      <c r="AA1779">
        <v>0.9989789</v>
      </c>
      <c r="AB1779">
        <v>39</v>
      </c>
      <c r="AC1779">
        <v>-43.719799999999999</v>
      </c>
      <c r="AD1779">
        <v>-1.120935104193</v>
      </c>
      <c r="AE1779">
        <v>1.65090000000003</v>
      </c>
      <c r="AF1779">
        <v>1.99468458391221</v>
      </c>
      <c r="AG1779">
        <v>-1.120935104193</v>
      </c>
      <c r="AH1779">
        <v>43.676734052241699</v>
      </c>
      <c r="AI1779">
        <v>91.468606319201399</v>
      </c>
      <c r="AJ1779">
        <v>87.385160442570097</v>
      </c>
      <c r="AK1779">
        <v>43.736624921995897</v>
      </c>
      <c r="AL1779">
        <v>93.353102533412994</v>
      </c>
      <c r="AM1779">
        <v>90.306119029361</v>
      </c>
      <c r="AN1779">
        <v>1.00000001153449</v>
      </c>
    </row>
    <row r="1780" spans="1:40" x14ac:dyDescent="0.25">
      <c r="A1780" t="str">
        <f>"20190303154457668"</f>
        <v>20190303154457668</v>
      </c>
      <c r="B1780" t="str">
        <f>"1551599097662228"</f>
        <v>1551599097662228</v>
      </c>
      <c r="C1780" t="s">
        <v>40</v>
      </c>
      <c r="D1780">
        <v>4.8585269999999996</v>
      </c>
      <c r="E1780">
        <v>0.518428</v>
      </c>
      <c r="F1780" t="s">
        <v>55</v>
      </c>
      <c r="G1780">
        <v>-376.84339999999997</v>
      </c>
      <c r="H1780" s="1">
        <v>2.1049529999999999E-6</v>
      </c>
      <c r="I1780">
        <v>285.92540000000002</v>
      </c>
      <c r="J1780">
        <v>-337.48820000000001</v>
      </c>
      <c r="K1780">
        <v>1.1209439999999999</v>
      </c>
      <c r="L1780">
        <v>284.5333</v>
      </c>
      <c r="M1780">
        <v>-0.99985500000000005</v>
      </c>
      <c r="N1780">
        <v>-1.504425E-2</v>
      </c>
      <c r="O1780">
        <v>-7.9827749999999992E-3</v>
      </c>
      <c r="P1780">
        <v>-0.99722840000000001</v>
      </c>
      <c r="Q1780">
        <v>-7.3210709999999998E-2</v>
      </c>
      <c r="R1780">
        <v>-1.325673E-2</v>
      </c>
      <c r="S1780">
        <v>-3.0035400000000001</v>
      </c>
      <c r="T1780">
        <v>-8.4697839999999996E-2</v>
      </c>
      <c r="U1780">
        <v>0.10495</v>
      </c>
      <c r="V1780">
        <v>-5.2846739999999996E-3</v>
      </c>
      <c r="W1780">
        <v>-5.8199609999999999E-2</v>
      </c>
      <c r="X1780">
        <v>0.99829100000000004</v>
      </c>
      <c r="Y1780">
        <v>4.2871670000000001E-2</v>
      </c>
      <c r="Z1780">
        <v>1.031824E-3</v>
      </c>
      <c r="AA1780">
        <v>0.99908010000000003</v>
      </c>
      <c r="AB1780">
        <v>39</v>
      </c>
      <c r="AC1780">
        <v>-39.355199999999897</v>
      </c>
      <c r="AD1780">
        <v>-1.120941895047</v>
      </c>
      <c r="AE1780">
        <v>1.3921000000000201</v>
      </c>
      <c r="AF1780">
        <v>1.70487351353628</v>
      </c>
      <c r="AG1780">
        <v>-1.120941895047</v>
      </c>
      <c r="AH1780">
        <v>39.310979957956299</v>
      </c>
      <c r="AI1780">
        <v>91.631797933464298</v>
      </c>
      <c r="AJ1780">
        <v>87.516701849049895</v>
      </c>
      <c r="AK1780">
        <v>39.363895255475803</v>
      </c>
      <c r="AL1780">
        <v>93.336477310888498</v>
      </c>
      <c r="AM1780">
        <v>90.303305036251501</v>
      </c>
      <c r="AN1780">
        <v>1.00000002153221</v>
      </c>
    </row>
    <row r="1781" spans="1:40" x14ac:dyDescent="0.25">
      <c r="A1781" t="str">
        <f>"20190303154457688"</f>
        <v>20190303154457688</v>
      </c>
      <c r="B1781" t="str">
        <f>"1551599097682723"</f>
        <v>1551599097682723</v>
      </c>
      <c r="C1781" t="s">
        <v>40</v>
      </c>
      <c r="D1781">
        <v>4.8549069999999999</v>
      </c>
      <c r="E1781">
        <v>0.51842120000000003</v>
      </c>
      <c r="F1781" t="s">
        <v>55</v>
      </c>
      <c r="G1781">
        <v>-377.84660000000002</v>
      </c>
      <c r="H1781" s="1">
        <v>2.6387529999999998E-6</v>
      </c>
      <c r="I1781">
        <v>285.9418</v>
      </c>
      <c r="J1781">
        <v>-337.86079999999998</v>
      </c>
      <c r="K1781">
        <v>1.1209499999999999</v>
      </c>
      <c r="L1781">
        <v>284.53019999999998</v>
      </c>
      <c r="M1781">
        <v>-0.99985440000000003</v>
      </c>
      <c r="N1781">
        <v>-1.503999E-2</v>
      </c>
      <c r="O1781">
        <v>-8.067177E-3</v>
      </c>
      <c r="P1781">
        <v>-0.99725549999999996</v>
      </c>
      <c r="Q1781">
        <v>-7.2860259999999996E-2</v>
      </c>
      <c r="R1781">
        <v>-1.315652E-2</v>
      </c>
      <c r="S1781">
        <v>-3.0036010000000002</v>
      </c>
      <c r="T1781">
        <v>-8.3424090000000006E-2</v>
      </c>
      <c r="U1781">
        <v>0.1048279</v>
      </c>
      <c r="V1781">
        <v>-5.100556E-3</v>
      </c>
      <c r="W1781">
        <v>-5.7853069999999999E-2</v>
      </c>
      <c r="X1781">
        <v>0.99831210000000004</v>
      </c>
      <c r="Y1781">
        <v>4.2915399999999999E-2</v>
      </c>
      <c r="Z1781">
        <v>1.0212929999999999E-3</v>
      </c>
      <c r="AA1781">
        <v>0.99907820000000003</v>
      </c>
      <c r="AB1781">
        <v>39</v>
      </c>
      <c r="AC1781">
        <v>-39.985799999999998</v>
      </c>
      <c r="AD1781">
        <v>-1.12094736124699</v>
      </c>
      <c r="AE1781">
        <v>1.4116000000000199</v>
      </c>
      <c r="AF1781">
        <v>1.7328029664878</v>
      </c>
      <c r="AG1781">
        <v>-1.12094736124699</v>
      </c>
      <c r="AH1781">
        <v>39.941759097113703</v>
      </c>
      <c r="AI1781">
        <v>91.606048244208196</v>
      </c>
      <c r="AJ1781">
        <v>87.515881057703595</v>
      </c>
      <c r="AK1781">
        <v>39.9950403035078</v>
      </c>
      <c r="AL1781">
        <v>93.316588521340094</v>
      </c>
      <c r="AM1781">
        <v>90.292731891316194</v>
      </c>
      <c r="AN1781">
        <v>1.0000000211931701</v>
      </c>
    </row>
    <row r="1782" spans="1:40" x14ac:dyDescent="0.25">
      <c r="A1782" t="str">
        <f>"20190303154457710"</f>
        <v>20190303154457710</v>
      </c>
      <c r="B1782" t="str">
        <f>"1551599097702242"</f>
        <v>1551599097702242</v>
      </c>
      <c r="C1782" t="s">
        <v>40</v>
      </c>
      <c r="D1782">
        <v>4.8942610000000002</v>
      </c>
      <c r="E1782">
        <v>0.51841649999999995</v>
      </c>
      <c r="F1782" t="s">
        <v>55</v>
      </c>
      <c r="G1782">
        <v>-379.04590000000002</v>
      </c>
      <c r="H1782" s="1">
        <v>3.2769899999999999E-6</v>
      </c>
      <c r="I1782">
        <v>285.97179999999997</v>
      </c>
      <c r="J1782">
        <v>-338.2398</v>
      </c>
      <c r="K1782">
        <v>1.120954</v>
      </c>
      <c r="L1782">
        <v>284.52710000000002</v>
      </c>
      <c r="M1782">
        <v>-0.99985380000000001</v>
      </c>
      <c r="N1782">
        <v>-1.5035679999999999E-2</v>
      </c>
      <c r="O1782">
        <v>-8.1520569999999903E-3</v>
      </c>
      <c r="P1782">
        <v>-0.99729350000000005</v>
      </c>
      <c r="Q1782">
        <v>-7.2383840000000005E-2</v>
      </c>
      <c r="R1782">
        <v>-1.290317E-2</v>
      </c>
      <c r="S1782">
        <v>-3.0036930000000002</v>
      </c>
      <c r="T1782">
        <v>-8.17523E-2</v>
      </c>
      <c r="U1782">
        <v>0.10513309999999999</v>
      </c>
      <c r="V1782">
        <v>-4.7617509999999998E-3</v>
      </c>
      <c r="W1782">
        <v>-5.7380439999999998E-2</v>
      </c>
      <c r="X1782">
        <v>0.99834100000000003</v>
      </c>
      <c r="Y1782">
        <v>4.3101319999999999E-2</v>
      </c>
      <c r="Z1782">
        <v>1.009748E-3</v>
      </c>
      <c r="AA1782">
        <v>0.99907020000000002</v>
      </c>
      <c r="AB1782">
        <v>39</v>
      </c>
      <c r="AC1782">
        <v>-40.806100000000001</v>
      </c>
      <c r="AD1782">
        <v>-1.12095072301</v>
      </c>
      <c r="AE1782">
        <v>1.4446999999999499</v>
      </c>
      <c r="AF1782">
        <v>1.7760047062348701</v>
      </c>
      <c r="AG1782">
        <v>-1.12095072301</v>
      </c>
      <c r="AH1782">
        <v>40.762244046382499</v>
      </c>
      <c r="AI1782">
        <v>91.573729222363397</v>
      </c>
      <c r="AJ1782">
        <v>87.505209543466094</v>
      </c>
      <c r="AK1782">
        <v>40.816311236279397</v>
      </c>
      <c r="AL1782">
        <v>93.289463923249897</v>
      </c>
      <c r="AM1782">
        <v>90.273279537253103</v>
      </c>
      <c r="AN1782">
        <v>0.99999997072408897</v>
      </c>
    </row>
    <row r="1783" spans="1:40" x14ac:dyDescent="0.25">
      <c r="A1783" t="str">
        <f>"20190303154457733"</f>
        <v>20190303154457733</v>
      </c>
      <c r="B1783" t="str">
        <f>"1551599097722742"</f>
        <v>1551599097722742</v>
      </c>
      <c r="C1783" t="s">
        <v>40</v>
      </c>
      <c r="D1783">
        <v>4.8979059999999999</v>
      </c>
      <c r="E1783">
        <v>0.51839990000000002</v>
      </c>
      <c r="F1783" t="s">
        <v>55</v>
      </c>
      <c r="G1783">
        <v>-380.61270000000002</v>
      </c>
      <c r="H1783" s="1">
        <v>-1.210757E-6</v>
      </c>
      <c r="I1783">
        <v>286.01659999999998</v>
      </c>
      <c r="J1783">
        <v>-338.6497</v>
      </c>
      <c r="K1783">
        <v>1.1209519999999999</v>
      </c>
      <c r="L1783">
        <v>284.52370000000002</v>
      </c>
      <c r="M1783">
        <v>-0.99985310000000005</v>
      </c>
      <c r="N1783">
        <v>-1.503114E-2</v>
      </c>
      <c r="O1783">
        <v>-8.2434919999999998E-3</v>
      </c>
      <c r="P1783">
        <v>-0.99733430000000001</v>
      </c>
      <c r="Q1783">
        <v>-7.1860270000000004E-2</v>
      </c>
      <c r="R1783">
        <v>-1.2671379999999999E-2</v>
      </c>
      <c r="S1783">
        <v>-3.003784</v>
      </c>
      <c r="T1783">
        <v>-7.9463839999999994E-2</v>
      </c>
      <c r="U1783">
        <v>0.1055908</v>
      </c>
      <c r="V1783">
        <v>-4.4381719999999998E-3</v>
      </c>
      <c r="W1783">
        <v>-5.6860819999999999E-2</v>
      </c>
      <c r="X1783">
        <v>0.99837229999999999</v>
      </c>
      <c r="Y1783">
        <v>4.3344750000000001E-2</v>
      </c>
      <c r="Z1783">
        <v>9.9313890000000005E-4</v>
      </c>
      <c r="AA1783">
        <v>0.99905969999999999</v>
      </c>
      <c r="AB1783">
        <v>39</v>
      </c>
      <c r="AC1783">
        <v>-41.963000000000001</v>
      </c>
      <c r="AD1783">
        <v>-1.1209532107569999</v>
      </c>
      <c r="AE1783">
        <v>1.4928999999999599</v>
      </c>
      <c r="AF1783">
        <v>1.83750043874337</v>
      </c>
      <c r="AG1783">
        <v>-1.1209532107569999</v>
      </c>
      <c r="AH1783">
        <v>41.919390779301203</v>
      </c>
      <c r="AI1783">
        <v>91.530294566868207</v>
      </c>
      <c r="AJ1783">
        <v>87.490095500727094</v>
      </c>
      <c r="AK1783">
        <v>41.974614557740203</v>
      </c>
      <c r="AL1783">
        <v>93.259642942226904</v>
      </c>
      <c r="AM1783">
        <v>90.254701426831801</v>
      </c>
      <c r="AN1783">
        <v>1.0000000498145301</v>
      </c>
    </row>
    <row r="1784" spans="1:40" x14ac:dyDescent="0.25">
      <c r="A1784" t="str">
        <f>"20190303154457754"</f>
        <v>20190303154457754</v>
      </c>
      <c r="B1784" t="str">
        <f>"1551599097752018"</f>
        <v>1551599097752018</v>
      </c>
      <c r="C1784" t="s">
        <v>40</v>
      </c>
      <c r="D1784">
        <v>4.9223330000000001</v>
      </c>
      <c r="E1784">
        <v>0.51837219999999995</v>
      </c>
      <c r="F1784" t="s">
        <v>55</v>
      </c>
      <c r="G1784">
        <v>-381.89249999999998</v>
      </c>
      <c r="H1784" s="1">
        <v>-5.2967089999999999E-7</v>
      </c>
      <c r="I1784">
        <v>286.05220000000003</v>
      </c>
      <c r="J1784">
        <v>-339.02710000000002</v>
      </c>
      <c r="K1784">
        <v>1.1209530000000001</v>
      </c>
      <c r="L1784">
        <v>284.52050000000003</v>
      </c>
      <c r="M1784">
        <v>-0.99985250000000003</v>
      </c>
      <c r="N1784">
        <v>-1.502676E-2</v>
      </c>
      <c r="O1784">
        <v>-8.3277619999999903E-3</v>
      </c>
      <c r="P1784">
        <v>-0.99735649999999998</v>
      </c>
      <c r="Q1784">
        <v>-7.1534429999999996E-2</v>
      </c>
      <c r="R1784">
        <v>-1.277914E-2</v>
      </c>
      <c r="S1784">
        <v>-3.0037539999999998</v>
      </c>
      <c r="T1784">
        <v>-7.7864050000000004E-2</v>
      </c>
      <c r="U1784">
        <v>0.10617070000000001</v>
      </c>
      <c r="V1784">
        <v>-4.4615799999999997E-3</v>
      </c>
      <c r="W1784">
        <v>-5.6539060000000002E-2</v>
      </c>
      <c r="X1784">
        <v>0.99839040000000001</v>
      </c>
      <c r="Y1784">
        <v>4.3622599999999997E-2</v>
      </c>
      <c r="Z1784">
        <v>9.8376939999999993E-4</v>
      </c>
      <c r="AA1784">
        <v>0.99904760000000004</v>
      </c>
      <c r="AB1784">
        <v>39</v>
      </c>
      <c r="AC1784">
        <v>-42.865399999999902</v>
      </c>
      <c r="AD1784">
        <v>-1.1209535296708999</v>
      </c>
      <c r="AE1784">
        <v>1.5317000000000001</v>
      </c>
      <c r="AF1784">
        <v>1.88737096694091</v>
      </c>
      <c r="AG1784">
        <v>-1.1209535296708999</v>
      </c>
      <c r="AH1784">
        <v>42.821909713062702</v>
      </c>
      <c r="AI1784">
        <v>91.498041388935604</v>
      </c>
      <c r="AJ1784">
        <v>87.476328124041402</v>
      </c>
      <c r="AK1784">
        <v>42.8781372899549</v>
      </c>
      <c r="AL1784">
        <v>93.241177971015304</v>
      </c>
      <c r="AM1784">
        <v>90.256040124528894</v>
      </c>
      <c r="AN1784">
        <v>0.99999998090696995</v>
      </c>
    </row>
    <row r="1785" spans="1:40" x14ac:dyDescent="0.25">
      <c r="A1785" t="str">
        <f>"20190303154457777"</f>
        <v>20190303154457777</v>
      </c>
      <c r="B1785" t="str">
        <f>"1551599097772515"</f>
        <v>1551599097772515</v>
      </c>
      <c r="C1785" t="s">
        <v>40</v>
      </c>
      <c r="D1785">
        <v>4.9229219999999998</v>
      </c>
      <c r="E1785">
        <v>0.51818629999999999</v>
      </c>
      <c r="F1785" t="s">
        <v>55</v>
      </c>
      <c r="G1785">
        <v>-382.83539999999999</v>
      </c>
      <c r="H1785" s="1">
        <v>-2.7921849999999999E-8</v>
      </c>
      <c r="I1785">
        <v>286.06049999999999</v>
      </c>
      <c r="J1785">
        <v>-339.4135</v>
      </c>
      <c r="K1785">
        <v>1.120954</v>
      </c>
      <c r="L1785">
        <v>284.5172</v>
      </c>
      <c r="M1785">
        <v>-0.99985179999999996</v>
      </c>
      <c r="N1785">
        <v>-1.5022209999999999E-2</v>
      </c>
      <c r="O1785">
        <v>-8.4139309999999995E-3</v>
      </c>
      <c r="P1785">
        <v>-0.99737540000000002</v>
      </c>
      <c r="Q1785">
        <v>-7.119673E-2</v>
      </c>
      <c r="R1785">
        <v>-1.317141E-2</v>
      </c>
      <c r="S1785">
        <v>-3.003784</v>
      </c>
      <c r="T1785">
        <v>-7.6859830000000004E-2</v>
      </c>
      <c r="U1785">
        <v>0.1055908</v>
      </c>
      <c r="V1785">
        <v>-4.7673070000000001E-3</v>
      </c>
      <c r="W1785">
        <v>-5.6205680000000001E-2</v>
      </c>
      <c r="X1785">
        <v>0.99840779999999996</v>
      </c>
      <c r="Y1785">
        <v>4.3516289999999999E-2</v>
      </c>
      <c r="Z1785">
        <v>9.723822E-4</v>
      </c>
      <c r="AA1785">
        <v>0.99905219999999995</v>
      </c>
      <c r="AB1785">
        <v>39</v>
      </c>
      <c r="AC1785">
        <v>-43.421900000000001</v>
      </c>
      <c r="AD1785">
        <v>-1.1209540279218499</v>
      </c>
      <c r="AE1785">
        <v>1.5432999999999799</v>
      </c>
      <c r="AF1785">
        <v>1.90736591203266</v>
      </c>
      <c r="AG1785">
        <v>-1.1209540279218499</v>
      </c>
      <c r="AH1785">
        <v>43.378503440314503</v>
      </c>
      <c r="AI1785">
        <v>91.478835917221303</v>
      </c>
      <c r="AJ1785">
        <v>87.482308972821002</v>
      </c>
      <c r="AK1785">
        <v>43.434883945700598</v>
      </c>
      <c r="AL1785">
        <v>93.222046314552102</v>
      </c>
      <c r="AM1785">
        <v>90.273580089097095</v>
      </c>
      <c r="AN1785">
        <v>0.99999997039056698</v>
      </c>
    </row>
    <row r="1786" spans="1:40" x14ac:dyDescent="0.25">
      <c r="A1786" t="str">
        <f>"20190303154457799"</f>
        <v>20190303154457799</v>
      </c>
      <c r="B1786" t="str">
        <f>"1551599097792034"</f>
        <v>1551599097792034</v>
      </c>
      <c r="C1786" t="s">
        <v>40</v>
      </c>
      <c r="D1786">
        <v>4.9511139999999996</v>
      </c>
      <c r="E1786">
        <v>0.51813679999999995</v>
      </c>
      <c r="F1786" t="s">
        <v>55</v>
      </c>
      <c r="G1786">
        <v>-382.62020000000001</v>
      </c>
      <c r="H1786" s="1">
        <v>-1.4242290000000001E-7</v>
      </c>
      <c r="I1786">
        <v>286.00009999999997</v>
      </c>
      <c r="J1786">
        <v>-339.80130000000003</v>
      </c>
      <c r="K1786">
        <v>1.1209579999999999</v>
      </c>
      <c r="L1786">
        <v>284.51389999999998</v>
      </c>
      <c r="M1786">
        <v>-0.99985119999999905</v>
      </c>
      <c r="N1786">
        <v>-1.5017900000000001E-2</v>
      </c>
      <c r="O1786">
        <v>-8.5009300000000003E-3</v>
      </c>
      <c r="P1786">
        <v>-0.99736080000000005</v>
      </c>
      <c r="Q1786">
        <v>-7.1284189999999997E-2</v>
      </c>
      <c r="R1786">
        <v>-1.3800959999999999E-2</v>
      </c>
      <c r="S1786">
        <v>-3.0036930000000002</v>
      </c>
      <c r="T1786">
        <v>-7.7927590000000005E-2</v>
      </c>
      <c r="U1786">
        <v>0.1030884</v>
      </c>
      <c r="V1786">
        <v>-5.3104839999999999E-3</v>
      </c>
      <c r="W1786">
        <v>-5.6297670000000001E-2</v>
      </c>
      <c r="X1786">
        <v>0.99839990000000001</v>
      </c>
      <c r="Y1786">
        <v>4.2772780000000003E-2</v>
      </c>
      <c r="Z1786">
        <v>9.6879560000000004E-4</v>
      </c>
      <c r="AA1786">
        <v>0.99908439999999998</v>
      </c>
      <c r="AB1786">
        <v>39</v>
      </c>
      <c r="AC1786">
        <v>-42.8188999999999</v>
      </c>
      <c r="AD1786">
        <v>-1.12095814242289</v>
      </c>
      <c r="AE1786">
        <v>1.48619999999999</v>
      </c>
      <c r="AF1786">
        <v>1.8489221510013301</v>
      </c>
      <c r="AG1786">
        <v>-1.12095814242289</v>
      </c>
      <c r="AH1786">
        <v>42.7754363887721</v>
      </c>
      <c r="AI1786">
        <v>91.499729933769004</v>
      </c>
      <c r="AJ1786">
        <v>87.524992253208694</v>
      </c>
      <c r="AK1786">
        <v>42.830048079910199</v>
      </c>
      <c r="AL1786">
        <v>93.227325233894902</v>
      </c>
      <c r="AM1786">
        <v>90.304753086410599</v>
      </c>
      <c r="AN1786">
        <v>0.99999999460387601</v>
      </c>
    </row>
    <row r="1787" spans="1:40" x14ac:dyDescent="0.25">
      <c r="A1787" t="str">
        <f>"20190303154457822"</f>
        <v>20190303154457822</v>
      </c>
      <c r="B1787" t="str">
        <f>"1551599097812237"</f>
        <v>1551599097812237</v>
      </c>
      <c r="C1787" t="s">
        <v>40</v>
      </c>
      <c r="D1787">
        <v>4.9343649999999997</v>
      </c>
      <c r="E1787">
        <v>0.51794609999999996</v>
      </c>
      <c r="F1787" t="s">
        <v>55</v>
      </c>
      <c r="G1787">
        <v>-382.83359999999999</v>
      </c>
      <c r="H1787" s="1">
        <v>-2.8883820000000001E-8</v>
      </c>
      <c r="I1787">
        <v>285.95749999999998</v>
      </c>
      <c r="J1787">
        <v>-340.19909999999999</v>
      </c>
      <c r="K1787">
        <v>1.1209549999999999</v>
      </c>
      <c r="L1787">
        <v>284.5104</v>
      </c>
      <c r="M1787">
        <v>-0.99985049999999998</v>
      </c>
      <c r="N1787">
        <v>-1.501364E-2</v>
      </c>
      <c r="O1787">
        <v>-8.5901899999999993E-3</v>
      </c>
      <c r="P1787">
        <v>-0.99736539999999996</v>
      </c>
      <c r="Q1787">
        <v>-7.1279170000000003E-2</v>
      </c>
      <c r="R1787">
        <v>-1.349581E-2</v>
      </c>
      <c r="S1787">
        <v>-3.0037539999999998</v>
      </c>
      <c r="T1787">
        <v>-7.8245519999999999E-2</v>
      </c>
      <c r="U1787">
        <v>0.100769</v>
      </c>
      <c r="V1787">
        <v>-4.9158179999999998E-3</v>
      </c>
      <c r="W1787">
        <v>-5.6296779999999998E-2</v>
      </c>
      <c r="X1787">
        <v>0.99840200000000001</v>
      </c>
      <c r="Y1787">
        <v>4.2090919999999997E-2</v>
      </c>
      <c r="Z1787">
        <v>9.5887610000000003E-4</v>
      </c>
      <c r="AA1787">
        <v>0.99911329999999998</v>
      </c>
      <c r="AB1787">
        <v>39</v>
      </c>
      <c r="AC1787">
        <v>-42.634500000000003</v>
      </c>
      <c r="AD1787">
        <v>-1.1209550288838199</v>
      </c>
      <c r="AE1787">
        <v>1.4470999999999701</v>
      </c>
      <c r="AF1787">
        <v>1.8120750837978501</v>
      </c>
      <c r="AG1787">
        <v>-1.1209550288838199</v>
      </c>
      <c r="AH1787">
        <v>42.591085835744103</v>
      </c>
      <c r="AI1787">
        <v>91.506257872163303</v>
      </c>
      <c r="AJ1787">
        <v>87.563770105953296</v>
      </c>
      <c r="AK1787">
        <v>42.644351899798203</v>
      </c>
      <c r="AL1787">
        <v>93.227274067411699</v>
      </c>
      <c r="AM1787">
        <v>90.282104150690898</v>
      </c>
      <c r="AN1787">
        <v>1.0000000231544801</v>
      </c>
    </row>
    <row r="1788" spans="1:40" x14ac:dyDescent="0.25">
      <c r="A1788" t="str">
        <f>"20190303154457846"</f>
        <v>20190303154457846</v>
      </c>
      <c r="B1788" t="str">
        <f>"1551599097842486"</f>
        <v>1551599097842486</v>
      </c>
      <c r="C1788" t="s">
        <v>40</v>
      </c>
      <c r="D1788">
        <v>4.9539</v>
      </c>
      <c r="E1788">
        <v>0.51778519999999995</v>
      </c>
      <c r="F1788" t="s">
        <v>55</v>
      </c>
      <c r="G1788">
        <v>-382.04489999999998</v>
      </c>
      <c r="H1788" s="1">
        <v>-4.4860440000000001E-7</v>
      </c>
      <c r="I1788">
        <v>285.9092</v>
      </c>
      <c r="J1788">
        <v>-340.59550000000002</v>
      </c>
      <c r="K1788">
        <v>1.1209610000000001</v>
      </c>
      <c r="L1788">
        <v>284.50689999999997</v>
      </c>
      <c r="M1788">
        <v>-0.99984980000000001</v>
      </c>
      <c r="N1788">
        <v>-1.5009389999999999E-2</v>
      </c>
      <c r="O1788">
        <v>-8.6794460000000004E-3</v>
      </c>
      <c r="P1788">
        <v>-0.99738459999999995</v>
      </c>
      <c r="Q1788">
        <v>-7.1149809999999994E-2</v>
      </c>
      <c r="R1788">
        <v>-1.272849E-2</v>
      </c>
      <c r="S1788">
        <v>-3.003571</v>
      </c>
      <c r="T1788">
        <v>-8.0458879999999997E-2</v>
      </c>
      <c r="U1788">
        <v>0.1004028</v>
      </c>
      <c r="V1788">
        <v>-4.0593859999999999E-3</v>
      </c>
      <c r="W1788">
        <v>-5.617134E-2</v>
      </c>
      <c r="X1788">
        <v>0.99841290000000005</v>
      </c>
      <c r="Y1788">
        <v>4.2059350000000002E-2</v>
      </c>
      <c r="Z1788">
        <v>9.8108830000000007E-4</v>
      </c>
      <c r="AA1788">
        <v>0.99911459999999996</v>
      </c>
      <c r="AB1788">
        <v>39</v>
      </c>
      <c r="AC1788">
        <v>-41.449399999999898</v>
      </c>
      <c r="AD1788">
        <v>-1.1209614486043999</v>
      </c>
      <c r="AE1788">
        <v>1.4023000000000201</v>
      </c>
      <c r="AF1788">
        <v>1.76075916717064</v>
      </c>
      <c r="AG1788">
        <v>-1.1209614486043999</v>
      </c>
      <c r="AH1788">
        <v>41.405417216863299</v>
      </c>
      <c r="AI1788">
        <v>91.549379977355102</v>
      </c>
      <c r="AJ1788">
        <v>87.564972652791994</v>
      </c>
      <c r="AK1788">
        <v>41.457995637953204</v>
      </c>
      <c r="AL1788">
        <v>93.220075541402196</v>
      </c>
      <c r="AM1788">
        <v>90.232954125090899</v>
      </c>
      <c r="AN1788">
        <v>1.00000000846925</v>
      </c>
    </row>
    <row r="1789" spans="1:40" x14ac:dyDescent="0.25">
      <c r="A1789" t="str">
        <f>"20190303154457867"</f>
        <v>20190303154457867</v>
      </c>
      <c r="B1789" t="str">
        <f>"1551599097862005"</f>
        <v>1551599097862005</v>
      </c>
      <c r="C1789" t="s">
        <v>40</v>
      </c>
      <c r="D1789">
        <v>4.9875299999999996</v>
      </c>
      <c r="E1789">
        <v>0.5177543</v>
      </c>
      <c r="F1789" t="s">
        <v>55</v>
      </c>
      <c r="G1789">
        <v>-382.25729999999999</v>
      </c>
      <c r="H1789" s="1">
        <v>-3.3559029999999998E-7</v>
      </c>
      <c r="I1789">
        <v>285.9128</v>
      </c>
      <c r="J1789">
        <v>-340.9778</v>
      </c>
      <c r="K1789">
        <v>1.1209690000000001</v>
      </c>
      <c r="L1789">
        <v>284.50349999999997</v>
      </c>
      <c r="M1789">
        <v>-0.99984910000000005</v>
      </c>
      <c r="N1789">
        <v>-1.5005249999999999E-2</v>
      </c>
      <c r="O1789">
        <v>-8.765363E-3</v>
      </c>
      <c r="P1789">
        <v>-0.99744730000000004</v>
      </c>
      <c r="Q1789">
        <v>-7.0450529999999997E-2</v>
      </c>
      <c r="R1789">
        <v>-1.16586E-2</v>
      </c>
      <c r="S1789">
        <v>-3.003387</v>
      </c>
      <c r="T1789">
        <v>-8.0809829999999999E-2</v>
      </c>
      <c r="U1789">
        <v>0.10134890000000001</v>
      </c>
      <c r="V1789">
        <v>-2.903573E-3</v>
      </c>
      <c r="W1789">
        <v>-5.5475259999999998E-2</v>
      </c>
      <c r="X1789">
        <v>0.9984558</v>
      </c>
      <c r="Y1789">
        <v>4.2461190000000003E-2</v>
      </c>
      <c r="Z1789">
        <v>9.9399530000000001E-4</v>
      </c>
      <c r="AA1789">
        <v>0.99909760000000003</v>
      </c>
      <c r="AB1789">
        <v>39</v>
      </c>
      <c r="AC1789">
        <v>-41.279499999999899</v>
      </c>
      <c r="AD1789">
        <v>-1.1209693355903001</v>
      </c>
      <c r="AE1789">
        <v>1.40930000000003</v>
      </c>
      <c r="AF1789">
        <v>1.7698127652269799</v>
      </c>
      <c r="AG1789">
        <v>-1.1209693355903001</v>
      </c>
      <c r="AH1789">
        <v>41.235186903187</v>
      </c>
      <c r="AI1789">
        <v>91.555757851348005</v>
      </c>
      <c r="AJ1789">
        <v>87.542375509210999</v>
      </c>
      <c r="AK1789">
        <v>41.2883694085399</v>
      </c>
      <c r="AL1789">
        <v>93.180130962129695</v>
      </c>
      <c r="AM1789">
        <v>90.166619302971498</v>
      </c>
      <c r="AN1789">
        <v>0.99999995988093604</v>
      </c>
    </row>
    <row r="1790" spans="1:40" x14ac:dyDescent="0.25">
      <c r="A1790" t="str">
        <f>"20190303154457890"</f>
        <v>20190303154457890</v>
      </c>
      <c r="B1790" t="str">
        <f>"1551599097882502"</f>
        <v>1551599097882502</v>
      </c>
      <c r="C1790" t="s">
        <v>40</v>
      </c>
      <c r="D1790">
        <v>4.9501049999999998</v>
      </c>
      <c r="E1790">
        <v>0.51765479999999997</v>
      </c>
      <c r="F1790" t="s">
        <v>55</v>
      </c>
      <c r="G1790">
        <v>-383.71109999999999</v>
      </c>
      <c r="H1790" s="1">
        <v>4.380667E-7</v>
      </c>
      <c r="I1790">
        <v>285.98719999999997</v>
      </c>
      <c r="J1790">
        <v>-341.3603</v>
      </c>
      <c r="K1790">
        <v>1.1209769999999999</v>
      </c>
      <c r="L1790">
        <v>284.50009999999997</v>
      </c>
      <c r="M1790">
        <v>-0.99984839999999997</v>
      </c>
      <c r="N1790">
        <v>-1.5001E-2</v>
      </c>
      <c r="O1790">
        <v>-8.8513979999999999E-3</v>
      </c>
      <c r="P1790">
        <v>-0.99753159999999996</v>
      </c>
      <c r="Q1790">
        <v>-6.9281980000000007E-2</v>
      </c>
      <c r="R1790">
        <v>-1.1448130000000001E-2</v>
      </c>
      <c r="S1790">
        <v>-3.0033569999999998</v>
      </c>
      <c r="T1790">
        <v>-7.8783270000000002E-2</v>
      </c>
      <c r="U1790">
        <v>0.1042786</v>
      </c>
      <c r="V1790">
        <v>-2.606653E-3</v>
      </c>
      <c r="W1790">
        <v>-5.4309789999999997E-2</v>
      </c>
      <c r="X1790">
        <v>0.99852070000000004</v>
      </c>
      <c r="Y1790">
        <v>4.352139E-2</v>
      </c>
      <c r="Z1790">
        <v>9.9653869999999996E-4</v>
      </c>
      <c r="AA1790">
        <v>0.99905200000000005</v>
      </c>
      <c r="AB1790">
        <v>39</v>
      </c>
      <c r="AC1790">
        <v>-42.3507999999999</v>
      </c>
      <c r="AD1790">
        <v>-1.1209765619333001</v>
      </c>
      <c r="AE1790">
        <v>1.4870999999999901</v>
      </c>
      <c r="AF1790">
        <v>1.8606457022934599</v>
      </c>
      <c r="AG1790">
        <v>-1.1209765619333001</v>
      </c>
      <c r="AH1790">
        <v>42.3063728426362</v>
      </c>
      <c r="AI1790">
        <v>91.516325188722107</v>
      </c>
      <c r="AJ1790">
        <v>87.481738968546097</v>
      </c>
      <c r="AK1790">
        <v>42.362103040123202</v>
      </c>
      <c r="AL1790">
        <v>93.113253584689502</v>
      </c>
      <c r="AM1790">
        <v>90.149571136875906</v>
      </c>
      <c r="AN1790">
        <v>0.99999996812909697</v>
      </c>
    </row>
    <row r="1791" spans="1:40" x14ac:dyDescent="0.25">
      <c r="A1791" t="str">
        <f>"20190303154457911"</f>
        <v>20190303154457911</v>
      </c>
      <c r="B1791" t="str">
        <f>"1551599097902021"</f>
        <v>1551599097902021</v>
      </c>
      <c r="C1791" t="s">
        <v>40</v>
      </c>
      <c r="D1791">
        <v>5.0329879999999996</v>
      </c>
      <c r="E1791">
        <v>0.51760289999999998</v>
      </c>
      <c r="F1791" t="s">
        <v>55</v>
      </c>
      <c r="G1791">
        <v>-385.88119999999998</v>
      </c>
      <c r="H1791" s="1">
        <v>1.5928790000000001E-6</v>
      </c>
      <c r="I1791">
        <v>286.04000000000002</v>
      </c>
      <c r="J1791">
        <v>-341.73320000000001</v>
      </c>
      <c r="K1791">
        <v>1.1209849999999999</v>
      </c>
      <c r="L1791">
        <v>284.49669999999998</v>
      </c>
      <c r="M1791">
        <v>-0.99984770000000001</v>
      </c>
      <c r="N1791">
        <v>-1.499673E-2</v>
      </c>
      <c r="O1791">
        <v>-8.9354050000000004E-3</v>
      </c>
      <c r="P1791">
        <v>-0.99758950000000002</v>
      </c>
      <c r="Q1791">
        <v>-6.8461659999999994E-2</v>
      </c>
      <c r="R1791">
        <v>-1.132565E-2</v>
      </c>
      <c r="S1791">
        <v>-3.0033569999999998</v>
      </c>
      <c r="T1791">
        <v>-7.5620409999999999E-2</v>
      </c>
      <c r="U1791">
        <v>0.1038818</v>
      </c>
      <c r="V1791">
        <v>-2.399642E-3</v>
      </c>
      <c r="W1791">
        <v>-5.3492930000000001E-2</v>
      </c>
      <c r="X1791">
        <v>0.99856529999999999</v>
      </c>
      <c r="Y1791">
        <v>4.3475149999999997E-2</v>
      </c>
      <c r="Z1791">
        <v>9.6419089999999995E-4</v>
      </c>
      <c r="AA1791">
        <v>0.999054</v>
      </c>
      <c r="AB1791">
        <v>39</v>
      </c>
      <c r="AC1791">
        <v>-44.147999999999897</v>
      </c>
      <c r="AD1791">
        <v>-1.1209834071210001</v>
      </c>
      <c r="AE1791">
        <v>1.5433000000000401</v>
      </c>
      <c r="AF1791">
        <v>1.93651596795626</v>
      </c>
      <c r="AG1791">
        <v>-1.1209834071210001</v>
      </c>
      <c r="AH1791">
        <v>44.1040451959949</v>
      </c>
      <c r="AI1791">
        <v>91.454560675668503</v>
      </c>
      <c r="AJ1791">
        <v>87.485877524362806</v>
      </c>
      <c r="AK1791">
        <v>44.160768794752101</v>
      </c>
      <c r="AL1791">
        <v>93.066382853726395</v>
      </c>
      <c r="AM1791">
        <v>90.137686633296298</v>
      </c>
      <c r="AN1791">
        <v>0.99999995510289996</v>
      </c>
    </row>
    <row r="1792" spans="1:40" x14ac:dyDescent="0.25">
      <c r="A1792" t="str">
        <f>"20190303154457935"</f>
        <v>20190303154457935</v>
      </c>
      <c r="B1792" t="str">
        <f>"1551599097932496"</f>
        <v>1551599097932496</v>
      </c>
      <c r="C1792" t="s">
        <v>40</v>
      </c>
      <c r="D1792">
        <v>5.0492489999999997</v>
      </c>
      <c r="E1792">
        <v>0.53519919999999899</v>
      </c>
      <c r="F1792" t="s">
        <v>55</v>
      </c>
      <c r="G1792">
        <v>-387.1216</v>
      </c>
      <c r="H1792" s="1">
        <v>2.2529730000000002E-6</v>
      </c>
      <c r="I1792">
        <v>286.06849999999997</v>
      </c>
      <c r="J1792">
        <v>-342.14870000000002</v>
      </c>
      <c r="K1792">
        <v>1.120994</v>
      </c>
      <c r="L1792">
        <v>284.49290000000002</v>
      </c>
      <c r="M1792">
        <v>-0.99984680000000004</v>
      </c>
      <c r="N1792">
        <v>-1.499203E-2</v>
      </c>
      <c r="O1792">
        <v>-9.0285890000000001E-3</v>
      </c>
      <c r="P1792">
        <v>-0.9976197</v>
      </c>
      <c r="Q1792">
        <v>-6.8001839999999994E-2</v>
      </c>
      <c r="R1792">
        <v>-1.142726E-2</v>
      </c>
      <c r="S1792">
        <v>-3.0033569999999998</v>
      </c>
      <c r="T1792">
        <v>-7.4175480000000002E-2</v>
      </c>
      <c r="U1792">
        <v>0.1040039</v>
      </c>
      <c r="V1792">
        <v>-2.408271E-3</v>
      </c>
      <c r="W1792">
        <v>-5.3037380000000002E-2</v>
      </c>
      <c r="X1792">
        <v>0.99858959999999997</v>
      </c>
      <c r="Y1792">
        <v>4.3609490000000001E-2</v>
      </c>
      <c r="Z1792">
        <v>9.5295120000000002E-4</v>
      </c>
      <c r="AA1792">
        <v>0.99904820000000005</v>
      </c>
      <c r="AB1792">
        <v>39</v>
      </c>
      <c r="AC1792">
        <v>-44.972899999999903</v>
      </c>
      <c r="AD1792">
        <v>-1.1209917470270001</v>
      </c>
      <c r="AE1792">
        <v>1.5755999999999499</v>
      </c>
      <c r="AF1792">
        <v>1.98039434043857</v>
      </c>
      <c r="AG1792">
        <v>-1.1209917470270001</v>
      </c>
      <c r="AH1792">
        <v>44.928959262984598</v>
      </c>
      <c r="AI1792">
        <v>91.427865442818799</v>
      </c>
      <c r="AJ1792">
        <v>87.476130339073094</v>
      </c>
      <c r="AK1792">
        <v>44.9865531541979</v>
      </c>
      <c r="AL1792">
        <v>93.040244589663999</v>
      </c>
      <c r="AM1792">
        <v>90.138178383504695</v>
      </c>
      <c r="AN1792">
        <v>0.99999997633731597</v>
      </c>
    </row>
    <row r="1793" spans="1:40" x14ac:dyDescent="0.25">
      <c r="A1793" t="str">
        <f>"20190303154457955"</f>
        <v>20190303154457955</v>
      </c>
      <c r="B1793" t="str">
        <f>"1551599097952016"</f>
        <v>1551599097952016</v>
      </c>
      <c r="C1793" t="s">
        <v>40</v>
      </c>
      <c r="D1793">
        <v>5.0608510000000004</v>
      </c>
      <c r="E1793">
        <v>0.53335169999999998</v>
      </c>
      <c r="F1793" t="s">
        <v>42</v>
      </c>
      <c r="G1793">
        <v>-342.95440000000002</v>
      </c>
      <c r="H1793">
        <v>0.98720010000000002</v>
      </c>
      <c r="I1793">
        <v>284.56119999999999</v>
      </c>
      <c r="J1793">
        <v>-342.50709999999998</v>
      </c>
      <c r="K1793">
        <v>1.120997</v>
      </c>
      <c r="L1793">
        <v>284.48950000000002</v>
      </c>
      <c r="M1793">
        <v>-0.99984620000000002</v>
      </c>
      <c r="N1793">
        <v>-1.4988039999999999E-2</v>
      </c>
      <c r="O1793">
        <v>-9.1094939999999992E-3</v>
      </c>
      <c r="P1793">
        <v>-0.99767519999999998</v>
      </c>
      <c r="Q1793">
        <v>-6.7164370000000001E-2</v>
      </c>
      <c r="R1793">
        <v>-1.1538990000000001E-2</v>
      </c>
      <c r="S1793">
        <v>-2.9763790000000001</v>
      </c>
      <c r="T1793">
        <v>-0.4943304</v>
      </c>
      <c r="U1793">
        <v>0.2519226</v>
      </c>
      <c r="V1793">
        <v>-2.4393290000000001E-3</v>
      </c>
      <c r="W1793">
        <v>-5.2203159999999998E-2</v>
      </c>
      <c r="X1793">
        <v>0.99863349999999995</v>
      </c>
      <c r="Y1793">
        <v>9.1945150000000003E-2</v>
      </c>
      <c r="Z1793">
        <v>9.6302290000000006E-3</v>
      </c>
      <c r="AA1793">
        <v>0.99571750000000003</v>
      </c>
      <c r="AB1793">
        <v>39</v>
      </c>
      <c r="AC1793">
        <v>-0.447300000000041</v>
      </c>
      <c r="AD1793">
        <v>-0.1337969</v>
      </c>
      <c r="AE1793">
        <v>7.1699999999964306E-2</v>
      </c>
      <c r="AF1793">
        <v>6.96927173580109E-2</v>
      </c>
      <c r="AG1793">
        <v>-0.1337969</v>
      </c>
      <c r="AH1793">
        <v>0.41079381021724798</v>
      </c>
      <c r="AI1793">
        <v>107.80259597970399</v>
      </c>
      <c r="AJ1793">
        <v>80.371236270616805</v>
      </c>
      <c r="AK1793">
        <v>0.43761882936541702</v>
      </c>
      <c r="AL1793">
        <v>92.992380939176897</v>
      </c>
      <c r="AM1793">
        <v>90.139954226023207</v>
      </c>
      <c r="AN1793">
        <v>0.99999999378110205</v>
      </c>
    </row>
    <row r="1794" spans="1:40" x14ac:dyDescent="0.25">
      <c r="A1794" t="str">
        <f>"20190303154457978"</f>
        <v>20190303154457978</v>
      </c>
      <c r="B1794" t="str">
        <f>"1551599097972513"</f>
        <v>1551599097972513</v>
      </c>
      <c r="C1794" t="s">
        <v>40</v>
      </c>
      <c r="D1794">
        <v>5.0557550000000004</v>
      </c>
      <c r="E1794">
        <v>0.53188369999999996</v>
      </c>
      <c r="F1794" t="s">
        <v>42</v>
      </c>
      <c r="G1794">
        <v>-343.28980000000001</v>
      </c>
      <c r="H1794">
        <v>0.96916939999999996</v>
      </c>
      <c r="I1794">
        <v>284.55250000000001</v>
      </c>
      <c r="J1794">
        <v>-342.89339999999999</v>
      </c>
      <c r="K1794">
        <v>1.1209910000000001</v>
      </c>
      <c r="L1794">
        <v>284.48590000000002</v>
      </c>
      <c r="M1794">
        <v>-0.9998454</v>
      </c>
      <c r="N1794">
        <v>-1.4983700000000001E-2</v>
      </c>
      <c r="O1794">
        <v>-9.1962320000000004E-3</v>
      </c>
      <c r="P1794">
        <v>-0.99773250000000002</v>
      </c>
      <c r="Q1794">
        <v>-6.6360639999999999E-2</v>
      </c>
      <c r="R1794">
        <v>-1.122956E-2</v>
      </c>
      <c r="S1794">
        <v>-2.970917</v>
      </c>
      <c r="T1794">
        <v>-0.57635530000000001</v>
      </c>
      <c r="U1794">
        <v>0.23840330000000001</v>
      </c>
      <c r="V1794">
        <v>-2.0427520000000001E-3</v>
      </c>
      <c r="W1794">
        <v>-5.1402959999999998E-2</v>
      </c>
      <c r="X1794">
        <v>0.99867589999999995</v>
      </c>
      <c r="Y1794">
        <v>8.726312E-2</v>
      </c>
      <c r="Z1794">
        <v>1.066311E-2</v>
      </c>
      <c r="AA1794">
        <v>0.99612820000000002</v>
      </c>
      <c r="AB1794">
        <v>39</v>
      </c>
      <c r="AC1794">
        <v>-0.39640000000002801</v>
      </c>
      <c r="AD1794">
        <v>-0.1518216</v>
      </c>
      <c r="AE1794">
        <v>6.6599999999993997E-2</v>
      </c>
      <c r="AF1794">
        <v>6.1473066455419098E-2</v>
      </c>
      <c r="AG1794">
        <v>-0.1518216</v>
      </c>
      <c r="AH1794">
        <v>0.34635829340580698</v>
      </c>
      <c r="AI1794">
        <v>113.344634113532</v>
      </c>
      <c r="AJ1794">
        <v>79.935717600049301</v>
      </c>
      <c r="AK1794">
        <v>0.38313548979046003</v>
      </c>
      <c r="AL1794">
        <v>92.946471208676101</v>
      </c>
      <c r="AM1794">
        <v>90.117196084297802</v>
      </c>
      <c r="AN1794">
        <v>0.99999999518665195</v>
      </c>
    </row>
    <row r="1795" spans="1:40" x14ac:dyDescent="0.25">
      <c r="A1795" t="str">
        <f>"20190303154458000"</f>
        <v>20190303154458000</v>
      </c>
      <c r="B1795" t="str">
        <f>"1551599097992032"</f>
        <v>1551599097992032</v>
      </c>
      <c r="C1795" t="s">
        <v>40</v>
      </c>
      <c r="D1795">
        <v>4.9776590000000001</v>
      </c>
      <c r="E1795">
        <v>0.53233920000000001</v>
      </c>
      <c r="F1795" t="s">
        <v>42</v>
      </c>
      <c r="G1795">
        <v>-343.63350000000003</v>
      </c>
      <c r="H1795">
        <v>0.96872069999999999</v>
      </c>
      <c r="I1795">
        <v>284.54320000000001</v>
      </c>
      <c r="J1795">
        <v>-343.28070000000002</v>
      </c>
      <c r="K1795">
        <v>1.1209880000000001</v>
      </c>
      <c r="L1795">
        <v>284.48219999999998</v>
      </c>
      <c r="M1795">
        <v>-0.99984490000000004</v>
      </c>
      <c r="N1795">
        <v>-1.4979299999999999E-2</v>
      </c>
      <c r="O1795">
        <v>-9.2796119999999996E-3</v>
      </c>
      <c r="P1795">
        <v>-0.99776730000000002</v>
      </c>
      <c r="Q1795">
        <v>-6.5827430000000006E-2</v>
      </c>
      <c r="R1795">
        <v>-1.130227E-2</v>
      </c>
      <c r="S1795">
        <v>-2.96875</v>
      </c>
      <c r="T1795">
        <v>-0.61082890000000001</v>
      </c>
      <c r="U1795">
        <v>0.22857669999999999</v>
      </c>
      <c r="V1795">
        <v>-2.0318530000000001E-3</v>
      </c>
      <c r="W1795">
        <v>-5.0873639999999998E-2</v>
      </c>
      <c r="X1795">
        <v>0.99870300000000001</v>
      </c>
      <c r="Y1795">
        <v>8.3971119999999996E-2</v>
      </c>
      <c r="Z1795">
        <v>1.0923199999999999E-2</v>
      </c>
      <c r="AA1795">
        <v>0.99640830000000002</v>
      </c>
      <c r="AB1795">
        <v>39</v>
      </c>
      <c r="AC1795">
        <v>-0.352800000000002</v>
      </c>
      <c r="AD1795">
        <v>-0.152267299999999</v>
      </c>
      <c r="AE1795">
        <v>6.1000000000035401E-2</v>
      </c>
      <c r="AF1795">
        <v>5.4427384383376701E-2</v>
      </c>
      <c r="AG1795">
        <v>-0.152267299999999</v>
      </c>
      <c r="AH1795">
        <v>0.29827086519644302</v>
      </c>
      <c r="AI1795">
        <v>116.666141024732</v>
      </c>
      <c r="AJ1795">
        <v>79.658653194042401</v>
      </c>
      <c r="AK1795">
        <v>0.339283332695758</v>
      </c>
      <c r="AL1795">
        <v>92.916103749304298</v>
      </c>
      <c r="AM1795">
        <v>90.116567629084102</v>
      </c>
      <c r="AN1795">
        <v>0.999999968941231</v>
      </c>
    </row>
    <row r="1796" spans="1:40" x14ac:dyDescent="0.25">
      <c r="A1796" t="str">
        <f>"20190303154458324"</f>
        <v>20190303154458324</v>
      </c>
      <c r="B1796" t="str">
        <f>"1551599098321922"</f>
        <v>1551599098321922</v>
      </c>
      <c r="C1796" t="s">
        <v>40</v>
      </c>
      <c r="D1796">
        <v>4.6392429999999996</v>
      </c>
      <c r="E1796">
        <v>0.56539399999999995</v>
      </c>
      <c r="F1796" t="s">
        <v>42</v>
      </c>
      <c r="G1796">
        <v>-349.39010000000002</v>
      </c>
      <c r="H1796">
        <v>0.90000720000000001</v>
      </c>
      <c r="I1796">
        <v>284.51089999999999</v>
      </c>
      <c r="J1796">
        <v>-348.78980000000001</v>
      </c>
      <c r="K1796">
        <v>1.1209129999999901</v>
      </c>
      <c r="L1796">
        <v>284.42939999999999</v>
      </c>
      <c r="M1796">
        <v>-0.99984289999999998</v>
      </c>
      <c r="N1796">
        <v>-1.491607E-2</v>
      </c>
      <c r="O1796">
        <v>-9.5826780000000007E-3</v>
      </c>
      <c r="P1796">
        <v>-0.99766999999999995</v>
      </c>
      <c r="Q1796">
        <v>-6.7290950000000002E-2</v>
      </c>
      <c r="R1796">
        <v>-1.126424E-2</v>
      </c>
      <c r="S1796">
        <v>-2.9636230000000001</v>
      </c>
      <c r="T1796">
        <v>-0.68082589999999998</v>
      </c>
      <c r="U1796">
        <v>0.2391663</v>
      </c>
      <c r="V1796">
        <v>-1.7036039999999901E-3</v>
      </c>
      <c r="W1796">
        <v>-5.2401160000000002E-2</v>
      </c>
      <c r="X1796">
        <v>0.99862470000000003</v>
      </c>
      <c r="Y1796">
        <v>8.7358329999999998E-2</v>
      </c>
      <c r="Z1796">
        <v>1.258023E-2</v>
      </c>
      <c r="AA1796">
        <v>0.99609749999999997</v>
      </c>
      <c r="AB1796">
        <v>38</v>
      </c>
      <c r="AC1796">
        <v>-0.60030000000000405</v>
      </c>
      <c r="AD1796">
        <v>-0.22090579999999899</v>
      </c>
      <c r="AE1796">
        <v>8.1500000000005401E-2</v>
      </c>
      <c r="AF1796">
        <v>7.7009605908010495E-2</v>
      </c>
      <c r="AG1796">
        <v>-0.22090579999999899</v>
      </c>
      <c r="AH1796">
        <v>0.52913377670224504</v>
      </c>
      <c r="AI1796">
        <v>112.44714680992401</v>
      </c>
      <c r="AJ1796">
        <v>81.719368046988393</v>
      </c>
      <c r="AK1796">
        <v>0.57854334800680995</v>
      </c>
      <c r="AL1796">
        <v>93.003740920265003</v>
      </c>
      <c r="AM1796">
        <v>90.097743651315696</v>
      </c>
      <c r="AN1796">
        <v>1.00000003764301</v>
      </c>
    </row>
    <row r="1797" spans="1:40" x14ac:dyDescent="0.25">
      <c r="A1797" t="str">
        <f>"20190303154458347"</f>
        <v>20190303154458347</v>
      </c>
      <c r="B1797" t="str">
        <f>"1551599098342418"</f>
        <v>1551599098342418</v>
      </c>
      <c r="C1797" t="s">
        <v>40</v>
      </c>
      <c r="D1797">
        <v>4.6507680000000002</v>
      </c>
      <c r="E1797">
        <v>0.56625190000000003</v>
      </c>
      <c r="F1797" t="s">
        <v>42</v>
      </c>
      <c r="G1797">
        <v>-349.72699999999998</v>
      </c>
      <c r="H1797">
        <v>0.88751150000000001</v>
      </c>
      <c r="I1797">
        <v>284.58769999999998</v>
      </c>
      <c r="J1797">
        <v>-349.15769999999998</v>
      </c>
      <c r="K1797">
        <v>1.1209119999999999</v>
      </c>
      <c r="L1797">
        <v>284.42590000000001</v>
      </c>
      <c r="M1797">
        <v>-0.99984300000000004</v>
      </c>
      <c r="N1797">
        <v>-1.4911550000000001E-2</v>
      </c>
      <c r="O1797">
        <v>-9.5829869999999994E-3</v>
      </c>
      <c r="P1797">
        <v>-0.9976912</v>
      </c>
      <c r="Q1797">
        <v>-6.6930199999999995E-2</v>
      </c>
      <c r="R1797">
        <v>-1.1520590000000001E-2</v>
      </c>
      <c r="S1797">
        <v>-2.9628909999999999</v>
      </c>
      <c r="T1797">
        <v>-0.73791899999999999</v>
      </c>
      <c r="U1797">
        <v>0.49987789999999999</v>
      </c>
      <c r="V1797">
        <v>-1.9603020000000001E-3</v>
      </c>
      <c r="W1797">
        <v>-5.204462E-2</v>
      </c>
      <c r="X1797">
        <v>0.9986429</v>
      </c>
      <c r="Y1797">
        <v>0.17017550000000001</v>
      </c>
      <c r="Z1797">
        <v>2.4225590000000002E-2</v>
      </c>
      <c r="AA1797">
        <v>0.98511590000000004</v>
      </c>
      <c r="AB1797">
        <v>38</v>
      </c>
      <c r="AC1797">
        <v>-0.56929999999999803</v>
      </c>
      <c r="AD1797">
        <v>-0.23340050000000001</v>
      </c>
      <c r="AE1797">
        <v>0.16179999999997099</v>
      </c>
      <c r="AF1797">
        <v>0.14473897308149899</v>
      </c>
      <c r="AG1797">
        <v>-0.23340050000000001</v>
      </c>
      <c r="AH1797">
        <v>0.49131402607223501</v>
      </c>
      <c r="AI1797">
        <v>114.498328945895</v>
      </c>
      <c r="AJ1797">
        <v>73.585256106597498</v>
      </c>
      <c r="AK1797">
        <v>0.56286289266947198</v>
      </c>
      <c r="AL1797">
        <v>92.983284693167604</v>
      </c>
      <c r="AM1797">
        <v>90.112469519294706</v>
      </c>
      <c r="AN1797">
        <v>1.00000006348764</v>
      </c>
    </row>
    <row r="1798" spans="1:40" x14ac:dyDescent="0.25">
      <c r="A1798" t="str">
        <f>"20190303154458369"</f>
        <v>20190303154458369</v>
      </c>
      <c r="B1798" t="str">
        <f>"1551599098361936"</f>
        <v>1551599098361936</v>
      </c>
      <c r="C1798" t="s">
        <v>40</v>
      </c>
      <c r="D1798">
        <v>4.6200289999999997</v>
      </c>
      <c r="E1798">
        <v>0.56663980000000003</v>
      </c>
      <c r="F1798" t="s">
        <v>42</v>
      </c>
      <c r="G1798">
        <v>-350.06760000000003</v>
      </c>
      <c r="H1798">
        <v>0.89670539999999999</v>
      </c>
      <c r="I1798">
        <v>284.58159999999998</v>
      </c>
      <c r="J1798">
        <v>-349.54559999999998</v>
      </c>
      <c r="K1798">
        <v>1.120916</v>
      </c>
      <c r="L1798">
        <v>284.4221</v>
      </c>
      <c r="M1798">
        <v>-0.99984309999999998</v>
      </c>
      <c r="N1798">
        <v>-1.490708E-2</v>
      </c>
      <c r="O1798">
        <v>-9.5829409999999993E-3</v>
      </c>
      <c r="P1798">
        <v>-0.99769050000000004</v>
      </c>
      <c r="Q1798">
        <v>-6.6883390000000001E-2</v>
      </c>
      <c r="R1798">
        <v>-1.185249E-2</v>
      </c>
      <c r="S1798">
        <v>-2.9637760000000002</v>
      </c>
      <c r="T1798">
        <v>-0.73039290000000001</v>
      </c>
      <c r="U1798">
        <v>0.50573729999999995</v>
      </c>
      <c r="V1798">
        <v>-2.291735E-3</v>
      </c>
      <c r="W1798">
        <v>-5.2002220000000002E-2</v>
      </c>
      <c r="X1798">
        <v>0.99864439999999999</v>
      </c>
      <c r="Y1798">
        <v>0.17207629999999999</v>
      </c>
      <c r="Z1798">
        <v>2.423003E-2</v>
      </c>
      <c r="AA1798">
        <v>0.98478560000000004</v>
      </c>
      <c r="AB1798">
        <v>38</v>
      </c>
      <c r="AC1798">
        <v>-0.52200000000004798</v>
      </c>
      <c r="AD1798">
        <v>-0.22421060000000001</v>
      </c>
      <c r="AE1798">
        <v>0.15949999999997999</v>
      </c>
      <c r="AF1798">
        <v>0.14074658201274401</v>
      </c>
      <c r="AG1798">
        <v>-0.22421060000000001</v>
      </c>
      <c r="AH1798">
        <v>0.44530809855793102</v>
      </c>
      <c r="AI1798">
        <v>115.645031160689</v>
      </c>
      <c r="AJ1798">
        <v>72.460045286318007</v>
      </c>
      <c r="AK1798">
        <v>0.51805337190477796</v>
      </c>
      <c r="AL1798">
        <v>92.980852067686598</v>
      </c>
      <c r="AM1798">
        <v>90.131484753493893</v>
      </c>
      <c r="AN1798">
        <v>1.0000000602927901</v>
      </c>
    </row>
    <row r="1799" spans="1:40" x14ac:dyDescent="0.25">
      <c r="A1799" t="str">
        <f>"20190303154458392"</f>
        <v>20190303154458392</v>
      </c>
      <c r="B1799" t="str">
        <f>"1551599098382433"</f>
        <v>1551599098382433</v>
      </c>
      <c r="C1799" t="s">
        <v>40</v>
      </c>
      <c r="D1799">
        <v>4.6309420000000001</v>
      </c>
      <c r="E1799">
        <v>0.56679579999999996</v>
      </c>
      <c r="F1799" t="s">
        <v>42</v>
      </c>
      <c r="G1799">
        <v>-350.40859999999998</v>
      </c>
      <c r="H1799">
        <v>0.90863280000000002</v>
      </c>
      <c r="I1799">
        <v>284.56990000000002</v>
      </c>
      <c r="J1799">
        <v>-349.9153</v>
      </c>
      <c r="K1799">
        <v>1.120924</v>
      </c>
      <c r="L1799">
        <v>284.41860000000003</v>
      </c>
      <c r="M1799">
        <v>-0.99984309999999998</v>
      </c>
      <c r="N1799">
        <v>-1.4903080000000001E-2</v>
      </c>
      <c r="O1799">
        <v>-9.5831419999999994E-3</v>
      </c>
      <c r="P1799">
        <v>-0.99774929999999995</v>
      </c>
      <c r="Q1799">
        <v>-6.6014169999999997E-2</v>
      </c>
      <c r="R1799">
        <v>-1.1790709999999999E-2</v>
      </c>
      <c r="S1799">
        <v>-2.9640810000000002</v>
      </c>
      <c r="T1799">
        <v>-0.72914489999999998</v>
      </c>
      <c r="U1799">
        <v>0.50720209999999999</v>
      </c>
      <c r="V1799">
        <v>-2.2294540000000001E-3</v>
      </c>
      <c r="W1799">
        <v>-5.1136210000000001E-2</v>
      </c>
      <c r="X1799">
        <v>0.99868920000000005</v>
      </c>
      <c r="Y1799">
        <v>0.17253829999999901</v>
      </c>
      <c r="Z1799">
        <v>2.4247390000000001E-2</v>
      </c>
      <c r="AA1799">
        <v>0.98470429999999998</v>
      </c>
      <c r="AB1799">
        <v>38</v>
      </c>
      <c r="AC1799">
        <v>-0.49329999999997598</v>
      </c>
      <c r="AD1799">
        <v>-0.21229119999999899</v>
      </c>
      <c r="AE1799">
        <v>0.151299999999992</v>
      </c>
      <c r="AF1799">
        <v>0.133433760925152</v>
      </c>
      <c r="AG1799">
        <v>-0.21229119999999899</v>
      </c>
      <c r="AH1799">
        <v>0.42062533568398902</v>
      </c>
      <c r="AI1799">
        <v>115.69117308469799</v>
      </c>
      <c r="AJ1799">
        <v>72.399561288208105</v>
      </c>
      <c r="AK1799">
        <v>0.4896915306306</v>
      </c>
      <c r="AL1799">
        <v>92.9311674175581</v>
      </c>
      <c r="AM1799">
        <v>90.1279057514827</v>
      </c>
      <c r="AN1799">
        <v>1.0000000003174701</v>
      </c>
    </row>
    <row r="1800" spans="1:40" x14ac:dyDescent="0.25">
      <c r="A1800" t="str">
        <f>"20190303154458415"</f>
        <v>20190303154458415</v>
      </c>
      <c r="B1800" t="str">
        <f>"1551599098401952"</f>
        <v>1551599098401952</v>
      </c>
      <c r="C1800" t="s">
        <v>40</v>
      </c>
      <c r="D1800">
        <v>4.6176389999999996</v>
      </c>
      <c r="E1800">
        <v>0.56709129999999996</v>
      </c>
      <c r="F1800" t="s">
        <v>42</v>
      </c>
      <c r="G1800">
        <v>-350.74849999999998</v>
      </c>
      <c r="H1800">
        <v>0.91848850000000004</v>
      </c>
      <c r="I1800">
        <v>284.56200000000001</v>
      </c>
      <c r="J1800">
        <v>-350.3082</v>
      </c>
      <c r="K1800">
        <v>1.12093</v>
      </c>
      <c r="L1800">
        <v>284.41489999999999</v>
      </c>
      <c r="M1800">
        <v>-0.99984320000000004</v>
      </c>
      <c r="N1800">
        <v>-1.489892E-2</v>
      </c>
      <c r="O1800">
        <v>-9.5833429999999994E-3</v>
      </c>
      <c r="P1800">
        <v>-0.99780080000000004</v>
      </c>
      <c r="Q1800">
        <v>-6.5207790000000002E-2</v>
      </c>
      <c r="R1800">
        <v>-1.190915E-2</v>
      </c>
      <c r="S1800">
        <v>-2.9651179999999999</v>
      </c>
      <c r="T1800">
        <v>-0.72040919999999997</v>
      </c>
      <c r="U1800">
        <v>0.50903319999999996</v>
      </c>
      <c r="V1800">
        <v>-2.347175E-3</v>
      </c>
      <c r="W1800">
        <v>-5.0333299999999997E-2</v>
      </c>
      <c r="X1800">
        <v>0.99872969999999905</v>
      </c>
      <c r="Y1800">
        <v>0.17318430000000001</v>
      </c>
      <c r="Z1800">
        <v>2.40509E-2</v>
      </c>
      <c r="AA1800">
        <v>0.98459569999999996</v>
      </c>
      <c r="AB1800">
        <v>38</v>
      </c>
      <c r="AC1800">
        <v>-0.44029999999997899</v>
      </c>
      <c r="AD1800">
        <v>-0.202441499999999</v>
      </c>
      <c r="AE1800">
        <v>0.14710000000002299</v>
      </c>
      <c r="AF1800">
        <v>0.12713561215718699</v>
      </c>
      <c r="AG1800">
        <v>-0.202441499999999</v>
      </c>
      <c r="AH1800">
        <v>0.368744918337922</v>
      </c>
      <c r="AI1800">
        <v>117.430164553322</v>
      </c>
      <c r="AJ1800">
        <v>70.976866959374604</v>
      </c>
      <c r="AK1800">
        <v>0.43945288666804</v>
      </c>
      <c r="AL1800">
        <v>92.885104793697806</v>
      </c>
      <c r="AM1800">
        <v>90.134654024691997</v>
      </c>
      <c r="AN1800">
        <v>0.99999998199072904</v>
      </c>
    </row>
    <row r="1801" spans="1:40" x14ac:dyDescent="0.25">
      <c r="A1801" t="str">
        <f>"20190303154458438"</f>
        <v>20190303154458438</v>
      </c>
      <c r="B1801" t="str">
        <f>"1551599098432209"</f>
        <v>1551599098432209</v>
      </c>
      <c r="C1801" t="s">
        <v>40</v>
      </c>
      <c r="D1801">
        <v>4.628984</v>
      </c>
      <c r="E1801">
        <v>0.56700379999999995</v>
      </c>
      <c r="F1801" t="s">
        <v>42</v>
      </c>
      <c r="G1801">
        <v>-351.08960000000002</v>
      </c>
      <c r="H1801">
        <v>0.93230389999999996</v>
      </c>
      <c r="I1801">
        <v>284.54969999999997</v>
      </c>
      <c r="J1801">
        <v>-350.68169999999998</v>
      </c>
      <c r="K1801">
        <v>1.120935</v>
      </c>
      <c r="L1801">
        <v>284.41129999999998</v>
      </c>
      <c r="M1801">
        <v>-0.99984309999999998</v>
      </c>
      <c r="N1801">
        <v>-1.4894950000000001E-2</v>
      </c>
      <c r="O1801">
        <v>-9.5835480000000008E-3</v>
      </c>
      <c r="P1801">
        <v>-0.99787539999999997</v>
      </c>
      <c r="Q1801">
        <v>-6.425256E-2</v>
      </c>
      <c r="R1801">
        <v>-1.0794450000000001E-2</v>
      </c>
      <c r="S1801">
        <v>-2.9659420000000001</v>
      </c>
      <c r="T1801">
        <v>-0.71602860000000002</v>
      </c>
      <c r="U1801">
        <v>0.51138309999999998</v>
      </c>
      <c r="V1801">
        <v>-1.231422E-3</v>
      </c>
      <c r="W1801">
        <v>-4.9381229999999998E-2</v>
      </c>
      <c r="X1801">
        <v>0.99877919999999998</v>
      </c>
      <c r="Y1801">
        <v>0.17394129999999899</v>
      </c>
      <c r="Z1801">
        <v>2.4002909999999999E-2</v>
      </c>
      <c r="AA1801">
        <v>0.98446350000000005</v>
      </c>
      <c r="AB1801">
        <v>38</v>
      </c>
      <c r="AC1801">
        <v>-0.40790000000004001</v>
      </c>
      <c r="AD1801">
        <v>-0.188631099999999</v>
      </c>
      <c r="AE1801">
        <v>0.13839999999999</v>
      </c>
      <c r="AF1801">
        <v>0.11940423941144999</v>
      </c>
      <c r="AG1801">
        <v>-0.188631099999999</v>
      </c>
      <c r="AH1801">
        <v>0.34113329223155803</v>
      </c>
      <c r="AI1801">
        <v>117.560364973137</v>
      </c>
      <c r="AJ1801">
        <v>70.708818543349494</v>
      </c>
      <c r="AK1801">
        <v>0.40768981756401401</v>
      </c>
      <c r="AL1801">
        <v>92.8304873456634</v>
      </c>
      <c r="AM1801">
        <v>90.070641486775997</v>
      </c>
      <c r="AN1801">
        <v>0.99999995631454597</v>
      </c>
    </row>
    <row r="1802" spans="1:40" x14ac:dyDescent="0.25">
      <c r="A1802" t="str">
        <f>"20190303154458460"</f>
        <v>20190303154458460</v>
      </c>
      <c r="B1802" t="str">
        <f>"1551599098452704"</f>
        <v>1551599098452704</v>
      </c>
      <c r="C1802" t="s">
        <v>40</v>
      </c>
      <c r="D1802">
        <v>4.6121489999999996</v>
      </c>
      <c r="E1802">
        <v>0.56701619999999997</v>
      </c>
      <c r="F1802" t="s">
        <v>42</v>
      </c>
      <c r="G1802">
        <v>-351.42899999999997</v>
      </c>
      <c r="H1802">
        <v>0.94140979999999996</v>
      </c>
      <c r="I1802">
        <v>284.5412</v>
      </c>
      <c r="J1802">
        <v>-351.05720000000002</v>
      </c>
      <c r="K1802">
        <v>1.120933</v>
      </c>
      <c r="L1802">
        <v>284.40769999999998</v>
      </c>
      <c r="M1802">
        <v>-0.99984320000000004</v>
      </c>
      <c r="N1802">
        <v>-1.489094E-2</v>
      </c>
      <c r="O1802">
        <v>-9.581829E-3</v>
      </c>
      <c r="P1802">
        <v>-0.99795520000000004</v>
      </c>
      <c r="Q1802">
        <v>-6.3311350000000002E-2</v>
      </c>
      <c r="R1802">
        <v>-8.7765399999999993E-3</v>
      </c>
      <c r="S1802">
        <v>-2.9660639999999998</v>
      </c>
      <c r="T1802">
        <v>-0.71267569999999902</v>
      </c>
      <c r="U1802">
        <v>0.51382450000000002</v>
      </c>
      <c r="V1802">
        <v>7.8523139999999998E-4</v>
      </c>
      <c r="W1802">
        <v>-4.8443300000000002E-2</v>
      </c>
      <c r="X1802">
        <v>0.99882559999999998</v>
      </c>
      <c r="Y1802">
        <v>0.17474589999999901</v>
      </c>
      <c r="Z1802">
        <v>2.39965E-2</v>
      </c>
      <c r="AA1802">
        <v>0.98432109999999995</v>
      </c>
      <c r="AB1802">
        <v>38</v>
      </c>
      <c r="AC1802">
        <v>-0.37180000000000701</v>
      </c>
      <c r="AD1802">
        <v>-0.17952319999999999</v>
      </c>
      <c r="AE1802">
        <v>0.13350000000002599</v>
      </c>
      <c r="AF1802">
        <v>0.113597031284198</v>
      </c>
      <c r="AG1802">
        <v>-0.17952319999999999</v>
      </c>
      <c r="AH1802">
        <v>0.30708519188056199</v>
      </c>
      <c r="AI1802">
        <v>118.735602569854</v>
      </c>
      <c r="AJ1802">
        <v>69.699545460569595</v>
      </c>
      <c r="AK1802">
        <v>0.37340886428571202</v>
      </c>
      <c r="AL1802">
        <v>92.776683461196896</v>
      </c>
      <c r="AM1802">
        <v>89.954956665215093</v>
      </c>
      <c r="AN1802">
        <v>0.99999997455930001</v>
      </c>
    </row>
    <row r="1803" spans="1:40" x14ac:dyDescent="0.25">
      <c r="A1803" t="str">
        <f>"20190303154458482"</f>
        <v>20190303154458482</v>
      </c>
      <c r="B1803" t="str">
        <f>"1551599098472224"</f>
        <v>1551599098472224</v>
      </c>
      <c r="C1803" t="s">
        <v>40</v>
      </c>
      <c r="D1803">
        <v>4.6280999999999999</v>
      </c>
      <c r="E1803">
        <v>0.56694889999999998</v>
      </c>
      <c r="F1803" t="s">
        <v>42</v>
      </c>
      <c r="G1803">
        <v>-351.7679</v>
      </c>
      <c r="H1803">
        <v>0.95070100000000002</v>
      </c>
      <c r="I1803">
        <v>284.53230000000002</v>
      </c>
      <c r="J1803">
        <v>-351.43369999999999</v>
      </c>
      <c r="K1803">
        <v>1.120927</v>
      </c>
      <c r="L1803">
        <v>284.40410000000003</v>
      </c>
      <c r="M1803">
        <v>-0.9998435</v>
      </c>
      <c r="N1803">
        <v>-1.488693E-2</v>
      </c>
      <c r="O1803">
        <v>-9.5694230000000005E-3</v>
      </c>
      <c r="P1803">
        <v>-0.99801700000000004</v>
      </c>
      <c r="Q1803">
        <v>-6.2577439999999998E-2</v>
      </c>
      <c r="R1803">
        <v>-6.8150210000000001E-3</v>
      </c>
      <c r="S1803">
        <v>-2.965668</v>
      </c>
      <c r="T1803">
        <v>-0.7103043</v>
      </c>
      <c r="U1803">
        <v>0.51968380000000003</v>
      </c>
      <c r="V1803">
        <v>2.7345580000000002E-3</v>
      </c>
      <c r="W1803">
        <v>-4.7712940000000002E-2</v>
      </c>
      <c r="X1803">
        <v>0.99885729999999995</v>
      </c>
      <c r="Y1803">
        <v>0.17662349999999999</v>
      </c>
      <c r="Z1803">
        <v>2.4153359999999999E-2</v>
      </c>
      <c r="AA1803">
        <v>0.98398209999999997</v>
      </c>
      <c r="AB1803">
        <v>37</v>
      </c>
      <c r="AC1803">
        <v>-0.33420000000000899</v>
      </c>
      <c r="AD1803">
        <v>-0.17022599999999999</v>
      </c>
      <c r="AE1803">
        <v>0.12819999999999199</v>
      </c>
      <c r="AF1803">
        <v>0.107157665599882</v>
      </c>
      <c r="AG1803">
        <v>-0.17022599999999999</v>
      </c>
      <c r="AH1803">
        <v>0.27154482441054301</v>
      </c>
      <c r="AI1803">
        <v>120.247249351413</v>
      </c>
      <c r="AJ1803">
        <v>68.464698249761099</v>
      </c>
      <c r="AK1803">
        <v>0.33792935361842802</v>
      </c>
      <c r="AL1803">
        <v>92.734788521368401</v>
      </c>
      <c r="AM1803">
        <v>89.843142518151595</v>
      </c>
      <c r="AN1803">
        <v>0.99999995410709297</v>
      </c>
    </row>
    <row r="1804" spans="1:40" x14ac:dyDescent="0.25">
      <c r="A1804" t="str">
        <f>"20190303154458504"</f>
        <v>20190303154458504</v>
      </c>
      <c r="B1804" t="str">
        <f>"1551599098492721"</f>
        <v>1551599098492721</v>
      </c>
      <c r="C1804" t="s">
        <v>40</v>
      </c>
      <c r="D1804">
        <v>4.6106259999999999</v>
      </c>
      <c r="E1804">
        <v>0.56676740000000003</v>
      </c>
      <c r="F1804" t="s">
        <v>42</v>
      </c>
      <c r="G1804">
        <v>-352.41109999999998</v>
      </c>
      <c r="H1804">
        <v>0.88712569999999902</v>
      </c>
      <c r="I1804">
        <v>284.57709999999997</v>
      </c>
      <c r="J1804">
        <v>-351.79129999999998</v>
      </c>
      <c r="K1804">
        <v>1.120916</v>
      </c>
      <c r="L1804">
        <v>284.40069999999997</v>
      </c>
      <c r="M1804">
        <v>-0.99984379999999995</v>
      </c>
      <c r="N1804">
        <v>-1.4882879999999999E-2</v>
      </c>
      <c r="O1804">
        <v>-9.536503E-3</v>
      </c>
      <c r="P1804">
        <v>-0.99805540000000004</v>
      </c>
      <c r="Q1804">
        <v>-6.2094709999999997E-2</v>
      </c>
      <c r="R1804">
        <v>-5.4427939999999999E-3</v>
      </c>
      <c r="S1804">
        <v>-2.9650880000000002</v>
      </c>
      <c r="T1804">
        <v>-0.70926369999999905</v>
      </c>
      <c r="U1804">
        <v>0.52484129999999996</v>
      </c>
      <c r="V1804">
        <v>4.0726429999999999E-3</v>
      </c>
      <c r="W1804">
        <v>-4.7234150000000003E-2</v>
      </c>
      <c r="X1804">
        <v>0.99887559999999997</v>
      </c>
      <c r="Y1804">
        <v>0.17825199999999999</v>
      </c>
      <c r="Z1804">
        <v>2.431728E-2</v>
      </c>
      <c r="AA1804">
        <v>0.98368440000000001</v>
      </c>
      <c r="AB1804">
        <v>37</v>
      </c>
      <c r="AC1804">
        <v>-0.61979999999999702</v>
      </c>
      <c r="AD1804">
        <v>-0.23379030000000001</v>
      </c>
      <c r="AE1804">
        <v>0.176400000000001</v>
      </c>
      <c r="AF1804">
        <v>0.16109937853275899</v>
      </c>
      <c r="AG1804">
        <v>-0.23379030000000001</v>
      </c>
      <c r="AH1804">
        <v>0.54619847888616602</v>
      </c>
      <c r="AI1804">
        <v>112.320438230931</v>
      </c>
      <c r="AJ1804">
        <v>73.566756019807102</v>
      </c>
      <c r="AK1804">
        <v>0.61558402551990699</v>
      </c>
      <c r="AL1804">
        <v>92.707324627255204</v>
      </c>
      <c r="AM1804">
        <v>89.766393370356198</v>
      </c>
      <c r="AN1804">
        <v>1.00000005781129</v>
      </c>
    </row>
    <row r="1805" spans="1:40" x14ac:dyDescent="0.25">
      <c r="A1805" t="str">
        <f>"20190303154458525"</f>
        <v>20190303154458525</v>
      </c>
      <c r="B1805" t="str">
        <f>"1551599098522001"</f>
        <v>1551599098522001</v>
      </c>
      <c r="C1805" t="s">
        <v>40</v>
      </c>
      <c r="D1805">
        <v>4.6373620000000004</v>
      </c>
      <c r="E1805">
        <v>0.56647669999999894</v>
      </c>
      <c r="F1805" t="s">
        <v>42</v>
      </c>
      <c r="G1805">
        <v>-352.74700000000001</v>
      </c>
      <c r="H1805">
        <v>0.89254009999999995</v>
      </c>
      <c r="I1805">
        <v>284.57130000000001</v>
      </c>
      <c r="J1805">
        <v>-352.16419999999999</v>
      </c>
      <c r="K1805">
        <v>1.120895</v>
      </c>
      <c r="L1805">
        <v>284.3972</v>
      </c>
      <c r="M1805">
        <v>-0.99984450000000002</v>
      </c>
      <c r="N1805">
        <v>-1.487871E-2</v>
      </c>
      <c r="O1805">
        <v>-9.4790350000000002E-3</v>
      </c>
      <c r="P1805">
        <v>-0.99803129999999995</v>
      </c>
      <c r="Q1805">
        <v>-6.2571399999999999E-2</v>
      </c>
      <c r="R1805">
        <v>-4.3316709999999996E-3</v>
      </c>
      <c r="S1805">
        <v>-2.9646300000000001</v>
      </c>
      <c r="T1805">
        <v>-0.70850900000000006</v>
      </c>
      <c r="U1805">
        <v>0.52755739999999995</v>
      </c>
      <c r="V1805">
        <v>5.1239220000000004E-3</v>
      </c>
      <c r="W1805">
        <v>-4.7715769999999998E-2</v>
      </c>
      <c r="X1805">
        <v>0.99884779999999995</v>
      </c>
      <c r="Y1805">
        <v>0.17908289999999999</v>
      </c>
      <c r="Z1805">
        <v>2.438564E-2</v>
      </c>
      <c r="AA1805">
        <v>0.98353170000000001</v>
      </c>
      <c r="AB1805">
        <v>37</v>
      </c>
      <c r="AC1805">
        <v>-0.58279999999996301</v>
      </c>
      <c r="AD1805">
        <v>-0.2283549</v>
      </c>
      <c r="AE1805">
        <v>0.174100000000009</v>
      </c>
      <c r="AF1805">
        <v>0.15742804325269999</v>
      </c>
      <c r="AG1805">
        <v>-0.2283549</v>
      </c>
      <c r="AH1805">
        <v>0.50933387373341699</v>
      </c>
      <c r="AI1805">
        <v>113.187681575601</v>
      </c>
      <c r="AJ1805">
        <v>72.824345573541905</v>
      </c>
      <c r="AK1805">
        <v>0.57995736402659104</v>
      </c>
      <c r="AL1805">
        <v>92.734950759397805</v>
      </c>
      <c r="AM1805">
        <v>89.706084820931693</v>
      </c>
      <c r="AN1805">
        <v>0.99999998842409699</v>
      </c>
    </row>
    <row r="1806" spans="1:40" x14ac:dyDescent="0.25">
      <c r="A1806" t="str">
        <f>"20190303154458548"</f>
        <v>20190303154458548</v>
      </c>
      <c r="B1806" t="str">
        <f>"1551599098542497"</f>
        <v>1551599098542497</v>
      </c>
      <c r="C1806" t="s">
        <v>40</v>
      </c>
      <c r="D1806">
        <v>4.6838689999999996</v>
      </c>
      <c r="E1806">
        <v>0.56165779999999998</v>
      </c>
      <c r="F1806" t="s">
        <v>42</v>
      </c>
      <c r="G1806">
        <v>-353.0831</v>
      </c>
      <c r="H1806">
        <v>0.90000899999999995</v>
      </c>
      <c r="I1806">
        <v>284.56139999999999</v>
      </c>
      <c r="J1806">
        <v>-352.52260000000001</v>
      </c>
      <c r="K1806">
        <v>1.1208739999999999</v>
      </c>
      <c r="L1806">
        <v>284.39389999999997</v>
      </c>
      <c r="M1806">
        <v>-0.99984530000000005</v>
      </c>
      <c r="N1806">
        <v>-1.4874760000000001E-2</v>
      </c>
      <c r="O1806">
        <v>-9.3891430000000008E-3</v>
      </c>
      <c r="P1806">
        <v>-0.99800960000000005</v>
      </c>
      <c r="Q1806">
        <v>-6.2898049999999997E-2</v>
      </c>
      <c r="R1806">
        <v>-4.5976970000000004E-3</v>
      </c>
      <c r="S1806">
        <v>-2.963562</v>
      </c>
      <c r="T1806">
        <v>-0.71231480000000003</v>
      </c>
      <c r="U1806">
        <v>0.52880859999999996</v>
      </c>
      <c r="V1806">
        <v>4.7650050000000001E-3</v>
      </c>
      <c r="W1806">
        <v>-4.8046850000000002E-2</v>
      </c>
      <c r="X1806">
        <v>0.99883370000000005</v>
      </c>
      <c r="Y1806">
        <v>0.17939179999999999</v>
      </c>
      <c r="Z1806">
        <v>2.4532700000000001E-2</v>
      </c>
      <c r="AA1806">
        <v>0.98347180000000001</v>
      </c>
      <c r="AB1806">
        <v>37</v>
      </c>
      <c r="AC1806">
        <v>-0.56049999999999001</v>
      </c>
      <c r="AD1806">
        <v>-0.22086499999999901</v>
      </c>
      <c r="AE1806">
        <v>0.167500000000018</v>
      </c>
      <c r="AF1806">
        <v>0.151202595104418</v>
      </c>
      <c r="AG1806">
        <v>-0.22086499999999901</v>
      </c>
      <c r="AH1806">
        <v>0.48917311252117501</v>
      </c>
      <c r="AI1806">
        <v>113.333913854561</v>
      </c>
      <c r="AJ1806">
        <v>72.823707962375494</v>
      </c>
      <c r="AK1806">
        <v>0.55761447883368698</v>
      </c>
      <c r="AL1806">
        <v>92.753942044640596</v>
      </c>
      <c r="AM1806">
        <v>89.726668608830593</v>
      </c>
      <c r="AN1806">
        <v>0.99999998266163104</v>
      </c>
    </row>
    <row r="1807" spans="1:40" x14ac:dyDescent="0.25">
      <c r="A1807" t="str">
        <f>"20190303154458570"</f>
        <v>20190303154458570</v>
      </c>
      <c r="B1807" t="str">
        <f>"1551599098562017"</f>
        <v>1551599098562017</v>
      </c>
      <c r="C1807" t="s">
        <v>40</v>
      </c>
      <c r="D1807">
        <v>4.6485139999999996</v>
      </c>
      <c r="E1807">
        <v>0.56328089999999997</v>
      </c>
      <c r="F1807" t="s">
        <v>42</v>
      </c>
      <c r="G1807">
        <v>-353.41180000000003</v>
      </c>
      <c r="H1807">
        <v>0.89263300000000001</v>
      </c>
      <c r="I1807">
        <v>284.54160000000002</v>
      </c>
      <c r="J1807">
        <v>-352.90629999999999</v>
      </c>
      <c r="K1807">
        <v>1.12083</v>
      </c>
      <c r="L1807">
        <v>284.3904</v>
      </c>
      <c r="M1807">
        <v>-0.99984680000000004</v>
      </c>
      <c r="N1807">
        <v>-1.487059E-2</v>
      </c>
      <c r="O1807">
        <v>-9.2365329999999999E-3</v>
      </c>
      <c r="P1807">
        <v>-0.99795420000000001</v>
      </c>
      <c r="Q1807">
        <v>-6.3711180000000006E-2</v>
      </c>
      <c r="R1807">
        <v>-5.3704699999999996E-3</v>
      </c>
      <c r="S1807">
        <v>-2.9603579999999998</v>
      </c>
      <c r="T1807">
        <v>-0.75991430000000004</v>
      </c>
      <c r="U1807">
        <v>0.49063109999999999</v>
      </c>
      <c r="V1807">
        <v>3.8343880000000002E-3</v>
      </c>
      <c r="W1807">
        <v>-4.8864970000000001E-2</v>
      </c>
      <c r="X1807">
        <v>0.99879799999999996</v>
      </c>
      <c r="Y1807">
        <v>0.16676299999999999</v>
      </c>
      <c r="Z1807">
        <v>2.4379189999999999E-2</v>
      </c>
      <c r="AA1807">
        <v>0.98569549999999995</v>
      </c>
      <c r="AB1807">
        <v>37</v>
      </c>
      <c r="AC1807">
        <v>-0.50550000000004003</v>
      </c>
      <c r="AD1807">
        <v>-0.22819700000000001</v>
      </c>
      <c r="AE1807">
        <v>0.15120000000001699</v>
      </c>
      <c r="AF1807">
        <v>0.13130264076967299</v>
      </c>
      <c r="AG1807">
        <v>-0.22819700000000001</v>
      </c>
      <c r="AH1807">
        <v>0.42464987819680899</v>
      </c>
      <c r="AI1807">
        <v>117.175742874626</v>
      </c>
      <c r="AJ1807">
        <v>72.818280543940404</v>
      </c>
      <c r="AK1807">
        <v>0.49964164491628799</v>
      </c>
      <c r="AL1807">
        <v>92.8008720432952</v>
      </c>
      <c r="AM1807">
        <v>89.780042440868996</v>
      </c>
      <c r="AN1807">
        <v>0.99999996631421695</v>
      </c>
    </row>
    <row r="1808" spans="1:40" x14ac:dyDescent="0.25">
      <c r="A1808" t="str">
        <f>"20190303154458592"</f>
        <v>20190303154458592</v>
      </c>
      <c r="B1808" t="str">
        <f>"1551599098582513"</f>
        <v>1551599098582513</v>
      </c>
      <c r="C1808" t="s">
        <v>40</v>
      </c>
      <c r="D1808">
        <v>4.6655899999999999</v>
      </c>
      <c r="E1808">
        <v>0.56391919999999995</v>
      </c>
      <c r="F1808" t="s">
        <v>42</v>
      </c>
      <c r="G1808">
        <v>-353.74900000000002</v>
      </c>
      <c r="H1808">
        <v>0.90402260000000001</v>
      </c>
      <c r="I1808">
        <v>284.5333</v>
      </c>
      <c r="J1808">
        <v>-353.26510000000002</v>
      </c>
      <c r="K1808">
        <v>1.120781</v>
      </c>
      <c r="L1808">
        <v>284.38729999999998</v>
      </c>
      <c r="M1808">
        <v>-0.99984879999999998</v>
      </c>
      <c r="N1808">
        <v>-1.486671E-2</v>
      </c>
      <c r="O1808">
        <v>-9.0250899999999995E-3</v>
      </c>
      <c r="P1808">
        <v>-0.99790599999999996</v>
      </c>
      <c r="Q1808">
        <v>-6.4299549999999997E-2</v>
      </c>
      <c r="R1808">
        <v>-7.0412620000000004E-3</v>
      </c>
      <c r="S1808">
        <v>-2.9602360000000001</v>
      </c>
      <c r="T1808">
        <v>-0.7615267</v>
      </c>
      <c r="U1808">
        <v>0.50134279999999998</v>
      </c>
      <c r="V1808">
        <v>1.94586E-3</v>
      </c>
      <c r="W1808">
        <v>-4.9457340000000002E-2</v>
      </c>
      <c r="X1808">
        <v>0.9987743</v>
      </c>
      <c r="Y1808">
        <v>0.1699097</v>
      </c>
      <c r="Z1808">
        <v>2.4790920000000001E-2</v>
      </c>
      <c r="AA1808">
        <v>0.98514780000000002</v>
      </c>
      <c r="AB1808">
        <v>37</v>
      </c>
      <c r="AC1808">
        <v>-0.48390000000000499</v>
      </c>
      <c r="AD1808">
        <v>-0.21675839999999999</v>
      </c>
      <c r="AE1808">
        <v>0.14600000000001501</v>
      </c>
      <c r="AF1808">
        <v>0.127004498951727</v>
      </c>
      <c r="AG1808">
        <v>-0.21675839999999999</v>
      </c>
      <c r="AH1808">
        <v>0.40760097059626199</v>
      </c>
      <c r="AI1808">
        <v>116.917583079705</v>
      </c>
      <c r="AJ1808">
        <v>72.6934736888266</v>
      </c>
      <c r="AK1808">
        <v>0.47880361105107999</v>
      </c>
      <c r="AL1808">
        <v>92.834853456030103</v>
      </c>
      <c r="AM1808">
        <v>89.888373755247301</v>
      </c>
      <c r="AN1808">
        <v>0.99999995859575097</v>
      </c>
    </row>
    <row r="1809" spans="1:40" x14ac:dyDescent="0.25">
      <c r="A1809" t="str">
        <f>"20190303154458615"</f>
        <v>20190303154458615</v>
      </c>
      <c r="B1809" t="str">
        <f>"1551599098612769"</f>
        <v>1551599098612769</v>
      </c>
      <c r="C1809" t="s">
        <v>40</v>
      </c>
      <c r="D1809">
        <v>4.6992379999999896</v>
      </c>
      <c r="E1809">
        <v>0.56429289999999999</v>
      </c>
      <c r="F1809" t="s">
        <v>42</v>
      </c>
      <c r="G1809">
        <v>-354.0838</v>
      </c>
      <c r="H1809">
        <v>0.9105027</v>
      </c>
      <c r="I1809">
        <v>284.52600000000001</v>
      </c>
      <c r="J1809">
        <v>-353.64699999999999</v>
      </c>
      <c r="K1809">
        <v>1.120708</v>
      </c>
      <c r="L1809">
        <v>284.38409999999999</v>
      </c>
      <c r="M1809">
        <v>-0.99985159999999995</v>
      </c>
      <c r="N1809">
        <v>-1.486268E-2</v>
      </c>
      <c r="O1809">
        <v>-8.7133439999999996E-3</v>
      </c>
      <c r="P1809">
        <v>-0.99786649999999999</v>
      </c>
      <c r="Q1809">
        <v>-6.4720189999999997E-2</v>
      </c>
      <c r="R1809">
        <v>-8.5944160000000006E-3</v>
      </c>
      <c r="S1809">
        <v>-2.9608460000000001</v>
      </c>
      <c r="T1809">
        <v>-0.76042650000000001</v>
      </c>
      <c r="U1809">
        <v>0.50097659999999999</v>
      </c>
      <c r="V1809" s="1">
        <v>7.2762569999999897E-5</v>
      </c>
      <c r="W1809">
        <v>-4.9881580000000002E-2</v>
      </c>
      <c r="X1809">
        <v>0.99875519999999995</v>
      </c>
      <c r="Y1809">
        <v>0.16949239999999999</v>
      </c>
      <c r="Z1809">
        <v>2.462371E-2</v>
      </c>
      <c r="AA1809">
        <v>0.98522379999999998</v>
      </c>
      <c r="AB1809">
        <v>37</v>
      </c>
      <c r="AC1809">
        <v>-0.43680000000000502</v>
      </c>
      <c r="AD1809">
        <v>-0.21020530000000001</v>
      </c>
      <c r="AE1809">
        <v>0.14190000000002001</v>
      </c>
      <c r="AF1809">
        <v>0.120465514818098</v>
      </c>
      <c r="AG1809">
        <v>-0.21020530000000001</v>
      </c>
      <c r="AH1809">
        <v>0.360109872147097</v>
      </c>
      <c r="AI1809">
        <v>118.967706898616</v>
      </c>
      <c r="AJ1809">
        <v>71.503657803066403</v>
      </c>
      <c r="AK1809">
        <v>0.43402457122411597</v>
      </c>
      <c r="AL1809">
        <v>92.859190357904794</v>
      </c>
      <c r="AM1809">
        <v>89.995825815815394</v>
      </c>
      <c r="AN1809">
        <v>1.00000006342236</v>
      </c>
    </row>
    <row r="1810" spans="1:40" x14ac:dyDescent="0.25">
      <c r="A1810" t="str">
        <f>"20190303154458637"</f>
        <v>20190303154458637</v>
      </c>
      <c r="B1810" t="str">
        <f>"1551599098632290"</f>
        <v>1551599098632290</v>
      </c>
      <c r="C1810" t="s">
        <v>40</v>
      </c>
      <c r="D1810">
        <v>4.6390630000000002</v>
      </c>
      <c r="E1810">
        <v>0.54948710000000001</v>
      </c>
      <c r="F1810" t="s">
        <v>42</v>
      </c>
      <c r="G1810">
        <v>-354.42020000000002</v>
      </c>
      <c r="H1810">
        <v>0.92211699999999996</v>
      </c>
      <c r="I1810">
        <v>284.5147</v>
      </c>
      <c r="J1810">
        <v>-354.01199999999898</v>
      </c>
      <c r="K1810">
        <v>1.12063</v>
      </c>
      <c r="L1810">
        <v>284.38130000000001</v>
      </c>
      <c r="M1810">
        <v>-0.99985489999999999</v>
      </c>
      <c r="N1810">
        <v>-1.4858949999999999E-2</v>
      </c>
      <c r="O1810">
        <v>-8.3252050000000005E-3</v>
      </c>
      <c r="P1810">
        <v>-0.99783719999999998</v>
      </c>
      <c r="Q1810">
        <v>-6.495745E-2</v>
      </c>
      <c r="R1810">
        <v>-1.008673E-2</v>
      </c>
      <c r="S1810">
        <v>-2.961395</v>
      </c>
      <c r="T1810">
        <v>-0.76060459999999996</v>
      </c>
      <c r="U1810">
        <v>0.49960329999999997</v>
      </c>
      <c r="V1810">
        <v>-1.816196E-3</v>
      </c>
      <c r="W1810">
        <v>-5.0121390000000002E-2</v>
      </c>
      <c r="X1810">
        <v>0.99874149999999995</v>
      </c>
      <c r="Y1810">
        <v>0.1686733</v>
      </c>
      <c r="Z1810">
        <v>2.442451E-2</v>
      </c>
      <c r="AA1810">
        <v>0.9853693</v>
      </c>
      <c r="AB1810">
        <v>37</v>
      </c>
      <c r="AC1810">
        <v>-0.408200000000078</v>
      </c>
      <c r="AD1810">
        <v>-0.198513</v>
      </c>
      <c r="AE1810">
        <v>0.133399999999994</v>
      </c>
      <c r="AF1810">
        <v>0.112710213774997</v>
      </c>
      <c r="AG1810">
        <v>-0.198513</v>
      </c>
      <c r="AH1810">
        <v>0.335405742492764</v>
      </c>
      <c r="AI1810">
        <v>119.293713080038</v>
      </c>
      <c r="AJ1810">
        <v>71.425520329684005</v>
      </c>
      <c r="AK1810">
        <v>0.40571913382946101</v>
      </c>
      <c r="AL1810">
        <v>92.872947796793994</v>
      </c>
      <c r="AM1810">
        <v>90.104191375709803</v>
      </c>
      <c r="AN1810">
        <v>1.0000000180628399</v>
      </c>
    </row>
    <row r="1811" spans="1:40" x14ac:dyDescent="0.25">
      <c r="A1811" t="str">
        <f>"20190303154458661"</f>
        <v>20190303154458661</v>
      </c>
      <c r="B1811" t="str">
        <f>"1551599098652785"</f>
        <v>1551599098652785</v>
      </c>
      <c r="C1811" t="s">
        <v>40</v>
      </c>
      <c r="D1811">
        <v>4.7089169999999996</v>
      </c>
      <c r="E1811">
        <v>0.54418500000000003</v>
      </c>
      <c r="F1811" t="s">
        <v>42</v>
      </c>
      <c r="G1811">
        <v>-354.77809999999999</v>
      </c>
      <c r="H1811">
        <v>0.98002739999999999</v>
      </c>
      <c r="I1811">
        <v>284.47739999999999</v>
      </c>
      <c r="J1811">
        <v>-354.40170000000001</v>
      </c>
      <c r="K1811">
        <v>1.1205449999999999</v>
      </c>
      <c r="L1811">
        <v>284.37849999999997</v>
      </c>
      <c r="M1811">
        <v>-0.99985919999999895</v>
      </c>
      <c r="N1811">
        <v>-1.485509E-2</v>
      </c>
      <c r="O1811">
        <v>-7.8134380000000007E-3</v>
      </c>
      <c r="P1811">
        <v>-0.99784799999999996</v>
      </c>
      <c r="Q1811">
        <v>-6.4682859999999995E-2</v>
      </c>
      <c r="R1811">
        <v>-1.076585E-2</v>
      </c>
      <c r="S1811">
        <v>-2.9747309999999998</v>
      </c>
      <c r="T1811">
        <v>-0.54602459999999997</v>
      </c>
      <c r="U1811">
        <v>0.37225340000000001</v>
      </c>
      <c r="V1811">
        <v>-3.0163529999999998E-3</v>
      </c>
      <c r="W1811">
        <v>-4.9848910000000003E-2</v>
      </c>
      <c r="X1811">
        <v>0.99875219999999998</v>
      </c>
      <c r="Y1811">
        <v>0.12950300000000001</v>
      </c>
      <c r="Z1811">
        <v>1.401881E-2</v>
      </c>
      <c r="AA1811">
        <v>0.99147989999999997</v>
      </c>
      <c r="AB1811">
        <v>37</v>
      </c>
      <c r="AC1811">
        <v>-0.37639999999998902</v>
      </c>
      <c r="AD1811">
        <v>-0.14051759999999999</v>
      </c>
      <c r="AE1811">
        <v>9.8900000000014601E-2</v>
      </c>
      <c r="AF1811">
        <v>9.0093088203587204E-2</v>
      </c>
      <c r="AG1811">
        <v>-0.14051759999999999</v>
      </c>
      <c r="AH1811">
        <v>0.33229523394962801</v>
      </c>
      <c r="AI1811">
        <v>112.202096074238</v>
      </c>
      <c r="AJ1811">
        <v>74.830437260788997</v>
      </c>
      <c r="AK1811">
        <v>0.37186298949674601</v>
      </c>
      <c r="AL1811">
        <v>92.8573163987177</v>
      </c>
      <c r="AM1811">
        <v>90.173039689898303</v>
      </c>
      <c r="AN1811">
        <v>0.99999998460922401</v>
      </c>
    </row>
    <row r="1812" spans="1:40" x14ac:dyDescent="0.25">
      <c r="A1812" t="str">
        <f>"20190303154458684"</f>
        <v>20190303154458684</v>
      </c>
      <c r="B1812" t="str">
        <f>"1551599098672305"</f>
        <v>1551599098672305</v>
      </c>
      <c r="C1812" t="s">
        <v>40</v>
      </c>
      <c r="D1812">
        <v>4.7084789999999996</v>
      </c>
      <c r="E1812">
        <v>0.52332730000000005</v>
      </c>
      <c r="F1812" t="s">
        <v>42</v>
      </c>
      <c r="G1812">
        <v>-355.12259999999998</v>
      </c>
      <c r="H1812">
        <v>1.0074590000000001</v>
      </c>
      <c r="I1812">
        <v>284.45760000000001</v>
      </c>
      <c r="J1812">
        <v>-354.76389999999998</v>
      </c>
      <c r="K1812">
        <v>1.120471</v>
      </c>
      <c r="L1812">
        <v>284.37630000000001</v>
      </c>
      <c r="M1812">
        <v>-0.99986339999999996</v>
      </c>
      <c r="N1812">
        <v>-1.485151E-2</v>
      </c>
      <c r="O1812">
        <v>-7.246288E-3</v>
      </c>
      <c r="P1812">
        <v>-0.99780630000000003</v>
      </c>
      <c r="Q1812">
        <v>-6.5377660000000004E-2</v>
      </c>
      <c r="R1812">
        <v>-1.0416369999999999E-2</v>
      </c>
      <c r="S1812">
        <v>-2.9796450000000001</v>
      </c>
      <c r="T1812">
        <v>-0.46747719999999998</v>
      </c>
      <c r="U1812">
        <v>0.32614140000000003</v>
      </c>
      <c r="V1812">
        <v>-3.2434059999999999E-3</v>
      </c>
      <c r="W1812">
        <v>-5.0547090000000003E-2</v>
      </c>
      <c r="X1812">
        <v>0.99871639999999995</v>
      </c>
      <c r="Y1812">
        <v>0.1144188</v>
      </c>
      <c r="Z1812">
        <v>1.0772820000000001E-2</v>
      </c>
      <c r="AA1812">
        <v>0.99337419999999998</v>
      </c>
      <c r="AB1812">
        <v>37</v>
      </c>
      <c r="AC1812">
        <v>-0.35869999999999802</v>
      </c>
      <c r="AD1812">
        <v>-0.113011999999999</v>
      </c>
      <c r="AE1812">
        <v>8.1299999999998804E-2</v>
      </c>
      <c r="AF1812">
        <v>7.6659743024166602E-2</v>
      </c>
      <c r="AG1812">
        <v>-0.113011999999999</v>
      </c>
      <c r="AH1812">
        <v>0.327208736074246</v>
      </c>
      <c r="AI1812">
        <v>108.58657374047</v>
      </c>
      <c r="AJ1812">
        <v>76.814336538890203</v>
      </c>
      <c r="AK1812">
        <v>0.35456168054068798</v>
      </c>
      <c r="AL1812">
        <v>92.897369653939407</v>
      </c>
      <c r="AM1812">
        <v>90.186071663326103</v>
      </c>
      <c r="AN1812">
        <v>0.99999998780945398</v>
      </c>
    </row>
    <row r="1813" spans="1:40" x14ac:dyDescent="0.25">
      <c r="A1813" t="str">
        <f>"20190303154458704"</f>
        <v>20190303154458704</v>
      </c>
      <c r="B1813" t="str">
        <f>"1551599098702561"</f>
        <v>1551599098702561</v>
      </c>
      <c r="C1813" t="s">
        <v>40</v>
      </c>
      <c r="D1813">
        <v>4.6727910000000001</v>
      </c>
      <c r="E1813">
        <v>0.52462989999999998</v>
      </c>
      <c r="F1813" t="s">
        <v>58</v>
      </c>
      <c r="G1813">
        <v>-550.05700000000002</v>
      </c>
      <c r="H1813">
        <v>0.4443279</v>
      </c>
      <c r="I1813">
        <v>294.16770000000002</v>
      </c>
      <c r="J1813">
        <v>-355.12889999999999</v>
      </c>
      <c r="K1813">
        <v>1.120403</v>
      </c>
      <c r="L1813">
        <v>284.37419999999997</v>
      </c>
      <c r="M1813">
        <v>-0.99986810000000004</v>
      </c>
      <c r="N1813">
        <v>-1.4847890000000001E-2</v>
      </c>
      <c r="O1813">
        <v>-6.603238E-3</v>
      </c>
      <c r="P1813">
        <v>-0.99780939999999996</v>
      </c>
      <c r="Q1813">
        <v>-6.5423209999999996E-2</v>
      </c>
      <c r="R1813">
        <v>-9.8383870000000005E-3</v>
      </c>
      <c r="S1813">
        <v>-3.0074770000000002</v>
      </c>
      <c r="T1813">
        <v>-1.0411139999999999E-2</v>
      </c>
      <c r="U1813">
        <v>0.15078739999999999</v>
      </c>
      <c r="V1813">
        <v>-3.315307E-3</v>
      </c>
      <c r="W1813">
        <v>-5.0595660000000001E-2</v>
      </c>
      <c r="X1813">
        <v>0.99871370000000004</v>
      </c>
      <c r="Y1813">
        <v>5.6666960000000002E-2</v>
      </c>
      <c r="Z1813">
        <v>4.4386780000000003E-4</v>
      </c>
      <c r="AA1813">
        <v>0.99839310000000003</v>
      </c>
      <c r="AB1813">
        <v>37</v>
      </c>
      <c r="AC1813">
        <v>-194.9281</v>
      </c>
      <c r="AD1813">
        <v>-0.67607510000000004</v>
      </c>
      <c r="AE1813">
        <v>9.7935000000000496</v>
      </c>
      <c r="AF1813">
        <v>11.0804518477788</v>
      </c>
      <c r="AG1813">
        <v>-0.67607510000000004</v>
      </c>
      <c r="AH1813">
        <v>194.85683529217101</v>
      </c>
      <c r="AI1813">
        <v>90.198471961276496</v>
      </c>
      <c r="AJ1813">
        <v>86.745404614818298</v>
      </c>
      <c r="AK1813">
        <v>195.17279459692199</v>
      </c>
      <c r="AL1813">
        <v>92.900156088384506</v>
      </c>
      <c r="AM1813">
        <v>90.190197051627095</v>
      </c>
      <c r="AN1813">
        <v>0.99999998331951401</v>
      </c>
    </row>
    <row r="1814" spans="1:40" x14ac:dyDescent="0.25">
      <c r="A1814" t="str">
        <f>"20190303154458727"</f>
        <v>20190303154458727</v>
      </c>
      <c r="B1814" t="str">
        <f>"1551599098722471"</f>
        <v>1551599098722471</v>
      </c>
      <c r="C1814" t="s">
        <v>40</v>
      </c>
      <c r="D1814">
        <v>4.6488370000000003</v>
      </c>
      <c r="E1814">
        <v>0.52379189999999998</v>
      </c>
      <c r="F1814" t="s">
        <v>58</v>
      </c>
      <c r="G1814">
        <v>-543.66319999999996</v>
      </c>
      <c r="H1814">
        <v>2.5797639999999999</v>
      </c>
      <c r="I1814">
        <v>294.55</v>
      </c>
      <c r="J1814">
        <v>-355.49520000000001</v>
      </c>
      <c r="K1814">
        <v>1.12035</v>
      </c>
      <c r="L1814">
        <v>284.3725</v>
      </c>
      <c r="M1814">
        <v>-0.99987239999999999</v>
      </c>
      <c r="N1814">
        <v>-1.484414E-2</v>
      </c>
      <c r="O1814">
        <v>-5.9052089999999998E-3</v>
      </c>
      <c r="P1814">
        <v>-0.99781390000000003</v>
      </c>
      <c r="Q1814">
        <v>-6.5462389999999995E-2</v>
      </c>
      <c r="R1814">
        <v>-9.0664089999999992E-3</v>
      </c>
      <c r="S1814">
        <v>-3.009735</v>
      </c>
      <c r="T1814">
        <v>2.329838E-2</v>
      </c>
      <c r="U1814">
        <v>0.16244510000000001</v>
      </c>
      <c r="V1814">
        <v>-3.2467239999999999E-3</v>
      </c>
      <c r="W1814">
        <v>-5.0638299999999997E-2</v>
      </c>
      <c r="X1814">
        <v>0.99871180000000004</v>
      </c>
      <c r="Y1814">
        <v>5.9791259999999999E-2</v>
      </c>
      <c r="Z1814" s="1">
        <v>7.9593389999999995E-5</v>
      </c>
      <c r="AA1814">
        <v>0.99821090000000001</v>
      </c>
      <c r="AB1814">
        <v>37</v>
      </c>
      <c r="AC1814">
        <v>-188.16799999999901</v>
      </c>
      <c r="AD1814">
        <v>1.459414</v>
      </c>
      <c r="AE1814">
        <v>10.1775</v>
      </c>
      <c r="AF1814">
        <v>11.2879392611105</v>
      </c>
      <c r="AG1814">
        <v>1.459414</v>
      </c>
      <c r="AH1814">
        <v>188.09332992494299</v>
      </c>
      <c r="AI1814">
        <v>89.556249952557806</v>
      </c>
      <c r="AJ1814">
        <v>86.565659561396004</v>
      </c>
      <c r="AK1814">
        <v>188.43738542083301</v>
      </c>
      <c r="AL1814">
        <v>92.9026022123834</v>
      </c>
      <c r="AM1814">
        <v>90.186262870952703</v>
      </c>
      <c r="AN1814">
        <v>1.00000001905143</v>
      </c>
    </row>
    <row r="1815" spans="1:40" x14ac:dyDescent="0.25">
      <c r="A1815" t="str">
        <f>"20190303154458749"</f>
        <v>20190303154458749</v>
      </c>
      <c r="B1815" t="str">
        <f>"1551599098741994"</f>
        <v>1551599098741994</v>
      </c>
      <c r="C1815" t="s">
        <v>40</v>
      </c>
      <c r="D1815">
        <v>4.6902019999999904</v>
      </c>
      <c r="E1815">
        <v>0.52230019999999999</v>
      </c>
      <c r="F1815" t="s">
        <v>58</v>
      </c>
      <c r="G1815">
        <v>-549.22170000000006</v>
      </c>
      <c r="H1815">
        <v>2.6958929999999999</v>
      </c>
      <c r="I1815">
        <v>294.55</v>
      </c>
      <c r="J1815">
        <v>-355.8587</v>
      </c>
      <c r="K1815">
        <v>1.1203099999999999</v>
      </c>
      <c r="L1815">
        <v>284.37110000000001</v>
      </c>
      <c r="M1815">
        <v>-0.99987649999999995</v>
      </c>
      <c r="N1815">
        <v>-1.4840280000000001E-2</v>
      </c>
      <c r="O1815">
        <v>-5.1766269999999996E-3</v>
      </c>
      <c r="P1815">
        <v>-0.99785729999999995</v>
      </c>
      <c r="Q1815">
        <v>-6.4911689999999994E-2</v>
      </c>
      <c r="R1815">
        <v>-8.2174309999999903E-3</v>
      </c>
      <c r="S1815">
        <v>-3.0096129999999999</v>
      </c>
      <c r="T1815">
        <v>2.447796E-2</v>
      </c>
      <c r="U1815">
        <v>0.15811159999999999</v>
      </c>
      <c r="V1815">
        <v>-3.1296599999999998E-3</v>
      </c>
      <c r="W1815">
        <v>-5.0090830000000003E-2</v>
      </c>
      <c r="X1815">
        <v>0.99873979999999996</v>
      </c>
      <c r="Y1815">
        <v>5.7632740000000002E-2</v>
      </c>
      <c r="Z1815" s="1">
        <v>7.4907259999999997E-5</v>
      </c>
      <c r="AA1815">
        <v>0.9983379</v>
      </c>
      <c r="AB1815">
        <v>37</v>
      </c>
      <c r="AC1815">
        <v>-193.363</v>
      </c>
      <c r="AD1815">
        <v>1.57558299999999</v>
      </c>
      <c r="AE1815">
        <v>10.178900000000001</v>
      </c>
      <c r="AF1815">
        <v>11.1791017436275</v>
      </c>
      <c r="AG1815">
        <v>1.57558299999999</v>
      </c>
      <c r="AH1815">
        <v>193.294912058997</v>
      </c>
      <c r="AI1815">
        <v>89.533760780389201</v>
      </c>
      <c r="AJ1815">
        <v>86.690018195118796</v>
      </c>
      <c r="AK1815">
        <v>193.62432131702801</v>
      </c>
      <c r="AL1815">
        <v>92.871194581059399</v>
      </c>
      <c r="AM1815">
        <v>90.179541981186503</v>
      </c>
      <c r="AN1815">
        <v>1.0000000370629201</v>
      </c>
    </row>
    <row r="1816" spans="1:40" x14ac:dyDescent="0.25">
      <c r="A1816" t="str">
        <f>"20190303154458771"</f>
        <v>20190303154458771</v>
      </c>
      <c r="B1816" t="str">
        <f>"1551599098762487"</f>
        <v>1551599098762487</v>
      </c>
      <c r="C1816" t="s">
        <v>40</v>
      </c>
      <c r="D1816">
        <v>4.6896870000000002</v>
      </c>
      <c r="E1816">
        <v>0.52233240000000003</v>
      </c>
      <c r="F1816" t="s">
        <v>58</v>
      </c>
      <c r="G1816">
        <v>-550.05759999999998</v>
      </c>
      <c r="H1816">
        <v>2.298727</v>
      </c>
      <c r="I1816">
        <v>293.97919999999999</v>
      </c>
      <c r="J1816">
        <v>-356.21980000000002</v>
      </c>
      <c r="K1816">
        <v>1.1202749999999999</v>
      </c>
      <c r="L1816">
        <v>284.36989999999997</v>
      </c>
      <c r="M1816">
        <v>-0.99988030000000006</v>
      </c>
      <c r="N1816">
        <v>-1.483635E-2</v>
      </c>
      <c r="O1816">
        <v>-4.4295009999999998E-3</v>
      </c>
      <c r="P1816">
        <v>-0.99791059999999998</v>
      </c>
      <c r="Q1816">
        <v>-6.4189699999999905E-2</v>
      </c>
      <c r="R1816">
        <v>-7.3837979999999996E-3</v>
      </c>
      <c r="S1816">
        <v>-3.0088499999999998</v>
      </c>
      <c r="T1816">
        <v>1.8259290000000001E-2</v>
      </c>
      <c r="U1816">
        <v>0.14886469999999999</v>
      </c>
      <c r="V1816">
        <v>-3.0440459999999999E-3</v>
      </c>
      <c r="W1816">
        <v>-4.9372020000000003E-2</v>
      </c>
      <c r="X1816">
        <v>0.99877579999999999</v>
      </c>
      <c r="Y1816">
        <v>5.3839739999999997E-2</v>
      </c>
      <c r="Z1816">
        <v>1.438489E-4</v>
      </c>
      <c r="AA1816">
        <v>0.99854960000000004</v>
      </c>
      <c r="AB1816">
        <v>37</v>
      </c>
      <c r="AC1816">
        <v>-193.83779999999999</v>
      </c>
      <c r="AD1816">
        <v>1.1784520000000001</v>
      </c>
      <c r="AE1816">
        <v>9.6093000000000099</v>
      </c>
      <c r="AF1816">
        <v>10.4675188552146</v>
      </c>
      <c r="AG1816">
        <v>1.1784520000000001</v>
      </c>
      <c r="AH1816">
        <v>193.786183872116</v>
      </c>
      <c r="AI1816">
        <v>89.652084536395705</v>
      </c>
      <c r="AJ1816">
        <v>86.908126440816503</v>
      </c>
      <c r="AK1816">
        <v>194.07226169604499</v>
      </c>
      <c r="AL1816">
        <v>92.829958938219505</v>
      </c>
      <c r="AM1816">
        <v>90.1746242233895</v>
      </c>
      <c r="AN1816">
        <v>0.99999998062028495</v>
      </c>
    </row>
    <row r="1817" spans="1:40" x14ac:dyDescent="0.25">
      <c r="A1817" t="str">
        <f>"20190303154458793"</f>
        <v>20190303154458793</v>
      </c>
      <c r="B1817" t="str">
        <f>"1551599098782008"</f>
        <v>1551599098782008</v>
      </c>
      <c r="C1817" t="s">
        <v>40</v>
      </c>
      <c r="D1817">
        <v>4.6338809999999997</v>
      </c>
      <c r="E1817">
        <v>0.52141570000000004</v>
      </c>
      <c r="F1817" t="s">
        <v>58</v>
      </c>
      <c r="G1817">
        <v>-550.05769999999995</v>
      </c>
      <c r="H1817">
        <v>2.7152150000000002</v>
      </c>
      <c r="I1817">
        <v>294.12880000000001</v>
      </c>
      <c r="J1817">
        <v>-356.59609999999998</v>
      </c>
      <c r="K1817">
        <v>1.12025</v>
      </c>
      <c r="L1817">
        <v>284.36900000000003</v>
      </c>
      <c r="M1817">
        <v>-0.99988350000000004</v>
      </c>
      <c r="N1817">
        <v>-1.483221E-2</v>
      </c>
      <c r="O1817">
        <v>-3.6376680000000002E-3</v>
      </c>
      <c r="P1817">
        <v>-0.99789890000000003</v>
      </c>
      <c r="Q1817">
        <v>-6.4488539999999997E-2</v>
      </c>
      <c r="R1817">
        <v>-6.2715480000000001E-3</v>
      </c>
      <c r="S1817">
        <v>-3.008972</v>
      </c>
      <c r="T1817">
        <v>2.475977E-2</v>
      </c>
      <c r="U1817">
        <v>0.15148929999999999</v>
      </c>
      <c r="V1817">
        <v>-2.7253920000000001E-3</v>
      </c>
      <c r="W1817">
        <v>-4.9675579999999997E-2</v>
      </c>
      <c r="X1817">
        <v>0.99876169999999997</v>
      </c>
      <c r="Y1817">
        <v>5.3915810000000002E-2</v>
      </c>
      <c r="Z1817" s="1">
        <v>9.4597750000000001E-5</v>
      </c>
      <c r="AA1817">
        <v>0.99854549999999997</v>
      </c>
      <c r="AB1817">
        <v>37</v>
      </c>
      <c r="AC1817">
        <v>-193.4616</v>
      </c>
      <c r="AD1817">
        <v>1.594965</v>
      </c>
      <c r="AE1817">
        <v>9.7597999999999807</v>
      </c>
      <c r="AF1817">
        <v>10.462852474353999</v>
      </c>
      <c r="AG1817">
        <v>1.594965</v>
      </c>
      <c r="AH1817">
        <v>193.41170021319201</v>
      </c>
      <c r="AI1817">
        <v>89.528212208701007</v>
      </c>
      <c r="AJ1817">
        <v>86.903529926497797</v>
      </c>
      <c r="AK1817">
        <v>193.7010608505</v>
      </c>
      <c r="AL1817">
        <v>92.847372923514399</v>
      </c>
      <c r="AM1817">
        <v>90.156346675625997</v>
      </c>
      <c r="AN1817">
        <v>1.0000000121983801</v>
      </c>
    </row>
    <row r="1818" spans="1:40" x14ac:dyDescent="0.25">
      <c r="A1818" t="str">
        <f>"20190303154458817"</f>
        <v>20190303154458817</v>
      </c>
      <c r="B1818" t="str">
        <f>"1551599098812264"</f>
        <v>1551599098812264</v>
      </c>
      <c r="C1818" t="s">
        <v>40</v>
      </c>
      <c r="D1818">
        <v>4.6559679999999997</v>
      </c>
      <c r="E1818">
        <v>0.52051780000000003</v>
      </c>
      <c r="F1818" t="s">
        <v>58</v>
      </c>
      <c r="G1818">
        <v>-550.05759999999998</v>
      </c>
      <c r="H1818">
        <v>2.4048500000000002</v>
      </c>
      <c r="I1818">
        <v>293.8415</v>
      </c>
      <c r="J1818">
        <v>-356.97840000000002</v>
      </c>
      <c r="K1818">
        <v>1.1202259999999999</v>
      </c>
      <c r="L1818">
        <v>284.36829999999998</v>
      </c>
      <c r="M1818">
        <v>-0.99988600000000005</v>
      </c>
      <c r="N1818">
        <v>-1.4827959999999999E-2</v>
      </c>
      <c r="O1818">
        <v>-2.8281700000000001E-3</v>
      </c>
      <c r="P1818">
        <v>-0.9978667</v>
      </c>
      <c r="Q1818">
        <v>-6.5064810000000001E-2</v>
      </c>
      <c r="R1818">
        <v>-5.3412750000000004E-3</v>
      </c>
      <c r="S1818">
        <v>-3.0085449999999998</v>
      </c>
      <c r="T1818">
        <v>1.9978280000000001E-2</v>
      </c>
      <c r="U1818">
        <v>0.147308299999999</v>
      </c>
      <c r="V1818">
        <v>-2.6067310000000002E-3</v>
      </c>
      <c r="W1818">
        <v>-5.025669E-2</v>
      </c>
      <c r="X1818">
        <v>0.99873290000000003</v>
      </c>
      <c r="Y1818">
        <v>5.1730390000000001E-2</v>
      </c>
      <c r="Z1818">
        <v>1.5143970000000001E-4</v>
      </c>
      <c r="AA1818">
        <v>0.99866109999999997</v>
      </c>
      <c r="AB1818">
        <v>37</v>
      </c>
      <c r="AC1818">
        <v>-193.07919999999999</v>
      </c>
      <c r="AD1818">
        <v>1.284624</v>
      </c>
      <c r="AE1818">
        <v>9.4732000000000198</v>
      </c>
      <c r="AF1818">
        <v>10.018840540230199</v>
      </c>
      <c r="AG1818">
        <v>1.284624</v>
      </c>
      <c r="AH1818">
        <v>193.04310794763899</v>
      </c>
      <c r="AI1818">
        <v>89.619237773973893</v>
      </c>
      <c r="AJ1818">
        <v>87.029043330634394</v>
      </c>
      <c r="AK1818">
        <v>193.30718804709699</v>
      </c>
      <c r="AL1818">
        <v>92.880709842761703</v>
      </c>
      <c r="AM1818">
        <v>90.149543832467799</v>
      </c>
      <c r="AN1818">
        <v>0.99999996773933497</v>
      </c>
    </row>
    <row r="1819" spans="1:40" x14ac:dyDescent="0.25">
      <c r="A1819" t="str">
        <f>"20190303154458838"</f>
        <v>20190303154458838</v>
      </c>
      <c r="B1819" t="str">
        <f>"1551599098832760"</f>
        <v>1551599098832760</v>
      </c>
      <c r="C1819" t="s">
        <v>40</v>
      </c>
      <c r="D1819">
        <v>4.6111019999999998</v>
      </c>
      <c r="E1819">
        <v>0.51989010000000002</v>
      </c>
      <c r="F1819" t="s">
        <v>58</v>
      </c>
      <c r="G1819">
        <v>-553.08330000000001</v>
      </c>
      <c r="H1819">
        <v>2.0488110000000002</v>
      </c>
      <c r="I1819">
        <v>293.69319999999999</v>
      </c>
      <c r="J1819">
        <v>-357.33159999999998</v>
      </c>
      <c r="K1819">
        <v>1.120212</v>
      </c>
      <c r="L1819">
        <v>284.36810000000003</v>
      </c>
      <c r="M1819">
        <v>-0.99988809999999995</v>
      </c>
      <c r="N1819">
        <v>-1.482402E-2</v>
      </c>
      <c r="O1819">
        <v>-2.0797989999999998E-3</v>
      </c>
      <c r="P1819">
        <v>-0.99776549999999997</v>
      </c>
      <c r="Q1819">
        <v>-6.6679820000000001E-2</v>
      </c>
      <c r="R1819">
        <v>-4.29475E-3</v>
      </c>
      <c r="S1819">
        <v>-3.0080870000000002</v>
      </c>
      <c r="T1819">
        <v>1.4245030000000001E-2</v>
      </c>
      <c r="U1819">
        <v>0.14303589999999999</v>
      </c>
      <c r="V1819">
        <v>-2.3117509999999999E-3</v>
      </c>
      <c r="W1819">
        <v>-5.187746E-2</v>
      </c>
      <c r="X1819">
        <v>0.99865079999999995</v>
      </c>
      <c r="Y1819">
        <v>4.9575139999999997E-2</v>
      </c>
      <c r="Z1819">
        <v>2.097003E-4</v>
      </c>
      <c r="AA1819">
        <v>0.99877039999999995</v>
      </c>
      <c r="AB1819">
        <v>37</v>
      </c>
      <c r="AC1819">
        <v>-195.7517</v>
      </c>
      <c r="AD1819">
        <v>0.92859899999999995</v>
      </c>
      <c r="AE1819">
        <v>9.32509999999996</v>
      </c>
      <c r="AF1819">
        <v>9.7320301922888302</v>
      </c>
      <c r="AG1819">
        <v>0.92859899999999995</v>
      </c>
      <c r="AH1819">
        <v>195.72748554332</v>
      </c>
      <c r="AI1819">
        <v>89.728506407939406</v>
      </c>
      <c r="AJ1819">
        <v>87.153463596927907</v>
      </c>
      <c r="AK1819">
        <v>195.97148594853499</v>
      </c>
      <c r="AL1819">
        <v>92.973694311850906</v>
      </c>
      <c r="AM1819">
        <v>90.132632286476294</v>
      </c>
      <c r="AN1819">
        <v>1.0000000176946799</v>
      </c>
    </row>
    <row r="1820" spans="1:40" x14ac:dyDescent="0.25">
      <c r="A1820" t="str">
        <f>"20190303154458861"</f>
        <v>20190303154458861</v>
      </c>
      <c r="B1820" t="str">
        <f>"1551599098852279"</f>
        <v>1551599098852279</v>
      </c>
      <c r="C1820" t="s">
        <v>40</v>
      </c>
      <c r="D1820">
        <v>4.6038379999999997</v>
      </c>
      <c r="E1820">
        <v>0.51940120000000001</v>
      </c>
      <c r="F1820" t="s">
        <v>45</v>
      </c>
      <c r="G1820">
        <v>0</v>
      </c>
      <c r="H1820">
        <v>0</v>
      </c>
      <c r="I1820">
        <v>0</v>
      </c>
      <c r="J1820">
        <v>-357.69799999999998</v>
      </c>
      <c r="K1820">
        <v>1.120201</v>
      </c>
      <c r="L1820">
        <v>284.36799999999999</v>
      </c>
      <c r="M1820">
        <v>-0.99988940000000004</v>
      </c>
      <c r="N1820">
        <v>-1.481995E-2</v>
      </c>
      <c r="O1820">
        <v>-1.304653E-3</v>
      </c>
      <c r="P1820">
        <v>-0.9977724</v>
      </c>
      <c r="Q1820">
        <v>-6.663144E-2</v>
      </c>
      <c r="R1820">
        <v>-3.2537540000000002E-3</v>
      </c>
      <c r="S1820">
        <v>-3.0077820000000002</v>
      </c>
      <c r="T1820">
        <v>7.2840450000000003E-3</v>
      </c>
      <c r="U1820">
        <v>0.14120479999999899</v>
      </c>
      <c r="V1820">
        <v>-2.0455629999999998E-3</v>
      </c>
      <c r="W1820">
        <v>-5.1833509999999999E-2</v>
      </c>
      <c r="X1820">
        <v>0.99865369999999998</v>
      </c>
      <c r="Y1820">
        <v>4.8198699999999997E-2</v>
      </c>
      <c r="Z1820">
        <v>2.7655179999999999E-4</v>
      </c>
      <c r="AA1820">
        <v>0.99883770000000005</v>
      </c>
      <c r="AB1820">
        <v>37</v>
      </c>
      <c r="AC1820">
        <v>-3.0077820000000002</v>
      </c>
      <c r="AD1820">
        <v>7.2840450000000003E-3</v>
      </c>
      <c r="AE1820">
        <v>0.14120479999999899</v>
      </c>
      <c r="AF1820">
        <v>0.14512837304773599</v>
      </c>
      <c r="AG1820">
        <v>7.2840450000000003E-3</v>
      </c>
      <c r="AH1820">
        <v>3.0075775961248001</v>
      </c>
      <c r="AI1820">
        <v>89.861397031783298</v>
      </c>
      <c r="AJ1820">
        <v>87.237378566942795</v>
      </c>
      <c r="AK1820">
        <v>3.01108590025042</v>
      </c>
      <c r="AL1820">
        <v>92.9711726595405</v>
      </c>
      <c r="AM1820">
        <v>90.117359964436901</v>
      </c>
      <c r="AN1820">
        <v>1.0000000548052901</v>
      </c>
    </row>
    <row r="1821" spans="1:40" x14ac:dyDescent="0.25">
      <c r="A1821" t="str">
        <f>"20190303154458885"</f>
        <v>20190303154458885</v>
      </c>
      <c r="B1821" t="str">
        <f>"1551599098872776"</f>
        <v>1551599098872776</v>
      </c>
      <c r="C1821" t="s">
        <v>40</v>
      </c>
      <c r="D1821">
        <v>4.6121040000000004</v>
      </c>
      <c r="E1821">
        <v>0.5188043</v>
      </c>
      <c r="F1821" t="s">
        <v>45</v>
      </c>
      <c r="G1821">
        <v>0</v>
      </c>
      <c r="H1821">
        <v>0</v>
      </c>
      <c r="I1821">
        <v>0</v>
      </c>
      <c r="J1821">
        <v>-358.07479999999998</v>
      </c>
      <c r="K1821">
        <v>1.12019</v>
      </c>
      <c r="L1821">
        <v>284.36840000000001</v>
      </c>
      <c r="M1821">
        <v>-0.99989019999999995</v>
      </c>
      <c r="N1821">
        <v>-1.4815790000000001E-2</v>
      </c>
      <c r="O1821">
        <v>-5.1169129999999998E-4</v>
      </c>
      <c r="P1821">
        <v>-0.99776900000000002</v>
      </c>
      <c r="Q1821">
        <v>-6.6722829999999997E-2</v>
      </c>
      <c r="R1821">
        <v>-2.3883849999999998E-3</v>
      </c>
      <c r="S1821">
        <v>-3.007568</v>
      </c>
      <c r="T1821">
        <v>5.7377819999999899E-3</v>
      </c>
      <c r="U1821">
        <v>0.141113299999999</v>
      </c>
      <c r="V1821">
        <v>-1.972695E-3</v>
      </c>
      <c r="W1821">
        <v>-5.1929210000000003E-2</v>
      </c>
      <c r="X1821">
        <v>0.9986488</v>
      </c>
      <c r="Y1821">
        <v>4.7379520000000001E-2</v>
      </c>
      <c r="Z1821">
        <v>2.9746969999999999E-4</v>
      </c>
      <c r="AA1821">
        <v>0.99887689999999996</v>
      </c>
      <c r="AB1821">
        <v>37</v>
      </c>
      <c r="AC1821">
        <v>-3.007568</v>
      </c>
      <c r="AD1821">
        <v>5.7377819999999899E-3</v>
      </c>
      <c r="AE1821">
        <v>0.141113299999999</v>
      </c>
      <c r="AF1821">
        <v>0.14265187863581599</v>
      </c>
      <c r="AG1821">
        <v>5.7377819999999899E-3</v>
      </c>
      <c r="AH1821">
        <v>3.0074844697282601</v>
      </c>
      <c r="AI1821">
        <v>89.8908120372068</v>
      </c>
      <c r="AJ1821">
        <v>87.284365256090894</v>
      </c>
      <c r="AK1821">
        <v>3.0108711889214499</v>
      </c>
      <c r="AL1821">
        <v>92.976663482471594</v>
      </c>
      <c r="AM1821">
        <v>90.113179879406999</v>
      </c>
      <c r="AN1821">
        <v>0.99999998005911295</v>
      </c>
    </row>
    <row r="1822" spans="1:40" x14ac:dyDescent="0.25">
      <c r="A1822" t="str">
        <f>"20190303154458906"</f>
        <v>20190303154458906</v>
      </c>
      <c r="B1822" t="str">
        <f>"1551599098902055"</f>
        <v>1551599098902055</v>
      </c>
      <c r="C1822" t="s">
        <v>40</v>
      </c>
      <c r="D1822">
        <v>4.5762600000000004</v>
      </c>
      <c r="E1822">
        <v>0.51800539999999995</v>
      </c>
      <c r="F1822" t="s">
        <v>45</v>
      </c>
      <c r="G1822">
        <v>0</v>
      </c>
      <c r="H1822">
        <v>0</v>
      </c>
      <c r="I1822">
        <v>0</v>
      </c>
      <c r="J1822">
        <v>-358.43400000000003</v>
      </c>
      <c r="K1822">
        <v>1.120188</v>
      </c>
      <c r="L1822">
        <v>284.3689</v>
      </c>
      <c r="M1822">
        <v>-0.99989039999999996</v>
      </c>
      <c r="N1822">
        <v>-1.481178E-2</v>
      </c>
      <c r="O1822">
        <v>2.3773579999999999E-4</v>
      </c>
      <c r="P1822">
        <v>-0.99776909999999996</v>
      </c>
      <c r="Q1822">
        <v>-6.6746849999999996E-2</v>
      </c>
      <c r="R1822">
        <v>-1.331832E-3</v>
      </c>
      <c r="S1822">
        <v>-3.0072939999999999</v>
      </c>
      <c r="T1822">
        <v>3.733873E-3</v>
      </c>
      <c r="U1822">
        <v>0.13912959999999999</v>
      </c>
      <c r="V1822">
        <v>-1.6650720000000001E-3</v>
      </c>
      <c r="W1822">
        <v>-5.1957830000000003E-2</v>
      </c>
      <c r="X1822">
        <v>0.99864790000000003</v>
      </c>
      <c r="Y1822">
        <v>4.5977549999999999E-2</v>
      </c>
      <c r="Z1822">
        <v>3.1599079999999999E-4</v>
      </c>
      <c r="AA1822">
        <v>0.99894240000000001</v>
      </c>
      <c r="AB1822">
        <v>37</v>
      </c>
      <c r="AC1822">
        <v>-3.0072939999999999</v>
      </c>
      <c r="AD1822">
        <v>3.733873E-3</v>
      </c>
      <c r="AE1822">
        <v>0.13912959999999999</v>
      </c>
      <c r="AF1822">
        <v>0.13841436335487201</v>
      </c>
      <c r="AG1822">
        <v>3.733873E-3</v>
      </c>
      <c r="AH1822">
        <v>3.0073223685694899</v>
      </c>
      <c r="AI1822">
        <v>89.928937177147006</v>
      </c>
      <c r="AJ1822">
        <v>87.364776694887198</v>
      </c>
      <c r="AK1822">
        <v>3.0105083136056798</v>
      </c>
      <c r="AL1822">
        <v>92.978305420013399</v>
      </c>
      <c r="AM1822">
        <v>90.095530676808906</v>
      </c>
      <c r="AN1822">
        <v>1.0000000083687399</v>
      </c>
    </row>
    <row r="1823" spans="1:40" x14ac:dyDescent="0.25">
      <c r="A1823" t="str">
        <f>"20190303154458927"</f>
        <v>20190303154458927</v>
      </c>
      <c r="B1823" t="str">
        <f>"1551599098922552"</f>
        <v>1551599098922552</v>
      </c>
      <c r="C1823" t="s">
        <v>40</v>
      </c>
      <c r="D1823">
        <v>4.5858150000000002</v>
      </c>
      <c r="E1823">
        <v>0.51751789999999998</v>
      </c>
      <c r="F1823" t="s">
        <v>45</v>
      </c>
      <c r="G1823">
        <v>0</v>
      </c>
      <c r="H1823">
        <v>0</v>
      </c>
      <c r="I1823">
        <v>0</v>
      </c>
      <c r="J1823">
        <v>-358.7869</v>
      </c>
      <c r="K1823">
        <v>1.1201909999999999</v>
      </c>
      <c r="L1823">
        <v>284.3698</v>
      </c>
      <c r="M1823">
        <v>-0.9998899</v>
      </c>
      <c r="N1823">
        <v>-1.480772E-2</v>
      </c>
      <c r="O1823">
        <v>9.6647620000000004E-4</v>
      </c>
      <c r="P1823">
        <v>-0.99775199999999997</v>
      </c>
      <c r="Q1823">
        <v>-6.7017099999999996E-2</v>
      </c>
      <c r="R1823">
        <v>1.4994219999999901E-4</v>
      </c>
      <c r="S1823">
        <v>-3.0071110000000001</v>
      </c>
      <c r="T1823">
        <v>3.486276E-3</v>
      </c>
      <c r="U1823">
        <v>0.13571169999999999</v>
      </c>
      <c r="V1823">
        <v>-9.1029339999999998E-4</v>
      </c>
      <c r="W1823">
        <v>-5.2233769999999999E-2</v>
      </c>
      <c r="X1823">
        <v>0.99863449999999998</v>
      </c>
      <c r="Y1823">
        <v>4.4119220000000001E-2</v>
      </c>
      <c r="Z1823">
        <v>3.1669830000000002E-4</v>
      </c>
      <c r="AA1823">
        <v>0.99902619999999998</v>
      </c>
      <c r="AB1823">
        <v>37</v>
      </c>
      <c r="AC1823">
        <v>-3.0071110000000001</v>
      </c>
      <c r="AD1823">
        <v>3.486276E-3</v>
      </c>
      <c r="AE1823">
        <v>0.13571169999999999</v>
      </c>
      <c r="AF1823">
        <v>0.13280483859279199</v>
      </c>
      <c r="AG1823">
        <v>3.486276E-3</v>
      </c>
      <c r="AH1823">
        <v>3.00723673801921</v>
      </c>
      <c r="AI1823">
        <v>89.933641966877005</v>
      </c>
      <c r="AJ1823">
        <v>87.471361059631803</v>
      </c>
      <c r="AK1823">
        <v>3.0101697755718702</v>
      </c>
      <c r="AL1823">
        <v>92.994137050563097</v>
      </c>
      <c r="AM1823">
        <v>90.052227271832805</v>
      </c>
      <c r="AN1823">
        <v>1.0000000299763601</v>
      </c>
    </row>
    <row r="1824" spans="1:40" x14ac:dyDescent="0.25">
      <c r="A1824" t="str">
        <f>"20190303154458950"</f>
        <v>20190303154458950</v>
      </c>
      <c r="B1824" t="str">
        <f>"1551599098942072"</f>
        <v>1551599098942072</v>
      </c>
      <c r="C1824" t="s">
        <v>40</v>
      </c>
      <c r="D1824">
        <v>4.5933489999999999</v>
      </c>
      <c r="E1824">
        <v>0.51704300000000003</v>
      </c>
      <c r="F1824" t="s">
        <v>45</v>
      </c>
      <c r="G1824">
        <v>0</v>
      </c>
      <c r="H1824">
        <v>0</v>
      </c>
      <c r="I1824">
        <v>0</v>
      </c>
      <c r="J1824">
        <v>-359.15780000000001</v>
      </c>
      <c r="K1824">
        <v>1.1201939999999999</v>
      </c>
      <c r="L1824">
        <v>284.37090000000001</v>
      </c>
      <c r="M1824">
        <v>-0.99988900000000003</v>
      </c>
      <c r="N1824">
        <v>-1.480328E-2</v>
      </c>
      <c r="O1824">
        <v>1.7151460000000001E-3</v>
      </c>
      <c r="P1824">
        <v>-0.99772479999999997</v>
      </c>
      <c r="Q1824">
        <v>-6.7401349999999999E-2</v>
      </c>
      <c r="R1824">
        <v>1.485225E-3</v>
      </c>
      <c r="S1824">
        <v>-3.0068969999999999</v>
      </c>
      <c r="T1824">
        <v>2.1992919999999998E-3</v>
      </c>
      <c r="U1824">
        <v>0.13653560000000001</v>
      </c>
      <c r="V1824">
        <v>-3.212445E-4</v>
      </c>
      <c r="W1824">
        <v>-5.2623860000000001E-2</v>
      </c>
      <c r="X1824">
        <v>0.99861440000000001</v>
      </c>
      <c r="Y1824">
        <v>4.364755E-2</v>
      </c>
      <c r="Z1824">
        <v>3.339247E-4</v>
      </c>
      <c r="AA1824">
        <v>0.99904689999999996</v>
      </c>
      <c r="AB1824">
        <v>36</v>
      </c>
      <c r="AC1824">
        <v>-3.0068969999999999</v>
      </c>
      <c r="AD1824">
        <v>2.1992919999999998E-3</v>
      </c>
      <c r="AE1824">
        <v>0.13653560000000001</v>
      </c>
      <c r="AF1824">
        <v>0.13137749669837201</v>
      </c>
      <c r="AG1824">
        <v>2.1992919999999998E-3</v>
      </c>
      <c r="AH1824">
        <v>3.00712517502593</v>
      </c>
      <c r="AI1824">
        <v>89.958136082295795</v>
      </c>
      <c r="AJ1824">
        <v>87.498410627589706</v>
      </c>
      <c r="AK1824">
        <v>3.00999446873226</v>
      </c>
      <c r="AL1824">
        <v>93.016518291476402</v>
      </c>
      <c r="AM1824">
        <v>90.0184314920823</v>
      </c>
      <c r="AN1824">
        <v>1.0000000468633401</v>
      </c>
    </row>
    <row r="1825" spans="1:40" x14ac:dyDescent="0.25">
      <c r="A1825" t="str">
        <f>"20190303154458972"</f>
        <v>20190303154458972</v>
      </c>
      <c r="B1825" t="str">
        <f>"1551599098962568"</f>
        <v>1551599098962568</v>
      </c>
      <c r="C1825" t="s">
        <v>40</v>
      </c>
      <c r="D1825">
        <v>4.6030980000000001</v>
      </c>
      <c r="E1825">
        <v>0.51645189999999996</v>
      </c>
      <c r="F1825" t="s">
        <v>45</v>
      </c>
      <c r="G1825">
        <v>0</v>
      </c>
      <c r="H1825">
        <v>0</v>
      </c>
      <c r="I1825">
        <v>0</v>
      </c>
      <c r="J1825">
        <v>-359.51409999999998</v>
      </c>
      <c r="K1825">
        <v>1.1202080000000001</v>
      </c>
      <c r="L1825">
        <v>284.37220000000002</v>
      </c>
      <c r="M1825">
        <v>-0.99988759999999999</v>
      </c>
      <c r="N1825">
        <v>-1.479924E-2</v>
      </c>
      <c r="O1825">
        <v>2.4079010000000001E-3</v>
      </c>
      <c r="P1825">
        <v>-0.99770020000000004</v>
      </c>
      <c r="Q1825">
        <v>-6.7754919999999996E-2</v>
      </c>
      <c r="R1825">
        <v>1.949648E-3</v>
      </c>
      <c r="S1825">
        <v>-3.006653</v>
      </c>
      <c r="T1825">
        <v>1.8262859999999999E-4</v>
      </c>
      <c r="U1825">
        <v>0.13674929999999999</v>
      </c>
      <c r="V1825">
        <v>-5.4694179999999995E-4</v>
      </c>
      <c r="W1825">
        <v>-5.2981390000000003E-2</v>
      </c>
      <c r="X1825">
        <v>0.99859540000000002</v>
      </c>
      <c r="Y1825">
        <v>4.3029739999999997E-2</v>
      </c>
      <c r="Z1825">
        <v>3.5304470000000003E-4</v>
      </c>
      <c r="AA1825">
        <v>0.99907369999999995</v>
      </c>
      <c r="AB1825">
        <v>36</v>
      </c>
      <c r="AC1825">
        <v>-3.006653</v>
      </c>
      <c r="AD1825">
        <v>1.8262859999999999E-4</v>
      </c>
      <c r="AE1825">
        <v>0.13674929999999999</v>
      </c>
      <c r="AF1825">
        <v>0.12950838739363499</v>
      </c>
      <c r="AG1825">
        <v>1.8262859999999999E-4</v>
      </c>
      <c r="AH1825">
        <v>3.0069735855753299</v>
      </c>
      <c r="AI1825">
        <v>89.9965233627385</v>
      </c>
      <c r="AJ1825">
        <v>87.533832351167405</v>
      </c>
      <c r="AK1825">
        <v>3.0097612197824399</v>
      </c>
      <c r="AL1825">
        <v>93.037031858632801</v>
      </c>
      <c r="AM1825">
        <v>90.031381532145701</v>
      </c>
      <c r="AN1825">
        <v>1.0000000498664099</v>
      </c>
    </row>
    <row r="1826" spans="1:40" x14ac:dyDescent="0.25">
      <c r="A1826" t="str">
        <f>"20190303154458994"</f>
        <v>20190303154458994</v>
      </c>
      <c r="B1826" t="str">
        <f>"1551599098992824"</f>
        <v>1551599098992824</v>
      </c>
      <c r="C1826" t="s">
        <v>40</v>
      </c>
      <c r="D1826">
        <v>4.6498609999999996</v>
      </c>
      <c r="E1826">
        <v>0.50683279999999997</v>
      </c>
      <c r="F1826" t="s">
        <v>45</v>
      </c>
      <c r="G1826">
        <v>0</v>
      </c>
      <c r="H1826">
        <v>0</v>
      </c>
      <c r="I1826">
        <v>0</v>
      </c>
      <c r="J1826">
        <v>-359.87979999999999</v>
      </c>
      <c r="K1826">
        <v>1.1202350000000001</v>
      </c>
      <c r="L1826">
        <v>284.37369999999999</v>
      </c>
      <c r="M1826">
        <v>-0.99988580000000005</v>
      </c>
      <c r="N1826">
        <v>-1.479522E-2</v>
      </c>
      <c r="O1826">
        <v>3.080518E-3</v>
      </c>
      <c r="P1826">
        <v>-0.99766480000000002</v>
      </c>
      <c r="Q1826">
        <v>-6.8278770000000003E-2</v>
      </c>
      <c r="R1826">
        <v>1.710336E-3</v>
      </c>
      <c r="S1826">
        <v>-3.0064090000000001</v>
      </c>
      <c r="T1826">
        <v>-3.7357810000000001E-3</v>
      </c>
      <c r="U1826">
        <v>0.13357539999999901</v>
      </c>
      <c r="V1826">
        <v>-1.4544759999999999E-3</v>
      </c>
      <c r="W1826">
        <v>-5.3508229999999997E-2</v>
      </c>
      <c r="X1826">
        <v>0.99856630000000002</v>
      </c>
      <c r="Y1826">
        <v>4.1308280000000003E-2</v>
      </c>
      <c r="Z1826">
        <v>3.7313590000000001E-4</v>
      </c>
      <c r="AA1826">
        <v>0.99914639999999999</v>
      </c>
      <c r="AB1826">
        <v>36</v>
      </c>
      <c r="AC1826">
        <v>-3.0064090000000001</v>
      </c>
      <c r="AD1826">
        <v>-3.7357810000000001E-3</v>
      </c>
      <c r="AE1826">
        <v>0.13357539999999901</v>
      </c>
      <c r="AF1826">
        <v>0.124312263660147</v>
      </c>
      <c r="AG1826">
        <v>-3.7357810000000001E-3</v>
      </c>
      <c r="AH1826">
        <v>3.0068016249521698</v>
      </c>
      <c r="AI1826">
        <v>90.071125967830397</v>
      </c>
      <c r="AJ1826">
        <v>87.632529547517507</v>
      </c>
      <c r="AK1826">
        <v>3.0093726101582998</v>
      </c>
      <c r="AL1826">
        <v>93.067260749577301</v>
      </c>
      <c r="AM1826">
        <v>90.083454926597199</v>
      </c>
      <c r="AN1826">
        <v>0.99999995083692705</v>
      </c>
    </row>
    <row r="1827" spans="1:40" x14ac:dyDescent="0.25">
      <c r="A1827" t="str">
        <f>"20190303154459017"</f>
        <v>20190303154459017</v>
      </c>
      <c r="B1827" t="str">
        <f>"1551599099012344"</f>
        <v>1551599099012344</v>
      </c>
      <c r="C1827" t="s">
        <v>40</v>
      </c>
      <c r="D1827">
        <v>4.6473250000000004</v>
      </c>
      <c r="E1827">
        <v>0.50803829999999905</v>
      </c>
      <c r="F1827" t="s">
        <v>57</v>
      </c>
      <c r="G1827">
        <v>-411.70010000000002</v>
      </c>
      <c r="H1827" s="1">
        <v>2.4422309999999999E-6</v>
      </c>
      <c r="I1827">
        <v>285.36079999999998</v>
      </c>
      <c r="J1827">
        <v>-360.23970000000003</v>
      </c>
      <c r="K1827">
        <v>1.1202749999999999</v>
      </c>
      <c r="L1827">
        <v>284.37549999999999</v>
      </c>
      <c r="M1827">
        <v>-0.99988379999999999</v>
      </c>
      <c r="N1827">
        <v>-1.479128E-2</v>
      </c>
      <c r="O1827">
        <v>3.6904870000000001E-3</v>
      </c>
      <c r="P1827">
        <v>-0.99767119999999998</v>
      </c>
      <c r="Q1827">
        <v>-6.8198519999999999E-2</v>
      </c>
      <c r="R1827">
        <v>1.0961899999999999E-3</v>
      </c>
      <c r="S1827">
        <v>-3.0024410000000001</v>
      </c>
      <c r="T1827">
        <v>-6.4905760000000007E-2</v>
      </c>
      <c r="U1827">
        <v>5.7189940000000002E-2</v>
      </c>
      <c r="V1827">
        <v>-2.6720099999999998E-3</v>
      </c>
      <c r="W1827">
        <v>-5.3430020000000002E-2</v>
      </c>
      <c r="X1827">
        <v>0.99856800000000001</v>
      </c>
      <c r="Y1827">
        <v>1.534806E-2</v>
      </c>
      <c r="Z1827">
        <v>2.5422900000000002E-4</v>
      </c>
      <c r="AA1827">
        <v>0.99988220000000005</v>
      </c>
      <c r="AB1827">
        <v>36</v>
      </c>
      <c r="AC1827">
        <v>-51.4603999999999</v>
      </c>
      <c r="AD1827">
        <v>-1.12027255776899</v>
      </c>
      <c r="AE1827">
        <v>0.98529999999999496</v>
      </c>
      <c r="AF1827">
        <v>0.79498195836019903</v>
      </c>
      <c r="AG1827">
        <v>-1.12027255776899</v>
      </c>
      <c r="AH1827">
        <v>51.439317153868203</v>
      </c>
      <c r="AI1827">
        <v>91.2474715328635</v>
      </c>
      <c r="AJ1827">
        <v>89.114578350113405</v>
      </c>
      <c r="AK1827">
        <v>51.457655952968302</v>
      </c>
      <c r="AL1827">
        <v>93.062773141788497</v>
      </c>
      <c r="AM1827">
        <v>90.153314076182298</v>
      </c>
      <c r="AN1827">
        <v>0.99999997864932</v>
      </c>
    </row>
    <row r="1828" spans="1:40" x14ac:dyDescent="0.25">
      <c r="A1828" t="str">
        <f>"20190303154459039"</f>
        <v>20190303154459039</v>
      </c>
      <c r="B1828" t="str">
        <f>"1551599099032843"</f>
        <v>1551599099032843</v>
      </c>
      <c r="C1828" t="s">
        <v>40</v>
      </c>
      <c r="D1828">
        <v>4.6364450000000001</v>
      </c>
      <c r="E1828">
        <v>0.50804559999999999</v>
      </c>
      <c r="F1828" t="s">
        <v>57</v>
      </c>
      <c r="G1828">
        <v>-430.1259</v>
      </c>
      <c r="H1828" s="1">
        <v>2.1619610000000002E-6</v>
      </c>
      <c r="I1828">
        <v>285.8843</v>
      </c>
      <c r="J1828">
        <v>-360.60629999999998</v>
      </c>
      <c r="K1828">
        <v>1.1203259999999999</v>
      </c>
      <c r="L1828">
        <v>284.37740000000002</v>
      </c>
      <c r="M1828">
        <v>-0.99988169999999998</v>
      </c>
      <c r="N1828">
        <v>-1.478726E-2</v>
      </c>
      <c r="O1828">
        <v>4.2450489999999999E-3</v>
      </c>
      <c r="P1828">
        <v>-0.99767799999999995</v>
      </c>
      <c r="Q1828">
        <v>-6.810505E-2</v>
      </c>
      <c r="R1828">
        <v>7.0526889999999998E-4</v>
      </c>
      <c r="S1828">
        <v>-3.0036320000000001</v>
      </c>
      <c r="T1828">
        <v>-4.8148160000000002E-2</v>
      </c>
      <c r="U1828">
        <v>6.4849850000000001E-2</v>
      </c>
      <c r="V1828">
        <v>-3.6100500000000001E-3</v>
      </c>
      <c r="W1828">
        <v>-5.3339459999999998E-2</v>
      </c>
      <c r="X1828">
        <v>0.99856990000000001</v>
      </c>
      <c r="Y1828">
        <v>1.7336460000000001E-2</v>
      </c>
      <c r="Z1828">
        <v>2.61878E-4</v>
      </c>
      <c r="AA1828">
        <v>0.99984969999999995</v>
      </c>
      <c r="AB1828">
        <v>36</v>
      </c>
      <c r="AC1828">
        <v>-69.519599999999997</v>
      </c>
      <c r="AD1828">
        <v>-1.1203238380389999</v>
      </c>
      <c r="AE1828">
        <v>1.5068999999999699</v>
      </c>
      <c r="AF1828">
        <v>1.21142559486183</v>
      </c>
      <c r="AG1828">
        <v>-1.1203238380389999</v>
      </c>
      <c r="AH1828">
        <v>69.507328432808805</v>
      </c>
      <c r="AI1828">
        <v>90.923277110667996</v>
      </c>
      <c r="AJ1828">
        <v>89.001507486379893</v>
      </c>
      <c r="AK1828">
        <v>69.526911216738995</v>
      </c>
      <c r="AL1828">
        <v>93.057576998249203</v>
      </c>
      <c r="AM1828">
        <v>90.207135952841398</v>
      </c>
      <c r="AN1828">
        <v>0.99999998782005195</v>
      </c>
    </row>
    <row r="1829" spans="1:40" x14ac:dyDescent="0.25">
      <c r="A1829" t="str">
        <f>"20190303154459062"</f>
        <v>20190303154459062</v>
      </c>
      <c r="B1829" t="str">
        <f>"1551599099052361"</f>
        <v>1551599099052361</v>
      </c>
      <c r="C1829" t="s">
        <v>40</v>
      </c>
      <c r="D1829">
        <v>4.6933410000000002</v>
      </c>
      <c r="E1829">
        <v>0.50842399999999999</v>
      </c>
      <c r="F1829" t="s">
        <v>57</v>
      </c>
      <c r="G1829">
        <v>-432.01859999999999</v>
      </c>
      <c r="H1829" s="1">
        <v>3.0006440000000001E-6</v>
      </c>
      <c r="I1829">
        <v>285.89159999999998</v>
      </c>
      <c r="J1829">
        <v>-360.95870000000002</v>
      </c>
      <c r="K1829">
        <v>1.1203920000000001</v>
      </c>
      <c r="L1829">
        <v>284.3793</v>
      </c>
      <c r="M1829">
        <v>-0.99987969999999904</v>
      </c>
      <c r="N1829">
        <v>-1.478342E-2</v>
      </c>
      <c r="O1829">
        <v>4.7012159999999898E-3</v>
      </c>
      <c r="P1829">
        <v>-0.99762669999999998</v>
      </c>
      <c r="Q1829">
        <v>-6.8850620000000001E-2</v>
      </c>
      <c r="R1829">
        <v>9.6014120000000004E-4</v>
      </c>
      <c r="S1829">
        <v>-3.0037229999999999</v>
      </c>
      <c r="T1829">
        <v>-4.712272E-2</v>
      </c>
      <c r="U1829">
        <v>6.3690189999999994E-2</v>
      </c>
      <c r="V1829">
        <v>-3.8027400000000002E-3</v>
      </c>
      <c r="W1829">
        <v>-5.4089819999999997E-2</v>
      </c>
      <c r="X1829">
        <v>0.99852879999999999</v>
      </c>
      <c r="Y1829">
        <v>1.6494140000000001E-2</v>
      </c>
      <c r="Z1829">
        <v>2.4707080000000001E-4</v>
      </c>
      <c r="AA1829">
        <v>0.99986390000000003</v>
      </c>
      <c r="AB1829">
        <v>36</v>
      </c>
      <c r="AC1829">
        <v>-71.059899999999899</v>
      </c>
      <c r="AD1829">
        <v>-1.1203889993559999</v>
      </c>
      <c r="AE1829">
        <v>1.51229999999998</v>
      </c>
      <c r="AF1829">
        <v>1.1778861637548199</v>
      </c>
      <c r="AG1829">
        <v>-1.1203889993559999</v>
      </c>
      <c r="AH1829">
        <v>71.048570822262107</v>
      </c>
      <c r="AI1829">
        <v>90.903317579579607</v>
      </c>
      <c r="AJ1829">
        <v>89.050202936546896</v>
      </c>
      <c r="AK1829">
        <v>71.067166140283305</v>
      </c>
      <c r="AL1829">
        <v>93.100631682509004</v>
      </c>
      <c r="AM1829">
        <v>90.218200916439301</v>
      </c>
      <c r="AN1829">
        <v>0.99999996694428905</v>
      </c>
    </row>
    <row r="1830" spans="1:40" x14ac:dyDescent="0.25">
      <c r="A1830" t="str">
        <f>"20190303154459085"</f>
        <v>20190303154459085</v>
      </c>
      <c r="B1830" t="str">
        <f>"1551599099082615"</f>
        <v>1551599099082615</v>
      </c>
      <c r="C1830" t="s">
        <v>40</v>
      </c>
      <c r="D1830">
        <v>4.7236070000000003</v>
      </c>
      <c r="E1830">
        <v>0.50884719999999894</v>
      </c>
      <c r="F1830" t="s">
        <v>57</v>
      </c>
      <c r="G1830">
        <v>-429.73660000000001</v>
      </c>
      <c r="H1830" s="1">
        <v>2.1227660000000001E-6</v>
      </c>
      <c r="I1830">
        <v>285.92860000000002</v>
      </c>
      <c r="J1830">
        <v>-361.33749999999998</v>
      </c>
      <c r="K1830">
        <v>1.1204730000000001</v>
      </c>
      <c r="L1830">
        <v>284.38150000000002</v>
      </c>
      <c r="M1830">
        <v>-0.99987789999999999</v>
      </c>
      <c r="N1830">
        <v>-1.4779230000000001E-2</v>
      </c>
      <c r="O1830">
        <v>5.0822289999999997E-3</v>
      </c>
      <c r="P1830">
        <v>-0.99766730000000003</v>
      </c>
      <c r="Q1830">
        <v>-6.8251839999999994E-2</v>
      </c>
      <c r="R1830">
        <v>1.412719E-3</v>
      </c>
      <c r="S1830">
        <v>-3.0036619999999998</v>
      </c>
      <c r="T1830">
        <v>-4.8929569999999999E-2</v>
      </c>
      <c r="U1830">
        <v>6.7657469999999997E-2</v>
      </c>
      <c r="V1830">
        <v>-3.7195349999999999E-3</v>
      </c>
      <c r="W1830">
        <v>-5.349549E-2</v>
      </c>
      <c r="X1830">
        <v>0.99856109999999998</v>
      </c>
      <c r="Y1830">
        <v>1.7433089999999998E-2</v>
      </c>
      <c r="Z1830">
        <v>2.6316339999999999E-4</v>
      </c>
      <c r="AA1830">
        <v>0.99984799999999996</v>
      </c>
      <c r="AB1830">
        <v>36</v>
      </c>
      <c r="AC1830">
        <v>-68.399100000000004</v>
      </c>
      <c r="AD1830">
        <v>-1.120470877234</v>
      </c>
      <c r="AE1830">
        <v>1.5470999999999999</v>
      </c>
      <c r="AF1830">
        <v>1.1991005539983299</v>
      </c>
      <c r="AG1830">
        <v>-1.120470877234</v>
      </c>
      <c r="AH1830">
        <v>68.387737621090906</v>
      </c>
      <c r="AI1830">
        <v>90.938511019075193</v>
      </c>
      <c r="AJ1830">
        <v>88.995487144174405</v>
      </c>
      <c r="AK1830">
        <v>68.407426161612705</v>
      </c>
      <c r="AL1830">
        <v>93.066529798618703</v>
      </c>
      <c r="AM1830">
        <v>90.213419761314597</v>
      </c>
      <c r="AN1830">
        <v>0.99999993641208096</v>
      </c>
    </row>
    <row r="1831" spans="1:40" x14ac:dyDescent="0.25">
      <c r="A1831" t="str">
        <f>"20190303154459107"</f>
        <v>20190303154459107</v>
      </c>
      <c r="B1831" t="str">
        <f>"1551599099102136"</f>
        <v>1551599099102136</v>
      </c>
      <c r="C1831" t="s">
        <v>40</v>
      </c>
      <c r="D1831">
        <v>4.7224629999999896</v>
      </c>
      <c r="E1831">
        <v>0.50897629999999905</v>
      </c>
      <c r="F1831" t="s">
        <v>57</v>
      </c>
      <c r="G1831">
        <v>-438.44810000000001</v>
      </c>
      <c r="H1831" s="1">
        <v>5.8216399999999997E-6</v>
      </c>
      <c r="I1831">
        <v>286.23739999999998</v>
      </c>
      <c r="J1831">
        <v>-361.70409999999998</v>
      </c>
      <c r="K1831">
        <v>1.1205590000000001</v>
      </c>
      <c r="L1831">
        <v>284.38369999999998</v>
      </c>
      <c r="M1831">
        <v>-0.9998766</v>
      </c>
      <c r="N1831">
        <v>-1.4775079999999999E-2</v>
      </c>
      <c r="O1831">
        <v>5.3512129999999996E-3</v>
      </c>
      <c r="P1831">
        <v>-0.99767729999999999</v>
      </c>
      <c r="Q1831">
        <v>-6.8078199999999894E-2</v>
      </c>
      <c r="R1831">
        <v>2.4012529999999999E-3</v>
      </c>
      <c r="S1831">
        <v>-3.0039370000000001</v>
      </c>
      <c r="T1831">
        <v>-4.3649199999999999E-2</v>
      </c>
      <c r="U1831">
        <v>7.2296139999999995E-2</v>
      </c>
      <c r="V1831">
        <v>-2.9881930000000001E-3</v>
      </c>
      <c r="W1831">
        <v>-5.3327239999999998E-2</v>
      </c>
      <c r="X1831">
        <v>0.99857260000000003</v>
      </c>
      <c r="Y1831">
        <v>1.8705590000000001E-2</v>
      </c>
      <c r="Z1831">
        <v>2.7542529999999998E-4</v>
      </c>
      <c r="AA1831">
        <v>0.99982499999999996</v>
      </c>
      <c r="AB1831">
        <v>36</v>
      </c>
      <c r="AC1831">
        <v>-76.744</v>
      </c>
      <c r="AD1831">
        <v>-1.12055317836</v>
      </c>
      <c r="AE1831">
        <v>1.8536999999999999</v>
      </c>
      <c r="AF1831">
        <v>1.44264777606337</v>
      </c>
      <c r="AG1831">
        <v>-1.12055317836</v>
      </c>
      <c r="AH1831">
        <v>76.736471319857699</v>
      </c>
      <c r="AI1831">
        <v>90.8364609851496</v>
      </c>
      <c r="AJ1831">
        <v>88.922964643329294</v>
      </c>
      <c r="AK1831">
        <v>76.7582106530282</v>
      </c>
      <c r="AL1831">
        <v>93.0568758678574</v>
      </c>
      <c r="AM1831">
        <v>90.171455071186401</v>
      </c>
      <c r="AN1831">
        <v>0.99999998064709095</v>
      </c>
    </row>
    <row r="1832" spans="1:40" x14ac:dyDescent="0.25">
      <c r="A1832" t="str">
        <f>"20190303154459129"</f>
        <v>20190303154459129</v>
      </c>
      <c r="B1832" t="str">
        <f>"1551599099122632"</f>
        <v>1551599099122632</v>
      </c>
      <c r="C1832" t="s">
        <v>40</v>
      </c>
      <c r="D1832">
        <v>4.7853260000000004</v>
      </c>
      <c r="E1832">
        <v>0.49320910000000001</v>
      </c>
      <c r="F1832" t="s">
        <v>55</v>
      </c>
      <c r="G1832">
        <v>-442.58780000000002</v>
      </c>
      <c r="H1832" s="1">
        <v>-2.3933509999999998E-7</v>
      </c>
      <c r="I1832">
        <v>286.43799999999999</v>
      </c>
      <c r="J1832">
        <v>-362.05700000000002</v>
      </c>
      <c r="K1832">
        <v>1.120638</v>
      </c>
      <c r="L1832">
        <v>284.38580000000002</v>
      </c>
      <c r="M1832">
        <v>-0.99987559999999998</v>
      </c>
      <c r="N1832">
        <v>-1.477119E-2</v>
      </c>
      <c r="O1832">
        <v>5.5298119999999899E-3</v>
      </c>
      <c r="P1832">
        <v>-0.99769160000000001</v>
      </c>
      <c r="Q1832">
        <v>-6.7862389999999995E-2</v>
      </c>
      <c r="R1832">
        <v>2.4497030000000001E-3</v>
      </c>
      <c r="S1832">
        <v>-3.0039980000000002</v>
      </c>
      <c r="T1832">
        <v>-4.1617269999999998E-2</v>
      </c>
      <c r="U1832">
        <v>7.6293949999999999E-2</v>
      </c>
      <c r="V1832">
        <v>-3.1082190000000002E-3</v>
      </c>
      <c r="W1832">
        <v>-5.3115599999999902E-2</v>
      </c>
      <c r="X1832">
        <v>0.99858360000000002</v>
      </c>
      <c r="Y1832">
        <v>1.9856329999999998E-2</v>
      </c>
      <c r="Z1832">
        <v>2.8929569999999998E-4</v>
      </c>
      <c r="AA1832">
        <v>0.99980279999999999</v>
      </c>
      <c r="AB1832">
        <v>36</v>
      </c>
      <c r="AC1832">
        <v>-80.530799999999999</v>
      </c>
      <c r="AD1832">
        <v>-1.1206382393351</v>
      </c>
      <c r="AE1832">
        <v>2.0521999999999698</v>
      </c>
      <c r="AF1832">
        <v>1.6064889510563001</v>
      </c>
      <c r="AG1832">
        <v>-1.1206382393351</v>
      </c>
      <c r="AH1832">
        <v>80.525334743161693</v>
      </c>
      <c r="AI1832">
        <v>90.797151924840406</v>
      </c>
      <c r="AJ1832">
        <v>88.857094746338902</v>
      </c>
      <c r="AK1832">
        <v>80.549153765335006</v>
      </c>
      <c r="AL1832">
        <v>93.044732315135207</v>
      </c>
      <c r="AM1832">
        <v>90.178339855945893</v>
      </c>
      <c r="AN1832">
        <v>1.00000006708883</v>
      </c>
    </row>
    <row r="1833" spans="1:40" x14ac:dyDescent="0.25">
      <c r="A1833" t="str">
        <f>"20190303154459150"</f>
        <v>20190303154459150</v>
      </c>
      <c r="B1833" t="str">
        <f>"1551599099142151"</f>
        <v>1551599099142151</v>
      </c>
      <c r="C1833" t="s">
        <v>40</v>
      </c>
      <c r="D1833">
        <v>4.794232</v>
      </c>
      <c r="E1833">
        <v>0.48938019999999999</v>
      </c>
      <c r="F1833" t="s">
        <v>57</v>
      </c>
      <c r="G1833">
        <v>-401.97550000000001</v>
      </c>
      <c r="H1833" s="1">
        <v>7.7081029999999998E-6</v>
      </c>
      <c r="I1833">
        <v>283.73599999999999</v>
      </c>
      <c r="J1833">
        <v>-362.40089999999998</v>
      </c>
      <c r="K1833">
        <v>1.1207039999999999</v>
      </c>
      <c r="L1833">
        <v>284.38780000000003</v>
      </c>
      <c r="M1833">
        <v>-0.99987519999999996</v>
      </c>
      <c r="N1833">
        <v>-1.476747E-2</v>
      </c>
      <c r="O1833">
        <v>5.6371059999999898E-3</v>
      </c>
      <c r="P1833">
        <v>-0.99771310000000002</v>
      </c>
      <c r="Q1833">
        <v>-6.7553760000000004E-2</v>
      </c>
      <c r="R1833">
        <v>2.3562879999999998E-3</v>
      </c>
      <c r="S1833">
        <v>-3.0013429999999999</v>
      </c>
      <c r="T1833">
        <v>-8.4256529999999996E-2</v>
      </c>
      <c r="U1833">
        <v>-4.8858640000000002E-2</v>
      </c>
      <c r="V1833">
        <v>-3.2996900000000001E-3</v>
      </c>
      <c r="W1833">
        <v>-5.2810780000000002E-2</v>
      </c>
      <c r="X1833">
        <v>0.99859909999999996</v>
      </c>
      <c r="Y1833">
        <v>-2.189982E-2</v>
      </c>
      <c r="Z1833">
        <v>-5.4405920000000002E-4</v>
      </c>
      <c r="AA1833">
        <v>0.99975999999999998</v>
      </c>
      <c r="AB1833">
        <v>36</v>
      </c>
      <c r="AC1833">
        <v>-39.574599999999997</v>
      </c>
      <c r="AD1833">
        <v>-1.120696291897</v>
      </c>
      <c r="AE1833">
        <v>-0.65180000000003602</v>
      </c>
      <c r="AF1833">
        <v>-0.87419928879630104</v>
      </c>
      <c r="AG1833">
        <v>-1.120696291897</v>
      </c>
      <c r="AH1833">
        <v>39.538597360317901</v>
      </c>
      <c r="AI1833">
        <v>91.623181089586495</v>
      </c>
      <c r="AJ1833">
        <v>91.266604623277104</v>
      </c>
      <c r="AK1833">
        <v>39.564136105778204</v>
      </c>
      <c r="AL1833">
        <v>93.027243029096397</v>
      </c>
      <c r="AM1833">
        <v>90.189322845000305</v>
      </c>
      <c r="AN1833">
        <v>1.00000001447955</v>
      </c>
    </row>
    <row r="1834" spans="1:40" x14ac:dyDescent="0.25">
      <c r="A1834" t="str">
        <f>"20190303154459173"</f>
        <v>20190303154459173</v>
      </c>
      <c r="B1834" t="str">
        <f>"1551599099162648"</f>
        <v>1551599099162648</v>
      </c>
      <c r="C1834" t="s">
        <v>40</v>
      </c>
      <c r="D1834">
        <v>4.780996</v>
      </c>
      <c r="E1834">
        <v>0.48848049999999998</v>
      </c>
      <c r="F1834" t="s">
        <v>55</v>
      </c>
      <c r="G1834">
        <v>-398.80070000000001</v>
      </c>
      <c r="H1834" s="1">
        <v>3.146497E-6</v>
      </c>
      <c r="I1834">
        <v>283.4239</v>
      </c>
      <c r="J1834">
        <v>-362.76330000000002</v>
      </c>
      <c r="K1834">
        <v>1.120765</v>
      </c>
      <c r="L1834">
        <v>284.39</v>
      </c>
      <c r="M1834">
        <v>-0.99987490000000001</v>
      </c>
      <c r="N1834">
        <v>-1.4763500000000001E-2</v>
      </c>
      <c r="O1834">
        <v>5.6878639999999999E-3</v>
      </c>
      <c r="P1834">
        <v>-0.99774209999999997</v>
      </c>
      <c r="Q1834">
        <v>-6.7138630000000005E-2</v>
      </c>
      <c r="R1834">
        <v>1.8780629999999999E-3</v>
      </c>
      <c r="S1834">
        <v>-3.0008240000000002</v>
      </c>
      <c r="T1834">
        <v>-9.2391490000000007E-2</v>
      </c>
      <c r="U1834">
        <v>-7.9467769999999993E-2</v>
      </c>
      <c r="V1834">
        <v>-3.820702E-3</v>
      </c>
      <c r="W1834">
        <v>-5.2399550000000003E-2</v>
      </c>
      <c r="X1834">
        <v>0.99861889999999998</v>
      </c>
      <c r="Y1834">
        <v>-3.2135520000000001E-2</v>
      </c>
      <c r="Z1834">
        <v>-8.2295699999999905E-4</v>
      </c>
      <c r="AA1834">
        <v>0.99948320000000002</v>
      </c>
      <c r="AB1834">
        <v>36</v>
      </c>
      <c r="AC1834">
        <v>-36.037399999999899</v>
      </c>
      <c r="AD1834">
        <v>-1.1207618535029999</v>
      </c>
      <c r="AE1834">
        <v>-0.96609999999998297</v>
      </c>
      <c r="AF1834">
        <v>-1.1699517541283599</v>
      </c>
      <c r="AG1834">
        <v>-1.1207618535029999</v>
      </c>
      <c r="AH1834">
        <v>35.996530166709299</v>
      </c>
      <c r="AI1834">
        <v>91.7824031404393</v>
      </c>
      <c r="AJ1834">
        <v>91.861560224668906</v>
      </c>
      <c r="AK1834">
        <v>36.032972098927203</v>
      </c>
      <c r="AL1834">
        <v>93.003648633207902</v>
      </c>
      <c r="AM1834">
        <v>90.219211784634595</v>
      </c>
      <c r="AN1834">
        <v>1.0000000090205901</v>
      </c>
    </row>
    <row r="1835" spans="1:40" x14ac:dyDescent="0.25">
      <c r="A1835" t="str">
        <f>"20190303154459196"</f>
        <v>20190303154459196</v>
      </c>
      <c r="B1835" t="str">
        <f>"1551599099191928"</f>
        <v>1551599099191928</v>
      </c>
      <c r="C1835" t="s">
        <v>40</v>
      </c>
      <c r="D1835">
        <v>4.7850099999999998</v>
      </c>
      <c r="E1835">
        <v>0.48794979999999899</v>
      </c>
      <c r="F1835" t="s">
        <v>55</v>
      </c>
      <c r="G1835">
        <v>-399.35809999999998</v>
      </c>
      <c r="H1835" s="1">
        <v>3.44311E-6</v>
      </c>
      <c r="I1835">
        <v>283.31700000000001</v>
      </c>
      <c r="J1835">
        <v>-363.13159999999999</v>
      </c>
      <c r="K1835">
        <v>1.1208260000000001</v>
      </c>
      <c r="L1835">
        <v>284.39210000000003</v>
      </c>
      <c r="M1835">
        <v>-0.99987510000000002</v>
      </c>
      <c r="N1835">
        <v>-1.4759370000000001E-2</v>
      </c>
      <c r="O1835">
        <v>5.6737439999999997E-3</v>
      </c>
      <c r="P1835">
        <v>-0.99772740000000004</v>
      </c>
      <c r="Q1835">
        <v>-6.7359660000000002E-2</v>
      </c>
      <c r="R1835">
        <v>1.782821E-3</v>
      </c>
      <c r="S1835">
        <v>-3.0007320000000002</v>
      </c>
      <c r="T1835">
        <v>-9.1901300000000005E-2</v>
      </c>
      <c r="U1835">
        <v>-8.7982179999999993E-2</v>
      </c>
      <c r="V1835">
        <v>-3.8939869999999998E-3</v>
      </c>
      <c r="W1835">
        <v>-5.2625419999999999E-2</v>
      </c>
      <c r="X1835">
        <v>0.99860669999999996</v>
      </c>
      <c r="Y1835">
        <v>-3.4954100000000002E-2</v>
      </c>
      <c r="Z1835">
        <v>-8.831008E-4</v>
      </c>
      <c r="AA1835">
        <v>0.99938850000000001</v>
      </c>
      <c r="AB1835">
        <v>36</v>
      </c>
      <c r="AC1835">
        <v>-36.226499999999902</v>
      </c>
      <c r="AD1835">
        <v>-1.1208225568899901</v>
      </c>
      <c r="AE1835">
        <v>-1.0751000000000199</v>
      </c>
      <c r="AF1835">
        <v>-1.27942130838157</v>
      </c>
      <c r="AG1835">
        <v>-1.1208225568899901</v>
      </c>
      <c r="AH1835">
        <v>36.1852088121938</v>
      </c>
      <c r="AI1835">
        <v>91.773039671175297</v>
      </c>
      <c r="AJ1835">
        <v>92.024996364182599</v>
      </c>
      <c r="AK1835">
        <v>36.225163890180603</v>
      </c>
      <c r="AL1835">
        <v>93.016608030123805</v>
      </c>
      <c r="AM1835">
        <v>90.2234191797058</v>
      </c>
      <c r="AN1835">
        <v>0.99999996962491</v>
      </c>
    </row>
    <row r="1836" spans="1:40" x14ac:dyDescent="0.25">
      <c r="A1836" t="str">
        <f>"20190303154459218"</f>
        <v>20190303154459218</v>
      </c>
      <c r="B1836" t="str">
        <f>"1551599099212424"</f>
        <v>1551599099212424</v>
      </c>
      <c r="C1836" t="s">
        <v>40</v>
      </c>
      <c r="D1836">
        <v>4.8123370000000003</v>
      </c>
      <c r="E1836">
        <v>0.48775079999999998</v>
      </c>
      <c r="F1836" t="s">
        <v>55</v>
      </c>
      <c r="G1836">
        <v>-398.58170000000001</v>
      </c>
      <c r="H1836" s="1">
        <v>3.029939E-6</v>
      </c>
      <c r="I1836">
        <v>283.29930000000002</v>
      </c>
      <c r="J1836">
        <v>-363.48570000000001</v>
      </c>
      <c r="K1836">
        <v>1.1208819999999999</v>
      </c>
      <c r="L1836">
        <v>284.39409999999998</v>
      </c>
      <c r="M1836">
        <v>-0.99987550000000003</v>
      </c>
      <c r="N1836">
        <v>-1.475537E-2</v>
      </c>
      <c r="O1836">
        <v>5.5975640000000002E-3</v>
      </c>
      <c r="P1836">
        <v>-0.99772470000000002</v>
      </c>
      <c r="Q1836">
        <v>-6.7405339999999994E-2</v>
      </c>
      <c r="R1836">
        <v>1.595506E-3</v>
      </c>
      <c r="S1836">
        <v>-3.0005799999999998</v>
      </c>
      <c r="T1836">
        <v>-9.4869259999999997E-2</v>
      </c>
      <c r="U1836">
        <v>-9.2498780000000003E-2</v>
      </c>
      <c r="V1836">
        <v>-3.9977820000000001E-3</v>
      </c>
      <c r="W1836">
        <v>-5.2675689999999997E-2</v>
      </c>
      <c r="X1836">
        <v>0.99860360000000004</v>
      </c>
      <c r="Y1836">
        <v>-3.6379920000000003E-2</v>
      </c>
      <c r="Z1836">
        <v>-9.3773610000000003E-4</v>
      </c>
      <c r="AA1836">
        <v>0.99933760000000005</v>
      </c>
      <c r="AB1836">
        <v>36</v>
      </c>
      <c r="AC1836">
        <v>-35.095999999999997</v>
      </c>
      <c r="AD1836">
        <v>-1.120878970061</v>
      </c>
      <c r="AE1836">
        <v>-1.09479999999996</v>
      </c>
      <c r="AF1836">
        <v>-1.2899418655628301</v>
      </c>
      <c r="AG1836">
        <v>-1.120878970061</v>
      </c>
      <c r="AH1836">
        <v>35.053601088224198</v>
      </c>
      <c r="AI1836">
        <v>91.830236044583401</v>
      </c>
      <c r="AJ1836">
        <v>92.107483623034298</v>
      </c>
      <c r="AK1836">
        <v>35.095231427281</v>
      </c>
      <c r="AL1836">
        <v>93.019492408508597</v>
      </c>
      <c r="AM1836">
        <v>90.229375111738193</v>
      </c>
      <c r="AN1836">
        <v>0.999999930255425</v>
      </c>
    </row>
    <row r="1837" spans="1:40" x14ac:dyDescent="0.25">
      <c r="A1837" t="str">
        <f>"20190303154459240"</f>
        <v>20190303154459240</v>
      </c>
      <c r="B1837" t="str">
        <f>"1551599099231944"</f>
        <v>1551599099231944</v>
      </c>
      <c r="C1837" t="s">
        <v>40</v>
      </c>
      <c r="D1837">
        <v>4.8032879999999896</v>
      </c>
      <c r="E1837">
        <v>0.48758980000000002</v>
      </c>
      <c r="F1837" t="s">
        <v>55</v>
      </c>
      <c r="G1837">
        <v>-398.0797</v>
      </c>
      <c r="H1837" s="1">
        <v>2.762844E-6</v>
      </c>
      <c r="I1837">
        <v>283.30549999999999</v>
      </c>
      <c r="J1837">
        <v>-363.83679999999998</v>
      </c>
      <c r="K1837">
        <v>1.120949</v>
      </c>
      <c r="L1837">
        <v>284.39600000000002</v>
      </c>
      <c r="M1837">
        <v>-0.9998764</v>
      </c>
      <c r="N1837">
        <v>-1.4751469999999999E-2</v>
      </c>
      <c r="O1837">
        <v>5.4641530000000002E-3</v>
      </c>
      <c r="P1837">
        <v>-0.99770499999999995</v>
      </c>
      <c r="Q1837">
        <v>-6.7694379999999998E-2</v>
      </c>
      <c r="R1837">
        <v>1.680932E-3</v>
      </c>
      <c r="S1837">
        <v>-3.0004879999999998</v>
      </c>
      <c r="T1837">
        <v>-9.721863E-2</v>
      </c>
      <c r="U1837">
        <v>-9.4421389999999994E-2</v>
      </c>
      <c r="V1837">
        <v>-3.7710650000000001E-3</v>
      </c>
      <c r="W1837">
        <v>-5.2969490000000001E-2</v>
      </c>
      <c r="X1837">
        <v>0.99858899999999995</v>
      </c>
      <c r="Y1837">
        <v>-3.6885670000000002E-2</v>
      </c>
      <c r="Z1837">
        <v>-9.658863E-4</v>
      </c>
      <c r="AA1837">
        <v>0.99931899999999996</v>
      </c>
      <c r="AB1837">
        <v>36</v>
      </c>
      <c r="AC1837">
        <v>-34.242899999999999</v>
      </c>
      <c r="AD1837">
        <v>-1.1209462371559999</v>
      </c>
      <c r="AE1837">
        <v>-1.0904999999999601</v>
      </c>
      <c r="AF1837">
        <v>-1.2762462701841299</v>
      </c>
      <c r="AG1837">
        <v>-1.1209462371559999</v>
      </c>
      <c r="AH1837">
        <v>34.199818344003901</v>
      </c>
      <c r="AI1837">
        <v>91.875971343779497</v>
      </c>
      <c r="AJ1837">
        <v>92.137134441795894</v>
      </c>
      <c r="AK1837">
        <v>34.241975699010403</v>
      </c>
      <c r="AL1837">
        <v>93.036349264029795</v>
      </c>
      <c r="AM1837">
        <v>90.216370380267904</v>
      </c>
      <c r="AN1837">
        <v>0.99999998936154699</v>
      </c>
    </row>
    <row r="1838" spans="1:40" x14ac:dyDescent="0.25">
      <c r="A1838" t="str">
        <f>"20190303154459263"</f>
        <v>20190303154459263</v>
      </c>
      <c r="B1838" t="str">
        <f>"1551599099252440"</f>
        <v>1551599099252440</v>
      </c>
      <c r="C1838" t="s">
        <v>40</v>
      </c>
      <c r="D1838">
        <v>4.7946309999999999</v>
      </c>
      <c r="E1838">
        <v>0.48748599999999997</v>
      </c>
      <c r="F1838" t="s">
        <v>55</v>
      </c>
      <c r="G1838">
        <v>-397.59840000000003</v>
      </c>
      <c r="H1838" s="1">
        <v>2.5067129999999998E-6</v>
      </c>
      <c r="I1838">
        <v>283.32249999999999</v>
      </c>
      <c r="J1838">
        <v>-364.18819999999999</v>
      </c>
      <c r="K1838">
        <v>1.1210169999999999</v>
      </c>
      <c r="L1838">
        <v>284.39780000000002</v>
      </c>
      <c r="M1838">
        <v>-0.99987729999999997</v>
      </c>
      <c r="N1838">
        <v>-1.4747720000000001E-2</v>
      </c>
      <c r="O1838">
        <v>5.2760699999999999E-3</v>
      </c>
      <c r="P1838">
        <v>-0.9977028</v>
      </c>
      <c r="Q1838">
        <v>-6.7720329999999995E-2</v>
      </c>
      <c r="R1838">
        <v>1.752031E-3</v>
      </c>
      <c r="S1838">
        <v>-3.0002749999999998</v>
      </c>
      <c r="T1838">
        <v>-9.9614499999999995E-2</v>
      </c>
      <c r="U1838">
        <v>-9.5397949999999995E-2</v>
      </c>
      <c r="V1838">
        <v>-3.5044070000000002E-3</v>
      </c>
      <c r="W1838">
        <v>-5.2999749999999998E-2</v>
      </c>
      <c r="X1838">
        <v>0.99858840000000004</v>
      </c>
      <c r="Y1838">
        <v>-3.7023540000000001E-2</v>
      </c>
      <c r="Z1838">
        <v>-9.8480269999999992E-4</v>
      </c>
      <c r="AA1838">
        <v>0.99931389999999998</v>
      </c>
      <c r="AB1838">
        <v>36</v>
      </c>
      <c r="AC1838">
        <v>-33.410200000000003</v>
      </c>
      <c r="AD1838">
        <v>-1.1210144932870001</v>
      </c>
      <c r="AE1838">
        <v>-1.0753000000000199</v>
      </c>
      <c r="AF1838">
        <v>-1.25017276326022</v>
      </c>
      <c r="AG1838">
        <v>-1.1210144932870001</v>
      </c>
      <c r="AH1838">
        <v>33.366535462671699</v>
      </c>
      <c r="AI1838">
        <v>91.922892577418907</v>
      </c>
      <c r="AJ1838">
        <v>92.145746669485106</v>
      </c>
      <c r="AK1838">
        <v>33.408760740468701</v>
      </c>
      <c r="AL1838">
        <v>93.038085369352899</v>
      </c>
      <c r="AM1838">
        <v>90.201070737981198</v>
      </c>
      <c r="AN1838">
        <v>1.0000000234915201</v>
      </c>
    </row>
    <row r="1839" spans="1:40" x14ac:dyDescent="0.25">
      <c r="A1839" t="str">
        <f>"20190303154459287"</f>
        <v>20190303154459287</v>
      </c>
      <c r="B1839" t="str">
        <f>"1551599099282696"</f>
        <v>1551599099282696</v>
      </c>
      <c r="C1839" t="s">
        <v>40</v>
      </c>
      <c r="D1839">
        <v>4.7923730000000004</v>
      </c>
      <c r="E1839">
        <v>0.48736279999999998</v>
      </c>
      <c r="F1839" t="s">
        <v>55</v>
      </c>
      <c r="G1839">
        <v>-397.5711</v>
      </c>
      <c r="H1839" s="1">
        <v>2.4921970000000002E-6</v>
      </c>
      <c r="I1839">
        <v>283.3295</v>
      </c>
      <c r="J1839">
        <v>-364.577</v>
      </c>
      <c r="K1839">
        <v>1.1210830000000001</v>
      </c>
      <c r="L1839">
        <v>284.39960000000002</v>
      </c>
      <c r="M1839">
        <v>-0.99987890000000001</v>
      </c>
      <c r="N1839">
        <v>-1.474342E-2</v>
      </c>
      <c r="O1839">
        <v>5.011705E-3</v>
      </c>
      <c r="P1839">
        <v>-0.99772059999999996</v>
      </c>
      <c r="Q1839">
        <v>-6.7448659999999994E-2</v>
      </c>
      <c r="R1839">
        <v>2.2005779999999999E-3</v>
      </c>
      <c r="S1839">
        <v>-3.0002439999999999</v>
      </c>
      <c r="T1839">
        <v>-0.10074950000000001</v>
      </c>
      <c r="U1839">
        <v>-9.6008300000000005E-2</v>
      </c>
      <c r="V1839">
        <v>-2.78401E-3</v>
      </c>
      <c r="W1839">
        <v>-5.2732389999999997E-2</v>
      </c>
      <c r="X1839">
        <v>0.99860479999999996</v>
      </c>
      <c r="Y1839">
        <v>-3.6962219999999997E-2</v>
      </c>
      <c r="Z1839">
        <v>-9.8728550000000003E-4</v>
      </c>
      <c r="AA1839">
        <v>0.99931619999999999</v>
      </c>
      <c r="AB1839">
        <v>36</v>
      </c>
      <c r="AC1839">
        <v>-32.994100000000003</v>
      </c>
      <c r="AD1839">
        <v>-1.1210805078029999</v>
      </c>
      <c r="AE1839">
        <v>-1.07010000000002</v>
      </c>
      <c r="AF1839">
        <v>-1.2340379807216499</v>
      </c>
      <c r="AG1839">
        <v>-1.1210805078029999</v>
      </c>
      <c r="AH1839">
        <v>32.950320148567897</v>
      </c>
      <c r="AI1839">
        <v>91.947278978967205</v>
      </c>
      <c r="AJ1839">
        <v>92.144808857843799</v>
      </c>
      <c r="AK1839">
        <v>32.992472916348099</v>
      </c>
      <c r="AL1839">
        <v>93.0227453863791</v>
      </c>
      <c r="AM1839">
        <v>90.159734471395694</v>
      </c>
      <c r="AN1839">
        <v>1.0000000011249099</v>
      </c>
    </row>
    <row r="1840" spans="1:40" x14ac:dyDescent="0.25">
      <c r="A1840" t="str">
        <f>"20190303154459309"</f>
        <v>20190303154459309</v>
      </c>
      <c r="B1840" t="str">
        <f>"1551599099302216"</f>
        <v>1551599099302216</v>
      </c>
      <c r="C1840" t="s">
        <v>40</v>
      </c>
      <c r="D1840">
        <v>4.8004930000000003</v>
      </c>
      <c r="E1840">
        <v>0.4872647</v>
      </c>
      <c r="F1840" t="s">
        <v>55</v>
      </c>
      <c r="G1840">
        <v>-398.38780000000003</v>
      </c>
      <c r="H1840" s="1">
        <v>2.9267549999999999E-6</v>
      </c>
      <c r="I1840">
        <v>283.32249999999999</v>
      </c>
      <c r="J1840">
        <v>-364.92540000000002</v>
      </c>
      <c r="K1840">
        <v>1.1211279999999999</v>
      </c>
      <c r="L1840">
        <v>284.40109999999999</v>
      </c>
      <c r="M1840">
        <v>-0.99988010000000005</v>
      </c>
      <c r="N1840">
        <v>-1.4739489999999999E-2</v>
      </c>
      <c r="O1840">
        <v>4.739956E-3</v>
      </c>
      <c r="P1840">
        <v>-0.99773469999999997</v>
      </c>
      <c r="Q1840">
        <v>-6.7233119999999993E-2</v>
      </c>
      <c r="R1840">
        <v>2.3153729999999999E-3</v>
      </c>
      <c r="S1840">
        <v>-3.0003359999999999</v>
      </c>
      <c r="T1840">
        <v>-9.948361E-2</v>
      </c>
      <c r="U1840">
        <v>-9.5581050000000001E-2</v>
      </c>
      <c r="V1840">
        <v>-2.392623E-3</v>
      </c>
      <c r="W1840">
        <v>-5.2520709999999998E-2</v>
      </c>
      <c r="X1840">
        <v>0.99861699999999998</v>
      </c>
      <c r="Y1840">
        <v>-3.6548539999999997E-2</v>
      </c>
      <c r="Z1840">
        <v>-9.6239809999999998E-4</v>
      </c>
      <c r="AA1840">
        <v>0.99933139999999998</v>
      </c>
      <c r="AB1840">
        <v>36</v>
      </c>
      <c r="AC1840">
        <v>-33.462400000000002</v>
      </c>
      <c r="AD1840">
        <v>-1.121125073245</v>
      </c>
      <c r="AE1840">
        <v>-1.07859999999999</v>
      </c>
      <c r="AF1840">
        <v>-1.23582961845272</v>
      </c>
      <c r="AG1840">
        <v>-1.121125073245</v>
      </c>
      <c r="AH1840">
        <v>33.419435902857202</v>
      </c>
      <c r="AI1840">
        <v>91.9200751401453</v>
      </c>
      <c r="AJ1840">
        <v>92.117796723227897</v>
      </c>
      <c r="AK1840">
        <v>33.461065319874102</v>
      </c>
      <c r="AL1840">
        <v>93.010600095212496</v>
      </c>
      <c r="AM1840">
        <v>90.137276791352306</v>
      </c>
      <c r="AN1840">
        <v>1.0000000311563599</v>
      </c>
    </row>
    <row r="1841" spans="1:40" x14ac:dyDescent="0.25">
      <c r="A1841" t="str">
        <f>"20190303154459330"</f>
        <v>20190303154459330</v>
      </c>
      <c r="B1841" t="str">
        <f>"1551599099322433"</f>
        <v>1551599099322433</v>
      </c>
      <c r="C1841" t="s">
        <v>40</v>
      </c>
      <c r="D1841">
        <v>4.8008069999999998</v>
      </c>
      <c r="E1841">
        <v>0.48716599999999999</v>
      </c>
      <c r="F1841" t="s">
        <v>55</v>
      </c>
      <c r="G1841">
        <v>-398.99939999999998</v>
      </c>
      <c r="H1841" s="1">
        <v>3.2522279999999999E-6</v>
      </c>
      <c r="I1841">
        <v>283.30939999999998</v>
      </c>
      <c r="J1841">
        <v>-365.27300000000002</v>
      </c>
      <c r="K1841">
        <v>1.1211660000000001</v>
      </c>
      <c r="L1841">
        <v>284.40249999999997</v>
      </c>
      <c r="M1841">
        <v>-0.99988169999999998</v>
      </c>
      <c r="N1841">
        <v>-1.473555E-2</v>
      </c>
      <c r="O1841">
        <v>4.4423750000000001E-3</v>
      </c>
      <c r="P1841">
        <v>-0.99775329999999995</v>
      </c>
      <c r="Q1841">
        <v>-6.6976839999999996E-2</v>
      </c>
      <c r="R1841">
        <v>1.5580710000000001E-3</v>
      </c>
      <c r="S1841">
        <v>-3.0003660000000001</v>
      </c>
      <c r="T1841">
        <v>-9.8719950000000001E-2</v>
      </c>
      <c r="U1841">
        <v>-9.6130370000000007E-2</v>
      </c>
      <c r="V1841">
        <v>-2.8488379999999998E-3</v>
      </c>
      <c r="W1841">
        <v>-5.2268580000000002E-2</v>
      </c>
      <c r="X1841">
        <v>0.99862899999999999</v>
      </c>
      <c r="Y1841">
        <v>-3.6434109999999999E-2</v>
      </c>
      <c r="Z1841">
        <v>-9.4835449999999995E-4</v>
      </c>
      <c r="AA1841">
        <v>0.99933559999999999</v>
      </c>
      <c r="AB1841">
        <v>36</v>
      </c>
      <c r="AC1841">
        <v>-33.726399999999899</v>
      </c>
      <c r="AD1841">
        <v>-1.1211627477720001</v>
      </c>
      <c r="AE1841">
        <v>-1.09309999999999</v>
      </c>
      <c r="AF1841">
        <v>-1.24156018033508</v>
      </c>
      <c r="AG1841">
        <v>-1.1211627477720001</v>
      </c>
      <c r="AH1841">
        <v>33.684025856385801</v>
      </c>
      <c r="AI1841">
        <v>91.905076412474301</v>
      </c>
      <c r="AJ1841">
        <v>92.110910672836297</v>
      </c>
      <c r="AK1841">
        <v>33.725540403113598</v>
      </c>
      <c r="AL1841">
        <v>92.996134334740603</v>
      </c>
      <c r="AM1841">
        <v>90.163450041136599</v>
      </c>
      <c r="AN1841">
        <v>0.999999999987083</v>
      </c>
    </row>
    <row r="1842" spans="1:40" x14ac:dyDescent="0.25">
      <c r="A1842" t="str">
        <f>"20190303154459352"</f>
        <v>20190303154459352</v>
      </c>
      <c r="B1842" t="str">
        <f>"1551599099342907"</f>
        <v>1551599099342907</v>
      </c>
      <c r="C1842" t="s">
        <v>40</v>
      </c>
      <c r="D1842">
        <v>4.8015230000000004</v>
      </c>
      <c r="E1842">
        <v>0.48709659999999999</v>
      </c>
      <c r="F1842" t="s">
        <v>55</v>
      </c>
      <c r="G1842">
        <v>-399.29480000000001</v>
      </c>
      <c r="H1842" s="1">
        <v>3.4094240000000002E-6</v>
      </c>
      <c r="I1842">
        <v>283.27539999999999</v>
      </c>
      <c r="J1842">
        <v>-365.62079999999997</v>
      </c>
      <c r="K1842">
        <v>1.121189</v>
      </c>
      <c r="L1842">
        <v>284.40370000000001</v>
      </c>
      <c r="M1842">
        <v>-0.99988299999999997</v>
      </c>
      <c r="N1842">
        <v>-1.4731579999999999E-2</v>
      </c>
      <c r="O1842">
        <v>4.1267400000000003E-3</v>
      </c>
      <c r="P1842">
        <v>-0.99777749999999998</v>
      </c>
      <c r="Q1842">
        <v>-6.6634879999999994E-2</v>
      </c>
      <c r="R1842">
        <v>4.5002250000000002E-4</v>
      </c>
      <c r="S1842">
        <v>-3.0002749999999998</v>
      </c>
      <c r="T1842">
        <v>-9.8871829999999994E-2</v>
      </c>
      <c r="U1842">
        <v>-9.9395750000000005E-2</v>
      </c>
      <c r="V1842">
        <v>-3.6393660000000002E-3</v>
      </c>
      <c r="W1842">
        <v>-5.193093E-2</v>
      </c>
      <c r="X1842">
        <v>0.99864410000000003</v>
      </c>
      <c r="Y1842">
        <v>-3.7205479999999999E-2</v>
      </c>
      <c r="Z1842">
        <v>-9.6210190000000002E-4</v>
      </c>
      <c r="AA1842">
        <v>0.99930719999999995</v>
      </c>
      <c r="AB1842">
        <v>36</v>
      </c>
      <c r="AC1842">
        <v>-33.673999999999999</v>
      </c>
      <c r="AD1842">
        <v>-1.121185590576</v>
      </c>
      <c r="AE1842">
        <v>-1.1283000000000201</v>
      </c>
      <c r="AF1842">
        <v>-1.2658675730570601</v>
      </c>
      <c r="AG1842">
        <v>-1.121185590576</v>
      </c>
      <c r="AH1842">
        <v>33.631814873813497</v>
      </c>
      <c r="AI1842">
        <v>91.908015251715597</v>
      </c>
      <c r="AJ1842">
        <v>92.1555377941621</v>
      </c>
      <c r="AK1842">
        <v>33.674299540561996</v>
      </c>
      <c r="AL1842">
        <v>92.976761948618801</v>
      </c>
      <c r="AM1842">
        <v>90.208802504108306</v>
      </c>
      <c r="AN1842">
        <v>1.00000005247017</v>
      </c>
    </row>
    <row r="1843" spans="1:40" x14ac:dyDescent="0.25">
      <c r="A1843" t="str">
        <f>"20190303154459375"</f>
        <v>20190303154459375</v>
      </c>
      <c r="B1843" t="str">
        <f>"1551599099362428"</f>
        <v>1551599099362428</v>
      </c>
      <c r="C1843" t="s">
        <v>40</v>
      </c>
      <c r="D1843">
        <v>4.7784969999999998</v>
      </c>
      <c r="E1843">
        <v>0.48685810000000002</v>
      </c>
      <c r="F1843" t="s">
        <v>55</v>
      </c>
      <c r="G1843">
        <v>-399.91489999999999</v>
      </c>
      <c r="H1843" s="1">
        <v>3.7394370000000001E-6</v>
      </c>
      <c r="I1843">
        <v>283.22500000000002</v>
      </c>
      <c r="J1843">
        <v>-365.97800000000001</v>
      </c>
      <c r="K1843">
        <v>1.1212089999999999</v>
      </c>
      <c r="L1843">
        <v>284.40480000000002</v>
      </c>
      <c r="M1843">
        <v>-0.99988449999999995</v>
      </c>
      <c r="N1843">
        <v>-1.4727479999999999E-2</v>
      </c>
      <c r="O1843">
        <v>3.792864E-3</v>
      </c>
      <c r="P1843">
        <v>-0.99780080000000004</v>
      </c>
      <c r="Q1843">
        <v>-6.6286070000000002E-2</v>
      </c>
      <c r="R1843">
        <v>-2.9501590000000002E-4</v>
      </c>
      <c r="S1843">
        <v>-3.0001829999999998</v>
      </c>
      <c r="T1843">
        <v>-9.8085759999999994E-2</v>
      </c>
      <c r="U1843">
        <v>-0.1031189</v>
      </c>
      <c r="V1843">
        <v>-4.048963E-3</v>
      </c>
      <c r="W1843">
        <v>-5.158633E-2</v>
      </c>
      <c r="X1843">
        <v>0.99866029999999995</v>
      </c>
      <c r="Y1843">
        <v>-3.8111239999999998E-2</v>
      </c>
      <c r="Z1843">
        <v>-9.7158460000000004E-4</v>
      </c>
      <c r="AA1843">
        <v>0.99927299999999997</v>
      </c>
      <c r="AB1843">
        <v>36</v>
      </c>
      <c r="AC1843">
        <v>-33.936899999999902</v>
      </c>
      <c r="AD1843">
        <v>-1.1212052605630001</v>
      </c>
      <c r="AE1843">
        <v>-1.1798</v>
      </c>
      <c r="AF1843">
        <v>-1.3070985177162999</v>
      </c>
      <c r="AG1843">
        <v>-1.1212052605630001</v>
      </c>
      <c r="AH1843">
        <v>33.895228367778302</v>
      </c>
      <c r="AI1843">
        <v>91.893164818688405</v>
      </c>
      <c r="AJ1843">
        <v>92.208397513174305</v>
      </c>
      <c r="AK1843">
        <v>33.9389468586633</v>
      </c>
      <c r="AL1843">
        <v>92.956991570400206</v>
      </c>
      <c r="AM1843">
        <v>90.232298430373007</v>
      </c>
      <c r="AN1843">
        <v>0.99999996917016598</v>
      </c>
    </row>
    <row r="1844" spans="1:40" x14ac:dyDescent="0.25">
      <c r="A1844" t="str">
        <f>"20190303154459397"</f>
        <v>20190303154459397</v>
      </c>
      <c r="B1844" t="str">
        <f>"1551599099392684"</f>
        <v>1551599099392684</v>
      </c>
      <c r="C1844" t="s">
        <v>40</v>
      </c>
      <c r="D1844">
        <v>4.7704300000000002</v>
      </c>
      <c r="E1844">
        <v>0.48631560000000001</v>
      </c>
      <c r="F1844" t="s">
        <v>57</v>
      </c>
      <c r="G1844">
        <v>-400.55279999999999</v>
      </c>
      <c r="H1844" s="1">
        <v>8.4561119999999997E-6</v>
      </c>
      <c r="I1844">
        <v>283.16930000000002</v>
      </c>
      <c r="J1844">
        <v>-366.34519999999998</v>
      </c>
      <c r="K1844">
        <v>1.121224</v>
      </c>
      <c r="L1844">
        <v>284.40589999999997</v>
      </c>
      <c r="M1844">
        <v>-0.99988580000000005</v>
      </c>
      <c r="N1844">
        <v>-1.47233E-2</v>
      </c>
      <c r="O1844">
        <v>3.446845E-3</v>
      </c>
      <c r="P1844">
        <v>-0.99783069999999896</v>
      </c>
      <c r="Q1844">
        <v>-6.5819589999999997E-2</v>
      </c>
      <c r="R1844">
        <v>-1.3952529999999999E-3</v>
      </c>
      <c r="S1844">
        <v>-3.0001530000000001</v>
      </c>
      <c r="T1844">
        <v>-9.7289680000000003E-2</v>
      </c>
      <c r="U1844">
        <v>-0.10720830000000001</v>
      </c>
      <c r="V1844">
        <v>-4.8028990000000002E-3</v>
      </c>
      <c r="W1844">
        <v>-5.1124269999999999E-2</v>
      </c>
      <c r="X1844">
        <v>0.99868080000000004</v>
      </c>
      <c r="Y1844">
        <v>-3.9125859999999998E-2</v>
      </c>
      <c r="Z1844">
        <v>-9.8325499999999994E-4</v>
      </c>
      <c r="AA1844">
        <v>0.99923379999999995</v>
      </c>
      <c r="AB1844">
        <v>36</v>
      </c>
      <c r="AC1844">
        <v>-34.207599999999999</v>
      </c>
      <c r="AD1844">
        <v>-1.121215543888</v>
      </c>
      <c r="AE1844">
        <v>-1.23659999999995</v>
      </c>
      <c r="AF1844">
        <v>-1.35306199131048</v>
      </c>
      <c r="AG1844">
        <v>-1.121215543888</v>
      </c>
      <c r="AH1844">
        <v>34.1664761507908</v>
      </c>
      <c r="AI1844">
        <v>91.8780868937055</v>
      </c>
      <c r="AJ1844">
        <v>92.267844403242606</v>
      </c>
      <c r="AK1844">
        <v>34.211635354229202</v>
      </c>
      <c r="AL1844">
        <v>92.930482265540505</v>
      </c>
      <c r="AM1844">
        <v>90.275547222478195</v>
      </c>
      <c r="AN1844">
        <v>1.0000000495552299</v>
      </c>
    </row>
    <row r="1845" spans="1:40" x14ac:dyDescent="0.25">
      <c r="A1845" t="str">
        <f>"20190303154459531"</f>
        <v>20190303154459531</v>
      </c>
      <c r="B1845" t="str">
        <f>"1551599099522543"</f>
        <v>1551599099522543</v>
      </c>
      <c r="C1845" t="s">
        <v>40</v>
      </c>
      <c r="D1845">
        <v>4.6690480000000001</v>
      </c>
      <c r="E1845">
        <v>0.50883459999999903</v>
      </c>
      <c r="F1845" t="s">
        <v>57</v>
      </c>
      <c r="G1845">
        <v>-400.2303</v>
      </c>
      <c r="H1845" s="1">
        <v>8.6115620000000001E-6</v>
      </c>
      <c r="I1845">
        <v>283.10910000000001</v>
      </c>
      <c r="J1845">
        <v>-368.45420000000001</v>
      </c>
      <c r="K1845">
        <v>1.1212629999999999</v>
      </c>
      <c r="L1845">
        <v>284.40960000000001</v>
      </c>
      <c r="M1845">
        <v>-0.99989090000000003</v>
      </c>
      <c r="N1845">
        <v>-1.4699469999999999E-2</v>
      </c>
      <c r="O1845">
        <v>1.4944170000000001E-3</v>
      </c>
      <c r="P1845">
        <v>-0.9978629</v>
      </c>
      <c r="Q1845">
        <v>-6.5341789999999997E-2</v>
      </c>
      <c r="R1845">
        <v>-3.2802070000000002E-4</v>
      </c>
      <c r="S1845">
        <v>-2.9998170000000002</v>
      </c>
      <c r="T1845">
        <v>-9.9260329999999994E-2</v>
      </c>
      <c r="U1845">
        <v>-0.1148071</v>
      </c>
      <c r="V1845">
        <v>-1.7837619999999999E-3</v>
      </c>
      <c r="W1845">
        <v>-5.066797E-2</v>
      </c>
      <c r="X1845">
        <v>0.99871399999999999</v>
      </c>
      <c r="Y1845">
        <v>-3.9705219999999999E-2</v>
      </c>
      <c r="Z1845">
        <v>-9.7600020000000005E-4</v>
      </c>
      <c r="AA1845">
        <v>0.99921099999999996</v>
      </c>
      <c r="AB1845">
        <v>35</v>
      </c>
      <c r="AC1845">
        <v>-31.7760999999999</v>
      </c>
      <c r="AD1845">
        <v>-1.121254388438</v>
      </c>
      <c r="AE1845">
        <v>-1.30049999999999</v>
      </c>
      <c r="AF1845">
        <v>-1.3463169126602099</v>
      </c>
      <c r="AG1845">
        <v>-1.121254388438</v>
      </c>
      <c r="AH1845">
        <v>31.734673779724702</v>
      </c>
      <c r="AI1845">
        <v>92.021724531352405</v>
      </c>
      <c r="AJ1845">
        <v>92.429268671926593</v>
      </c>
      <c r="AK1845">
        <v>31.783003327855202</v>
      </c>
      <c r="AL1845">
        <v>92.904304304039997</v>
      </c>
      <c r="AM1845">
        <v>90.102333526495997</v>
      </c>
      <c r="AN1845">
        <v>1.0000000393933901</v>
      </c>
    </row>
    <row r="1846" spans="1:40" x14ac:dyDescent="0.25">
      <c r="A1846" t="str">
        <f>"20190303154459552"</f>
        <v>20190303154459552</v>
      </c>
      <c r="B1846" t="str">
        <f>"1551599099542051"</f>
        <v>1551599099542051</v>
      </c>
      <c r="C1846" t="s">
        <v>40</v>
      </c>
      <c r="D1846">
        <v>4.5958160000000001</v>
      </c>
      <c r="E1846">
        <v>0.51181790000000005</v>
      </c>
      <c r="F1846" t="s">
        <v>45</v>
      </c>
      <c r="G1846">
        <v>0</v>
      </c>
      <c r="H1846">
        <v>0</v>
      </c>
      <c r="I1846">
        <v>0</v>
      </c>
      <c r="J1846">
        <v>-368.79349999999999</v>
      </c>
      <c r="K1846">
        <v>1.121265</v>
      </c>
      <c r="L1846">
        <v>284.40980000000002</v>
      </c>
      <c r="M1846">
        <v>-0.99989130000000004</v>
      </c>
      <c r="N1846">
        <v>-1.469548E-2</v>
      </c>
      <c r="O1846">
        <v>1.1824260000000001E-3</v>
      </c>
      <c r="P1846">
        <v>-0.99779700000000005</v>
      </c>
      <c r="Q1846">
        <v>-6.6328999999999999E-2</v>
      </c>
      <c r="R1846">
        <v>-1.226558E-3</v>
      </c>
      <c r="S1846">
        <v>-3.013153</v>
      </c>
      <c r="T1846">
        <v>0.102505399999999</v>
      </c>
      <c r="U1846">
        <v>6.4971920000000002E-2</v>
      </c>
      <c r="V1846">
        <v>-2.3703489999999999E-3</v>
      </c>
      <c r="W1846">
        <v>-5.166047E-2</v>
      </c>
      <c r="X1846">
        <v>0.99866189999999999</v>
      </c>
      <c r="Y1846">
        <v>2.0370180000000002E-2</v>
      </c>
      <c r="Z1846">
        <v>-1.390478E-4</v>
      </c>
      <c r="AA1846">
        <v>0.99979249999999997</v>
      </c>
      <c r="AB1846">
        <v>35</v>
      </c>
      <c r="AC1846">
        <v>-3.013153</v>
      </c>
      <c r="AD1846">
        <v>0.102505399999999</v>
      </c>
      <c r="AE1846">
        <v>6.4971920000000002E-2</v>
      </c>
      <c r="AF1846">
        <v>6.1337705310376599E-2</v>
      </c>
      <c r="AG1846">
        <v>0.102505399999999</v>
      </c>
      <c r="AH1846">
        <v>3.0097461240874801</v>
      </c>
      <c r="AI1846">
        <v>88.049789097718602</v>
      </c>
      <c r="AJ1846">
        <v>88.832491157299003</v>
      </c>
      <c r="AK1846">
        <v>3.0121157684560398</v>
      </c>
      <c r="AL1846">
        <v>92.961245040273894</v>
      </c>
      <c r="AM1846">
        <v>90.135992710483904</v>
      </c>
      <c r="AN1846">
        <v>1.0000000066132999</v>
      </c>
    </row>
    <row r="1847" spans="1:40" x14ac:dyDescent="0.25">
      <c r="A1847" t="str">
        <f>"20190303154459575"</f>
        <v>20190303154459575</v>
      </c>
      <c r="B1847" t="str">
        <f>"1551599099572306"</f>
        <v>1551599099572306</v>
      </c>
      <c r="C1847" t="s">
        <v>40</v>
      </c>
      <c r="D1847">
        <v>4.5729889999999997</v>
      </c>
      <c r="E1847">
        <v>0.50982170000000004</v>
      </c>
      <c r="F1847" t="s">
        <v>45</v>
      </c>
      <c r="G1847">
        <v>0</v>
      </c>
      <c r="H1847">
        <v>0</v>
      </c>
      <c r="I1847">
        <v>0</v>
      </c>
      <c r="J1847">
        <v>-369.149</v>
      </c>
      <c r="K1847">
        <v>1.1212599999999999</v>
      </c>
      <c r="L1847">
        <v>284.40989999999999</v>
      </c>
      <c r="M1847">
        <v>-0.9998918</v>
      </c>
      <c r="N1847">
        <v>-1.4691279999999999E-2</v>
      </c>
      <c r="O1847">
        <v>8.5998699999999999E-4</v>
      </c>
      <c r="P1847">
        <v>-0.99776229999999999</v>
      </c>
      <c r="Q1847">
        <v>-6.6841620000000004E-2</v>
      </c>
      <c r="R1847">
        <v>-1.6830390000000001E-3</v>
      </c>
      <c r="S1847">
        <v>-3.0123600000000001</v>
      </c>
      <c r="T1847">
        <v>8.4205509999999997E-2</v>
      </c>
      <c r="U1847">
        <v>8.64563E-2</v>
      </c>
      <c r="V1847">
        <v>-2.5045689999999999E-3</v>
      </c>
      <c r="W1847">
        <v>-5.2177790000000002E-2</v>
      </c>
      <c r="X1847">
        <v>0.99863469999999999</v>
      </c>
      <c r="Y1847">
        <v>2.782461E-2</v>
      </c>
      <c r="Z1847">
        <v>-1.4761940000000001E-4</v>
      </c>
      <c r="AA1847">
        <v>0.99961279999999997</v>
      </c>
      <c r="AB1847">
        <v>35</v>
      </c>
      <c r="AC1847">
        <v>-3.0123600000000001</v>
      </c>
      <c r="AD1847">
        <v>8.4205509999999997E-2</v>
      </c>
      <c r="AE1847">
        <v>8.64563E-2</v>
      </c>
      <c r="AF1847">
        <v>8.3799971728712702E-2</v>
      </c>
      <c r="AG1847">
        <v>8.4205509999999997E-2</v>
      </c>
      <c r="AH1847">
        <v>3.0100831352044</v>
      </c>
      <c r="AI1847">
        <v>88.398218569661594</v>
      </c>
      <c r="AJ1847">
        <v>88.405311540057099</v>
      </c>
      <c r="AK1847">
        <v>3.0124265109738499</v>
      </c>
      <c r="AL1847">
        <v>92.9909252550557</v>
      </c>
      <c r="AM1847">
        <v>90.143697122005406</v>
      </c>
      <c r="AN1847">
        <v>1.0000000293396201</v>
      </c>
    </row>
    <row r="1848" spans="1:40" x14ac:dyDescent="0.25">
      <c r="A1848" t="str">
        <f>"20190303154459597"</f>
        <v>20190303154459597</v>
      </c>
      <c r="B1848" t="str">
        <f>"1551599099592802"</f>
        <v>1551599099592802</v>
      </c>
      <c r="C1848" t="s">
        <v>40</v>
      </c>
      <c r="D1848">
        <v>4.5789689999999998</v>
      </c>
      <c r="E1848">
        <v>0.50844789999999995</v>
      </c>
      <c r="F1848" t="s">
        <v>45</v>
      </c>
      <c r="G1848">
        <v>0</v>
      </c>
      <c r="H1848">
        <v>0</v>
      </c>
      <c r="I1848">
        <v>0</v>
      </c>
      <c r="J1848">
        <v>-369.49770000000001</v>
      </c>
      <c r="K1848">
        <v>1.1212660000000001</v>
      </c>
      <c r="L1848">
        <v>284.40989999999999</v>
      </c>
      <c r="M1848">
        <v>-0.99989209999999995</v>
      </c>
      <c r="N1848">
        <v>-1.4687459999999999E-2</v>
      </c>
      <c r="O1848">
        <v>5.5107059999999995E-4</v>
      </c>
      <c r="P1848">
        <v>-0.99771069999999995</v>
      </c>
      <c r="Q1848">
        <v>-6.7581420000000003E-2</v>
      </c>
      <c r="R1848">
        <v>-2.4913119999999999E-3</v>
      </c>
      <c r="S1848">
        <v>-3.0107729999999999</v>
      </c>
      <c r="T1848">
        <v>5.889606E-2</v>
      </c>
      <c r="U1848">
        <v>7.0037840000000004E-2</v>
      </c>
      <c r="V1848">
        <v>-3.0044469999999999E-3</v>
      </c>
      <c r="W1848">
        <v>-5.2922410000000003E-2</v>
      </c>
      <c r="X1848">
        <v>0.99859410000000004</v>
      </c>
      <c r="Y1848">
        <v>2.270438E-2</v>
      </c>
      <c r="Z1848" s="1">
        <v>-3.637825E-5</v>
      </c>
      <c r="AA1848">
        <v>0.99974220000000003</v>
      </c>
      <c r="AB1848">
        <v>35</v>
      </c>
      <c r="AC1848">
        <v>-3.0107729999999999</v>
      </c>
      <c r="AD1848">
        <v>5.889606E-2</v>
      </c>
      <c r="AE1848">
        <v>7.0037840000000004E-2</v>
      </c>
      <c r="AF1848">
        <v>6.83523603180336E-2</v>
      </c>
      <c r="AG1848">
        <v>5.889606E-2</v>
      </c>
      <c r="AH1848">
        <v>3.0096600800642701</v>
      </c>
      <c r="AI1848">
        <v>88.879210497972196</v>
      </c>
      <c r="AJ1848">
        <v>88.698979771281401</v>
      </c>
      <c r="AK1848">
        <v>3.0110122199315401</v>
      </c>
      <c r="AL1848">
        <v>93.033647980708494</v>
      </c>
      <c r="AM1848">
        <v>90.172383968076204</v>
      </c>
      <c r="AN1848">
        <v>0.99999999236839698</v>
      </c>
    </row>
    <row r="1849" spans="1:40" x14ac:dyDescent="0.25">
      <c r="A1849" t="str">
        <f>"20190303154459620"</f>
        <v>20190303154459620</v>
      </c>
      <c r="B1849" t="str">
        <f>"1551599099612322"</f>
        <v>1551599099612322</v>
      </c>
      <c r="C1849" t="s">
        <v>40</v>
      </c>
      <c r="D1849">
        <v>4.641032</v>
      </c>
      <c r="E1849">
        <v>0.50789119999999999</v>
      </c>
      <c r="F1849" t="s">
        <v>45</v>
      </c>
      <c r="G1849">
        <v>0</v>
      </c>
      <c r="H1849">
        <v>0</v>
      </c>
      <c r="I1849">
        <v>0</v>
      </c>
      <c r="J1849">
        <v>-369.8451</v>
      </c>
      <c r="K1849">
        <v>1.1212629999999999</v>
      </c>
      <c r="L1849">
        <v>284.40980000000002</v>
      </c>
      <c r="M1849">
        <v>-0.99989220000000001</v>
      </c>
      <c r="N1849">
        <v>-1.46838E-2</v>
      </c>
      <c r="O1849">
        <v>2.524065E-4</v>
      </c>
      <c r="P1849">
        <v>-0.99774099999999999</v>
      </c>
      <c r="Q1849">
        <v>-6.7098899999999906E-2</v>
      </c>
      <c r="R1849">
        <v>-3.304066E-3</v>
      </c>
      <c r="S1849">
        <v>-3.0100709999999999</v>
      </c>
      <c r="T1849">
        <v>4.4914250000000003E-2</v>
      </c>
      <c r="U1849">
        <v>5.7006840000000003E-2</v>
      </c>
      <c r="V1849">
        <v>-3.5207010000000002E-3</v>
      </c>
      <c r="W1849">
        <v>-5.2443440000000001E-2</v>
      </c>
      <c r="X1849">
        <v>0.99861770000000005</v>
      </c>
      <c r="Y1849">
        <v>1.8683000000000002E-2</v>
      </c>
      <c r="Z1849" s="1">
        <v>5.2925609999999898E-6</v>
      </c>
      <c r="AA1849">
        <v>0.99982550000000003</v>
      </c>
      <c r="AB1849">
        <v>35</v>
      </c>
      <c r="AC1849">
        <v>-3.0100709999999999</v>
      </c>
      <c r="AD1849">
        <v>4.4914250000000003E-2</v>
      </c>
      <c r="AE1849">
        <v>5.7006840000000003E-2</v>
      </c>
      <c r="AF1849">
        <v>5.6234478920335E-2</v>
      </c>
      <c r="AG1849">
        <v>4.4914250000000003E-2</v>
      </c>
      <c r="AH1849">
        <v>3.0094155005688101</v>
      </c>
      <c r="AI1849">
        <v>89.1450974921176</v>
      </c>
      <c r="AJ1849">
        <v>88.929485353135902</v>
      </c>
      <c r="AK1849">
        <v>3.0102759444171099</v>
      </c>
      <c r="AL1849">
        <v>93.006166803635296</v>
      </c>
      <c r="AM1849">
        <v>90.2019996966376</v>
      </c>
      <c r="AN1849">
        <v>1.0000000102439199</v>
      </c>
    </row>
    <row r="1850" spans="1:40" x14ac:dyDescent="0.25">
      <c r="A1850" t="str">
        <f>"20190303154459643"</f>
        <v>20190303154459643</v>
      </c>
      <c r="B1850" t="str">
        <f>"1551599099632349"</f>
        <v>1551599099632349</v>
      </c>
      <c r="C1850" t="s">
        <v>40</v>
      </c>
      <c r="D1850">
        <v>4.6271079999999998</v>
      </c>
      <c r="E1850">
        <v>0.50681419999999999</v>
      </c>
      <c r="F1850" t="s">
        <v>45</v>
      </c>
      <c r="G1850">
        <v>0</v>
      </c>
      <c r="H1850">
        <v>0</v>
      </c>
      <c r="I1850">
        <v>0</v>
      </c>
      <c r="J1850">
        <v>-370.19690000000003</v>
      </c>
      <c r="K1850">
        <v>1.121251</v>
      </c>
      <c r="L1850">
        <v>284.40960000000001</v>
      </c>
      <c r="M1850">
        <v>-0.99989240000000001</v>
      </c>
      <c r="N1850">
        <v>-1.468011E-2</v>
      </c>
      <c r="O1850" s="1">
        <v>-3.698327E-5</v>
      </c>
      <c r="P1850">
        <v>-0.99777159999999998</v>
      </c>
      <c r="Q1850">
        <v>-6.6609559999999998E-2</v>
      </c>
      <c r="R1850">
        <v>-3.8971280000000001E-3</v>
      </c>
      <c r="S1850">
        <v>-3.0094910000000001</v>
      </c>
      <c r="T1850">
        <v>3.7568570000000003E-2</v>
      </c>
      <c r="U1850">
        <v>4.9713130000000001E-2</v>
      </c>
      <c r="V1850">
        <v>-3.8265040000000001E-3</v>
      </c>
      <c r="W1850">
        <v>-5.195748E-2</v>
      </c>
      <c r="X1850">
        <v>0.99864200000000003</v>
      </c>
      <c r="Y1850">
        <v>1.6553729999999999E-2</v>
      </c>
      <c r="Z1850" s="1">
        <v>1.7202760000000001E-5</v>
      </c>
      <c r="AA1850">
        <v>0.99986299999999995</v>
      </c>
      <c r="AB1850">
        <v>35</v>
      </c>
      <c r="AC1850">
        <v>-3.0094910000000001</v>
      </c>
      <c r="AD1850">
        <v>3.7568570000000003E-2</v>
      </c>
      <c r="AE1850">
        <v>4.9713130000000001E-2</v>
      </c>
      <c r="AF1850">
        <v>4.9816681728260898E-2</v>
      </c>
      <c r="AG1850">
        <v>3.7568570000000003E-2</v>
      </c>
      <c r="AH1850">
        <v>3.0090203783306202</v>
      </c>
      <c r="AI1850">
        <v>89.284779261600704</v>
      </c>
      <c r="AJ1850">
        <v>89.051510287178104</v>
      </c>
      <c r="AK1850">
        <v>3.0096672135701601</v>
      </c>
      <c r="AL1850">
        <v>92.978285265905498</v>
      </c>
      <c r="AM1850">
        <v>90.219539591292701</v>
      </c>
      <c r="AN1850">
        <v>1.0000000330123999</v>
      </c>
    </row>
    <row r="1851" spans="1:40" x14ac:dyDescent="0.25">
      <c r="A1851" t="str">
        <f>"20190303154459664"</f>
        <v>20190303154459664</v>
      </c>
      <c r="B1851" t="str">
        <f>"1551599099652844"</f>
        <v>1551599099652844</v>
      </c>
      <c r="C1851" t="s">
        <v>40</v>
      </c>
      <c r="D1851">
        <v>4.6041610000000004</v>
      </c>
      <c r="E1851">
        <v>0.50611779999999995</v>
      </c>
      <c r="F1851" t="s">
        <v>45</v>
      </c>
      <c r="G1851">
        <v>0</v>
      </c>
      <c r="H1851">
        <v>0</v>
      </c>
      <c r="I1851">
        <v>0</v>
      </c>
      <c r="J1851">
        <v>-370.54860000000002</v>
      </c>
      <c r="K1851">
        <v>1.1212390000000001</v>
      </c>
      <c r="L1851">
        <v>284.40929999999997</v>
      </c>
      <c r="M1851">
        <v>-0.99989220000000001</v>
      </c>
      <c r="N1851">
        <v>-1.4676410000000001E-2</v>
      </c>
      <c r="O1851">
        <v>-3.1288010000000001E-4</v>
      </c>
      <c r="P1851">
        <v>-0.99774370000000001</v>
      </c>
      <c r="Q1851">
        <v>-6.7017629999999995E-2</v>
      </c>
      <c r="R1851">
        <v>-4.0610669999999998E-3</v>
      </c>
      <c r="S1851">
        <v>-3.009125</v>
      </c>
      <c r="T1851">
        <v>3.3859729999999998E-2</v>
      </c>
      <c r="U1851">
        <v>3.939819E-2</v>
      </c>
      <c r="V1851">
        <v>-3.7164239999999999E-3</v>
      </c>
      <c r="W1851">
        <v>-5.236942E-2</v>
      </c>
      <c r="X1851">
        <v>0.99862090000000003</v>
      </c>
      <c r="Y1851">
        <v>1.340483E-2</v>
      </c>
      <c r="Z1851" s="1">
        <v>1.4851580000000001E-5</v>
      </c>
      <c r="AA1851">
        <v>0.99991019999999997</v>
      </c>
      <c r="AB1851">
        <v>35</v>
      </c>
      <c r="AC1851">
        <v>-3.009125</v>
      </c>
      <c r="AD1851">
        <v>3.3859729999999998E-2</v>
      </c>
      <c r="AE1851">
        <v>3.939819E-2</v>
      </c>
      <c r="AF1851">
        <v>4.0334678744033597E-2</v>
      </c>
      <c r="AG1851">
        <v>3.3859729999999998E-2</v>
      </c>
      <c r="AH1851">
        <v>3.0087316379826801</v>
      </c>
      <c r="AI1851">
        <v>89.355288645938003</v>
      </c>
      <c r="AJ1851">
        <v>89.231945979151703</v>
      </c>
      <c r="AK1851">
        <v>3.0091924891942399</v>
      </c>
      <c r="AL1851">
        <v>93.001919859999006</v>
      </c>
      <c r="AM1851">
        <v>90.213228490449893</v>
      </c>
      <c r="AN1851">
        <v>1.0000000349376399</v>
      </c>
    </row>
    <row r="1852" spans="1:40" x14ac:dyDescent="0.25">
      <c r="A1852" t="str">
        <f>"20190303154459687"</f>
        <v>20190303154459687</v>
      </c>
      <c r="B1852" t="str">
        <f>"1551599099682124"</f>
        <v>1551599099682124</v>
      </c>
      <c r="C1852" t="s">
        <v>40</v>
      </c>
      <c r="D1852">
        <v>4.620908</v>
      </c>
      <c r="E1852">
        <v>0.50504119999999997</v>
      </c>
      <c r="F1852" t="s">
        <v>45</v>
      </c>
      <c r="G1852">
        <v>0</v>
      </c>
      <c r="H1852">
        <v>0</v>
      </c>
      <c r="I1852">
        <v>0</v>
      </c>
      <c r="J1852">
        <v>-370.89139999999998</v>
      </c>
      <c r="K1852">
        <v>1.121227</v>
      </c>
      <c r="L1852">
        <v>284.40890000000002</v>
      </c>
      <c r="M1852">
        <v>-0.99989220000000001</v>
      </c>
      <c r="N1852">
        <v>-1.467278E-2</v>
      </c>
      <c r="O1852">
        <v>-5.7145649999999998E-4</v>
      </c>
      <c r="P1852">
        <v>-0.99768460000000003</v>
      </c>
      <c r="Q1852">
        <v>-6.7896979999999996E-2</v>
      </c>
      <c r="R1852">
        <v>-3.9835390000000004E-3</v>
      </c>
      <c r="S1852">
        <v>-3.0086360000000001</v>
      </c>
      <c r="T1852">
        <v>2.6192190000000001E-2</v>
      </c>
      <c r="U1852">
        <v>3.3599850000000001E-2</v>
      </c>
      <c r="V1852">
        <v>-3.3815120000000001E-3</v>
      </c>
      <c r="W1852">
        <v>-5.3252859999999999E-2</v>
      </c>
      <c r="X1852">
        <v>0.99857530000000005</v>
      </c>
      <c r="Y1852">
        <v>1.1738739999999999E-2</v>
      </c>
      <c r="Z1852" s="1">
        <v>2.1672620000000001E-5</v>
      </c>
      <c r="AA1852">
        <v>0.99993109999999996</v>
      </c>
      <c r="AB1852">
        <v>35</v>
      </c>
      <c r="AC1852">
        <v>-3.0086360000000001</v>
      </c>
      <c r="AD1852">
        <v>2.6192190000000001E-2</v>
      </c>
      <c r="AE1852">
        <v>3.3599850000000001E-2</v>
      </c>
      <c r="AF1852">
        <v>3.5316657922104998E-2</v>
      </c>
      <c r="AG1852">
        <v>2.6192190000000001E-2</v>
      </c>
      <c r="AH1852">
        <v>3.00838833238</v>
      </c>
      <c r="AI1852">
        <v>89.501207799346005</v>
      </c>
      <c r="AJ1852">
        <v>89.327413128009198</v>
      </c>
      <c r="AK1852">
        <v>3.0087096329728999</v>
      </c>
      <c r="AL1852">
        <v>93.052608189111496</v>
      </c>
      <c r="AM1852">
        <v>90.194022048609597</v>
      </c>
      <c r="AN1852">
        <v>0.99999996574583705</v>
      </c>
    </row>
    <row r="1853" spans="1:40" x14ac:dyDescent="0.25">
      <c r="A1853" t="str">
        <f>"20190303154459710"</f>
        <v>20190303154459710</v>
      </c>
      <c r="B1853" t="str">
        <f>"1551599099702620"</f>
        <v>1551599099702620</v>
      </c>
      <c r="C1853" t="s">
        <v>40</v>
      </c>
      <c r="D1853">
        <v>4.6249779999999996</v>
      </c>
      <c r="E1853">
        <v>0.50450109999999904</v>
      </c>
      <c r="F1853" t="s">
        <v>45</v>
      </c>
      <c r="G1853">
        <v>0</v>
      </c>
      <c r="H1853">
        <v>0</v>
      </c>
      <c r="I1853">
        <v>0</v>
      </c>
      <c r="J1853">
        <v>-371.25659999999999</v>
      </c>
      <c r="K1853">
        <v>1.121221</v>
      </c>
      <c r="L1853">
        <v>284.40839999999997</v>
      </c>
      <c r="M1853">
        <v>-0.99989209999999995</v>
      </c>
      <c r="N1853">
        <v>-1.4668820000000001E-2</v>
      </c>
      <c r="O1853">
        <v>-8.3804399999999905E-4</v>
      </c>
      <c r="P1853">
        <v>-0.99767850000000002</v>
      </c>
      <c r="Q1853">
        <v>-6.797889E-2</v>
      </c>
      <c r="R1853">
        <v>-4.0687989999999997E-3</v>
      </c>
      <c r="S1853">
        <v>-3.008057</v>
      </c>
      <c r="T1853">
        <v>1.462078E-2</v>
      </c>
      <c r="U1853">
        <v>2.5207520000000001E-2</v>
      </c>
      <c r="V1853">
        <v>-3.2019850000000001E-3</v>
      </c>
      <c r="W1853">
        <v>-5.3338620000000003E-2</v>
      </c>
      <c r="X1853">
        <v>0.99857130000000005</v>
      </c>
      <c r="Y1853">
        <v>9.2178690000000001E-3</v>
      </c>
      <c r="Z1853" s="1">
        <v>2.8843739999999999E-5</v>
      </c>
      <c r="AA1853">
        <v>0.99995750000000005</v>
      </c>
      <c r="AB1853">
        <v>35</v>
      </c>
      <c r="AC1853">
        <v>-3.008057</v>
      </c>
      <c r="AD1853">
        <v>1.462078E-2</v>
      </c>
      <c r="AE1853">
        <v>2.5207520000000001E-2</v>
      </c>
      <c r="AF1853">
        <v>2.7728011390026501E-2</v>
      </c>
      <c r="AG1853">
        <v>1.462078E-2</v>
      </c>
      <c r="AH1853">
        <v>3.0079637584969898</v>
      </c>
      <c r="AI1853">
        <v>89.721516990205401</v>
      </c>
      <c r="AJ1853">
        <v>89.471851007259403</v>
      </c>
      <c r="AK1853">
        <v>3.0081270887804599</v>
      </c>
      <c r="AL1853">
        <v>93.057528913447698</v>
      </c>
      <c r="AM1853">
        <v>90.183722081522504</v>
      </c>
      <c r="AN1853">
        <v>0.99999995113756601</v>
      </c>
    </row>
    <row r="1854" spans="1:40" x14ac:dyDescent="0.25">
      <c r="A1854" t="str">
        <f>"20190303154459732"</f>
        <v>20190303154459732</v>
      </c>
      <c r="B1854" t="str">
        <f>"1551599099722662"</f>
        <v>1551599099722662</v>
      </c>
      <c r="C1854" t="s">
        <v>40</v>
      </c>
      <c r="D1854">
        <v>4.6605019999999904</v>
      </c>
      <c r="E1854">
        <v>0.5039323</v>
      </c>
      <c r="F1854" t="s">
        <v>45</v>
      </c>
      <c r="G1854">
        <v>0</v>
      </c>
      <c r="H1854">
        <v>0</v>
      </c>
      <c r="I1854">
        <v>0</v>
      </c>
      <c r="J1854">
        <v>-371.59870000000001</v>
      </c>
      <c r="K1854">
        <v>1.1212219999999999</v>
      </c>
      <c r="L1854">
        <v>284.40789999999998</v>
      </c>
      <c r="M1854">
        <v>-0.99989189999999994</v>
      </c>
      <c r="N1854">
        <v>-1.4664979999999999E-2</v>
      </c>
      <c r="O1854">
        <v>-1.082272E-3</v>
      </c>
      <c r="P1854">
        <v>-0.99768429999999997</v>
      </c>
      <c r="Q1854">
        <v>-6.7927929999999997E-2</v>
      </c>
      <c r="R1854">
        <v>-3.493763E-3</v>
      </c>
      <c r="S1854">
        <v>-3.0078130000000001</v>
      </c>
      <c r="T1854">
        <v>1.082695E-2</v>
      </c>
      <c r="U1854">
        <v>2.0660399999999999E-2</v>
      </c>
      <c r="V1854">
        <v>-2.3839550000000001E-3</v>
      </c>
      <c r="W1854">
        <v>-5.3290919999999999E-2</v>
      </c>
      <c r="X1854">
        <v>0.99857620000000002</v>
      </c>
      <c r="Y1854">
        <v>7.9510869999999904E-3</v>
      </c>
      <c r="Z1854" s="1">
        <v>2.422676E-5</v>
      </c>
      <c r="AA1854">
        <v>0.99996839999999998</v>
      </c>
      <c r="AB1854">
        <v>35</v>
      </c>
      <c r="AC1854">
        <v>-3.0078130000000001</v>
      </c>
      <c r="AD1854">
        <v>1.082695E-2</v>
      </c>
      <c r="AE1854">
        <v>2.0660399999999999E-2</v>
      </c>
      <c r="AF1854">
        <v>2.39156998489897E-2</v>
      </c>
      <c r="AG1854">
        <v>1.082695E-2</v>
      </c>
      <c r="AH1854">
        <v>3.0077499053713899</v>
      </c>
      <c r="AI1854">
        <v>89.793760694488995</v>
      </c>
      <c r="AJ1854">
        <v>89.544430277899707</v>
      </c>
      <c r="AK1854">
        <v>3.0078644711501199</v>
      </c>
      <c r="AL1854">
        <v>93.054791812839895</v>
      </c>
      <c r="AM1854">
        <v>90.136785055114004</v>
      </c>
      <c r="AN1854">
        <v>1.00000001630116</v>
      </c>
    </row>
    <row r="1855" spans="1:40" x14ac:dyDescent="0.25">
      <c r="A1855" t="str">
        <f>"20190303154459754"</f>
        <v>20190303154459754</v>
      </c>
      <c r="B1855" t="str">
        <f>"1551599099742165"</f>
        <v>1551599099742165</v>
      </c>
      <c r="C1855" t="s">
        <v>40</v>
      </c>
      <c r="D1855">
        <v>4.6334080000000002</v>
      </c>
      <c r="E1855">
        <v>0.50378840000000003</v>
      </c>
      <c r="F1855" t="s">
        <v>45</v>
      </c>
      <c r="G1855">
        <v>0</v>
      </c>
      <c r="H1855">
        <v>0</v>
      </c>
      <c r="I1855">
        <v>0</v>
      </c>
      <c r="J1855">
        <v>-371.94810000000001</v>
      </c>
      <c r="K1855">
        <v>1.1212219999999999</v>
      </c>
      <c r="L1855">
        <v>284.40730000000002</v>
      </c>
      <c r="M1855">
        <v>-0.99989170000000005</v>
      </c>
      <c r="N1855">
        <v>-1.466109E-2</v>
      </c>
      <c r="O1855">
        <v>-1.3279629999999999E-3</v>
      </c>
      <c r="P1855">
        <v>-0.99772360000000004</v>
      </c>
      <c r="Q1855">
        <v>-6.7347820000000003E-2</v>
      </c>
      <c r="R1855">
        <v>-3.4874770000000001E-3</v>
      </c>
      <c r="S1855">
        <v>-3.0074160000000001</v>
      </c>
      <c r="T1855">
        <v>5.4576399999999997E-3</v>
      </c>
      <c r="U1855">
        <v>1.794434E-2</v>
      </c>
      <c r="V1855">
        <v>-2.1330839999999999E-3</v>
      </c>
      <c r="W1855">
        <v>-5.2714009999999999E-2</v>
      </c>
      <c r="X1855">
        <v>0.99860740000000003</v>
      </c>
      <c r="Y1855">
        <v>7.2945719999999896E-3</v>
      </c>
      <c r="Z1855" s="1">
        <v>2.4977470000000001E-5</v>
      </c>
      <c r="AA1855">
        <v>0.99997340000000001</v>
      </c>
      <c r="AB1855">
        <v>35</v>
      </c>
      <c r="AC1855">
        <v>-3.0074160000000001</v>
      </c>
      <c r="AD1855">
        <v>5.4576399999999997E-3</v>
      </c>
      <c r="AE1855">
        <v>1.794434E-2</v>
      </c>
      <c r="AF1855">
        <v>2.1938418148101199E-2</v>
      </c>
      <c r="AG1855">
        <v>5.4576399999999997E-3</v>
      </c>
      <c r="AH1855">
        <v>3.00737961202584</v>
      </c>
      <c r="AI1855">
        <v>89.896025405712194</v>
      </c>
      <c r="AJ1855">
        <v>89.582042630051006</v>
      </c>
      <c r="AK1855">
        <v>3.0074645818120498</v>
      </c>
      <c r="AL1855">
        <v>93.021690741594398</v>
      </c>
      <c r="AM1855">
        <v>90.122386960747605</v>
      </c>
      <c r="AN1855">
        <v>1.00000002811619</v>
      </c>
    </row>
    <row r="1856" spans="1:40" x14ac:dyDescent="0.25">
      <c r="A1856" t="str">
        <f>"20190303154459776"</f>
        <v>20190303154459776</v>
      </c>
      <c r="B1856" t="str">
        <f>"1551599099772421"</f>
        <v>1551599099772421</v>
      </c>
      <c r="C1856" t="s">
        <v>40</v>
      </c>
      <c r="D1856">
        <v>4.6690959999999997</v>
      </c>
      <c r="E1856">
        <v>0.50366069999999996</v>
      </c>
      <c r="F1856" t="s">
        <v>45</v>
      </c>
      <c r="G1856">
        <v>0</v>
      </c>
      <c r="H1856">
        <v>0</v>
      </c>
      <c r="I1856">
        <v>0</v>
      </c>
      <c r="J1856">
        <v>-372.28190000000001</v>
      </c>
      <c r="K1856">
        <v>1.1212219999999999</v>
      </c>
      <c r="L1856">
        <v>284.40660000000003</v>
      </c>
      <c r="M1856">
        <v>-0.99989130000000004</v>
      </c>
      <c r="N1856">
        <v>-1.4657420000000001E-2</v>
      </c>
      <c r="O1856">
        <v>-1.56151799999999E-3</v>
      </c>
      <c r="P1856">
        <v>-0.99773880000000004</v>
      </c>
      <c r="Q1856">
        <v>-6.7124320000000001E-2</v>
      </c>
      <c r="R1856">
        <v>-3.3914029999999999E-3</v>
      </c>
      <c r="S1856">
        <v>-3.0072329999999998</v>
      </c>
      <c r="T1856">
        <v>5.4885150000000002E-3</v>
      </c>
      <c r="U1856">
        <v>1.6876220000000001E-2</v>
      </c>
      <c r="V1856">
        <v>-1.804546E-3</v>
      </c>
      <c r="W1856">
        <v>-5.2493779999999997E-2</v>
      </c>
      <c r="X1856">
        <v>0.99861960000000005</v>
      </c>
      <c r="Y1856">
        <v>7.1733159999999999E-3</v>
      </c>
      <c r="Z1856" s="1">
        <v>2.0289520000000001E-5</v>
      </c>
      <c r="AA1856">
        <v>0.99997429999999998</v>
      </c>
      <c r="AB1856">
        <v>35</v>
      </c>
      <c r="AC1856">
        <v>-3.0072329999999998</v>
      </c>
      <c r="AD1856">
        <v>5.4885150000000002E-3</v>
      </c>
      <c r="AE1856">
        <v>1.6876220000000001E-2</v>
      </c>
      <c r="AF1856">
        <v>2.1572480791794201E-2</v>
      </c>
      <c r="AG1856">
        <v>5.4885150000000002E-3</v>
      </c>
      <c r="AH1856">
        <v>3.00719296086403</v>
      </c>
      <c r="AI1856">
        <v>89.895430619476301</v>
      </c>
      <c r="AJ1856">
        <v>89.588988496039903</v>
      </c>
      <c r="AK1856">
        <v>3.00727534482537</v>
      </c>
      <c r="AL1856">
        <v>93.009055144347499</v>
      </c>
      <c r="AM1856">
        <v>90.103535677847603</v>
      </c>
      <c r="AN1856">
        <v>0.99999997941455698</v>
      </c>
    </row>
    <row r="1857" spans="1:40" x14ac:dyDescent="0.25">
      <c r="A1857" t="str">
        <f>"20190303154459798"</f>
        <v>20190303154459798</v>
      </c>
      <c r="B1857" t="str">
        <f>"1551599099792917"</f>
        <v>1551599099792917</v>
      </c>
      <c r="C1857" t="s">
        <v>40</v>
      </c>
      <c r="D1857">
        <v>4.7047309999999998</v>
      </c>
      <c r="E1857">
        <v>0.50366339999999998</v>
      </c>
      <c r="F1857" t="s">
        <v>45</v>
      </c>
      <c r="G1857">
        <v>0</v>
      </c>
      <c r="H1857">
        <v>0</v>
      </c>
      <c r="I1857">
        <v>0</v>
      </c>
      <c r="J1857">
        <v>-372.6361</v>
      </c>
      <c r="K1857">
        <v>1.1212200000000001</v>
      </c>
      <c r="L1857">
        <v>284.40570000000002</v>
      </c>
      <c r="M1857">
        <v>-0.99989099999999997</v>
      </c>
      <c r="N1857">
        <v>-1.465353E-2</v>
      </c>
      <c r="O1857">
        <v>-1.809263E-3</v>
      </c>
      <c r="P1857">
        <v>-0.99778310000000003</v>
      </c>
      <c r="Q1857">
        <v>-6.6403429999999999E-2</v>
      </c>
      <c r="R1857">
        <v>-4.4017329999999997E-3</v>
      </c>
      <c r="S1857">
        <v>-3.0071110000000001</v>
      </c>
      <c r="T1857">
        <v>3.956556E-3</v>
      </c>
      <c r="U1857">
        <v>1.5747069999999998E-2</v>
      </c>
      <c r="V1857">
        <v>-2.5689089999999999E-3</v>
      </c>
      <c r="W1857">
        <v>-5.1776570000000001E-2</v>
      </c>
      <c r="X1857">
        <v>0.99865539999999997</v>
      </c>
      <c r="Y1857">
        <v>7.0457949999999997E-3</v>
      </c>
      <c r="Z1857" s="1">
        <v>1.8096970000000001E-5</v>
      </c>
      <c r="AA1857">
        <v>0.99997519999999995</v>
      </c>
      <c r="AB1857">
        <v>35</v>
      </c>
      <c r="AC1857">
        <v>-3.0071110000000001</v>
      </c>
      <c r="AD1857">
        <v>3.956556E-3</v>
      </c>
      <c r="AE1857">
        <v>1.5747069999999998E-2</v>
      </c>
      <c r="AF1857">
        <v>2.1188246399345401E-2</v>
      </c>
      <c r="AG1857">
        <v>3.956556E-3</v>
      </c>
      <c r="AH1857">
        <v>3.0070723779383202</v>
      </c>
      <c r="AI1857">
        <v>89.924614983059598</v>
      </c>
      <c r="AJ1857">
        <v>89.596292722248805</v>
      </c>
      <c r="AK1857">
        <v>3.0071496275178</v>
      </c>
      <c r="AL1857">
        <v>92.967905983858799</v>
      </c>
      <c r="AM1857">
        <v>90.147385493538394</v>
      </c>
      <c r="AN1857">
        <v>1.0000000102217801</v>
      </c>
    </row>
    <row r="1858" spans="1:40" x14ac:dyDescent="0.25">
      <c r="A1858" t="str">
        <f>"20190303154459822"</f>
        <v>20190303154459822</v>
      </c>
      <c r="B1858" t="str">
        <f>"1551599099812437"</f>
        <v>1551599099812437</v>
      </c>
      <c r="C1858" t="s">
        <v>40</v>
      </c>
      <c r="D1858">
        <v>4.6914009999999999</v>
      </c>
      <c r="E1858">
        <v>0.50359670000000001</v>
      </c>
      <c r="F1858" t="s">
        <v>45</v>
      </c>
      <c r="G1858">
        <v>0</v>
      </c>
      <c r="H1858">
        <v>0</v>
      </c>
      <c r="I1858">
        <v>0</v>
      </c>
      <c r="J1858">
        <v>-372.9864</v>
      </c>
      <c r="K1858">
        <v>1.121219</v>
      </c>
      <c r="L1858">
        <v>284.40480000000002</v>
      </c>
      <c r="M1858">
        <v>-0.99989070000000002</v>
      </c>
      <c r="N1858">
        <v>-1.464964E-2</v>
      </c>
      <c r="O1858">
        <v>-2.0552259999999998E-3</v>
      </c>
      <c r="P1858">
        <v>-0.99780069999999998</v>
      </c>
      <c r="Q1858">
        <v>-6.6069100000000006E-2</v>
      </c>
      <c r="R1858">
        <v>-5.3578569999999997E-3</v>
      </c>
      <c r="S1858">
        <v>-3.0070800000000002</v>
      </c>
      <c r="T1858">
        <v>4.7246220000000004E-3</v>
      </c>
      <c r="U1858">
        <v>1.269531E-2</v>
      </c>
      <c r="V1858">
        <v>-3.2794479999999999E-3</v>
      </c>
      <c r="W1858">
        <v>-5.1446199999999997E-2</v>
      </c>
      <c r="X1858">
        <v>0.99867039999999996</v>
      </c>
      <c r="Y1858">
        <v>6.2769849999999997E-3</v>
      </c>
      <c r="Z1858" s="1">
        <v>7.7104380000000005E-6</v>
      </c>
      <c r="AA1858">
        <v>0.99998030000000004</v>
      </c>
      <c r="AB1858">
        <v>35</v>
      </c>
      <c r="AC1858">
        <v>-3.0070800000000002</v>
      </c>
      <c r="AD1858">
        <v>4.7246220000000004E-3</v>
      </c>
      <c r="AE1858">
        <v>1.269531E-2</v>
      </c>
      <c r="AF1858">
        <v>1.8876128102153601E-2</v>
      </c>
      <c r="AG1858">
        <v>4.7246220000000004E-3</v>
      </c>
      <c r="AH1858">
        <v>3.00704013028477</v>
      </c>
      <c r="AI1858">
        <v>89.909979470626197</v>
      </c>
      <c r="AJ1858">
        <v>89.640341258642707</v>
      </c>
      <c r="AK1858">
        <v>3.00710308692739</v>
      </c>
      <c r="AL1858">
        <v>92.948951895978993</v>
      </c>
      <c r="AM1858">
        <v>90.188148015741405</v>
      </c>
      <c r="AN1858">
        <v>1.0000000170548899</v>
      </c>
    </row>
    <row r="1859" spans="1:40" x14ac:dyDescent="0.25">
      <c r="A1859" t="str">
        <f>"20190303154459843"</f>
        <v>20190303154459843</v>
      </c>
      <c r="B1859" t="str">
        <f>"1551599099832466"</f>
        <v>1551599099832466</v>
      </c>
      <c r="C1859" t="s">
        <v>40</v>
      </c>
      <c r="D1859">
        <v>4.6880160000000002</v>
      </c>
      <c r="E1859">
        <v>0.50342940000000003</v>
      </c>
      <c r="F1859" t="s">
        <v>45</v>
      </c>
      <c r="G1859">
        <v>0</v>
      </c>
      <c r="H1859">
        <v>0</v>
      </c>
      <c r="I1859">
        <v>0</v>
      </c>
      <c r="J1859">
        <v>-373.32229999999998</v>
      </c>
      <c r="K1859">
        <v>1.1212169999999999</v>
      </c>
      <c r="L1859">
        <v>284.40390000000002</v>
      </c>
      <c r="M1859">
        <v>-0.99989019999999995</v>
      </c>
      <c r="N1859">
        <v>-1.464585E-2</v>
      </c>
      <c r="O1859">
        <v>-2.2922540000000001E-3</v>
      </c>
      <c r="P1859">
        <v>-0.99781929999999996</v>
      </c>
      <c r="Q1859">
        <v>-6.5727569999999999E-2</v>
      </c>
      <c r="R1859">
        <v>-6.0498390000000004E-3</v>
      </c>
      <c r="S1859">
        <v>-3.0069270000000001</v>
      </c>
      <c r="T1859">
        <v>3.7776229999999999E-3</v>
      </c>
      <c r="U1859">
        <v>9.4909669999999995E-3</v>
      </c>
      <c r="V1859">
        <v>-3.7352399999999999E-3</v>
      </c>
      <c r="W1859">
        <v>-5.1108420000000002E-2</v>
      </c>
      <c r="X1859">
        <v>0.99868610000000002</v>
      </c>
      <c r="Y1859">
        <v>5.4485879999999999E-3</v>
      </c>
      <c r="Z1859" s="1">
        <v>2.5807820000000001E-8</v>
      </c>
      <c r="AA1859">
        <v>0.99998520000000002</v>
      </c>
      <c r="AB1859">
        <v>35</v>
      </c>
      <c r="AC1859">
        <v>-3.0069270000000001</v>
      </c>
      <c r="AD1859">
        <v>3.7776229999999999E-3</v>
      </c>
      <c r="AE1859">
        <v>9.4909669999999995E-3</v>
      </c>
      <c r="AF1859">
        <v>1.6384295424777401E-2</v>
      </c>
      <c r="AG1859">
        <v>3.7776229999999999E-3</v>
      </c>
      <c r="AH1859">
        <v>3.0068925946637202</v>
      </c>
      <c r="AI1859">
        <v>89.928019202305506</v>
      </c>
      <c r="AJ1859">
        <v>89.687803385708605</v>
      </c>
      <c r="AK1859">
        <v>3.0069396055483999</v>
      </c>
      <c r="AL1859">
        <v>92.929573158872799</v>
      </c>
      <c r="AM1859">
        <v>90.214294050502403</v>
      </c>
      <c r="AN1859">
        <v>0.99999997447298095</v>
      </c>
    </row>
    <row r="1860" spans="1:40" x14ac:dyDescent="0.25">
      <c r="A1860" t="str">
        <f>"20190303154459865"</f>
        <v>20190303154459865</v>
      </c>
      <c r="B1860" t="str">
        <f>"1551599099862721"</f>
        <v>1551599099862721</v>
      </c>
      <c r="C1860" t="s">
        <v>40</v>
      </c>
      <c r="D1860">
        <v>4.7846460000000004</v>
      </c>
      <c r="E1860">
        <v>0.51071769999999905</v>
      </c>
      <c r="F1860" t="s">
        <v>45</v>
      </c>
      <c r="G1860">
        <v>0</v>
      </c>
      <c r="H1860">
        <v>0</v>
      </c>
      <c r="I1860">
        <v>0</v>
      </c>
      <c r="J1860">
        <v>-373.66680000000002</v>
      </c>
      <c r="K1860">
        <v>1.1212219999999999</v>
      </c>
      <c r="L1860">
        <v>284.40289999999999</v>
      </c>
      <c r="M1860">
        <v>-0.99988969999999999</v>
      </c>
      <c r="N1860">
        <v>-1.4641980000000001E-2</v>
      </c>
      <c r="O1860">
        <v>-2.5348979999999998E-3</v>
      </c>
      <c r="P1860">
        <v>-0.99781160000000002</v>
      </c>
      <c r="Q1860">
        <v>-6.5722180000000005E-2</v>
      </c>
      <c r="R1860">
        <v>-7.2811250000000003E-3</v>
      </c>
      <c r="S1860">
        <v>-3.006653</v>
      </c>
      <c r="T1860">
        <v>1.0796789999999901E-3</v>
      </c>
      <c r="U1860">
        <v>6.0119630000000004E-3</v>
      </c>
      <c r="V1860">
        <v>-4.7248029999999996E-3</v>
      </c>
      <c r="W1860">
        <v>-5.110746E-2</v>
      </c>
      <c r="X1860">
        <v>0.99868199999999996</v>
      </c>
      <c r="Y1860">
        <v>4.5344340000000004E-3</v>
      </c>
      <c r="Z1860" s="1">
        <v>-5.6439380000000001E-6</v>
      </c>
      <c r="AA1860">
        <v>0.99998969999999998</v>
      </c>
      <c r="AB1860">
        <v>35</v>
      </c>
      <c r="AC1860">
        <v>-3.006653</v>
      </c>
      <c r="AD1860">
        <v>1.0796789999999901E-3</v>
      </c>
      <c r="AE1860">
        <v>6.0119630000000004E-3</v>
      </c>
      <c r="AF1860">
        <v>1.3634316854238399E-2</v>
      </c>
      <c r="AG1860">
        <v>1.0796789999999901E-3</v>
      </c>
      <c r="AH1860">
        <v>3.0066277089288902</v>
      </c>
      <c r="AI1860">
        <v>89.979425317261203</v>
      </c>
      <c r="AJ1860">
        <v>89.740179518983695</v>
      </c>
      <c r="AK1860">
        <v>3.00665881676019</v>
      </c>
      <c r="AL1860">
        <v>92.929517959199501</v>
      </c>
      <c r="AM1860">
        <v>90.271066516875095</v>
      </c>
      <c r="AN1860">
        <v>1.00000001667752</v>
      </c>
    </row>
    <row r="1861" spans="1:40" x14ac:dyDescent="0.25">
      <c r="A1861" t="str">
        <f>"20190303154459888"</f>
        <v>20190303154459888</v>
      </c>
      <c r="B1861" t="str">
        <f>"1551599099882242"</f>
        <v>1551599099882242</v>
      </c>
      <c r="C1861" t="s">
        <v>40</v>
      </c>
      <c r="D1861">
        <v>4.7576689999999999</v>
      </c>
      <c r="E1861">
        <v>0.51257569999999997</v>
      </c>
      <c r="F1861" t="s">
        <v>57</v>
      </c>
      <c r="G1861">
        <v>-433.76159999999999</v>
      </c>
      <c r="H1861" s="1">
        <v>3.796571E-6</v>
      </c>
      <c r="I1861">
        <v>285.62900000000002</v>
      </c>
      <c r="J1861">
        <v>-374.01749999999998</v>
      </c>
      <c r="K1861">
        <v>1.1212219999999999</v>
      </c>
      <c r="L1861">
        <v>284.40170000000001</v>
      </c>
      <c r="M1861">
        <v>-0.99988900000000003</v>
      </c>
      <c r="N1861">
        <v>-1.463806E-2</v>
      </c>
      <c r="O1861">
        <v>-2.7824299999999998E-3</v>
      </c>
      <c r="P1861">
        <v>-0.99781470000000005</v>
      </c>
      <c r="Q1861">
        <v>-6.5558329999999998E-2</v>
      </c>
      <c r="R1861">
        <v>-8.2799250000000005E-3</v>
      </c>
      <c r="S1861">
        <v>-3.0033569999999998</v>
      </c>
      <c r="T1861">
        <v>-5.6035160000000001E-2</v>
      </c>
      <c r="U1861">
        <v>6.1279300000000002E-2</v>
      </c>
      <c r="V1861">
        <v>-5.4763040000000004E-3</v>
      </c>
      <c r="W1861">
        <v>-5.0947810000000003E-2</v>
      </c>
      <c r="X1861">
        <v>0.99868630000000003</v>
      </c>
      <c r="Y1861">
        <v>2.3174210000000001E-2</v>
      </c>
      <c r="Z1861">
        <v>3.969884E-4</v>
      </c>
      <c r="AA1861">
        <v>0.99973140000000005</v>
      </c>
      <c r="AB1861">
        <v>35</v>
      </c>
      <c r="AC1861">
        <v>-59.744100000000003</v>
      </c>
      <c r="AD1861">
        <v>-1.1212182034289999</v>
      </c>
      <c r="AE1861">
        <v>1.22730000000001</v>
      </c>
      <c r="AF1861">
        <v>1.3930564061090001</v>
      </c>
      <c r="AG1861">
        <v>-1.1212182034289999</v>
      </c>
      <c r="AH1861">
        <v>59.719429087469202</v>
      </c>
      <c r="AI1861">
        <v>91.075295942976993</v>
      </c>
      <c r="AJ1861">
        <v>88.663721644408895</v>
      </c>
      <c r="AK1861">
        <v>59.746196087647</v>
      </c>
      <c r="AL1861">
        <v>92.920358811885293</v>
      </c>
      <c r="AM1861">
        <v>90.314178698250402</v>
      </c>
      <c r="AN1861">
        <v>0.999999997528493</v>
      </c>
    </row>
    <row r="1862" spans="1:40" x14ac:dyDescent="0.25">
      <c r="A1862" t="str">
        <f>"20190303154459911"</f>
        <v>20190303154459911</v>
      </c>
      <c r="B1862" t="str">
        <f>"1551599099902737"</f>
        <v>1551599099902737</v>
      </c>
      <c r="C1862" t="s">
        <v>40</v>
      </c>
      <c r="D1862">
        <v>4.7699439999999997</v>
      </c>
      <c r="E1862">
        <v>0.51340790000000003</v>
      </c>
      <c r="F1862" t="s">
        <v>57</v>
      </c>
      <c r="G1862">
        <v>-410.78179999999998</v>
      </c>
      <c r="H1862" s="1">
        <v>2.2842659999999998E-6</v>
      </c>
      <c r="I1862">
        <v>285.30450000000002</v>
      </c>
      <c r="J1862">
        <v>-374.36630000000002</v>
      </c>
      <c r="K1862">
        <v>1.1212219999999999</v>
      </c>
      <c r="L1862">
        <v>284.40050000000002</v>
      </c>
      <c r="M1862">
        <v>-0.99988849999999996</v>
      </c>
      <c r="N1862">
        <v>-1.463419E-2</v>
      </c>
      <c r="O1862">
        <v>-3.0288939999999999E-3</v>
      </c>
      <c r="P1862">
        <v>-0.99779530000000005</v>
      </c>
      <c r="Q1862">
        <v>-6.5863710000000006E-2</v>
      </c>
      <c r="R1862">
        <v>-8.1842549999999997E-3</v>
      </c>
      <c r="S1862">
        <v>-3.0011899999999998</v>
      </c>
      <c r="T1862">
        <v>-9.1528769999999995E-2</v>
      </c>
      <c r="U1862">
        <v>7.369995E-2</v>
      </c>
      <c r="V1862">
        <v>-5.1347800000000002E-3</v>
      </c>
      <c r="W1862">
        <v>-5.12571E-2</v>
      </c>
      <c r="X1862">
        <v>0.99867229999999996</v>
      </c>
      <c r="Y1862">
        <v>2.7558369999999999E-2</v>
      </c>
      <c r="Z1862">
        <v>6.6985099999999995E-4</v>
      </c>
      <c r="AA1862">
        <v>0.99961999999999995</v>
      </c>
      <c r="AB1862">
        <v>35</v>
      </c>
      <c r="AC1862">
        <v>-36.415499999999902</v>
      </c>
      <c r="AD1862">
        <v>-1.121219715734</v>
      </c>
      <c r="AE1862">
        <v>0.90399999999999603</v>
      </c>
      <c r="AF1862">
        <v>1.0133462735241401</v>
      </c>
      <c r="AG1862">
        <v>-1.121219715734</v>
      </c>
      <c r="AH1862">
        <v>36.378129238053397</v>
      </c>
      <c r="AI1862">
        <v>91.764685064278495</v>
      </c>
      <c r="AJ1862">
        <v>88.404385946225105</v>
      </c>
      <c r="AK1862">
        <v>36.409508252399199</v>
      </c>
      <c r="AL1862">
        <v>92.938102972646604</v>
      </c>
      <c r="AM1862">
        <v>90.294589757077006</v>
      </c>
      <c r="AN1862">
        <v>1.0000000095266699</v>
      </c>
    </row>
    <row r="1863" spans="1:40" x14ac:dyDescent="0.25">
      <c r="A1863" t="str">
        <f>"20190303154459934"</f>
        <v>20190303154459934</v>
      </c>
      <c r="B1863" t="str">
        <f>"1551599099922259"</f>
        <v>1551599099922259</v>
      </c>
      <c r="C1863" t="s">
        <v>40</v>
      </c>
      <c r="D1863">
        <v>4.7815430000000001</v>
      </c>
      <c r="E1863">
        <v>0.51322040000000002</v>
      </c>
      <c r="F1863" t="s">
        <v>57</v>
      </c>
      <c r="G1863">
        <v>-407.4907</v>
      </c>
      <c r="H1863" s="1">
        <v>4.941139E-6</v>
      </c>
      <c r="I1863">
        <v>285.29050000000001</v>
      </c>
      <c r="J1863">
        <v>-374.72660000000002</v>
      </c>
      <c r="K1863">
        <v>1.1212139999999999</v>
      </c>
      <c r="L1863">
        <v>284.399</v>
      </c>
      <c r="M1863">
        <v>-0.99988759999999999</v>
      </c>
      <c r="N1863">
        <v>-1.4630199999999999E-2</v>
      </c>
      <c r="O1863">
        <v>-3.2837000000000001E-3</v>
      </c>
      <c r="P1863">
        <v>-0.99775950000000002</v>
      </c>
      <c r="Q1863">
        <v>-6.6466269999999994E-2</v>
      </c>
      <c r="R1863">
        <v>-7.6318969999999899E-3</v>
      </c>
      <c r="S1863">
        <v>-3.0005799999999998</v>
      </c>
      <c r="T1863">
        <v>-0.1015658</v>
      </c>
      <c r="U1863">
        <v>8.0627439999999995E-2</v>
      </c>
      <c r="V1863">
        <v>-4.3289039999999997E-3</v>
      </c>
      <c r="W1863">
        <v>-5.1863699999999902E-2</v>
      </c>
      <c r="X1863">
        <v>0.9986448</v>
      </c>
      <c r="Y1863">
        <v>3.011834E-2</v>
      </c>
      <c r="Z1863">
        <v>7.9302829999999998E-4</v>
      </c>
      <c r="AA1863">
        <v>0.99954609999999999</v>
      </c>
      <c r="AB1863">
        <v>34</v>
      </c>
      <c r="AC1863">
        <v>-32.7640999999999</v>
      </c>
      <c r="AD1863">
        <v>-1.121209058861</v>
      </c>
      <c r="AE1863">
        <v>0.89150000000000695</v>
      </c>
      <c r="AF1863">
        <v>0.99792642111721996</v>
      </c>
      <c r="AG1863">
        <v>-1.121209058861</v>
      </c>
      <c r="AH1863">
        <v>32.722703902578502</v>
      </c>
      <c r="AI1863">
        <v>91.961500734375306</v>
      </c>
      <c r="AJ1863">
        <v>88.253223304954105</v>
      </c>
      <c r="AK1863">
        <v>32.757110946960303</v>
      </c>
      <c r="AL1863">
        <v>92.972904883046198</v>
      </c>
      <c r="AM1863">
        <v>90.248362957107503</v>
      </c>
      <c r="AN1863">
        <v>1.0000000096772801</v>
      </c>
    </row>
    <row r="1864" spans="1:40" x14ac:dyDescent="0.25">
      <c r="A1864" t="str">
        <f>"20190303154459956"</f>
        <v>20190303154459956</v>
      </c>
      <c r="B1864" t="str">
        <f>"1551599099952514"</f>
        <v>1551599099952514</v>
      </c>
      <c r="C1864" t="s">
        <v>40</v>
      </c>
      <c r="D1864">
        <v>4.8356620000000001</v>
      </c>
      <c r="E1864">
        <v>0.51218279999999905</v>
      </c>
      <c r="F1864" t="s">
        <v>57</v>
      </c>
      <c r="G1864">
        <v>-405.72280000000001</v>
      </c>
      <c r="H1864" s="1">
        <v>5.7364800000000003E-6</v>
      </c>
      <c r="I1864">
        <v>285.2355</v>
      </c>
      <c r="J1864">
        <v>-375.05739999999997</v>
      </c>
      <c r="K1864">
        <v>1.1212279999999999</v>
      </c>
      <c r="L1864">
        <v>284.39769999999999</v>
      </c>
      <c r="M1864">
        <v>-0.99988699999999997</v>
      </c>
      <c r="N1864">
        <v>-1.462654E-2</v>
      </c>
      <c r="O1864">
        <v>-3.5180089999999999E-3</v>
      </c>
      <c r="P1864">
        <v>-0.99772879999999997</v>
      </c>
      <c r="Q1864">
        <v>-6.6981730000000003E-2</v>
      </c>
      <c r="R1864">
        <v>-7.1359619999999896E-3</v>
      </c>
      <c r="S1864">
        <v>-3.0001220000000002</v>
      </c>
      <c r="T1864">
        <v>-0.1085218</v>
      </c>
      <c r="U1864">
        <v>8.0963129999999994E-2</v>
      </c>
      <c r="V1864">
        <v>-3.5983289999999999E-3</v>
      </c>
      <c r="W1864">
        <v>-5.2382819999999997E-2</v>
      </c>
      <c r="X1864">
        <v>0.99862059999999997</v>
      </c>
      <c r="Y1864">
        <v>3.0464939999999999E-2</v>
      </c>
      <c r="Z1864">
        <v>8.4942139999999997E-4</v>
      </c>
      <c r="AA1864">
        <v>0.99953550000000002</v>
      </c>
      <c r="AB1864">
        <v>34</v>
      </c>
      <c r="AC1864">
        <v>-30.665400000000002</v>
      </c>
      <c r="AD1864">
        <v>-1.12122226352</v>
      </c>
      <c r="AE1864">
        <v>0.83780000000001498</v>
      </c>
      <c r="AF1864">
        <v>0.94442586760699399</v>
      </c>
      <c r="AG1864">
        <v>-1.12122226352</v>
      </c>
      <c r="AH1864">
        <v>30.621356537449699</v>
      </c>
      <c r="AI1864">
        <v>92.095992232552405</v>
      </c>
      <c r="AJ1864">
        <v>88.233439840848902</v>
      </c>
      <c r="AK1864">
        <v>30.656427642131298</v>
      </c>
      <c r="AL1864">
        <v>93.002688767829497</v>
      </c>
      <c r="AM1864">
        <v>90.206452953927396</v>
      </c>
      <c r="AN1864">
        <v>1.00000000527355</v>
      </c>
    </row>
    <row r="1865" spans="1:40" x14ac:dyDescent="0.25">
      <c r="A1865" t="str">
        <f>"20190303154459977"</f>
        <v>20190303154459977</v>
      </c>
      <c r="B1865" t="str">
        <f>"1551599099972033"</f>
        <v>1551599099972033</v>
      </c>
      <c r="C1865" t="s">
        <v>40</v>
      </c>
      <c r="D1865">
        <v>4.8678499999999998</v>
      </c>
      <c r="E1865">
        <v>0.51185550000000002</v>
      </c>
      <c r="F1865" t="s">
        <v>57</v>
      </c>
      <c r="G1865">
        <v>-404.54250000000002</v>
      </c>
      <c r="H1865" s="1">
        <v>6.2823190000000003E-6</v>
      </c>
      <c r="I1865">
        <v>285.12700000000001</v>
      </c>
      <c r="J1865">
        <v>-375.39299999999997</v>
      </c>
      <c r="K1865">
        <v>1.121229</v>
      </c>
      <c r="L1865">
        <v>284.3963</v>
      </c>
      <c r="M1865">
        <v>-0.99988600000000005</v>
      </c>
      <c r="N1865">
        <v>-1.462281E-2</v>
      </c>
      <c r="O1865">
        <v>-3.755539E-3</v>
      </c>
      <c r="P1865">
        <v>-0.9978127</v>
      </c>
      <c r="Q1865">
        <v>-6.5772410000000003E-2</v>
      </c>
      <c r="R1865">
        <v>-6.6385709999999898E-3</v>
      </c>
      <c r="S1865">
        <v>-2.999695</v>
      </c>
      <c r="T1865">
        <v>-0.11406860000000001</v>
      </c>
      <c r="U1865">
        <v>7.4188229999999994E-2</v>
      </c>
      <c r="V1865">
        <v>-2.8647149999999999E-3</v>
      </c>
      <c r="W1865">
        <v>-5.1175770000000002E-2</v>
      </c>
      <c r="X1865">
        <v>0.9986855</v>
      </c>
      <c r="Y1865">
        <v>2.8449490000000001E-2</v>
      </c>
      <c r="Z1865">
        <v>8.3663619999999896E-4</v>
      </c>
      <c r="AA1865">
        <v>0.99959489999999995</v>
      </c>
      <c r="AB1865">
        <v>34</v>
      </c>
      <c r="AC1865">
        <v>-29.1494999999999</v>
      </c>
      <c r="AD1865">
        <v>-1.1212227176809999</v>
      </c>
      <c r="AE1865">
        <v>0.73070000000001301</v>
      </c>
      <c r="AF1865">
        <v>0.83893819059925101</v>
      </c>
      <c r="AG1865">
        <v>-1.1212227176809999</v>
      </c>
      <c r="AH1865">
        <v>29.103517658728201</v>
      </c>
      <c r="AI1865">
        <v>92.205332775295403</v>
      </c>
      <c r="AJ1865">
        <v>88.348848718432194</v>
      </c>
      <c r="AK1865">
        <v>29.137187540704598</v>
      </c>
      <c r="AL1865">
        <v>92.933437166861296</v>
      </c>
      <c r="AM1865">
        <v>90.164351669097002</v>
      </c>
      <c r="AN1865">
        <v>0.99999994696868499</v>
      </c>
    </row>
    <row r="1866" spans="1:40" x14ac:dyDescent="0.25">
      <c r="A1866" t="str">
        <f>"20190303154500000"</f>
        <v>20190303154500000</v>
      </c>
      <c r="B1866" t="str">
        <f>"1551599099992529"</f>
        <v>1551599099992529</v>
      </c>
      <c r="C1866" t="s">
        <v>40</v>
      </c>
      <c r="D1866">
        <v>4.8268149999999999</v>
      </c>
      <c r="E1866">
        <v>0.51155810000000002</v>
      </c>
      <c r="F1866" t="s">
        <v>57</v>
      </c>
      <c r="G1866">
        <v>-405.0822</v>
      </c>
      <c r="H1866" s="1">
        <v>6.0443629999999997E-6</v>
      </c>
      <c r="I1866">
        <v>285.12040000000002</v>
      </c>
      <c r="J1866">
        <v>-375.72980000000001</v>
      </c>
      <c r="K1866">
        <v>1.121243</v>
      </c>
      <c r="L1866">
        <v>284.39479999999998</v>
      </c>
      <c r="M1866">
        <v>-0.99988529999999998</v>
      </c>
      <c r="N1866">
        <v>-1.461903E-2</v>
      </c>
      <c r="O1866">
        <v>-3.9936729999999997E-3</v>
      </c>
      <c r="P1866">
        <v>-0.99782150000000003</v>
      </c>
      <c r="Q1866">
        <v>-6.5656590000000001E-2</v>
      </c>
      <c r="R1866">
        <v>-6.4677819999999896E-3</v>
      </c>
      <c r="S1866">
        <v>-2.999603</v>
      </c>
      <c r="T1866">
        <v>-0.1132811</v>
      </c>
      <c r="U1866">
        <v>7.3150629999999994E-2</v>
      </c>
      <c r="V1866">
        <v>-2.4561399999999999E-3</v>
      </c>
      <c r="W1866">
        <v>-5.1063400000000002E-2</v>
      </c>
      <c r="X1866">
        <v>0.99869240000000004</v>
      </c>
      <c r="Y1866">
        <v>2.8343150000000001E-2</v>
      </c>
      <c r="Z1866">
        <v>8.34627E-4</v>
      </c>
      <c r="AA1866">
        <v>0.99959790000000004</v>
      </c>
      <c r="AB1866">
        <v>34</v>
      </c>
      <c r="AC1866">
        <v>-29.3523999999999</v>
      </c>
      <c r="AD1866">
        <v>-1.1212369556370001</v>
      </c>
      <c r="AE1866">
        <v>0.72560000000004199</v>
      </c>
      <c r="AF1866">
        <v>0.84160331457253101</v>
      </c>
      <c r="AG1866">
        <v>-1.1212369556370001</v>
      </c>
      <c r="AH1866">
        <v>29.306530494579</v>
      </c>
      <c r="AI1866">
        <v>92.190105497612294</v>
      </c>
      <c r="AJ1866">
        <v>88.355074168503407</v>
      </c>
      <c r="AK1866">
        <v>29.340044275349602</v>
      </c>
      <c r="AL1866">
        <v>92.926990236109901</v>
      </c>
      <c r="AM1866">
        <v>90.140910426643401</v>
      </c>
      <c r="AN1866">
        <v>1.0000000066305099</v>
      </c>
    </row>
    <row r="1867" spans="1:40" x14ac:dyDescent="0.25">
      <c r="A1867" t="str">
        <f>"20190303154500024"</f>
        <v>20190303154500024</v>
      </c>
      <c r="B1867" t="str">
        <f>"1551599100012049"</f>
        <v>1551599100012049</v>
      </c>
      <c r="C1867" t="s">
        <v>40</v>
      </c>
      <c r="D1867">
        <v>4.8421699999999896</v>
      </c>
      <c r="E1867">
        <v>0.51177119999999998</v>
      </c>
      <c r="F1867" t="s">
        <v>57</v>
      </c>
      <c r="G1867">
        <v>-404.98759999999999</v>
      </c>
      <c r="H1867" s="1">
        <v>6.0925789999999898E-6</v>
      </c>
      <c r="I1867">
        <v>285.0899</v>
      </c>
      <c r="J1867">
        <v>-376.07819999999998</v>
      </c>
      <c r="K1867">
        <v>1.1212409999999999</v>
      </c>
      <c r="L1867">
        <v>284.39319999999998</v>
      </c>
      <c r="M1867">
        <v>-0.99988429999999995</v>
      </c>
      <c r="N1867">
        <v>-1.4615100000000001E-2</v>
      </c>
      <c r="O1867">
        <v>-4.2400290000000002E-3</v>
      </c>
      <c r="P1867">
        <v>-0.99784519999999999</v>
      </c>
      <c r="Q1867">
        <v>-6.5258579999999997E-2</v>
      </c>
      <c r="R1867">
        <v>-6.8347769999999898E-3</v>
      </c>
      <c r="S1867">
        <v>-2.9994510000000001</v>
      </c>
      <c r="T1867">
        <v>-0.1149468</v>
      </c>
      <c r="U1867">
        <v>7.1258539999999995E-2</v>
      </c>
      <c r="V1867">
        <v>-2.5771510000000002E-3</v>
      </c>
      <c r="W1867">
        <v>-5.0669029999999997E-2</v>
      </c>
      <c r="X1867">
        <v>0.99871220000000005</v>
      </c>
      <c r="Y1867">
        <v>2.796003E-2</v>
      </c>
      <c r="Z1867">
        <v>8.4040160000000005E-4</v>
      </c>
      <c r="AA1867">
        <v>0.99960870000000002</v>
      </c>
      <c r="AB1867">
        <v>34</v>
      </c>
      <c r="AC1867">
        <v>-28.909400000000002</v>
      </c>
      <c r="AD1867">
        <v>-1.121234907421</v>
      </c>
      <c r="AE1867">
        <v>0.69670000000002097</v>
      </c>
      <c r="AF1867">
        <v>0.81805368304291204</v>
      </c>
      <c r="AG1867">
        <v>-1.121234907421</v>
      </c>
      <c r="AH1867">
        <v>28.862794573089602</v>
      </c>
      <c r="AI1867">
        <v>92.223762233632598</v>
      </c>
      <c r="AJ1867">
        <v>88.376509293982295</v>
      </c>
      <c r="AK1867">
        <v>28.896146630897501</v>
      </c>
      <c r="AL1867">
        <v>92.904365156442694</v>
      </c>
      <c r="AM1867">
        <v>90.147849948885195</v>
      </c>
      <c r="AN1867">
        <v>1.0000000253686201</v>
      </c>
    </row>
    <row r="1868" spans="1:40" x14ac:dyDescent="0.25">
      <c r="A1868" t="str">
        <f>"20190303154500045"</f>
        <v>20190303154500045</v>
      </c>
      <c r="B1868" t="str">
        <f>"1551599100032546"</f>
        <v>1551599100032546</v>
      </c>
      <c r="C1868" t="s">
        <v>40</v>
      </c>
      <c r="D1868">
        <v>4.8416829999999997</v>
      </c>
      <c r="E1868">
        <v>0.51201929999999996</v>
      </c>
      <c r="F1868" t="s">
        <v>57</v>
      </c>
      <c r="G1868">
        <v>-404.82319999999999</v>
      </c>
      <c r="H1868" s="1">
        <v>6.1666399999999998E-6</v>
      </c>
      <c r="I1868">
        <v>285.08460000000002</v>
      </c>
      <c r="J1868">
        <v>-376.41789999999997</v>
      </c>
      <c r="K1868">
        <v>1.1212390000000001</v>
      </c>
      <c r="L1868">
        <v>284.39139999999998</v>
      </c>
      <c r="M1868">
        <v>-0.99988339999999998</v>
      </c>
      <c r="N1868">
        <v>-1.4611290000000001E-2</v>
      </c>
      <c r="O1868">
        <v>-4.4804270000000004E-3</v>
      </c>
      <c r="P1868">
        <v>-0.99782590000000004</v>
      </c>
      <c r="Q1868">
        <v>-6.5538910000000006E-2</v>
      </c>
      <c r="R1868">
        <v>-6.9832719999999996E-3</v>
      </c>
      <c r="S1868">
        <v>-2.9993289999999999</v>
      </c>
      <c r="T1868">
        <v>-0.1169931</v>
      </c>
      <c r="U1868">
        <v>7.2143550000000001E-2</v>
      </c>
      <c r="V1868">
        <v>-2.4856790000000002E-3</v>
      </c>
      <c r="W1868">
        <v>-5.0953350000000001E-2</v>
      </c>
      <c r="X1868">
        <v>0.99869790000000003</v>
      </c>
      <c r="Y1868">
        <v>2.8494539999999999E-2</v>
      </c>
      <c r="Z1868">
        <v>8.7299749999999998E-4</v>
      </c>
      <c r="AA1868">
        <v>0.99959359999999997</v>
      </c>
      <c r="AB1868">
        <v>34</v>
      </c>
      <c r="AC1868">
        <v>-28.4053</v>
      </c>
      <c r="AD1868">
        <v>-1.1212328333599999</v>
      </c>
      <c r="AE1868">
        <v>0.693200000000047</v>
      </c>
      <c r="AF1868">
        <v>0.81919885039715001</v>
      </c>
      <c r="AG1868">
        <v>-1.1212328333599999</v>
      </c>
      <c r="AH1868">
        <v>28.357751005624401</v>
      </c>
      <c r="AI1868">
        <v>92.263286561118207</v>
      </c>
      <c r="AJ1868">
        <v>88.345299429317507</v>
      </c>
      <c r="AK1868">
        <v>28.391729287242899</v>
      </c>
      <c r="AL1868">
        <v>92.920676756025202</v>
      </c>
      <c r="AM1868">
        <v>90.142604306911494</v>
      </c>
      <c r="AN1868">
        <v>0.99999995897035998</v>
      </c>
    </row>
    <row r="1869" spans="1:40" x14ac:dyDescent="0.25">
      <c r="A1869" t="str">
        <f>"20190303154500066"</f>
        <v>20190303154500066</v>
      </c>
      <c r="B1869" t="str">
        <f>"1551599100062802"</f>
        <v>1551599100062802</v>
      </c>
      <c r="C1869" t="s">
        <v>40</v>
      </c>
      <c r="D1869">
        <v>4.8479029999999996</v>
      </c>
      <c r="E1869">
        <v>0.5122234</v>
      </c>
      <c r="F1869" t="s">
        <v>57</v>
      </c>
      <c r="G1869">
        <v>-404.28129999999999</v>
      </c>
      <c r="H1869" s="1">
        <v>6.4086550000000004E-6</v>
      </c>
      <c r="I1869">
        <v>285.07619999999997</v>
      </c>
      <c r="J1869">
        <v>-376.75330000000002</v>
      </c>
      <c r="K1869">
        <v>1.1212390000000001</v>
      </c>
      <c r="L1869">
        <v>284.3897</v>
      </c>
      <c r="M1869">
        <v>-0.9998823</v>
      </c>
      <c r="N1869">
        <v>-1.4607480000000001E-2</v>
      </c>
      <c r="O1869">
        <v>-4.7178419999999999E-3</v>
      </c>
      <c r="P1869">
        <v>-0.99778330000000004</v>
      </c>
      <c r="Q1869">
        <v>-6.6166790000000003E-2</v>
      </c>
      <c r="R1869">
        <v>-7.1364219999999999E-3</v>
      </c>
      <c r="S1869">
        <v>-2.9991150000000002</v>
      </c>
      <c r="T1869">
        <v>-0.1206855</v>
      </c>
      <c r="U1869">
        <v>7.369995E-2</v>
      </c>
      <c r="V1869">
        <v>-2.4022639999999999E-3</v>
      </c>
      <c r="W1869">
        <v>-5.1585529999999997E-2</v>
      </c>
      <c r="X1869">
        <v>0.99866569999999999</v>
      </c>
      <c r="Y1869">
        <v>2.9249319999999999E-2</v>
      </c>
      <c r="Z1869">
        <v>9.2281969999999998E-4</v>
      </c>
      <c r="AA1869">
        <v>0.99957169999999895</v>
      </c>
      <c r="AB1869">
        <v>34</v>
      </c>
      <c r="AC1869">
        <v>-27.527999999999899</v>
      </c>
      <c r="AD1869">
        <v>-1.1212325913450001</v>
      </c>
      <c r="AE1869">
        <v>0.68649999999996603</v>
      </c>
      <c r="AF1869">
        <v>0.81502767760131301</v>
      </c>
      <c r="AG1869">
        <v>-1.1212325913450001</v>
      </c>
      <c r="AH1869">
        <v>27.478895724540699</v>
      </c>
      <c r="AI1869">
        <v>92.335540956645104</v>
      </c>
      <c r="AJ1869">
        <v>88.301097681177495</v>
      </c>
      <c r="AK1869">
        <v>27.513835481068998</v>
      </c>
      <c r="AL1869">
        <v>92.956945554587193</v>
      </c>
      <c r="AM1869">
        <v>90.137823220525405</v>
      </c>
      <c r="AN1869">
        <v>1.00000000906709</v>
      </c>
    </row>
    <row r="1870" spans="1:40" x14ac:dyDescent="0.25">
      <c r="A1870" t="str">
        <f>"20190303154500090"</f>
        <v>20190303154500090</v>
      </c>
      <c r="B1870" t="str">
        <f>"1551599100082322"</f>
        <v>1551599100082322</v>
      </c>
      <c r="C1870" t="s">
        <v>40</v>
      </c>
      <c r="D1870">
        <v>4.8533910000000002</v>
      </c>
      <c r="E1870">
        <v>0.512243</v>
      </c>
      <c r="F1870" t="s">
        <v>57</v>
      </c>
      <c r="G1870">
        <v>-403.7713</v>
      </c>
      <c r="H1870" s="1">
        <v>6.6372489999999996E-6</v>
      </c>
      <c r="I1870">
        <v>285.06439999999998</v>
      </c>
      <c r="J1870">
        <v>-377.10410000000002</v>
      </c>
      <c r="K1870">
        <v>1.1212260000000001</v>
      </c>
      <c r="L1870">
        <v>284.38780000000003</v>
      </c>
      <c r="M1870">
        <v>-0.99988109999999997</v>
      </c>
      <c r="N1870">
        <v>-1.4603440000000001E-2</v>
      </c>
      <c r="O1870">
        <v>-4.9664560000000002E-3</v>
      </c>
      <c r="P1870">
        <v>-0.99777400000000005</v>
      </c>
      <c r="Q1870">
        <v>-6.6302539999999993E-2</v>
      </c>
      <c r="R1870">
        <v>-7.1748259999999996E-3</v>
      </c>
      <c r="S1870">
        <v>-2.9989620000000001</v>
      </c>
      <c r="T1870">
        <v>-0.1244553</v>
      </c>
      <c r="U1870">
        <v>7.4890139999999994E-2</v>
      </c>
      <c r="V1870">
        <v>-2.19272E-3</v>
      </c>
      <c r="W1870">
        <v>-5.1725309999999997E-2</v>
      </c>
      <c r="X1870">
        <v>0.99865899999999996</v>
      </c>
      <c r="Y1870">
        <v>2.9892789999999999E-2</v>
      </c>
      <c r="Z1870">
        <v>9.7183380000000002E-4</v>
      </c>
      <c r="AA1870">
        <v>0.99955269999999996</v>
      </c>
      <c r="AB1870">
        <v>34</v>
      </c>
      <c r="AC1870">
        <v>-26.667199999999902</v>
      </c>
      <c r="AD1870">
        <v>-1.1212193627509901</v>
      </c>
      <c r="AE1870">
        <v>0.67659999999995002</v>
      </c>
      <c r="AF1870">
        <v>0.80762047374924895</v>
      </c>
      <c r="AG1870">
        <v>-1.1212193627509901</v>
      </c>
      <c r="AH1870">
        <v>26.616488759362799</v>
      </c>
      <c r="AI1870">
        <v>92.411049747896797</v>
      </c>
      <c r="AJ1870">
        <v>88.262015258368294</v>
      </c>
      <c r="AK1870">
        <v>26.652333060471701</v>
      </c>
      <c r="AL1870">
        <v>92.964964922645805</v>
      </c>
      <c r="AM1870">
        <v>90.125802100380298</v>
      </c>
      <c r="AN1870">
        <v>1.0000000569982901</v>
      </c>
    </row>
    <row r="1871" spans="1:40" x14ac:dyDescent="0.25">
      <c r="A1871" t="str">
        <f>"20190303154500111"</f>
        <v>20190303154500111</v>
      </c>
      <c r="B1871" t="str">
        <f>"1551599100102818"</f>
        <v>1551599100102818</v>
      </c>
      <c r="C1871" t="s">
        <v>40</v>
      </c>
      <c r="D1871">
        <v>4.8664860000000001</v>
      </c>
      <c r="E1871">
        <v>0.51232749999999905</v>
      </c>
      <c r="F1871" t="s">
        <v>57</v>
      </c>
      <c r="G1871">
        <v>-403.56659999999999</v>
      </c>
      <c r="H1871" s="1">
        <v>6.7315930000000001E-6</v>
      </c>
      <c r="I1871">
        <v>285.04730000000001</v>
      </c>
      <c r="J1871">
        <v>-377.43790000000001</v>
      </c>
      <c r="K1871">
        <v>1.121227</v>
      </c>
      <c r="L1871">
        <v>284.38589999999999</v>
      </c>
      <c r="M1871">
        <v>-0.99987999999999999</v>
      </c>
      <c r="N1871">
        <v>-1.459971E-2</v>
      </c>
      <c r="O1871">
        <v>-5.2035110000000001E-3</v>
      </c>
      <c r="P1871">
        <v>-0.99774689999999999</v>
      </c>
      <c r="Q1871">
        <v>-6.6662600000000002E-2</v>
      </c>
      <c r="R1871">
        <v>-7.5686290000000003E-3</v>
      </c>
      <c r="S1871">
        <v>-2.9987789999999999</v>
      </c>
      <c r="T1871">
        <v>-0.1270587</v>
      </c>
      <c r="U1871">
        <v>7.473755E-2</v>
      </c>
      <c r="V1871">
        <v>-2.3498199999999999E-3</v>
      </c>
      <c r="W1871">
        <v>-5.208952E-2</v>
      </c>
      <c r="X1871">
        <v>0.99863959999999996</v>
      </c>
      <c r="Y1871">
        <v>3.0078750000000001E-2</v>
      </c>
      <c r="Z1871">
        <v>1.0009890000000001E-3</v>
      </c>
      <c r="AA1871">
        <v>0.99954699999999996</v>
      </c>
      <c r="AB1871">
        <v>34</v>
      </c>
      <c r="AC1871">
        <v>-26.128699999999899</v>
      </c>
      <c r="AD1871">
        <v>-1.1212202684070001</v>
      </c>
      <c r="AE1871">
        <v>0.66140000000001398</v>
      </c>
      <c r="AF1871">
        <v>0.79590186872427204</v>
      </c>
      <c r="AG1871">
        <v>-1.1212202684070001</v>
      </c>
      <c r="AH1871">
        <v>26.076917135334298</v>
      </c>
      <c r="AI1871">
        <v>92.460866023700106</v>
      </c>
      <c r="AJ1871">
        <v>88.251800029884805</v>
      </c>
      <c r="AK1871">
        <v>26.113142322555099</v>
      </c>
      <c r="AL1871">
        <v>92.985861121173699</v>
      </c>
      <c r="AM1871">
        <v>90.134817926445507</v>
      </c>
      <c r="AN1871">
        <v>0.99999994521800895</v>
      </c>
    </row>
    <row r="1872" spans="1:40" x14ac:dyDescent="0.25">
      <c r="A1872" t="str">
        <f>"20190303154500136"</f>
        <v>20190303154500136</v>
      </c>
      <c r="B1872" t="str">
        <f>"1551599100132098"</f>
        <v>1551599100132098</v>
      </c>
      <c r="C1872" t="s">
        <v>40</v>
      </c>
      <c r="D1872">
        <v>4.8771500000000003</v>
      </c>
      <c r="E1872">
        <v>0.51244719999999999</v>
      </c>
      <c r="F1872" t="s">
        <v>57</v>
      </c>
      <c r="G1872">
        <v>-403.50560000000002</v>
      </c>
      <c r="H1872" s="1">
        <v>6.7618350000000001E-6</v>
      </c>
      <c r="I1872">
        <v>285.03160000000003</v>
      </c>
      <c r="J1872">
        <v>-377.7955</v>
      </c>
      <c r="K1872">
        <v>1.1212230000000001</v>
      </c>
      <c r="L1872">
        <v>284.38380000000001</v>
      </c>
      <c r="M1872">
        <v>-0.99987859999999995</v>
      </c>
      <c r="N1872">
        <v>-1.45957E-2</v>
      </c>
      <c r="O1872">
        <v>-5.4570180000000001E-3</v>
      </c>
      <c r="P1872">
        <v>-0.99772249999999996</v>
      </c>
      <c r="Q1872">
        <v>-6.6890439999999995E-2</v>
      </c>
      <c r="R1872">
        <v>-8.6979640000000007E-3</v>
      </c>
      <c r="S1872">
        <v>-2.9987180000000002</v>
      </c>
      <c r="T1872">
        <v>-0.12898019999999999</v>
      </c>
      <c r="U1872">
        <v>7.4279789999999998E-2</v>
      </c>
      <c r="V1872">
        <v>-3.2259659999999998E-3</v>
      </c>
      <c r="W1872">
        <v>-5.2322029999999999E-2</v>
      </c>
      <c r="X1872">
        <v>0.99862499999999998</v>
      </c>
      <c r="Y1872">
        <v>3.017891E-2</v>
      </c>
      <c r="Z1872">
        <v>1.024007E-3</v>
      </c>
      <c r="AA1872">
        <v>0.99954399999999999</v>
      </c>
      <c r="AB1872">
        <v>34</v>
      </c>
      <c r="AC1872">
        <v>-25.710100000000001</v>
      </c>
      <c r="AD1872">
        <v>-1.1212162381649999</v>
      </c>
      <c r="AE1872">
        <v>0.64780000000001703</v>
      </c>
      <c r="AF1872">
        <v>0.786610726618867</v>
      </c>
      <c r="AG1872">
        <v>-1.1212162381649999</v>
      </c>
      <c r="AH1872">
        <v>25.6574166382402</v>
      </c>
      <c r="AI1872">
        <v>92.501031238572494</v>
      </c>
      <c r="AJ1872">
        <v>88.243963424518498</v>
      </c>
      <c r="AK1872">
        <v>25.693946968813499</v>
      </c>
      <c r="AL1872">
        <v>92.999201151978596</v>
      </c>
      <c r="AM1872">
        <v>90.185088089832206</v>
      </c>
      <c r="AN1872">
        <v>0.99999994615247501</v>
      </c>
    </row>
    <row r="1873" spans="1:40" x14ac:dyDescent="0.25">
      <c r="A1873" t="str">
        <f>"20190303154500156"</f>
        <v>20190303154500156</v>
      </c>
      <c r="B1873" t="str">
        <f>"1551599100152594"</f>
        <v>1551599100152594</v>
      </c>
      <c r="C1873" t="s">
        <v>40</v>
      </c>
      <c r="D1873">
        <v>4.8462839999999998</v>
      </c>
      <c r="E1873">
        <v>0.51234139999999995</v>
      </c>
      <c r="F1873" t="s">
        <v>57</v>
      </c>
      <c r="G1873">
        <v>-403.51549999999997</v>
      </c>
      <c r="H1873" s="1">
        <v>6.7637930000000004E-6</v>
      </c>
      <c r="I1873">
        <v>285.0009</v>
      </c>
      <c r="J1873">
        <v>-378.11849999999998</v>
      </c>
      <c r="K1873">
        <v>1.1212219999999999</v>
      </c>
      <c r="L1873">
        <v>284.38170000000002</v>
      </c>
      <c r="M1873">
        <v>-0.99987749999999997</v>
      </c>
      <c r="N1873">
        <v>-1.459207E-2</v>
      </c>
      <c r="O1873">
        <v>-5.6859739999999999E-3</v>
      </c>
      <c r="P1873">
        <v>-0.99771049999999994</v>
      </c>
      <c r="Q1873">
        <v>-6.6955870000000001E-2</v>
      </c>
      <c r="R1873">
        <v>-9.5191819999999993E-3</v>
      </c>
      <c r="S1873">
        <v>-2.9987789999999999</v>
      </c>
      <c r="T1873">
        <v>-0.13072629999999999</v>
      </c>
      <c r="U1873">
        <v>7.1960449999999995E-2</v>
      </c>
      <c r="V1873">
        <v>-3.8192740000000001E-3</v>
      </c>
      <c r="W1873">
        <v>-5.2391449999999999E-2</v>
      </c>
      <c r="X1873">
        <v>0.99861929999999999</v>
      </c>
      <c r="Y1873">
        <v>2.9634279999999999E-2</v>
      </c>
      <c r="Z1873">
        <v>1.026704E-3</v>
      </c>
      <c r="AA1873">
        <v>0.99956029999999996</v>
      </c>
      <c r="AB1873">
        <v>34</v>
      </c>
      <c r="AC1873">
        <v>-25.396999999999899</v>
      </c>
      <c r="AD1873">
        <v>-1.121215236207</v>
      </c>
      <c r="AE1873">
        <v>0.61919999999997799</v>
      </c>
      <c r="AF1873">
        <v>0.76212751826995595</v>
      </c>
      <c r="AG1873">
        <v>-1.121215236207</v>
      </c>
      <c r="AH1873">
        <v>25.343702553077801</v>
      </c>
      <c r="AI1873">
        <v>92.531992656435705</v>
      </c>
      <c r="AJ1873">
        <v>88.277539178903794</v>
      </c>
      <c r="AK1873">
        <v>25.3799373730293</v>
      </c>
      <c r="AL1873">
        <v>93.003183990458098</v>
      </c>
      <c r="AM1873">
        <v>90.219129766532404</v>
      </c>
      <c r="AN1873">
        <v>0.99999997860973899</v>
      </c>
    </row>
    <row r="1874" spans="1:40" x14ac:dyDescent="0.25">
      <c r="A1874" t="str">
        <f>"20190303154500178"</f>
        <v>20190303154500178</v>
      </c>
      <c r="B1874" t="str">
        <f>"1551599100172114"</f>
        <v>1551599100172114</v>
      </c>
      <c r="C1874" t="s">
        <v>40</v>
      </c>
      <c r="D1874">
        <v>4.9026550000000002</v>
      </c>
      <c r="E1874">
        <v>0.50616989999999995</v>
      </c>
      <c r="F1874" t="s">
        <v>57</v>
      </c>
      <c r="G1874">
        <v>-403.64800000000002</v>
      </c>
      <c r="H1874" s="1">
        <v>6.7123650000000004E-6</v>
      </c>
      <c r="I1874">
        <v>284.96550000000002</v>
      </c>
      <c r="J1874">
        <v>-378.45859999999999</v>
      </c>
      <c r="K1874">
        <v>1.121232</v>
      </c>
      <c r="L1874">
        <v>284.37950000000001</v>
      </c>
      <c r="M1874">
        <v>-0.99987599999999999</v>
      </c>
      <c r="N1874">
        <v>-1.458827E-2</v>
      </c>
      <c r="O1874">
        <v>-5.9262560000000004E-3</v>
      </c>
      <c r="P1874">
        <v>-0.9977509</v>
      </c>
      <c r="Q1874">
        <v>-6.6203979999999996E-2</v>
      </c>
      <c r="R1874">
        <v>-1.04876E-2</v>
      </c>
      <c r="S1874">
        <v>-2.9987180000000002</v>
      </c>
      <c r="T1874">
        <v>-0.13169919999999999</v>
      </c>
      <c r="U1874">
        <v>6.8572999999999995E-2</v>
      </c>
      <c r="V1874">
        <v>-4.5480039999999996E-3</v>
      </c>
      <c r="W1874">
        <v>-5.1643130000000002E-2</v>
      </c>
      <c r="X1874">
        <v>0.99865530000000002</v>
      </c>
      <c r="Y1874">
        <v>2.8746939999999999E-2</v>
      </c>
      <c r="Z1874">
        <v>1.01443E-3</v>
      </c>
      <c r="AA1874">
        <v>0.99958619999999998</v>
      </c>
      <c r="AB1874">
        <v>34</v>
      </c>
      <c r="AC1874">
        <v>-25.189399999999999</v>
      </c>
      <c r="AD1874">
        <v>-1.121225287635</v>
      </c>
      <c r="AE1874">
        <v>0.58600000000001196</v>
      </c>
      <c r="AF1874">
        <v>0.73383127781716395</v>
      </c>
      <c r="AG1874">
        <v>-1.121225287635</v>
      </c>
      <c r="AH1874">
        <v>25.135709983241401</v>
      </c>
      <c r="AI1874">
        <v>92.553005792991797</v>
      </c>
      <c r="AJ1874">
        <v>88.327737882329799</v>
      </c>
      <c r="AK1874">
        <v>25.171403831561602</v>
      </c>
      <c r="AL1874">
        <v>92.960250066909694</v>
      </c>
      <c r="AM1874">
        <v>90.260930506189297</v>
      </c>
      <c r="AN1874">
        <v>1.0000000527173301</v>
      </c>
    </row>
    <row r="1875" spans="1:40" x14ac:dyDescent="0.25">
      <c r="A1875" t="str">
        <f>"20190303154500200"</f>
        <v>20190303154500200</v>
      </c>
      <c r="B1875" t="str">
        <f>"1551599100192613"</f>
        <v>1551599100192613</v>
      </c>
      <c r="C1875" t="s">
        <v>40</v>
      </c>
      <c r="D1875">
        <v>4.9061009999999996</v>
      </c>
      <c r="E1875">
        <v>0.50582929999999904</v>
      </c>
      <c r="F1875" t="s">
        <v>57</v>
      </c>
      <c r="G1875">
        <v>-408.28980000000001</v>
      </c>
      <c r="H1875" s="1">
        <v>4.7417130000000004E-6</v>
      </c>
      <c r="I1875">
        <v>284.54070000000002</v>
      </c>
      <c r="J1875">
        <v>-378.7867</v>
      </c>
      <c r="K1875">
        <v>1.1212390000000001</v>
      </c>
      <c r="L1875">
        <v>284.37740000000002</v>
      </c>
      <c r="M1875">
        <v>-0.99987470000000001</v>
      </c>
      <c r="N1875">
        <v>-1.458462E-2</v>
      </c>
      <c r="O1875">
        <v>-6.1581939999999996E-3</v>
      </c>
      <c r="P1875">
        <v>-0.99777289999999996</v>
      </c>
      <c r="Q1875">
        <v>-6.5722820000000001E-2</v>
      </c>
      <c r="R1875">
        <v>-1.1402600000000001E-2</v>
      </c>
      <c r="S1875">
        <v>-2.9994809999999998</v>
      </c>
      <c r="T1875">
        <v>-0.1127378</v>
      </c>
      <c r="U1875">
        <v>1.620483E-2</v>
      </c>
      <c r="V1875">
        <v>-5.2314730000000004E-3</v>
      </c>
      <c r="W1875">
        <v>-5.1165589999999997E-2</v>
      </c>
      <c r="X1875">
        <v>0.99867649999999997</v>
      </c>
      <c r="Y1875">
        <v>1.154817E-2</v>
      </c>
      <c r="Z1875">
        <v>4.4278170000000002E-4</v>
      </c>
      <c r="AA1875">
        <v>0.99993319999999997</v>
      </c>
      <c r="AB1875">
        <v>34</v>
      </c>
      <c r="AC1875">
        <v>-29.5031</v>
      </c>
      <c r="AD1875">
        <v>-1.1212342582870001</v>
      </c>
      <c r="AE1875">
        <v>0.16329999999999201</v>
      </c>
      <c r="AF1875">
        <v>0.34450448550250701</v>
      </c>
      <c r="AG1875">
        <v>-1.1212342582870001</v>
      </c>
      <c r="AH1875">
        <v>29.4589883935983</v>
      </c>
      <c r="AI1875">
        <v>92.179525310934295</v>
      </c>
      <c r="AJ1875">
        <v>89.329992155749807</v>
      </c>
      <c r="AK1875">
        <v>29.4823310946853</v>
      </c>
      <c r="AL1875">
        <v>92.932852919863095</v>
      </c>
      <c r="AM1875">
        <v>90.300135811604704</v>
      </c>
      <c r="AN1875">
        <v>1.0000000187810201</v>
      </c>
    </row>
    <row r="1876" spans="1:40" x14ac:dyDescent="0.25">
      <c r="A1876" t="str">
        <f>"20190303154500223"</f>
        <v>20190303154500223</v>
      </c>
      <c r="B1876" t="str">
        <f>"1551599100212130"</f>
        <v>1551599100212130</v>
      </c>
      <c r="C1876" t="s">
        <v>40</v>
      </c>
      <c r="D1876">
        <v>4.9074400000000002</v>
      </c>
      <c r="E1876">
        <v>0.50635580000000002</v>
      </c>
      <c r="F1876" t="s">
        <v>57</v>
      </c>
      <c r="G1876">
        <v>-409.26799999999997</v>
      </c>
      <c r="H1876" s="1">
        <v>4.3193350000000002E-6</v>
      </c>
      <c r="I1876">
        <v>284.48540000000003</v>
      </c>
      <c r="J1876">
        <v>-379.1268</v>
      </c>
      <c r="K1876">
        <v>1.121237</v>
      </c>
      <c r="L1876">
        <v>284.37509999999997</v>
      </c>
      <c r="M1876">
        <v>-0.99987329999999996</v>
      </c>
      <c r="N1876">
        <v>-1.458053E-2</v>
      </c>
      <c r="O1876">
        <v>-6.3989420000000003E-3</v>
      </c>
      <c r="P1876">
        <v>-0.99777249999999995</v>
      </c>
      <c r="Q1876">
        <v>-6.5770250000000002E-2</v>
      </c>
      <c r="R1876">
        <v>-1.117396E-2</v>
      </c>
      <c r="S1876">
        <v>-2.9995419999999999</v>
      </c>
      <c r="T1876">
        <v>-0.1103363</v>
      </c>
      <c r="U1876">
        <v>1.062012E-2</v>
      </c>
      <c r="V1876">
        <v>-4.7623980000000002E-3</v>
      </c>
      <c r="W1876">
        <v>-5.121684E-2</v>
      </c>
      <c r="X1876">
        <v>0.99867620000000001</v>
      </c>
      <c r="Y1876">
        <v>9.9291099999999997E-3</v>
      </c>
      <c r="Z1876">
        <v>3.9699430000000001E-4</v>
      </c>
      <c r="AA1876">
        <v>0.99995060000000002</v>
      </c>
      <c r="AB1876">
        <v>34</v>
      </c>
      <c r="AC1876">
        <v>-30.141200000000001</v>
      </c>
      <c r="AD1876">
        <v>-1.1212326806649999</v>
      </c>
      <c r="AE1876">
        <v>0.110300000000052</v>
      </c>
      <c r="AF1876">
        <v>0.30277105560393502</v>
      </c>
      <c r="AG1876">
        <v>-1.1212326806649999</v>
      </c>
      <c r="AH1876">
        <v>30.0982278055974</v>
      </c>
      <c r="AI1876">
        <v>92.133313722886896</v>
      </c>
      <c r="AJ1876">
        <v>89.423656480753195</v>
      </c>
      <c r="AK1876">
        <v>30.120626654735101</v>
      </c>
      <c r="AL1876">
        <v>92.935793242315299</v>
      </c>
      <c r="AM1876">
        <v>90.273224932581599</v>
      </c>
      <c r="AN1876">
        <v>0.99999999879036705</v>
      </c>
    </row>
    <row r="1877" spans="1:40" x14ac:dyDescent="0.25">
      <c r="A1877" t="str">
        <f>"20190303154500245"</f>
        <v>20190303154500245</v>
      </c>
      <c r="B1877" t="str">
        <f>"1551599100232626"</f>
        <v>1551599100232626</v>
      </c>
      <c r="C1877" t="s">
        <v>40</v>
      </c>
      <c r="D1877">
        <v>4.909427</v>
      </c>
      <c r="E1877">
        <v>0.50648740000000003</v>
      </c>
      <c r="F1877" t="s">
        <v>57</v>
      </c>
      <c r="G1877">
        <v>-410.01240000000001</v>
      </c>
      <c r="H1877" s="1">
        <v>2.215039E-6</v>
      </c>
      <c r="I1877">
        <v>284.53530000000001</v>
      </c>
      <c r="J1877">
        <v>-379.46199999999999</v>
      </c>
      <c r="K1877">
        <v>1.1212299999999999</v>
      </c>
      <c r="L1877">
        <v>284.37270000000001</v>
      </c>
      <c r="M1877">
        <v>-0.99987170000000003</v>
      </c>
      <c r="N1877">
        <v>-1.4576769999999999E-2</v>
      </c>
      <c r="O1877">
        <v>-6.6363569999999998E-3</v>
      </c>
      <c r="P1877">
        <v>-0.99773140000000005</v>
      </c>
      <c r="Q1877">
        <v>-6.6443160000000001E-2</v>
      </c>
      <c r="R1877">
        <v>-1.0850520000000001E-2</v>
      </c>
      <c r="S1877">
        <v>-2.9996339999999999</v>
      </c>
      <c r="T1877">
        <v>-0.1088952</v>
      </c>
      <c r="U1877">
        <v>1.556396E-2</v>
      </c>
      <c r="V1877">
        <v>-4.2022309999999998E-3</v>
      </c>
      <c r="W1877">
        <v>-5.1893790000000002E-2</v>
      </c>
      <c r="X1877">
        <v>0.99864379999999997</v>
      </c>
      <c r="Y1877">
        <v>1.1812939999999999E-2</v>
      </c>
      <c r="Z1877">
        <v>4.4460680000000001E-4</v>
      </c>
      <c r="AA1877">
        <v>0.99993010000000004</v>
      </c>
      <c r="AB1877">
        <v>34</v>
      </c>
      <c r="AC1877">
        <v>-30.5504</v>
      </c>
      <c r="AD1877">
        <v>-1.121227784961</v>
      </c>
      <c r="AE1877">
        <v>0.162599999999997</v>
      </c>
      <c r="AF1877">
        <v>0.36486987843854302</v>
      </c>
      <c r="AG1877">
        <v>-1.121227784961</v>
      </c>
      <c r="AH1877">
        <v>30.507556705492899</v>
      </c>
      <c r="AI1877">
        <v>92.104663163705297</v>
      </c>
      <c r="AJ1877">
        <v>89.314776086119593</v>
      </c>
      <c r="AK1877">
        <v>30.530334061598801</v>
      </c>
      <c r="AL1877">
        <v>92.974631172095201</v>
      </c>
      <c r="AM1877">
        <v>90.241095653695098</v>
      </c>
      <c r="AN1877">
        <v>1.00000003173219</v>
      </c>
    </row>
    <row r="1878" spans="1:40" x14ac:dyDescent="0.25">
      <c r="A1878" t="str">
        <f>"20190303154500267"</f>
        <v>20190303154500267</v>
      </c>
      <c r="B1878" t="str">
        <f>"1551599100262882"</f>
        <v>1551599100262882</v>
      </c>
      <c r="C1878" t="s">
        <v>40</v>
      </c>
      <c r="D1878">
        <v>4.9558920000000004</v>
      </c>
      <c r="E1878">
        <v>0.50681599999999905</v>
      </c>
      <c r="F1878" t="s">
        <v>57</v>
      </c>
      <c r="G1878">
        <v>-410.03949999999998</v>
      </c>
      <c r="H1878" s="1">
        <v>2.2183969999999999E-6</v>
      </c>
      <c r="I1878">
        <v>284.55180000000001</v>
      </c>
      <c r="J1878">
        <v>-379.80110000000002</v>
      </c>
      <c r="K1878">
        <v>1.121227</v>
      </c>
      <c r="L1878">
        <v>284.37009999999998</v>
      </c>
      <c r="M1878">
        <v>-0.99987009999999998</v>
      </c>
      <c r="N1878">
        <v>-1.457322E-2</v>
      </c>
      <c r="O1878">
        <v>-6.877701E-3</v>
      </c>
      <c r="P1878">
        <v>-0.9977338</v>
      </c>
      <c r="Q1878">
        <v>-6.6429360000000007E-2</v>
      </c>
      <c r="R1878">
        <v>-1.0685689999999999E-2</v>
      </c>
      <c r="S1878">
        <v>-2.9997250000000002</v>
      </c>
      <c r="T1878">
        <v>-0.1099952</v>
      </c>
      <c r="U1878">
        <v>1.7578130000000001E-2</v>
      </c>
      <c r="V1878">
        <v>-3.7969950000000001E-3</v>
      </c>
      <c r="W1878">
        <v>-5.1883289999999999E-2</v>
      </c>
      <c r="X1878">
        <v>0.99864600000000003</v>
      </c>
      <c r="Y1878">
        <v>1.2724350000000001E-2</v>
      </c>
      <c r="Z1878">
        <v>4.7787030000000002E-4</v>
      </c>
      <c r="AA1878">
        <v>0.99991890000000005</v>
      </c>
      <c r="AB1878">
        <v>34</v>
      </c>
      <c r="AC1878">
        <v>-30.238399999999899</v>
      </c>
      <c r="AD1878">
        <v>-1.1212247816030001</v>
      </c>
      <c r="AE1878">
        <v>0.181700000000034</v>
      </c>
      <c r="AF1878">
        <v>0.38915345022848002</v>
      </c>
      <c r="AG1878">
        <v>-1.1212247816030001</v>
      </c>
      <c r="AH1878">
        <v>30.194921669886298</v>
      </c>
      <c r="AI1878">
        <v>92.126404539288401</v>
      </c>
      <c r="AJ1878">
        <v>89.261610408092693</v>
      </c>
      <c r="AK1878">
        <v>30.218237540751399</v>
      </c>
      <c r="AL1878">
        <v>92.974028661428406</v>
      </c>
      <c r="AM1878">
        <v>90.217845703092607</v>
      </c>
      <c r="AN1878">
        <v>1.0000000631341199</v>
      </c>
    </row>
    <row r="1879" spans="1:40" x14ac:dyDescent="0.25">
      <c r="A1879" t="str">
        <f>"20190303154500290"</f>
        <v>20190303154500290</v>
      </c>
      <c r="B1879" t="str">
        <f>"1551599100282403"</f>
        <v>1551599100282403</v>
      </c>
      <c r="C1879" t="s">
        <v>40</v>
      </c>
      <c r="D1879">
        <v>4.8912890000000004</v>
      </c>
      <c r="E1879">
        <v>0.50701370000000001</v>
      </c>
      <c r="F1879" t="s">
        <v>57</v>
      </c>
      <c r="G1879">
        <v>-410.32549999999998</v>
      </c>
      <c r="H1879" s="1">
        <v>2.2667170000000001E-6</v>
      </c>
      <c r="I1879">
        <v>284.57940000000002</v>
      </c>
      <c r="J1879">
        <v>-380.14159999999998</v>
      </c>
      <c r="K1879">
        <v>1.1212359999999999</v>
      </c>
      <c r="L1879">
        <v>284.36759999999998</v>
      </c>
      <c r="M1879">
        <v>-0.99986839999999999</v>
      </c>
      <c r="N1879">
        <v>-1.4569779999999999E-2</v>
      </c>
      <c r="O1879">
        <v>-7.1201199999999997E-3</v>
      </c>
      <c r="P1879">
        <v>-0.9977433</v>
      </c>
      <c r="Q1879">
        <v>-6.6294779999999998E-2</v>
      </c>
      <c r="R1879">
        <v>-1.064263E-2</v>
      </c>
      <c r="S1879">
        <v>-2.9997250000000002</v>
      </c>
      <c r="T1879">
        <v>-0.1101863</v>
      </c>
      <c r="U1879">
        <v>2.056885E-2</v>
      </c>
      <c r="V1879">
        <v>-3.5117799999999999E-3</v>
      </c>
      <c r="W1879">
        <v>-5.1751859999999997E-2</v>
      </c>
      <c r="X1879">
        <v>0.99865380000000004</v>
      </c>
      <c r="Y1879">
        <v>1.396238E-2</v>
      </c>
      <c r="Z1879">
        <v>5.1583779999999995E-4</v>
      </c>
      <c r="AA1879">
        <v>0.99990239999999997</v>
      </c>
      <c r="AB1879">
        <v>34</v>
      </c>
      <c r="AC1879">
        <v>-30.183899999999898</v>
      </c>
      <c r="AD1879">
        <v>-1.121233733283</v>
      </c>
      <c r="AE1879">
        <v>0.21180000000003901</v>
      </c>
      <c r="AF1879">
        <v>0.42614245995237998</v>
      </c>
      <c r="AG1879">
        <v>-1.121233733283</v>
      </c>
      <c r="AH1879">
        <v>30.140038906495501</v>
      </c>
      <c r="AI1879">
        <v>92.130254026724899</v>
      </c>
      <c r="AJ1879">
        <v>89.189963299896803</v>
      </c>
      <c r="AK1879">
        <v>30.163897423341801</v>
      </c>
      <c r="AL1879">
        <v>92.966488335075397</v>
      </c>
      <c r="AM1879">
        <v>90.201480576356801</v>
      </c>
      <c r="AN1879">
        <v>0.99999999993333399</v>
      </c>
    </row>
    <row r="1880" spans="1:40" x14ac:dyDescent="0.25">
      <c r="A1880" t="str">
        <f>"20190303154500315"</f>
        <v>20190303154500315</v>
      </c>
      <c r="B1880" t="str">
        <f>"1551599100302898"</f>
        <v>1551599100302898</v>
      </c>
      <c r="C1880" t="s">
        <v>40</v>
      </c>
      <c r="D1880">
        <v>4.8578809999999999</v>
      </c>
      <c r="E1880">
        <v>0.50701049999999903</v>
      </c>
      <c r="F1880" t="s">
        <v>57</v>
      </c>
      <c r="G1880">
        <v>-411.15100000000001</v>
      </c>
      <c r="H1880" s="1">
        <v>2.4115589999999998E-6</v>
      </c>
      <c r="I1880">
        <v>284.59750000000003</v>
      </c>
      <c r="J1880">
        <v>-380.48919999999998</v>
      </c>
      <c r="K1880">
        <v>1.121237</v>
      </c>
      <c r="L1880">
        <v>284.3648</v>
      </c>
      <c r="M1880">
        <v>-0.9998667</v>
      </c>
      <c r="N1880">
        <v>-1.4566269999999999E-2</v>
      </c>
      <c r="O1880">
        <v>-7.367546E-3</v>
      </c>
      <c r="P1880">
        <v>-0.99782499999999996</v>
      </c>
      <c r="Q1880">
        <v>-6.5041370000000001E-2</v>
      </c>
      <c r="R1880">
        <v>-1.073171E-2</v>
      </c>
      <c r="S1880">
        <v>-2.9998170000000002</v>
      </c>
      <c r="T1880">
        <v>-0.10846699999999999</v>
      </c>
      <c r="U1880">
        <v>2.2247309999999999E-2</v>
      </c>
      <c r="V1880">
        <v>-3.3538980000000001E-3</v>
      </c>
      <c r="W1880">
        <v>-5.050081E-2</v>
      </c>
      <c r="X1880">
        <v>0.99871840000000001</v>
      </c>
      <c r="Y1880">
        <v>1.4768689999999999E-2</v>
      </c>
      <c r="Z1880">
        <v>5.3353319999999995E-4</v>
      </c>
      <c r="AA1880">
        <v>0.99989079999999997</v>
      </c>
      <c r="AB1880">
        <v>34</v>
      </c>
      <c r="AC1880">
        <v>-30.661799999999999</v>
      </c>
      <c r="AD1880">
        <v>-1.121234588441</v>
      </c>
      <c r="AE1880">
        <v>0.232700000000022</v>
      </c>
      <c r="AF1880">
        <v>0.45800747428912603</v>
      </c>
      <c r="AG1880">
        <v>-1.121234588441</v>
      </c>
      <c r="AH1880">
        <v>30.618312456420501</v>
      </c>
      <c r="AI1880">
        <v>92.096984935914094</v>
      </c>
      <c r="AJ1880">
        <v>89.142998548139801</v>
      </c>
      <c r="AK1880">
        <v>30.642258329434799</v>
      </c>
      <c r="AL1880">
        <v>92.894714545795907</v>
      </c>
      <c r="AM1880">
        <v>90.1924100706903</v>
      </c>
      <c r="AN1880">
        <v>1.0000000114705001</v>
      </c>
    </row>
    <row r="1881" spans="1:40" x14ac:dyDescent="0.25">
      <c r="A1881" t="str">
        <f>"20190303154500337"</f>
        <v>20190303154500337</v>
      </c>
      <c r="B1881" t="str">
        <f>"1551599100332180"</f>
        <v>1551599100332180</v>
      </c>
      <c r="C1881" t="s">
        <v>40</v>
      </c>
      <c r="D1881">
        <v>4.8653019999999998</v>
      </c>
      <c r="E1881">
        <v>0.50714769999999998</v>
      </c>
      <c r="F1881" t="s">
        <v>57</v>
      </c>
      <c r="G1881">
        <v>-412.22050000000002</v>
      </c>
      <c r="H1881" s="1">
        <v>2.600985E-6</v>
      </c>
      <c r="I1881">
        <v>284.60070000000002</v>
      </c>
      <c r="J1881">
        <v>-380.83659999999998</v>
      </c>
      <c r="K1881">
        <v>1.12124</v>
      </c>
      <c r="L1881">
        <v>284.36189999999999</v>
      </c>
      <c r="M1881">
        <v>-0.999865</v>
      </c>
      <c r="N1881">
        <v>-1.456264E-2</v>
      </c>
      <c r="O1881">
        <v>-7.6149719999999898E-3</v>
      </c>
      <c r="P1881">
        <v>-0.99781960000000003</v>
      </c>
      <c r="Q1881">
        <v>-6.507048E-2</v>
      </c>
      <c r="R1881">
        <v>-1.10505E-2</v>
      </c>
      <c r="S1881">
        <v>-2.999908</v>
      </c>
      <c r="T1881">
        <v>-0.10600270000000001</v>
      </c>
      <c r="U1881">
        <v>2.2308350000000001E-2</v>
      </c>
      <c r="V1881">
        <v>-3.426279E-3</v>
      </c>
      <c r="W1881">
        <v>-5.0533599999999998E-2</v>
      </c>
      <c r="X1881">
        <v>0.99871650000000001</v>
      </c>
      <c r="Y1881">
        <v>1.5036590000000001E-2</v>
      </c>
      <c r="Z1881">
        <v>5.3322820000000003E-4</v>
      </c>
      <c r="AA1881">
        <v>0.99988679999999996</v>
      </c>
      <c r="AB1881">
        <v>34</v>
      </c>
      <c r="AC1881">
        <v>-31.383900000000001</v>
      </c>
      <c r="AD1881">
        <v>-1.121237399015</v>
      </c>
      <c r="AE1881">
        <v>0.23880000000002599</v>
      </c>
      <c r="AF1881">
        <v>0.47719687925849502</v>
      </c>
      <c r="AG1881">
        <v>-1.121237399015</v>
      </c>
      <c r="AH1881">
        <v>31.341170154107498</v>
      </c>
      <c r="AI1881">
        <v>92.048658318480904</v>
      </c>
      <c r="AJ1881">
        <v>89.127688771297898</v>
      </c>
      <c r="AK1881">
        <v>31.364850339117499</v>
      </c>
      <c r="AL1881">
        <v>92.896595663838497</v>
      </c>
      <c r="AM1881">
        <v>90.196562844383095</v>
      </c>
      <c r="AN1881">
        <v>1.0000000157444899</v>
      </c>
    </row>
    <row r="1882" spans="1:40" x14ac:dyDescent="0.25">
      <c r="A1882" t="str">
        <f>"20190303154500358"</f>
        <v>20190303154500358</v>
      </c>
      <c r="B1882" t="str">
        <f>"1551599100352674"</f>
        <v>1551599100352674</v>
      </c>
      <c r="C1882" t="s">
        <v>40</v>
      </c>
      <c r="D1882">
        <v>4.8354119999999998</v>
      </c>
      <c r="E1882">
        <v>0.50702159999999996</v>
      </c>
      <c r="F1882" t="s">
        <v>57</v>
      </c>
      <c r="G1882">
        <v>-412.19159999999999</v>
      </c>
      <c r="H1882" s="1">
        <v>2.5962670000000002E-6</v>
      </c>
      <c r="I1882">
        <v>284.59609999999998</v>
      </c>
      <c r="J1882">
        <v>-381.16090000000003</v>
      </c>
      <c r="K1882">
        <v>1.1212409999999999</v>
      </c>
      <c r="L1882">
        <v>284.35930000000002</v>
      </c>
      <c r="M1882">
        <v>-0.99986330000000001</v>
      </c>
      <c r="N1882">
        <v>-1.4559259999999999E-2</v>
      </c>
      <c r="O1882">
        <v>-7.8449950000000004E-3</v>
      </c>
      <c r="P1882">
        <v>-0.99780670000000005</v>
      </c>
      <c r="Q1882">
        <v>-6.5297960000000002E-2</v>
      </c>
      <c r="R1882">
        <v>-1.086524E-2</v>
      </c>
      <c r="S1882">
        <v>-2.9997859999999998</v>
      </c>
      <c r="T1882">
        <v>-0.1072708</v>
      </c>
      <c r="U1882">
        <v>2.23999E-2</v>
      </c>
      <c r="V1882">
        <v>-3.0114510000000001E-3</v>
      </c>
      <c r="W1882">
        <v>-5.0764410000000003E-2</v>
      </c>
      <c r="X1882">
        <v>0.99870610000000004</v>
      </c>
      <c r="Y1882">
        <v>1.5296809999999999E-2</v>
      </c>
      <c r="Z1882">
        <v>5.5106380000000002E-4</v>
      </c>
      <c r="AA1882">
        <v>0.99988279999999996</v>
      </c>
      <c r="AB1882">
        <v>34</v>
      </c>
      <c r="AC1882">
        <v>-31.0306999999999</v>
      </c>
      <c r="AD1882">
        <v>-1.1212384037330001</v>
      </c>
      <c r="AE1882">
        <v>0.23679999999995899</v>
      </c>
      <c r="AF1882">
        <v>0.47962801668808103</v>
      </c>
      <c r="AG1882">
        <v>-1.1212384037330001</v>
      </c>
      <c r="AH1882">
        <v>30.987431934108599</v>
      </c>
      <c r="AI1882">
        <v>92.072018425774601</v>
      </c>
      <c r="AJ1882">
        <v>89.113238330798495</v>
      </c>
      <c r="AK1882">
        <v>31.0114197750347</v>
      </c>
      <c r="AL1882">
        <v>92.909837189664302</v>
      </c>
      <c r="AM1882">
        <v>90.172766452083806</v>
      </c>
      <c r="AN1882">
        <v>0.99999998416849101</v>
      </c>
    </row>
    <row r="1883" spans="1:40" x14ac:dyDescent="0.25">
      <c r="A1883" t="str">
        <f>"20190303154500380"</f>
        <v>20190303154500380</v>
      </c>
      <c r="B1883" t="str">
        <f>"1551599100372194"</f>
        <v>1551599100372194</v>
      </c>
      <c r="C1883" t="s">
        <v>40</v>
      </c>
      <c r="D1883">
        <v>4.795445</v>
      </c>
      <c r="E1883">
        <v>0.50683180000000005</v>
      </c>
      <c r="F1883" t="s">
        <v>57</v>
      </c>
      <c r="G1883">
        <v>-411.79689999999999</v>
      </c>
      <c r="H1883" s="1">
        <v>2.527516E-6</v>
      </c>
      <c r="I1883">
        <v>284.58179999999999</v>
      </c>
      <c r="J1883">
        <v>-381.4837</v>
      </c>
      <c r="K1883">
        <v>1.1212310000000001</v>
      </c>
      <c r="L1883">
        <v>284.35649999999998</v>
      </c>
      <c r="M1883">
        <v>-0.99986169999999996</v>
      </c>
      <c r="N1883">
        <v>-1.4555719999999999E-2</v>
      </c>
      <c r="O1883">
        <v>-8.0698539999999996E-3</v>
      </c>
      <c r="P1883">
        <v>-0.99776489999999995</v>
      </c>
      <c r="Q1883">
        <v>-6.6034949999999995E-2</v>
      </c>
      <c r="R1883">
        <v>-1.0241109999999999E-2</v>
      </c>
      <c r="S1883">
        <v>-2.9996339999999999</v>
      </c>
      <c r="T1883">
        <v>-0.10978259999999999</v>
      </c>
      <c r="U1883">
        <v>2.1789550000000001E-2</v>
      </c>
      <c r="V1883">
        <v>-2.16322E-3</v>
      </c>
      <c r="W1883">
        <v>-5.1505099999999901E-2</v>
      </c>
      <c r="X1883">
        <v>0.99867039999999996</v>
      </c>
      <c r="Y1883">
        <v>1.5317839999999999E-2</v>
      </c>
      <c r="Z1883">
        <v>5.695486E-4</v>
      </c>
      <c r="AA1883">
        <v>0.99988250000000001</v>
      </c>
      <c r="AB1883">
        <v>34</v>
      </c>
      <c r="AC1883">
        <v>-30.313199999999899</v>
      </c>
      <c r="AD1883">
        <v>-1.12122847248399</v>
      </c>
      <c r="AE1883">
        <v>0.225300000000004</v>
      </c>
      <c r="AF1883">
        <v>0.469299605035156</v>
      </c>
      <c r="AG1883">
        <v>-1.12122847248399</v>
      </c>
      <c r="AH1883">
        <v>30.268985046921301</v>
      </c>
      <c r="AI1883">
        <v>92.121134607269099</v>
      </c>
      <c r="AJ1883">
        <v>89.111739874448006</v>
      </c>
      <c r="AK1883">
        <v>30.2933796592182</v>
      </c>
      <c r="AL1883">
        <v>92.952331114194394</v>
      </c>
      <c r="AM1883">
        <v>90.124108196570006</v>
      </c>
      <c r="AN1883">
        <v>1.00000001134146</v>
      </c>
    </row>
    <row r="1884" spans="1:40" x14ac:dyDescent="0.25">
      <c r="A1884" t="str">
        <f>"20190303154500403"</f>
        <v>20190303154500403</v>
      </c>
      <c r="B1884" t="str">
        <f>"1551599100392690"</f>
        <v>1551599100392690</v>
      </c>
      <c r="C1884" t="s">
        <v>40</v>
      </c>
      <c r="D1884">
        <v>4.8080870000000004</v>
      </c>
      <c r="E1884">
        <v>0.50662600000000002</v>
      </c>
      <c r="F1884" t="s">
        <v>57</v>
      </c>
      <c r="G1884">
        <v>-410.99520000000001</v>
      </c>
      <c r="H1884" s="1">
        <v>2.3859980000000001E-6</v>
      </c>
      <c r="I1884">
        <v>284.57389999999998</v>
      </c>
      <c r="J1884">
        <v>-381.82839999999999</v>
      </c>
      <c r="K1884">
        <v>1.1212230000000001</v>
      </c>
      <c r="L1884">
        <v>284.35340000000002</v>
      </c>
      <c r="M1884">
        <v>-0.99985970000000002</v>
      </c>
      <c r="N1884">
        <v>-1.455189E-2</v>
      </c>
      <c r="O1884">
        <v>-8.2970179999999998E-3</v>
      </c>
      <c r="P1884">
        <v>-0.99776330000000002</v>
      </c>
      <c r="Q1884">
        <v>-6.6245879999999993E-2</v>
      </c>
      <c r="R1884">
        <v>-8.9382430000000002E-3</v>
      </c>
      <c r="S1884">
        <v>-2.9994200000000002</v>
      </c>
      <c r="T1884">
        <v>-0.11395660000000001</v>
      </c>
      <c r="U1884">
        <v>2.209473E-2</v>
      </c>
      <c r="V1884">
        <v>-6.3459879999999897E-4</v>
      </c>
      <c r="W1884">
        <v>-5.1719260000000003E-2</v>
      </c>
      <c r="X1884">
        <v>0.99866149999999998</v>
      </c>
      <c r="Y1884">
        <v>1.5645659999999999E-2</v>
      </c>
      <c r="Z1884">
        <v>6.0539559999999999E-4</v>
      </c>
      <c r="AA1884">
        <v>0.99987740000000003</v>
      </c>
      <c r="AB1884">
        <v>34</v>
      </c>
      <c r="AC1884">
        <v>-29.166799999999999</v>
      </c>
      <c r="AD1884">
        <v>-1.12122061400199</v>
      </c>
      <c r="AE1884">
        <v>0.22049999999995801</v>
      </c>
      <c r="AF1884">
        <v>0.46183305704298</v>
      </c>
      <c r="AG1884">
        <v>-1.12122061400199</v>
      </c>
      <c r="AH1884">
        <v>29.120934795292701</v>
      </c>
      <c r="AI1884">
        <v>92.204648591110896</v>
      </c>
      <c r="AJ1884">
        <v>89.0914142317705</v>
      </c>
      <c r="AK1884">
        <v>29.146170739730699</v>
      </c>
      <c r="AL1884">
        <v>92.964617874749393</v>
      </c>
      <c r="AM1884">
        <v>90.036408560888802</v>
      </c>
      <c r="AN1884">
        <v>1.00000003807641</v>
      </c>
    </row>
    <row r="1885" spans="1:40" x14ac:dyDescent="0.25">
      <c r="A1885" t="str">
        <f>"20190303154500424"</f>
        <v>20190303154500424</v>
      </c>
      <c r="B1885" t="str">
        <f>"1551599100412210"</f>
        <v>1551599100412210</v>
      </c>
      <c r="C1885" t="s">
        <v>40</v>
      </c>
      <c r="D1885">
        <v>4.7801070000000001</v>
      </c>
      <c r="E1885">
        <v>0.50650839999999997</v>
      </c>
      <c r="F1885" t="s">
        <v>57</v>
      </c>
      <c r="G1885">
        <v>-410.60410000000002</v>
      </c>
      <c r="H1885" s="1">
        <v>2.315344E-6</v>
      </c>
      <c r="I1885">
        <v>284.58859999999999</v>
      </c>
      <c r="J1885">
        <v>-382.16469999999998</v>
      </c>
      <c r="K1885">
        <v>1.1212070000000001</v>
      </c>
      <c r="L1885">
        <v>284.35039999999998</v>
      </c>
      <c r="M1885">
        <v>-0.99985809999999997</v>
      </c>
      <c r="N1885">
        <v>-1.4548230000000001E-2</v>
      </c>
      <c r="O1885">
        <v>-8.4985530000000007E-3</v>
      </c>
      <c r="P1885">
        <v>-0.99780440000000004</v>
      </c>
      <c r="Q1885">
        <v>-6.5627160000000004E-2</v>
      </c>
      <c r="R1885">
        <v>-8.9514399999999997E-3</v>
      </c>
      <c r="S1885">
        <v>-2.9991759999999998</v>
      </c>
      <c r="T1885">
        <v>-0.116860199999999</v>
      </c>
      <c r="U1885">
        <v>2.4505619999999999E-2</v>
      </c>
      <c r="V1885">
        <v>-4.4794289999999998E-4</v>
      </c>
      <c r="W1885">
        <v>-5.1103540000000003E-2</v>
      </c>
      <c r="X1885">
        <v>0.99869330000000001</v>
      </c>
      <c r="Y1885">
        <v>1.6649500000000001E-2</v>
      </c>
      <c r="Z1885">
        <v>6.5281269999999895E-4</v>
      </c>
      <c r="AA1885">
        <v>0.99986120000000001</v>
      </c>
      <c r="AB1885">
        <v>34</v>
      </c>
      <c r="AC1885">
        <v>-28.439399999999999</v>
      </c>
      <c r="AD1885">
        <v>-1.121204684656</v>
      </c>
      <c r="AE1885">
        <v>0.23820000000000599</v>
      </c>
      <c r="AF1885">
        <v>0.47916600855130498</v>
      </c>
      <c r="AG1885">
        <v>-1.121204684656</v>
      </c>
      <c r="AH1885">
        <v>28.392221835649401</v>
      </c>
      <c r="AI1885">
        <v>92.261105260157294</v>
      </c>
      <c r="AJ1885">
        <v>89.033130127575404</v>
      </c>
      <c r="AK1885">
        <v>28.418391241823901</v>
      </c>
      <c r="AL1885">
        <v>92.929292997612393</v>
      </c>
      <c r="AM1885">
        <v>90.025698816555305</v>
      </c>
      <c r="AN1885">
        <v>1.00000003995913</v>
      </c>
    </row>
    <row r="1886" spans="1:40" x14ac:dyDescent="0.25">
      <c r="A1886" t="str">
        <f>"20190303154500448"</f>
        <v>20190303154500448</v>
      </c>
      <c r="B1886" t="str">
        <f>"1551599100442466"</f>
        <v>1551599100442466</v>
      </c>
      <c r="C1886" t="s">
        <v>40</v>
      </c>
      <c r="D1886">
        <v>4.7996809999999996</v>
      </c>
      <c r="E1886">
        <v>0.50621729999999998</v>
      </c>
      <c r="F1886" t="s">
        <v>57</v>
      </c>
      <c r="G1886">
        <v>-411.24520000000001</v>
      </c>
      <c r="H1886" s="1">
        <v>2.4300839999999998E-6</v>
      </c>
      <c r="I1886">
        <v>284.57679999999999</v>
      </c>
      <c r="J1886">
        <v>-382.5034</v>
      </c>
      <c r="K1886">
        <v>1.121192</v>
      </c>
      <c r="L1886">
        <v>284.34739999999999</v>
      </c>
      <c r="M1886">
        <v>-0.99985659999999998</v>
      </c>
      <c r="N1886">
        <v>-1.454454E-2</v>
      </c>
      <c r="O1886">
        <v>-8.6803439999999996E-3</v>
      </c>
      <c r="P1886">
        <v>-0.99782919999999997</v>
      </c>
      <c r="Q1886">
        <v>-6.5154970000000006E-2</v>
      </c>
      <c r="R1886">
        <v>-9.5916669999999999E-3</v>
      </c>
      <c r="S1886">
        <v>-2.9992369999999999</v>
      </c>
      <c r="T1886">
        <v>-0.1156363</v>
      </c>
      <c r="U1886">
        <v>2.3345950000000001E-2</v>
      </c>
      <c r="V1886">
        <v>-9.0893989999999997E-4</v>
      </c>
      <c r="W1886">
        <v>-5.0634810000000002E-2</v>
      </c>
      <c r="X1886">
        <v>0.99871679999999996</v>
      </c>
      <c r="Y1886">
        <v>1.6445100000000001E-2</v>
      </c>
      <c r="Z1886">
        <v>6.4487840000000002E-4</v>
      </c>
      <c r="AA1886">
        <v>0.99986459999999999</v>
      </c>
      <c r="AB1886">
        <v>33</v>
      </c>
      <c r="AC1886">
        <v>-28.741800000000001</v>
      </c>
      <c r="AD1886">
        <v>-1.1211895699159999</v>
      </c>
      <c r="AE1886">
        <v>0.22939999999999799</v>
      </c>
      <c r="AF1886">
        <v>0.47817884545092898</v>
      </c>
      <c r="AG1886">
        <v>-1.1211895699159999</v>
      </c>
      <c r="AH1886">
        <v>28.695062835795401</v>
      </c>
      <c r="AI1886">
        <v>92.237244294367699</v>
      </c>
      <c r="AJ1886">
        <v>89.045302872331902</v>
      </c>
      <c r="AK1886">
        <v>28.720939264066001</v>
      </c>
      <c r="AL1886">
        <v>92.902402111414204</v>
      </c>
      <c r="AM1886">
        <v>90.052145318594995</v>
      </c>
      <c r="AN1886">
        <v>0.99999997837885801</v>
      </c>
    </row>
    <row r="1887" spans="1:40" x14ac:dyDescent="0.25">
      <c r="A1887" t="str">
        <f>"20190303154500468"</f>
        <v>20190303154500468</v>
      </c>
      <c r="B1887" t="str">
        <f>"1551599100462962"</f>
        <v>1551599100462962</v>
      </c>
      <c r="C1887" t="s">
        <v>40</v>
      </c>
      <c r="D1887">
        <v>4.7580260000000001</v>
      </c>
      <c r="E1887">
        <v>0.50612500000000005</v>
      </c>
      <c r="F1887" t="s">
        <v>57</v>
      </c>
      <c r="G1887">
        <v>-410.9794</v>
      </c>
      <c r="H1887" s="1">
        <v>2.387169E-6</v>
      </c>
      <c r="I1887">
        <v>284.52839999999998</v>
      </c>
      <c r="J1887">
        <v>-382.82429999999999</v>
      </c>
      <c r="K1887">
        <v>1.1211709999999999</v>
      </c>
      <c r="L1887">
        <v>284.34440000000001</v>
      </c>
      <c r="M1887">
        <v>-0.9998553</v>
      </c>
      <c r="N1887">
        <v>-1.454094E-2</v>
      </c>
      <c r="O1887">
        <v>-8.8224779999999999E-3</v>
      </c>
      <c r="P1887">
        <v>-0.99779070000000003</v>
      </c>
      <c r="Q1887">
        <v>-6.5498680000000004E-2</v>
      </c>
      <c r="R1887">
        <v>-1.1118619999999999E-2</v>
      </c>
      <c r="S1887">
        <v>-2.9990230000000002</v>
      </c>
      <c r="T1887">
        <v>-0.1180809</v>
      </c>
      <c r="U1887">
        <v>1.9073489999999999E-2</v>
      </c>
      <c r="V1887">
        <v>-2.2970949999999999E-3</v>
      </c>
      <c r="W1887">
        <v>-5.098287E-2</v>
      </c>
      <c r="X1887">
        <v>0.9986969</v>
      </c>
      <c r="Y1887">
        <v>1.5163950000000001E-2</v>
      </c>
      <c r="Z1887">
        <v>6.2768939999999999E-4</v>
      </c>
      <c r="AA1887">
        <v>0.99988480000000002</v>
      </c>
      <c r="AB1887">
        <v>33</v>
      </c>
      <c r="AC1887">
        <v>-28.155100000000001</v>
      </c>
      <c r="AD1887">
        <v>-1.1211686128310001</v>
      </c>
      <c r="AE1887">
        <v>0.18399999999996899</v>
      </c>
      <c r="AF1887">
        <v>0.43173228613462</v>
      </c>
      <c r="AG1887">
        <v>-1.1211686128310001</v>
      </c>
      <c r="AH1887">
        <v>28.1078111583107</v>
      </c>
      <c r="AI1887">
        <v>92.283942650668493</v>
      </c>
      <c r="AJ1887">
        <v>89.120013554534196</v>
      </c>
      <c r="AK1887">
        <v>28.133475788401</v>
      </c>
      <c r="AL1887">
        <v>92.922370168085493</v>
      </c>
      <c r="AM1887">
        <v>90.131785346027996</v>
      </c>
      <c r="AN1887">
        <v>1.00000001387424</v>
      </c>
    </row>
    <row r="1888" spans="1:40" x14ac:dyDescent="0.25">
      <c r="A1888" t="str">
        <f>"20190303154500491"</f>
        <v>20190303154500491</v>
      </c>
      <c r="B1888" t="str">
        <f>"1551599100482482"</f>
        <v>1551599100482482</v>
      </c>
      <c r="C1888" t="s">
        <v>40</v>
      </c>
      <c r="D1888">
        <v>4.7657920000000003</v>
      </c>
      <c r="E1888">
        <v>0.50615029999999905</v>
      </c>
      <c r="F1888" t="s">
        <v>57</v>
      </c>
      <c r="G1888">
        <v>-410.59570000000002</v>
      </c>
      <c r="H1888" s="1">
        <v>2.3240760000000001E-6</v>
      </c>
      <c r="I1888">
        <v>284.47160000000002</v>
      </c>
      <c r="J1888">
        <v>-383.15280000000001</v>
      </c>
      <c r="K1888">
        <v>1.1211390000000001</v>
      </c>
      <c r="L1888">
        <v>284.34140000000002</v>
      </c>
      <c r="M1888">
        <v>-0.99985460000000004</v>
      </c>
      <c r="N1888">
        <v>-1.453719E-2</v>
      </c>
      <c r="O1888">
        <v>-8.9282509999999999E-3</v>
      </c>
      <c r="P1888">
        <v>-0.99773690000000004</v>
      </c>
      <c r="Q1888">
        <v>-6.6095029999999999E-2</v>
      </c>
      <c r="R1888">
        <v>-1.2357129999999999E-2</v>
      </c>
      <c r="S1888">
        <v>-2.99884</v>
      </c>
      <c r="T1888">
        <v>-0.12106699999999999</v>
      </c>
      <c r="U1888">
        <v>1.3732909999999999E-2</v>
      </c>
      <c r="V1888">
        <v>-3.4341900000000002E-3</v>
      </c>
      <c r="W1888">
        <v>-5.1583650000000002E-2</v>
      </c>
      <c r="X1888">
        <v>0.99866279999999996</v>
      </c>
      <c r="Y1888">
        <v>1.349035E-2</v>
      </c>
      <c r="Z1888">
        <v>6.0084489999999999E-4</v>
      </c>
      <c r="AA1888">
        <v>0.99990880000000004</v>
      </c>
      <c r="AB1888">
        <v>33</v>
      </c>
      <c r="AC1888">
        <v>-27.442900000000002</v>
      </c>
      <c r="AD1888">
        <v>-1.12113667592399</v>
      </c>
      <c r="AE1888">
        <v>0.13020000000000201</v>
      </c>
      <c r="AF1888">
        <v>0.37461255479436101</v>
      </c>
      <c r="AG1888">
        <v>-1.12113667592399</v>
      </c>
      <c r="AH1888">
        <v>27.394922201414801</v>
      </c>
      <c r="AI1888">
        <v>92.343302095445793</v>
      </c>
      <c r="AJ1888">
        <v>89.216556247827199</v>
      </c>
      <c r="AK1888">
        <v>27.420412915087201</v>
      </c>
      <c r="AL1888">
        <v>92.956837640795897</v>
      </c>
      <c r="AM1888">
        <v>90.197027282335597</v>
      </c>
      <c r="AN1888">
        <v>1.0000000273560501</v>
      </c>
    </row>
    <row r="1889" spans="1:40" x14ac:dyDescent="0.25">
      <c r="A1889" t="str">
        <f>"20190303154500513"</f>
        <v>20190303154500513</v>
      </c>
      <c r="B1889" t="str">
        <f>"1551599100502978"</f>
        <v>1551599100502978</v>
      </c>
      <c r="C1889" t="s">
        <v>40</v>
      </c>
      <c r="D1889">
        <v>4.7474309999999997</v>
      </c>
      <c r="E1889">
        <v>0.50612669999999904</v>
      </c>
      <c r="F1889" t="s">
        <v>57</v>
      </c>
      <c r="G1889">
        <v>-410.4196</v>
      </c>
      <c r="H1889" s="1">
        <v>2.2961159999999999E-6</v>
      </c>
      <c r="I1889">
        <v>284.4341</v>
      </c>
      <c r="J1889">
        <v>-383.48329999999999</v>
      </c>
      <c r="K1889">
        <v>1.1211070000000001</v>
      </c>
      <c r="L1889">
        <v>284.3383</v>
      </c>
      <c r="M1889">
        <v>-0.99985400000000002</v>
      </c>
      <c r="N1889">
        <v>-1.453349E-2</v>
      </c>
      <c r="O1889">
        <v>-8.9944949999999999E-3</v>
      </c>
      <c r="P1889">
        <v>-0.99769339999999995</v>
      </c>
      <c r="Q1889">
        <v>-6.6492499999999996E-2</v>
      </c>
      <c r="R1889">
        <v>-1.3672439999999999E-2</v>
      </c>
      <c r="S1889">
        <v>-2.9987490000000001</v>
      </c>
      <c r="T1889">
        <v>-0.1233004</v>
      </c>
      <c r="U1889">
        <v>1.019287E-2</v>
      </c>
      <c r="V1889">
        <v>-4.6879219999999997E-3</v>
      </c>
      <c r="W1889">
        <v>-5.1985169999999997E-2</v>
      </c>
      <c r="X1889">
        <v>0.99863679999999999</v>
      </c>
      <c r="Y1889">
        <v>1.2376939999999999E-2</v>
      </c>
      <c r="Z1889">
        <v>5.8331819999999995E-4</v>
      </c>
      <c r="AA1889">
        <v>0.99992320000000001</v>
      </c>
      <c r="AB1889">
        <v>33</v>
      </c>
      <c r="AC1889">
        <v>-26.936299999999999</v>
      </c>
      <c r="AD1889">
        <v>-1.1211047038840001</v>
      </c>
      <c r="AE1889">
        <v>9.5799999999996999E-2</v>
      </c>
      <c r="AF1889">
        <v>0.33751545176888997</v>
      </c>
      <c r="AG1889">
        <v>-1.1211047038840001</v>
      </c>
      <c r="AH1889">
        <v>26.887772011779902</v>
      </c>
      <c r="AI1889">
        <v>92.387417249342505</v>
      </c>
      <c r="AJ1889">
        <v>89.280818236730397</v>
      </c>
      <c r="AK1889">
        <v>26.9132509406558</v>
      </c>
      <c r="AL1889">
        <v>92.979874191235098</v>
      </c>
      <c r="AM1889">
        <v>90.268962822430794</v>
      </c>
      <c r="AN1889">
        <v>0.99999994641342205</v>
      </c>
    </row>
    <row r="1890" spans="1:40" x14ac:dyDescent="0.25">
      <c r="A1890" t="str">
        <f>"20190303154500537"</f>
        <v>20190303154500537</v>
      </c>
      <c r="B1890" t="str">
        <f>"1551599100532258"</f>
        <v>1551599100532258</v>
      </c>
      <c r="C1890" t="s">
        <v>40</v>
      </c>
      <c r="D1890">
        <v>4.7180960000000001</v>
      </c>
      <c r="E1890">
        <v>0.5061445</v>
      </c>
      <c r="F1890" t="s">
        <v>57</v>
      </c>
      <c r="G1890">
        <v>-410.55130000000003</v>
      </c>
      <c r="H1890" s="1">
        <v>2.3231770000000001E-6</v>
      </c>
      <c r="I1890">
        <v>284.39179999999999</v>
      </c>
      <c r="J1890">
        <v>-383.83479999999997</v>
      </c>
      <c r="K1890">
        <v>1.121068</v>
      </c>
      <c r="L1890">
        <v>284.33510000000001</v>
      </c>
      <c r="M1890">
        <v>-0.99985380000000001</v>
      </c>
      <c r="N1890">
        <v>-1.4529540000000001E-2</v>
      </c>
      <c r="O1890">
        <v>-9.0141470000000001E-3</v>
      </c>
      <c r="P1890">
        <v>-0.9976737</v>
      </c>
      <c r="Q1890">
        <v>-6.6548529999999995E-2</v>
      </c>
      <c r="R1890">
        <v>-1.4777129999999999E-2</v>
      </c>
      <c r="S1890">
        <v>-2.9987490000000001</v>
      </c>
      <c r="T1890">
        <v>-0.1242026</v>
      </c>
      <c r="U1890">
        <v>5.9204100000000001E-3</v>
      </c>
      <c r="V1890">
        <v>-5.7774180000000003E-3</v>
      </c>
      <c r="W1890">
        <v>-5.2044930000000003E-2</v>
      </c>
      <c r="X1890">
        <v>0.99862799999999996</v>
      </c>
      <c r="Y1890">
        <v>1.097332E-2</v>
      </c>
      <c r="Z1890">
        <v>5.4916209999999999E-4</v>
      </c>
      <c r="AA1890">
        <v>0.99993960000000004</v>
      </c>
      <c r="AB1890">
        <v>33</v>
      </c>
      <c r="AC1890">
        <v>-26.7165</v>
      </c>
      <c r="AD1890">
        <v>-1.1210656768229901</v>
      </c>
      <c r="AE1890">
        <v>5.66999999999779E-2</v>
      </c>
      <c r="AF1890">
        <v>0.29702658676220001</v>
      </c>
      <c r="AG1890">
        <v>-1.1210656768229901</v>
      </c>
      <c r="AH1890">
        <v>26.667947221572302</v>
      </c>
      <c r="AI1890">
        <v>92.407030347772803</v>
      </c>
      <c r="AJ1890">
        <v>89.361868163221899</v>
      </c>
      <c r="AK1890">
        <v>26.693153093210299</v>
      </c>
      <c r="AL1890">
        <v>92.983302764564101</v>
      </c>
      <c r="AM1890">
        <v>90.331472755441794</v>
      </c>
      <c r="AN1890">
        <v>0.99999996784072498</v>
      </c>
    </row>
    <row r="1891" spans="1:40" x14ac:dyDescent="0.25">
      <c r="A1891" t="str">
        <f>"20190303154500558"</f>
        <v>20190303154500558</v>
      </c>
      <c r="B1891" t="str">
        <f>"1551599100552754"</f>
        <v>1551599100552754</v>
      </c>
      <c r="C1891" t="s">
        <v>40</v>
      </c>
      <c r="D1891">
        <v>4.7324349999999997</v>
      </c>
      <c r="E1891">
        <v>0.50620569999999998</v>
      </c>
      <c r="F1891" t="s">
        <v>57</v>
      </c>
      <c r="G1891">
        <v>-411.16559999999998</v>
      </c>
      <c r="H1891" s="1">
        <v>2.4348800000000001E-6</v>
      </c>
      <c r="I1891">
        <v>284.36040000000003</v>
      </c>
      <c r="J1891">
        <v>-384.15629999999999</v>
      </c>
      <c r="K1891">
        <v>1.1210329999999999</v>
      </c>
      <c r="L1891">
        <v>284.3322</v>
      </c>
      <c r="M1891">
        <v>-0.99985440000000003</v>
      </c>
      <c r="N1891">
        <v>-1.4525949999999999E-2</v>
      </c>
      <c r="O1891">
        <v>-8.9748759999999997E-3</v>
      </c>
      <c r="P1891">
        <v>-0.99767110000000003</v>
      </c>
      <c r="Q1891">
        <v>-6.6334249999999997E-2</v>
      </c>
      <c r="R1891">
        <v>-1.5897060000000001E-2</v>
      </c>
      <c r="S1891">
        <v>-2.9988709999999998</v>
      </c>
      <c r="T1891">
        <v>-0.1230092</v>
      </c>
      <c r="U1891">
        <v>2.7770999999999998E-3</v>
      </c>
      <c r="V1891">
        <v>-6.9422329999999999E-3</v>
      </c>
      <c r="W1891">
        <v>-5.1833539999999997E-2</v>
      </c>
      <c r="X1891">
        <v>0.99863159999999895</v>
      </c>
      <c r="Y1891">
        <v>9.8874199999999992E-3</v>
      </c>
      <c r="Z1891">
        <v>5.1219169999999997E-4</v>
      </c>
      <c r="AA1891">
        <v>0.99995100000000003</v>
      </c>
      <c r="AB1891">
        <v>33</v>
      </c>
      <c r="AC1891">
        <v>-27.0093</v>
      </c>
      <c r="AD1891">
        <v>-1.1210305651200001</v>
      </c>
      <c r="AE1891">
        <v>2.82000000000266E-2</v>
      </c>
      <c r="AF1891">
        <v>0.27016410563604798</v>
      </c>
      <c r="AG1891">
        <v>-1.1210305651200001</v>
      </c>
      <c r="AH1891">
        <v>26.96151245603</v>
      </c>
      <c r="AI1891">
        <v>92.380805817335002</v>
      </c>
      <c r="AJ1891">
        <v>89.425894782181501</v>
      </c>
      <c r="AK1891">
        <v>26.9861603806205</v>
      </c>
      <c r="AL1891">
        <v>92.971174569007403</v>
      </c>
      <c r="AM1891">
        <v>90.398299276716699</v>
      </c>
      <c r="AN1891">
        <v>0.99999999149325802</v>
      </c>
    </row>
    <row r="1892" spans="1:40" x14ac:dyDescent="0.25">
      <c r="A1892" t="str">
        <f>"20190303154500580"</f>
        <v>20190303154500580</v>
      </c>
      <c r="B1892" t="str">
        <f>"1551599100572275"</f>
        <v>1551599100572275</v>
      </c>
      <c r="C1892" t="s">
        <v>40</v>
      </c>
      <c r="D1892">
        <v>4.6804209999999999</v>
      </c>
      <c r="E1892">
        <v>0.50626610000000005</v>
      </c>
      <c r="F1892" t="s">
        <v>57</v>
      </c>
      <c r="G1892">
        <v>-411.74959999999999</v>
      </c>
      <c r="H1892" s="1">
        <v>2.5409889999999998E-6</v>
      </c>
      <c r="I1892">
        <v>284.33170000000001</v>
      </c>
      <c r="J1892">
        <v>-384.47829999999999</v>
      </c>
      <c r="K1892">
        <v>1.120989</v>
      </c>
      <c r="L1892">
        <v>284.32940000000002</v>
      </c>
      <c r="M1892">
        <v>-0.9998553</v>
      </c>
      <c r="N1892">
        <v>-1.452239E-2</v>
      </c>
      <c r="O1892">
        <v>-8.8754279999999994E-3</v>
      </c>
      <c r="P1892">
        <v>-0.99768239999999997</v>
      </c>
      <c r="Q1892">
        <v>-6.5915550000000003E-2</v>
      </c>
      <c r="R1892">
        <v>-1.687634E-2</v>
      </c>
      <c r="S1892">
        <v>-2.9989319999999999</v>
      </c>
      <c r="T1892">
        <v>-0.1218371</v>
      </c>
      <c r="U1892" s="1">
        <v>-6.1035159999999999E-5</v>
      </c>
      <c r="V1892">
        <v>-8.0266739999999993E-3</v>
      </c>
      <c r="W1892">
        <v>-5.1417230000000001E-2</v>
      </c>
      <c r="X1892">
        <v>0.998645</v>
      </c>
      <c r="Y1892">
        <v>8.8430839999999993E-3</v>
      </c>
      <c r="Z1892">
        <v>4.75372E-4</v>
      </c>
      <c r="AA1892">
        <v>0.99996079999999998</v>
      </c>
      <c r="AB1892">
        <v>33</v>
      </c>
      <c r="AC1892">
        <v>-27.2713</v>
      </c>
      <c r="AD1892">
        <v>-1.1209864590109999</v>
      </c>
      <c r="AE1892">
        <v>2.29999999999108E-3</v>
      </c>
      <c r="AF1892">
        <v>0.24395766526463</v>
      </c>
      <c r="AG1892">
        <v>-1.1209864590109999</v>
      </c>
      <c r="AH1892">
        <v>27.224206648113299</v>
      </c>
      <c r="AI1892">
        <v>92.357789803815706</v>
      </c>
      <c r="AJ1892">
        <v>89.486583001000994</v>
      </c>
      <c r="AK1892">
        <v>27.2483679071408</v>
      </c>
      <c r="AL1892">
        <v>92.947289895157297</v>
      </c>
      <c r="AM1892">
        <v>90.460508629866695</v>
      </c>
      <c r="AN1892">
        <v>0.99999999753068702</v>
      </c>
    </row>
    <row r="1893" spans="1:40" x14ac:dyDescent="0.25">
      <c r="A1893" t="str">
        <f>"20190303154500603"</f>
        <v>20190303154500603</v>
      </c>
      <c r="B1893" t="str">
        <f>"1551599100592771"</f>
        <v>1551599100592771</v>
      </c>
      <c r="C1893" t="s">
        <v>40</v>
      </c>
      <c r="D1893">
        <v>4.7157819999999999</v>
      </c>
      <c r="E1893">
        <v>0.50638779999999906</v>
      </c>
      <c r="F1893" t="s">
        <v>57</v>
      </c>
      <c r="G1893">
        <v>-412.53280000000001</v>
      </c>
      <c r="H1893" s="1">
        <v>2.682158E-6</v>
      </c>
      <c r="I1893">
        <v>284.30599999999998</v>
      </c>
      <c r="J1893">
        <v>-384.81220000000002</v>
      </c>
      <c r="K1893">
        <v>1.120941</v>
      </c>
      <c r="L1893">
        <v>284.32659999999998</v>
      </c>
      <c r="M1893">
        <v>-0.99985670000000004</v>
      </c>
      <c r="N1893">
        <v>-1.451876E-2</v>
      </c>
      <c r="O1893">
        <v>-8.7109500000000003E-3</v>
      </c>
      <c r="P1893">
        <v>-0.99764010000000003</v>
      </c>
      <c r="Q1893">
        <v>-6.6403989999999996E-2</v>
      </c>
      <c r="R1893">
        <v>-1.745915E-2</v>
      </c>
      <c r="S1893">
        <v>-2.9989620000000001</v>
      </c>
      <c r="T1893">
        <v>-0.1198311</v>
      </c>
      <c r="U1893">
        <v>-2.5024410000000002E-3</v>
      </c>
      <c r="V1893">
        <v>-8.7802599999999998E-3</v>
      </c>
      <c r="W1893">
        <v>-5.1908589999999998E-2</v>
      </c>
      <c r="X1893">
        <v>0.99861319999999998</v>
      </c>
      <c r="Y1893">
        <v>7.8660859999999996E-3</v>
      </c>
      <c r="Z1893">
        <v>4.357063E-4</v>
      </c>
      <c r="AA1893">
        <v>0.99996890000000005</v>
      </c>
      <c r="AB1893">
        <v>33</v>
      </c>
      <c r="AC1893">
        <v>-27.720599999999902</v>
      </c>
      <c r="AD1893">
        <v>-1.120938317842</v>
      </c>
      <c r="AE1893">
        <v>-2.06000000000017E-2</v>
      </c>
      <c r="AF1893">
        <v>0.22053837175263999</v>
      </c>
      <c r="AG1893">
        <v>-1.120938317842</v>
      </c>
      <c r="AH1893">
        <v>27.674475540235399</v>
      </c>
      <c r="AI1893">
        <v>92.319390319950301</v>
      </c>
      <c r="AJ1893">
        <v>89.543418612156799</v>
      </c>
      <c r="AK1893">
        <v>27.698045712882099</v>
      </c>
      <c r="AL1893">
        <v>92.975480510793602</v>
      </c>
      <c r="AM1893">
        <v>90.503757488816404</v>
      </c>
      <c r="AN1893">
        <v>0.99999995894784699</v>
      </c>
    </row>
    <row r="1894" spans="1:40" x14ac:dyDescent="0.25">
      <c r="A1894" t="str">
        <f>"20190303154500624"</f>
        <v>20190303154500624</v>
      </c>
      <c r="B1894" t="str">
        <f>"1551599100622050"</f>
        <v>1551599100622050</v>
      </c>
      <c r="C1894" t="s">
        <v>40</v>
      </c>
      <c r="D1894">
        <v>4.6194269999999999</v>
      </c>
      <c r="E1894">
        <v>0.50645320000000005</v>
      </c>
      <c r="F1894" t="s">
        <v>57</v>
      </c>
      <c r="G1894">
        <v>-412.79759999999999</v>
      </c>
      <c r="H1894" s="1">
        <v>2.729971E-6</v>
      </c>
      <c r="I1894">
        <v>284.29640000000001</v>
      </c>
      <c r="J1894">
        <v>-385.14089999999999</v>
      </c>
      <c r="K1894">
        <v>1.1208959999999999</v>
      </c>
      <c r="L1894">
        <v>284.32389999999998</v>
      </c>
      <c r="M1894">
        <v>-0.99985860000000004</v>
      </c>
      <c r="N1894">
        <v>-1.4515190000000001E-2</v>
      </c>
      <c r="O1894">
        <v>-8.4998480000000008E-3</v>
      </c>
      <c r="P1894">
        <v>-0.99765610000000005</v>
      </c>
      <c r="Q1894">
        <v>-6.6282820000000006E-2</v>
      </c>
      <c r="R1894">
        <v>-1.7008349999999998E-2</v>
      </c>
      <c r="S1894">
        <v>-2.9990540000000001</v>
      </c>
      <c r="T1894">
        <v>-0.1201253</v>
      </c>
      <c r="U1894">
        <v>-3.2348630000000001E-3</v>
      </c>
      <c r="V1894">
        <v>-8.5455569999999901E-3</v>
      </c>
      <c r="W1894">
        <v>-5.1789950000000001E-2</v>
      </c>
      <c r="X1894">
        <v>0.99862150000000005</v>
      </c>
      <c r="Y1894">
        <v>7.4112819999999999E-3</v>
      </c>
      <c r="Z1894">
        <v>4.191512E-4</v>
      </c>
      <c r="AA1894">
        <v>0.99997250000000004</v>
      </c>
      <c r="AB1894">
        <v>33</v>
      </c>
      <c r="AC1894">
        <v>-27.656700000000001</v>
      </c>
      <c r="AD1894">
        <v>-1.120893270029</v>
      </c>
      <c r="AE1894">
        <v>-2.7499999999974899E-2</v>
      </c>
      <c r="AF1894">
        <v>0.20726304269055201</v>
      </c>
      <c r="AG1894">
        <v>-1.120893270029</v>
      </c>
      <c r="AH1894">
        <v>27.610581801673799</v>
      </c>
      <c r="AI1894">
        <v>92.324666730339899</v>
      </c>
      <c r="AJ1894">
        <v>89.569908572334995</v>
      </c>
      <c r="AK1894">
        <v>27.634101887316302</v>
      </c>
      <c r="AL1894">
        <v>92.968673474880305</v>
      </c>
      <c r="AM1894">
        <v>90.490288261129294</v>
      </c>
      <c r="AN1894">
        <v>1.0000000628638399</v>
      </c>
    </row>
    <row r="1895" spans="1:40" x14ac:dyDescent="0.25">
      <c r="A1895" t="str">
        <f>"20190303154500647"</f>
        <v>20190303154500647</v>
      </c>
      <c r="B1895" t="str">
        <f>"1551599100642546"</f>
        <v>1551599100642546</v>
      </c>
      <c r="C1895" t="s">
        <v>40</v>
      </c>
      <c r="D1895">
        <v>4.6671659999999999</v>
      </c>
      <c r="E1895">
        <v>0.50641700000000001</v>
      </c>
      <c r="F1895" t="s">
        <v>57</v>
      </c>
      <c r="G1895">
        <v>-413.4332</v>
      </c>
      <c r="H1895" s="1">
        <v>2.8414870000000001E-6</v>
      </c>
      <c r="I1895">
        <v>284.31040000000002</v>
      </c>
      <c r="J1895">
        <v>-385.46460000000002</v>
      </c>
      <c r="K1895">
        <v>1.1208659999999999</v>
      </c>
      <c r="L1895">
        <v>284.32139999999998</v>
      </c>
      <c r="M1895">
        <v>-0.99986070000000005</v>
      </c>
      <c r="N1895">
        <v>-1.4511659999999999E-2</v>
      </c>
      <c r="O1895">
        <v>-8.2576939999999995E-3</v>
      </c>
      <c r="P1895">
        <v>-0.99770499999999995</v>
      </c>
      <c r="Q1895">
        <v>-6.5889139999999999E-2</v>
      </c>
      <c r="R1895">
        <v>-1.561478E-2</v>
      </c>
      <c r="S1895">
        <v>-2.9991460000000001</v>
      </c>
      <c r="T1895">
        <v>-0.1188211</v>
      </c>
      <c r="U1895">
        <v>-1.4343260000000001E-3</v>
      </c>
      <c r="V1895">
        <v>-7.3981079999999996E-3</v>
      </c>
      <c r="W1895">
        <v>-5.139908E-2</v>
      </c>
      <c r="X1895">
        <v>0.99865079999999995</v>
      </c>
      <c r="Y1895">
        <v>7.7694039999999997E-3</v>
      </c>
      <c r="Z1895">
        <v>4.174661E-4</v>
      </c>
      <c r="AA1895">
        <v>0.99996969999999996</v>
      </c>
      <c r="AB1895">
        <v>33</v>
      </c>
      <c r="AC1895">
        <v>-27.968599999999899</v>
      </c>
      <c r="AD1895">
        <v>-1.120863158513</v>
      </c>
      <c r="AE1895">
        <v>-1.0999999999967199E-2</v>
      </c>
      <c r="AF1895">
        <v>0.219628077513049</v>
      </c>
      <c r="AG1895">
        <v>-1.120863158513</v>
      </c>
      <c r="AH1895">
        <v>27.9228910100943</v>
      </c>
      <c r="AI1895">
        <v>92.298626056511097</v>
      </c>
      <c r="AJ1895">
        <v>89.549348152916096</v>
      </c>
      <c r="AK1895">
        <v>27.946241483858799</v>
      </c>
      <c r="AL1895">
        <v>92.946248566401096</v>
      </c>
      <c r="AM1895">
        <v>90.424445272415397</v>
      </c>
      <c r="AN1895">
        <v>1.00000000888373</v>
      </c>
    </row>
    <row r="1896" spans="1:40" x14ac:dyDescent="0.25">
      <c r="A1896" t="str">
        <f>"20190303154500669"</f>
        <v>20190303154500669</v>
      </c>
      <c r="B1896" t="str">
        <f>"1551599100662066"</f>
        <v>1551599100662066</v>
      </c>
      <c r="C1896" t="s">
        <v>40</v>
      </c>
      <c r="D1896">
        <v>4.6116039999999998</v>
      </c>
      <c r="E1896">
        <v>0.50651559999999995</v>
      </c>
      <c r="F1896" t="s">
        <v>57</v>
      </c>
      <c r="G1896">
        <v>-413.95670000000001</v>
      </c>
      <c r="H1896" s="1">
        <v>2.931255E-6</v>
      </c>
      <c r="I1896">
        <v>284.34570000000002</v>
      </c>
      <c r="J1896">
        <v>-385.80489999999998</v>
      </c>
      <c r="K1896">
        <v>1.1208469999999999</v>
      </c>
      <c r="L1896">
        <v>284.31889999999999</v>
      </c>
      <c r="M1896">
        <v>-0.9998631</v>
      </c>
      <c r="N1896">
        <v>-1.4507890000000001E-2</v>
      </c>
      <c r="O1896">
        <v>-7.9766109999999998E-3</v>
      </c>
      <c r="P1896">
        <v>-0.99778529999999999</v>
      </c>
      <c r="Q1896">
        <v>-6.5108550000000001E-2</v>
      </c>
      <c r="R1896">
        <v>-1.363528E-2</v>
      </c>
      <c r="S1896">
        <v>-2.9991460000000001</v>
      </c>
      <c r="T1896">
        <v>-0.1179848</v>
      </c>
      <c r="U1896">
        <v>2.5634770000000002E-3</v>
      </c>
      <c r="V1896">
        <v>-5.7016460000000003E-3</v>
      </c>
      <c r="W1896">
        <v>-5.062183E-2</v>
      </c>
      <c r="X1896">
        <v>0.99870159999999997</v>
      </c>
      <c r="Y1896">
        <v>8.8203559999999997E-3</v>
      </c>
      <c r="Z1896">
        <v>4.3541599999999999E-4</v>
      </c>
      <c r="AA1896">
        <v>0.99996099999999999</v>
      </c>
      <c r="AB1896">
        <v>33</v>
      </c>
      <c r="AC1896">
        <v>-28.151800000000001</v>
      </c>
      <c r="AD1896">
        <v>-1.1208440687450001</v>
      </c>
      <c r="AE1896">
        <v>2.6800000000036999E-2</v>
      </c>
      <c r="AF1896">
        <v>0.25098085526500002</v>
      </c>
      <c r="AG1896">
        <v>-1.1208440687450001</v>
      </c>
      <c r="AH1896">
        <v>28.106137211767699</v>
      </c>
      <c r="AI1896">
        <v>92.283596170697393</v>
      </c>
      <c r="AJ1896">
        <v>89.488376455694606</v>
      </c>
      <c r="AK1896">
        <v>28.1295970782175</v>
      </c>
      <c r="AL1896">
        <v>92.901657446282798</v>
      </c>
      <c r="AM1896">
        <v>90.327101411418298</v>
      </c>
      <c r="AN1896">
        <v>0.99999998214110897</v>
      </c>
    </row>
    <row r="1897" spans="1:40" x14ac:dyDescent="0.25">
      <c r="A1897" t="str">
        <f>"20190303154500692"</f>
        <v>20190303154500692</v>
      </c>
      <c r="B1897" t="str">
        <f>"1551599100682562"</f>
        <v>1551599100682562</v>
      </c>
      <c r="C1897" t="s">
        <v>40</v>
      </c>
      <c r="D1897">
        <v>4.5853769999999896</v>
      </c>
      <c r="E1897">
        <v>0.50658919999999996</v>
      </c>
      <c r="F1897" t="s">
        <v>57</v>
      </c>
      <c r="G1897">
        <v>-415.14150000000001</v>
      </c>
      <c r="H1897" s="1">
        <v>3.1357060000000001E-6</v>
      </c>
      <c r="I1897">
        <v>284.41109999999998</v>
      </c>
      <c r="J1897">
        <v>-386.1234</v>
      </c>
      <c r="K1897">
        <v>1.120827</v>
      </c>
      <c r="L1897">
        <v>284.31659999999999</v>
      </c>
      <c r="M1897">
        <v>-0.99986520000000001</v>
      </c>
      <c r="N1897">
        <v>-1.4504380000000001E-2</v>
      </c>
      <c r="O1897">
        <v>-7.6985700000000001E-3</v>
      </c>
      <c r="P1897">
        <v>-0.99785939999999995</v>
      </c>
      <c r="Q1897">
        <v>-6.4463679999999995E-2</v>
      </c>
      <c r="R1897">
        <v>-1.1002400000000001E-2</v>
      </c>
      <c r="S1897">
        <v>-2.999298</v>
      </c>
      <c r="T1897">
        <v>-0.11459229999999999</v>
      </c>
      <c r="U1897">
        <v>9.4299320000000002E-3</v>
      </c>
      <c r="V1897">
        <v>-3.3473180000000002E-3</v>
      </c>
      <c r="W1897">
        <v>-4.9980900000000002E-2</v>
      </c>
      <c r="X1897">
        <v>0.99874450000000004</v>
      </c>
      <c r="Y1897">
        <v>1.083022E-2</v>
      </c>
      <c r="Z1897">
        <v>4.6778379999999999E-4</v>
      </c>
      <c r="AA1897">
        <v>0.99994119999999997</v>
      </c>
      <c r="AB1897">
        <v>33</v>
      </c>
      <c r="AC1897">
        <v>-29.0181</v>
      </c>
      <c r="AD1897">
        <v>-1.120823864294</v>
      </c>
      <c r="AE1897">
        <v>9.4499999999982195E-2</v>
      </c>
      <c r="AF1897">
        <v>0.31744498065557297</v>
      </c>
      <c r="AG1897">
        <v>-1.120823864294</v>
      </c>
      <c r="AH1897">
        <v>28.973287794015601</v>
      </c>
      <c r="AI1897">
        <v>92.215234365851501</v>
      </c>
      <c r="AJ1897">
        <v>89.372265584689401</v>
      </c>
      <c r="AK1897">
        <v>28.9966967609307</v>
      </c>
      <c r="AL1897">
        <v>92.864888447904903</v>
      </c>
      <c r="AM1897">
        <v>90.192027566605205</v>
      </c>
      <c r="AN1897">
        <v>0.99999993559142397</v>
      </c>
    </row>
    <row r="1898" spans="1:40" x14ac:dyDescent="0.25">
      <c r="A1898" t="str">
        <f>"20190303154500714"</f>
        <v>20190303154500714</v>
      </c>
      <c r="B1898" t="str">
        <f>"1551599100702083"</f>
        <v>1551599100702083</v>
      </c>
      <c r="C1898" t="s">
        <v>40</v>
      </c>
      <c r="D1898">
        <v>4.61395</v>
      </c>
      <c r="E1898">
        <v>0.50657459999999999</v>
      </c>
      <c r="F1898" t="s">
        <v>57</v>
      </c>
      <c r="G1898">
        <v>-416.38749999999999</v>
      </c>
      <c r="H1898" s="1">
        <v>3.3490320000000001E-6</v>
      </c>
      <c r="I1898">
        <v>284.49919999999997</v>
      </c>
      <c r="J1898">
        <v>-386.45890000000003</v>
      </c>
      <c r="K1898">
        <v>1.1208129999999901</v>
      </c>
      <c r="L1898">
        <v>284.3143</v>
      </c>
      <c r="M1898">
        <v>-0.99986759999999997</v>
      </c>
      <c r="N1898">
        <v>-1.450066E-2</v>
      </c>
      <c r="O1898">
        <v>-7.3993979999999997E-3</v>
      </c>
      <c r="P1898">
        <v>-0.99788259999999995</v>
      </c>
      <c r="Q1898">
        <v>-6.4428219999999994E-2</v>
      </c>
      <c r="R1898">
        <v>-8.9168010000000002E-3</v>
      </c>
      <c r="S1898">
        <v>-2.9994809999999998</v>
      </c>
      <c r="T1898">
        <v>-0.1110849</v>
      </c>
      <c r="U1898">
        <v>1.8096919999999999E-2</v>
      </c>
      <c r="V1898">
        <v>-1.561422E-3</v>
      </c>
      <c r="W1898">
        <v>-4.9950010000000003E-2</v>
      </c>
      <c r="X1898">
        <v>0.99875049999999999</v>
      </c>
      <c r="Y1898">
        <v>1.341844E-2</v>
      </c>
      <c r="Z1898">
        <v>5.1238640000000001E-4</v>
      </c>
      <c r="AA1898">
        <v>0.99990979999999996</v>
      </c>
      <c r="AB1898">
        <v>33</v>
      </c>
      <c r="AC1898">
        <v>-29.9285999999999</v>
      </c>
      <c r="AD1898">
        <v>-1.1208096509679999</v>
      </c>
      <c r="AE1898">
        <v>0.18489999999997001</v>
      </c>
      <c r="AF1898">
        <v>0.40580271894901998</v>
      </c>
      <c r="AG1898">
        <v>-1.1208096509679999</v>
      </c>
      <c r="AH1898">
        <v>29.884501951428799</v>
      </c>
      <c r="AI1898">
        <v>92.1476572409195</v>
      </c>
      <c r="AJ1898">
        <v>89.222026378946495</v>
      </c>
      <c r="AK1898">
        <v>29.908265529872502</v>
      </c>
      <c r="AL1898">
        <v>92.863116179181304</v>
      </c>
      <c r="AM1898">
        <v>90.089574741391601</v>
      </c>
      <c r="AN1898">
        <v>1.0000000013939501</v>
      </c>
    </row>
    <row r="1899" spans="1:40" x14ac:dyDescent="0.25">
      <c r="A1899" t="str">
        <f>"20190303154500737"</f>
        <v>20190303154500737</v>
      </c>
      <c r="B1899" t="str">
        <f>"1551599100732339"</f>
        <v>1551599100732339</v>
      </c>
      <c r="C1899" t="s">
        <v>40</v>
      </c>
      <c r="D1899">
        <v>4.546589</v>
      </c>
      <c r="E1899">
        <v>0.50672269999999997</v>
      </c>
      <c r="F1899" t="s">
        <v>57</v>
      </c>
      <c r="G1899">
        <v>-416.76650000000001</v>
      </c>
      <c r="H1899" s="1">
        <v>3.411152E-6</v>
      </c>
      <c r="I1899">
        <v>284.55759999999998</v>
      </c>
      <c r="J1899">
        <v>-386.7903</v>
      </c>
      <c r="K1899">
        <v>1.120806</v>
      </c>
      <c r="L1899">
        <v>284.31220000000002</v>
      </c>
      <c r="M1899">
        <v>-0.99986969999999997</v>
      </c>
      <c r="N1899">
        <v>-1.4497060000000001E-2</v>
      </c>
      <c r="O1899">
        <v>-7.1038639999999997E-3</v>
      </c>
      <c r="P1899">
        <v>-0.99784010000000001</v>
      </c>
      <c r="Q1899">
        <v>-6.5227460000000001E-2</v>
      </c>
      <c r="R1899">
        <v>-7.7833579999999998E-3</v>
      </c>
      <c r="S1899">
        <v>-2.9994200000000002</v>
      </c>
      <c r="T1899">
        <v>-0.1109219</v>
      </c>
      <c r="U1899">
        <v>2.4078370000000002E-2</v>
      </c>
      <c r="V1899">
        <v>-7.2463629999999996E-4</v>
      </c>
      <c r="W1899">
        <v>-5.0754000000000001E-2</v>
      </c>
      <c r="X1899">
        <v>0.99871089999999996</v>
      </c>
      <c r="Y1899">
        <v>1.5115419999999999E-2</v>
      </c>
      <c r="Z1899">
        <v>5.4866409999999996E-4</v>
      </c>
      <c r="AA1899">
        <v>0.99988560000000004</v>
      </c>
      <c r="AB1899">
        <v>33</v>
      </c>
      <c r="AC1899">
        <v>-29.976199999999999</v>
      </c>
      <c r="AD1899">
        <v>-1.120802588848</v>
      </c>
      <c r="AE1899">
        <v>0.24539999999996001</v>
      </c>
      <c r="AF1899">
        <v>0.45772317907621901</v>
      </c>
      <c r="AG1899">
        <v>-1.120802588848</v>
      </c>
      <c r="AH1899">
        <v>29.931858253725</v>
      </c>
      <c r="AI1899">
        <v>92.144196062479196</v>
      </c>
      <c r="AJ1899">
        <v>89.123891269302703</v>
      </c>
      <c r="AK1899">
        <v>29.956332343478199</v>
      </c>
      <c r="AL1899">
        <v>92.909239989572896</v>
      </c>
      <c r="AM1899">
        <v>90.041572185089905</v>
      </c>
      <c r="AN1899">
        <v>0.99999997769628801</v>
      </c>
    </row>
    <row r="1900" spans="1:40" x14ac:dyDescent="0.25">
      <c r="A1900" t="str">
        <f>"20190303154500759"</f>
        <v>20190303154500759</v>
      </c>
      <c r="B1900" t="str">
        <f>"1551599100752834"</f>
        <v>1551599100752834</v>
      </c>
      <c r="C1900" t="s">
        <v>40</v>
      </c>
      <c r="D1900">
        <v>4.5911920000000004</v>
      </c>
      <c r="E1900">
        <v>0.50682559999999999</v>
      </c>
      <c r="F1900" t="s">
        <v>57</v>
      </c>
      <c r="G1900">
        <v>-416.97590000000002</v>
      </c>
      <c r="H1900" s="1">
        <v>3.4447210000000002E-6</v>
      </c>
      <c r="I1900">
        <v>284.59840000000003</v>
      </c>
      <c r="J1900">
        <v>-387.12349999999998</v>
      </c>
      <c r="K1900">
        <v>1.1208009999999999</v>
      </c>
      <c r="L1900">
        <v>284.31009999999998</v>
      </c>
      <c r="M1900">
        <v>-0.99987179999999998</v>
      </c>
      <c r="N1900">
        <v>-1.4493509999999999E-2</v>
      </c>
      <c r="O1900">
        <v>-6.8095589999999998E-3</v>
      </c>
      <c r="P1900">
        <v>-0.99781960000000003</v>
      </c>
      <c r="Q1900">
        <v>-6.5659540000000002E-2</v>
      </c>
      <c r="R1900">
        <v>-6.7411449999999996E-3</v>
      </c>
      <c r="S1900">
        <v>-2.9994809999999998</v>
      </c>
      <c r="T1900">
        <v>-0.111372</v>
      </c>
      <c r="U1900">
        <v>2.844238E-2</v>
      </c>
      <c r="V1900" s="1">
        <v>2.2896220000000001E-5</v>
      </c>
      <c r="W1900">
        <v>-5.119042E-2</v>
      </c>
      <c r="X1900">
        <v>0.99868889999999999</v>
      </c>
      <c r="Y1900">
        <v>1.6274420000000001E-2</v>
      </c>
      <c r="Z1900">
        <v>5.7410239999999997E-4</v>
      </c>
      <c r="AA1900">
        <v>0.99986739999999996</v>
      </c>
      <c r="AB1900">
        <v>33</v>
      </c>
      <c r="AC1900">
        <v>-29.852399999999999</v>
      </c>
      <c r="AD1900">
        <v>-1.1207975552789999</v>
      </c>
      <c r="AE1900">
        <v>0.28830000000004902</v>
      </c>
      <c r="AF1900">
        <v>0.49090442839279003</v>
      </c>
      <c r="AG1900">
        <v>-1.1207975552789999</v>
      </c>
      <c r="AH1900">
        <v>29.8077312601283</v>
      </c>
      <c r="AI1900">
        <v>92.153066803130798</v>
      </c>
      <c r="AJ1900">
        <v>89.056479370079103</v>
      </c>
      <c r="AK1900">
        <v>29.832834548426099</v>
      </c>
      <c r="AL1900">
        <v>92.934277527379606</v>
      </c>
      <c r="AM1900">
        <v>89.998686420993906</v>
      </c>
      <c r="AN1900">
        <v>0.999999989303611</v>
      </c>
    </row>
    <row r="1901" spans="1:40" x14ac:dyDescent="0.25">
      <c r="A1901" t="str">
        <f>"20190303154500781"</f>
        <v>20190303154500781</v>
      </c>
      <c r="B1901" t="str">
        <f>"1551599100772354"</f>
        <v>1551599100772354</v>
      </c>
      <c r="C1901" t="s">
        <v>40</v>
      </c>
      <c r="D1901">
        <v>4.493735</v>
      </c>
      <c r="E1901">
        <v>0.50701929999999995</v>
      </c>
      <c r="F1901" t="s">
        <v>57</v>
      </c>
      <c r="G1901">
        <v>-417.27629999999999</v>
      </c>
      <c r="H1901" s="1">
        <v>3.4945210000000001E-6</v>
      </c>
      <c r="I1901">
        <v>284.63839999999999</v>
      </c>
      <c r="J1901">
        <v>-387.43509999999998</v>
      </c>
      <c r="K1901">
        <v>1.1207990000000001</v>
      </c>
      <c r="L1901">
        <v>284.30829999999997</v>
      </c>
      <c r="M1901">
        <v>-0.99987360000000003</v>
      </c>
      <c r="N1901">
        <v>-1.449021E-2</v>
      </c>
      <c r="O1901">
        <v>-6.5379309999999899E-3</v>
      </c>
      <c r="P1901">
        <v>-0.99781660000000005</v>
      </c>
      <c r="Q1901">
        <v>-6.5677600000000003E-2</v>
      </c>
      <c r="R1901">
        <v>-6.9746219999999998E-3</v>
      </c>
      <c r="S1901">
        <v>-2.9994200000000002</v>
      </c>
      <c r="T1901">
        <v>-0.11149009999999999</v>
      </c>
      <c r="U1901">
        <v>3.2653809999999998E-2</v>
      </c>
      <c r="V1901">
        <v>-4.8175140000000002E-4</v>
      </c>
      <c r="W1901">
        <v>-5.1211489999999998E-2</v>
      </c>
      <c r="X1901">
        <v>0.99868769999999996</v>
      </c>
      <c r="Y1901">
        <v>1.7405670000000002E-2</v>
      </c>
      <c r="Z1901">
        <v>5.9775529999999896E-4</v>
      </c>
      <c r="AA1901">
        <v>0.99984830000000002</v>
      </c>
      <c r="AB1901">
        <v>33</v>
      </c>
      <c r="AC1901">
        <v>-29.841200000000001</v>
      </c>
      <c r="AD1901">
        <v>-1.120795505479</v>
      </c>
      <c r="AE1901">
        <v>0.33010000000001499</v>
      </c>
      <c r="AF1901">
        <v>0.52447338313507996</v>
      </c>
      <c r="AG1901">
        <v>-1.120795505479</v>
      </c>
      <c r="AH1901">
        <v>29.796376482283101</v>
      </c>
      <c r="AI1901">
        <v>92.153841067100004</v>
      </c>
      <c r="AJ1901">
        <v>88.991588508599406</v>
      </c>
      <c r="AK1901">
        <v>29.822060733099502</v>
      </c>
      <c r="AL1901">
        <v>92.935486346261399</v>
      </c>
      <c r="AM1901">
        <v>90.027638589975098</v>
      </c>
      <c r="AN1901">
        <v>0.99999998546185997</v>
      </c>
    </row>
    <row r="1902" spans="1:40" x14ac:dyDescent="0.25">
      <c r="A1902" t="str">
        <f>"20190303154500803"</f>
        <v>20190303154500803</v>
      </c>
      <c r="B1902" t="str">
        <f>"1551599100792852"</f>
        <v>1551599100792852</v>
      </c>
      <c r="C1902" t="s">
        <v>40</v>
      </c>
      <c r="D1902">
        <v>4.6843490000000001</v>
      </c>
      <c r="E1902">
        <v>0.52290170000000002</v>
      </c>
      <c r="F1902" t="s">
        <v>57</v>
      </c>
      <c r="G1902">
        <v>-417.96690000000001</v>
      </c>
      <c r="H1902" s="1">
        <v>3.6161150000000002E-6</v>
      </c>
      <c r="I1902">
        <v>284.64870000000002</v>
      </c>
      <c r="J1902">
        <v>-387.7688</v>
      </c>
      <c r="K1902">
        <v>1.120797</v>
      </c>
      <c r="L1902">
        <v>284.3064</v>
      </c>
      <c r="M1902">
        <v>-0.99987570000000003</v>
      </c>
      <c r="N1902">
        <v>-1.448673E-2</v>
      </c>
      <c r="O1902">
        <v>-6.2497500000000001E-3</v>
      </c>
      <c r="P1902">
        <v>-0.99781330000000001</v>
      </c>
      <c r="Q1902">
        <v>-6.5671999999999994E-2</v>
      </c>
      <c r="R1902">
        <v>-7.4857789999999997E-3</v>
      </c>
      <c r="S1902">
        <v>-2.9995419999999999</v>
      </c>
      <c r="T1902">
        <v>-0.1101106</v>
      </c>
      <c r="U1902">
        <v>3.3447270000000001E-2</v>
      </c>
      <c r="V1902">
        <v>-1.2813099999999999E-3</v>
      </c>
      <c r="W1902">
        <v>-5.1208879999999998E-2</v>
      </c>
      <c r="X1902">
        <v>0.99868710000000005</v>
      </c>
      <c r="Y1902">
        <v>1.7382020000000001E-2</v>
      </c>
      <c r="Z1902">
        <v>5.837142E-4</v>
      </c>
      <c r="AA1902">
        <v>0.99984870000000003</v>
      </c>
      <c r="AB1902">
        <v>33</v>
      </c>
      <c r="AC1902">
        <v>-30.1981</v>
      </c>
      <c r="AD1902">
        <v>-1.1207933838849999</v>
      </c>
      <c r="AE1902">
        <v>0.34230000000002198</v>
      </c>
      <c r="AF1902">
        <v>0.53031325089488401</v>
      </c>
      <c r="AG1902">
        <v>-1.1207933838849999</v>
      </c>
      <c r="AH1902">
        <v>30.153838994608101</v>
      </c>
      <c r="AI1902">
        <v>92.128328242510705</v>
      </c>
      <c r="AJ1902">
        <v>88.992447395489904</v>
      </c>
      <c r="AK1902">
        <v>30.179321000747901</v>
      </c>
      <c r="AL1902">
        <v>92.935336690168398</v>
      </c>
      <c r="AM1902">
        <v>90.073510126411406</v>
      </c>
      <c r="AN1902">
        <v>0.999999957426289</v>
      </c>
    </row>
    <row r="1903" spans="1:40" x14ac:dyDescent="0.25">
      <c r="A1903" t="str">
        <f>"20190303154500926"</f>
        <v>20190303154500926</v>
      </c>
      <c r="B1903" t="str">
        <f>"1551599100922659"</f>
        <v>1551599100922659</v>
      </c>
      <c r="C1903" t="s">
        <v>40</v>
      </c>
      <c r="D1903">
        <v>4.7482870000000004</v>
      </c>
      <c r="E1903">
        <v>0.5243679</v>
      </c>
      <c r="F1903" t="s">
        <v>44</v>
      </c>
      <c r="G1903">
        <v>-1205.0630000000001</v>
      </c>
      <c r="H1903">
        <v>-0.1</v>
      </c>
      <c r="I1903">
        <v>326.93380000000002</v>
      </c>
      <c r="J1903">
        <v>-389.56009999999998</v>
      </c>
      <c r="K1903">
        <v>1.1207879999999999</v>
      </c>
      <c r="L1903">
        <v>284.298</v>
      </c>
      <c r="M1903">
        <v>-0.99988440000000001</v>
      </c>
      <c r="N1903">
        <v>-1.446799E-2</v>
      </c>
      <c r="O1903">
        <v>-4.7094850000000002E-3</v>
      </c>
      <c r="P1903">
        <v>-0.99774359999999995</v>
      </c>
      <c r="Q1903">
        <v>-6.6720580000000002E-2</v>
      </c>
      <c r="R1903">
        <v>-7.5206090000000001E-3</v>
      </c>
      <c r="S1903">
        <v>-3.0074770000000002</v>
      </c>
      <c r="T1903">
        <v>-4.4922829999999997E-3</v>
      </c>
      <c r="U1903">
        <v>0.15686040000000001</v>
      </c>
      <c r="V1903">
        <v>-2.8545519999999998E-3</v>
      </c>
      <c r="W1903">
        <v>-5.2276089999999997E-2</v>
      </c>
      <c r="X1903">
        <v>0.99862859999999998</v>
      </c>
      <c r="Y1903">
        <v>5.6787940000000002E-2</v>
      </c>
      <c r="Z1903">
        <v>3.924275E-4</v>
      </c>
      <c r="AA1903">
        <v>0.9983862</v>
      </c>
      <c r="AB1903">
        <v>33</v>
      </c>
      <c r="AC1903">
        <v>-815.50289999999995</v>
      </c>
      <c r="AD1903">
        <v>-1.220788</v>
      </c>
      <c r="AE1903">
        <v>42.635800000000003</v>
      </c>
      <c r="AF1903">
        <v>46.476223311859101</v>
      </c>
      <c r="AG1903">
        <v>-1.220788</v>
      </c>
      <c r="AH1903">
        <v>815.291218755621</v>
      </c>
      <c r="AI1903">
        <v>90.085653534352005</v>
      </c>
      <c r="AJ1903">
        <v>86.737346719740202</v>
      </c>
      <c r="AK1903">
        <v>816.61576095291002</v>
      </c>
      <c r="AL1903">
        <v>92.9965651868972</v>
      </c>
      <c r="AM1903">
        <v>90.163777941613404</v>
      </c>
      <c r="AN1903">
        <v>1.00000000939538</v>
      </c>
    </row>
    <row r="1904" spans="1:40" x14ac:dyDescent="0.25">
      <c r="A1904" t="str">
        <f>"20190303154500972"</f>
        <v>20190303154500972</v>
      </c>
      <c r="B1904" t="str">
        <f>"1551599100962675"</f>
        <v>1551599100962675</v>
      </c>
      <c r="C1904" t="s">
        <v>40</v>
      </c>
      <c r="D1904">
        <v>4.4468379999999996</v>
      </c>
      <c r="E1904">
        <v>0.52118999999999904</v>
      </c>
      <c r="F1904" t="s">
        <v>45</v>
      </c>
      <c r="G1904">
        <v>0</v>
      </c>
      <c r="H1904">
        <v>0</v>
      </c>
      <c r="I1904">
        <v>0</v>
      </c>
      <c r="J1904">
        <v>-390.2174</v>
      </c>
      <c r="K1904">
        <v>1.1207959999999999</v>
      </c>
      <c r="L1904">
        <v>284.29559999999998</v>
      </c>
      <c r="M1904">
        <v>-0.99988690000000002</v>
      </c>
      <c r="N1904">
        <v>-1.44615E-2</v>
      </c>
      <c r="O1904">
        <v>-4.1433590000000001E-3</v>
      </c>
      <c r="P1904">
        <v>-0.9977779</v>
      </c>
      <c r="Q1904">
        <v>-6.6489320000000005E-2</v>
      </c>
      <c r="R1904">
        <v>-4.3319980000000001E-3</v>
      </c>
      <c r="S1904">
        <v>-3.0084529999999998</v>
      </c>
      <c r="T1904">
        <v>5.9962269999999998E-3</v>
      </c>
      <c r="U1904">
        <v>0.1682129</v>
      </c>
      <c r="V1904">
        <v>-2.303018E-4</v>
      </c>
      <c r="W1904">
        <v>-5.205274E-2</v>
      </c>
      <c r="X1904">
        <v>0.99864430000000004</v>
      </c>
      <c r="Y1904">
        <v>5.9963250000000003E-2</v>
      </c>
      <c r="Z1904">
        <v>3.0610149999999998E-4</v>
      </c>
      <c r="AA1904">
        <v>0.99820050000000005</v>
      </c>
      <c r="AB1904">
        <v>32</v>
      </c>
      <c r="AC1904">
        <v>-3.0084529999999998</v>
      </c>
      <c r="AD1904">
        <v>5.9962269999999998E-3</v>
      </c>
      <c r="AE1904">
        <v>0.1682129</v>
      </c>
      <c r="AF1904">
        <v>0.18067714403252599</v>
      </c>
      <c r="AG1904">
        <v>5.9962269999999998E-3</v>
      </c>
      <c r="AH1904">
        <v>3.0077182204306201</v>
      </c>
      <c r="AI1904">
        <v>89.8859800613982</v>
      </c>
      <c r="AJ1904">
        <v>86.562306702746</v>
      </c>
      <c r="AK1904">
        <v>3.0131460433613699</v>
      </c>
      <c r="AL1904">
        <v>92.983750787739993</v>
      </c>
      <c r="AM1904">
        <v>90.013213234101798</v>
      </c>
      <c r="AN1904">
        <v>0.99999998935145795</v>
      </c>
    </row>
    <row r="1905" spans="1:40" x14ac:dyDescent="0.25">
      <c r="A1905" t="str">
        <f>"20190303154500993"</f>
        <v>20190303154500993</v>
      </c>
      <c r="B1905" t="str">
        <f>"1551599100982195"</f>
        <v>1551599100982195</v>
      </c>
      <c r="C1905" t="s">
        <v>40</v>
      </c>
      <c r="D1905">
        <v>4.42523</v>
      </c>
      <c r="E1905">
        <v>0.52362540000000002</v>
      </c>
      <c r="F1905" t="s">
        <v>45</v>
      </c>
      <c r="G1905">
        <v>0</v>
      </c>
      <c r="H1905">
        <v>0</v>
      </c>
      <c r="I1905">
        <v>0</v>
      </c>
      <c r="J1905">
        <v>-390.53910000000002</v>
      </c>
      <c r="K1905">
        <v>1.12079</v>
      </c>
      <c r="L1905">
        <v>284.2946</v>
      </c>
      <c r="M1905">
        <v>-0.999888</v>
      </c>
      <c r="N1905">
        <v>-1.445829E-2</v>
      </c>
      <c r="O1905">
        <v>-3.8664319999999999E-3</v>
      </c>
      <c r="P1905">
        <v>-0.99768639999999997</v>
      </c>
      <c r="Q1905">
        <v>-6.7868849999999994E-2</v>
      </c>
      <c r="R1905">
        <v>-3.9540449999999998E-3</v>
      </c>
      <c r="S1905">
        <v>-3.0115660000000002</v>
      </c>
      <c r="T1905">
        <v>6.2935110000000002E-2</v>
      </c>
      <c r="U1905">
        <v>0.15158079999999999</v>
      </c>
      <c r="V1905">
        <v>-1.3029210000000001E-4</v>
      </c>
      <c r="W1905">
        <v>-5.3436740000000003E-2</v>
      </c>
      <c r="X1905">
        <v>0.99857119999999999</v>
      </c>
      <c r="Y1905">
        <v>5.4124789999999999E-2</v>
      </c>
      <c r="Z1905">
        <v>-3.1016779999999997E-4</v>
      </c>
      <c r="AA1905">
        <v>0.99853409999999998</v>
      </c>
      <c r="AB1905">
        <v>32</v>
      </c>
      <c r="AC1905">
        <v>-3.0115660000000002</v>
      </c>
      <c r="AD1905">
        <v>6.2935110000000002E-2</v>
      </c>
      <c r="AE1905">
        <v>0.15158079999999999</v>
      </c>
      <c r="AF1905">
        <v>0.16315382693101901</v>
      </c>
      <c r="AG1905">
        <v>6.2935110000000002E-2</v>
      </c>
      <c r="AH1905">
        <v>3.0096463009927099</v>
      </c>
      <c r="AI1905">
        <v>88.803810855742</v>
      </c>
      <c r="AJ1905">
        <v>86.897015900668407</v>
      </c>
      <c r="AK1905">
        <v>3.0147223514599202</v>
      </c>
      <c r="AL1905">
        <v>93.063158741224797</v>
      </c>
      <c r="AM1905">
        <v>90.007475868913005</v>
      </c>
      <c r="AN1905">
        <v>0.99999997181364897</v>
      </c>
    </row>
    <row r="1906" spans="1:40" x14ac:dyDescent="0.25">
      <c r="A1906" t="str">
        <f>"20190303154501016"</f>
        <v>20190303154501016</v>
      </c>
      <c r="B1906" t="str">
        <f>"1551599101012451"</f>
        <v>1551599101012451</v>
      </c>
      <c r="C1906" t="s">
        <v>40</v>
      </c>
      <c r="D1906">
        <v>4.5424899999999999</v>
      </c>
      <c r="E1906">
        <v>0.51925219999999905</v>
      </c>
      <c r="F1906" t="s">
        <v>45</v>
      </c>
      <c r="G1906">
        <v>0</v>
      </c>
      <c r="H1906">
        <v>0</v>
      </c>
      <c r="I1906">
        <v>0</v>
      </c>
      <c r="J1906">
        <v>-390.85550000000001</v>
      </c>
      <c r="K1906">
        <v>1.120787</v>
      </c>
      <c r="L1906">
        <v>284.29360000000003</v>
      </c>
      <c r="M1906">
        <v>-0.99988909999999998</v>
      </c>
      <c r="N1906">
        <v>-1.445513E-2</v>
      </c>
      <c r="O1906">
        <v>-3.5939180000000002E-3</v>
      </c>
      <c r="P1906">
        <v>-0.99764719999999996</v>
      </c>
      <c r="Q1906">
        <v>-6.8448969999999998E-2</v>
      </c>
      <c r="R1906">
        <v>-3.839496E-3</v>
      </c>
      <c r="S1906">
        <v>-3.011749</v>
      </c>
      <c r="T1906">
        <v>5.9752230000000003E-2</v>
      </c>
      <c r="U1906">
        <v>0.17218020000000001</v>
      </c>
      <c r="V1906">
        <v>-2.8836680000000003E-4</v>
      </c>
      <c r="W1906">
        <v>-5.402042E-2</v>
      </c>
      <c r="X1906">
        <v>0.99853979999999998</v>
      </c>
      <c r="Y1906">
        <v>6.0659049999999999E-2</v>
      </c>
      <c r="Z1906">
        <v>-2.8550929999999997E-4</v>
      </c>
      <c r="AA1906">
        <v>0.99815849999999995</v>
      </c>
      <c r="AB1906">
        <v>32</v>
      </c>
      <c r="AC1906">
        <v>-3.011749</v>
      </c>
      <c r="AD1906">
        <v>5.9752230000000003E-2</v>
      </c>
      <c r="AE1906">
        <v>0.17218020000000001</v>
      </c>
      <c r="AF1906">
        <v>0.18293242711412799</v>
      </c>
      <c r="AG1906">
        <v>5.9752230000000003E-2</v>
      </c>
      <c r="AH1906">
        <v>3.00992978812919</v>
      </c>
      <c r="AI1906">
        <v>88.864824674238207</v>
      </c>
      <c r="AJ1906">
        <v>86.522051944316601</v>
      </c>
      <c r="AK1906">
        <v>3.0160755844884402</v>
      </c>
      <c r="AL1906">
        <v>93.096649398000906</v>
      </c>
      <c r="AM1906">
        <v>90.016546361128903</v>
      </c>
      <c r="AN1906">
        <v>1.0000000105582101</v>
      </c>
    </row>
    <row r="1907" spans="1:40" x14ac:dyDescent="0.25">
      <c r="A1907" t="str">
        <f>"20190303154501038"</f>
        <v>20190303154501038</v>
      </c>
      <c r="B1907" t="str">
        <f>"1551599101031970"</f>
        <v>1551599101031970</v>
      </c>
      <c r="C1907" t="s">
        <v>40</v>
      </c>
      <c r="D1907">
        <v>4.551844</v>
      </c>
      <c r="E1907">
        <v>0.51691849999999995</v>
      </c>
      <c r="F1907" t="s">
        <v>45</v>
      </c>
      <c r="G1907">
        <v>0</v>
      </c>
      <c r="H1907">
        <v>0</v>
      </c>
      <c r="I1907">
        <v>0</v>
      </c>
      <c r="J1907">
        <v>-391.18310000000002</v>
      </c>
      <c r="K1907">
        <v>1.120787</v>
      </c>
      <c r="L1907">
        <v>284.2928</v>
      </c>
      <c r="M1907">
        <v>-0.99989030000000001</v>
      </c>
      <c r="N1907">
        <v>-1.4451800000000001E-2</v>
      </c>
      <c r="O1907">
        <v>-3.3116310000000002E-3</v>
      </c>
      <c r="P1907">
        <v>-0.99759120000000001</v>
      </c>
      <c r="Q1907">
        <v>-6.926388E-2</v>
      </c>
      <c r="R1907">
        <v>-3.8483419999999998E-3</v>
      </c>
      <c r="S1907">
        <v>-3.0103149999999999</v>
      </c>
      <c r="T1907">
        <v>3.9486649999999998E-2</v>
      </c>
      <c r="U1907">
        <v>0.1375122</v>
      </c>
      <c r="V1907">
        <v>-5.7878689999999995E-4</v>
      </c>
      <c r="W1907">
        <v>-5.4839190000000003E-2</v>
      </c>
      <c r="X1907">
        <v>0.99849500000000002</v>
      </c>
      <c r="Y1907">
        <v>4.8940209999999998E-2</v>
      </c>
      <c r="Z1907" s="1">
        <v>-5.8204749999999999E-5</v>
      </c>
      <c r="AA1907">
        <v>0.99880170000000001</v>
      </c>
      <c r="AB1907">
        <v>32</v>
      </c>
      <c r="AC1907">
        <v>-3.0103149999999999</v>
      </c>
      <c r="AD1907">
        <v>3.9486649999999998E-2</v>
      </c>
      <c r="AE1907">
        <v>0.1375122</v>
      </c>
      <c r="AF1907">
        <v>0.14745621901870801</v>
      </c>
      <c r="AG1907">
        <v>3.9486649999999998E-2</v>
      </c>
      <c r="AH1907">
        <v>3.0093263498248102</v>
      </c>
      <c r="AI1907">
        <v>89.249141620535099</v>
      </c>
      <c r="AJ1907">
        <v>87.194765168404203</v>
      </c>
      <c r="AK1907">
        <v>3.01319558140613</v>
      </c>
      <c r="AL1907">
        <v>93.143631242635394</v>
      </c>
      <c r="AM1907">
        <v>90.033212026993894</v>
      </c>
      <c r="AN1907">
        <v>0.99999996838956495</v>
      </c>
    </row>
    <row r="1908" spans="1:40" x14ac:dyDescent="0.25">
      <c r="A1908" t="str">
        <f>"20190303154501060"</f>
        <v>20190303154501060</v>
      </c>
      <c r="B1908" t="str">
        <f>"1551599101052466"</f>
        <v>1551599101052466</v>
      </c>
      <c r="C1908" t="s">
        <v>40</v>
      </c>
      <c r="D1908">
        <v>4.5359600000000002</v>
      </c>
      <c r="E1908">
        <v>0.51489620000000003</v>
      </c>
      <c r="F1908" t="s">
        <v>45</v>
      </c>
      <c r="G1908">
        <v>0</v>
      </c>
      <c r="H1908">
        <v>0</v>
      </c>
      <c r="I1908">
        <v>0</v>
      </c>
      <c r="J1908">
        <v>-391.49220000000003</v>
      </c>
      <c r="K1908">
        <v>1.120795</v>
      </c>
      <c r="L1908">
        <v>284.29199999999997</v>
      </c>
      <c r="M1908">
        <v>-0.99989110000000003</v>
      </c>
      <c r="N1908">
        <v>-1.444842E-2</v>
      </c>
      <c r="O1908">
        <v>-3.0447249999999999E-3</v>
      </c>
      <c r="P1908">
        <v>-0.99757879999999999</v>
      </c>
      <c r="Q1908">
        <v>-6.9435300000000005E-2</v>
      </c>
      <c r="R1908">
        <v>-3.9388039999999997E-3</v>
      </c>
      <c r="S1908">
        <v>-3.0099179999999999</v>
      </c>
      <c r="T1908">
        <v>3.2542710000000002E-2</v>
      </c>
      <c r="U1908">
        <v>0.11895749999999999</v>
      </c>
      <c r="V1908">
        <v>-9.3586760000000005E-4</v>
      </c>
      <c r="W1908">
        <v>-5.5013920000000001E-2</v>
      </c>
      <c r="X1908">
        <v>0.99848510000000001</v>
      </c>
      <c r="Y1908">
        <v>4.2533370000000001E-2</v>
      </c>
      <c r="Z1908" s="1">
        <v>6.8894590000000004E-7</v>
      </c>
      <c r="AA1908">
        <v>0.99909499999999996</v>
      </c>
      <c r="AB1908">
        <v>32</v>
      </c>
      <c r="AC1908">
        <v>-3.0099179999999999</v>
      </c>
      <c r="AD1908">
        <v>3.2542710000000002E-2</v>
      </c>
      <c r="AE1908">
        <v>0.11895749999999999</v>
      </c>
      <c r="AF1908">
        <v>0.12810732486811199</v>
      </c>
      <c r="AG1908">
        <v>3.2542710000000002E-2</v>
      </c>
      <c r="AH1908">
        <v>3.00919060241243</v>
      </c>
      <c r="AI1908">
        <v>89.380963073557595</v>
      </c>
      <c r="AJ1908">
        <v>87.562274864955498</v>
      </c>
      <c r="AK1908">
        <v>3.0120920630528998</v>
      </c>
      <c r="AL1908">
        <v>93.153657725079697</v>
      </c>
      <c r="AM1908">
        <v>90.053702602032601</v>
      </c>
      <c r="AN1908">
        <v>0.99999995108196904</v>
      </c>
    </row>
    <row r="1909" spans="1:40" x14ac:dyDescent="0.25">
      <c r="A1909" t="str">
        <f>"20190303154501083"</f>
        <v>20190303154501083</v>
      </c>
      <c r="B1909" t="str">
        <f>"1551599101071989"</f>
        <v>1551599101071989</v>
      </c>
      <c r="C1909" t="s">
        <v>40</v>
      </c>
      <c r="D1909">
        <v>4.5877489999999996</v>
      </c>
      <c r="E1909">
        <v>0.51329799999999903</v>
      </c>
      <c r="F1909" t="s">
        <v>45</v>
      </c>
      <c r="G1909">
        <v>0</v>
      </c>
      <c r="H1909">
        <v>0</v>
      </c>
      <c r="I1909">
        <v>0</v>
      </c>
      <c r="J1909">
        <v>-391.82080000000002</v>
      </c>
      <c r="K1909">
        <v>1.1208009999999999</v>
      </c>
      <c r="L1909">
        <v>284.29129999999998</v>
      </c>
      <c r="M1909">
        <v>-0.9998918</v>
      </c>
      <c r="N1909">
        <v>-1.4444820000000001E-2</v>
      </c>
      <c r="O1909">
        <v>-2.7606499999999999E-3</v>
      </c>
      <c r="P1909">
        <v>-0.99758279999999999</v>
      </c>
      <c r="Q1909">
        <v>-6.9379689999999994E-2</v>
      </c>
      <c r="R1909">
        <v>-3.8840709999999998E-3</v>
      </c>
      <c r="S1909">
        <v>-3.0096129999999999</v>
      </c>
      <c r="T1909">
        <v>2.7410629999999998E-2</v>
      </c>
      <c r="U1909">
        <v>0.1034241</v>
      </c>
      <c r="V1909">
        <v>-1.164406E-3</v>
      </c>
      <c r="W1909">
        <v>-5.4961719999999999E-2</v>
      </c>
      <c r="X1909">
        <v>0.99848780000000004</v>
      </c>
      <c r="Y1909">
        <v>3.7103619999999997E-2</v>
      </c>
      <c r="Z1909" s="1">
        <v>3.4156279999999901E-5</v>
      </c>
      <c r="AA1909">
        <v>0.99931139999999996</v>
      </c>
      <c r="AB1909">
        <v>32</v>
      </c>
      <c r="AC1909">
        <v>-3.0096129999999999</v>
      </c>
      <c r="AD1909">
        <v>2.7410629999999998E-2</v>
      </c>
      <c r="AE1909">
        <v>0.1034241</v>
      </c>
      <c r="AF1909">
        <v>0.111723804777976</v>
      </c>
      <c r="AG1909">
        <v>2.7410629999999998E-2</v>
      </c>
      <c r="AH1909">
        <v>3.0090666737598699</v>
      </c>
      <c r="AI1909">
        <v>89.478446700114603</v>
      </c>
      <c r="AJ1909">
        <v>87.873638550325794</v>
      </c>
      <c r="AK1909">
        <v>3.01126481703675</v>
      </c>
      <c r="AL1909">
        <v>93.150662146599203</v>
      </c>
      <c r="AM1909">
        <v>90.066816559197207</v>
      </c>
      <c r="AN1909">
        <v>1.0000000166277601</v>
      </c>
    </row>
    <row r="1910" spans="1:40" x14ac:dyDescent="0.25">
      <c r="A1910" t="str">
        <f>"20190303154501106"</f>
        <v>20190303154501106</v>
      </c>
      <c r="B1910" t="str">
        <f>"1551599101102242"</f>
        <v>1551599101102242</v>
      </c>
      <c r="C1910" t="s">
        <v>40</v>
      </c>
      <c r="D1910">
        <v>4.5819580000000002</v>
      </c>
      <c r="E1910">
        <v>0.51165000000000005</v>
      </c>
      <c r="F1910" t="s">
        <v>45</v>
      </c>
      <c r="G1910">
        <v>0</v>
      </c>
      <c r="H1910">
        <v>0</v>
      </c>
      <c r="I1910">
        <v>0</v>
      </c>
      <c r="J1910">
        <v>-392.14769999999999</v>
      </c>
      <c r="K1910">
        <v>1.1207990000000001</v>
      </c>
      <c r="L1910">
        <v>284.29070000000002</v>
      </c>
      <c r="M1910">
        <v>-0.99989280000000003</v>
      </c>
      <c r="N1910">
        <v>-1.4441320000000001E-2</v>
      </c>
      <c r="O1910">
        <v>-2.4784799999999999E-3</v>
      </c>
      <c r="P1910">
        <v>-0.99760260000000001</v>
      </c>
      <c r="Q1910">
        <v>-6.9093790000000002E-2</v>
      </c>
      <c r="R1910">
        <v>-3.9076179999999999E-3</v>
      </c>
      <c r="S1910">
        <v>-3.0093079999999999</v>
      </c>
      <c r="T1910">
        <v>2.4054289999999999E-2</v>
      </c>
      <c r="U1910">
        <v>9.1003420000000002E-2</v>
      </c>
      <c r="V1910">
        <v>-1.46914299999999E-3</v>
      </c>
      <c r="W1910">
        <v>-5.4678879999999999E-2</v>
      </c>
      <c r="X1910">
        <v>0.99850289999999997</v>
      </c>
      <c r="Y1910">
        <v>3.2704570000000002E-2</v>
      </c>
      <c r="Z1910" s="1">
        <v>4.9944210000000003E-5</v>
      </c>
      <c r="AA1910">
        <v>0.99946500000000005</v>
      </c>
      <c r="AB1910">
        <v>32</v>
      </c>
      <c r="AC1910">
        <v>-3.0093079999999999</v>
      </c>
      <c r="AD1910">
        <v>2.4054289999999999E-2</v>
      </c>
      <c r="AE1910">
        <v>9.1003420000000002E-2</v>
      </c>
      <c r="AF1910">
        <v>9.8456141955401102E-2</v>
      </c>
      <c r="AG1910">
        <v>2.4054289999999999E-2</v>
      </c>
      <c r="AH1910">
        <v>3.0088811113914402</v>
      </c>
      <c r="AI1910">
        <v>89.5422076556127</v>
      </c>
      <c r="AJ1910">
        <v>88.125845079074395</v>
      </c>
      <c r="AK1910">
        <v>3.0105876109564198</v>
      </c>
      <c r="AL1910">
        <v>93.134432286705007</v>
      </c>
      <c r="AM1910">
        <v>90.084301840944505</v>
      </c>
      <c r="AN1910">
        <v>0.999999989803809</v>
      </c>
    </row>
    <row r="1911" spans="1:40" x14ac:dyDescent="0.25">
      <c r="A1911" t="str">
        <f>"20190303154501127"</f>
        <v>20190303154501127</v>
      </c>
      <c r="B1911" t="str">
        <f>"1551599101122739"</f>
        <v>1551599101122739</v>
      </c>
      <c r="C1911" t="s">
        <v>40</v>
      </c>
      <c r="D1911">
        <v>4.6030989999999896</v>
      </c>
      <c r="E1911">
        <v>0.51088219999999995</v>
      </c>
      <c r="F1911" t="s">
        <v>45</v>
      </c>
      <c r="G1911">
        <v>0</v>
      </c>
      <c r="H1911">
        <v>0</v>
      </c>
      <c r="I1911">
        <v>0</v>
      </c>
      <c r="J1911">
        <v>-392.46080000000001</v>
      </c>
      <c r="K1911">
        <v>1.120792</v>
      </c>
      <c r="L1911">
        <v>284.29020000000003</v>
      </c>
      <c r="M1911">
        <v>-0.99989340000000004</v>
      </c>
      <c r="N1911">
        <v>-1.443798E-2</v>
      </c>
      <c r="O1911">
        <v>-2.20835E-3</v>
      </c>
      <c r="P1911">
        <v>-0.99758880000000005</v>
      </c>
      <c r="Q1911">
        <v>-6.9294850000000005E-2</v>
      </c>
      <c r="R1911">
        <v>-3.8909679999999999E-3</v>
      </c>
      <c r="S1911">
        <v>-3.0088499999999998</v>
      </c>
      <c r="T1911">
        <v>1.9479509999999998E-2</v>
      </c>
      <c r="U1911">
        <v>7.7270510000000001E-2</v>
      </c>
      <c r="V1911">
        <v>-1.7219449999999999E-3</v>
      </c>
      <c r="W1911">
        <v>-5.4883300000000003E-2</v>
      </c>
      <c r="X1911">
        <v>0.99849129999999997</v>
      </c>
      <c r="Y1911">
        <v>2.7880640000000002E-2</v>
      </c>
      <c r="Z1911" s="1">
        <v>6.4902530000000006E-5</v>
      </c>
      <c r="AA1911">
        <v>0.99961129999999998</v>
      </c>
      <c r="AB1911">
        <v>32</v>
      </c>
      <c r="AC1911">
        <v>-3.0088499999999998</v>
      </c>
      <c r="AD1911">
        <v>1.9479509999999998E-2</v>
      </c>
      <c r="AE1911">
        <v>7.7270510000000001E-2</v>
      </c>
      <c r="AF1911">
        <v>8.39120928831147E-2</v>
      </c>
      <c r="AG1911">
        <v>1.9479509999999998E-2</v>
      </c>
      <c r="AH1911">
        <v>3.0085459876728402</v>
      </c>
      <c r="AI1911">
        <v>89.629174932590502</v>
      </c>
      <c r="AJ1911">
        <v>88.402363575545294</v>
      </c>
      <c r="AK1911">
        <v>3.0097790036120902</v>
      </c>
      <c r="AL1911">
        <v>93.146162243739795</v>
      </c>
      <c r="AM1911">
        <v>90.098809156621201</v>
      </c>
      <c r="AN1911">
        <v>1.00000000894458</v>
      </c>
    </row>
    <row r="1912" spans="1:40" x14ac:dyDescent="0.25">
      <c r="A1912" t="str">
        <f>"20190303154501150"</f>
        <v>20190303154501150</v>
      </c>
      <c r="B1912" t="str">
        <f>"1551599101142258"</f>
        <v>1551599101142258</v>
      </c>
      <c r="C1912" t="s">
        <v>40</v>
      </c>
      <c r="D1912">
        <v>4.5835720000000002</v>
      </c>
      <c r="E1912">
        <v>0.50994410000000001</v>
      </c>
      <c r="F1912" t="s">
        <v>45</v>
      </c>
      <c r="G1912">
        <v>0</v>
      </c>
      <c r="H1912">
        <v>0</v>
      </c>
      <c r="I1912">
        <v>0</v>
      </c>
      <c r="J1912">
        <v>-392.78769999999997</v>
      </c>
      <c r="K1912">
        <v>1.1207800000000001</v>
      </c>
      <c r="L1912">
        <v>284.28980000000001</v>
      </c>
      <c r="M1912">
        <v>-0.99989399999999995</v>
      </c>
      <c r="N1912">
        <v>-1.443446E-2</v>
      </c>
      <c r="O1912">
        <v>-1.9261809999999999E-3</v>
      </c>
      <c r="P1912">
        <v>-0.99755919999999998</v>
      </c>
      <c r="Q1912">
        <v>-6.972913E-2</v>
      </c>
      <c r="R1912">
        <v>-3.6940079999999999E-3</v>
      </c>
      <c r="S1912">
        <v>-3.0085139999999999</v>
      </c>
      <c r="T1912">
        <v>1.404035E-2</v>
      </c>
      <c r="U1912">
        <v>7.1166989999999999E-2</v>
      </c>
      <c r="V1912">
        <v>-1.807127E-3</v>
      </c>
      <c r="W1912">
        <v>-5.532144E-2</v>
      </c>
      <c r="X1912">
        <v>0.99846699999999999</v>
      </c>
      <c r="Y1912">
        <v>2.5574610000000001E-2</v>
      </c>
      <c r="Z1912" s="1">
        <v>8.8154979999999997E-5</v>
      </c>
      <c r="AA1912">
        <v>0.99967289999999998</v>
      </c>
      <c r="AB1912">
        <v>32</v>
      </c>
      <c r="AC1912">
        <v>-3.0085139999999999</v>
      </c>
      <c r="AD1912">
        <v>1.404035E-2</v>
      </c>
      <c r="AE1912">
        <v>7.1166989999999999E-2</v>
      </c>
      <c r="AF1912">
        <v>7.6960728788202107E-2</v>
      </c>
      <c r="AG1912">
        <v>1.404035E-2</v>
      </c>
      <c r="AH1912">
        <v>3.0083058396550402</v>
      </c>
      <c r="AI1912">
        <v>89.732678827641294</v>
      </c>
      <c r="AJ1912">
        <v>88.534536186523994</v>
      </c>
      <c r="AK1912">
        <v>3.00932286571354</v>
      </c>
      <c r="AL1912">
        <v>93.171303919535305</v>
      </c>
      <c r="AM1912">
        <v>90.103699608586595</v>
      </c>
      <c r="AN1912">
        <v>1.0000000387603301</v>
      </c>
    </row>
    <row r="1913" spans="1:40" x14ac:dyDescent="0.25">
      <c r="A1913" t="str">
        <f>"20190303154501194"</f>
        <v>20190303154501194</v>
      </c>
      <c r="B1913" t="str">
        <f>"1551599101192034"</f>
        <v>1551599101192034</v>
      </c>
      <c r="C1913" t="s">
        <v>40</v>
      </c>
      <c r="D1913">
        <v>4.7104330000000001</v>
      </c>
      <c r="E1913">
        <v>0.50847419999999999</v>
      </c>
      <c r="F1913" t="s">
        <v>45</v>
      </c>
      <c r="G1913">
        <v>0</v>
      </c>
      <c r="H1913">
        <v>0</v>
      </c>
      <c r="I1913">
        <v>0</v>
      </c>
      <c r="J1913">
        <v>-393.42779999999999</v>
      </c>
      <c r="K1913">
        <v>1.12077</v>
      </c>
      <c r="L1913">
        <v>284.28919999999999</v>
      </c>
      <c r="M1913">
        <v>-0.99989499999999998</v>
      </c>
      <c r="N1913">
        <v>-1.442746E-2</v>
      </c>
      <c r="O1913">
        <v>-1.3738789999999999E-3</v>
      </c>
      <c r="P1913">
        <v>-0.99743579999999998</v>
      </c>
      <c r="Q1913">
        <v>-7.1414889999999995E-2</v>
      </c>
      <c r="R1913">
        <v>-4.6762490000000004E-3</v>
      </c>
      <c r="S1913">
        <v>-3.0083310000000001</v>
      </c>
      <c r="T1913">
        <v>1.079631E-2</v>
      </c>
      <c r="U1913">
        <v>6.4208979999999999E-2</v>
      </c>
      <c r="V1913">
        <v>-3.3412950000000002E-3</v>
      </c>
      <c r="W1913">
        <v>-5.7014830000000002E-2</v>
      </c>
      <c r="X1913">
        <v>0.99836769999999997</v>
      </c>
      <c r="Y1913">
        <v>2.271277E-2</v>
      </c>
      <c r="Z1913" s="1">
        <v>9.8368299999999998E-5</v>
      </c>
      <c r="AA1913">
        <v>0.99974200000000002</v>
      </c>
      <c r="AB1913">
        <v>32</v>
      </c>
      <c r="AC1913">
        <v>-3.0083310000000001</v>
      </c>
      <c r="AD1913">
        <v>1.079631E-2</v>
      </c>
      <c r="AE1913">
        <v>6.4208979999999999E-2</v>
      </c>
      <c r="AF1913">
        <v>6.8341552486899798E-2</v>
      </c>
      <c r="AG1913">
        <v>1.079631E-2</v>
      </c>
      <c r="AH1913">
        <v>3.0082012091546799</v>
      </c>
      <c r="AI1913">
        <v>89.794421739505694</v>
      </c>
      <c r="AJ1913">
        <v>88.698554785044095</v>
      </c>
      <c r="AK1913">
        <v>3.00899678345883</v>
      </c>
      <c r="AL1913">
        <v>93.268481697902999</v>
      </c>
      <c r="AM1913">
        <v>90.1917543875322</v>
      </c>
      <c r="AN1913">
        <v>0.99999995974774702</v>
      </c>
    </row>
    <row r="1914" spans="1:40" x14ac:dyDescent="0.25">
      <c r="A1914" t="str">
        <f>"20190303154501217"</f>
        <v>20190303154501217</v>
      </c>
      <c r="B1914" t="str">
        <f>"1551599101212531"</f>
        <v>1551599101212531</v>
      </c>
      <c r="C1914" t="s">
        <v>40</v>
      </c>
      <c r="D1914">
        <v>4.6718460000000004</v>
      </c>
      <c r="E1914">
        <v>0.50802849999999999</v>
      </c>
      <c r="F1914" t="s">
        <v>45</v>
      </c>
      <c r="G1914">
        <v>0</v>
      </c>
      <c r="H1914">
        <v>0</v>
      </c>
      <c r="I1914">
        <v>0</v>
      </c>
      <c r="J1914">
        <v>-393.74299999999999</v>
      </c>
      <c r="K1914">
        <v>1.1207739999999999</v>
      </c>
      <c r="L1914">
        <v>284.28910000000002</v>
      </c>
      <c r="M1914">
        <v>-0.99989539999999999</v>
      </c>
      <c r="N1914">
        <v>-1.4423999999999999E-2</v>
      </c>
      <c r="O1914">
        <v>-1.101844E-3</v>
      </c>
      <c r="P1914">
        <v>-0.99741590000000002</v>
      </c>
      <c r="Q1914">
        <v>-7.1712339999999999E-2</v>
      </c>
      <c r="R1914">
        <v>-4.3635559999999898E-3</v>
      </c>
      <c r="S1914">
        <v>-3.0081180000000001</v>
      </c>
      <c r="T1914">
        <v>2.488732E-3</v>
      </c>
      <c r="U1914">
        <v>4.9560550000000002E-2</v>
      </c>
      <c r="V1914">
        <v>-3.3002970000000002E-3</v>
      </c>
      <c r="W1914">
        <v>-5.7316060000000002E-2</v>
      </c>
      <c r="X1914">
        <v>0.99835059999999998</v>
      </c>
      <c r="Y1914">
        <v>1.757514E-2</v>
      </c>
      <c r="Z1914">
        <v>1.0269269999999999E-4</v>
      </c>
      <c r="AA1914">
        <v>0.9998456</v>
      </c>
      <c r="AB1914">
        <v>32</v>
      </c>
      <c r="AC1914">
        <v>-3.0081180000000001</v>
      </c>
      <c r="AD1914">
        <v>2.488732E-3</v>
      </c>
      <c r="AE1914">
        <v>4.9560550000000002E-2</v>
      </c>
      <c r="AF1914">
        <v>5.28753052137527E-2</v>
      </c>
      <c r="AG1914">
        <v>2.488732E-3</v>
      </c>
      <c r="AH1914">
        <v>3.0080595015021898</v>
      </c>
      <c r="AI1914">
        <v>89.952603403290794</v>
      </c>
      <c r="AJ1914">
        <v>88.992965444296104</v>
      </c>
      <c r="AK1914">
        <v>3.0085252128353499</v>
      </c>
      <c r="AL1914">
        <v>93.285769137205307</v>
      </c>
      <c r="AM1914">
        <v>90.189404804727303</v>
      </c>
      <c r="AN1914">
        <v>0.99999997160728504</v>
      </c>
    </row>
    <row r="1915" spans="1:40" x14ac:dyDescent="0.25">
      <c r="A1915" t="str">
        <f>"20190303154501239"</f>
        <v>20190303154501239</v>
      </c>
      <c r="B1915" t="str">
        <f>"1551599101232425"</f>
        <v>1551599101232425</v>
      </c>
      <c r="C1915" t="s">
        <v>40</v>
      </c>
      <c r="D1915">
        <v>4.7041529999999998</v>
      </c>
      <c r="E1915">
        <v>0.50745739999999995</v>
      </c>
      <c r="F1915" t="s">
        <v>45</v>
      </c>
      <c r="G1915">
        <v>0</v>
      </c>
      <c r="H1915">
        <v>0</v>
      </c>
      <c r="I1915">
        <v>0</v>
      </c>
      <c r="J1915">
        <v>-394.06200000000001</v>
      </c>
      <c r="K1915">
        <v>1.120779</v>
      </c>
      <c r="L1915">
        <v>284.28899999999999</v>
      </c>
      <c r="M1915">
        <v>-0.9998958</v>
      </c>
      <c r="N1915">
        <v>-1.4420489999999999E-2</v>
      </c>
      <c r="O1915">
        <v>-8.2635529999999997E-4</v>
      </c>
      <c r="P1915">
        <v>-0.99743950000000003</v>
      </c>
      <c r="Q1915">
        <v>-7.1404229999999999E-2</v>
      </c>
      <c r="R1915">
        <v>-4.018074E-3</v>
      </c>
      <c r="S1915">
        <v>-3.008057</v>
      </c>
      <c r="T1915">
        <v>1.1260510000000001E-3</v>
      </c>
      <c r="U1915">
        <v>4.7088619999999998E-2</v>
      </c>
      <c r="V1915">
        <v>-3.229422E-3</v>
      </c>
      <c r="W1915">
        <v>-5.701121E-2</v>
      </c>
      <c r="X1915">
        <v>0.99836829999999999</v>
      </c>
      <c r="Y1915">
        <v>1.647854E-2</v>
      </c>
      <c r="Z1915">
        <v>1.0351779999999999E-4</v>
      </c>
      <c r="AA1915">
        <v>0.99986419999999998</v>
      </c>
      <c r="AB1915">
        <v>32</v>
      </c>
      <c r="AC1915">
        <v>-3.008057</v>
      </c>
      <c r="AD1915">
        <v>1.1260510000000001E-3</v>
      </c>
      <c r="AE1915">
        <v>4.7088619999999998E-2</v>
      </c>
      <c r="AF1915">
        <v>4.9574579008826399E-2</v>
      </c>
      <c r="AG1915">
        <v>1.1260510000000001E-3</v>
      </c>
      <c r="AH1915">
        <v>3.0080166353458502</v>
      </c>
      <c r="AI1915">
        <v>89.978554238786899</v>
      </c>
      <c r="AJ1915">
        <v>89.055804084249701</v>
      </c>
      <c r="AK1915">
        <v>3.0084253331921298</v>
      </c>
      <c r="AL1915">
        <v>93.2682738671636</v>
      </c>
      <c r="AM1915">
        <v>90.185334015034698</v>
      </c>
      <c r="AN1915">
        <v>0.99999998483850305</v>
      </c>
    </row>
    <row r="1916" spans="1:40" x14ac:dyDescent="0.25">
      <c r="A1916" t="str">
        <f>"20190303154501260"</f>
        <v>20190303154501260</v>
      </c>
      <c r="B1916" t="str">
        <f>"1551599101252906"</f>
        <v>1551599101252906</v>
      </c>
      <c r="C1916" t="s">
        <v>40</v>
      </c>
      <c r="D1916">
        <v>4.6657219999999997</v>
      </c>
      <c r="E1916">
        <v>0.50707060000000004</v>
      </c>
      <c r="F1916" t="s">
        <v>45</v>
      </c>
      <c r="G1916">
        <v>0</v>
      </c>
      <c r="H1916">
        <v>0</v>
      </c>
      <c r="I1916">
        <v>0</v>
      </c>
      <c r="J1916">
        <v>-394.37200000000001</v>
      </c>
      <c r="K1916">
        <v>1.1207849999999999</v>
      </c>
      <c r="L1916">
        <v>284.28899999999999</v>
      </c>
      <c r="M1916">
        <v>-0.99989589999999995</v>
      </c>
      <c r="N1916">
        <v>-1.4417080000000001E-2</v>
      </c>
      <c r="O1916">
        <v>-5.5873649999999995E-4</v>
      </c>
      <c r="P1916">
        <v>-0.99753080000000005</v>
      </c>
      <c r="Q1916">
        <v>-7.0135859999999994E-2</v>
      </c>
      <c r="R1916">
        <v>-3.6318460000000002E-3</v>
      </c>
      <c r="S1916">
        <v>-3.0078130000000001</v>
      </c>
      <c r="T1916">
        <v>-1.1056659999999999E-3</v>
      </c>
      <c r="U1916">
        <v>4.3579100000000003E-2</v>
      </c>
      <c r="V1916">
        <v>-3.1092020000000001E-3</v>
      </c>
      <c r="W1916">
        <v>-5.5745169999999997E-2</v>
      </c>
      <c r="X1916">
        <v>0.9984402</v>
      </c>
      <c r="Y1916">
        <v>1.504576E-2</v>
      </c>
      <c r="Z1916">
        <v>1.0338470000000001E-4</v>
      </c>
      <c r="AA1916">
        <v>0.99988679999999996</v>
      </c>
      <c r="AB1916">
        <v>32</v>
      </c>
      <c r="AC1916">
        <v>-3.0078130000000001</v>
      </c>
      <c r="AD1916">
        <v>-1.1056659999999999E-3</v>
      </c>
      <c r="AE1916">
        <v>4.3579100000000003E-2</v>
      </c>
      <c r="AF1916">
        <v>4.5259836693510101E-2</v>
      </c>
      <c r="AG1916">
        <v>-1.1056659999999999E-3</v>
      </c>
      <c r="AH1916">
        <v>3.0077877722861599</v>
      </c>
      <c r="AI1916">
        <v>90.021059604726602</v>
      </c>
      <c r="AJ1916">
        <v>89.137903960635796</v>
      </c>
      <c r="AK1916">
        <v>3.0081284810375002</v>
      </c>
      <c r="AL1916">
        <v>93.195619467649394</v>
      </c>
      <c r="AM1916">
        <v>90.178421878860604</v>
      </c>
      <c r="AN1916">
        <v>1.00000001204572</v>
      </c>
    </row>
    <row r="1917" spans="1:40" x14ac:dyDescent="0.25">
      <c r="A1917" t="str">
        <f>"20190303154501285"</f>
        <v>20190303154501285</v>
      </c>
      <c r="B1917" t="str">
        <f>"1551599101272423"</f>
        <v>1551599101272423</v>
      </c>
      <c r="C1917" t="s">
        <v>40</v>
      </c>
      <c r="D1917">
        <v>4.6574159999999996</v>
      </c>
      <c r="E1917">
        <v>0.50678529999999999</v>
      </c>
      <c r="F1917" t="s">
        <v>45</v>
      </c>
      <c r="G1917">
        <v>0</v>
      </c>
      <c r="H1917">
        <v>0</v>
      </c>
      <c r="I1917">
        <v>0</v>
      </c>
      <c r="J1917">
        <v>-394.70690000000002</v>
      </c>
      <c r="K1917">
        <v>1.1207929999999999</v>
      </c>
      <c r="L1917">
        <v>284.28919999999999</v>
      </c>
      <c r="M1917">
        <v>-0.99989620000000001</v>
      </c>
      <c r="N1917">
        <v>-1.441341E-2</v>
      </c>
      <c r="O1917">
        <v>-2.7025699999999998E-4</v>
      </c>
      <c r="P1917">
        <v>-0.99760230000000005</v>
      </c>
      <c r="Q1917">
        <v>-6.9126359999999998E-2</v>
      </c>
      <c r="R1917">
        <v>-3.3867260000000001E-3</v>
      </c>
      <c r="S1917">
        <v>-3.0077210000000001</v>
      </c>
      <c r="T1917">
        <v>1.1932850000000001E-3</v>
      </c>
      <c r="U1917">
        <v>4.1534420000000002E-2</v>
      </c>
      <c r="V1917">
        <v>-3.151273E-3</v>
      </c>
      <c r="W1917">
        <v>-5.4738380000000003E-2</v>
      </c>
      <c r="X1917">
        <v>0.99849580000000004</v>
      </c>
      <c r="Y1917">
        <v>1.4078220000000001E-2</v>
      </c>
      <c r="Z1917" s="1">
        <v>9.4672449999999995E-5</v>
      </c>
      <c r="AA1917">
        <v>0.99990089999999998</v>
      </c>
      <c r="AB1917">
        <v>32</v>
      </c>
      <c r="AC1917">
        <v>-3.0077210000000001</v>
      </c>
      <c r="AD1917">
        <v>1.1932850000000001E-3</v>
      </c>
      <c r="AE1917">
        <v>4.1534420000000002E-2</v>
      </c>
      <c r="AF1917">
        <v>4.2347353826524499E-2</v>
      </c>
      <c r="AG1917">
        <v>1.1932850000000001E-3</v>
      </c>
      <c r="AH1917">
        <v>3.0077091906718798</v>
      </c>
      <c r="AI1917">
        <v>89.9772706034219</v>
      </c>
      <c r="AJ1917">
        <v>89.193351422832905</v>
      </c>
      <c r="AK1917">
        <v>3.0080075295712398</v>
      </c>
      <c r="AL1917">
        <v>93.137846335896697</v>
      </c>
      <c r="AM1917">
        <v>90.180826042060204</v>
      </c>
      <c r="AN1917">
        <v>1.00000004169209</v>
      </c>
    </row>
    <row r="1918" spans="1:40" x14ac:dyDescent="0.25">
      <c r="A1918" t="str">
        <f>"20190303154501306"</f>
        <v>20190303154501306</v>
      </c>
      <c r="B1918" t="str">
        <f>"1551599101302679"</f>
        <v>1551599101302679</v>
      </c>
      <c r="C1918" t="s">
        <v>40</v>
      </c>
      <c r="D1918">
        <v>4.6424729999999998</v>
      </c>
      <c r="E1918">
        <v>0.50641219999999998</v>
      </c>
      <c r="F1918" t="s">
        <v>45</v>
      </c>
      <c r="G1918">
        <v>0</v>
      </c>
      <c r="H1918">
        <v>0</v>
      </c>
      <c r="I1918">
        <v>0</v>
      </c>
      <c r="J1918">
        <v>-395.0127</v>
      </c>
      <c r="K1918">
        <v>1.1207990000000001</v>
      </c>
      <c r="L1918">
        <v>284.28930000000003</v>
      </c>
      <c r="M1918">
        <v>-0.99989629999999996</v>
      </c>
      <c r="N1918">
        <v>-1.4410040000000001E-2</v>
      </c>
      <c r="O1918" s="1">
        <v>-7.2259569999999998E-6</v>
      </c>
      <c r="P1918">
        <v>-0.99765000000000004</v>
      </c>
      <c r="Q1918">
        <v>-6.8440329999999994E-2</v>
      </c>
      <c r="R1918">
        <v>-3.2529680000000002E-3</v>
      </c>
      <c r="S1918">
        <v>-3.0075989999999999</v>
      </c>
      <c r="T1918">
        <v>3.3786300000000001E-3</v>
      </c>
      <c r="U1918">
        <v>3.9733890000000001E-2</v>
      </c>
      <c r="V1918">
        <v>-3.2789960000000002E-3</v>
      </c>
      <c r="W1918">
        <v>-5.4055039999999999E-2</v>
      </c>
      <c r="X1918">
        <v>0.99853259999999999</v>
      </c>
      <c r="Y1918">
        <v>1.3217339999999999E-2</v>
      </c>
      <c r="Z1918" s="1">
        <v>8.7703999999999999E-5</v>
      </c>
      <c r="AA1918">
        <v>0.99991260000000004</v>
      </c>
      <c r="AB1918">
        <v>32</v>
      </c>
      <c r="AC1918">
        <v>-3.0075989999999999</v>
      </c>
      <c r="AD1918">
        <v>3.3786300000000001E-3</v>
      </c>
      <c r="AE1918">
        <v>3.9733890000000001E-2</v>
      </c>
      <c r="AF1918">
        <v>3.9755574873225202E-2</v>
      </c>
      <c r="AG1918">
        <v>3.3786300000000001E-3</v>
      </c>
      <c r="AH1918">
        <v>3.0075949180107102</v>
      </c>
      <c r="AI1918">
        <v>89.935641516298503</v>
      </c>
      <c r="AJ1918">
        <v>89.242685912427007</v>
      </c>
      <c r="AK1918">
        <v>3.0078595565148998</v>
      </c>
      <c r="AL1918">
        <v>93.098635831769798</v>
      </c>
      <c r="AM1918">
        <v>90.188148044981503</v>
      </c>
      <c r="AN1918">
        <v>1.0000000262134601</v>
      </c>
    </row>
    <row r="1919" spans="1:40" x14ac:dyDescent="0.25">
      <c r="A1919" t="str">
        <f>"20190303154501329"</f>
        <v>20190303154501329</v>
      </c>
      <c r="B1919" t="str">
        <f>"1551599101322198"</f>
        <v>1551599101322198</v>
      </c>
      <c r="C1919" t="s">
        <v>40</v>
      </c>
      <c r="D1919">
        <v>4.7371639999999999</v>
      </c>
      <c r="E1919">
        <v>0.5068492</v>
      </c>
      <c r="F1919" t="s">
        <v>45</v>
      </c>
      <c r="G1919">
        <v>0</v>
      </c>
      <c r="H1919">
        <v>0</v>
      </c>
      <c r="I1919">
        <v>0</v>
      </c>
      <c r="J1919">
        <v>-395.33640000000003</v>
      </c>
      <c r="K1919">
        <v>1.1208020000000001</v>
      </c>
      <c r="L1919">
        <v>284.28960000000001</v>
      </c>
      <c r="M1919">
        <v>-0.99989629999999996</v>
      </c>
      <c r="N1919">
        <v>-1.4406489999999999E-2</v>
      </c>
      <c r="O1919">
        <v>2.7106530000000002E-4</v>
      </c>
      <c r="P1919">
        <v>-0.99768159999999895</v>
      </c>
      <c r="Q1919">
        <v>-6.7983970000000005E-2</v>
      </c>
      <c r="R1919">
        <v>-3.1406939999999999E-3</v>
      </c>
      <c r="S1919">
        <v>-3.0074770000000002</v>
      </c>
      <c r="T1919">
        <v>4.5322180000000002E-3</v>
      </c>
      <c r="U1919">
        <v>3.7597659999999998E-2</v>
      </c>
      <c r="V1919">
        <v>-3.4438239999999998E-3</v>
      </c>
      <c r="W1919">
        <v>-5.360173E-2</v>
      </c>
      <c r="X1919">
        <v>0.99855640000000001</v>
      </c>
      <c r="Y1919">
        <v>1.2229500000000001E-2</v>
      </c>
      <c r="Z1919" s="1">
        <v>8.319879E-5</v>
      </c>
      <c r="AA1919">
        <v>0.99992519999999996</v>
      </c>
      <c r="AB1919">
        <v>32</v>
      </c>
      <c r="AC1919">
        <v>-3.0074770000000002</v>
      </c>
      <c r="AD1919">
        <v>4.5322180000000002E-3</v>
      </c>
      <c r="AE1919">
        <v>3.7597659999999998E-2</v>
      </c>
      <c r="AF1919">
        <v>3.67822679263545E-2</v>
      </c>
      <c r="AG1919">
        <v>4.5322180000000002E-3</v>
      </c>
      <c r="AH1919">
        <v>3.0074802530478202</v>
      </c>
      <c r="AI1919">
        <v>89.913662825392905</v>
      </c>
      <c r="AJ1919">
        <v>89.299292607986601</v>
      </c>
      <c r="AK1919">
        <v>3.0077085877302601</v>
      </c>
      <c r="AL1919">
        <v>93.072625623248896</v>
      </c>
      <c r="AM1919">
        <v>90.197601055164398</v>
      </c>
      <c r="AN1919">
        <v>0.99999994468184605</v>
      </c>
    </row>
    <row r="1920" spans="1:40" x14ac:dyDescent="0.25">
      <c r="A1920" t="str">
        <f>"20190303154501351"</f>
        <v>20190303154501351</v>
      </c>
      <c r="B1920" t="str">
        <f>"1551599101342227"</f>
        <v>1551599101342227</v>
      </c>
      <c r="C1920" t="s">
        <v>40</v>
      </c>
      <c r="D1920">
        <v>4.6742839999999903</v>
      </c>
      <c r="E1920">
        <v>0.52939239999999999</v>
      </c>
      <c r="F1920" t="s">
        <v>45</v>
      </c>
      <c r="G1920">
        <v>0</v>
      </c>
      <c r="H1920">
        <v>0</v>
      </c>
      <c r="I1920">
        <v>0</v>
      </c>
      <c r="J1920">
        <v>-395.64960000000002</v>
      </c>
      <c r="K1920">
        <v>1.120803</v>
      </c>
      <c r="L1920">
        <v>284.29000000000002</v>
      </c>
      <c r="M1920">
        <v>-0.99989620000000001</v>
      </c>
      <c r="N1920">
        <v>-1.4403060000000001E-2</v>
      </c>
      <c r="O1920">
        <v>5.4023850000000002E-4</v>
      </c>
      <c r="P1920">
        <v>-0.99767380000000006</v>
      </c>
      <c r="Q1920">
        <v>-6.8092910000000006E-2</v>
      </c>
      <c r="R1920">
        <v>-3.2434209999999998E-3</v>
      </c>
      <c r="S1920">
        <v>-3.0074459999999998</v>
      </c>
      <c r="T1920">
        <v>5.1524639999999998E-3</v>
      </c>
      <c r="U1920">
        <v>4.1381840000000003E-2</v>
      </c>
      <c r="V1920">
        <v>-3.8151959999999999E-3</v>
      </c>
      <c r="W1920">
        <v>-5.3713990000000003E-2</v>
      </c>
      <c r="X1920">
        <v>0.99854900000000002</v>
      </c>
      <c r="Y1920">
        <v>1.321846E-2</v>
      </c>
      <c r="Z1920" s="1">
        <v>9.2586009999999998E-5</v>
      </c>
      <c r="AA1920">
        <v>0.99991260000000004</v>
      </c>
      <c r="AB1920">
        <v>32</v>
      </c>
      <c r="AC1920">
        <v>-3.0074459999999998</v>
      </c>
      <c r="AD1920">
        <v>5.1524639999999998E-3</v>
      </c>
      <c r="AE1920">
        <v>4.1381840000000003E-2</v>
      </c>
      <c r="AF1920">
        <v>3.9756810744743201E-2</v>
      </c>
      <c r="AG1920">
        <v>5.1524639999999998E-3</v>
      </c>
      <c r="AH1920">
        <v>3.0074590936636798</v>
      </c>
      <c r="AI1920">
        <v>89.901847921458099</v>
      </c>
      <c r="AJ1920">
        <v>89.242628173466699</v>
      </c>
      <c r="AK1920">
        <v>3.00772627610064</v>
      </c>
      <c r="AL1920">
        <v>93.079066982030696</v>
      </c>
      <c r="AM1920">
        <v>90.218911205297999</v>
      </c>
      <c r="AN1920">
        <v>0.99999992692161599</v>
      </c>
    </row>
    <row r="1921" spans="1:40" x14ac:dyDescent="0.25">
      <c r="A1921" t="str">
        <f>"20190303154501374"</f>
        <v>20190303154501374</v>
      </c>
      <c r="B1921" t="str">
        <f>"1551599101362722"</f>
        <v>1551599101362722</v>
      </c>
      <c r="C1921" t="s">
        <v>40</v>
      </c>
      <c r="D1921">
        <v>4.6601189999999999</v>
      </c>
      <c r="E1921">
        <v>0.52933850000000005</v>
      </c>
      <c r="F1921" t="s">
        <v>55</v>
      </c>
      <c r="G1921">
        <v>-451.65050000000002</v>
      </c>
      <c r="H1921" s="1">
        <v>-8.2495919999999995E-7</v>
      </c>
      <c r="I1921">
        <v>288.4248</v>
      </c>
      <c r="J1921">
        <v>-395.97300000000001</v>
      </c>
      <c r="K1921">
        <v>1.1208020000000001</v>
      </c>
      <c r="L1921">
        <v>284.29050000000001</v>
      </c>
      <c r="M1921">
        <v>-0.99989620000000001</v>
      </c>
      <c r="N1921">
        <v>-1.4399510000000001E-2</v>
      </c>
      <c r="O1921">
        <v>8.179363E-4</v>
      </c>
      <c r="P1921">
        <v>-0.99765380000000004</v>
      </c>
      <c r="Q1921">
        <v>-6.8383719999999995E-2</v>
      </c>
      <c r="R1921">
        <v>-3.2911289999999998E-3</v>
      </c>
      <c r="S1921">
        <v>-3.0036010000000002</v>
      </c>
      <c r="T1921">
        <v>-6.0114149999999998E-2</v>
      </c>
      <c r="U1921">
        <v>0.2217712</v>
      </c>
      <c r="V1921">
        <v>-4.1398609999999999E-3</v>
      </c>
      <c r="W1921">
        <v>-5.4008439999999998E-2</v>
      </c>
      <c r="X1921">
        <v>0.99853190000000003</v>
      </c>
      <c r="Y1921">
        <v>7.2793869999999997E-2</v>
      </c>
      <c r="Z1921">
        <v>1.2477300000000001E-3</v>
      </c>
      <c r="AA1921">
        <v>0.99734619999999996</v>
      </c>
      <c r="AB1921">
        <v>32</v>
      </c>
      <c r="AC1921">
        <v>-55.677500000000002</v>
      </c>
      <c r="AD1921">
        <v>-1.1208028249591999</v>
      </c>
      <c r="AE1921">
        <v>4.1342999999999899</v>
      </c>
      <c r="AF1921">
        <v>4.0871061297561999</v>
      </c>
      <c r="AG1921">
        <v>-1.1208028249591999</v>
      </c>
      <c r="AH1921">
        <v>55.658432660548897</v>
      </c>
      <c r="AI1921">
        <v>91.150521484009502</v>
      </c>
      <c r="AJ1921">
        <v>85.800198297969899</v>
      </c>
      <c r="AK1921">
        <v>55.819546412678697</v>
      </c>
      <c r="AL1921">
        <v>93.095962015479699</v>
      </c>
      <c r="AM1921">
        <v>90.237543942298601</v>
      </c>
      <c r="AN1921">
        <v>1.0000000026789699</v>
      </c>
    </row>
    <row r="1922" spans="1:40" x14ac:dyDescent="0.25">
      <c r="A1922" t="str">
        <f>"20190303154501396"</f>
        <v>20190303154501396</v>
      </c>
      <c r="B1922" t="str">
        <f>"1551599101392978"</f>
        <v>1551599101392978</v>
      </c>
      <c r="C1922" t="s">
        <v>40</v>
      </c>
      <c r="D1922">
        <v>4.6018629999999998</v>
      </c>
      <c r="E1922">
        <v>0.52951099999999995</v>
      </c>
      <c r="F1922" t="s">
        <v>55</v>
      </c>
      <c r="G1922">
        <v>-463.92899999999997</v>
      </c>
      <c r="H1922" s="1">
        <v>3.4977759999999998E-7</v>
      </c>
      <c r="I1922">
        <v>289.28879999999998</v>
      </c>
      <c r="J1922">
        <v>-396.2955</v>
      </c>
      <c r="K1922">
        <v>1.120795</v>
      </c>
      <c r="L1922">
        <v>284.291</v>
      </c>
      <c r="M1922">
        <v>-0.99989589999999995</v>
      </c>
      <c r="N1922">
        <v>-1.4395979999999999E-2</v>
      </c>
      <c r="O1922">
        <v>1.0949779999999999E-3</v>
      </c>
      <c r="P1922">
        <v>-0.99763729999999995</v>
      </c>
      <c r="Q1922">
        <v>-6.8609760000000006E-2</v>
      </c>
      <c r="R1922">
        <v>-3.5579209999999999E-3</v>
      </c>
      <c r="S1922">
        <v>-3.0043950000000001</v>
      </c>
      <c r="T1922">
        <v>-4.9551610000000003E-2</v>
      </c>
      <c r="U1922">
        <v>0.2209778</v>
      </c>
      <c r="V1922">
        <v>-4.6835509999999898E-3</v>
      </c>
      <c r="W1922">
        <v>-5.4237899999999999E-2</v>
      </c>
      <c r="X1922">
        <v>0.99851699999999999</v>
      </c>
      <c r="Y1922">
        <v>7.2242840000000003E-2</v>
      </c>
      <c r="Z1922">
        <v>1.113415E-3</v>
      </c>
      <c r="AA1922">
        <v>0.99738649999999995</v>
      </c>
      <c r="AB1922">
        <v>32</v>
      </c>
      <c r="AC1922">
        <v>-67.633499999999998</v>
      </c>
      <c r="AD1922">
        <v>-1.12079465022239</v>
      </c>
      <c r="AE1922">
        <v>4.9977999999999803</v>
      </c>
      <c r="AF1922">
        <v>4.9223877099314501</v>
      </c>
      <c r="AG1922">
        <v>-1.12079465022239</v>
      </c>
      <c r="AH1922">
        <v>67.620463573832296</v>
      </c>
      <c r="AI1922">
        <v>90.947072776263596</v>
      </c>
      <c r="AJ1922">
        <v>85.836534686522896</v>
      </c>
      <c r="AK1922">
        <v>67.808651183715796</v>
      </c>
      <c r="AL1922">
        <v>93.109128591149101</v>
      </c>
      <c r="AM1922">
        <v>90.268744285275503</v>
      </c>
      <c r="AN1922">
        <v>0.99999994236768797</v>
      </c>
    </row>
    <row r="1923" spans="1:40" x14ac:dyDescent="0.25">
      <c r="A1923" t="str">
        <f>"20190303154501419"</f>
        <v>20190303154501419</v>
      </c>
      <c r="B1923" t="str">
        <f>"1551599101412498"</f>
        <v>1551599101412498</v>
      </c>
      <c r="C1923" t="s">
        <v>40</v>
      </c>
      <c r="D1923">
        <v>4.5997320000000004</v>
      </c>
      <c r="E1923">
        <v>0.52942979999999995</v>
      </c>
      <c r="F1923" t="s">
        <v>55</v>
      </c>
      <c r="G1923">
        <v>-468.77640000000002</v>
      </c>
      <c r="H1923">
        <v>6.9644730000000002E-2</v>
      </c>
      <c r="I1923">
        <v>289.63600000000002</v>
      </c>
      <c r="J1923">
        <v>-396.60950000000003</v>
      </c>
      <c r="K1923">
        <v>1.1207990000000001</v>
      </c>
      <c r="L1923">
        <v>284.29169999999999</v>
      </c>
      <c r="M1923">
        <v>-0.9998956</v>
      </c>
      <c r="N1923">
        <v>-1.4392540000000001E-2</v>
      </c>
      <c r="O1923">
        <v>1.365046E-3</v>
      </c>
      <c r="P1923">
        <v>-0.9976391</v>
      </c>
      <c r="Q1923">
        <v>-6.8573049999999997E-2</v>
      </c>
      <c r="R1923">
        <v>-3.7710759999999999E-3</v>
      </c>
      <c r="S1923">
        <v>-3.004883</v>
      </c>
      <c r="T1923">
        <v>-4.3578150000000003E-2</v>
      </c>
      <c r="U1923">
        <v>0.22158810000000001</v>
      </c>
      <c r="V1923">
        <v>-5.1663560000000004E-3</v>
      </c>
      <c r="W1923">
        <v>-5.4204349999999998E-2</v>
      </c>
      <c r="X1923">
        <v>0.99851650000000003</v>
      </c>
      <c r="Y1923">
        <v>7.2166369999999994E-2</v>
      </c>
      <c r="Z1923">
        <v>1.042524E-3</v>
      </c>
      <c r="AA1923">
        <v>0.9973921</v>
      </c>
      <c r="AB1923">
        <v>32</v>
      </c>
      <c r="AC1923">
        <v>-72.166899999999998</v>
      </c>
      <c r="AD1923">
        <v>-1.0511542699999901</v>
      </c>
      <c r="AE1923">
        <v>5.3442999999999703</v>
      </c>
      <c r="AF1923">
        <v>5.2446670652156397</v>
      </c>
      <c r="AG1923">
        <v>-1.0511542699999901</v>
      </c>
      <c r="AH1923">
        <v>72.158903221265703</v>
      </c>
      <c r="AI1923">
        <v>90.832385502844403</v>
      </c>
      <c r="AJ1923">
        <v>85.842927212764906</v>
      </c>
      <c r="AK1923">
        <v>72.356884758952205</v>
      </c>
      <c r="AL1923">
        <v>93.1072033009184</v>
      </c>
      <c r="AM1923">
        <v>90.296447532760297</v>
      </c>
      <c r="AN1923">
        <v>1.00000000178274</v>
      </c>
    </row>
    <row r="1924" spans="1:40" x14ac:dyDescent="0.25">
      <c r="A1924" t="str">
        <f>"20190303154501441"</f>
        <v>20190303154501441</v>
      </c>
      <c r="B1924" t="str">
        <f>"1551599101432543"</f>
        <v>1551599101432543</v>
      </c>
      <c r="C1924" t="s">
        <v>40</v>
      </c>
      <c r="D1924">
        <v>4.5885730000000002</v>
      </c>
      <c r="E1924">
        <v>0.52938319999999905</v>
      </c>
      <c r="F1924" t="s">
        <v>54</v>
      </c>
      <c r="G1924">
        <v>-471.42720000000003</v>
      </c>
      <c r="H1924">
        <v>8.0000730000000006E-2</v>
      </c>
      <c r="I1924">
        <v>289.7774</v>
      </c>
      <c r="J1924">
        <v>-396.91570000000002</v>
      </c>
      <c r="K1924">
        <v>1.120797</v>
      </c>
      <c r="L1924">
        <v>284.29239999999999</v>
      </c>
      <c r="M1924">
        <v>-0.99989519999999998</v>
      </c>
      <c r="N1924">
        <v>-1.438918E-2</v>
      </c>
      <c r="O1924">
        <v>1.6284959999999999E-3</v>
      </c>
      <c r="P1924">
        <v>-0.99761849999999996</v>
      </c>
      <c r="Q1924">
        <v>-6.888155E-2</v>
      </c>
      <c r="R1924">
        <v>-3.618586E-3</v>
      </c>
      <c r="S1924">
        <v>-3.0050659999999998</v>
      </c>
      <c r="T1924">
        <v>-4.1803840000000002E-2</v>
      </c>
      <c r="U1924">
        <v>0.2203369</v>
      </c>
      <c r="V1924">
        <v>-5.2762520000000004E-3</v>
      </c>
      <c r="W1924">
        <v>-5.4516420000000003E-2</v>
      </c>
      <c r="X1924">
        <v>0.99849889999999997</v>
      </c>
      <c r="Y1924">
        <v>7.1487079999999995E-2</v>
      </c>
      <c r="Z1924">
        <v>1.01241E-3</v>
      </c>
      <c r="AA1924">
        <v>0.99744100000000002</v>
      </c>
      <c r="AB1924">
        <v>32</v>
      </c>
      <c r="AC1924">
        <v>-74.511499999999998</v>
      </c>
      <c r="AD1924">
        <v>-1.04079627</v>
      </c>
      <c r="AE1924">
        <v>5.4850000000000101</v>
      </c>
      <c r="AF1924">
        <v>5.3625978186551597</v>
      </c>
      <c r="AG1924">
        <v>-1.04079627</v>
      </c>
      <c r="AH1924">
        <v>74.505875732213298</v>
      </c>
      <c r="AI1924">
        <v>90.798266147867295</v>
      </c>
      <c r="AJ1924">
        <v>85.883206683242605</v>
      </c>
      <c r="AK1924">
        <v>74.7058647688674</v>
      </c>
      <c r="AL1924">
        <v>93.125110183807806</v>
      </c>
      <c r="AM1924">
        <v>90.302758628539493</v>
      </c>
      <c r="AN1924">
        <v>0.99999996609299602</v>
      </c>
    </row>
    <row r="1925" spans="1:40" x14ac:dyDescent="0.25">
      <c r="A1925" t="str">
        <f>"20190303154501463"</f>
        <v>20190303154501463</v>
      </c>
      <c r="B1925" t="str">
        <f>"1551599101453021"</f>
        <v>1551599101453021</v>
      </c>
      <c r="C1925" t="s">
        <v>40</v>
      </c>
      <c r="D1925">
        <v>4.5685070000000003</v>
      </c>
      <c r="E1925">
        <v>0.52940399999999999</v>
      </c>
      <c r="F1925" t="s">
        <v>54</v>
      </c>
      <c r="G1925">
        <v>-471.15469999999999</v>
      </c>
      <c r="H1925">
        <v>8.0000650000000006E-2</v>
      </c>
      <c r="I1925">
        <v>289.74169999999998</v>
      </c>
      <c r="J1925">
        <v>-397.23559999999998</v>
      </c>
      <c r="K1925">
        <v>1.1207940000000001</v>
      </c>
      <c r="L1925">
        <v>284.29320000000001</v>
      </c>
      <c r="M1925">
        <v>-0.99989470000000003</v>
      </c>
      <c r="N1925">
        <v>-1.438563E-2</v>
      </c>
      <c r="O1925">
        <v>1.9037500000000001E-3</v>
      </c>
      <c r="P1925">
        <v>-0.99760380000000004</v>
      </c>
      <c r="Q1925">
        <v>-6.9094329999999995E-2</v>
      </c>
      <c r="R1925">
        <v>-3.5498029999999998E-3</v>
      </c>
      <c r="S1925">
        <v>-3.0050659999999998</v>
      </c>
      <c r="T1925">
        <v>-4.2129640000000003E-2</v>
      </c>
      <c r="U1925">
        <v>0.2205811</v>
      </c>
      <c r="V1925">
        <v>-5.4823479999999997E-3</v>
      </c>
      <c r="W1925">
        <v>-5.473285E-2</v>
      </c>
      <c r="X1925">
        <v>0.99848599999999998</v>
      </c>
      <c r="Y1925">
        <v>7.1292990000000001E-2</v>
      </c>
      <c r="Z1925">
        <v>1.0133150000000001E-3</v>
      </c>
      <c r="AA1925">
        <v>0.99745490000000003</v>
      </c>
      <c r="AB1925">
        <v>32</v>
      </c>
      <c r="AC1925">
        <v>-73.9191</v>
      </c>
      <c r="AD1925">
        <v>-1.04079335</v>
      </c>
      <c r="AE1925">
        <v>5.4484999999999602</v>
      </c>
      <c r="AF1925">
        <v>5.3067056978223803</v>
      </c>
      <c r="AG1925">
        <v>-1.04079335</v>
      </c>
      <c r="AH1925">
        <v>73.914765173943195</v>
      </c>
      <c r="AI1925">
        <v>90.804657331660593</v>
      </c>
      <c r="AJ1925">
        <v>85.893499280891803</v>
      </c>
      <c r="AK1925">
        <v>74.112326146734006</v>
      </c>
      <c r="AL1925">
        <v>93.137529093345904</v>
      </c>
      <c r="AM1925">
        <v>90.314588532734604</v>
      </c>
      <c r="AN1925">
        <v>1.0000000166023499</v>
      </c>
    </row>
    <row r="1926" spans="1:40" x14ac:dyDescent="0.25">
      <c r="A1926" t="str">
        <f>"20190303154501485"</f>
        <v>20190303154501485</v>
      </c>
      <c r="B1926" t="str">
        <f>"1551599101472541"</f>
        <v>1551599101472541</v>
      </c>
      <c r="C1926" t="s">
        <v>40</v>
      </c>
      <c r="D1926">
        <v>4.549823</v>
      </c>
      <c r="E1926">
        <v>0.52952650000000001</v>
      </c>
      <c r="F1926" t="s">
        <v>54</v>
      </c>
      <c r="G1926">
        <v>-474.351</v>
      </c>
      <c r="H1926">
        <v>8.0001349999999999E-2</v>
      </c>
      <c r="I1926">
        <v>289.95979999999997</v>
      </c>
      <c r="J1926">
        <v>-397.53960000000001</v>
      </c>
      <c r="K1926">
        <v>1.120803</v>
      </c>
      <c r="L1926">
        <v>284.29410000000001</v>
      </c>
      <c r="M1926">
        <v>-0.99989439999999996</v>
      </c>
      <c r="N1926">
        <v>-1.4382270000000001E-2</v>
      </c>
      <c r="O1926">
        <v>2.1647559999999999E-3</v>
      </c>
      <c r="P1926">
        <v>-0.99760910000000003</v>
      </c>
      <c r="Q1926">
        <v>-6.9057510000000003E-2</v>
      </c>
      <c r="R1926">
        <v>-2.7953840000000001E-3</v>
      </c>
      <c r="S1926">
        <v>-3.0051570000000001</v>
      </c>
      <c r="T1926">
        <v>-4.0559289999999998E-2</v>
      </c>
      <c r="U1926">
        <v>0.2208252</v>
      </c>
      <c r="V1926">
        <v>-4.9881489999999999E-3</v>
      </c>
      <c r="W1926">
        <v>-5.4699610000000003E-2</v>
      </c>
      <c r="X1926">
        <v>0.9984904</v>
      </c>
      <c r="Y1926">
        <v>7.1111820000000006E-2</v>
      </c>
      <c r="Z1926">
        <v>9.9327139999999992E-4</v>
      </c>
      <c r="AA1926">
        <v>0.99746789999999996</v>
      </c>
      <c r="AB1926">
        <v>32</v>
      </c>
      <c r="AC1926">
        <v>-76.811399999999907</v>
      </c>
      <c r="AD1926">
        <v>-1.0408016499999999</v>
      </c>
      <c r="AE1926">
        <v>5.6656999999999504</v>
      </c>
      <c r="AF1926">
        <v>5.4983875431543101</v>
      </c>
      <c r="AG1926">
        <v>-1.0408016499999999</v>
      </c>
      <c r="AH1926">
        <v>76.809459821255999</v>
      </c>
      <c r="AI1926">
        <v>90.774354001354496</v>
      </c>
      <c r="AJ1926">
        <v>85.905479208256907</v>
      </c>
      <c r="AK1926">
        <v>77.0130420882236</v>
      </c>
      <c r="AL1926">
        <v>93.135621764103306</v>
      </c>
      <c r="AM1926">
        <v>90.286229599960095</v>
      </c>
      <c r="AN1926">
        <v>1.0000000039283701</v>
      </c>
    </row>
    <row r="1927" spans="1:40" x14ac:dyDescent="0.25">
      <c r="A1927" t="str">
        <f>"20190303154501507"</f>
        <v>20190303154501507</v>
      </c>
      <c r="B1927" t="str">
        <f>"1551599101502797"</f>
        <v>1551599101502797</v>
      </c>
      <c r="C1927" t="s">
        <v>40</v>
      </c>
      <c r="D1927">
        <v>4.5211569999999996</v>
      </c>
      <c r="E1927">
        <v>0.5298022</v>
      </c>
      <c r="F1927" t="s">
        <v>54</v>
      </c>
      <c r="G1927">
        <v>-476.00420000000003</v>
      </c>
      <c r="H1927">
        <v>8.0001340000000004E-2</v>
      </c>
      <c r="I1927">
        <v>290.14530000000002</v>
      </c>
      <c r="J1927">
        <v>-397.85480000000001</v>
      </c>
      <c r="K1927">
        <v>1.1208049999999901</v>
      </c>
      <c r="L1927">
        <v>284.29500000000002</v>
      </c>
      <c r="M1927">
        <v>-0.9998937</v>
      </c>
      <c r="N1927">
        <v>-1.4378800000000001E-2</v>
      </c>
      <c r="O1927">
        <v>2.4350550000000002E-3</v>
      </c>
      <c r="P1927">
        <v>-0.9976062</v>
      </c>
      <c r="Q1927">
        <v>-6.9131079999999998E-2</v>
      </c>
      <c r="R1927">
        <v>-1.7716019999999999E-3</v>
      </c>
      <c r="S1927">
        <v>-3.0050659999999998</v>
      </c>
      <c r="T1927">
        <v>-3.9860960000000001E-2</v>
      </c>
      <c r="U1927">
        <v>0.2240906</v>
      </c>
      <c r="V1927">
        <v>-4.2339600000000002E-3</v>
      </c>
      <c r="W1927">
        <v>-5.4777140000000002E-2</v>
      </c>
      <c r="X1927">
        <v>0.99848959999999998</v>
      </c>
      <c r="Y1927">
        <v>7.1922539999999993E-2</v>
      </c>
      <c r="Z1927">
        <v>9.9691410000000004E-4</v>
      </c>
      <c r="AA1927">
        <v>0.99740969999999995</v>
      </c>
      <c r="AB1927">
        <v>31</v>
      </c>
      <c r="AC1927">
        <v>-78.1494</v>
      </c>
      <c r="AD1927">
        <v>-1.0408036599999999</v>
      </c>
      <c r="AE1927">
        <v>5.8502999999999998</v>
      </c>
      <c r="AF1927">
        <v>5.6589667466033102</v>
      </c>
      <c r="AG1927">
        <v>-1.0408036599999999</v>
      </c>
      <c r="AH1927">
        <v>78.1496311851473</v>
      </c>
      <c r="AI1927">
        <v>90.761032729183995</v>
      </c>
      <c r="AJ1927">
        <v>85.858330041098299</v>
      </c>
      <c r="AK1927">
        <v>78.361164050008696</v>
      </c>
      <c r="AL1927">
        <v>93.140070678093295</v>
      </c>
      <c r="AM1927">
        <v>90.242953541705305</v>
      </c>
      <c r="AN1927">
        <v>0.99999997139601005</v>
      </c>
    </row>
    <row r="1928" spans="1:40" x14ac:dyDescent="0.25">
      <c r="A1928" t="str">
        <f>"20190303154501529"</f>
        <v>20190303154501529</v>
      </c>
      <c r="B1928" t="str">
        <f>"1551599101522317"</f>
        <v>1551599101522317</v>
      </c>
      <c r="C1928" t="s">
        <v>40</v>
      </c>
      <c r="D1928">
        <v>4.4920349999999996</v>
      </c>
      <c r="E1928">
        <v>0.53002369999999899</v>
      </c>
      <c r="F1928" t="s">
        <v>54</v>
      </c>
      <c r="G1928">
        <v>-488.92930000000001</v>
      </c>
      <c r="H1928" s="1">
        <v>4.7567760000000001E-6</v>
      </c>
      <c r="I1928">
        <v>291.24470000000002</v>
      </c>
      <c r="J1928">
        <v>-398.16989999999998</v>
      </c>
      <c r="K1928">
        <v>1.1208129999999901</v>
      </c>
      <c r="L1928">
        <v>284.29610000000002</v>
      </c>
      <c r="M1928">
        <v>-0.99989309999999998</v>
      </c>
      <c r="N1928">
        <v>-1.437534E-2</v>
      </c>
      <c r="O1928">
        <v>2.702538E-3</v>
      </c>
      <c r="P1928">
        <v>-0.99759949999999997</v>
      </c>
      <c r="Q1928">
        <v>-6.9238279999999999E-2</v>
      </c>
      <c r="R1928">
        <v>-1.1741309999999999E-3</v>
      </c>
      <c r="S1928">
        <v>-3.0050659999999998</v>
      </c>
      <c r="T1928">
        <v>-3.698158E-2</v>
      </c>
      <c r="U1928">
        <v>0.22930909999999999</v>
      </c>
      <c r="V1928">
        <v>-3.9030340000000001E-3</v>
      </c>
      <c r="W1928">
        <v>-5.488809E-2</v>
      </c>
      <c r="X1928">
        <v>0.99848490000000001</v>
      </c>
      <c r="Y1928">
        <v>7.3379040000000006E-2</v>
      </c>
      <c r="Z1928">
        <v>9.8469289999999999E-4</v>
      </c>
      <c r="AA1928">
        <v>0.99730370000000002</v>
      </c>
      <c r="AB1928">
        <v>31</v>
      </c>
      <c r="AC1928">
        <v>-90.759399999999999</v>
      </c>
      <c r="AD1928">
        <v>-1.1208082432240001</v>
      </c>
      <c r="AE1928">
        <v>6.9485999999999901</v>
      </c>
      <c r="AF1928">
        <v>6.7022524050422598</v>
      </c>
      <c r="AG1928">
        <v>-1.1208082432240001</v>
      </c>
      <c r="AH1928">
        <v>90.764088118856407</v>
      </c>
      <c r="AI1928">
        <v>90.705565145839103</v>
      </c>
      <c r="AJ1928">
        <v>85.776797955506197</v>
      </c>
      <c r="AK1928">
        <v>91.018108585415604</v>
      </c>
      <c r="AL1928">
        <v>93.146437083201405</v>
      </c>
      <c r="AM1928">
        <v>90.223965566732304</v>
      </c>
      <c r="AN1928">
        <v>1.0000000158131299</v>
      </c>
    </row>
    <row r="1929" spans="1:40" x14ac:dyDescent="0.25">
      <c r="A1929" t="str">
        <f>"20190303154501552"</f>
        <v>20190303154501552</v>
      </c>
      <c r="B1929" t="str">
        <f>"1551599101542812"</f>
        <v>1551599101542812</v>
      </c>
      <c r="C1929" t="s">
        <v>40</v>
      </c>
      <c r="D1929">
        <v>4.4905720000000002</v>
      </c>
      <c r="E1929">
        <v>0.53008549999999999</v>
      </c>
      <c r="F1929" t="s">
        <v>54</v>
      </c>
      <c r="G1929">
        <v>-493.14609999999999</v>
      </c>
      <c r="H1929" s="1">
        <v>4.5665299999999998E-6</v>
      </c>
      <c r="I1929">
        <v>291.66129999999998</v>
      </c>
      <c r="J1929">
        <v>-398.48070000000001</v>
      </c>
      <c r="K1929">
        <v>1.1208180000000001</v>
      </c>
      <c r="L1929">
        <v>284.29719999999998</v>
      </c>
      <c r="M1929">
        <v>-0.99989240000000001</v>
      </c>
      <c r="N1929">
        <v>-1.437193E-2</v>
      </c>
      <c r="O1929">
        <v>2.963093E-3</v>
      </c>
      <c r="P1929">
        <v>-0.99762099999999998</v>
      </c>
      <c r="Q1929">
        <v>-6.893676E-2</v>
      </c>
      <c r="R1929">
        <v>-5.061617E-4</v>
      </c>
      <c r="S1929">
        <v>-3.0050349999999999</v>
      </c>
      <c r="T1929">
        <v>-3.5462260000000002E-2</v>
      </c>
      <c r="U1929">
        <v>0.23303219999999999</v>
      </c>
      <c r="V1929">
        <v>-3.4945839999999998E-3</v>
      </c>
      <c r="W1929">
        <v>-5.4589940000000003E-2</v>
      </c>
      <c r="X1929">
        <v>0.99850269999999997</v>
      </c>
      <c r="Y1929">
        <v>7.4348810000000001E-2</v>
      </c>
      <c r="Z1929">
        <v>9.8077080000000001E-4</v>
      </c>
      <c r="AA1929">
        <v>0.9972318</v>
      </c>
      <c r="AB1929">
        <v>31</v>
      </c>
      <c r="AC1929">
        <v>-94.665399999999906</v>
      </c>
      <c r="AD1929">
        <v>-1.12081343347</v>
      </c>
      <c r="AE1929">
        <v>7.3640999999999996</v>
      </c>
      <c r="AF1929">
        <v>7.0825494720881403</v>
      </c>
      <c r="AG1929">
        <v>-1.12081343347</v>
      </c>
      <c r="AH1929">
        <v>94.673615640549301</v>
      </c>
      <c r="AI1929">
        <v>90.676386500510802</v>
      </c>
      <c r="AJ1929">
        <v>85.721662328888897</v>
      </c>
      <c r="AK1929">
        <v>94.944785155540202</v>
      </c>
      <c r="AL1929">
        <v>93.129328877839896</v>
      </c>
      <c r="AM1929">
        <v>90.200524341954093</v>
      </c>
      <c r="AN1929">
        <v>0.99999995778691197</v>
      </c>
    </row>
    <row r="1930" spans="1:40" x14ac:dyDescent="0.25">
      <c r="A1930" t="str">
        <f>"20190303154501575"</f>
        <v>20190303154501575</v>
      </c>
      <c r="B1930" t="str">
        <f>"1551599101573069"</f>
        <v>1551599101573069</v>
      </c>
      <c r="C1930" t="s">
        <v>40</v>
      </c>
      <c r="D1930">
        <v>4.5092939999999997</v>
      </c>
      <c r="E1930">
        <v>0.5300433</v>
      </c>
      <c r="F1930" t="s">
        <v>54</v>
      </c>
      <c r="G1930">
        <v>-499.95780000000002</v>
      </c>
      <c r="H1930">
        <v>1.851595E-2</v>
      </c>
      <c r="I1930">
        <v>292.25319999999999</v>
      </c>
      <c r="J1930">
        <v>-398.8091</v>
      </c>
      <c r="K1930">
        <v>1.120827</v>
      </c>
      <c r="L1930">
        <v>284.29849999999999</v>
      </c>
      <c r="M1930">
        <v>-0.99989159999999999</v>
      </c>
      <c r="N1930">
        <v>-1.4368519999999999E-2</v>
      </c>
      <c r="O1930">
        <v>3.2326859999999998E-3</v>
      </c>
      <c r="P1930">
        <v>-0.99765919999999997</v>
      </c>
      <c r="Q1930">
        <v>-6.8380720000000006E-2</v>
      </c>
      <c r="R1930">
        <v>-4.04764E-4</v>
      </c>
      <c r="S1930">
        <v>-3.0049739999999998</v>
      </c>
      <c r="T1930">
        <v>-3.2641770000000001E-2</v>
      </c>
      <c r="U1930">
        <v>0.23559569999999999</v>
      </c>
      <c r="V1930">
        <v>-3.6613380000000001E-3</v>
      </c>
      <c r="W1930">
        <v>-5.4036769999999998E-2</v>
      </c>
      <c r="X1930">
        <v>0.99853219999999998</v>
      </c>
      <c r="Y1930">
        <v>7.4928289999999995E-2</v>
      </c>
      <c r="Z1930">
        <v>9.56838E-4</v>
      </c>
      <c r="AA1930">
        <v>0.99718839999999997</v>
      </c>
      <c r="AB1930">
        <v>31</v>
      </c>
      <c r="AC1930">
        <v>-101.14870000000001</v>
      </c>
      <c r="AD1930">
        <v>-1.10231105</v>
      </c>
      <c r="AE1930">
        <v>7.9546999999999999</v>
      </c>
      <c r="AF1930">
        <v>7.62674248016517</v>
      </c>
      <c r="AG1930">
        <v>-1.10231105</v>
      </c>
      <c r="AH1930">
        <v>101.16194844812</v>
      </c>
      <c r="AI1930">
        <v>90.622532137140396</v>
      </c>
      <c r="AJ1930">
        <v>85.688546314858897</v>
      </c>
      <c r="AK1930">
        <v>101.455025032424</v>
      </c>
      <c r="AL1930">
        <v>93.097587691890595</v>
      </c>
      <c r="AM1930">
        <v>90.2100866397993</v>
      </c>
      <c r="AN1930">
        <v>0.99999996617241105</v>
      </c>
    </row>
    <row r="1931" spans="1:40" x14ac:dyDescent="0.25">
      <c r="A1931" t="str">
        <f>"20190303154501608"</f>
        <v>20190303154501608</v>
      </c>
      <c r="B1931" t="str">
        <f>"1551599101602349"</f>
        <v>1551599101602349</v>
      </c>
      <c r="C1931" t="s">
        <v>40</v>
      </c>
      <c r="D1931">
        <v>4.4172969999999996</v>
      </c>
      <c r="E1931">
        <v>0.5300241</v>
      </c>
      <c r="F1931" t="s">
        <v>54</v>
      </c>
      <c r="G1931">
        <v>-502.93619999999999</v>
      </c>
      <c r="H1931">
        <v>8.0004290000000006E-2</v>
      </c>
      <c r="I1931">
        <v>292.45780000000002</v>
      </c>
      <c r="J1931">
        <v>-399.2602</v>
      </c>
      <c r="K1931">
        <v>1.1208309999999999</v>
      </c>
      <c r="L1931">
        <v>284.30029999999999</v>
      </c>
      <c r="M1931">
        <v>-0.99989059999999996</v>
      </c>
      <c r="N1931">
        <v>-1.436373E-2</v>
      </c>
      <c r="O1931">
        <v>3.5910249999999999E-3</v>
      </c>
      <c r="P1931">
        <v>-0.99765740000000003</v>
      </c>
      <c r="Q1931">
        <v>-6.8408339999999998E-2</v>
      </c>
      <c r="R1931">
        <v>-6.6645679999999903E-4</v>
      </c>
      <c r="S1931">
        <v>-3.0050349999999999</v>
      </c>
      <c r="T1931">
        <v>-3.0037399999999999E-2</v>
      </c>
      <c r="U1931">
        <v>0.23547360000000001</v>
      </c>
      <c r="V1931">
        <v>-4.2798309999999996E-3</v>
      </c>
      <c r="W1931">
        <v>-5.4068959999999999E-2</v>
      </c>
      <c r="X1931">
        <v>0.99852799999999997</v>
      </c>
      <c r="Y1931">
        <v>7.4530289999999999E-2</v>
      </c>
      <c r="Z1931">
        <v>9.237262E-4</v>
      </c>
      <c r="AA1931">
        <v>0.9972183</v>
      </c>
      <c r="AB1931">
        <v>31</v>
      </c>
      <c r="AC1931">
        <v>-103.676</v>
      </c>
      <c r="AD1931">
        <v>-1.0408267099999999</v>
      </c>
      <c r="AE1931">
        <v>8.1575000000000202</v>
      </c>
      <c r="AF1931">
        <v>7.7843262264034303</v>
      </c>
      <c r="AG1931">
        <v>-1.0408267099999999</v>
      </c>
      <c r="AH1931">
        <v>103.694241558836</v>
      </c>
      <c r="AI1931">
        <v>90.573471210135693</v>
      </c>
      <c r="AJ1931">
        <v>85.706858689276004</v>
      </c>
      <c r="AK1931">
        <v>103.99122456967901</v>
      </c>
      <c r="AL1931">
        <v>93.099434737407805</v>
      </c>
      <c r="AM1931">
        <v>90.245576239948605</v>
      </c>
      <c r="AN1931">
        <v>0.99999996808643399</v>
      </c>
    </row>
    <row r="1932" spans="1:40" x14ac:dyDescent="0.25">
      <c r="A1932" t="str">
        <f>"20190303154501629"</f>
        <v>20190303154501629</v>
      </c>
      <c r="B1932" t="str">
        <f>"1551599101622848"</f>
        <v>1551599101622848</v>
      </c>
      <c r="C1932" t="s">
        <v>40</v>
      </c>
      <c r="D1932">
        <v>4.4097350000000004</v>
      </c>
      <c r="E1932">
        <v>0.53006149999999996</v>
      </c>
      <c r="F1932" t="s">
        <v>43</v>
      </c>
      <c r="G1932">
        <v>-526.39610000000005</v>
      </c>
      <c r="H1932">
        <v>-0.05</v>
      </c>
      <c r="I1932">
        <v>294.2244</v>
      </c>
      <c r="J1932">
        <v>-399.57220000000001</v>
      </c>
      <c r="K1932">
        <v>1.1208279999999999</v>
      </c>
      <c r="L1932">
        <v>284.30169999999998</v>
      </c>
      <c r="M1932">
        <v>-0.99988960000000005</v>
      </c>
      <c r="N1932">
        <v>-1.4360110000000001E-2</v>
      </c>
      <c r="O1932">
        <v>3.828859E-3</v>
      </c>
      <c r="P1932">
        <v>-0.99756529999999999</v>
      </c>
      <c r="Q1932">
        <v>-6.973828E-2</v>
      </c>
      <c r="R1932">
        <v>-4.1906220000000001E-4</v>
      </c>
      <c r="S1932">
        <v>-3.00528</v>
      </c>
      <c r="T1932">
        <v>-2.767646E-2</v>
      </c>
      <c r="U1932">
        <v>0.23458860000000001</v>
      </c>
      <c r="V1932">
        <v>-4.2690439999999996E-3</v>
      </c>
      <c r="W1932">
        <v>-5.540378E-2</v>
      </c>
      <c r="X1932">
        <v>0.99845490000000003</v>
      </c>
      <c r="Y1932">
        <v>7.3995930000000001E-2</v>
      </c>
      <c r="Z1932">
        <v>8.9205770000000005E-4</v>
      </c>
      <c r="AA1932">
        <v>0.99725810000000004</v>
      </c>
      <c r="AB1932">
        <v>31</v>
      </c>
      <c r="AC1932">
        <v>-126.82389999999999</v>
      </c>
      <c r="AD1932">
        <v>-1.170828</v>
      </c>
      <c r="AE1932">
        <v>9.9227000000000096</v>
      </c>
      <c r="AF1932">
        <v>9.4361870276840101</v>
      </c>
      <c r="AG1932">
        <v>-1.170828</v>
      </c>
      <c r="AH1932">
        <v>126.85022125640199</v>
      </c>
      <c r="AI1932">
        <v>90.527368198340696</v>
      </c>
      <c r="AJ1932">
        <v>85.745693434587807</v>
      </c>
      <c r="AK1932">
        <v>127.206096931811</v>
      </c>
      <c r="AL1932">
        <v>93.176029038154198</v>
      </c>
      <c r="AM1932">
        <v>90.244975224476207</v>
      </c>
      <c r="AN1932">
        <v>0.99999999545448603</v>
      </c>
    </row>
    <row r="1933" spans="1:40" x14ac:dyDescent="0.25">
      <c r="A1933" t="str">
        <f>"20190303154501652"</f>
        <v>20190303154501652</v>
      </c>
      <c r="B1933" t="str">
        <f>"1551599101642872"</f>
        <v>1551599101642872</v>
      </c>
      <c r="C1933" t="s">
        <v>40</v>
      </c>
      <c r="D1933">
        <v>4.4201899999999998</v>
      </c>
      <c r="E1933">
        <v>0.5300028</v>
      </c>
      <c r="F1933" t="s">
        <v>54</v>
      </c>
      <c r="G1933">
        <v>-503.14229999999998</v>
      </c>
      <c r="H1933">
        <v>8.0004329999999999E-2</v>
      </c>
      <c r="I1933">
        <v>292.42500000000001</v>
      </c>
      <c r="J1933">
        <v>-399.8836</v>
      </c>
      <c r="K1933">
        <v>1.1208359999999999</v>
      </c>
      <c r="L1933">
        <v>284.3032</v>
      </c>
      <c r="M1933">
        <v>-0.99988880000000002</v>
      </c>
      <c r="N1933">
        <v>-1.435663E-2</v>
      </c>
      <c r="O1933">
        <v>4.0569059999999999E-3</v>
      </c>
      <c r="P1933">
        <v>-0.99753029999999998</v>
      </c>
      <c r="Q1933">
        <v>-7.0237910000000001E-2</v>
      </c>
      <c r="R1933">
        <v>3.993105E-4</v>
      </c>
      <c r="S1933">
        <v>-3.005341</v>
      </c>
      <c r="T1933">
        <v>-3.0202030000000001E-2</v>
      </c>
      <c r="U1933">
        <v>0.23571780000000001</v>
      </c>
      <c r="V1933">
        <v>-3.6766709999999998E-3</v>
      </c>
      <c r="W1933">
        <v>-5.5907690000000003E-2</v>
      </c>
      <c r="X1933">
        <v>0.99842920000000002</v>
      </c>
      <c r="Y1933">
        <v>7.4138250000000003E-2</v>
      </c>
      <c r="Z1933">
        <v>9.2246340000000002E-4</v>
      </c>
      <c r="AA1933">
        <v>0.99724749999999995</v>
      </c>
      <c r="AB1933">
        <v>31</v>
      </c>
      <c r="AC1933">
        <v>-103.258699999999</v>
      </c>
      <c r="AD1933">
        <v>-1.04083167</v>
      </c>
      <c r="AE1933">
        <v>8.1218000000000004</v>
      </c>
      <c r="AF1933">
        <v>7.7020014334695297</v>
      </c>
      <c r="AG1933">
        <v>-1.04083167</v>
      </c>
      <c r="AH1933">
        <v>103.28037374958301</v>
      </c>
      <c r="AI1933">
        <v>90.575793087881706</v>
      </c>
      <c r="AJ1933">
        <v>85.735135002429402</v>
      </c>
      <c r="AK1933">
        <v>103.57238897746799</v>
      </c>
      <c r="AL1933">
        <v>93.204945672251895</v>
      </c>
      <c r="AM1933">
        <v>90.210988199022395</v>
      </c>
      <c r="AN1933">
        <v>1.0000000275617</v>
      </c>
    </row>
    <row r="1934" spans="1:40" x14ac:dyDescent="0.25">
      <c r="A1934" t="str">
        <f>"20190303154501675"</f>
        <v>20190303154501675</v>
      </c>
      <c r="B1934" t="str">
        <f>"1551599101672152"</f>
        <v>1551599101672152</v>
      </c>
      <c r="C1934" t="s">
        <v>40</v>
      </c>
      <c r="D1934">
        <v>4.4279739999999999</v>
      </c>
      <c r="E1934">
        <v>0.53000080000000005</v>
      </c>
      <c r="F1934" t="s">
        <v>54</v>
      </c>
      <c r="G1934">
        <v>-502.89069999999998</v>
      </c>
      <c r="H1934">
        <v>8.00043E-2</v>
      </c>
      <c r="I1934">
        <v>292.44970000000001</v>
      </c>
      <c r="J1934">
        <v>-400.19600000000003</v>
      </c>
      <c r="K1934">
        <v>1.1208480000000001</v>
      </c>
      <c r="L1934">
        <v>284.30470000000003</v>
      </c>
      <c r="M1934">
        <v>-0.999888</v>
      </c>
      <c r="N1934">
        <v>-1.435316E-2</v>
      </c>
      <c r="O1934">
        <v>4.2715690000000002E-3</v>
      </c>
      <c r="P1934">
        <v>-0.99756029999999996</v>
      </c>
      <c r="Q1934">
        <v>-6.9802829999999996E-2</v>
      </c>
      <c r="R1934">
        <v>1.216822E-3</v>
      </c>
      <c r="S1934">
        <v>-3.005188</v>
      </c>
      <c r="T1934">
        <v>-3.0365820000000002E-2</v>
      </c>
      <c r="U1934">
        <v>0.23767089999999999</v>
      </c>
      <c r="V1934">
        <v>-3.072113E-3</v>
      </c>
      <c r="W1934">
        <v>-5.5476030000000003E-2</v>
      </c>
      <c r="X1934">
        <v>0.99845530000000005</v>
      </c>
      <c r="Y1934">
        <v>7.4572100000000002E-2</v>
      </c>
      <c r="Z1934">
        <v>9.3035619999999998E-4</v>
      </c>
      <c r="AA1934">
        <v>0.99721519999999997</v>
      </c>
      <c r="AB1934">
        <v>31</v>
      </c>
      <c r="AC1934">
        <v>-102.6947</v>
      </c>
      <c r="AD1934">
        <v>-1.0408436999999999</v>
      </c>
      <c r="AE1934">
        <v>8.14499999999998</v>
      </c>
      <c r="AF1934">
        <v>7.70542645664134</v>
      </c>
      <c r="AG1934">
        <v>-1.0408436999999999</v>
      </c>
      <c r="AH1934">
        <v>102.71807268794301</v>
      </c>
      <c r="AI1934">
        <v>90.578932568146399</v>
      </c>
      <c r="AJ1934">
        <v>85.709975272710395</v>
      </c>
      <c r="AK1934">
        <v>103.011938187824</v>
      </c>
      <c r="AL1934">
        <v>93.180174998114595</v>
      </c>
      <c r="AM1934">
        <v>90.176290870133798</v>
      </c>
      <c r="AN1934">
        <v>1.00000000694046</v>
      </c>
    </row>
    <row r="1935" spans="1:40" x14ac:dyDescent="0.25">
      <c r="A1935" t="str">
        <f>"20190303154501696"</f>
        <v>20190303154501696</v>
      </c>
      <c r="B1935" t="str">
        <f>"1551599101692648"</f>
        <v>1551599101692648</v>
      </c>
      <c r="C1935" t="s">
        <v>40</v>
      </c>
      <c r="D1935">
        <v>4.4030050000000003</v>
      </c>
      <c r="E1935">
        <v>0.53000740000000002</v>
      </c>
      <c r="F1935" t="s">
        <v>43</v>
      </c>
      <c r="G1935">
        <v>-525.90660000000003</v>
      </c>
      <c r="H1935">
        <v>-0.05</v>
      </c>
      <c r="I1935">
        <v>294.35169999999999</v>
      </c>
      <c r="J1935">
        <v>-400.4975</v>
      </c>
      <c r="K1935">
        <v>1.1208659999999999</v>
      </c>
      <c r="L1935">
        <v>284.30619999999999</v>
      </c>
      <c r="M1935">
        <v>-0.99988719999999998</v>
      </c>
      <c r="N1935">
        <v>-1.4349799999999999E-2</v>
      </c>
      <c r="O1935">
        <v>4.4611520000000003E-3</v>
      </c>
      <c r="P1935">
        <v>-0.99761469999999997</v>
      </c>
      <c r="Q1935">
        <v>-6.8980189999999997E-2</v>
      </c>
      <c r="R1935">
        <v>2.6241810000000002E-3</v>
      </c>
      <c r="S1935">
        <v>-3.0051269999999999</v>
      </c>
      <c r="T1935">
        <v>-2.798927E-2</v>
      </c>
      <c r="U1935">
        <v>0.24017330000000001</v>
      </c>
      <c r="V1935">
        <v>-1.852425E-3</v>
      </c>
      <c r="W1935">
        <v>-5.4656629999999998E-2</v>
      </c>
      <c r="X1935">
        <v>0.99850349999999999</v>
      </c>
      <c r="Y1935">
        <v>7.5210739999999998E-2</v>
      </c>
      <c r="Z1935">
        <v>9.1267170000000001E-4</v>
      </c>
      <c r="AA1935">
        <v>0.99716720000000003</v>
      </c>
      <c r="AB1935">
        <v>31</v>
      </c>
      <c r="AC1935">
        <v>-125.4091</v>
      </c>
      <c r="AD1935">
        <v>-1.170866</v>
      </c>
      <c r="AE1935">
        <v>10.045500000000001</v>
      </c>
      <c r="AF1935">
        <v>9.4850518929484</v>
      </c>
      <c r="AG1935">
        <v>-1.170866</v>
      </c>
      <c r="AH1935">
        <v>125.44180613114401</v>
      </c>
      <c r="AI1935">
        <v>90.533257555591405</v>
      </c>
      <c r="AJ1935">
        <v>85.675913058956596</v>
      </c>
      <c r="AK1935">
        <v>125.805341150706</v>
      </c>
      <c r="AL1935">
        <v>93.1331554858522</v>
      </c>
      <c r="AM1935">
        <v>90.106295083191299</v>
      </c>
      <c r="AN1935">
        <v>1.00000000909679</v>
      </c>
    </row>
    <row r="1936" spans="1:40" x14ac:dyDescent="0.25">
      <c r="A1936" t="str">
        <f>"20190303154501719"</f>
        <v>20190303154501719</v>
      </c>
      <c r="B1936" t="str">
        <f>"1551599101712168"</f>
        <v>1551599101712168</v>
      </c>
      <c r="C1936" t="s">
        <v>40</v>
      </c>
      <c r="D1936">
        <v>4.3734479999999998</v>
      </c>
      <c r="E1936">
        <v>0.52996709999999903</v>
      </c>
      <c r="F1936" t="s">
        <v>58</v>
      </c>
      <c r="G1936">
        <v>-526.30820000000006</v>
      </c>
      <c r="H1936">
        <v>9.5217170000000004E-2</v>
      </c>
      <c r="I1936">
        <v>294.55</v>
      </c>
      <c r="J1936">
        <v>-400.82080000000002</v>
      </c>
      <c r="K1936">
        <v>1.1208830000000001</v>
      </c>
      <c r="L1936">
        <v>284.30790000000002</v>
      </c>
      <c r="M1936">
        <v>-0.99988630000000001</v>
      </c>
      <c r="N1936">
        <v>-1.434622E-2</v>
      </c>
      <c r="O1936">
        <v>4.6421889999999997E-3</v>
      </c>
      <c r="P1936">
        <v>-0.99760389999999999</v>
      </c>
      <c r="Q1936">
        <v>-6.9102460000000004E-2</v>
      </c>
      <c r="R1936">
        <v>3.4093249999999999E-3</v>
      </c>
      <c r="S1936">
        <v>-3.0048219999999999</v>
      </c>
      <c r="T1936">
        <v>-2.4494169999999999E-2</v>
      </c>
      <c r="U1936">
        <v>0.2446594</v>
      </c>
      <c r="V1936">
        <v>-1.2458339999999999E-3</v>
      </c>
      <c r="W1936">
        <v>-5.4782900000000002E-2</v>
      </c>
      <c r="X1936">
        <v>0.99849750000000004</v>
      </c>
      <c r="Y1936">
        <v>7.6518589999999997E-2</v>
      </c>
      <c r="Z1936">
        <v>8.8991029999999896E-4</v>
      </c>
      <c r="AA1936">
        <v>0.9970677</v>
      </c>
      <c r="AB1936">
        <v>31</v>
      </c>
      <c r="AC1936">
        <v>-125.48739999999999</v>
      </c>
      <c r="AD1936">
        <v>-1.0256658299999999</v>
      </c>
      <c r="AE1936">
        <v>10.242099999999899</v>
      </c>
      <c r="AF1936">
        <v>9.6587524407220595</v>
      </c>
      <c r="AG1936">
        <v>-1.0256658299999999</v>
      </c>
      <c r="AH1936">
        <v>125.525267978568</v>
      </c>
      <c r="AI1936">
        <v>90.4667731453969</v>
      </c>
      <c r="AJ1936">
        <v>85.599950330332902</v>
      </c>
      <c r="AK1936">
        <v>125.90050194577201</v>
      </c>
      <c r="AL1936">
        <v>93.140401146297506</v>
      </c>
      <c r="AM1936">
        <v>90.071488404460197</v>
      </c>
      <c r="AN1936">
        <v>0.99999998787050703</v>
      </c>
    </row>
    <row r="1937" spans="1:40" x14ac:dyDescent="0.25">
      <c r="A1937" t="str">
        <f>"20190303154501740"</f>
        <v>20190303154501740</v>
      </c>
      <c r="B1937" t="str">
        <f>"1551599101732666"</f>
        <v>1551599101732666</v>
      </c>
      <c r="C1937" t="s">
        <v>40</v>
      </c>
      <c r="D1937">
        <v>4.3655939999999998</v>
      </c>
      <c r="E1937">
        <v>0.52997839999999996</v>
      </c>
      <c r="F1937" t="s">
        <v>58</v>
      </c>
      <c r="G1937">
        <v>-525.5933</v>
      </c>
      <c r="H1937">
        <v>0.1281698</v>
      </c>
      <c r="I1937">
        <v>294.55</v>
      </c>
      <c r="J1937">
        <v>-401.11700000000002</v>
      </c>
      <c r="K1937">
        <v>1.120897</v>
      </c>
      <c r="L1937">
        <v>284.30939999999998</v>
      </c>
      <c r="M1937">
        <v>-0.99988589999999999</v>
      </c>
      <c r="N1937">
        <v>-1.434293E-2</v>
      </c>
      <c r="O1937">
        <v>4.78314E-3</v>
      </c>
      <c r="P1937">
        <v>-0.99757890000000005</v>
      </c>
      <c r="Q1937">
        <v>-6.9446530000000006E-2</v>
      </c>
      <c r="R1937">
        <v>3.7444779999999999E-3</v>
      </c>
      <c r="S1937">
        <v>-3.0046689999999998</v>
      </c>
      <c r="T1937">
        <v>-2.3903609999999999E-2</v>
      </c>
      <c r="U1937">
        <v>0.2466431</v>
      </c>
      <c r="V1937">
        <v>-1.0482239999999999E-3</v>
      </c>
      <c r="W1937">
        <v>-5.5130690000000003E-2</v>
      </c>
      <c r="X1937">
        <v>0.99847859999999999</v>
      </c>
      <c r="Y1937">
        <v>7.7036190000000004E-2</v>
      </c>
      <c r="Z1937">
        <v>8.8986489999999996E-4</v>
      </c>
      <c r="AA1937">
        <v>0.99702789999999997</v>
      </c>
      <c r="AB1937">
        <v>31</v>
      </c>
      <c r="AC1937">
        <v>-124.47629999999999</v>
      </c>
      <c r="AD1937">
        <v>-0.99272719999999903</v>
      </c>
      <c r="AE1937">
        <v>10.240600000000001</v>
      </c>
      <c r="AF1937">
        <v>9.6444248297836701</v>
      </c>
      <c r="AG1937">
        <v>-0.99272719999999903</v>
      </c>
      <c r="AH1937">
        <v>124.515996530297</v>
      </c>
      <c r="AI1937">
        <v>90.455427670774199</v>
      </c>
      <c r="AJ1937">
        <v>85.570980681965295</v>
      </c>
      <c r="AK1937">
        <v>124.892889427396</v>
      </c>
      <c r="AL1937">
        <v>93.160358157723095</v>
      </c>
      <c r="AM1937">
        <v>90.060150301789307</v>
      </c>
      <c r="AN1937">
        <v>1.0000000032056899</v>
      </c>
    </row>
    <row r="1938" spans="1:40" x14ac:dyDescent="0.25">
      <c r="A1938" t="str">
        <f>"20190303154501765"</f>
        <v>20190303154501765</v>
      </c>
      <c r="B1938" t="str">
        <f>"1551599101752691"</f>
        <v>1551599101752691</v>
      </c>
      <c r="C1938" t="s">
        <v>40</v>
      </c>
      <c r="D1938">
        <v>4.3360399999999997</v>
      </c>
      <c r="E1938">
        <v>0.52991330000000003</v>
      </c>
      <c r="F1938" t="s">
        <v>58</v>
      </c>
      <c r="G1938">
        <v>-525.33370000000002</v>
      </c>
      <c r="H1938">
        <v>0.13452249999999999</v>
      </c>
      <c r="I1938">
        <v>294.55</v>
      </c>
      <c r="J1938">
        <v>-401.44850000000002</v>
      </c>
      <c r="K1938">
        <v>1.1209229999999999</v>
      </c>
      <c r="L1938">
        <v>284.31119999999999</v>
      </c>
      <c r="M1938">
        <v>-0.99988520000000003</v>
      </c>
      <c r="N1938">
        <v>-1.433944E-2</v>
      </c>
      <c r="O1938">
        <v>4.9049710000000002E-3</v>
      </c>
      <c r="P1938">
        <v>-0.99755340000000003</v>
      </c>
      <c r="Q1938">
        <v>-6.9820419999999994E-2</v>
      </c>
      <c r="R1938">
        <v>3.5309199999999999E-3</v>
      </c>
      <c r="S1938">
        <v>-3.0047000000000001</v>
      </c>
      <c r="T1938">
        <v>-2.3857469999999999E-2</v>
      </c>
      <c r="U1938">
        <v>0.24771119999999999</v>
      </c>
      <c r="V1938">
        <v>-1.3800450000000001E-3</v>
      </c>
      <c r="W1938">
        <v>-5.5508370000000001E-2</v>
      </c>
      <c r="X1938">
        <v>0.99845729999999999</v>
      </c>
      <c r="Y1938">
        <v>7.7265909999999993E-2</v>
      </c>
      <c r="Z1938">
        <v>8.9253589999999995E-4</v>
      </c>
      <c r="AA1938">
        <v>0.99701010000000001</v>
      </c>
      <c r="AB1938">
        <v>31</v>
      </c>
      <c r="AC1938">
        <v>-123.8852</v>
      </c>
      <c r="AD1938">
        <v>-0.98640050000000001</v>
      </c>
      <c r="AE1938">
        <v>10.238799999999999</v>
      </c>
      <c r="AF1938">
        <v>9.6303546475850901</v>
      </c>
      <c r="AG1938">
        <v>-0.98640050000000001</v>
      </c>
      <c r="AH1938">
        <v>123.92613237622901</v>
      </c>
      <c r="AI1938">
        <v>90.454670224767398</v>
      </c>
      <c r="AJ1938">
        <v>85.556449969651197</v>
      </c>
      <c r="AK1938">
        <v>124.30367252143201</v>
      </c>
      <c r="AL1938">
        <v>93.182030724017494</v>
      </c>
      <c r="AM1938">
        <v>90.079192874533106</v>
      </c>
      <c r="AN1938">
        <v>1.0000000317937701</v>
      </c>
    </row>
    <row r="1939" spans="1:40" x14ac:dyDescent="0.25">
      <c r="A1939" t="str">
        <f>"20190303154501787"</f>
        <v>20190303154501787</v>
      </c>
      <c r="B1939" t="str">
        <f>"1551599101782947"</f>
        <v>1551599101782947</v>
      </c>
      <c r="C1939" t="s">
        <v>40</v>
      </c>
      <c r="D1939">
        <v>4.2550949999999998</v>
      </c>
      <c r="E1939">
        <v>0.50363190000000002</v>
      </c>
      <c r="F1939" t="s">
        <v>58</v>
      </c>
      <c r="G1939">
        <v>-526.15629999999999</v>
      </c>
      <c r="H1939">
        <v>0.1077925</v>
      </c>
      <c r="I1939">
        <v>294.55</v>
      </c>
      <c r="J1939">
        <v>-401.75150000000002</v>
      </c>
      <c r="K1939">
        <v>1.1209480000000001</v>
      </c>
      <c r="L1939">
        <v>284.31270000000001</v>
      </c>
      <c r="M1939">
        <v>-0.99988489999999997</v>
      </c>
      <c r="N1939">
        <v>-1.4336140000000001E-2</v>
      </c>
      <c r="O1939">
        <v>4.9839460000000004E-3</v>
      </c>
      <c r="P1939">
        <v>-0.99756630000000002</v>
      </c>
      <c r="Q1939">
        <v>-6.9666729999999996E-2</v>
      </c>
      <c r="R1939">
        <v>2.8880020000000002E-3</v>
      </c>
      <c r="S1939">
        <v>-3.0048219999999999</v>
      </c>
      <c r="T1939">
        <v>-2.4409170000000001E-2</v>
      </c>
      <c r="U1939">
        <v>0.24670410000000001</v>
      </c>
      <c r="V1939">
        <v>-2.0980230000000001E-3</v>
      </c>
      <c r="W1939">
        <v>-5.5357770000000001E-2</v>
      </c>
      <c r="X1939">
        <v>0.99846440000000003</v>
      </c>
      <c r="Y1939">
        <v>7.6851749999999996E-2</v>
      </c>
      <c r="Z1939">
        <v>8.9439800000000002E-4</v>
      </c>
      <c r="AA1939">
        <v>0.99704210000000004</v>
      </c>
      <c r="AB1939">
        <v>31</v>
      </c>
      <c r="AC1939">
        <v>-124.404799999999</v>
      </c>
      <c r="AD1939">
        <v>-1.0131555000000001</v>
      </c>
      <c r="AE1939">
        <v>10.237299999999999</v>
      </c>
      <c r="AF1939">
        <v>9.6164488298381094</v>
      </c>
      <c r="AG1939">
        <v>-1.0131555000000001</v>
      </c>
      <c r="AH1939">
        <v>124.446083590252</v>
      </c>
      <c r="AI1939">
        <v>90.465066628892799</v>
      </c>
      <c r="AJ1939">
        <v>85.581306052411406</v>
      </c>
      <c r="AK1939">
        <v>124.821193285099</v>
      </c>
      <c r="AL1939">
        <v>93.1733887254926</v>
      </c>
      <c r="AM1939">
        <v>90.120392561122699</v>
      </c>
      <c r="AN1939">
        <v>1.00000002123362</v>
      </c>
    </row>
    <row r="1940" spans="1:40" x14ac:dyDescent="0.25">
      <c r="A1940" t="str">
        <f>"20190303154501809"</f>
        <v>20190303154501809</v>
      </c>
      <c r="B1940" t="str">
        <f>"1551599101802468"</f>
        <v>1551599101802468</v>
      </c>
      <c r="C1940" t="s">
        <v>40</v>
      </c>
      <c r="D1940">
        <v>4.2329280000000002</v>
      </c>
      <c r="E1940">
        <v>0.50057879999999999</v>
      </c>
      <c r="F1940" t="s">
        <v>45</v>
      </c>
      <c r="G1940">
        <v>0</v>
      </c>
      <c r="H1940">
        <v>0</v>
      </c>
      <c r="I1940">
        <v>0</v>
      </c>
      <c r="J1940">
        <v>-402.05360000000002</v>
      </c>
      <c r="K1940">
        <v>1.1209739999999999</v>
      </c>
      <c r="L1940">
        <v>284.3143</v>
      </c>
      <c r="M1940">
        <v>-0.99988469999999996</v>
      </c>
      <c r="N1940">
        <v>-1.433281E-2</v>
      </c>
      <c r="O1940">
        <v>5.0358299999999998E-3</v>
      </c>
      <c r="P1940">
        <v>-0.99752969999999996</v>
      </c>
      <c r="Q1940">
        <v>-7.0215470000000002E-2</v>
      </c>
      <c r="R1940">
        <v>2.1655810000000002E-3</v>
      </c>
      <c r="S1940">
        <v>-3.0084230000000001</v>
      </c>
      <c r="T1940">
        <v>1.7479539999999998E-2</v>
      </c>
      <c r="U1940">
        <v>3.4393310000000003E-2</v>
      </c>
      <c r="V1940">
        <v>-2.8692240000000001E-3</v>
      </c>
      <c r="W1940">
        <v>-5.5910309999999998E-2</v>
      </c>
      <c r="X1940">
        <v>0.99843170000000003</v>
      </c>
      <c r="Y1940">
        <v>6.396611E-3</v>
      </c>
      <c r="Z1940">
        <v>1.2869720000000001E-4</v>
      </c>
      <c r="AA1940">
        <v>0.99997959999999997</v>
      </c>
      <c r="AB1940">
        <v>31</v>
      </c>
      <c r="AC1940">
        <v>-3.0084230000000001</v>
      </c>
      <c r="AD1940">
        <v>1.7479539999999998E-2</v>
      </c>
      <c r="AE1940">
        <v>3.4393310000000003E-2</v>
      </c>
      <c r="AF1940">
        <v>1.92407627334076E-2</v>
      </c>
      <c r="AG1940">
        <v>1.7479539999999998E-2</v>
      </c>
      <c r="AH1940">
        <v>3.0084565149012201</v>
      </c>
      <c r="AI1940">
        <v>89.667114311079501</v>
      </c>
      <c r="AJ1940">
        <v>89.633566427371605</v>
      </c>
      <c r="AK1940">
        <v>3.00856881977474</v>
      </c>
      <c r="AL1940">
        <v>93.205096022915399</v>
      </c>
      <c r="AM1940">
        <v>90.164652197179606</v>
      </c>
      <c r="AN1940">
        <v>1.0000000273877701</v>
      </c>
    </row>
    <row r="1941" spans="1:40" x14ac:dyDescent="0.25">
      <c r="A1941" t="str">
        <f>"20190303154501830"</f>
        <v>20190303154501830</v>
      </c>
      <c r="B1941" t="str">
        <f>"1551599101822964"</f>
        <v>1551599101822964</v>
      </c>
      <c r="C1941" t="s">
        <v>40</v>
      </c>
      <c r="D1941">
        <v>4.2283200000000001</v>
      </c>
      <c r="E1941">
        <v>0.49934869999999998</v>
      </c>
      <c r="F1941" t="s">
        <v>45</v>
      </c>
      <c r="G1941">
        <v>0</v>
      </c>
      <c r="H1941">
        <v>0</v>
      </c>
      <c r="I1941">
        <v>0</v>
      </c>
      <c r="J1941">
        <v>-402.35579999999999</v>
      </c>
      <c r="K1941">
        <v>1.1209849999999999</v>
      </c>
      <c r="L1941">
        <v>284.3159</v>
      </c>
      <c r="M1941">
        <v>-0.99988460000000001</v>
      </c>
      <c r="N1941">
        <v>-1.432948E-2</v>
      </c>
      <c r="O1941">
        <v>5.0644110000000004E-3</v>
      </c>
      <c r="P1941">
        <v>-0.99746500000000005</v>
      </c>
      <c r="Q1941">
        <v>-7.1141350000000006E-2</v>
      </c>
      <c r="R1941">
        <v>1.672324E-3</v>
      </c>
      <c r="S1941">
        <v>-3.0088499999999998</v>
      </c>
      <c r="T1941">
        <v>2.0564079999999998E-2</v>
      </c>
      <c r="U1941">
        <v>7.59887699999999E-3</v>
      </c>
      <c r="V1941">
        <v>-3.3879819999999999E-3</v>
      </c>
      <c r="W1941">
        <v>-5.6840450000000001E-2</v>
      </c>
      <c r="X1941">
        <v>0.99837750000000003</v>
      </c>
      <c r="Y1941">
        <v>-2.5383770000000001E-3</v>
      </c>
      <c r="Z1941" s="1">
        <v>9.7670590000000006E-5</v>
      </c>
      <c r="AA1941">
        <v>0.99999680000000002</v>
      </c>
      <c r="AB1941">
        <v>31</v>
      </c>
      <c r="AC1941">
        <v>-3.0088499999999998</v>
      </c>
      <c r="AD1941">
        <v>2.0564079999999998E-2</v>
      </c>
      <c r="AE1941">
        <v>7.59887699999999E-3</v>
      </c>
      <c r="AF1941">
        <v>-7.6404798117486799E-3</v>
      </c>
      <c r="AG1941">
        <v>2.0564079999999998E-2</v>
      </c>
      <c r="AH1941">
        <v>3.0087093553520101</v>
      </c>
      <c r="AI1941">
        <v>89.608399247368297</v>
      </c>
      <c r="AJ1941">
        <v>90.145499699020206</v>
      </c>
      <c r="AK1941">
        <v>3.0087893318244698</v>
      </c>
      <c r="AL1941">
        <v>93.258474184438697</v>
      </c>
      <c r="AM1941">
        <v>90.194431790115601</v>
      </c>
      <c r="AN1941">
        <v>0.99999997384224204</v>
      </c>
    </row>
    <row r="1942" spans="1:40" x14ac:dyDescent="0.25">
      <c r="A1942" t="str">
        <f>"20190303154501853"</f>
        <v>20190303154501853</v>
      </c>
      <c r="B1942" t="str">
        <f>"1551599101842992"</f>
        <v>1551599101842992</v>
      </c>
      <c r="C1942" t="s">
        <v>40</v>
      </c>
      <c r="D1942">
        <v>4.2404469999999996</v>
      </c>
      <c r="E1942">
        <v>0.49861240000000001</v>
      </c>
      <c r="F1942" t="s">
        <v>45</v>
      </c>
      <c r="G1942">
        <v>0</v>
      </c>
      <c r="H1942">
        <v>0</v>
      </c>
      <c r="I1942">
        <v>0</v>
      </c>
      <c r="J1942">
        <v>-402.6678</v>
      </c>
      <c r="K1942">
        <v>1.1210039999999999</v>
      </c>
      <c r="L1942">
        <v>284.3175</v>
      </c>
      <c r="M1942">
        <v>-0.99988449999999995</v>
      </c>
      <c r="N1942">
        <v>-1.432605E-2</v>
      </c>
      <c r="O1942">
        <v>5.0761360000000002E-3</v>
      </c>
      <c r="P1942">
        <v>-0.99737819999999999</v>
      </c>
      <c r="Q1942">
        <v>-7.2346729999999998E-2</v>
      </c>
      <c r="R1942">
        <v>1.663554E-3</v>
      </c>
      <c r="S1942">
        <v>-3.009064</v>
      </c>
      <c r="T1942">
        <v>1.988065E-2</v>
      </c>
      <c r="U1942">
        <v>-3.0212400000000001E-3</v>
      </c>
      <c r="V1942">
        <v>-3.4058349999999999E-3</v>
      </c>
      <c r="W1942">
        <v>-5.8050539999999998E-2</v>
      </c>
      <c r="X1942">
        <v>0.99830779999999997</v>
      </c>
      <c r="Y1942">
        <v>-6.0797319999999896E-3</v>
      </c>
      <c r="Z1942" s="1">
        <v>8.279254E-5</v>
      </c>
      <c r="AA1942">
        <v>0.99998149999999997</v>
      </c>
      <c r="AB1942">
        <v>31</v>
      </c>
      <c r="AC1942">
        <v>-3.009064</v>
      </c>
      <c r="AD1942">
        <v>1.988065E-2</v>
      </c>
      <c r="AE1942">
        <v>-3.0212400000000001E-3</v>
      </c>
      <c r="AF1942">
        <v>-1.82963880472077E-2</v>
      </c>
      <c r="AG1942">
        <v>1.988065E-2</v>
      </c>
      <c r="AH1942">
        <v>3.0088785448133302</v>
      </c>
      <c r="AI1942">
        <v>89.621440450832097</v>
      </c>
      <c r="AJ1942">
        <v>90.348399870366805</v>
      </c>
      <c r="AK1942">
        <v>3.0089998497005599</v>
      </c>
      <c r="AL1942">
        <v>93.327921955357695</v>
      </c>
      <c r="AM1942">
        <v>90.195469988455102</v>
      </c>
      <c r="AN1942">
        <v>0.99999996422358794</v>
      </c>
    </row>
    <row r="1943" spans="1:40" x14ac:dyDescent="0.25">
      <c r="A1943" t="str">
        <f>"20190303154501876"</f>
        <v>20190303154501876</v>
      </c>
      <c r="B1943" t="str">
        <f>"1551599101872271"</f>
        <v>1551599101872271</v>
      </c>
      <c r="C1943" t="s">
        <v>40</v>
      </c>
      <c r="D1943">
        <v>4.2143300000000004</v>
      </c>
      <c r="E1943">
        <v>0.49823000000000001</v>
      </c>
      <c r="F1943" t="s">
        <v>45</v>
      </c>
      <c r="G1943">
        <v>0</v>
      </c>
      <c r="H1943">
        <v>0</v>
      </c>
      <c r="I1943">
        <v>0</v>
      </c>
      <c r="J1943">
        <v>-402.9744</v>
      </c>
      <c r="K1943">
        <v>1.1210169999999999</v>
      </c>
      <c r="L1943">
        <v>284.31900000000002</v>
      </c>
      <c r="M1943">
        <v>-0.99988449999999995</v>
      </c>
      <c r="N1943">
        <v>-1.4322700000000001E-2</v>
      </c>
      <c r="O1943">
        <v>5.074767E-3</v>
      </c>
      <c r="P1943">
        <v>-0.99735680000000004</v>
      </c>
      <c r="Q1943">
        <v>-7.2628880000000007E-2</v>
      </c>
      <c r="R1943">
        <v>2.0726949999999998E-3</v>
      </c>
      <c r="S1943">
        <v>-3.009125</v>
      </c>
      <c r="T1943">
        <v>1.662481E-2</v>
      </c>
      <c r="U1943">
        <v>-8.9721680000000009E-3</v>
      </c>
      <c r="V1943">
        <v>-2.993543E-3</v>
      </c>
      <c r="W1943">
        <v>-5.833638E-2</v>
      </c>
      <c r="X1943">
        <v>0.99829250000000003</v>
      </c>
      <c r="Y1943">
        <v>-8.0560630000000005E-3</v>
      </c>
      <c r="Z1943" s="1">
        <v>6.5281969999999906E-5</v>
      </c>
      <c r="AA1943">
        <v>0.99996759999999996</v>
      </c>
      <c r="AB1943">
        <v>31</v>
      </c>
      <c r="AC1943">
        <v>-3.009125</v>
      </c>
      <c r="AD1943">
        <v>1.662481E-2</v>
      </c>
      <c r="AE1943">
        <v>-8.9721680000000009E-3</v>
      </c>
      <c r="AF1943">
        <v>-2.42434879666663E-2</v>
      </c>
      <c r="AG1943">
        <v>1.662481E-2</v>
      </c>
      <c r="AH1943">
        <v>3.0089488655354502</v>
      </c>
      <c r="AI1943">
        <v>89.683447315700903</v>
      </c>
      <c r="AJ1943">
        <v>90.461629474815894</v>
      </c>
      <c r="AK1943">
        <v>3.0090924556123801</v>
      </c>
      <c r="AL1943">
        <v>93.344327046482306</v>
      </c>
      <c r="AM1943">
        <v>90.171810231570404</v>
      </c>
      <c r="AN1943">
        <v>1.0000000050437201</v>
      </c>
    </row>
    <row r="1944" spans="1:40" x14ac:dyDescent="0.25">
      <c r="A1944" t="str">
        <f>"20190303154501898"</f>
        <v>20190303154501898</v>
      </c>
      <c r="B1944" t="str">
        <f>"1551599101892770"</f>
        <v>1551599101892770</v>
      </c>
      <c r="C1944" t="s">
        <v>40</v>
      </c>
      <c r="D1944">
        <v>4.2149830000000001</v>
      </c>
      <c r="E1944">
        <v>0.49801840000000003</v>
      </c>
      <c r="F1944" t="s">
        <v>45</v>
      </c>
      <c r="G1944">
        <v>0</v>
      </c>
      <c r="H1944">
        <v>0</v>
      </c>
      <c r="I1944">
        <v>0</v>
      </c>
      <c r="J1944">
        <v>-403.28050000000002</v>
      </c>
      <c r="K1944">
        <v>1.1210340000000001</v>
      </c>
      <c r="L1944">
        <v>284.32060000000001</v>
      </c>
      <c r="M1944">
        <v>-0.99988469999999996</v>
      </c>
      <c r="N1944">
        <v>-1.431937E-2</v>
      </c>
      <c r="O1944">
        <v>5.05946E-3</v>
      </c>
      <c r="P1944">
        <v>-0.99732909999999997</v>
      </c>
      <c r="Q1944">
        <v>-7.2988230000000001E-2</v>
      </c>
      <c r="R1944">
        <v>2.6939189999999999E-3</v>
      </c>
      <c r="S1944">
        <v>-3.00943</v>
      </c>
      <c r="T1944">
        <v>1.9865509999999999E-2</v>
      </c>
      <c r="U1944">
        <v>-1.126099E-2</v>
      </c>
      <c r="V1944">
        <v>-2.355621E-3</v>
      </c>
      <c r="W1944">
        <v>-5.8699500000000002E-2</v>
      </c>
      <c r="X1944">
        <v>0.99827290000000002</v>
      </c>
      <c r="Y1944">
        <v>-8.8008879999999998E-3</v>
      </c>
      <c r="Z1944" s="1">
        <v>7.1879799999999996E-5</v>
      </c>
      <c r="AA1944">
        <v>0.99996130000000005</v>
      </c>
      <c r="AB1944">
        <v>31</v>
      </c>
      <c r="AC1944">
        <v>-3.00943</v>
      </c>
      <c r="AD1944">
        <v>1.9865509999999999E-2</v>
      </c>
      <c r="AE1944">
        <v>-1.126099E-2</v>
      </c>
      <c r="AF1944">
        <v>-2.64873432217239E-2</v>
      </c>
      <c r="AG1944">
        <v>1.9865509999999999E-2</v>
      </c>
      <c r="AH1944">
        <v>3.0092033713350599</v>
      </c>
      <c r="AI1944">
        <v>89.621777222087402</v>
      </c>
      <c r="AJ1944">
        <v>90.504310808617007</v>
      </c>
      <c r="AK1944">
        <v>3.0093855100157598</v>
      </c>
      <c r="AL1944">
        <v>93.365168083018503</v>
      </c>
      <c r="AM1944">
        <v>90.135200395529793</v>
      </c>
      <c r="AN1944">
        <v>0.99999998156247705</v>
      </c>
    </row>
    <row r="1945" spans="1:40" x14ac:dyDescent="0.25">
      <c r="A1945" t="str">
        <f>"20190303154501920"</f>
        <v>20190303154501920</v>
      </c>
      <c r="B1945" t="str">
        <f>"1551599101912287"</f>
        <v>1551599101912287</v>
      </c>
      <c r="C1945" t="s">
        <v>40</v>
      </c>
      <c r="D1945">
        <v>4.1887480000000004</v>
      </c>
      <c r="E1945">
        <v>0.49777179999999999</v>
      </c>
      <c r="F1945" t="s">
        <v>45</v>
      </c>
      <c r="G1945">
        <v>0</v>
      </c>
      <c r="H1945">
        <v>0</v>
      </c>
      <c r="I1945">
        <v>0</v>
      </c>
      <c r="J1945">
        <v>-403.58260000000001</v>
      </c>
      <c r="K1945">
        <v>1.121051</v>
      </c>
      <c r="L1945">
        <v>284.32209999999998</v>
      </c>
      <c r="M1945">
        <v>-0.99988489999999997</v>
      </c>
      <c r="N1945">
        <v>-1.431614E-2</v>
      </c>
      <c r="O1945">
        <v>5.0274730000000002E-3</v>
      </c>
      <c r="P1945">
        <v>-0.99730660000000004</v>
      </c>
      <c r="Q1945">
        <v>-7.3270600000000005E-2</v>
      </c>
      <c r="R1945">
        <v>3.3587830000000002E-3</v>
      </c>
      <c r="S1945">
        <v>-3.0095830000000001</v>
      </c>
      <c r="T1945">
        <v>2.074146E-2</v>
      </c>
      <c r="U1945">
        <v>-1.1108399999999999E-2</v>
      </c>
      <c r="V1945">
        <v>-1.6568049999999999E-3</v>
      </c>
      <c r="W1945">
        <v>-5.8985429999999998E-2</v>
      </c>
      <c r="X1945">
        <v>0.99825750000000002</v>
      </c>
      <c r="Y1945">
        <v>-8.7179849999999993E-3</v>
      </c>
      <c r="Z1945" s="1">
        <v>7.4257030000000006E-5</v>
      </c>
      <c r="AA1945">
        <v>0.99996200000000002</v>
      </c>
      <c r="AB1945">
        <v>31</v>
      </c>
      <c r="AC1945">
        <v>-3.0095830000000001</v>
      </c>
      <c r="AD1945">
        <v>2.074146E-2</v>
      </c>
      <c r="AE1945">
        <v>-1.1108399999999999E-2</v>
      </c>
      <c r="AF1945">
        <v>-2.62391610482871E-2</v>
      </c>
      <c r="AG1945">
        <v>2.074146E-2</v>
      </c>
      <c r="AH1945">
        <v>3.0093461718182599</v>
      </c>
      <c r="AI1945">
        <v>89.605118831671703</v>
      </c>
      <c r="AJ1945">
        <v>90.499562032255199</v>
      </c>
      <c r="AK1945">
        <v>3.00953203730624</v>
      </c>
      <c r="AL1945">
        <v>93.381578933483894</v>
      </c>
      <c r="AM1945">
        <v>90.095093547319806</v>
      </c>
      <c r="AN1945">
        <v>1.00000003113067</v>
      </c>
    </row>
    <row r="1946" spans="1:40" x14ac:dyDescent="0.25">
      <c r="A1946" t="str">
        <f>"20190303154501942"</f>
        <v>20190303154501942</v>
      </c>
      <c r="B1946" t="str">
        <f>"1551599101932783"</f>
        <v>1551599101932783</v>
      </c>
      <c r="C1946" t="s">
        <v>40</v>
      </c>
      <c r="D1946">
        <v>4.2034560000000001</v>
      </c>
      <c r="E1946">
        <v>0.49776930000000003</v>
      </c>
      <c r="F1946" t="s">
        <v>45</v>
      </c>
      <c r="G1946">
        <v>0</v>
      </c>
      <c r="H1946">
        <v>0</v>
      </c>
      <c r="I1946">
        <v>0</v>
      </c>
      <c r="J1946">
        <v>-403.88650000000001</v>
      </c>
      <c r="K1946">
        <v>1.1210639999999901</v>
      </c>
      <c r="L1946">
        <v>284.3236</v>
      </c>
      <c r="M1946">
        <v>-0.99988529999999998</v>
      </c>
      <c r="N1946">
        <v>-1.4313060000000001E-2</v>
      </c>
      <c r="O1946">
        <v>4.9762239999999996E-3</v>
      </c>
      <c r="P1946">
        <v>-0.99732730000000003</v>
      </c>
      <c r="Q1946">
        <v>-7.2999099999999997E-2</v>
      </c>
      <c r="R1946">
        <v>3.0728740000000002E-3</v>
      </c>
      <c r="S1946">
        <v>-3.0097659999999999</v>
      </c>
      <c r="T1946">
        <v>2.1954419999999999E-2</v>
      </c>
      <c r="U1946">
        <v>-1.1047360000000001E-2</v>
      </c>
      <c r="V1946">
        <v>-1.8891260000000001E-3</v>
      </c>
      <c r="W1946">
        <v>-5.8716829999999998E-2</v>
      </c>
      <c r="X1946">
        <v>0.99827290000000002</v>
      </c>
      <c r="Y1946">
        <v>-8.6461960000000001E-3</v>
      </c>
      <c r="Z1946" s="1">
        <v>7.7178080000000004E-5</v>
      </c>
      <c r="AA1946">
        <v>0.99996260000000003</v>
      </c>
      <c r="AB1946">
        <v>31</v>
      </c>
      <c r="AC1946">
        <v>-3.0097659999999999</v>
      </c>
      <c r="AD1946">
        <v>2.1954419999999999E-2</v>
      </c>
      <c r="AE1946">
        <v>-1.1047360000000001E-2</v>
      </c>
      <c r="AF1946">
        <v>-2.6024640877514899E-2</v>
      </c>
      <c r="AG1946">
        <v>2.1954419999999999E-2</v>
      </c>
      <c r="AH1946">
        <v>3.00951361864389</v>
      </c>
      <c r="AI1946">
        <v>89.582049983068799</v>
      </c>
      <c r="AJ1946">
        <v>90.495450464349602</v>
      </c>
      <c r="AK1946">
        <v>3.0097062147813398</v>
      </c>
      <c r="AL1946">
        <v>93.366162642359399</v>
      </c>
      <c r="AM1946">
        <v>90.108426080244996</v>
      </c>
      <c r="AN1946">
        <v>1.0000000088983501</v>
      </c>
    </row>
    <row r="1947" spans="1:40" x14ac:dyDescent="0.25">
      <c r="A1947" t="str">
        <f>"20190303154501964"</f>
        <v>20190303154501964</v>
      </c>
      <c r="B1947" t="str">
        <f>"1551599101963039"</f>
        <v>1551599101963039</v>
      </c>
      <c r="C1947" t="s">
        <v>40</v>
      </c>
      <c r="D1947">
        <v>3.6829420000000002</v>
      </c>
      <c r="E1947">
        <v>0.49796020000000002</v>
      </c>
      <c r="F1947" t="s">
        <v>45</v>
      </c>
      <c r="G1947">
        <v>0</v>
      </c>
      <c r="H1947">
        <v>0</v>
      </c>
      <c r="I1947">
        <v>0</v>
      </c>
      <c r="J1947">
        <v>-404.19439999999997</v>
      </c>
      <c r="K1947">
        <v>1.1210800000000001</v>
      </c>
      <c r="L1947">
        <v>284.32499999999999</v>
      </c>
      <c r="M1947">
        <v>-0.99988569999999999</v>
      </c>
      <c r="N1947">
        <v>-1.4309779999999999E-2</v>
      </c>
      <c r="O1947">
        <v>4.904449E-3</v>
      </c>
      <c r="P1947">
        <v>-0.99734500000000004</v>
      </c>
      <c r="Q1947">
        <v>-7.2777460000000002E-2</v>
      </c>
      <c r="R1947">
        <v>2.5364810000000002E-3</v>
      </c>
      <c r="S1947">
        <v>-3.0097960000000001</v>
      </c>
      <c r="T1947">
        <v>2.403462E-2</v>
      </c>
      <c r="U1947">
        <v>-1.223755E-2</v>
      </c>
      <c r="V1947">
        <v>-2.3513649999999998E-3</v>
      </c>
      <c r="W1947">
        <v>-5.8498380000000003E-2</v>
      </c>
      <c r="X1947">
        <v>0.99828479999999997</v>
      </c>
      <c r="Y1947">
        <v>-8.969744E-3</v>
      </c>
      <c r="Z1947" s="1">
        <v>8.0978130000000005E-5</v>
      </c>
      <c r="AA1947">
        <v>0.99995979999999995</v>
      </c>
      <c r="AB1947">
        <v>31</v>
      </c>
      <c r="AC1947">
        <v>-3.0097960000000001</v>
      </c>
      <c r="AD1947">
        <v>2.403462E-2</v>
      </c>
      <c r="AE1947">
        <v>-1.223755E-2</v>
      </c>
      <c r="AF1947">
        <v>-2.6998581994839899E-2</v>
      </c>
      <c r="AG1947">
        <v>2.403462E-2</v>
      </c>
      <c r="AH1947">
        <v>3.0095078634880799</v>
      </c>
      <c r="AI1947">
        <v>89.542450903009893</v>
      </c>
      <c r="AJ1947">
        <v>90.513992112573902</v>
      </c>
      <c r="AK1947">
        <v>3.0097249320801498</v>
      </c>
      <c r="AL1947">
        <v>93.3536246375985</v>
      </c>
      <c r="AM1947">
        <v>90.134954515435197</v>
      </c>
      <c r="AN1947">
        <v>1.0000000656455099</v>
      </c>
    </row>
    <row r="1948" spans="1:40" x14ac:dyDescent="0.25">
      <c r="A1948" t="str">
        <f>"20190303154502166"</f>
        <v>20190303154502166</v>
      </c>
      <c r="B1948" t="str">
        <f>"1551599102162144"</f>
        <v>1551599102162144</v>
      </c>
      <c r="C1948" t="s">
        <v>40</v>
      </c>
      <c r="D1948">
        <v>4.1905659999999996</v>
      </c>
      <c r="E1948">
        <v>0.50187959999999998</v>
      </c>
      <c r="F1948" t="s">
        <v>45</v>
      </c>
      <c r="G1948">
        <v>0</v>
      </c>
      <c r="H1948">
        <v>0</v>
      </c>
      <c r="I1948">
        <v>0</v>
      </c>
      <c r="J1948">
        <v>-406.92500000000001</v>
      </c>
      <c r="K1948">
        <v>1.1211390000000001</v>
      </c>
      <c r="L1948">
        <v>284.33629999999999</v>
      </c>
      <c r="M1948">
        <v>-0.99989030000000001</v>
      </c>
      <c r="N1948">
        <v>-1.428052E-2</v>
      </c>
      <c r="O1948">
        <v>3.9675070000000003E-3</v>
      </c>
      <c r="P1948">
        <v>-0.99761540000000004</v>
      </c>
      <c r="Q1948">
        <v>-6.8981929999999997E-2</v>
      </c>
      <c r="R1948">
        <v>2.349337E-3</v>
      </c>
      <c r="S1948">
        <v>-3.0097049999999999</v>
      </c>
      <c r="T1948">
        <v>2.3191090000000001E-2</v>
      </c>
      <c r="U1948">
        <v>-1.229858E-2</v>
      </c>
      <c r="V1948">
        <v>-1.6005489999999999E-3</v>
      </c>
      <c r="W1948">
        <v>-5.4728659999999998E-2</v>
      </c>
      <c r="X1948">
        <v>0.99850000000000005</v>
      </c>
      <c r="Y1948">
        <v>-8.0533669999999901E-3</v>
      </c>
      <c r="Z1948" s="1">
        <v>6.0750310000000001E-5</v>
      </c>
      <c r="AA1948">
        <v>0.99996759999999996</v>
      </c>
      <c r="AB1948">
        <v>30</v>
      </c>
      <c r="AC1948">
        <v>-3.0097049999999999</v>
      </c>
      <c r="AD1948">
        <v>2.3191090000000001E-2</v>
      </c>
      <c r="AE1948">
        <v>-1.229858E-2</v>
      </c>
      <c r="AF1948">
        <v>-2.4239285747362602E-2</v>
      </c>
      <c r="AG1948">
        <v>2.3191090000000001E-2</v>
      </c>
      <c r="AH1948">
        <v>3.00945382778999</v>
      </c>
      <c r="AI1948">
        <v>89.558497236106604</v>
      </c>
      <c r="AJ1948">
        <v>90.461472021267198</v>
      </c>
      <c r="AK1948">
        <v>3.0096407943854002</v>
      </c>
      <c r="AL1948">
        <v>93.137288656163307</v>
      </c>
      <c r="AM1948">
        <v>90.091842387641606</v>
      </c>
      <c r="AN1948">
        <v>1.0000000189912399</v>
      </c>
    </row>
    <row r="1949" spans="1:40" x14ac:dyDescent="0.25">
      <c r="A1949" t="str">
        <f>"20190303154502189"</f>
        <v>20190303154502189</v>
      </c>
      <c r="B1949" t="str">
        <f>"1551599102182640"</f>
        <v>1551599102182640</v>
      </c>
      <c r="C1949" t="s">
        <v>40</v>
      </c>
      <c r="D1949">
        <v>4.2074790000000002</v>
      </c>
      <c r="E1949">
        <v>0.50264279999999995</v>
      </c>
      <c r="F1949" t="s">
        <v>45</v>
      </c>
      <c r="G1949">
        <v>0</v>
      </c>
      <c r="H1949">
        <v>0</v>
      </c>
      <c r="I1949">
        <v>0</v>
      </c>
      <c r="J1949">
        <v>-407.24290000000002</v>
      </c>
      <c r="K1949">
        <v>1.121132</v>
      </c>
      <c r="L1949">
        <v>284.3374</v>
      </c>
      <c r="M1949">
        <v>-0.99989059999999996</v>
      </c>
      <c r="N1949">
        <v>-1.4277069999999999E-2</v>
      </c>
      <c r="O1949">
        <v>3.8721889999999998E-3</v>
      </c>
      <c r="P1949">
        <v>-0.99765619999999999</v>
      </c>
      <c r="Q1949">
        <v>-6.8398570000000006E-2</v>
      </c>
      <c r="R1949">
        <v>1.9548679999999998E-3</v>
      </c>
      <c r="S1949">
        <v>-3.0087280000000001</v>
      </c>
      <c r="T1949">
        <v>2.3581149999999999E-2</v>
      </c>
      <c r="U1949">
        <v>1.7974850000000001E-2</v>
      </c>
      <c r="V1949">
        <v>-1.9010419999999999E-3</v>
      </c>
      <c r="W1949">
        <v>-5.4148290000000002E-2</v>
      </c>
      <c r="X1949">
        <v>0.9985311</v>
      </c>
      <c r="Y1949">
        <v>2.102572E-3</v>
      </c>
      <c r="Z1949" s="1">
        <v>9.2402040000000003E-5</v>
      </c>
      <c r="AA1949">
        <v>0.99999780000000005</v>
      </c>
      <c r="AB1949">
        <v>30</v>
      </c>
      <c r="AC1949">
        <v>-3.0087280000000001</v>
      </c>
      <c r="AD1949">
        <v>2.3581149999999999E-2</v>
      </c>
      <c r="AE1949">
        <v>1.7974850000000001E-2</v>
      </c>
      <c r="AF1949">
        <v>6.3227760511198501E-3</v>
      </c>
      <c r="AG1949">
        <v>2.3581149999999999E-2</v>
      </c>
      <c r="AH1949">
        <v>3.0085902441029102</v>
      </c>
      <c r="AI1949">
        <v>89.550929301934303</v>
      </c>
      <c r="AJ1949">
        <v>89.879588837358696</v>
      </c>
      <c r="AK1949">
        <v>3.0086893001843</v>
      </c>
      <c r="AL1949">
        <v>93.103986567046107</v>
      </c>
      <c r="AM1949">
        <v>90.109081781907605</v>
      </c>
      <c r="AN1949">
        <v>1.0000000044689099</v>
      </c>
    </row>
    <row r="1950" spans="1:40" x14ac:dyDescent="0.25">
      <c r="A1950" t="str">
        <f>"20190303154502211"</f>
        <v>20190303154502211</v>
      </c>
      <c r="B1950" t="str">
        <f>"1551599102202159"</f>
        <v>1551599102202159</v>
      </c>
      <c r="C1950" t="s">
        <v>40</v>
      </c>
      <c r="D1950">
        <v>4.1628930000000004</v>
      </c>
      <c r="E1950">
        <v>0.50289980000000001</v>
      </c>
      <c r="F1950" t="s">
        <v>45</v>
      </c>
      <c r="G1950">
        <v>0</v>
      </c>
      <c r="H1950">
        <v>0</v>
      </c>
      <c r="I1950">
        <v>0</v>
      </c>
      <c r="J1950">
        <v>-407.53359999999998</v>
      </c>
      <c r="K1950">
        <v>1.1211169999999999</v>
      </c>
      <c r="L1950">
        <v>284.33850000000001</v>
      </c>
      <c r="M1950">
        <v>-0.99989110000000003</v>
      </c>
      <c r="N1950">
        <v>-1.4273900000000001E-2</v>
      </c>
      <c r="O1950">
        <v>3.7927389999999998E-3</v>
      </c>
      <c r="P1950">
        <v>-0.99756100000000003</v>
      </c>
      <c r="Q1950">
        <v>-6.9775589999999998E-2</v>
      </c>
      <c r="R1950">
        <v>1.9671300000000001E-3</v>
      </c>
      <c r="S1950">
        <v>-3.008759</v>
      </c>
      <c r="T1950">
        <v>2.50417E-2</v>
      </c>
      <c r="U1950">
        <v>2.2796629999999998E-2</v>
      </c>
      <c r="V1950">
        <v>-1.8094859999999999E-3</v>
      </c>
      <c r="W1950">
        <v>-5.5529639999999998E-2</v>
      </c>
      <c r="X1950">
        <v>0.99845539999999999</v>
      </c>
      <c r="Y1950">
        <v>3.7845309999999998E-3</v>
      </c>
      <c r="Z1950" s="1">
        <v>9.6965200000000005E-5</v>
      </c>
      <c r="AA1950">
        <v>0.99999280000000002</v>
      </c>
      <c r="AB1950">
        <v>30</v>
      </c>
      <c r="AC1950">
        <v>-3.008759</v>
      </c>
      <c r="AD1950">
        <v>2.50417E-2</v>
      </c>
      <c r="AE1950">
        <v>2.2796629999999998E-2</v>
      </c>
      <c r="AF1950">
        <v>1.1383079188460101E-2</v>
      </c>
      <c r="AG1950">
        <v>2.50417E-2</v>
      </c>
      <c r="AH1950">
        <v>3.0086154271937802</v>
      </c>
      <c r="AI1950">
        <v>89.523122726546504</v>
      </c>
      <c r="AJ1950">
        <v>89.783222781669394</v>
      </c>
      <c r="AK1950">
        <v>3.0087411736437399</v>
      </c>
      <c r="AL1950">
        <v>93.183251387571602</v>
      </c>
      <c r="AM1950">
        <v>90.103836182752403</v>
      </c>
      <c r="AN1950">
        <v>1.00000000047363</v>
      </c>
    </row>
    <row r="1951" spans="1:40" x14ac:dyDescent="0.25">
      <c r="A1951" t="str">
        <f>"20190303154502232"</f>
        <v>20190303154502232</v>
      </c>
      <c r="B1951" t="str">
        <f>"1551599102222656"</f>
        <v>1551599102222656</v>
      </c>
      <c r="C1951" t="s">
        <v>40</v>
      </c>
      <c r="D1951">
        <v>4.2260679999999997</v>
      </c>
      <c r="E1951">
        <v>0.50313719999999995</v>
      </c>
      <c r="F1951" t="s">
        <v>45</v>
      </c>
      <c r="G1951">
        <v>0</v>
      </c>
      <c r="H1951">
        <v>0</v>
      </c>
      <c r="I1951">
        <v>0</v>
      </c>
      <c r="J1951">
        <v>-407.82589999999999</v>
      </c>
      <c r="K1951">
        <v>1.1211089999999999</v>
      </c>
      <c r="L1951">
        <v>284.33949999999999</v>
      </c>
      <c r="M1951">
        <v>-0.99989119999999998</v>
      </c>
      <c r="N1951">
        <v>-1.4270730000000001E-2</v>
      </c>
      <c r="O1951">
        <v>3.7232110000000001E-3</v>
      </c>
      <c r="P1951">
        <v>-0.99741860000000004</v>
      </c>
      <c r="Q1951">
        <v>-7.1761439999999996E-2</v>
      </c>
      <c r="R1951">
        <v>2.5468460000000002E-3</v>
      </c>
      <c r="S1951">
        <v>-3.0084840000000002</v>
      </c>
      <c r="T1951">
        <v>1.718795E-2</v>
      </c>
      <c r="U1951">
        <v>2.5115970000000001E-2</v>
      </c>
      <c r="V1951">
        <v>-1.1604300000000001E-3</v>
      </c>
      <c r="W1951">
        <v>-5.7520349999999998E-2</v>
      </c>
      <c r="X1951">
        <v>0.9983436</v>
      </c>
      <c r="Y1951">
        <v>4.6254290000000003E-3</v>
      </c>
      <c r="Z1951" s="1">
        <v>9.4197540000000003E-5</v>
      </c>
      <c r="AA1951">
        <v>0.99998929999999997</v>
      </c>
      <c r="AB1951">
        <v>30</v>
      </c>
      <c r="AC1951">
        <v>-3.0084840000000002</v>
      </c>
      <c r="AD1951">
        <v>1.718795E-2</v>
      </c>
      <c r="AE1951">
        <v>2.5115970000000001E-2</v>
      </c>
      <c r="AF1951">
        <v>1.39129799049648E-2</v>
      </c>
      <c r="AG1951">
        <v>1.718795E-2</v>
      </c>
      <c r="AH1951">
        <v>3.0084584751779002</v>
      </c>
      <c r="AI1951">
        <v>89.672664337398203</v>
      </c>
      <c r="AJ1951">
        <v>89.735030630236295</v>
      </c>
      <c r="AK1951">
        <v>3.0085397443784601</v>
      </c>
      <c r="AL1951">
        <v>93.2974935377555</v>
      </c>
      <c r="AM1951">
        <v>90.066598024444801</v>
      </c>
      <c r="AN1951">
        <v>0.99999994046143104</v>
      </c>
    </row>
    <row r="1952" spans="1:40" x14ac:dyDescent="0.25">
      <c r="A1952" t="str">
        <f>"20190303154502255"</f>
        <v>20190303154502255</v>
      </c>
      <c r="B1952" t="str">
        <f>"1551599102252911"</f>
        <v>1551599102252911</v>
      </c>
      <c r="C1952" t="s">
        <v>40</v>
      </c>
      <c r="D1952">
        <v>4.2594500000000002</v>
      </c>
      <c r="E1952">
        <v>0.50338109999999903</v>
      </c>
      <c r="F1952" t="s">
        <v>45</v>
      </c>
      <c r="G1952">
        <v>0</v>
      </c>
      <c r="H1952">
        <v>0</v>
      </c>
      <c r="I1952">
        <v>0</v>
      </c>
      <c r="J1952">
        <v>-408.13</v>
      </c>
      <c r="K1952">
        <v>1.1210960000000001</v>
      </c>
      <c r="L1952">
        <v>284.34050000000002</v>
      </c>
      <c r="M1952">
        <v>-0.99989159999999999</v>
      </c>
      <c r="N1952">
        <v>-1.4267409999999999E-2</v>
      </c>
      <c r="O1952">
        <v>3.6618269999999999E-3</v>
      </c>
      <c r="P1952">
        <v>-0.99736860000000005</v>
      </c>
      <c r="Q1952">
        <v>-7.2445689999999993E-2</v>
      </c>
      <c r="R1952">
        <v>2.7746519999999998E-3</v>
      </c>
      <c r="S1952">
        <v>-3.0081790000000002</v>
      </c>
      <c r="T1952">
        <v>7.0552829999999999E-3</v>
      </c>
      <c r="U1952">
        <v>2.896118E-2</v>
      </c>
      <c r="V1952">
        <v>-8.7191000000000005E-4</v>
      </c>
      <c r="W1952">
        <v>-5.8208469999999998E-2</v>
      </c>
      <c r="X1952">
        <v>0.99830410000000003</v>
      </c>
      <c r="Y1952">
        <v>5.9655289999999998E-3</v>
      </c>
      <c r="Z1952" s="1">
        <v>9.6397809999999994E-5</v>
      </c>
      <c r="AA1952">
        <v>0.99998220000000004</v>
      </c>
      <c r="AB1952">
        <v>30</v>
      </c>
      <c r="AC1952">
        <v>-3.0081790000000002</v>
      </c>
      <c r="AD1952">
        <v>7.0552829999999999E-3</v>
      </c>
      <c r="AE1952">
        <v>2.896118E-2</v>
      </c>
      <c r="AF1952">
        <v>1.7944335682778801E-2</v>
      </c>
      <c r="AG1952">
        <v>7.0552829999999999E-3</v>
      </c>
      <c r="AH1952">
        <v>3.00824834307106</v>
      </c>
      <c r="AI1952">
        <v>89.8656261184626</v>
      </c>
      <c r="AJ1952">
        <v>89.658232170512804</v>
      </c>
      <c r="AK1952">
        <v>3.0083101352405599</v>
      </c>
      <c r="AL1952">
        <v>93.3369857814413</v>
      </c>
      <c r="AM1952">
        <v>90.050041615989201</v>
      </c>
      <c r="AN1952">
        <v>1.00000003114179</v>
      </c>
    </row>
    <row r="1953" spans="1:40" x14ac:dyDescent="0.25">
      <c r="A1953" t="str">
        <f>"20190303154502277"</f>
        <v>20190303154502277</v>
      </c>
      <c r="B1953" t="str">
        <f>"1551599102272435"</f>
        <v>1551599102272435</v>
      </c>
      <c r="C1953" t="s">
        <v>40</v>
      </c>
      <c r="D1953">
        <v>4.2696399999999999</v>
      </c>
      <c r="E1953">
        <v>0.5032953</v>
      </c>
      <c r="F1953" t="s">
        <v>45</v>
      </c>
      <c r="G1953">
        <v>0</v>
      </c>
      <c r="H1953">
        <v>0</v>
      </c>
      <c r="I1953">
        <v>0</v>
      </c>
      <c r="J1953">
        <v>-408.42840000000001</v>
      </c>
      <c r="K1953">
        <v>1.121095</v>
      </c>
      <c r="L1953">
        <v>284.34160000000003</v>
      </c>
      <c r="M1953">
        <v>-0.9998918</v>
      </c>
      <c r="N1953">
        <v>-1.426417E-2</v>
      </c>
      <c r="O1953">
        <v>3.6120089999999998E-3</v>
      </c>
      <c r="P1953">
        <v>-0.99746729999999995</v>
      </c>
      <c r="Q1953">
        <v>-7.1066199999999996E-2</v>
      </c>
      <c r="R1953">
        <v>2.9318059999999999E-3</v>
      </c>
      <c r="S1953">
        <v>-3.0078429999999998</v>
      </c>
      <c r="T1953" s="1">
        <v>4.9591059999999997E-5</v>
      </c>
      <c r="U1953">
        <v>3.1921390000000001E-2</v>
      </c>
      <c r="V1953">
        <v>-6.6727069999999999E-4</v>
      </c>
      <c r="W1953">
        <v>-5.6830930000000002E-2</v>
      </c>
      <c r="X1953">
        <v>0.99838360000000004</v>
      </c>
      <c r="Y1953">
        <v>7.0002469999999898E-3</v>
      </c>
      <c r="Z1953">
        <v>1.0145590000000001E-4</v>
      </c>
      <c r="AA1953">
        <v>0.99997550000000002</v>
      </c>
      <c r="AB1953">
        <v>30</v>
      </c>
      <c r="AC1953">
        <v>-3.0078429999999998</v>
      </c>
      <c r="AD1953" s="1">
        <v>4.9591059999999997E-5</v>
      </c>
      <c r="AE1953">
        <v>3.1921390000000001E-2</v>
      </c>
      <c r="AF1953">
        <v>2.1055720975007498E-2</v>
      </c>
      <c r="AG1953" s="1">
        <v>4.9591059999999997E-5</v>
      </c>
      <c r="AH1953">
        <v>3.0079386861244699</v>
      </c>
      <c r="AI1953">
        <v>89.999055403342894</v>
      </c>
      <c r="AJ1953">
        <v>89.598933233666401</v>
      </c>
      <c r="AK1953">
        <v>3.0080123811795101</v>
      </c>
      <c r="AL1953">
        <v>93.257927739606103</v>
      </c>
      <c r="AM1953">
        <v>90.038293687125901</v>
      </c>
      <c r="AN1953">
        <v>1.0000000063018999</v>
      </c>
    </row>
    <row r="1954" spans="1:40" x14ac:dyDescent="0.25">
      <c r="A1954" t="str">
        <f>"20190303154502299"</f>
        <v>20190303154502299</v>
      </c>
      <c r="B1954" t="str">
        <f>"1551599102292927"</f>
        <v>1551599102292927</v>
      </c>
      <c r="C1954" t="s">
        <v>40</v>
      </c>
      <c r="D1954">
        <v>4.2794129999999999</v>
      </c>
      <c r="E1954">
        <v>0.50328050000000002</v>
      </c>
      <c r="F1954" t="s">
        <v>45</v>
      </c>
      <c r="G1954">
        <v>0</v>
      </c>
      <c r="H1954">
        <v>0</v>
      </c>
      <c r="I1954">
        <v>0</v>
      </c>
      <c r="J1954">
        <v>-408.72480000000002</v>
      </c>
      <c r="K1954">
        <v>1.121097</v>
      </c>
      <c r="L1954">
        <v>284.3426</v>
      </c>
      <c r="M1954">
        <v>-0.99989209999999995</v>
      </c>
      <c r="N1954">
        <v>-1.4260979999999999E-2</v>
      </c>
      <c r="O1954">
        <v>3.5724939999999998E-3</v>
      </c>
      <c r="P1954">
        <v>-0.99758820000000004</v>
      </c>
      <c r="Q1954">
        <v>-6.9364910000000002E-2</v>
      </c>
      <c r="R1954">
        <v>2.6202320000000001E-3</v>
      </c>
      <c r="S1954">
        <v>-3.0075989999999999</v>
      </c>
      <c r="T1954">
        <v>1.0659689999999999E-3</v>
      </c>
      <c r="U1954">
        <v>3.1738280000000001E-2</v>
      </c>
      <c r="V1954">
        <v>-9.406226E-4</v>
      </c>
      <c r="W1954">
        <v>-5.5131279999999998E-2</v>
      </c>
      <c r="X1954">
        <v>0.99847870000000005</v>
      </c>
      <c r="Y1954">
        <v>6.9797829999999998E-3</v>
      </c>
      <c r="Z1954">
        <v>1.0075110000000001E-4</v>
      </c>
      <c r="AA1954">
        <v>0.99997559999999996</v>
      </c>
      <c r="AB1954">
        <v>30</v>
      </c>
      <c r="AC1954">
        <v>-3.0075989999999999</v>
      </c>
      <c r="AD1954">
        <v>1.0659689999999999E-3</v>
      </c>
      <c r="AE1954">
        <v>3.1738280000000001E-2</v>
      </c>
      <c r="AF1954">
        <v>2.0992354522564101E-2</v>
      </c>
      <c r="AG1954">
        <v>1.0659689999999999E-3</v>
      </c>
      <c r="AH1954">
        <v>3.0076928220299601</v>
      </c>
      <c r="AI1954">
        <v>89.979694058442405</v>
      </c>
      <c r="AJ1954">
        <v>89.600107505246697</v>
      </c>
      <c r="AK1954">
        <v>3.0077662686666402</v>
      </c>
      <c r="AL1954">
        <v>93.160391933450896</v>
      </c>
      <c r="AM1954">
        <v>90.053975802539995</v>
      </c>
      <c r="AN1954">
        <v>1.0000000285795001</v>
      </c>
    </row>
    <row r="1955" spans="1:40" x14ac:dyDescent="0.25">
      <c r="A1955" t="str">
        <f>"20190303154502323"</f>
        <v>20190303154502323</v>
      </c>
      <c r="B1955" t="str">
        <f>"1551599102312447"</f>
        <v>1551599102312447</v>
      </c>
      <c r="C1955" t="s">
        <v>40</v>
      </c>
      <c r="D1955">
        <v>4.3338720000000004</v>
      </c>
      <c r="E1955">
        <v>0.50324120000000006</v>
      </c>
      <c r="F1955" t="s">
        <v>45</v>
      </c>
      <c r="G1955">
        <v>0</v>
      </c>
      <c r="H1955">
        <v>0</v>
      </c>
      <c r="I1955">
        <v>0</v>
      </c>
      <c r="J1955">
        <v>-409.02940000000001</v>
      </c>
      <c r="K1955">
        <v>1.121089</v>
      </c>
      <c r="L1955">
        <v>284.34370000000001</v>
      </c>
      <c r="M1955">
        <v>-0.99989220000000001</v>
      </c>
      <c r="N1955">
        <v>-1.425765E-2</v>
      </c>
      <c r="O1955">
        <v>3.5423780000000001E-3</v>
      </c>
      <c r="P1955">
        <v>-0.99758080000000005</v>
      </c>
      <c r="Q1955">
        <v>-6.9476570000000001E-2</v>
      </c>
      <c r="R1955">
        <v>2.4622189999999999E-3</v>
      </c>
      <c r="S1955">
        <v>-3.0073850000000002</v>
      </c>
      <c r="T1955">
        <v>2.8524399999999999E-3</v>
      </c>
      <c r="U1955">
        <v>3.0609129999999998E-2</v>
      </c>
      <c r="V1955">
        <v>-1.0701179999999999E-3</v>
      </c>
      <c r="W1955">
        <v>-5.524635E-2</v>
      </c>
      <c r="X1955">
        <v>0.99847220000000003</v>
      </c>
      <c r="Y1955">
        <v>6.6352950000000003E-3</v>
      </c>
      <c r="Z1955" s="1">
        <v>9.8025749999999996E-5</v>
      </c>
      <c r="AA1955">
        <v>0.99997800000000003</v>
      </c>
      <c r="AB1955">
        <v>30</v>
      </c>
      <c r="AC1955">
        <v>-3.0073850000000002</v>
      </c>
      <c r="AD1955">
        <v>2.8524399999999999E-3</v>
      </c>
      <c r="AE1955">
        <v>3.0609129999999998E-2</v>
      </c>
      <c r="AF1955">
        <v>1.9954543814102801E-2</v>
      </c>
      <c r="AG1955">
        <v>2.8524399999999999E-3</v>
      </c>
      <c r="AH1955">
        <v>3.0074718619530798</v>
      </c>
      <c r="AI1955">
        <v>89.945658967224006</v>
      </c>
      <c r="AJ1955">
        <v>89.619848690788103</v>
      </c>
      <c r="AK1955">
        <v>3.0075394129873598</v>
      </c>
      <c r="AL1955">
        <v>93.166995051699104</v>
      </c>
      <c r="AM1955">
        <v>90.0614070391794</v>
      </c>
      <c r="AN1955">
        <v>1.0000000192568399</v>
      </c>
    </row>
    <row r="1956" spans="1:40" x14ac:dyDescent="0.25">
      <c r="A1956" t="str">
        <f>"20190303154502344"</f>
        <v>20190303154502344</v>
      </c>
      <c r="B1956" t="str">
        <f>"1551599102332943"</f>
        <v>1551599102332943</v>
      </c>
      <c r="C1956" t="s">
        <v>40</v>
      </c>
      <c r="D1956">
        <v>4.3791609999999999</v>
      </c>
      <c r="E1956">
        <v>0.50321970000000005</v>
      </c>
      <c r="F1956" t="s">
        <v>45</v>
      </c>
      <c r="G1956">
        <v>0</v>
      </c>
      <c r="H1956">
        <v>0</v>
      </c>
      <c r="I1956">
        <v>0</v>
      </c>
      <c r="J1956">
        <v>-409.3313</v>
      </c>
      <c r="K1956">
        <v>1.1210690000000001</v>
      </c>
      <c r="L1956">
        <v>284.34469999999999</v>
      </c>
      <c r="M1956">
        <v>-0.99989229999999996</v>
      </c>
      <c r="N1956">
        <v>-1.4254340000000001E-2</v>
      </c>
      <c r="O1956">
        <v>3.5214759999999999E-3</v>
      </c>
      <c r="P1956">
        <v>-0.99748579999999998</v>
      </c>
      <c r="Q1956">
        <v>-7.0833080000000007E-2</v>
      </c>
      <c r="R1956">
        <v>2.2865099999999998E-3</v>
      </c>
      <c r="S1956">
        <v>-3.0071409999999998</v>
      </c>
      <c r="T1956">
        <v>-8.2838539999999998E-4</v>
      </c>
      <c r="U1956">
        <v>2.9876710000000001E-2</v>
      </c>
      <c r="V1956">
        <v>-1.225236E-3</v>
      </c>
      <c r="W1956">
        <v>-5.6607369999999997E-2</v>
      </c>
      <c r="X1956">
        <v>0.9983957</v>
      </c>
      <c r="Y1956">
        <v>6.413373E-3</v>
      </c>
      <c r="Z1956" s="1">
        <v>9.5823979999999995E-5</v>
      </c>
      <c r="AA1956">
        <v>0.99997939999999996</v>
      </c>
      <c r="AB1956">
        <v>30</v>
      </c>
      <c r="AC1956">
        <v>-3.0071409999999998</v>
      </c>
      <c r="AD1956">
        <v>-8.2838539999999998E-4</v>
      </c>
      <c r="AE1956">
        <v>2.9876710000000001E-2</v>
      </c>
      <c r="AF1956">
        <v>1.92858734509939E-2</v>
      </c>
      <c r="AG1956">
        <v>-8.2838539999999998E-4</v>
      </c>
      <c r="AH1956">
        <v>3.00722734330513</v>
      </c>
      <c r="AI1956">
        <v>90.015782647799298</v>
      </c>
      <c r="AJ1956">
        <v>89.632557210315099</v>
      </c>
      <c r="AK1956">
        <v>3.0072892985975201</v>
      </c>
      <c r="AL1956">
        <v>93.245098274334794</v>
      </c>
      <c r="AM1956">
        <v>90.070313620607493</v>
      </c>
      <c r="AN1956">
        <v>0.99999993466002901</v>
      </c>
    </row>
    <row r="1957" spans="1:40" x14ac:dyDescent="0.25">
      <c r="A1957" t="str">
        <f>"20190303154502367"</f>
        <v>20190303154502367</v>
      </c>
      <c r="B1957" t="str">
        <f>"1551599102362224"</f>
        <v>1551599102362224</v>
      </c>
      <c r="C1957" t="s">
        <v>40</v>
      </c>
      <c r="D1957">
        <v>4.3895520000000001</v>
      </c>
      <c r="E1957">
        <v>0.50319170000000002</v>
      </c>
      <c r="F1957" t="s">
        <v>44</v>
      </c>
      <c r="G1957">
        <v>-842.12009999999998</v>
      </c>
      <c r="H1957">
        <v>-0.1</v>
      </c>
      <c r="I1957">
        <v>288.55709999999999</v>
      </c>
      <c r="J1957">
        <v>-409.62439999999998</v>
      </c>
      <c r="K1957">
        <v>1.121059</v>
      </c>
      <c r="L1957">
        <v>284.34570000000002</v>
      </c>
      <c r="M1957">
        <v>-0.99989240000000001</v>
      </c>
      <c r="N1957">
        <v>-1.425123E-2</v>
      </c>
      <c r="O1957">
        <v>3.505916E-3</v>
      </c>
      <c r="P1957">
        <v>-0.99740390000000001</v>
      </c>
      <c r="Q1957">
        <v>-7.1952710000000003E-2</v>
      </c>
      <c r="R1957">
        <v>2.8969899999999999E-3</v>
      </c>
      <c r="S1957">
        <v>-3.0068969999999999</v>
      </c>
      <c r="T1957">
        <v>-8.4836479999999999E-3</v>
      </c>
      <c r="U1957">
        <v>2.9266360000000002E-2</v>
      </c>
      <c r="V1957">
        <v>-5.9963819999999995E-4</v>
      </c>
      <c r="W1957">
        <v>-5.7731119999999997E-2</v>
      </c>
      <c r="X1957">
        <v>0.998332</v>
      </c>
      <c r="Y1957">
        <v>6.2265300000000001E-3</v>
      </c>
      <c r="Z1957" s="1">
        <v>9.3229599999999999E-5</v>
      </c>
      <c r="AA1957">
        <v>0.9999806</v>
      </c>
      <c r="AB1957">
        <v>30</v>
      </c>
      <c r="AC1957">
        <v>-432.4957</v>
      </c>
      <c r="AD1957">
        <v>-1.2210589999999999</v>
      </c>
      <c r="AE1957">
        <v>4.2113999999999603</v>
      </c>
      <c r="AF1957">
        <v>2.6949051900033898</v>
      </c>
      <c r="AG1957">
        <v>-1.2210589999999999</v>
      </c>
      <c r="AH1957">
        <v>432.50436062536198</v>
      </c>
      <c r="AI1957">
        <v>90.161755555935898</v>
      </c>
      <c r="AJ1957">
        <v>89.642998523428503</v>
      </c>
      <c r="AK1957">
        <v>432.51448005704702</v>
      </c>
      <c r="AL1957">
        <v>93.309589633911301</v>
      </c>
      <c r="AM1957">
        <v>90.034414136743294</v>
      </c>
      <c r="AN1957">
        <v>1.00000001200321</v>
      </c>
    </row>
    <row r="1958" spans="1:40" x14ac:dyDescent="0.25">
      <c r="A1958" t="str">
        <f>"20190303154502390"</f>
        <v>20190303154502390</v>
      </c>
      <c r="B1958" t="str">
        <f>"1551599102382721"</f>
        <v>1551599102382721</v>
      </c>
      <c r="C1958" t="s">
        <v>40</v>
      </c>
      <c r="D1958">
        <v>4.421767</v>
      </c>
      <c r="E1958">
        <v>0.5031717</v>
      </c>
      <c r="F1958" t="s">
        <v>44</v>
      </c>
      <c r="G1958">
        <v>-626.57389999999998</v>
      </c>
      <c r="H1958">
        <v>-0.1</v>
      </c>
      <c r="I1958">
        <v>286.58749999999998</v>
      </c>
      <c r="J1958">
        <v>-409.92790000000002</v>
      </c>
      <c r="K1958">
        <v>1.121059</v>
      </c>
      <c r="L1958">
        <v>284.3467</v>
      </c>
      <c r="M1958">
        <v>-0.99989240000000001</v>
      </c>
      <c r="N1958">
        <v>-1.4248E-2</v>
      </c>
      <c r="O1958">
        <v>3.4930719999999998E-3</v>
      </c>
      <c r="P1958">
        <v>-0.99743440000000005</v>
      </c>
      <c r="Q1958">
        <v>-7.1526790000000007E-2</v>
      </c>
      <c r="R1958">
        <v>2.9673899999999999E-3</v>
      </c>
      <c r="S1958">
        <v>-3.0065</v>
      </c>
      <c r="T1958">
        <v>-1.6921519999999999E-2</v>
      </c>
      <c r="U1958">
        <v>3.106689E-2</v>
      </c>
      <c r="V1958">
        <v>-5.1729559999999996E-4</v>
      </c>
      <c r="W1958">
        <v>-5.7308039999999998E-2</v>
      </c>
      <c r="X1958">
        <v>0.99835640000000003</v>
      </c>
      <c r="Y1958">
        <v>6.8391340000000002E-3</v>
      </c>
      <c r="Z1958" s="1">
        <v>9.8084920000000001E-5</v>
      </c>
      <c r="AA1958">
        <v>0.99997659999999999</v>
      </c>
      <c r="AB1958">
        <v>30</v>
      </c>
      <c r="AC1958">
        <v>-216.64599999999999</v>
      </c>
      <c r="AD1958">
        <v>-1.2210589999999999</v>
      </c>
      <c r="AE1958">
        <v>2.2407999999999801</v>
      </c>
      <c r="AF1958">
        <v>1.48390229855708</v>
      </c>
      <c r="AG1958">
        <v>-1.2210589999999999</v>
      </c>
      <c r="AH1958">
        <v>216.64562471121999</v>
      </c>
      <c r="AI1958">
        <v>90.322919724397195</v>
      </c>
      <c r="AJ1958">
        <v>89.6075618444697</v>
      </c>
      <c r="AK1958">
        <v>216.65414756618</v>
      </c>
      <c r="AL1958">
        <v>93.285308807247503</v>
      </c>
      <c r="AM1958">
        <v>90.029687646604202</v>
      </c>
      <c r="AN1958">
        <v>0.99999999023216901</v>
      </c>
    </row>
    <row r="1959" spans="1:40" x14ac:dyDescent="0.25">
      <c r="A1959" t="str">
        <f>"20190303154502412"</f>
        <v>20190303154502412</v>
      </c>
      <c r="B1959" t="str">
        <f>"1551599102402239"</f>
        <v>1551599102402239</v>
      </c>
      <c r="C1959" t="s">
        <v>40</v>
      </c>
      <c r="D1959">
        <v>4.4381870000000001</v>
      </c>
      <c r="E1959">
        <v>0.50310319999999997</v>
      </c>
      <c r="F1959" t="s">
        <v>44</v>
      </c>
      <c r="G1959">
        <v>-603.75130000000001</v>
      </c>
      <c r="H1959">
        <v>-0.1</v>
      </c>
      <c r="I1959">
        <v>286.35559999999998</v>
      </c>
      <c r="J1959">
        <v>-410.23320000000001</v>
      </c>
      <c r="K1959">
        <v>1.1210639999999901</v>
      </c>
      <c r="L1959">
        <v>284.34780000000001</v>
      </c>
      <c r="M1959">
        <v>-0.99989260000000002</v>
      </c>
      <c r="N1959">
        <v>-1.4244730000000001E-2</v>
      </c>
      <c r="O1959">
        <v>3.4823440000000001E-3</v>
      </c>
      <c r="P1959">
        <v>-0.9974537</v>
      </c>
      <c r="Q1959">
        <v>-7.1257699999999993E-2</v>
      </c>
      <c r="R1959">
        <v>2.9731810000000001E-3</v>
      </c>
      <c r="S1959">
        <v>-3.0062259999999998</v>
      </c>
      <c r="T1959">
        <v>-1.8938779999999999E-2</v>
      </c>
      <c r="U1959">
        <v>3.1158450000000001E-2</v>
      </c>
      <c r="V1959">
        <v>-5.0111739999999995E-4</v>
      </c>
      <c r="W1959">
        <v>-5.7041939999999999E-2</v>
      </c>
      <c r="X1959">
        <v>0.99837169999999997</v>
      </c>
      <c r="Y1959">
        <v>6.8811760000000001E-3</v>
      </c>
      <c r="Z1959" s="1">
        <v>9.8359830000000002E-5</v>
      </c>
      <c r="AA1959">
        <v>0.99997630000000004</v>
      </c>
      <c r="AB1959">
        <v>30</v>
      </c>
      <c r="AC1959">
        <v>-193.5181</v>
      </c>
      <c r="AD1959">
        <v>-1.2210639999999999</v>
      </c>
      <c r="AE1959">
        <v>2.0077999999999698</v>
      </c>
      <c r="AF1959">
        <v>1.333769835409</v>
      </c>
      <c r="AG1959">
        <v>-1.2210639999999999</v>
      </c>
      <c r="AH1959">
        <v>193.516215160255</v>
      </c>
      <c r="AI1959">
        <v>90.361516080623204</v>
      </c>
      <c r="AJ1959">
        <v>89.605107136292105</v>
      </c>
      <c r="AK1959">
        <v>193.524663723299</v>
      </c>
      <c r="AL1959">
        <v>93.270037247007807</v>
      </c>
      <c r="AM1959">
        <v>90.028758737501605</v>
      </c>
      <c r="AN1959">
        <v>1.0000000426992499</v>
      </c>
    </row>
    <row r="1960" spans="1:40" x14ac:dyDescent="0.25">
      <c r="A1960" t="str">
        <f>"20190303154502434"</f>
        <v>20190303154502434</v>
      </c>
      <c r="B1960" t="str">
        <f>"1551599102422736"</f>
        <v>1551599102422736</v>
      </c>
      <c r="C1960" t="s">
        <v>40</v>
      </c>
      <c r="D1960">
        <v>4.4770820000000002</v>
      </c>
      <c r="E1960">
        <v>0.5030462</v>
      </c>
      <c r="F1960" t="s">
        <v>44</v>
      </c>
      <c r="G1960">
        <v>-584.06050000000005</v>
      </c>
      <c r="H1960">
        <v>-0.1</v>
      </c>
      <c r="I1960">
        <v>286.11950000000002</v>
      </c>
      <c r="J1960">
        <v>-410.52480000000003</v>
      </c>
      <c r="K1960">
        <v>1.121059</v>
      </c>
      <c r="L1960">
        <v>284.34879999999998</v>
      </c>
      <c r="M1960">
        <v>-0.99989249999999996</v>
      </c>
      <c r="N1960">
        <v>-1.424157E-2</v>
      </c>
      <c r="O1960">
        <v>3.4731480000000001E-3</v>
      </c>
      <c r="P1960">
        <v>-0.99747200000000003</v>
      </c>
      <c r="Q1960">
        <v>-7.1011249999999998E-2</v>
      </c>
      <c r="R1960">
        <v>2.6520290000000002E-3</v>
      </c>
      <c r="S1960">
        <v>-3.0061040000000001</v>
      </c>
      <c r="T1960">
        <v>-2.1116610000000001E-2</v>
      </c>
      <c r="U1960">
        <v>3.0639650000000001E-2</v>
      </c>
      <c r="V1960">
        <v>-8.1342459999999997E-4</v>
      </c>
      <c r="W1960">
        <v>-5.6798420000000002E-2</v>
      </c>
      <c r="X1960">
        <v>0.99838530000000003</v>
      </c>
      <c r="Y1960">
        <v>6.7181580000000001E-3</v>
      </c>
      <c r="Z1960" s="1">
        <v>9.6508150000000002E-5</v>
      </c>
      <c r="AA1960">
        <v>0.99997740000000002</v>
      </c>
      <c r="AB1960">
        <v>30</v>
      </c>
      <c r="AC1960">
        <v>-173.53569999999999</v>
      </c>
      <c r="AD1960">
        <v>-1.2210589999999999</v>
      </c>
      <c r="AE1960">
        <v>1.7707000000000299</v>
      </c>
      <c r="AF1960">
        <v>1.1678551713004199</v>
      </c>
      <c r="AG1960">
        <v>-1.2210589999999999</v>
      </c>
      <c r="AH1960">
        <v>173.53221291315199</v>
      </c>
      <c r="AI1960">
        <v>90.403145832358405</v>
      </c>
      <c r="AJ1960">
        <v>89.614410713144096</v>
      </c>
      <c r="AK1960">
        <v>173.540438484286</v>
      </c>
      <c r="AL1960">
        <v>93.256062175794895</v>
      </c>
      <c r="AM1960">
        <v>90.046681162292501</v>
      </c>
      <c r="AN1960">
        <v>0.99999996471508201</v>
      </c>
    </row>
    <row r="1961" spans="1:40" x14ac:dyDescent="0.25">
      <c r="A1961" t="str">
        <f>"20190303154502456"</f>
        <v>20190303154502456</v>
      </c>
      <c r="B1961" t="str">
        <f>"1551599102452992"</f>
        <v>1551599102452992</v>
      </c>
      <c r="C1961" t="s">
        <v>40</v>
      </c>
      <c r="D1961">
        <v>4.5295300000000003</v>
      </c>
      <c r="E1961">
        <v>0.50292099999999995</v>
      </c>
      <c r="F1961" t="s">
        <v>44</v>
      </c>
      <c r="G1961">
        <v>-567.75900000000001</v>
      </c>
      <c r="H1961">
        <v>-0.1</v>
      </c>
      <c r="I1961">
        <v>285.90050000000002</v>
      </c>
      <c r="J1961">
        <v>-410.8159</v>
      </c>
      <c r="K1961">
        <v>1.1210519999999999</v>
      </c>
      <c r="L1961">
        <v>284.34980000000002</v>
      </c>
      <c r="M1961">
        <v>-0.99989280000000003</v>
      </c>
      <c r="N1961">
        <v>-1.423843E-2</v>
      </c>
      <c r="O1961">
        <v>3.4642470000000002E-3</v>
      </c>
      <c r="P1961">
        <v>-0.99738660000000001</v>
      </c>
      <c r="Q1961">
        <v>-7.2191889999999995E-2</v>
      </c>
      <c r="R1961">
        <v>2.928679E-3</v>
      </c>
      <c r="S1961">
        <v>-3.0058590000000001</v>
      </c>
      <c r="T1961">
        <v>-2.334309E-2</v>
      </c>
      <c r="U1961">
        <v>2.966309E-2</v>
      </c>
      <c r="V1961">
        <v>-5.2774810000000001E-4</v>
      </c>
      <c r="W1961">
        <v>-5.798329E-2</v>
      </c>
      <c r="X1961">
        <v>0.99831740000000002</v>
      </c>
      <c r="Y1961">
        <v>6.4029789999999996E-3</v>
      </c>
      <c r="Z1961" s="1">
        <v>9.287683E-5</v>
      </c>
      <c r="AA1961">
        <v>0.99997950000000002</v>
      </c>
      <c r="AB1961">
        <v>30</v>
      </c>
      <c r="AC1961">
        <v>-156.94309999999999</v>
      </c>
      <c r="AD1961">
        <v>-1.221052</v>
      </c>
      <c r="AE1961">
        <v>1.5507</v>
      </c>
      <c r="AF1961">
        <v>1.0068850607587601</v>
      </c>
      <c r="AG1961">
        <v>-1.221052</v>
      </c>
      <c r="AH1961">
        <v>156.938031800153</v>
      </c>
      <c r="AI1961">
        <v>90.445770052913005</v>
      </c>
      <c r="AJ1961">
        <v>89.632406038022907</v>
      </c>
      <c r="AK1961">
        <v>156.946011770984</v>
      </c>
      <c r="AL1961">
        <v>93.324062241096598</v>
      </c>
      <c r="AM1961">
        <v>90.030288699725403</v>
      </c>
      <c r="AN1961">
        <v>0.99999998579002003</v>
      </c>
    </row>
    <row r="1962" spans="1:40" x14ac:dyDescent="0.25">
      <c r="A1962" t="str">
        <f>"20190303154502479"</f>
        <v>20190303154502479</v>
      </c>
      <c r="B1962" t="str">
        <f>"1551599102472512"</f>
        <v>1551599102472512</v>
      </c>
      <c r="C1962" t="s">
        <v>40</v>
      </c>
      <c r="D1962">
        <v>4.565461</v>
      </c>
      <c r="E1962">
        <v>0.50284830000000003</v>
      </c>
      <c r="F1962" t="s">
        <v>43</v>
      </c>
      <c r="G1962">
        <v>-522.12900000000002</v>
      </c>
      <c r="H1962">
        <v>-0.05</v>
      </c>
      <c r="I1962">
        <v>285.44510000000002</v>
      </c>
      <c r="J1962">
        <v>-411.11630000000002</v>
      </c>
      <c r="K1962">
        <v>1.121051</v>
      </c>
      <c r="L1962">
        <v>284.35090000000002</v>
      </c>
      <c r="M1962">
        <v>-0.99989280000000003</v>
      </c>
      <c r="N1962">
        <v>-1.423519E-2</v>
      </c>
      <c r="O1962">
        <v>3.4555269999999999E-3</v>
      </c>
      <c r="P1962">
        <v>-0.99732489999999996</v>
      </c>
      <c r="Q1962">
        <v>-7.3018120000000006E-2</v>
      </c>
      <c r="R1962">
        <v>3.4498530000000001E-3</v>
      </c>
      <c r="S1962">
        <v>-3.0054630000000002</v>
      </c>
      <c r="T1962">
        <v>-3.1618479999999997E-2</v>
      </c>
      <c r="U1962">
        <v>2.9571529999999999E-2</v>
      </c>
      <c r="V1962" s="1">
        <v>2.3326720000000002E-6</v>
      </c>
      <c r="W1962">
        <v>-5.8813520000000001E-2</v>
      </c>
      <c r="X1962">
        <v>0.99826899999999996</v>
      </c>
      <c r="Y1962">
        <v>6.3822100000000001E-3</v>
      </c>
      <c r="Z1962" s="1">
        <v>9.1843049999999998E-5</v>
      </c>
      <c r="AA1962">
        <v>0.99997959999999997</v>
      </c>
      <c r="AB1962">
        <v>30</v>
      </c>
      <c r="AC1962">
        <v>-111.0127</v>
      </c>
      <c r="AD1962">
        <v>-1.1710510000000001</v>
      </c>
      <c r="AE1962">
        <v>1.0942000000000001</v>
      </c>
      <c r="AF1962">
        <v>0.71046819633635805</v>
      </c>
      <c r="AG1962">
        <v>-1.1710510000000001</v>
      </c>
      <c r="AH1962">
        <v>111.003467543469</v>
      </c>
      <c r="AI1962">
        <v>90.604417305641803</v>
      </c>
      <c r="AJ1962">
        <v>89.633288272997603</v>
      </c>
      <c r="AK1962">
        <v>111.011917973596</v>
      </c>
      <c r="AL1962">
        <v>93.371712147033307</v>
      </c>
      <c r="AM1962">
        <v>89.999866115986194</v>
      </c>
      <c r="AN1962">
        <v>1.0000000132506099</v>
      </c>
    </row>
    <row r="1963" spans="1:40" x14ac:dyDescent="0.25">
      <c r="A1963" t="str">
        <f>"20190303154502502"</f>
        <v>20190303154502502</v>
      </c>
      <c r="B1963" t="str">
        <f>"1551599102493007"</f>
        <v>1551599102493007</v>
      </c>
      <c r="C1963" t="s">
        <v>40</v>
      </c>
      <c r="D1963">
        <v>4.5760430000000003</v>
      </c>
      <c r="E1963">
        <v>0.50279580000000001</v>
      </c>
      <c r="F1963" t="s">
        <v>54</v>
      </c>
      <c r="G1963">
        <v>-499.95780000000002</v>
      </c>
      <c r="H1963">
        <v>2.2645390000000001E-2</v>
      </c>
      <c r="I1963">
        <v>285.26029999999997</v>
      </c>
      <c r="J1963">
        <v>-411.41879999999998</v>
      </c>
      <c r="K1963">
        <v>1.1210450000000001</v>
      </c>
      <c r="L1963">
        <v>284.3519</v>
      </c>
      <c r="M1963">
        <v>-0.99989289999999997</v>
      </c>
      <c r="N1963">
        <v>-1.4231870000000001E-2</v>
      </c>
      <c r="O1963">
        <v>3.4487279999999999E-3</v>
      </c>
      <c r="P1963">
        <v>-0.99731689999999995</v>
      </c>
      <c r="Q1963">
        <v>-7.3090909999999995E-2</v>
      </c>
      <c r="R1963">
        <v>4.1228580000000001E-3</v>
      </c>
      <c r="S1963">
        <v>-3.0052189999999999</v>
      </c>
      <c r="T1963">
        <v>-3.7155510000000003E-2</v>
      </c>
      <c r="U1963">
        <v>3.0761719999999999E-2</v>
      </c>
      <c r="V1963">
        <v>6.8179320000000005E-4</v>
      </c>
      <c r="W1963">
        <v>-5.8889709999999998E-2</v>
      </c>
      <c r="X1963">
        <v>0.99826429999999999</v>
      </c>
      <c r="Y1963">
        <v>6.7854980000000001E-3</v>
      </c>
      <c r="Z1963" s="1">
        <v>9.6684660000000003E-5</v>
      </c>
      <c r="AA1963">
        <v>0.999977</v>
      </c>
      <c r="AB1963">
        <v>30</v>
      </c>
      <c r="AC1963">
        <v>-88.539000000000001</v>
      </c>
      <c r="AD1963">
        <v>-1.09839961</v>
      </c>
      <c r="AE1963">
        <v>0.90839999999997201</v>
      </c>
      <c r="AF1963">
        <v>0.60292399564243104</v>
      </c>
      <c r="AG1963">
        <v>-1.09839961</v>
      </c>
      <c r="AH1963">
        <v>88.527983077020494</v>
      </c>
      <c r="AI1963">
        <v>90.710837085840097</v>
      </c>
      <c r="AJ1963">
        <v>89.609790429816002</v>
      </c>
      <c r="AK1963">
        <v>88.536849880335097</v>
      </c>
      <c r="AL1963">
        <v>93.376085009153698</v>
      </c>
      <c r="AM1963">
        <v>89.960868212169004</v>
      </c>
      <c r="AN1963">
        <v>1.0000000377201701</v>
      </c>
    </row>
    <row r="1964" spans="1:40" x14ac:dyDescent="0.25">
      <c r="A1964" t="str">
        <f>"20190303154502524"</f>
        <v>20190303154502524</v>
      </c>
      <c r="B1964" t="str">
        <f>"1551599102512529"</f>
        <v>1551599102512529</v>
      </c>
      <c r="C1964" t="s">
        <v>40</v>
      </c>
      <c r="D1964">
        <v>4.5635240000000001</v>
      </c>
      <c r="E1964">
        <v>0.50273310000000004</v>
      </c>
      <c r="F1964" t="s">
        <v>54</v>
      </c>
      <c r="G1964">
        <v>-495.22809999999998</v>
      </c>
      <c r="H1964" s="1">
        <v>3.0931239999999999E-6</v>
      </c>
      <c r="I1964">
        <v>285.25580000000002</v>
      </c>
      <c r="J1964">
        <v>-411.70850000000002</v>
      </c>
      <c r="K1964">
        <v>1.121049</v>
      </c>
      <c r="L1964">
        <v>284.35289999999998</v>
      </c>
      <c r="M1964">
        <v>-0.99989300000000003</v>
      </c>
      <c r="N1964">
        <v>-1.422873E-2</v>
      </c>
      <c r="O1964">
        <v>3.4439000000000002E-3</v>
      </c>
      <c r="P1964">
        <v>-0.99730839999999998</v>
      </c>
      <c r="Q1964">
        <v>-7.3194049999999997E-2</v>
      </c>
      <c r="R1964">
        <v>4.3704909999999998E-3</v>
      </c>
      <c r="S1964">
        <v>-3.0050050000000001</v>
      </c>
      <c r="T1964">
        <v>-4.0195229999999998E-2</v>
      </c>
      <c r="U1964">
        <v>3.2409670000000002E-2</v>
      </c>
      <c r="V1964">
        <v>9.3395529999999998E-4</v>
      </c>
      <c r="W1964">
        <v>-5.8996100000000003E-2</v>
      </c>
      <c r="X1964">
        <v>0.99825779999999997</v>
      </c>
      <c r="Y1964">
        <v>7.3391389999999997E-3</v>
      </c>
      <c r="Z1964">
        <v>1.0424469999999999E-4</v>
      </c>
      <c r="AA1964">
        <v>0.99997309999999995</v>
      </c>
      <c r="AB1964">
        <v>30</v>
      </c>
      <c r="AC1964">
        <v>-83.519599999999897</v>
      </c>
      <c r="AD1964">
        <v>-1.1210459068759999</v>
      </c>
      <c r="AE1964">
        <v>0.902900000000045</v>
      </c>
      <c r="AF1964">
        <v>0.61512160996209597</v>
      </c>
      <c r="AG1964">
        <v>-1.1210459068759999</v>
      </c>
      <c r="AH1964">
        <v>83.507171124071405</v>
      </c>
      <c r="AI1964">
        <v>90.769102795867298</v>
      </c>
      <c r="AJ1964">
        <v>89.5779615780515</v>
      </c>
      <c r="AK1964">
        <v>83.516960838295006</v>
      </c>
      <c r="AL1964">
        <v>93.382191371179303</v>
      </c>
      <c r="AM1964">
        <v>89.946394927912806</v>
      </c>
      <c r="AN1964">
        <v>1.0000000236742701</v>
      </c>
    </row>
    <row r="1965" spans="1:40" x14ac:dyDescent="0.25">
      <c r="A1965" t="str">
        <f>"20190303154502545"</f>
        <v>20190303154502545</v>
      </c>
      <c r="B1965" t="str">
        <f>"1551599102542783"</f>
        <v>1551599102542783</v>
      </c>
      <c r="C1965" t="s">
        <v>40</v>
      </c>
      <c r="D1965">
        <v>4.5591480000000004</v>
      </c>
      <c r="E1965">
        <v>0.50262640000000003</v>
      </c>
      <c r="F1965" t="s">
        <v>54</v>
      </c>
      <c r="G1965">
        <v>-489.7122</v>
      </c>
      <c r="H1965" s="1">
        <v>3.9794070000000004E-6</v>
      </c>
      <c r="I1965">
        <v>285.19819999999999</v>
      </c>
      <c r="J1965">
        <v>-411.99489999999997</v>
      </c>
      <c r="K1965">
        <v>1.121049</v>
      </c>
      <c r="L1965">
        <v>284.35390000000001</v>
      </c>
      <c r="M1965">
        <v>-0.99989300000000003</v>
      </c>
      <c r="N1965">
        <v>-1.4225659999999999E-2</v>
      </c>
      <c r="O1965">
        <v>3.4410930000000001E-3</v>
      </c>
      <c r="P1965">
        <v>-0.99733000000000005</v>
      </c>
      <c r="Q1965">
        <v>-7.2895450000000001E-2</v>
      </c>
      <c r="R1965">
        <v>4.3909029999999998E-3</v>
      </c>
      <c r="S1965">
        <v>-3.004791</v>
      </c>
      <c r="T1965">
        <v>-4.3183920000000001E-2</v>
      </c>
      <c r="U1965">
        <v>3.2562260000000003E-2</v>
      </c>
      <c r="V1965">
        <v>9.5681390000000002E-4</v>
      </c>
      <c r="W1965">
        <v>-5.8700309999999999E-2</v>
      </c>
      <c r="X1965">
        <v>0.99827520000000003</v>
      </c>
      <c r="Y1965">
        <v>7.3933219999999999E-3</v>
      </c>
      <c r="Z1965">
        <v>1.052231E-4</v>
      </c>
      <c r="AA1965">
        <v>0.99997259999999999</v>
      </c>
      <c r="AB1965">
        <v>30</v>
      </c>
      <c r="AC1965">
        <v>-77.717299999999994</v>
      </c>
      <c r="AD1965">
        <v>-1.121045020593</v>
      </c>
      <c r="AE1965">
        <v>0.84429999999997496</v>
      </c>
      <c r="AF1965">
        <v>0.57671552536628101</v>
      </c>
      <c r="AG1965">
        <v>-1.121045020593</v>
      </c>
      <c r="AH1965">
        <v>77.703579462399404</v>
      </c>
      <c r="AI1965">
        <v>90.826537518648294</v>
      </c>
      <c r="AJ1965">
        <v>89.574758858091897</v>
      </c>
      <c r="AK1965">
        <v>77.713805749073998</v>
      </c>
      <c r="AL1965">
        <v>93.365214482309199</v>
      </c>
      <c r="AM1965">
        <v>89.945083899247294</v>
      </c>
      <c r="AN1965">
        <v>1.0000000084109799</v>
      </c>
    </row>
    <row r="1966" spans="1:40" x14ac:dyDescent="0.25">
      <c r="A1966" t="str">
        <f>"20190303154502568"</f>
        <v>20190303154502568</v>
      </c>
      <c r="B1966" t="str">
        <f>"1551599102562303"</f>
        <v>1551599102562303</v>
      </c>
      <c r="C1966" t="s">
        <v>40</v>
      </c>
      <c r="D1966">
        <v>4.5534140000000001</v>
      </c>
      <c r="E1966">
        <v>0.50251040000000002</v>
      </c>
      <c r="F1966" t="s">
        <v>54</v>
      </c>
      <c r="G1966">
        <v>-485.35750000000002</v>
      </c>
      <c r="H1966" s="1">
        <v>3.2010919999999999E-6</v>
      </c>
      <c r="I1966">
        <v>285.1311</v>
      </c>
      <c r="J1966">
        <v>-412.2919</v>
      </c>
      <c r="K1966">
        <v>1.121051</v>
      </c>
      <c r="L1966">
        <v>284.35489999999999</v>
      </c>
      <c r="M1966">
        <v>-0.99989309999999998</v>
      </c>
      <c r="N1966">
        <v>-1.4222490000000001E-2</v>
      </c>
      <c r="O1966">
        <v>3.4401219999999999E-3</v>
      </c>
      <c r="P1966">
        <v>-0.99730289999999999</v>
      </c>
      <c r="Q1966">
        <v>-7.3267310000000002E-2</v>
      </c>
      <c r="R1966">
        <v>4.3758099999999999E-3</v>
      </c>
      <c r="S1966">
        <v>-3.0045169999999999</v>
      </c>
      <c r="T1966">
        <v>-4.5911670000000002E-2</v>
      </c>
      <c r="U1966">
        <v>3.1829830000000003E-2</v>
      </c>
      <c r="V1966">
        <v>9.4260990000000005E-4</v>
      </c>
      <c r="W1966">
        <v>-5.9075679999999998E-2</v>
      </c>
      <c r="X1966">
        <v>0.99825299999999995</v>
      </c>
      <c r="Y1966">
        <v>7.1514519999999896E-3</v>
      </c>
      <c r="Z1966">
        <v>1.01866E-4</v>
      </c>
      <c r="AA1966">
        <v>0.99997440000000004</v>
      </c>
      <c r="AB1966">
        <v>30</v>
      </c>
      <c r="AC1966">
        <v>-73.065600000000003</v>
      </c>
      <c r="AD1966">
        <v>-1.1210477989079899</v>
      </c>
      <c r="AE1966">
        <v>0.77620000000001699</v>
      </c>
      <c r="AF1966">
        <v>0.52469194015207199</v>
      </c>
      <c r="AG1966">
        <v>-1.1210477989079899</v>
      </c>
      <c r="AH1966">
        <v>73.050643248382897</v>
      </c>
      <c r="AI1966">
        <v>90.879179247809404</v>
      </c>
      <c r="AJ1966">
        <v>89.588475673544806</v>
      </c>
      <c r="AK1966">
        <v>73.061128712893506</v>
      </c>
      <c r="AL1966">
        <v>93.386759225340001</v>
      </c>
      <c r="AM1966">
        <v>89.945897930739207</v>
      </c>
      <c r="AN1966">
        <v>0.99999993824494104</v>
      </c>
    </row>
    <row r="1967" spans="1:40" x14ac:dyDescent="0.25">
      <c r="A1967" t="str">
        <f>"20190303154502590"</f>
        <v>20190303154502590</v>
      </c>
      <c r="B1967" t="str">
        <f>"1551599102582799"</f>
        <v>1551599102582799</v>
      </c>
      <c r="C1967" t="s">
        <v>40</v>
      </c>
      <c r="D1967">
        <v>4.5989509999999996</v>
      </c>
      <c r="E1967">
        <v>0.50223359999999995</v>
      </c>
      <c r="F1967" t="s">
        <v>54</v>
      </c>
      <c r="G1967">
        <v>-480.6284</v>
      </c>
      <c r="H1967" s="1">
        <v>2.3568009999999998E-6</v>
      </c>
      <c r="I1967">
        <v>285.06920000000002</v>
      </c>
      <c r="J1967">
        <v>-412.58640000000003</v>
      </c>
      <c r="K1967">
        <v>1.121043</v>
      </c>
      <c r="L1967">
        <v>284.35599999999999</v>
      </c>
      <c r="M1967">
        <v>-0.99989320000000004</v>
      </c>
      <c r="N1967">
        <v>-1.4219320000000001E-2</v>
      </c>
      <c r="O1967">
        <v>3.4399790000000001E-3</v>
      </c>
      <c r="P1967">
        <v>-0.99725030000000003</v>
      </c>
      <c r="Q1967">
        <v>-7.3969309999999996E-2</v>
      </c>
      <c r="R1967">
        <v>4.5684439999999996E-3</v>
      </c>
      <c r="S1967">
        <v>-3.0043329999999999</v>
      </c>
      <c r="T1967">
        <v>-4.928565E-2</v>
      </c>
      <c r="U1967">
        <v>3.1402590000000001E-2</v>
      </c>
      <c r="V1967">
        <v>1.1354049999999999E-3</v>
      </c>
      <c r="W1967">
        <v>-5.9781510000000003E-2</v>
      </c>
      <c r="X1967">
        <v>0.99821079999999995</v>
      </c>
      <c r="Y1967">
        <v>7.0099079999999996E-3</v>
      </c>
      <c r="Z1967" s="1">
        <v>9.9829470000000002E-5</v>
      </c>
      <c r="AA1967">
        <v>0.99997539999999996</v>
      </c>
      <c r="AB1967">
        <v>30</v>
      </c>
      <c r="AC1967">
        <v>-68.041999999999902</v>
      </c>
      <c r="AD1967">
        <v>-1.1210406431990001</v>
      </c>
      <c r="AE1967">
        <v>0.71320000000002803</v>
      </c>
      <c r="AF1967">
        <v>0.47897910870732902</v>
      </c>
      <c r="AG1967">
        <v>-1.1210406431990001</v>
      </c>
      <c r="AH1967">
        <v>68.025587508967405</v>
      </c>
      <c r="AI1967">
        <v>90.944107864070205</v>
      </c>
      <c r="AJ1967">
        <v>89.596577862951193</v>
      </c>
      <c r="AK1967">
        <v>68.036510118101006</v>
      </c>
      <c r="AL1967">
        <v>93.427271839049496</v>
      </c>
      <c r="AM1967">
        <v>89.934829510477002</v>
      </c>
      <c r="AN1967">
        <v>0.99999995965951605</v>
      </c>
    </row>
    <row r="1968" spans="1:40" x14ac:dyDescent="0.25">
      <c r="A1968" t="str">
        <f>"20190303154502614"</f>
        <v>20190303154502614</v>
      </c>
      <c r="B1968" t="str">
        <f>"1551599102602319"</f>
        <v>1551599102602319</v>
      </c>
      <c r="C1968" t="s">
        <v>40</v>
      </c>
      <c r="D1968">
        <v>4.5765440000000002</v>
      </c>
      <c r="E1968">
        <v>0.46449849999999998</v>
      </c>
      <c r="F1968" t="s">
        <v>54</v>
      </c>
      <c r="G1968">
        <v>-475.09719999999999</v>
      </c>
      <c r="H1968" s="1">
        <v>4.3850189999999998E-6</v>
      </c>
      <c r="I1968">
        <v>284.97449999999998</v>
      </c>
      <c r="J1968">
        <v>-412.88670000000002</v>
      </c>
      <c r="K1968">
        <v>1.1210340000000001</v>
      </c>
      <c r="L1968">
        <v>284.35700000000003</v>
      </c>
      <c r="M1968">
        <v>-0.99989300000000003</v>
      </c>
      <c r="N1968">
        <v>-1.4216080000000001E-2</v>
      </c>
      <c r="O1968">
        <v>3.4408429999999999E-3</v>
      </c>
      <c r="P1968">
        <v>-0.99716139999999998</v>
      </c>
      <c r="Q1968">
        <v>-7.5124099999999999E-2</v>
      </c>
      <c r="R1968">
        <v>5.0746150000000002E-3</v>
      </c>
      <c r="S1968">
        <v>-3.0041500000000001</v>
      </c>
      <c r="T1968">
        <v>-5.3874970000000001E-2</v>
      </c>
      <c r="U1968">
        <v>2.972412E-2</v>
      </c>
      <c r="V1968">
        <v>1.64102E-3</v>
      </c>
      <c r="W1968">
        <v>-6.0940679999999997E-2</v>
      </c>
      <c r="X1968">
        <v>0.99814000000000003</v>
      </c>
      <c r="Y1968">
        <v>6.4509509999999999E-3</v>
      </c>
      <c r="Z1968" s="1">
        <v>9.0918179999999998E-5</v>
      </c>
      <c r="AA1968">
        <v>0.99997919999999996</v>
      </c>
      <c r="AB1968">
        <v>29</v>
      </c>
      <c r="AC1968">
        <v>-62.210499999999897</v>
      </c>
      <c r="AD1968">
        <v>-1.121029614981</v>
      </c>
      <c r="AE1968">
        <v>0.61749999999994998</v>
      </c>
      <c r="AF1968">
        <v>0.40328719958681403</v>
      </c>
      <c r="AG1968">
        <v>-1.121029614981</v>
      </c>
      <c r="AH1968">
        <v>62.192063679514</v>
      </c>
      <c r="AI1968">
        <v>91.032639164793295</v>
      </c>
      <c r="AJ1968">
        <v>89.628468180084695</v>
      </c>
      <c r="AK1968">
        <v>62.203473638372799</v>
      </c>
      <c r="AL1968">
        <v>93.493808717659206</v>
      </c>
      <c r="AM1968">
        <v>89.905801355138806</v>
      </c>
      <c r="AN1968">
        <v>0.99999995951275</v>
      </c>
    </row>
    <row r="1969" spans="1:40" x14ac:dyDescent="0.25">
      <c r="A1969" t="str">
        <f>"20190303154502635"</f>
        <v>20190303154502635</v>
      </c>
      <c r="B1969" t="str">
        <f>"1551599102632575"</f>
        <v>1551599102632575</v>
      </c>
      <c r="C1969" t="s">
        <v>40</v>
      </c>
      <c r="D1969">
        <v>4.5049519999999896</v>
      </c>
      <c r="E1969">
        <v>0.45700279999999999</v>
      </c>
      <c r="F1969" t="s">
        <v>57</v>
      </c>
      <c r="G1969">
        <v>-438.59930000000003</v>
      </c>
      <c r="H1969" s="1">
        <v>6.2546589999999999E-6</v>
      </c>
      <c r="I1969">
        <v>282.0514</v>
      </c>
      <c r="J1969">
        <v>-413.18150000000003</v>
      </c>
      <c r="K1969">
        <v>1.12103</v>
      </c>
      <c r="L1969">
        <v>284.358</v>
      </c>
      <c r="M1969">
        <v>-0.99989309999999998</v>
      </c>
      <c r="N1969">
        <v>-1.4212870000000001E-2</v>
      </c>
      <c r="O1969">
        <v>3.4417039999999999E-3</v>
      </c>
      <c r="P1969">
        <v>-0.99712690000000004</v>
      </c>
      <c r="Q1969">
        <v>-7.5544029999999998E-2</v>
      </c>
      <c r="R1969">
        <v>5.5729159999999998E-3</v>
      </c>
      <c r="S1969">
        <v>-3.000092</v>
      </c>
      <c r="T1969">
        <v>-0.13079879999999999</v>
      </c>
      <c r="U1969">
        <v>-0.26901249999999999</v>
      </c>
      <c r="V1969">
        <v>2.1384289999999999E-3</v>
      </c>
      <c r="W1969">
        <v>-6.1364259999999997E-2</v>
      </c>
      <c r="X1969">
        <v>0.99811320000000003</v>
      </c>
      <c r="Y1969">
        <v>-9.2620099999999997E-2</v>
      </c>
      <c r="Z1969">
        <v>-2.7748909999999998E-3</v>
      </c>
      <c r="AA1969">
        <v>0.99569770000000002</v>
      </c>
      <c r="AB1969">
        <v>29</v>
      </c>
      <c r="AC1969">
        <v>-25.4178</v>
      </c>
      <c r="AD1969">
        <v>-1.1210237453409999</v>
      </c>
      <c r="AE1969">
        <v>-2.3066</v>
      </c>
      <c r="AF1969">
        <v>-2.3894658014501799</v>
      </c>
      <c r="AG1969">
        <v>-1.1210237453409999</v>
      </c>
      <c r="AH1969">
        <v>25.3607823209834</v>
      </c>
      <c r="AI1969">
        <v>92.519854758636598</v>
      </c>
      <c r="AJ1969">
        <v>95.3824575665259</v>
      </c>
      <c r="AK1969">
        <v>25.497755214650201</v>
      </c>
      <c r="AL1969">
        <v>93.518123243836101</v>
      </c>
      <c r="AM1969">
        <v>89.877245618010704</v>
      </c>
      <c r="AN1969">
        <v>1.00000005264908</v>
      </c>
    </row>
    <row r="1970" spans="1:40" x14ac:dyDescent="0.25">
      <c r="A1970" t="str">
        <f>"20190303154502657"</f>
        <v>20190303154502657</v>
      </c>
      <c r="B1970" t="str">
        <f>"1551599102653071"</f>
        <v>1551599102653071</v>
      </c>
      <c r="C1970" t="s">
        <v>40</v>
      </c>
      <c r="D1970">
        <v>4.5404099999999996</v>
      </c>
      <c r="E1970">
        <v>0.45512259999999999</v>
      </c>
      <c r="F1970" t="s">
        <v>55</v>
      </c>
      <c r="G1970">
        <v>-442.81729999999999</v>
      </c>
      <c r="H1970" s="1">
        <v>1.150008E-7</v>
      </c>
      <c r="I1970">
        <v>281.12619999999998</v>
      </c>
      <c r="J1970">
        <v>-413.46870000000001</v>
      </c>
      <c r="K1970">
        <v>1.1210279999999999</v>
      </c>
      <c r="L1970">
        <v>284.35899999999998</v>
      </c>
      <c r="M1970">
        <v>-0.99989320000000004</v>
      </c>
      <c r="N1970">
        <v>-1.420976E-2</v>
      </c>
      <c r="O1970">
        <v>3.4422649999999999E-3</v>
      </c>
      <c r="P1970">
        <v>-0.99714369999999997</v>
      </c>
      <c r="Q1970">
        <v>-7.5294639999999996E-2</v>
      </c>
      <c r="R1970">
        <v>5.9462689999999997E-3</v>
      </c>
      <c r="S1970">
        <v>-3.001862</v>
      </c>
      <c r="T1970">
        <v>-0.1135509</v>
      </c>
      <c r="U1970">
        <v>-0.32736209999999999</v>
      </c>
      <c r="V1970">
        <v>2.5112860000000002E-3</v>
      </c>
      <c r="W1970">
        <v>-6.111776E-2</v>
      </c>
      <c r="X1970">
        <v>0.9981274</v>
      </c>
      <c r="Y1970">
        <v>-0.1117221</v>
      </c>
      <c r="Z1970">
        <v>-2.9836250000000002E-3</v>
      </c>
      <c r="AA1970">
        <v>0.99373500000000003</v>
      </c>
      <c r="AB1970">
        <v>29</v>
      </c>
      <c r="AC1970">
        <v>-29.348599999999902</v>
      </c>
      <c r="AD1970">
        <v>-1.1210278849991999</v>
      </c>
      <c r="AE1970">
        <v>-3.2328000000000499</v>
      </c>
      <c r="AF1970">
        <v>-3.32901785199198</v>
      </c>
      <c r="AG1970">
        <v>-1.1210278849991999</v>
      </c>
      <c r="AH1970">
        <v>29.295067420325498</v>
      </c>
      <c r="AI1970">
        <v>92.177455151761094</v>
      </c>
      <c r="AJ1970">
        <v>96.483137253423195</v>
      </c>
      <c r="AK1970">
        <v>29.504915497917398</v>
      </c>
      <c r="AL1970">
        <v>93.503973471146097</v>
      </c>
      <c r="AM1970">
        <v>89.855844268637298</v>
      </c>
      <c r="AN1970">
        <v>0.99999999688777497</v>
      </c>
    </row>
    <row r="1971" spans="1:40" x14ac:dyDescent="0.25">
      <c r="A1971" t="str">
        <f>"20190303154502679"</f>
        <v>20190303154502679</v>
      </c>
      <c r="B1971" t="str">
        <f>"1551599102672595"</f>
        <v>1551599102672595</v>
      </c>
      <c r="C1971" t="s">
        <v>40</v>
      </c>
      <c r="D1971">
        <v>4.5304469999999997</v>
      </c>
      <c r="E1971">
        <v>0.45381890000000003</v>
      </c>
      <c r="F1971" t="s">
        <v>55</v>
      </c>
      <c r="G1971">
        <v>-443.32400000000001</v>
      </c>
      <c r="H1971" s="1">
        <v>3.916783E-7</v>
      </c>
      <c r="I1971">
        <v>280.96480000000003</v>
      </c>
      <c r="J1971">
        <v>-413.75659999999999</v>
      </c>
      <c r="K1971">
        <v>1.1210329999999999</v>
      </c>
      <c r="L1971">
        <v>284.36</v>
      </c>
      <c r="M1971">
        <v>-0.99989320000000004</v>
      </c>
      <c r="N1971">
        <v>-1.420661E-2</v>
      </c>
      <c r="O1971">
        <v>3.442587E-3</v>
      </c>
      <c r="P1971">
        <v>-0.99716870000000002</v>
      </c>
      <c r="Q1971">
        <v>-7.4968489999999999E-2</v>
      </c>
      <c r="R1971">
        <v>5.8591299999999997E-3</v>
      </c>
      <c r="S1971">
        <v>-3.0021360000000001</v>
      </c>
      <c r="T1971">
        <v>-0.1127263</v>
      </c>
      <c r="U1971">
        <v>-0.34130860000000002</v>
      </c>
      <c r="V1971">
        <v>2.4236549999999998E-3</v>
      </c>
      <c r="W1971">
        <v>-6.0794420000000002E-2</v>
      </c>
      <c r="X1971">
        <v>0.99814740000000002</v>
      </c>
      <c r="Y1971">
        <v>-0.11626839999999999</v>
      </c>
      <c r="Z1971">
        <v>-3.0841480000000001E-3</v>
      </c>
      <c r="AA1971">
        <v>0.99321309999999996</v>
      </c>
      <c r="AB1971">
        <v>29</v>
      </c>
      <c r="AC1971">
        <v>-29.567399999999999</v>
      </c>
      <c r="AD1971">
        <v>-1.1210326083216999</v>
      </c>
      <c r="AE1971">
        <v>-3.39519999999998</v>
      </c>
      <c r="AF1971">
        <v>-3.4920240092807502</v>
      </c>
      <c r="AG1971">
        <v>-1.1210326083216999</v>
      </c>
      <c r="AH1971">
        <v>29.513661326192899</v>
      </c>
      <c r="AI1971">
        <v>92.160195707625704</v>
      </c>
      <c r="AJ1971">
        <v>96.747802122265796</v>
      </c>
      <c r="AK1971">
        <v>29.740664933177399</v>
      </c>
      <c r="AL1971">
        <v>93.485412810349203</v>
      </c>
      <c r="AM1971">
        <v>89.860877331761202</v>
      </c>
      <c r="AN1971">
        <v>1.0000000338667201</v>
      </c>
    </row>
    <row r="1972" spans="1:40" x14ac:dyDescent="0.25">
      <c r="A1972" t="str">
        <f>"20190303154502713"</f>
        <v>20190303154502713</v>
      </c>
      <c r="B1972" t="str">
        <f>"1551599102702850"</f>
        <v>1551599102702850</v>
      </c>
      <c r="C1972" t="s">
        <v>40</v>
      </c>
      <c r="D1972">
        <v>4.4578340000000001</v>
      </c>
      <c r="E1972">
        <v>0.45316339999999999</v>
      </c>
      <c r="F1972" t="s">
        <v>55</v>
      </c>
      <c r="G1972">
        <v>-443.76389999999998</v>
      </c>
      <c r="H1972" s="1">
        <v>6.3111980000000002E-7</v>
      </c>
      <c r="I1972">
        <v>280.84249999999997</v>
      </c>
      <c r="J1972">
        <v>-414.19499999999999</v>
      </c>
      <c r="K1972">
        <v>1.121035</v>
      </c>
      <c r="L1972">
        <v>284.36160000000001</v>
      </c>
      <c r="M1972">
        <v>-0.99989320000000004</v>
      </c>
      <c r="N1972">
        <v>-1.420187E-2</v>
      </c>
      <c r="O1972">
        <v>3.4428000000000002E-3</v>
      </c>
      <c r="P1972">
        <v>-0.99715469999999895</v>
      </c>
      <c r="Q1972">
        <v>-7.5203290000000006E-2</v>
      </c>
      <c r="R1972">
        <v>5.2137820000000001E-3</v>
      </c>
      <c r="S1972">
        <v>-3.0021969999999998</v>
      </c>
      <c r="T1972">
        <v>-0.1121581</v>
      </c>
      <c r="U1972">
        <v>-0.35192869999999998</v>
      </c>
      <c r="V1972">
        <v>1.7780929999999999E-3</v>
      </c>
      <c r="W1972">
        <v>-6.1034150000000002E-2</v>
      </c>
      <c r="X1972">
        <v>0.99813410000000002</v>
      </c>
      <c r="Y1972">
        <v>-0.1197305</v>
      </c>
      <c r="Z1972">
        <v>-3.161058E-3</v>
      </c>
      <c r="AA1972">
        <v>0.99280139999999995</v>
      </c>
      <c r="AB1972">
        <v>29</v>
      </c>
      <c r="AC1972">
        <v>-29.5688999999999</v>
      </c>
      <c r="AD1972">
        <v>-1.1210343688802</v>
      </c>
      <c r="AE1972">
        <v>-3.5191000000000301</v>
      </c>
      <c r="AF1972">
        <v>-3.6157646257765701</v>
      </c>
      <c r="AG1972">
        <v>-1.1210343688802</v>
      </c>
      <c r="AH1972">
        <v>29.514776899155201</v>
      </c>
      <c r="AI1972">
        <v>92.159045050739493</v>
      </c>
      <c r="AJ1972">
        <v>96.984328492826293</v>
      </c>
      <c r="AK1972">
        <v>29.756554358529701</v>
      </c>
      <c r="AL1972">
        <v>93.499173981410195</v>
      </c>
      <c r="AM1972">
        <v>89.897932435416493</v>
      </c>
      <c r="AN1972">
        <v>1.0000000053318701</v>
      </c>
    </row>
    <row r="1973" spans="1:40" x14ac:dyDescent="0.25">
      <c r="A1973" t="str">
        <f>"20190303154502736"</f>
        <v>20190303154502736</v>
      </c>
      <c r="B1973" t="str">
        <f>"1551599102722368"</f>
        <v>1551599102722368</v>
      </c>
      <c r="C1973" t="s">
        <v>40</v>
      </c>
      <c r="D1973">
        <v>4.4244300000000001</v>
      </c>
      <c r="E1973">
        <v>0.45275520000000002</v>
      </c>
      <c r="F1973" t="s">
        <v>55</v>
      </c>
      <c r="G1973">
        <v>-445.00259999999997</v>
      </c>
      <c r="H1973" s="1">
        <v>1.297642E-6</v>
      </c>
      <c r="I1973">
        <v>280.67410000000001</v>
      </c>
      <c r="J1973">
        <v>-414.48669999999998</v>
      </c>
      <c r="K1973">
        <v>1.1210359999999999</v>
      </c>
      <c r="L1973">
        <v>284.36250000000001</v>
      </c>
      <c r="M1973">
        <v>-0.99989329999999998</v>
      </c>
      <c r="N1973">
        <v>-1.4198560000000001E-2</v>
      </c>
      <c r="O1973">
        <v>3.4426449999999998E-3</v>
      </c>
      <c r="P1973">
        <v>-0.99716340000000003</v>
      </c>
      <c r="Q1973">
        <v>-7.5094659999999994E-2</v>
      </c>
      <c r="R1973">
        <v>5.1206659999999899E-3</v>
      </c>
      <c r="S1973">
        <v>-3.0022280000000001</v>
      </c>
      <c r="T1973">
        <v>-0.1092458</v>
      </c>
      <c r="U1973">
        <v>-0.35934450000000001</v>
      </c>
      <c r="V1973">
        <v>1.68511299999999E-3</v>
      </c>
      <c r="W1973">
        <v>-6.0928690000000001E-2</v>
      </c>
      <c r="X1973">
        <v>0.99814069999999999</v>
      </c>
      <c r="Y1973">
        <v>-0.1221502</v>
      </c>
      <c r="Z1973">
        <v>-3.1605829999999998E-3</v>
      </c>
      <c r="AA1973">
        <v>0.99250660000000002</v>
      </c>
      <c r="AB1973">
        <v>29</v>
      </c>
      <c r="AC1973">
        <v>-30.515899999999899</v>
      </c>
      <c r="AD1973">
        <v>-1.1210347023580001</v>
      </c>
      <c r="AE1973">
        <v>-3.6884000000000001</v>
      </c>
      <c r="AF1973">
        <v>-3.7884051478651699</v>
      </c>
      <c r="AG1973">
        <v>-1.1210347023580001</v>
      </c>
      <c r="AH1973">
        <v>30.462501572183999</v>
      </c>
      <c r="AI1973">
        <v>92.091464266444603</v>
      </c>
      <c r="AJ1973">
        <v>97.089072186564593</v>
      </c>
      <c r="AK1973">
        <v>30.717629049188901</v>
      </c>
      <c r="AL1973">
        <v>93.493120317420207</v>
      </c>
      <c r="AM1973">
        <v>89.903270379442304</v>
      </c>
      <c r="AN1973">
        <v>1.00000000093371</v>
      </c>
    </row>
    <row r="1974" spans="1:40" x14ac:dyDescent="0.25">
      <c r="A1974" t="str">
        <f>"20190303154502757"</f>
        <v>20190303154502757</v>
      </c>
      <c r="B1974" t="str">
        <f>"1551599102752627"</f>
        <v>1551599102752627</v>
      </c>
      <c r="C1974" t="s">
        <v>40</v>
      </c>
      <c r="D1974">
        <v>4.4154730000000004</v>
      </c>
      <c r="E1974">
        <v>0.45183319999999999</v>
      </c>
      <c r="F1974" t="s">
        <v>55</v>
      </c>
      <c r="G1974">
        <v>-445.69720000000001</v>
      </c>
      <c r="H1974" s="1">
        <v>1.6708899999999999E-6</v>
      </c>
      <c r="I1974">
        <v>280.59140000000002</v>
      </c>
      <c r="J1974">
        <v>-414.77850000000001</v>
      </c>
      <c r="K1974">
        <v>1.1210340000000001</v>
      </c>
      <c r="L1974">
        <v>284.36349999999999</v>
      </c>
      <c r="M1974">
        <v>-0.99989340000000004</v>
      </c>
      <c r="N1974">
        <v>-1.4195309999999999E-2</v>
      </c>
      <c r="O1974">
        <v>3.4426690000000002E-3</v>
      </c>
      <c r="P1974">
        <v>-0.99714689999999995</v>
      </c>
      <c r="Q1974">
        <v>-7.531467E-2</v>
      </c>
      <c r="R1974">
        <v>5.1055349999999996E-3</v>
      </c>
      <c r="S1974">
        <v>-3.0022890000000002</v>
      </c>
      <c r="T1974">
        <v>-0.1078378</v>
      </c>
      <c r="U1974">
        <v>-0.36276249999999999</v>
      </c>
      <c r="V1974">
        <v>1.6701369999999999E-3</v>
      </c>
      <c r="W1974">
        <v>-6.1152190000000002E-2</v>
      </c>
      <c r="X1974">
        <v>0.99812699999999999</v>
      </c>
      <c r="Y1974">
        <v>-0.1232631</v>
      </c>
      <c r="Z1974">
        <v>-3.1579640000000001E-3</v>
      </c>
      <c r="AA1974">
        <v>0.99236899999999995</v>
      </c>
      <c r="AB1974">
        <v>29</v>
      </c>
      <c r="AC1974">
        <v>-30.918700000000001</v>
      </c>
      <c r="AD1974">
        <v>-1.1210323291099999</v>
      </c>
      <c r="AE1974">
        <v>-3.77209999999996</v>
      </c>
      <c r="AF1974">
        <v>-3.87351376594509</v>
      </c>
      <c r="AG1974">
        <v>-1.1210323291099999</v>
      </c>
      <c r="AH1974">
        <v>30.865548551095401</v>
      </c>
      <c r="AI1974">
        <v>92.063885497584806</v>
      </c>
      <c r="AJ1974">
        <v>97.153016026897603</v>
      </c>
      <c r="AK1974">
        <v>31.127847817314699</v>
      </c>
      <c r="AL1974">
        <v>93.505950047618398</v>
      </c>
      <c r="AM1974">
        <v>89.904128721092903</v>
      </c>
      <c r="AN1974">
        <v>0.999999943914195</v>
      </c>
    </row>
    <row r="1975" spans="1:40" x14ac:dyDescent="0.25">
      <c r="A1975" t="str">
        <f>"20190303154502779"</f>
        <v>20190303154502779</v>
      </c>
      <c r="B1975" t="str">
        <f>"1551599102772144"</f>
        <v>1551599102772144</v>
      </c>
      <c r="C1975" t="s">
        <v>40</v>
      </c>
      <c r="D1975">
        <v>4.4167199999999998</v>
      </c>
      <c r="E1975">
        <v>0.4514531</v>
      </c>
      <c r="F1975" t="s">
        <v>55</v>
      </c>
      <c r="G1975">
        <v>-444.62869999999998</v>
      </c>
      <c r="H1975" s="1">
        <v>1.098294E-6</v>
      </c>
      <c r="I1975">
        <v>280.68349999999998</v>
      </c>
      <c r="J1975">
        <v>-415.06330000000003</v>
      </c>
      <c r="K1975">
        <v>1.1210370000000001</v>
      </c>
      <c r="L1975">
        <v>284.36450000000002</v>
      </c>
      <c r="M1975">
        <v>-0.99989340000000004</v>
      </c>
      <c r="N1975">
        <v>-1.419218E-2</v>
      </c>
      <c r="O1975">
        <v>3.4426909999999999E-3</v>
      </c>
      <c r="P1975">
        <v>-0.99719740000000001</v>
      </c>
      <c r="Q1975">
        <v>-7.4628470000000002E-2</v>
      </c>
      <c r="R1975">
        <v>5.272896E-3</v>
      </c>
      <c r="S1975">
        <v>-3.0019529999999999</v>
      </c>
      <c r="T1975">
        <v>-0.1127392</v>
      </c>
      <c r="U1975">
        <v>-0.37008669999999999</v>
      </c>
      <c r="V1975">
        <v>1.8371419999999999E-3</v>
      </c>
      <c r="W1975">
        <v>-6.0468460000000002E-2</v>
      </c>
      <c r="X1975">
        <v>0.99816839999999996</v>
      </c>
      <c r="Y1975">
        <v>-0.1256505</v>
      </c>
      <c r="Z1975">
        <v>-3.3252680000000001E-3</v>
      </c>
      <c r="AA1975">
        <v>0.99206899999999998</v>
      </c>
      <c r="AB1975">
        <v>29</v>
      </c>
      <c r="AC1975">
        <v>-29.565399999999901</v>
      </c>
      <c r="AD1975">
        <v>-1.1210359017059901</v>
      </c>
      <c r="AE1975">
        <v>-3.68100000000004</v>
      </c>
      <c r="AF1975">
        <v>-3.7774250209489399</v>
      </c>
      <c r="AG1975">
        <v>-1.1210359017059901</v>
      </c>
      <c r="AH1975">
        <v>29.510770626896399</v>
      </c>
      <c r="AI1975">
        <v>92.157879553528801</v>
      </c>
      <c r="AJ1975">
        <v>97.294284906054202</v>
      </c>
      <c r="AK1975">
        <v>29.772659341669499</v>
      </c>
      <c r="AL1975">
        <v>93.466702434491296</v>
      </c>
      <c r="AM1975">
        <v>89.894546487235701</v>
      </c>
      <c r="AN1975">
        <v>0.99999998225202902</v>
      </c>
    </row>
    <row r="1976" spans="1:40" x14ac:dyDescent="0.25">
      <c r="A1976" t="str">
        <f>"20190303154502804"</f>
        <v>20190303154502804</v>
      </c>
      <c r="B1976" t="str">
        <f>"1551599102792641"</f>
        <v>1551599102792641</v>
      </c>
      <c r="C1976" t="s">
        <v>40</v>
      </c>
      <c r="D1976">
        <v>4.4114750000000003</v>
      </c>
      <c r="E1976">
        <v>0.45121139999999998</v>
      </c>
      <c r="F1976" t="s">
        <v>55</v>
      </c>
      <c r="G1976">
        <v>-445.44659999999999</v>
      </c>
      <c r="H1976" s="1">
        <v>1.537559E-6</v>
      </c>
      <c r="I1976">
        <v>280.5915</v>
      </c>
      <c r="J1976">
        <v>-415.37419999999997</v>
      </c>
      <c r="K1976">
        <v>1.12104</v>
      </c>
      <c r="L1976">
        <v>284.3655</v>
      </c>
      <c r="M1976">
        <v>-0.99989349999999999</v>
      </c>
      <c r="N1976">
        <v>-1.418879E-2</v>
      </c>
      <c r="O1976">
        <v>3.4427149999999998E-3</v>
      </c>
      <c r="P1976">
        <v>-0.99724139999999994</v>
      </c>
      <c r="Q1976">
        <v>-7.4040350000000005E-2</v>
      </c>
      <c r="R1976">
        <v>5.272962E-3</v>
      </c>
      <c r="S1976">
        <v>-3.0021360000000001</v>
      </c>
      <c r="T1976">
        <v>-0.11076809999999999</v>
      </c>
      <c r="U1976">
        <v>-0.37280269999999999</v>
      </c>
      <c r="V1976">
        <v>1.83713E-3</v>
      </c>
      <c r="W1976">
        <v>-5.9883140000000001E-2</v>
      </c>
      <c r="X1976">
        <v>0.99820370000000003</v>
      </c>
      <c r="Y1976">
        <v>-0.12653</v>
      </c>
      <c r="Z1976">
        <v>-3.3039430000000002E-3</v>
      </c>
      <c r="AA1976">
        <v>0.99195730000000004</v>
      </c>
      <c r="AB1976">
        <v>29</v>
      </c>
      <c r="AC1976">
        <v>-30.072399999999998</v>
      </c>
      <c r="AD1976">
        <v>-1.1210384624409999</v>
      </c>
      <c r="AE1976">
        <v>-3.774</v>
      </c>
      <c r="AF1976">
        <v>-3.8722211558671198</v>
      </c>
      <c r="AG1976">
        <v>-1.1210384624409999</v>
      </c>
      <c r="AH1976">
        <v>30.0181597571993</v>
      </c>
      <c r="AI1976">
        <v>92.121177524032007</v>
      </c>
      <c r="AJ1976">
        <v>97.350333346634898</v>
      </c>
      <c r="AK1976">
        <v>30.2876334354957</v>
      </c>
      <c r="AL1976">
        <v>93.433105135026395</v>
      </c>
      <c r="AM1976">
        <v>89.894550905219404</v>
      </c>
      <c r="AN1976">
        <v>0.99999999609829304</v>
      </c>
    </row>
    <row r="1977" spans="1:40" x14ac:dyDescent="0.25">
      <c r="A1977" t="str">
        <f>"20190303154502825"</f>
        <v>20190303154502825</v>
      </c>
      <c r="B1977" t="str">
        <f>"1551599102822896"</f>
        <v>1551599102822896</v>
      </c>
      <c r="C1977" t="s">
        <v>40</v>
      </c>
      <c r="D1977">
        <v>4.3743869999999996</v>
      </c>
      <c r="E1977">
        <v>0.450741</v>
      </c>
      <c r="F1977" t="s">
        <v>55</v>
      </c>
      <c r="G1977">
        <v>-446.37810000000002</v>
      </c>
      <c r="H1977" s="1">
        <v>2.0373290000000001E-6</v>
      </c>
      <c r="I1977">
        <v>280.49740000000003</v>
      </c>
      <c r="J1977">
        <v>-415.66340000000002</v>
      </c>
      <c r="K1977">
        <v>1.1210500000000001</v>
      </c>
      <c r="L1977">
        <v>284.36649999999997</v>
      </c>
      <c r="M1977">
        <v>-0.99989349999999999</v>
      </c>
      <c r="N1977">
        <v>-1.418577E-2</v>
      </c>
      <c r="O1977">
        <v>3.4427379999999999E-3</v>
      </c>
      <c r="P1977">
        <v>-0.99727109999999997</v>
      </c>
      <c r="Q1977">
        <v>-7.3649199999999998E-2</v>
      </c>
      <c r="R1977">
        <v>5.1522620000000003E-3</v>
      </c>
      <c r="S1977">
        <v>-3.0022579999999999</v>
      </c>
      <c r="T1977">
        <v>-0.10855579999999999</v>
      </c>
      <c r="U1977">
        <v>-0.37457279999999998</v>
      </c>
      <c r="V1977">
        <v>1.7163809999999999E-3</v>
      </c>
      <c r="W1977">
        <v>-5.9494619999999998E-2</v>
      </c>
      <c r="X1977">
        <v>0.99822719999999998</v>
      </c>
      <c r="Y1977">
        <v>-0.12710450000000001</v>
      </c>
      <c r="Z1977">
        <v>-3.2691119999999998E-3</v>
      </c>
      <c r="AA1977">
        <v>0.99188390000000004</v>
      </c>
      <c r="AB1977">
        <v>29</v>
      </c>
      <c r="AC1977">
        <v>-30.714700000000001</v>
      </c>
      <c r="AD1977">
        <v>-1.1210479626709999</v>
      </c>
      <c r="AE1977">
        <v>-3.86909999999994</v>
      </c>
      <c r="AF1977">
        <v>-3.969624801273</v>
      </c>
      <c r="AG1977">
        <v>-1.1210479626709999</v>
      </c>
      <c r="AH1977">
        <v>30.6609890291769</v>
      </c>
      <c r="AI1977">
        <v>92.076637917644504</v>
      </c>
      <c r="AJ1977">
        <v>97.376949782397105</v>
      </c>
      <c r="AK1977">
        <v>30.9372092769338</v>
      </c>
      <c r="AL1977">
        <v>93.410804636066203</v>
      </c>
      <c r="AM1977">
        <v>89.901484060519195</v>
      </c>
      <c r="AN1977">
        <v>1.00000004929625</v>
      </c>
    </row>
    <row r="1978" spans="1:40" x14ac:dyDescent="0.25">
      <c r="A1978" t="str">
        <f>"20190303154502848"</f>
        <v>20190303154502848</v>
      </c>
      <c r="B1978" t="str">
        <f>"1551599102842415"</f>
        <v>1551599102842415</v>
      </c>
      <c r="C1978" t="s">
        <v>40</v>
      </c>
      <c r="D1978">
        <v>4.3645329999999998</v>
      </c>
      <c r="E1978">
        <v>0.45047680000000001</v>
      </c>
      <c r="F1978" t="s">
        <v>55</v>
      </c>
      <c r="G1978">
        <v>-446.51420000000002</v>
      </c>
      <c r="H1978" s="1">
        <v>2.1107579999999999E-6</v>
      </c>
      <c r="I1978">
        <v>280.47460000000001</v>
      </c>
      <c r="J1978">
        <v>-415.9495</v>
      </c>
      <c r="K1978">
        <v>1.121051</v>
      </c>
      <c r="L1978">
        <v>284.36750000000001</v>
      </c>
      <c r="M1978">
        <v>-0.9998937</v>
      </c>
      <c r="N1978">
        <v>-1.418284E-2</v>
      </c>
      <c r="O1978">
        <v>3.4426389999999999E-3</v>
      </c>
      <c r="P1978">
        <v>-0.997251</v>
      </c>
      <c r="Q1978">
        <v>-7.3930960000000004E-2</v>
      </c>
      <c r="R1978">
        <v>4.9818070000000004E-3</v>
      </c>
      <c r="S1978">
        <v>-3.0021059999999999</v>
      </c>
      <c r="T1978">
        <v>-0.10909000000000001</v>
      </c>
      <c r="U1978">
        <v>-0.37872309999999998</v>
      </c>
      <c r="V1978">
        <v>1.54593E-3</v>
      </c>
      <c r="W1978">
        <v>-5.9779560000000002E-2</v>
      </c>
      <c r="X1978">
        <v>0.99821040000000005</v>
      </c>
      <c r="Y1978">
        <v>-0.1284583</v>
      </c>
      <c r="Z1978">
        <v>-3.3149299999999998E-3</v>
      </c>
      <c r="AA1978">
        <v>0.99170939999999996</v>
      </c>
      <c r="AB1978">
        <v>29</v>
      </c>
      <c r="AC1978">
        <v>-30.564699999999998</v>
      </c>
      <c r="AD1978">
        <v>-1.1210488892420001</v>
      </c>
      <c r="AE1978">
        <v>-3.8928999999999898</v>
      </c>
      <c r="AF1978">
        <v>-3.9928250419583402</v>
      </c>
      <c r="AG1978">
        <v>-1.1210488892420001</v>
      </c>
      <c r="AH1978">
        <v>30.510725748492501</v>
      </c>
      <c r="AI1978">
        <v>92.086484855359799</v>
      </c>
      <c r="AJ1978">
        <v>97.455715769784604</v>
      </c>
      <c r="AK1978">
        <v>30.791294031389501</v>
      </c>
      <c r="AL1978">
        <v>93.427159793647405</v>
      </c>
      <c r="AM1978">
        <v>89.9112660080404</v>
      </c>
      <c r="AN1978">
        <v>0.99999999418075902</v>
      </c>
    </row>
    <row r="1979" spans="1:40" x14ac:dyDescent="0.25">
      <c r="A1979" t="str">
        <f>"20190303154502870"</f>
        <v>20190303154502870</v>
      </c>
      <c r="B1979" t="str">
        <f>"1551599102862915"</f>
        <v>1551599102862915</v>
      </c>
      <c r="C1979" t="s">
        <v>40</v>
      </c>
      <c r="D1979">
        <v>4.3507800000000003</v>
      </c>
      <c r="E1979">
        <v>0.45018960000000002</v>
      </c>
      <c r="F1979" t="s">
        <v>55</v>
      </c>
      <c r="G1979">
        <v>-446.07170000000002</v>
      </c>
      <c r="H1979" s="1">
        <v>1.8725029999999999E-6</v>
      </c>
      <c r="I1979">
        <v>280.5394</v>
      </c>
      <c r="J1979">
        <v>-416.24119999999999</v>
      </c>
      <c r="K1979">
        <v>1.1210519999999999</v>
      </c>
      <c r="L1979">
        <v>284.36849999999998</v>
      </c>
      <c r="M1979">
        <v>-0.99989349999999999</v>
      </c>
      <c r="N1979">
        <v>-1.4179880000000001E-2</v>
      </c>
      <c r="O1979">
        <v>3.4427799999999999E-3</v>
      </c>
      <c r="P1979">
        <v>-0.99722789999999994</v>
      </c>
      <c r="Q1979">
        <v>-7.4274030000000005E-2</v>
      </c>
      <c r="R1979">
        <v>4.4573879999999996E-3</v>
      </c>
      <c r="S1979">
        <v>-3.0019529999999999</v>
      </c>
      <c r="T1979">
        <v>-0.1117225</v>
      </c>
      <c r="U1979">
        <v>-0.38150020000000001</v>
      </c>
      <c r="V1979">
        <v>1.0215389999999999E-3</v>
      </c>
      <c r="W1979">
        <v>-6.0125900000000003E-2</v>
      </c>
      <c r="X1979">
        <v>0.99819029999999997</v>
      </c>
      <c r="Y1979">
        <v>-0.1293619</v>
      </c>
      <c r="Z1979">
        <v>-3.397031E-3</v>
      </c>
      <c r="AA1979">
        <v>0.99159160000000002</v>
      </c>
      <c r="AB1979">
        <v>29</v>
      </c>
      <c r="AC1979">
        <v>-29.830500000000001</v>
      </c>
      <c r="AD1979">
        <v>-1.1210501274969999</v>
      </c>
      <c r="AE1979">
        <v>-3.82909999999998</v>
      </c>
      <c r="AF1979">
        <v>-3.9263321821554902</v>
      </c>
      <c r="AG1979">
        <v>-1.1210501274969999</v>
      </c>
      <c r="AH1979">
        <v>29.775768246035501</v>
      </c>
      <c r="AI1979">
        <v>92.137665857559696</v>
      </c>
      <c r="AJ1979">
        <v>97.511874109657398</v>
      </c>
      <c r="AK1979">
        <v>30.0544374832504</v>
      </c>
      <c r="AL1979">
        <v>93.447039279924098</v>
      </c>
      <c r="AM1979">
        <v>89.941364033616907</v>
      </c>
      <c r="AN1979">
        <v>1.0000000212034099</v>
      </c>
    </row>
    <row r="1980" spans="1:40" x14ac:dyDescent="0.25">
      <c r="A1980" t="str">
        <f>"20190303154502892"</f>
        <v>20190303154502892</v>
      </c>
      <c r="B1980" t="str">
        <f>"1551599102882432"</f>
        <v>1551599102882432</v>
      </c>
      <c r="C1980" t="s">
        <v>40</v>
      </c>
      <c r="D1980">
        <v>4.3486640000000003</v>
      </c>
      <c r="E1980">
        <v>0.45084550000000001</v>
      </c>
      <c r="F1980" t="s">
        <v>55</v>
      </c>
      <c r="G1980">
        <v>-445.50650000000002</v>
      </c>
      <c r="H1980" s="1">
        <v>1.56858E-6</v>
      </c>
      <c r="I1980">
        <v>280.61130000000003</v>
      </c>
      <c r="J1980">
        <v>-416.51940000000002</v>
      </c>
      <c r="K1980">
        <v>1.1210519999999999</v>
      </c>
      <c r="L1980">
        <v>284.36939999999998</v>
      </c>
      <c r="M1980">
        <v>-0.9998937</v>
      </c>
      <c r="N1980">
        <v>-1.417708E-2</v>
      </c>
      <c r="O1980">
        <v>3.442681E-3</v>
      </c>
      <c r="P1980">
        <v>-0.99725090000000005</v>
      </c>
      <c r="Q1980">
        <v>-7.394394E-2</v>
      </c>
      <c r="R1980">
        <v>4.8200969999999997E-3</v>
      </c>
      <c r="S1980">
        <v>-3.0014949999999998</v>
      </c>
      <c r="T1980">
        <v>-0.1149768</v>
      </c>
      <c r="U1980">
        <v>-0.38534550000000001</v>
      </c>
      <c r="V1980">
        <v>1.3842170000000001E-3</v>
      </c>
      <c r="W1980">
        <v>-5.9798320000000002E-2</v>
      </c>
      <c r="X1980">
        <v>0.99820949999999997</v>
      </c>
      <c r="Y1980">
        <v>-0.13062299999999999</v>
      </c>
      <c r="Z1980">
        <v>-3.5036440000000002E-3</v>
      </c>
      <c r="AA1980">
        <v>0.99142589999999997</v>
      </c>
      <c r="AB1980">
        <v>29</v>
      </c>
      <c r="AC1980">
        <v>-28.987100000000002</v>
      </c>
      <c r="AD1980">
        <v>-1.1210504314199901</v>
      </c>
      <c r="AE1980">
        <v>-3.75809999999995</v>
      </c>
      <c r="AF1980">
        <v>-3.8522146173215601</v>
      </c>
      <c r="AG1980">
        <v>-1.1210504314199901</v>
      </c>
      <c r="AH1980">
        <v>28.931431894740399</v>
      </c>
      <c r="AI1980">
        <v>92.199623608508304</v>
      </c>
      <c r="AJ1980">
        <v>97.584311595266001</v>
      </c>
      <c r="AK1980">
        <v>29.208287574037801</v>
      </c>
      <c r="AL1980">
        <v>93.428236635739196</v>
      </c>
      <c r="AM1980">
        <v>89.920547999999499</v>
      </c>
      <c r="AN1980">
        <v>0.99999998051088701</v>
      </c>
    </row>
    <row r="1981" spans="1:40" x14ac:dyDescent="0.25">
      <c r="A1981" t="str">
        <f>"20190303154503057"</f>
        <v>20190303154503057</v>
      </c>
      <c r="B1981" t="str">
        <f>"1551599103052256"</f>
        <v>1551599103052256</v>
      </c>
      <c r="C1981" t="s">
        <v>40</v>
      </c>
      <c r="D1981">
        <v>4.0971209999999996</v>
      </c>
      <c r="E1981">
        <v>0.53381369999999995</v>
      </c>
      <c r="F1981" t="s">
        <v>55</v>
      </c>
      <c r="G1981">
        <v>-447.41059999999999</v>
      </c>
      <c r="H1981" s="1">
        <v>2.5880789999999999E-6</v>
      </c>
      <c r="I1981">
        <v>280.46890000000002</v>
      </c>
      <c r="J1981">
        <v>-418.64449999999999</v>
      </c>
      <c r="K1981">
        <v>1.1210530000000001</v>
      </c>
      <c r="L1981">
        <v>284.37670000000003</v>
      </c>
      <c r="M1981">
        <v>-0.99989399999999995</v>
      </c>
      <c r="N1981">
        <v>-1.415546E-2</v>
      </c>
      <c r="O1981">
        <v>3.4422989999999998E-3</v>
      </c>
      <c r="P1981">
        <v>-0.99722189999999999</v>
      </c>
      <c r="Q1981">
        <v>-7.4258729999999995E-2</v>
      </c>
      <c r="R1981">
        <v>5.8497920000000004E-3</v>
      </c>
      <c r="S1981">
        <v>-3.002014</v>
      </c>
      <c r="T1981">
        <v>-0.1089437</v>
      </c>
      <c r="U1981">
        <v>-0.37905879999999997</v>
      </c>
      <c r="V1981">
        <v>2.4142759999999999E-3</v>
      </c>
      <c r="W1981">
        <v>-6.0135040000000001E-2</v>
      </c>
      <c r="X1981">
        <v>0.9981873</v>
      </c>
      <c r="Y1981">
        <v>-0.1285712</v>
      </c>
      <c r="Z1981">
        <v>-3.3128720000000001E-3</v>
      </c>
      <c r="AA1981">
        <v>0.99169470000000004</v>
      </c>
      <c r="AB1981">
        <v>29</v>
      </c>
      <c r="AC1981">
        <v>-28.766099999999899</v>
      </c>
      <c r="AD1981">
        <v>-1.1210504119210001</v>
      </c>
      <c r="AE1981">
        <v>-3.9077999999999999</v>
      </c>
      <c r="AF1981">
        <v>-4.00084206673582</v>
      </c>
      <c r="AG1981">
        <v>-1.1210504119210001</v>
      </c>
      <c r="AH1981">
        <v>28.709663459383201</v>
      </c>
      <c r="AI1981">
        <v>92.214760353448</v>
      </c>
      <c r="AJ1981">
        <v>97.933375358312205</v>
      </c>
      <c r="AK1981">
        <v>29.008761904295</v>
      </c>
      <c r="AL1981">
        <v>93.447564093450495</v>
      </c>
      <c r="AM1981">
        <v>89.861421242641299</v>
      </c>
      <c r="AN1981">
        <v>0.99999996882284703</v>
      </c>
    </row>
    <row r="1982" spans="1:40" x14ac:dyDescent="0.25">
      <c r="A1982" t="str">
        <f>"20190303154503074"</f>
        <v>20190303154503074</v>
      </c>
      <c r="B1982" t="str">
        <f>"1551599103062993"</f>
        <v>1551599103062993</v>
      </c>
      <c r="C1982" t="s">
        <v>40</v>
      </c>
      <c r="D1982">
        <v>4.1976079999999998</v>
      </c>
      <c r="E1982">
        <v>0.53394730000000001</v>
      </c>
      <c r="F1982" t="s">
        <v>58</v>
      </c>
      <c r="G1982">
        <v>-526.85500000000002</v>
      </c>
      <c r="H1982">
        <v>3.8525719999999999</v>
      </c>
      <c r="I1982">
        <v>294.55</v>
      </c>
      <c r="J1982">
        <v>-418.86779999999999</v>
      </c>
      <c r="K1982">
        <v>1.1210500000000001</v>
      </c>
      <c r="L1982">
        <v>284.3775</v>
      </c>
      <c r="M1982">
        <v>-0.99989399999999995</v>
      </c>
      <c r="N1982">
        <v>-1.415315E-2</v>
      </c>
      <c r="O1982">
        <v>3.442315E-3</v>
      </c>
      <c r="P1982">
        <v>-0.99724699999999999</v>
      </c>
      <c r="Q1982">
        <v>-7.3958720000000006E-2</v>
      </c>
      <c r="R1982">
        <v>5.3739919999999898E-3</v>
      </c>
      <c r="S1982">
        <v>-3.0123600000000001</v>
      </c>
      <c r="T1982">
        <v>7.6042180000000001E-2</v>
      </c>
      <c r="U1982">
        <v>0.28320309999999999</v>
      </c>
      <c r="V1982">
        <v>1.938485E-3</v>
      </c>
      <c r="W1982">
        <v>-5.9837019999999998E-2</v>
      </c>
      <c r="X1982">
        <v>0.99820629999999999</v>
      </c>
      <c r="Y1982">
        <v>9.0163119999999999E-2</v>
      </c>
      <c r="Z1982">
        <v>-3.6051090000000001E-4</v>
      </c>
      <c r="AA1982">
        <v>0.99592700000000001</v>
      </c>
      <c r="AB1982">
        <v>29</v>
      </c>
      <c r="AC1982">
        <v>-107.9872</v>
      </c>
      <c r="AD1982">
        <v>2.731522</v>
      </c>
      <c r="AE1982">
        <v>10.172499999999999</v>
      </c>
      <c r="AF1982">
        <v>9.7944648809525603</v>
      </c>
      <c r="AG1982">
        <v>2.731522</v>
      </c>
      <c r="AH1982">
        <v>107.953116382429</v>
      </c>
      <c r="AI1982">
        <v>88.556489093936406</v>
      </c>
      <c r="AJ1982">
        <v>84.815812191903007</v>
      </c>
      <c r="AK1982">
        <v>108.430936966435</v>
      </c>
      <c r="AL1982">
        <v>93.430457817554796</v>
      </c>
      <c r="AM1982">
        <v>89.888733551842293</v>
      </c>
      <c r="AN1982">
        <v>1.00000002202313</v>
      </c>
    </row>
    <row r="1983" spans="1:40" x14ac:dyDescent="0.25">
      <c r="A1983" t="str">
        <f>"20190303154503093"</f>
        <v>20190303154503093</v>
      </c>
      <c r="B1983" t="str">
        <f>"1551599103082512"</f>
        <v>1551599103082512</v>
      </c>
      <c r="C1983" t="s">
        <v>40</v>
      </c>
      <c r="D1983">
        <v>4.2132719999999999</v>
      </c>
      <c r="E1983">
        <v>0.5321361</v>
      </c>
      <c r="F1983" t="s">
        <v>58</v>
      </c>
      <c r="G1983">
        <v>-527.14440000000002</v>
      </c>
      <c r="H1983">
        <v>3.4117920000000002</v>
      </c>
      <c r="I1983">
        <v>294.55</v>
      </c>
      <c r="J1983">
        <v>-419.10379999999998</v>
      </c>
      <c r="K1983">
        <v>1.121046</v>
      </c>
      <c r="L1983">
        <v>284.37830000000002</v>
      </c>
      <c r="M1983">
        <v>-0.99989399999999995</v>
      </c>
      <c r="N1983">
        <v>-1.415073E-2</v>
      </c>
      <c r="O1983">
        <v>3.4423320000000002E-3</v>
      </c>
      <c r="P1983">
        <v>-0.99725870000000005</v>
      </c>
      <c r="Q1983">
        <v>-7.3846830000000002E-2</v>
      </c>
      <c r="R1983">
        <v>4.6794209999999996E-3</v>
      </c>
      <c r="S1983">
        <v>-3.0115050000000001</v>
      </c>
      <c r="T1983">
        <v>6.3714859999999998E-2</v>
      </c>
      <c r="U1983">
        <v>0.28292850000000003</v>
      </c>
      <c r="V1983">
        <v>1.2437730000000001E-3</v>
      </c>
      <c r="W1983">
        <v>-5.97274E-2</v>
      </c>
      <c r="X1983">
        <v>0.99821389999999999</v>
      </c>
      <c r="Y1983">
        <v>9.0104749999999997E-2</v>
      </c>
      <c r="Z1983">
        <v>-1.9074209999999999E-4</v>
      </c>
      <c r="AA1983">
        <v>0.99593229999999999</v>
      </c>
      <c r="AB1983">
        <v>29</v>
      </c>
      <c r="AC1983">
        <v>-108.0406</v>
      </c>
      <c r="AD1983">
        <v>2.2907459999999902</v>
      </c>
      <c r="AE1983">
        <v>10.1716999999999</v>
      </c>
      <c r="AF1983">
        <v>9.7953260651327696</v>
      </c>
      <c r="AG1983">
        <v>2.2907459999999902</v>
      </c>
      <c r="AH1983">
        <v>108.026840612906</v>
      </c>
      <c r="AI1983">
        <v>88.790167437171306</v>
      </c>
      <c r="AJ1983">
        <v>84.8188779106098</v>
      </c>
      <c r="AK1983">
        <v>108.49421285379699</v>
      </c>
      <c r="AL1983">
        <v>93.424166048598394</v>
      </c>
      <c r="AM1983">
        <v>89.928609582882501</v>
      </c>
      <c r="AN1983">
        <v>0.99999994971762096</v>
      </c>
    </row>
    <row r="1984" spans="1:40" x14ac:dyDescent="0.25">
      <c r="A1984" t="str">
        <f>"20190303154503114"</f>
        <v>20190303154503114</v>
      </c>
      <c r="B1984" t="str">
        <f>"1551599103103008"</f>
        <v>1551599103103008</v>
      </c>
      <c r="C1984" t="s">
        <v>40</v>
      </c>
      <c r="D1984">
        <v>4.2337410000000002</v>
      </c>
      <c r="E1984">
        <v>0.52976669999999904</v>
      </c>
      <c r="F1984" t="s">
        <v>58</v>
      </c>
      <c r="G1984">
        <v>-534.02750000000003</v>
      </c>
      <c r="H1984">
        <v>3.237892</v>
      </c>
      <c r="I1984">
        <v>294.55</v>
      </c>
      <c r="J1984">
        <v>-419.38600000000002</v>
      </c>
      <c r="K1984">
        <v>1.121049</v>
      </c>
      <c r="L1984">
        <v>284.3793</v>
      </c>
      <c r="M1984">
        <v>-0.99989399999999995</v>
      </c>
      <c r="N1984">
        <v>-1.414787E-2</v>
      </c>
      <c r="O1984">
        <v>3.4423520000000001E-3</v>
      </c>
      <c r="P1984">
        <v>-0.99725419999999998</v>
      </c>
      <c r="Q1984">
        <v>-7.3963749999999995E-2</v>
      </c>
      <c r="R1984">
        <v>3.6873840000000001E-3</v>
      </c>
      <c r="S1984">
        <v>-3.011139</v>
      </c>
      <c r="T1984">
        <v>5.5466059999999998E-2</v>
      </c>
      <c r="U1984">
        <v>0.26651000000000002</v>
      </c>
      <c r="V1984">
        <v>2.5185639999999998E-4</v>
      </c>
      <c r="W1984">
        <v>-5.9847249999999998E-2</v>
      </c>
      <c r="X1984">
        <v>0.99820750000000003</v>
      </c>
      <c r="Y1984">
        <v>8.4732139999999997E-2</v>
      </c>
      <c r="Z1984" s="1">
        <v>-6.6325419999999893E-5</v>
      </c>
      <c r="AA1984">
        <v>0.99640379999999995</v>
      </c>
      <c r="AB1984">
        <v>29</v>
      </c>
      <c r="AC1984">
        <v>-114.64149999999999</v>
      </c>
      <c r="AD1984">
        <v>2.1168429999999998</v>
      </c>
      <c r="AE1984">
        <v>10.1707</v>
      </c>
      <c r="AF1984">
        <v>9.7726578445550896</v>
      </c>
      <c r="AG1984">
        <v>2.1168429999999998</v>
      </c>
      <c r="AH1984">
        <v>114.63705472674199</v>
      </c>
      <c r="AI1984">
        <v>88.945941080674899</v>
      </c>
      <c r="AJ1984">
        <v>85.127391145251295</v>
      </c>
      <c r="AK1984">
        <v>115.07232587401499</v>
      </c>
      <c r="AL1984">
        <v>93.431045133181897</v>
      </c>
      <c r="AM1984">
        <v>89.9855437787662</v>
      </c>
      <c r="AN1984">
        <v>0.99999998491022901</v>
      </c>
    </row>
    <row r="1985" spans="1:40" x14ac:dyDescent="0.25">
      <c r="A1985" t="str">
        <f>"20190303154503138"</f>
        <v>20190303154503138</v>
      </c>
      <c r="B1985" t="str">
        <f>"1551599103132288"</f>
        <v>1551599103132288</v>
      </c>
      <c r="C1985" t="s">
        <v>40</v>
      </c>
      <c r="D1985">
        <v>4.2814670000000001</v>
      </c>
      <c r="E1985">
        <v>0.52795319999999901</v>
      </c>
      <c r="F1985" t="s">
        <v>58</v>
      </c>
      <c r="G1985">
        <v>-544.42409999999995</v>
      </c>
      <c r="H1985">
        <v>2.633972</v>
      </c>
      <c r="I1985">
        <v>294.55</v>
      </c>
      <c r="J1985">
        <v>-419.6816</v>
      </c>
      <c r="K1985">
        <v>1.1210500000000001</v>
      </c>
      <c r="L1985">
        <v>284.38029999999998</v>
      </c>
      <c r="M1985">
        <v>-0.99989410000000001</v>
      </c>
      <c r="N1985">
        <v>-1.414488E-2</v>
      </c>
      <c r="O1985">
        <v>3.4423740000000002E-3</v>
      </c>
      <c r="P1985">
        <v>-0.99723839999999997</v>
      </c>
      <c r="Q1985">
        <v>-7.4203450000000004E-2</v>
      </c>
      <c r="R1985">
        <v>3.0947829999999998E-3</v>
      </c>
      <c r="S1985">
        <v>-3.0100709999999999</v>
      </c>
      <c r="T1985">
        <v>3.6422969999999999E-2</v>
      </c>
      <c r="U1985">
        <v>0.24484249999999999</v>
      </c>
      <c r="V1985">
        <v>-3.406239E-4</v>
      </c>
      <c r="W1985">
        <v>-6.009014E-2</v>
      </c>
      <c r="X1985">
        <v>0.99819290000000005</v>
      </c>
      <c r="Y1985">
        <v>7.764364E-2</v>
      </c>
      <c r="Z1985">
        <v>1.7128679999999999E-4</v>
      </c>
      <c r="AA1985">
        <v>0.99698109999999995</v>
      </c>
      <c r="AB1985">
        <v>29</v>
      </c>
      <c r="AC1985">
        <v>-124.742499999999</v>
      </c>
      <c r="AD1985">
        <v>1.5129220000000001</v>
      </c>
      <c r="AE1985">
        <v>10.169700000000001</v>
      </c>
      <c r="AF1985">
        <v>9.7387633738819108</v>
      </c>
      <c r="AG1985">
        <v>1.5129220000000001</v>
      </c>
      <c r="AH1985">
        <v>124.75854170978801</v>
      </c>
      <c r="AI1985">
        <v>89.307326536762005</v>
      </c>
      <c r="AJ1985">
        <v>85.536491644063602</v>
      </c>
      <c r="AK1985">
        <v>125.14721800576901</v>
      </c>
      <c r="AL1985">
        <v>93.444986733346397</v>
      </c>
      <c r="AM1985">
        <v>90.019551642887606</v>
      </c>
      <c r="AN1985">
        <v>1.0000000032801299</v>
      </c>
    </row>
    <row r="1986" spans="1:40" x14ac:dyDescent="0.25">
      <c r="A1986" t="str">
        <f>"20190303154503159"</f>
        <v>20190303154503159</v>
      </c>
      <c r="B1986" t="str">
        <f>"1551599103152784"</f>
        <v>1551599103152784</v>
      </c>
      <c r="C1986" t="s">
        <v>40</v>
      </c>
      <c r="D1986">
        <v>4.2721970000000002</v>
      </c>
      <c r="E1986">
        <v>0.52719769999999999</v>
      </c>
      <c r="F1986" t="s">
        <v>58</v>
      </c>
      <c r="G1986">
        <v>-550.0575</v>
      </c>
      <c r="H1986">
        <v>1.9983880000000001</v>
      </c>
      <c r="I1986">
        <v>294.28789999999998</v>
      </c>
      <c r="J1986">
        <v>-419.95499999999998</v>
      </c>
      <c r="K1986">
        <v>1.121046</v>
      </c>
      <c r="L1986">
        <v>284.38130000000001</v>
      </c>
      <c r="M1986">
        <v>-0.99989410000000001</v>
      </c>
      <c r="N1986">
        <v>-1.414208E-2</v>
      </c>
      <c r="O1986">
        <v>3.4423940000000001E-3</v>
      </c>
      <c r="P1986">
        <v>-0.99720019999999998</v>
      </c>
      <c r="Q1986">
        <v>-7.4725230000000004E-2</v>
      </c>
      <c r="R1986">
        <v>2.8365759999999999E-3</v>
      </c>
      <c r="S1986">
        <v>-3.0090940000000002</v>
      </c>
      <c r="T1986">
        <v>2.0251040000000001E-2</v>
      </c>
      <c r="U1986">
        <v>0.22866819999999999</v>
      </c>
      <c r="V1986">
        <v>-5.9858359999999996E-4</v>
      </c>
      <c r="W1986">
        <v>-6.0615219999999997E-2</v>
      </c>
      <c r="X1986">
        <v>0.99816099999999996</v>
      </c>
      <c r="Y1986">
        <v>7.2343160000000004E-2</v>
      </c>
      <c r="Z1986">
        <v>3.4096499999999999E-4</v>
      </c>
      <c r="AA1986">
        <v>0.99737969999999998</v>
      </c>
      <c r="AB1986">
        <v>29</v>
      </c>
      <c r="AC1986">
        <v>-130.10249999999999</v>
      </c>
      <c r="AD1986">
        <v>0.87734199999999996</v>
      </c>
      <c r="AE1986">
        <v>9.9065999999999601</v>
      </c>
      <c r="AF1986">
        <v>9.4582048199265607</v>
      </c>
      <c r="AG1986">
        <v>0.87734199999999996</v>
      </c>
      <c r="AH1986">
        <v>130.12995134795599</v>
      </c>
      <c r="AI1986">
        <v>89.614731397947807</v>
      </c>
      <c r="AJ1986">
        <v>85.842894337964196</v>
      </c>
      <c r="AK1986">
        <v>130.476172557376</v>
      </c>
      <c r="AL1986">
        <v>93.475126649784002</v>
      </c>
      <c r="AM1986">
        <v>90.034359496969401</v>
      </c>
      <c r="AN1986">
        <v>0.99999997255948603</v>
      </c>
    </row>
    <row r="1987" spans="1:40" x14ac:dyDescent="0.25">
      <c r="A1987" t="str">
        <f>"20190303154503182"</f>
        <v>20190303154503182</v>
      </c>
      <c r="B1987" t="str">
        <f>"1551599103172305"</f>
        <v>1551599103172305</v>
      </c>
      <c r="C1987" t="s">
        <v>40</v>
      </c>
      <c r="D1987">
        <v>4.3241909999999999</v>
      </c>
      <c r="E1987">
        <v>0.52510369999999995</v>
      </c>
      <c r="F1987" t="s">
        <v>58</v>
      </c>
      <c r="G1987">
        <v>-550.05740000000003</v>
      </c>
      <c r="H1987">
        <v>1.659608</v>
      </c>
      <c r="I1987">
        <v>293.9803</v>
      </c>
      <c r="J1987">
        <v>-420.2389</v>
      </c>
      <c r="K1987">
        <v>1.121049</v>
      </c>
      <c r="L1987">
        <v>284.38229999999999</v>
      </c>
      <c r="M1987">
        <v>-0.99989419999999996</v>
      </c>
      <c r="N1987">
        <v>-1.4139179999999999E-2</v>
      </c>
      <c r="O1987">
        <v>3.442236E-3</v>
      </c>
      <c r="P1987">
        <v>-0.99721079999999995</v>
      </c>
      <c r="Q1987">
        <v>-7.4576649999999994E-2</v>
      </c>
      <c r="R1987">
        <v>3.062394E-3</v>
      </c>
      <c r="S1987">
        <v>-3.0087280000000001</v>
      </c>
      <c r="T1987">
        <v>1.245666E-2</v>
      </c>
      <c r="U1987">
        <v>0.22198490000000001</v>
      </c>
      <c r="V1987">
        <v>-3.7250569999999999E-4</v>
      </c>
      <c r="W1987">
        <v>-6.0469370000000001E-2</v>
      </c>
      <c r="X1987">
        <v>0.99817</v>
      </c>
      <c r="Y1987">
        <v>7.0148650000000007E-2</v>
      </c>
      <c r="Z1987">
        <v>4.144377E-4</v>
      </c>
      <c r="AA1987">
        <v>0.99753650000000005</v>
      </c>
      <c r="AB1987">
        <v>29</v>
      </c>
      <c r="AC1987">
        <v>-129.8185</v>
      </c>
      <c r="AD1987">
        <v>0.53855900000000001</v>
      </c>
      <c r="AE1987">
        <v>9.5980000000000096</v>
      </c>
      <c r="AF1987">
        <v>9.1508759409477491</v>
      </c>
      <c r="AG1987">
        <v>0.53855900000000001</v>
      </c>
      <c r="AH1987">
        <v>129.848550007553</v>
      </c>
      <c r="AI1987">
        <v>89.762949681167299</v>
      </c>
      <c r="AJ1987">
        <v>85.968833254405695</v>
      </c>
      <c r="AK1987">
        <v>130.17171165559401</v>
      </c>
      <c r="AL1987">
        <v>93.466754551458095</v>
      </c>
      <c r="AM1987">
        <v>90.021382132766703</v>
      </c>
      <c r="AN1987">
        <v>1.0000000161843401</v>
      </c>
    </row>
    <row r="1988" spans="1:40" x14ac:dyDescent="0.25">
      <c r="A1988" t="str">
        <f>"20190303154503205"</f>
        <v>20190303154503205</v>
      </c>
      <c r="B1988" t="str">
        <f>"1551599103192801"</f>
        <v>1551599103192801</v>
      </c>
      <c r="C1988" t="s">
        <v>40</v>
      </c>
      <c r="D1988">
        <v>4.2737790000000002</v>
      </c>
      <c r="E1988">
        <v>0.52410789999999996</v>
      </c>
      <c r="F1988" t="s">
        <v>44</v>
      </c>
      <c r="G1988">
        <v>-918.26279999999997</v>
      </c>
      <c r="H1988">
        <v>-0.1</v>
      </c>
      <c r="I1988">
        <v>318.5573</v>
      </c>
      <c r="J1988">
        <v>-420.53460000000001</v>
      </c>
      <c r="K1988">
        <v>1.121049</v>
      </c>
      <c r="L1988">
        <v>284.38330000000002</v>
      </c>
      <c r="M1988">
        <v>-0.99989430000000001</v>
      </c>
      <c r="N1988">
        <v>-1.413618E-2</v>
      </c>
      <c r="O1988">
        <v>3.4422570000000002E-3</v>
      </c>
      <c r="P1988">
        <v>-0.99717860000000003</v>
      </c>
      <c r="Q1988">
        <v>-7.4964210000000003E-2</v>
      </c>
      <c r="R1988">
        <v>3.9541690000000004E-3</v>
      </c>
      <c r="S1988">
        <v>-3.0072329999999998</v>
      </c>
      <c r="T1988">
        <v>-7.3730949999999996E-3</v>
      </c>
      <c r="U1988">
        <v>0.20635990000000001</v>
      </c>
      <c r="V1988">
        <v>5.1906700000000001E-4</v>
      </c>
      <c r="W1988">
        <v>-6.0860320000000002E-2</v>
      </c>
      <c r="X1988">
        <v>0.99814619999999998</v>
      </c>
      <c r="Y1988">
        <v>6.5024159999999998E-2</v>
      </c>
      <c r="Z1988">
        <v>5.7996109999999997E-4</v>
      </c>
      <c r="AA1988">
        <v>0.99788350000000003</v>
      </c>
      <c r="AB1988">
        <v>28</v>
      </c>
      <c r="AC1988">
        <v>-497.72820000000002</v>
      </c>
      <c r="AD1988">
        <v>-1.2210490000000001</v>
      </c>
      <c r="AE1988">
        <v>34.1739999999999</v>
      </c>
      <c r="AF1988">
        <v>32.460123708541801</v>
      </c>
      <c r="AG1988">
        <v>-1.2210490000000001</v>
      </c>
      <c r="AH1988">
        <v>497.83991586205502</v>
      </c>
      <c r="AI1988">
        <v>90.140230971709002</v>
      </c>
      <c r="AJ1988">
        <v>86.269485075666196</v>
      </c>
      <c r="AK1988">
        <v>498.89851915732498</v>
      </c>
      <c r="AL1988">
        <v>93.4891955773072</v>
      </c>
      <c r="AM1988">
        <v>89.970204419248802</v>
      </c>
      <c r="AN1988">
        <v>1.00000004227774</v>
      </c>
    </row>
    <row r="1989" spans="1:40" x14ac:dyDescent="0.25">
      <c r="A1989" t="str">
        <f>"20190303154503226"</f>
        <v>20190303154503226</v>
      </c>
      <c r="B1989" t="str">
        <f>"1551599103222079"</f>
        <v>1551599103222079</v>
      </c>
      <c r="C1989" t="s">
        <v>40</v>
      </c>
      <c r="D1989">
        <v>4.2779910000000001</v>
      </c>
      <c r="E1989">
        <v>0.52372799999999997</v>
      </c>
      <c r="F1989" t="s">
        <v>44</v>
      </c>
      <c r="G1989">
        <v>-644.54459999999995</v>
      </c>
      <c r="H1989">
        <v>-0.1</v>
      </c>
      <c r="I1989">
        <v>299.37720000000002</v>
      </c>
      <c r="J1989">
        <v>-420.81110000000001</v>
      </c>
      <c r="K1989">
        <v>1.1210519999999999</v>
      </c>
      <c r="L1989">
        <v>284.3843</v>
      </c>
      <c r="M1989">
        <v>-0.99989410000000001</v>
      </c>
      <c r="N1989">
        <v>-1.4133359999999999E-2</v>
      </c>
      <c r="O1989">
        <v>3.442456E-3</v>
      </c>
      <c r="P1989">
        <v>-0.9971622</v>
      </c>
      <c r="Q1989">
        <v>-7.513388E-2</v>
      </c>
      <c r="R1989">
        <v>4.6978330000000002E-3</v>
      </c>
      <c r="S1989">
        <v>-3.0064389999999999</v>
      </c>
      <c r="T1989">
        <v>-1.6387700000000002E-2</v>
      </c>
      <c r="U1989">
        <v>0.20123289999999999</v>
      </c>
      <c r="V1989">
        <v>1.2623249999999999E-3</v>
      </c>
      <c r="W1989">
        <v>-6.1033039999999997E-2</v>
      </c>
      <c r="X1989">
        <v>0.99813499999999999</v>
      </c>
      <c r="Y1989">
        <v>6.3345789999999999E-2</v>
      </c>
      <c r="Z1989">
        <v>6.5049029999999998E-4</v>
      </c>
      <c r="AA1989">
        <v>0.99799139999999997</v>
      </c>
      <c r="AB1989">
        <v>28</v>
      </c>
      <c r="AC1989">
        <v>-223.73349999999999</v>
      </c>
      <c r="AD1989">
        <v>-1.221052</v>
      </c>
      <c r="AE1989">
        <v>14.992900000000001</v>
      </c>
      <c r="AF1989">
        <v>14.222119688233599</v>
      </c>
      <c r="AG1989">
        <v>-1.221052</v>
      </c>
      <c r="AH1989">
        <v>223.77715607471501</v>
      </c>
      <c r="AI1989">
        <v>90.3120048970802</v>
      </c>
      <c r="AJ1989">
        <v>86.363467311013594</v>
      </c>
      <c r="AK1989">
        <v>224.23196747408801</v>
      </c>
      <c r="AL1989">
        <v>93.499110101401797</v>
      </c>
      <c r="AM1989">
        <v>89.927539003928302</v>
      </c>
      <c r="AN1989">
        <v>1.0000000518305201</v>
      </c>
    </row>
    <row r="1990" spans="1:40" x14ac:dyDescent="0.25">
      <c r="A1990" t="str">
        <f>"20190303154503249"</f>
        <v>20190303154503249</v>
      </c>
      <c r="B1990" t="str">
        <f>"1551599103242803"</f>
        <v>1551599103242803</v>
      </c>
      <c r="C1990" t="s">
        <v>40</v>
      </c>
      <c r="D1990">
        <v>4.2925319999999996</v>
      </c>
      <c r="E1990">
        <v>0.52354609999999902</v>
      </c>
      <c r="F1990" t="s">
        <v>44</v>
      </c>
      <c r="G1990">
        <v>-606.94100000000003</v>
      </c>
      <c r="H1990">
        <v>-0.1</v>
      </c>
      <c r="I1990">
        <v>296.80250000000001</v>
      </c>
      <c r="J1990">
        <v>-421.10250000000002</v>
      </c>
      <c r="K1990">
        <v>1.1210530000000001</v>
      </c>
      <c r="L1990">
        <v>284.38529999999997</v>
      </c>
      <c r="M1990">
        <v>-0.99989419999999996</v>
      </c>
      <c r="N1990">
        <v>-1.4130409999999999E-2</v>
      </c>
      <c r="O1990">
        <v>3.4422979999999999E-3</v>
      </c>
      <c r="P1990">
        <v>-0.99714820000000004</v>
      </c>
      <c r="Q1990">
        <v>-7.5288250000000001E-2</v>
      </c>
      <c r="R1990">
        <v>5.2394360000000001E-3</v>
      </c>
      <c r="S1990">
        <v>-3.0061040000000001</v>
      </c>
      <c r="T1990">
        <v>-1.9720669999999999E-2</v>
      </c>
      <c r="U1990">
        <v>0.2005615</v>
      </c>
      <c r="V1990">
        <v>1.8043639999999999E-3</v>
      </c>
      <c r="W1990">
        <v>-6.1190519999999998E-2</v>
      </c>
      <c r="X1990">
        <v>0.99812449999999997</v>
      </c>
      <c r="Y1990">
        <v>6.3130530000000004E-2</v>
      </c>
      <c r="Z1990">
        <v>6.794409E-4</v>
      </c>
      <c r="AA1990">
        <v>0.99800500000000003</v>
      </c>
      <c r="AB1990">
        <v>28</v>
      </c>
      <c r="AC1990">
        <v>-185.83850000000001</v>
      </c>
      <c r="AD1990">
        <v>-1.2210529999999999</v>
      </c>
      <c r="AE1990">
        <v>12.417199999999999</v>
      </c>
      <c r="AF1990">
        <v>11.776844857701899</v>
      </c>
      <c r="AG1990">
        <v>-1.2210529999999999</v>
      </c>
      <c r="AH1990">
        <v>185.87215798678099</v>
      </c>
      <c r="AI1990">
        <v>90.375635471179095</v>
      </c>
      <c r="AJ1990">
        <v>86.374590251007106</v>
      </c>
      <c r="AK1990">
        <v>186.248876935927</v>
      </c>
      <c r="AL1990">
        <v>93.508150025429401</v>
      </c>
      <c r="AM1990">
        <v>89.896423412822301</v>
      </c>
      <c r="AN1990">
        <v>1.0000000264837801</v>
      </c>
    </row>
    <row r="1991" spans="1:40" x14ac:dyDescent="0.25">
      <c r="A1991" t="str">
        <f>"20190303154503271"</f>
        <v>20190303154503271</v>
      </c>
      <c r="B1991" t="str">
        <f>"1551599103262300"</f>
        <v>1551599103262300</v>
      </c>
      <c r="C1991" t="s">
        <v>40</v>
      </c>
      <c r="D1991">
        <v>4.3491460000000002</v>
      </c>
      <c r="E1991">
        <v>0.52314490000000002</v>
      </c>
      <c r="F1991" t="s">
        <v>44</v>
      </c>
      <c r="G1991">
        <v>-585.53869999999995</v>
      </c>
      <c r="H1991">
        <v>-0.1</v>
      </c>
      <c r="I1991">
        <v>295.36900000000003</v>
      </c>
      <c r="J1991">
        <v>-421.37090000000001</v>
      </c>
      <c r="K1991">
        <v>1.1210519999999999</v>
      </c>
      <c r="L1991">
        <v>284.38619999999997</v>
      </c>
      <c r="M1991">
        <v>-0.99989430000000001</v>
      </c>
      <c r="N1991">
        <v>-1.412768E-2</v>
      </c>
      <c r="O1991">
        <v>3.442138E-3</v>
      </c>
      <c r="P1991">
        <v>-0.99709890000000001</v>
      </c>
      <c r="Q1991">
        <v>-7.5940469999999996E-2</v>
      </c>
      <c r="R1991">
        <v>5.1891999999999997E-3</v>
      </c>
      <c r="S1991">
        <v>-3.005798</v>
      </c>
      <c r="T1991">
        <v>-2.232015E-2</v>
      </c>
      <c r="U1991">
        <v>0.20077510000000001</v>
      </c>
      <c r="V1991">
        <v>1.7543579999999999E-3</v>
      </c>
      <c r="W1991">
        <v>-6.1846100000000001E-2</v>
      </c>
      <c r="X1991">
        <v>0.99808410000000003</v>
      </c>
      <c r="Y1991">
        <v>6.3207239999999998E-2</v>
      </c>
      <c r="Z1991">
        <v>7.0448660000000003E-4</v>
      </c>
      <c r="AA1991">
        <v>0.9980002</v>
      </c>
      <c r="AB1991">
        <v>28</v>
      </c>
      <c r="AC1991">
        <v>-164.167799999999</v>
      </c>
      <c r="AD1991">
        <v>-1.221052</v>
      </c>
      <c r="AE1991">
        <v>10.982799999999999</v>
      </c>
      <c r="AF1991">
        <v>10.4170165976308</v>
      </c>
      <c r="AG1991">
        <v>-1.221052</v>
      </c>
      <c r="AH1991">
        <v>164.195592292355</v>
      </c>
      <c r="AI1991">
        <v>90.425221352437504</v>
      </c>
      <c r="AJ1991">
        <v>86.369864532114207</v>
      </c>
      <c r="AK1991">
        <v>164.530233486187</v>
      </c>
      <c r="AL1991">
        <v>93.545783563208403</v>
      </c>
      <c r="AM1991">
        <v>89.899289843775904</v>
      </c>
      <c r="AN1991">
        <v>0.99999994426500405</v>
      </c>
    </row>
    <row r="1992" spans="1:40" x14ac:dyDescent="0.25">
      <c r="A1992" t="str">
        <f>"20190303154503294"</f>
        <v>20190303154503294</v>
      </c>
      <c r="B1992" t="str">
        <f>"1551599103282795"</f>
        <v>1551599103282795</v>
      </c>
      <c r="C1992" t="s">
        <v>40</v>
      </c>
      <c r="D1992">
        <v>4.3607740000000002</v>
      </c>
      <c r="E1992">
        <v>0.5227676</v>
      </c>
      <c r="F1992" t="s">
        <v>43</v>
      </c>
      <c r="G1992">
        <v>-558.42849999999999</v>
      </c>
      <c r="H1992">
        <v>-0.05</v>
      </c>
      <c r="I1992">
        <v>293.3827</v>
      </c>
      <c r="J1992">
        <v>-421.6635</v>
      </c>
      <c r="K1992">
        <v>1.121046</v>
      </c>
      <c r="L1992">
        <v>284.38720000000001</v>
      </c>
      <c r="M1992">
        <v>-0.99989430000000001</v>
      </c>
      <c r="N1992">
        <v>-1.4124630000000001E-2</v>
      </c>
      <c r="O1992">
        <v>3.4421600000000001E-3</v>
      </c>
      <c r="P1992">
        <v>-0.99706600000000001</v>
      </c>
      <c r="Q1992">
        <v>-7.6389680000000001E-2</v>
      </c>
      <c r="R1992">
        <v>4.8883349999999997E-3</v>
      </c>
      <c r="S1992">
        <v>-3.0057369999999999</v>
      </c>
      <c r="T1992">
        <v>-2.568173E-2</v>
      </c>
      <c r="U1992">
        <v>0.1972961</v>
      </c>
      <c r="V1992">
        <v>1.453492E-3</v>
      </c>
      <c r="W1992">
        <v>-6.2298779999999998E-2</v>
      </c>
      <c r="X1992">
        <v>0.99805650000000001</v>
      </c>
      <c r="Y1992">
        <v>6.205745E-2</v>
      </c>
      <c r="Z1992">
        <v>7.2280450000000002E-4</v>
      </c>
      <c r="AA1992">
        <v>0.99807230000000002</v>
      </c>
      <c r="AB1992">
        <v>28</v>
      </c>
      <c r="AC1992">
        <v>-136.76499999999999</v>
      </c>
      <c r="AD1992">
        <v>-1.17104599999999</v>
      </c>
      <c r="AE1992">
        <v>8.9954999999999892</v>
      </c>
      <c r="AF1992">
        <v>8.5240104565750094</v>
      </c>
      <c r="AG1992">
        <v>-1.17104599999999</v>
      </c>
      <c r="AH1992">
        <v>136.785171322824</v>
      </c>
      <c r="AI1992">
        <v>90.489559370263606</v>
      </c>
      <c r="AJ1992">
        <v>86.434123035255297</v>
      </c>
      <c r="AK1992">
        <v>137.055511369708</v>
      </c>
      <c r="AL1992">
        <v>93.571770080938805</v>
      </c>
      <c r="AM1992">
        <v>89.916558934006801</v>
      </c>
      <c r="AN1992">
        <v>1.00000001391036</v>
      </c>
    </row>
    <row r="1993" spans="1:40" x14ac:dyDescent="0.25">
      <c r="A1993" t="str">
        <f>"20190303154503316"</f>
        <v>20190303154503316</v>
      </c>
      <c r="B1993" t="str">
        <f>"1551599103312075"</f>
        <v>1551599103312075</v>
      </c>
      <c r="C1993" t="s">
        <v>40</v>
      </c>
      <c r="D1993">
        <v>4.4045209999999999</v>
      </c>
      <c r="E1993">
        <v>0.52246789999999999</v>
      </c>
      <c r="F1993" t="s">
        <v>43</v>
      </c>
      <c r="G1993">
        <v>-545.2056</v>
      </c>
      <c r="H1993">
        <v>-0.05</v>
      </c>
      <c r="I1993">
        <v>292.34370000000001</v>
      </c>
      <c r="J1993">
        <v>-421.93720000000002</v>
      </c>
      <c r="K1993">
        <v>1.1210469999999999</v>
      </c>
      <c r="L1993">
        <v>284.38819999999998</v>
      </c>
      <c r="M1993">
        <v>-0.99989450000000002</v>
      </c>
      <c r="N1993">
        <v>-1.4121740000000001E-2</v>
      </c>
      <c r="O1993">
        <v>3.4420620000000001E-3</v>
      </c>
      <c r="P1993">
        <v>-0.99703350000000002</v>
      </c>
      <c r="Q1993">
        <v>-7.6830629999999997E-2</v>
      </c>
      <c r="R1993">
        <v>4.6087080000000004E-3</v>
      </c>
      <c r="S1993">
        <v>-3.0056759999999998</v>
      </c>
      <c r="T1993">
        <v>-2.8490540000000002E-2</v>
      </c>
      <c r="U1993">
        <v>0.193573</v>
      </c>
      <c r="V1993">
        <v>1.173903E-3</v>
      </c>
      <c r="W1993">
        <v>-6.2743019999999997E-2</v>
      </c>
      <c r="X1993">
        <v>0.9980291</v>
      </c>
      <c r="Y1993">
        <v>6.0826909999999998E-2</v>
      </c>
      <c r="Z1993">
        <v>7.3393289999999995E-4</v>
      </c>
      <c r="AA1993">
        <v>0.99814809999999998</v>
      </c>
      <c r="AB1993">
        <v>28</v>
      </c>
      <c r="AC1993">
        <v>-123.2684</v>
      </c>
      <c r="AD1993">
        <v>-1.1710469999999999</v>
      </c>
      <c r="AE1993">
        <v>7.9555000000000202</v>
      </c>
      <c r="AF1993">
        <v>7.5304363339913598</v>
      </c>
      <c r="AG1993">
        <v>-1.1710469999999999</v>
      </c>
      <c r="AH1993">
        <v>123.283975499593</v>
      </c>
      <c r="AI1993">
        <v>90.543211109234903</v>
      </c>
      <c r="AJ1993">
        <v>86.504599898302203</v>
      </c>
      <c r="AK1993">
        <v>123.51929985812301</v>
      </c>
      <c r="AL1993">
        <v>93.597272832155497</v>
      </c>
      <c r="AM1993">
        <v>89.932607519720705</v>
      </c>
      <c r="AN1993">
        <v>1.00000007452688</v>
      </c>
    </row>
    <row r="1994" spans="1:40" x14ac:dyDescent="0.25">
      <c r="A1994" t="str">
        <f>"20190303154503338"</f>
        <v>20190303154503338</v>
      </c>
      <c r="B1994" t="str">
        <f>"1551599103332575"</f>
        <v>1551599103332575</v>
      </c>
      <c r="C1994" t="s">
        <v>40</v>
      </c>
      <c r="D1994">
        <v>4.4755979999999997</v>
      </c>
      <c r="E1994">
        <v>0.50377209999999994</v>
      </c>
      <c r="F1994" t="s">
        <v>43</v>
      </c>
      <c r="G1994">
        <v>-534.06230000000005</v>
      </c>
      <c r="H1994">
        <v>-0.05</v>
      </c>
      <c r="I1994">
        <v>291.52080000000001</v>
      </c>
      <c r="J1994">
        <v>-422.22070000000002</v>
      </c>
      <c r="K1994">
        <v>1.1210469999999999</v>
      </c>
      <c r="L1994">
        <v>284.38909999999998</v>
      </c>
      <c r="M1994">
        <v>-0.99989450000000002</v>
      </c>
      <c r="N1994">
        <v>-1.4118729999999999E-2</v>
      </c>
      <c r="O1994">
        <v>3.4420829999999999E-3</v>
      </c>
      <c r="P1994">
        <v>-0.99701419999999996</v>
      </c>
      <c r="Q1994">
        <v>-7.7053590000000005E-2</v>
      </c>
      <c r="R1994">
        <v>5.0673960000000001E-3</v>
      </c>
      <c r="S1994">
        <v>-3.005585</v>
      </c>
      <c r="T1994">
        <v>-3.1390670000000002E-2</v>
      </c>
      <c r="U1994">
        <v>0.19119259999999999</v>
      </c>
      <c r="V1994">
        <v>1.6328899999999999E-3</v>
      </c>
      <c r="W1994">
        <v>-6.2969220000000006E-2</v>
      </c>
      <c r="X1994">
        <v>0.99801419999999996</v>
      </c>
      <c r="Y1994">
        <v>6.0040629999999998E-2</v>
      </c>
      <c r="Z1994">
        <v>7.5017720000000005E-4</v>
      </c>
      <c r="AA1994">
        <v>0.99819559999999996</v>
      </c>
      <c r="AB1994">
        <v>28</v>
      </c>
      <c r="AC1994">
        <v>-111.8416</v>
      </c>
      <c r="AD1994">
        <v>-1.1710469999999999</v>
      </c>
      <c r="AE1994">
        <v>7.1317000000000199</v>
      </c>
      <c r="AF1994">
        <v>6.7459147553788901</v>
      </c>
      <c r="AG1994">
        <v>-1.1710469999999999</v>
      </c>
      <c r="AH1994">
        <v>111.853274500818</v>
      </c>
      <c r="AI1994">
        <v>90.598747950908006</v>
      </c>
      <c r="AJ1994">
        <v>86.5486496475515</v>
      </c>
      <c r="AK1994">
        <v>112.062633083104</v>
      </c>
      <c r="AL1994">
        <v>93.6102588451391</v>
      </c>
      <c r="AM1994">
        <v>89.906256221678902</v>
      </c>
      <c r="AN1994">
        <v>1.00000006619939</v>
      </c>
    </row>
    <row r="1995" spans="1:40" x14ac:dyDescent="0.25">
      <c r="A1995" t="str">
        <f>"20190303154503360"</f>
        <v>20190303154503360</v>
      </c>
      <c r="B1995" t="str">
        <f>"1551599103352598"</f>
        <v>1551599103352598</v>
      </c>
      <c r="C1995" t="s">
        <v>40</v>
      </c>
      <c r="D1995">
        <v>4.4830389999999998</v>
      </c>
      <c r="E1995">
        <v>0.5016351</v>
      </c>
      <c r="F1995" t="s">
        <v>55</v>
      </c>
      <c r="G1995">
        <v>-462.98840000000001</v>
      </c>
      <c r="H1995" s="1">
        <v>3.7602960000000003E-8</v>
      </c>
      <c r="I1995">
        <v>284.9796</v>
      </c>
      <c r="J1995">
        <v>-422.49759999999998</v>
      </c>
      <c r="K1995">
        <v>1.121041</v>
      </c>
      <c r="L1995">
        <v>284.39010000000002</v>
      </c>
      <c r="M1995">
        <v>-0.99989439999999996</v>
      </c>
      <c r="N1995">
        <v>-1.411578E-2</v>
      </c>
      <c r="O1995">
        <v>3.442105E-3</v>
      </c>
      <c r="P1995">
        <v>-0.99698770000000003</v>
      </c>
      <c r="Q1995">
        <v>-7.7368409999999999E-2</v>
      </c>
      <c r="R1995">
        <v>5.4306980000000003E-3</v>
      </c>
      <c r="S1995">
        <v>-3.0024410000000001</v>
      </c>
      <c r="T1995">
        <v>-8.2562449999999996E-2</v>
      </c>
      <c r="U1995">
        <v>4.348755E-2</v>
      </c>
      <c r="V1995">
        <v>1.9961060000000001E-3</v>
      </c>
      <c r="W1995">
        <v>-6.3287350000000006E-2</v>
      </c>
      <c r="X1995">
        <v>0.99799340000000003</v>
      </c>
      <c r="Y1995">
        <v>1.103437E-2</v>
      </c>
      <c r="Z1995">
        <v>1.835417E-4</v>
      </c>
      <c r="AA1995">
        <v>0.99993909999999997</v>
      </c>
      <c r="AB1995">
        <v>28</v>
      </c>
      <c r="AC1995">
        <v>-40.4908</v>
      </c>
      <c r="AD1995">
        <v>-1.1210409623970401</v>
      </c>
      <c r="AE1995">
        <v>0.58949999999998604</v>
      </c>
      <c r="AF1995">
        <v>0.44976434277141097</v>
      </c>
      <c r="AG1995">
        <v>-1.1210409623970401</v>
      </c>
      <c r="AH1995">
        <v>40.461580884373902</v>
      </c>
      <c r="AI1995">
        <v>91.586950429042304</v>
      </c>
      <c r="AJ1995">
        <v>89.363135677052099</v>
      </c>
      <c r="AK1995">
        <v>40.479606574991898</v>
      </c>
      <c r="AL1995">
        <v>93.628522838879206</v>
      </c>
      <c r="AM1995">
        <v>89.885401750400703</v>
      </c>
      <c r="AN1995">
        <v>1.0000000497763699</v>
      </c>
    </row>
    <row r="1996" spans="1:40" x14ac:dyDescent="0.25">
      <c r="A1996" t="str">
        <f>"20190303154503383"</f>
        <v>20190303154503383</v>
      </c>
      <c r="B1996" t="str">
        <f>"1551599103372117"</f>
        <v>1551599103372117</v>
      </c>
      <c r="C1996" t="s">
        <v>40</v>
      </c>
      <c r="D1996">
        <v>4.4929389999999998</v>
      </c>
      <c r="E1996">
        <v>0.50075449999999999</v>
      </c>
      <c r="F1996" t="s">
        <v>55</v>
      </c>
      <c r="G1996">
        <v>-461.74250000000001</v>
      </c>
      <c r="H1996" s="1">
        <v>-6.1544089999999999E-7</v>
      </c>
      <c r="I1996">
        <v>284.75189999999998</v>
      </c>
      <c r="J1996">
        <v>-422.78300000000002</v>
      </c>
      <c r="K1996">
        <v>1.1210389999999999</v>
      </c>
      <c r="L1996">
        <v>284.39109999999999</v>
      </c>
      <c r="M1996">
        <v>-0.99989459999999997</v>
      </c>
      <c r="N1996">
        <v>-1.411272E-2</v>
      </c>
      <c r="O1996">
        <v>3.4421270000000001E-3</v>
      </c>
      <c r="P1996">
        <v>-0.99696430000000003</v>
      </c>
      <c r="Q1996">
        <v>-7.7656840000000005E-2</v>
      </c>
      <c r="R1996">
        <v>5.6468159999999998E-3</v>
      </c>
      <c r="S1996">
        <v>-3.0022579999999999</v>
      </c>
      <c r="T1996">
        <v>-8.5760240000000001E-2</v>
      </c>
      <c r="U1996">
        <v>2.767944E-2</v>
      </c>
      <c r="V1996">
        <v>2.212402E-3</v>
      </c>
      <c r="W1996">
        <v>-6.3579129999999998E-2</v>
      </c>
      <c r="X1996">
        <v>0.99797429999999998</v>
      </c>
      <c r="Y1996">
        <v>5.7736119999999896E-3</v>
      </c>
      <c r="Z1996" s="1">
        <v>7.3471619999999896E-5</v>
      </c>
      <c r="AA1996">
        <v>0.99998330000000002</v>
      </c>
      <c r="AB1996">
        <v>28</v>
      </c>
      <c r="AC1996">
        <v>-38.959499999999899</v>
      </c>
      <c r="AD1996">
        <v>-1.1210396154408999</v>
      </c>
      <c r="AE1996">
        <v>0.36079999999998302</v>
      </c>
      <c r="AF1996">
        <v>0.226493460021371</v>
      </c>
      <c r="AG1996">
        <v>-1.1210396154408999</v>
      </c>
      <c r="AH1996">
        <v>38.928282467403697</v>
      </c>
      <c r="AI1996">
        <v>91.649494958983496</v>
      </c>
      <c r="AJ1996">
        <v>89.666644092820107</v>
      </c>
      <c r="AK1996">
        <v>38.945079342181202</v>
      </c>
      <c r="AL1996">
        <v>93.645274693744298</v>
      </c>
      <c r="AM1996">
        <v>89.872981609319993</v>
      </c>
      <c r="AN1996">
        <v>0.99999995197732705</v>
      </c>
    </row>
    <row r="1997" spans="1:40" x14ac:dyDescent="0.25">
      <c r="A1997" t="str">
        <f>"20190303154503406"</f>
        <v>20190303154503406</v>
      </c>
      <c r="B1997" t="str">
        <f>"1551599103402374"</f>
        <v>1551599103402374</v>
      </c>
      <c r="C1997" t="s">
        <v>40</v>
      </c>
      <c r="D1997">
        <v>4.5096600000000002</v>
      </c>
      <c r="E1997">
        <v>0.50035659999999904</v>
      </c>
      <c r="F1997" t="s">
        <v>55</v>
      </c>
      <c r="G1997">
        <v>-461.0675</v>
      </c>
      <c r="H1997" s="1">
        <v>-9.7078949999999991E-7</v>
      </c>
      <c r="I1997">
        <v>284.6635</v>
      </c>
      <c r="J1997">
        <v>-423.06849999999997</v>
      </c>
      <c r="K1997">
        <v>1.1210359999999999</v>
      </c>
      <c r="L1997">
        <v>284.392</v>
      </c>
      <c r="M1997">
        <v>-0.99989459999999997</v>
      </c>
      <c r="N1997">
        <v>-1.410964E-2</v>
      </c>
      <c r="O1997">
        <v>3.4421500000000002E-3</v>
      </c>
      <c r="P1997">
        <v>-0.99696830000000003</v>
      </c>
      <c r="Q1997">
        <v>-7.7599470000000004E-2</v>
      </c>
      <c r="R1997">
        <v>5.7308940000000003E-3</v>
      </c>
      <c r="S1997">
        <v>-3.0022280000000001</v>
      </c>
      <c r="T1997">
        <v>-8.7910769999999999E-2</v>
      </c>
      <c r="U1997">
        <v>2.1362300000000001E-2</v>
      </c>
      <c r="V1997">
        <v>2.296415E-3</v>
      </c>
      <c r="W1997">
        <v>-6.3524789999999998E-2</v>
      </c>
      <c r="X1997">
        <v>0.99797760000000002</v>
      </c>
      <c r="Y1997">
        <v>3.6709210000000002E-3</v>
      </c>
      <c r="Z1997" s="1">
        <v>2.743596E-5</v>
      </c>
      <c r="AA1997">
        <v>0.99999329999999997</v>
      </c>
      <c r="AB1997">
        <v>28</v>
      </c>
      <c r="AC1997">
        <v>-37.999000000000002</v>
      </c>
      <c r="AD1997">
        <v>-1.1210369707895</v>
      </c>
      <c r="AE1997">
        <v>0.27150000000000302</v>
      </c>
      <c r="AF1997">
        <v>0.14056478616103399</v>
      </c>
      <c r="AG1997">
        <v>-1.1210369707895</v>
      </c>
      <c r="AH1997">
        <v>37.966666754157202</v>
      </c>
      <c r="AI1997">
        <v>91.691262265435299</v>
      </c>
      <c r="AJ1997">
        <v>89.787873603719703</v>
      </c>
      <c r="AK1997">
        <v>37.983473600636003</v>
      </c>
      <c r="AL1997">
        <v>93.642154827554705</v>
      </c>
      <c r="AM1997">
        <v>89.868158708887606</v>
      </c>
      <c r="AN1997">
        <v>0.99999998128407797</v>
      </c>
    </row>
    <row r="1998" spans="1:40" x14ac:dyDescent="0.25">
      <c r="A1998" t="str">
        <f>"20190303154503429"</f>
        <v>20190303154503429</v>
      </c>
      <c r="B1998" t="str">
        <f>"1551599103422869"</f>
        <v>1551599103422869</v>
      </c>
      <c r="C1998" t="s">
        <v>40</v>
      </c>
      <c r="D1998">
        <v>4.542675</v>
      </c>
      <c r="E1998">
        <v>0.50029920000000005</v>
      </c>
      <c r="F1998" t="s">
        <v>55</v>
      </c>
      <c r="G1998">
        <v>-463.98149999999998</v>
      </c>
      <c r="H1998" s="1">
        <v>5.8093419999999999E-7</v>
      </c>
      <c r="I1998">
        <v>284.64030000000002</v>
      </c>
      <c r="J1998">
        <v>-423.35590000000002</v>
      </c>
      <c r="K1998">
        <v>1.1210370000000001</v>
      </c>
      <c r="L1998">
        <v>284.39299999999997</v>
      </c>
      <c r="M1998">
        <v>-0.99989470000000003</v>
      </c>
      <c r="N1998">
        <v>-1.4106520000000001E-2</v>
      </c>
      <c r="O1998">
        <v>3.4419939999999999E-3</v>
      </c>
      <c r="P1998">
        <v>-0.99694899999999997</v>
      </c>
      <c r="Q1998">
        <v>-7.7863260000000004E-2</v>
      </c>
      <c r="R1998">
        <v>5.5193330000000004E-3</v>
      </c>
      <c r="S1998">
        <v>-3.0026250000000001</v>
      </c>
      <c r="T1998">
        <v>-8.2273239999999997E-2</v>
      </c>
      <c r="U1998">
        <v>1.8218990000000001E-2</v>
      </c>
      <c r="V1998">
        <v>2.0850230000000001E-3</v>
      </c>
      <c r="W1998">
        <v>-6.3791929999999997E-2</v>
      </c>
      <c r="X1998">
        <v>0.99796099999999999</v>
      </c>
      <c r="Y1998">
        <v>2.6240819999999998E-3</v>
      </c>
      <c r="Z1998" s="1">
        <v>8.7171880000000007E-6</v>
      </c>
      <c r="AA1998">
        <v>0.99999649999999995</v>
      </c>
      <c r="AB1998">
        <v>28</v>
      </c>
      <c r="AC1998">
        <v>-40.625599999999899</v>
      </c>
      <c r="AD1998">
        <v>-1.1210364190658</v>
      </c>
      <c r="AE1998">
        <v>0.24730000000005201</v>
      </c>
      <c r="AF1998">
        <v>0.10736981251422099</v>
      </c>
      <c r="AG1998">
        <v>-1.1210364190658</v>
      </c>
      <c r="AH1998">
        <v>40.595300551097601</v>
      </c>
      <c r="AI1998">
        <v>91.581811453578396</v>
      </c>
      <c r="AJ1998">
        <v>89.848459731154605</v>
      </c>
      <c r="AK1998">
        <v>40.610918208819797</v>
      </c>
      <c r="AL1998">
        <v>93.657492016698001</v>
      </c>
      <c r="AM1998">
        <v>89.880293073311094</v>
      </c>
      <c r="AN1998">
        <v>0.99999995758751603</v>
      </c>
    </row>
    <row r="1999" spans="1:40" x14ac:dyDescent="0.25">
      <c r="A1999" t="str">
        <f>"20190303154503452"</f>
        <v>20190303154503452</v>
      </c>
      <c r="B1999" t="str">
        <f>"1551599103442916"</f>
        <v>1551599103442916</v>
      </c>
      <c r="C1999" t="s">
        <v>40</v>
      </c>
      <c r="D1999">
        <v>4.5249009999999998</v>
      </c>
      <c r="E1999">
        <v>0.49994</v>
      </c>
      <c r="F1999" t="s">
        <v>55</v>
      </c>
      <c r="G1999">
        <v>-465.0881</v>
      </c>
      <c r="H1999" s="1">
        <v>1.170315E-6</v>
      </c>
      <c r="I1999">
        <v>284.62799999999999</v>
      </c>
      <c r="J1999">
        <v>-423.64170000000001</v>
      </c>
      <c r="K1999">
        <v>1.121032</v>
      </c>
      <c r="L1999">
        <v>284.39400000000001</v>
      </c>
      <c r="M1999">
        <v>-0.99989470000000003</v>
      </c>
      <c r="N1999">
        <v>-1.41034E-2</v>
      </c>
      <c r="O1999">
        <v>3.442016E-3</v>
      </c>
      <c r="P1999">
        <v>-0.99695</v>
      </c>
      <c r="Q1999">
        <v>-7.7895399999999906E-2</v>
      </c>
      <c r="R1999">
        <v>4.824989E-3</v>
      </c>
      <c r="S1999">
        <v>-3.0027159999999999</v>
      </c>
      <c r="T1999">
        <v>-8.0660819999999994E-2</v>
      </c>
      <c r="U1999">
        <v>1.690674E-2</v>
      </c>
      <c r="V1999">
        <v>1.390662E-3</v>
      </c>
      <c r="W1999">
        <v>-6.3827170000000003E-2</v>
      </c>
      <c r="X1999">
        <v>0.99795999999999996</v>
      </c>
      <c r="Y1999">
        <v>2.1871320000000001E-3</v>
      </c>
      <c r="Z1999" s="1">
        <v>8.9705370000000003E-7</v>
      </c>
      <c r="AA1999">
        <v>0.99999760000000004</v>
      </c>
      <c r="AB1999">
        <v>28</v>
      </c>
      <c r="AC1999">
        <v>-41.446399999999898</v>
      </c>
      <c r="AD1999">
        <v>-1.121030829685</v>
      </c>
      <c r="AE1999">
        <v>0.23399999999998</v>
      </c>
      <c r="AF1999">
        <v>9.1258502650463397E-2</v>
      </c>
      <c r="AG1999">
        <v>-1.121030829685</v>
      </c>
      <c r="AH1999">
        <v>41.416661333062599</v>
      </c>
      <c r="AI1999">
        <v>91.5504509191164</v>
      </c>
      <c r="AJ1999">
        <v>89.873753257352902</v>
      </c>
      <c r="AK1999">
        <v>41.4319306117035</v>
      </c>
      <c r="AL1999">
        <v>93.659515081968706</v>
      </c>
      <c r="AM1999">
        <v>89.920158110791803</v>
      </c>
      <c r="AN1999">
        <v>1.0000000015855</v>
      </c>
    </row>
    <row r="2000" spans="1:40" x14ac:dyDescent="0.25">
      <c r="A2000" t="str">
        <f>"20190303154503473"</f>
        <v>20190303154503473</v>
      </c>
      <c r="B2000" t="str">
        <f>"1551599103462418"</f>
        <v>1551599103462418</v>
      </c>
      <c r="C2000" t="s">
        <v>40</v>
      </c>
      <c r="D2000">
        <v>4.5224989999999998</v>
      </c>
      <c r="E2000">
        <v>0.49971330000000003</v>
      </c>
      <c r="F2000" t="s">
        <v>55</v>
      </c>
      <c r="G2000">
        <v>-466.49040000000002</v>
      </c>
      <c r="H2000" s="1">
        <v>1.9193559999999998E-6</v>
      </c>
      <c r="I2000">
        <v>284.56470000000002</v>
      </c>
      <c r="J2000">
        <v>-423.90960000000001</v>
      </c>
      <c r="K2000">
        <v>1.1210329999999999</v>
      </c>
      <c r="L2000">
        <v>284.39490000000001</v>
      </c>
      <c r="M2000">
        <v>-0.99989459999999997</v>
      </c>
      <c r="N2000">
        <v>-1.410048E-2</v>
      </c>
      <c r="O2000">
        <v>3.4422160000000001E-3</v>
      </c>
      <c r="P2000">
        <v>-0.99699269999999995</v>
      </c>
      <c r="Q2000">
        <v>-7.7366870000000004E-2</v>
      </c>
      <c r="R2000">
        <v>4.4617900000000002E-3</v>
      </c>
      <c r="S2000">
        <v>-3.0029910000000002</v>
      </c>
      <c r="T2000">
        <v>-7.8565720000000006E-2</v>
      </c>
      <c r="U2000">
        <v>1.196289E-2</v>
      </c>
      <c r="V2000">
        <v>1.0271049999999999E-3</v>
      </c>
      <c r="W2000">
        <v>-6.3301029999999994E-2</v>
      </c>
      <c r="X2000">
        <v>0.99799389999999999</v>
      </c>
      <c r="Y2000">
        <v>5.4103829999999997E-4</v>
      </c>
      <c r="Z2000" s="1">
        <v>-3.0613569999999999E-5</v>
      </c>
      <c r="AA2000">
        <v>0.99999990000000005</v>
      </c>
      <c r="AB2000">
        <v>28</v>
      </c>
      <c r="AC2000">
        <v>-42.580800000000004</v>
      </c>
      <c r="AD2000">
        <v>-1.121031080644</v>
      </c>
      <c r="AE2000">
        <v>0.169800000000009</v>
      </c>
      <c r="AF2000">
        <v>2.3196023705928E-2</v>
      </c>
      <c r="AG2000">
        <v>-1.121031080644</v>
      </c>
      <c r="AH2000">
        <v>42.551639356809297</v>
      </c>
      <c r="AI2000">
        <v>91.509118970327805</v>
      </c>
      <c r="AJ2000">
        <v>89.968766558744207</v>
      </c>
      <c r="AK2000">
        <v>42.566410004735602</v>
      </c>
      <c r="AL2000">
        <v>93.6293085828637</v>
      </c>
      <c r="AM2000">
        <v>89.941032945352205</v>
      </c>
      <c r="AN2000">
        <v>0.99999994989047403</v>
      </c>
    </row>
    <row r="2001" spans="1:40" x14ac:dyDescent="0.25">
      <c r="A2001" t="str">
        <f>"20190303154503495"</f>
        <v>20190303154503495</v>
      </c>
      <c r="B2001" t="str">
        <f>"1551599103482913"</f>
        <v>1551599103482913</v>
      </c>
      <c r="C2001" t="s">
        <v>40</v>
      </c>
      <c r="D2001">
        <v>4.5423439999999999</v>
      </c>
      <c r="E2001">
        <v>0.49956129999999999</v>
      </c>
      <c r="F2001" t="s">
        <v>55</v>
      </c>
      <c r="G2001">
        <v>-468.66239999999999</v>
      </c>
      <c r="H2001" s="1">
        <v>3.0766380000000001E-6</v>
      </c>
      <c r="I2001">
        <v>284.53039999999999</v>
      </c>
      <c r="J2001">
        <v>-424.18259999999998</v>
      </c>
      <c r="K2001">
        <v>1.1210420000000001</v>
      </c>
      <c r="L2001">
        <v>284.39580000000001</v>
      </c>
      <c r="M2001">
        <v>-0.99989470000000003</v>
      </c>
      <c r="N2001">
        <v>-1.4097520000000001E-2</v>
      </c>
      <c r="O2001">
        <v>3.442058E-3</v>
      </c>
      <c r="P2001">
        <v>-0.99702919999999995</v>
      </c>
      <c r="Q2001">
        <v>-7.6924709999999993E-2</v>
      </c>
      <c r="R2001">
        <v>3.9554250000000003E-3</v>
      </c>
      <c r="S2001">
        <v>-3.003174</v>
      </c>
      <c r="T2001">
        <v>-7.5227740000000001E-2</v>
      </c>
      <c r="U2001">
        <v>9.0942379999999993E-3</v>
      </c>
      <c r="V2001">
        <v>5.2086180000000001E-4</v>
      </c>
      <c r="W2001">
        <v>-6.2861340000000002E-2</v>
      </c>
      <c r="X2001">
        <v>0.99802210000000002</v>
      </c>
      <c r="Y2001">
        <v>-4.1379829999999999E-4</v>
      </c>
      <c r="Z2001" s="1">
        <v>-4.5783489999999999E-5</v>
      </c>
      <c r="AA2001">
        <v>0.99999990000000005</v>
      </c>
      <c r="AB2001">
        <v>28</v>
      </c>
      <c r="AC2001">
        <v>-44.479799999999997</v>
      </c>
      <c r="AD2001">
        <v>-1.121038923362</v>
      </c>
      <c r="AE2001">
        <v>0.13459999999997699</v>
      </c>
      <c r="AF2001">
        <v>-1.85063098083653E-2</v>
      </c>
      <c r="AG2001">
        <v>-1.121038923362</v>
      </c>
      <c r="AH2001">
        <v>44.4517639580571</v>
      </c>
      <c r="AI2001">
        <v>91.444648665558404</v>
      </c>
      <c r="AJ2001">
        <v>90.023853572742794</v>
      </c>
      <c r="AK2001">
        <v>44.465901427206198</v>
      </c>
      <c r="AL2001">
        <v>93.604065869644401</v>
      </c>
      <c r="AM2001">
        <v>89.9700976760533</v>
      </c>
      <c r="AN2001">
        <v>0.99999996572600902</v>
      </c>
    </row>
    <row r="2002" spans="1:40" x14ac:dyDescent="0.25">
      <c r="A2002" t="str">
        <f>"20190303154503518"</f>
        <v>20190303154503518</v>
      </c>
      <c r="B2002" t="str">
        <f>"1551599103512192"</f>
        <v>1551599103512192</v>
      </c>
      <c r="C2002" t="s">
        <v>40</v>
      </c>
      <c r="D2002">
        <v>4.5369580000000003</v>
      </c>
      <c r="E2002">
        <v>0.49934149999999999</v>
      </c>
      <c r="F2002" t="s">
        <v>54</v>
      </c>
      <c r="G2002">
        <v>-470.49579999999997</v>
      </c>
      <c r="H2002" s="1">
        <v>6.3834139999999997E-6</v>
      </c>
      <c r="I2002">
        <v>284.49279999999999</v>
      </c>
      <c r="J2002">
        <v>-424.46280000000002</v>
      </c>
      <c r="K2002">
        <v>1.121041</v>
      </c>
      <c r="L2002">
        <v>284.39679999999998</v>
      </c>
      <c r="M2002">
        <v>-0.99989470000000003</v>
      </c>
      <c r="N2002">
        <v>-1.409447E-2</v>
      </c>
      <c r="O2002">
        <v>3.4420800000000001E-3</v>
      </c>
      <c r="P2002">
        <v>-0.99703220000000004</v>
      </c>
      <c r="Q2002">
        <v>-7.6886579999999996E-2</v>
      </c>
      <c r="R2002">
        <v>3.9027210000000001E-3</v>
      </c>
      <c r="S2002">
        <v>-3.0032960000000002</v>
      </c>
      <c r="T2002">
        <v>-7.2696209999999997E-2</v>
      </c>
      <c r="U2002">
        <v>6.286621E-3</v>
      </c>
      <c r="V2002">
        <v>4.6797609999999997E-4</v>
      </c>
      <c r="W2002">
        <v>-6.2826220000000002E-2</v>
      </c>
      <c r="X2002">
        <v>0.99802429999999998</v>
      </c>
      <c r="Y2002">
        <v>-1.3483900000000001E-3</v>
      </c>
      <c r="Z2002" s="1">
        <v>-6.0612799999999997E-5</v>
      </c>
      <c r="AA2002">
        <v>0.99999910000000003</v>
      </c>
      <c r="AB2002">
        <v>28</v>
      </c>
      <c r="AC2002">
        <v>-46.032999999999902</v>
      </c>
      <c r="AD2002">
        <v>-1.1210346165859999</v>
      </c>
      <c r="AE2002">
        <v>9.6000000000003596E-2</v>
      </c>
      <c r="AF2002">
        <v>-6.2428561190349299E-2</v>
      </c>
      <c r="AG2002">
        <v>-1.1210346165859999</v>
      </c>
      <c r="AH2002">
        <v>46.005773600800801</v>
      </c>
      <c r="AI2002">
        <v>91.395863606587895</v>
      </c>
      <c r="AJ2002">
        <v>90.0777487389486</v>
      </c>
      <c r="AK2002">
        <v>46.019472188900302</v>
      </c>
      <c r="AL2002">
        <v>93.602049792011897</v>
      </c>
      <c r="AM2002">
        <v>89.9731338671033</v>
      </c>
      <c r="AN2002">
        <v>0.99999992815580097</v>
      </c>
    </row>
    <row r="2003" spans="1:40" x14ac:dyDescent="0.25">
      <c r="A2003" t="str">
        <f>"20190303154503540"</f>
        <v>20190303154503540</v>
      </c>
      <c r="B2003" t="str">
        <f>"1551599103532692"</f>
        <v>1551599103532692</v>
      </c>
      <c r="C2003" t="s">
        <v>40</v>
      </c>
      <c r="D2003">
        <v>4.4930440000000003</v>
      </c>
      <c r="E2003">
        <v>0.49932109999999902</v>
      </c>
      <c r="F2003" t="s">
        <v>54</v>
      </c>
      <c r="G2003">
        <v>-470.62670000000003</v>
      </c>
      <c r="H2003" s="1">
        <v>6.3229619999999997E-6</v>
      </c>
      <c r="I2003">
        <v>284.46480000000003</v>
      </c>
      <c r="J2003">
        <v>-424.74</v>
      </c>
      <c r="K2003">
        <v>1.1210420000000001</v>
      </c>
      <c r="L2003">
        <v>284.39769999999999</v>
      </c>
      <c r="M2003">
        <v>-0.99989470000000003</v>
      </c>
      <c r="N2003">
        <v>-1.409149E-2</v>
      </c>
      <c r="O2003">
        <v>3.4421009999999999E-3</v>
      </c>
      <c r="P2003">
        <v>-0.99704060000000005</v>
      </c>
      <c r="Q2003">
        <v>-7.6783110000000002E-2</v>
      </c>
      <c r="R2003">
        <v>3.7981640000000001E-3</v>
      </c>
      <c r="S2003">
        <v>-3.0033259999999999</v>
      </c>
      <c r="T2003">
        <v>-7.2932239999999995E-2</v>
      </c>
      <c r="U2003">
        <v>4.4250490000000003E-3</v>
      </c>
      <c r="V2003">
        <v>3.6343589999999999E-4</v>
      </c>
      <c r="W2003">
        <v>-6.2725599999999895E-2</v>
      </c>
      <c r="X2003">
        <v>0.99803070000000005</v>
      </c>
      <c r="Y2003">
        <v>-1.9679710000000002E-3</v>
      </c>
      <c r="Z2003" s="1">
        <v>-7.2832149999999994E-5</v>
      </c>
      <c r="AA2003">
        <v>0.99999800000000005</v>
      </c>
      <c r="AB2003">
        <v>28</v>
      </c>
      <c r="AC2003">
        <v>-45.886699999999998</v>
      </c>
      <c r="AD2003">
        <v>-1.1210356770379999</v>
      </c>
      <c r="AE2003">
        <v>6.7100000000039003E-2</v>
      </c>
      <c r="AF2003">
        <v>-9.0808552134890003E-2</v>
      </c>
      <c r="AG2003">
        <v>-1.1210356770379999</v>
      </c>
      <c r="AH2003">
        <v>45.859288040222999</v>
      </c>
      <c r="AI2003">
        <v>91.400320425719201</v>
      </c>
      <c r="AJ2003">
        <v>90.113454442995106</v>
      </c>
      <c r="AK2003">
        <v>45.873077798840498</v>
      </c>
      <c r="AL2003">
        <v>93.596273198285502</v>
      </c>
      <c r="AM2003">
        <v>89.979135569403695</v>
      </c>
      <c r="AN2003">
        <v>0.99999995556175003</v>
      </c>
    </row>
    <row r="2004" spans="1:40" x14ac:dyDescent="0.25">
      <c r="A2004" t="str">
        <f>"20190303154503562"</f>
        <v>20190303154503562</v>
      </c>
      <c r="B2004" t="str">
        <f>"1551599103552718"</f>
        <v>1551599103552718</v>
      </c>
      <c r="C2004" t="s">
        <v>40</v>
      </c>
      <c r="D2004">
        <v>4.465452</v>
      </c>
      <c r="E2004">
        <v>0.49924750000000001</v>
      </c>
      <c r="F2004" t="s">
        <v>54</v>
      </c>
      <c r="G2004">
        <v>-470.46690000000001</v>
      </c>
      <c r="H2004" s="1">
        <v>6.3934039999999997E-6</v>
      </c>
      <c r="I2004">
        <v>284.45999999999998</v>
      </c>
      <c r="J2004">
        <v>-425.0163</v>
      </c>
      <c r="K2004">
        <v>1.1210530000000001</v>
      </c>
      <c r="L2004">
        <v>284.39870000000002</v>
      </c>
      <c r="M2004">
        <v>-0.99989490000000003</v>
      </c>
      <c r="N2004">
        <v>-1.408852E-2</v>
      </c>
      <c r="O2004">
        <v>3.4419429999999998E-3</v>
      </c>
      <c r="P2004">
        <v>-0.99706470000000003</v>
      </c>
      <c r="Q2004">
        <v>-7.6448539999999995E-2</v>
      </c>
      <c r="R2004">
        <v>4.2190609999999996E-3</v>
      </c>
      <c r="S2004">
        <v>-3.0032350000000001</v>
      </c>
      <c r="T2004">
        <v>-7.3626999999999998E-2</v>
      </c>
      <c r="U2004">
        <v>4.0893550000000002E-3</v>
      </c>
      <c r="V2004">
        <v>7.8449209999999995E-4</v>
      </c>
      <c r="W2004">
        <v>-6.2393700000000003E-2</v>
      </c>
      <c r="X2004">
        <v>0.99805129999999997</v>
      </c>
      <c r="Y2004">
        <v>-2.0794699999999999E-3</v>
      </c>
      <c r="Z2004" s="1">
        <v>-7.6016880000000006E-5</v>
      </c>
      <c r="AA2004">
        <v>0.9999979</v>
      </c>
      <c r="AB2004">
        <v>28</v>
      </c>
      <c r="AC2004">
        <v>-45.450600000000001</v>
      </c>
      <c r="AD2004">
        <v>-1.1210466065960001</v>
      </c>
      <c r="AE2004">
        <v>6.1299999999960102E-2</v>
      </c>
      <c r="AF2004">
        <v>-9.5096400422942595E-2</v>
      </c>
      <c r="AG2004">
        <v>-1.1210466065960001</v>
      </c>
      <c r="AH2004">
        <v>45.422907828246501</v>
      </c>
      <c r="AI2004">
        <v>91.413781393620496</v>
      </c>
      <c r="AJ2004">
        <v>90.119953008098506</v>
      </c>
      <c r="AK2004">
        <v>45.436839066916903</v>
      </c>
      <c r="AL2004">
        <v>93.577219270788802</v>
      </c>
      <c r="AM2004">
        <v>89.954964161527002</v>
      </c>
      <c r="AN2004">
        <v>0.99999999332961698</v>
      </c>
    </row>
    <row r="2005" spans="1:40" x14ac:dyDescent="0.25">
      <c r="A2005" t="str">
        <f>"20190303154503584"</f>
        <v>20190303154503584</v>
      </c>
      <c r="B2005" t="str">
        <f>"1551599103572237"</f>
        <v>1551599103572237</v>
      </c>
      <c r="C2005" t="s">
        <v>40</v>
      </c>
      <c r="D2005">
        <v>4.4612280000000002</v>
      </c>
      <c r="E2005">
        <v>0.49895250000000002</v>
      </c>
      <c r="F2005" t="s">
        <v>54</v>
      </c>
      <c r="G2005">
        <v>-471.38589999999999</v>
      </c>
      <c r="H2005" s="1">
        <v>5.9871550000000003E-6</v>
      </c>
      <c r="I2005">
        <v>284.47500000000002</v>
      </c>
      <c r="J2005">
        <v>-425.29739999999998</v>
      </c>
      <c r="K2005">
        <v>1.121059</v>
      </c>
      <c r="L2005">
        <v>284.39960000000002</v>
      </c>
      <c r="M2005">
        <v>-0.99989499999999998</v>
      </c>
      <c r="N2005">
        <v>-1.4085479999999999E-2</v>
      </c>
      <c r="O2005">
        <v>3.441965E-3</v>
      </c>
      <c r="P2005">
        <v>-0.9970909</v>
      </c>
      <c r="Q2005">
        <v>-7.6067850000000006E-2</v>
      </c>
      <c r="R2005">
        <v>4.8654630000000004E-3</v>
      </c>
      <c r="S2005">
        <v>-3.0032040000000002</v>
      </c>
      <c r="T2005">
        <v>-7.2606439999999994E-2</v>
      </c>
      <c r="U2005">
        <v>4.9438479999999998E-3</v>
      </c>
      <c r="V2005">
        <v>1.430738E-3</v>
      </c>
      <c r="W2005">
        <v>-6.2015699999999903E-2</v>
      </c>
      <c r="X2005">
        <v>0.99807420000000002</v>
      </c>
      <c r="Y2005">
        <v>-1.7951169999999999E-3</v>
      </c>
      <c r="Z2005" s="1">
        <v>-6.9062999999999999E-5</v>
      </c>
      <c r="AA2005">
        <v>0.99999839999999995</v>
      </c>
      <c r="AB2005">
        <v>28</v>
      </c>
      <c r="AC2005">
        <v>-46.088500000000003</v>
      </c>
      <c r="AD2005">
        <v>-1.121053012845</v>
      </c>
      <c r="AE2005">
        <v>7.5400000000001896E-2</v>
      </c>
      <c r="AF2005">
        <v>-8.3201942525076206E-2</v>
      </c>
      <c r="AG2005">
        <v>-1.121053012845</v>
      </c>
      <c r="AH2005">
        <v>46.061234287248404</v>
      </c>
      <c r="AI2005">
        <v>91.394205439953694</v>
      </c>
      <c r="AJ2005">
        <v>90.103495163405199</v>
      </c>
      <c r="AK2005">
        <v>46.074949663408603</v>
      </c>
      <c r="AL2005">
        <v>93.555519235568894</v>
      </c>
      <c r="AM2005">
        <v>89.917866634726906</v>
      </c>
      <c r="AN2005">
        <v>1.00000005138167</v>
      </c>
    </row>
    <row r="2006" spans="1:40" x14ac:dyDescent="0.25">
      <c r="A2006" t="str">
        <f>"20190303154503607"</f>
        <v>20190303154503607</v>
      </c>
      <c r="B2006" t="str">
        <f>"1551599103602492"</f>
        <v>1551599103602492</v>
      </c>
      <c r="C2006" t="s">
        <v>40</v>
      </c>
      <c r="D2006">
        <v>4.4652180000000001</v>
      </c>
      <c r="E2006">
        <v>0.49852429999999998</v>
      </c>
      <c r="F2006" t="s">
        <v>54</v>
      </c>
      <c r="G2006">
        <v>-472.30040000000002</v>
      </c>
      <c r="H2006" s="1">
        <v>5.5807219999999898E-6</v>
      </c>
      <c r="I2006">
        <v>284.46460000000002</v>
      </c>
      <c r="J2006">
        <v>-425.56830000000002</v>
      </c>
      <c r="K2006">
        <v>1.121062</v>
      </c>
      <c r="L2006">
        <v>284.4006</v>
      </c>
      <c r="M2006">
        <v>-0.99989490000000003</v>
      </c>
      <c r="N2006">
        <v>-1.4082570000000001E-2</v>
      </c>
      <c r="O2006">
        <v>3.4419849999999998E-3</v>
      </c>
      <c r="P2006">
        <v>-0.99711879999999997</v>
      </c>
      <c r="Q2006">
        <v>-7.5677809999999998E-2</v>
      </c>
      <c r="R2006">
        <v>5.205365E-3</v>
      </c>
      <c r="S2006">
        <v>-3.0032649999999999</v>
      </c>
      <c r="T2006">
        <v>-7.1629880000000007E-2</v>
      </c>
      <c r="U2006">
        <v>4.1503909999999998E-3</v>
      </c>
      <c r="V2006">
        <v>1.7705399999999999E-3</v>
      </c>
      <c r="W2006">
        <v>-6.1628219999999997E-2</v>
      </c>
      <c r="X2006">
        <v>0.99809760000000003</v>
      </c>
      <c r="Y2006">
        <v>-2.0592779999999999E-3</v>
      </c>
      <c r="Z2006" s="1">
        <v>-7.266815E-5</v>
      </c>
      <c r="AA2006">
        <v>0.9999979</v>
      </c>
      <c r="AB2006">
        <v>28</v>
      </c>
      <c r="AC2006">
        <v>-46.732100000000003</v>
      </c>
      <c r="AD2006">
        <v>-1.1210564192779999</v>
      </c>
      <c r="AE2006">
        <v>6.4000000000021304E-2</v>
      </c>
      <c r="AF2006">
        <v>-9.6811808129621799E-2</v>
      </c>
      <c r="AG2006">
        <v>-1.1210564192779999</v>
      </c>
      <c r="AH2006">
        <v>46.705165955491097</v>
      </c>
      <c r="AI2006">
        <v>91.374994201158998</v>
      </c>
      <c r="AJ2006">
        <v>90.118764165699503</v>
      </c>
      <c r="AK2006">
        <v>46.71871859278</v>
      </c>
      <c r="AL2006">
        <v>93.533275917301694</v>
      </c>
      <c r="AM2006">
        <v>89.898362281352306</v>
      </c>
      <c r="AN2006">
        <v>0.99999999571900999</v>
      </c>
    </row>
    <row r="2007" spans="1:40" x14ac:dyDescent="0.25">
      <c r="A2007" t="str">
        <f>"20190303154503629"</f>
        <v>20190303154503629</v>
      </c>
      <c r="B2007" t="str">
        <f>"1551599103622989"</f>
        <v>1551599103622989</v>
      </c>
      <c r="C2007" t="s">
        <v>40</v>
      </c>
      <c r="D2007">
        <v>4.4346620000000003</v>
      </c>
      <c r="E2007">
        <v>0.49833830000000001</v>
      </c>
      <c r="F2007" t="s">
        <v>54</v>
      </c>
      <c r="G2007">
        <v>-473.56700000000001</v>
      </c>
      <c r="H2007" s="1">
        <v>5.0157960000000002E-6</v>
      </c>
      <c r="I2007">
        <v>284.42790000000002</v>
      </c>
      <c r="J2007">
        <v>-425.85390000000001</v>
      </c>
      <c r="K2007">
        <v>1.1210629999999999</v>
      </c>
      <c r="L2007">
        <v>284.40159999999997</v>
      </c>
      <c r="M2007">
        <v>-0.99989499999999998</v>
      </c>
      <c r="N2007">
        <v>-1.407952E-2</v>
      </c>
      <c r="O2007">
        <v>3.4418280000000001E-3</v>
      </c>
      <c r="P2007">
        <v>-0.99718209999999996</v>
      </c>
      <c r="Q2007">
        <v>-7.4805689999999994E-2</v>
      </c>
      <c r="R2007">
        <v>5.6553899999999997E-3</v>
      </c>
      <c r="S2007">
        <v>-3.0032960000000002</v>
      </c>
      <c r="T2007">
        <v>-7.0144890000000001E-2</v>
      </c>
      <c r="U2007">
        <v>1.708984E-3</v>
      </c>
      <c r="V2007">
        <v>2.2204519999999999E-3</v>
      </c>
      <c r="W2007">
        <v>-6.0758329999999999E-2</v>
      </c>
      <c r="X2007">
        <v>0.99815010000000004</v>
      </c>
      <c r="Y2007">
        <v>-2.8717320000000001E-3</v>
      </c>
      <c r="Z2007" s="1">
        <v>-8.5670179999999997E-5</v>
      </c>
      <c r="AA2007">
        <v>0.99999590000000005</v>
      </c>
      <c r="AB2007">
        <v>28</v>
      </c>
      <c r="AC2007">
        <v>-47.713099999999898</v>
      </c>
      <c r="AD2007">
        <v>-1.1210579842039901</v>
      </c>
      <c r="AE2007">
        <v>2.6300000000048802E-2</v>
      </c>
      <c r="AF2007">
        <v>-0.13786060494994401</v>
      </c>
      <c r="AG2007">
        <v>-1.1210579842039901</v>
      </c>
      <c r="AH2007">
        <v>47.686582343749301</v>
      </c>
      <c r="AI2007">
        <v>91.346705732076202</v>
      </c>
      <c r="AJ2007">
        <v>90.165640069621901</v>
      </c>
      <c r="AK2007">
        <v>47.699957150688597</v>
      </c>
      <c r="AL2007">
        <v>93.483341072427706</v>
      </c>
      <c r="AM2007">
        <v>89.872541896905105</v>
      </c>
      <c r="AN2007">
        <v>1.00000006360073</v>
      </c>
    </row>
    <row r="2008" spans="1:40" x14ac:dyDescent="0.25">
      <c r="A2008" t="str">
        <f>"20190303154503651"</f>
        <v>20190303154503651</v>
      </c>
      <c r="B2008" t="str">
        <f>"1551599103643035"</f>
        <v>1551599103643035</v>
      </c>
      <c r="C2008" t="s">
        <v>40</v>
      </c>
      <c r="D2008">
        <v>4.40998</v>
      </c>
      <c r="E2008">
        <v>0.49817600000000001</v>
      </c>
      <c r="F2008" t="s">
        <v>54</v>
      </c>
      <c r="G2008">
        <v>-476.15350000000001</v>
      </c>
      <c r="H2008" s="1">
        <v>3.8688799999999998E-6</v>
      </c>
      <c r="I2008">
        <v>284.42860000000002</v>
      </c>
      <c r="J2008">
        <v>-426.1259</v>
      </c>
      <c r="K2008">
        <v>1.121068</v>
      </c>
      <c r="L2008">
        <v>284.40249999999997</v>
      </c>
      <c r="M2008">
        <v>-0.99989499999999998</v>
      </c>
      <c r="N2008">
        <v>-1.4076699999999999E-2</v>
      </c>
      <c r="O2008">
        <v>3.441847E-3</v>
      </c>
      <c r="P2008">
        <v>-0.99717520000000004</v>
      </c>
      <c r="Q2008">
        <v>-7.4872690000000006E-2</v>
      </c>
      <c r="R2008">
        <v>5.9769829999999999E-3</v>
      </c>
      <c r="S2008">
        <v>-3.0034480000000001</v>
      </c>
      <c r="T2008">
        <v>-6.6939830000000006E-2</v>
      </c>
      <c r="U2008">
        <v>1.617432E-3</v>
      </c>
      <c r="V2008">
        <v>2.5420719999999998E-3</v>
      </c>
      <c r="W2008">
        <v>-6.0828229999999997E-2</v>
      </c>
      <c r="X2008">
        <v>0.99814499999999995</v>
      </c>
      <c r="Y2008">
        <v>-2.902375E-3</v>
      </c>
      <c r="Z2008" s="1">
        <v>-8.102358E-5</v>
      </c>
      <c r="AA2008">
        <v>0.99999579999999999</v>
      </c>
      <c r="AB2008">
        <v>28</v>
      </c>
      <c r="AC2008">
        <v>-50.0276</v>
      </c>
      <c r="AD2008">
        <v>-1.12106413112</v>
      </c>
      <c r="AE2008">
        <v>2.6100000000042201E-2</v>
      </c>
      <c r="AF2008">
        <v>-0.14603123003612201</v>
      </c>
      <c r="AG2008">
        <v>-1.12106413112</v>
      </c>
      <c r="AH2008">
        <v>50.002284351108401</v>
      </c>
      <c r="AI2008">
        <v>91.284365525892795</v>
      </c>
      <c r="AJ2008">
        <v>90.167331342533998</v>
      </c>
      <c r="AK2008">
        <v>50.015063233343298</v>
      </c>
      <c r="AL2008">
        <v>93.4873537312926</v>
      </c>
      <c r="AM2008">
        <v>89.854079635808404</v>
      </c>
      <c r="AN2008">
        <v>0.99999998835999204</v>
      </c>
    </row>
    <row r="2009" spans="1:40" x14ac:dyDescent="0.25">
      <c r="A2009" t="str">
        <f>"20190303154503674"</f>
        <v>20190303154503674</v>
      </c>
      <c r="B2009" t="str">
        <f>"1551599103662535"</f>
        <v>1551599103662535</v>
      </c>
      <c r="C2009" t="s">
        <v>40</v>
      </c>
      <c r="D2009">
        <v>4.4170339999999904</v>
      </c>
      <c r="E2009">
        <v>0.49803890000000001</v>
      </c>
      <c r="F2009" t="s">
        <v>54</v>
      </c>
      <c r="G2009">
        <v>-476.72879999999998</v>
      </c>
      <c r="H2009" s="1">
        <v>3.6133729999999999E-6</v>
      </c>
      <c r="I2009">
        <v>284.42410000000001</v>
      </c>
      <c r="J2009">
        <v>-426.4051</v>
      </c>
      <c r="K2009">
        <v>1.121067</v>
      </c>
      <c r="L2009">
        <v>284.40339999999998</v>
      </c>
      <c r="M2009">
        <v>-0.99989499999999998</v>
      </c>
      <c r="N2009">
        <v>-1.4073799999999999E-2</v>
      </c>
      <c r="O2009">
        <v>3.4418679999999998E-3</v>
      </c>
      <c r="P2009">
        <v>-0.99718499999999999</v>
      </c>
      <c r="Q2009">
        <v>-7.4736220000000006E-2</v>
      </c>
      <c r="R2009">
        <v>6.0573440000000001E-3</v>
      </c>
      <c r="S2009">
        <v>-3.0035099999999999</v>
      </c>
      <c r="T2009">
        <v>-6.654024E-2</v>
      </c>
      <c r="U2009">
        <v>1.2817379999999999E-3</v>
      </c>
      <c r="V2009">
        <v>2.6223819999999999E-3</v>
      </c>
      <c r="W2009">
        <v>-6.0694529999999997E-2</v>
      </c>
      <c r="X2009">
        <v>0.99815299999999996</v>
      </c>
      <c r="Y2009">
        <v>-3.014142E-3</v>
      </c>
      <c r="Z2009" s="1">
        <v>-8.2401070000000004E-5</v>
      </c>
      <c r="AA2009">
        <v>0.99999550000000004</v>
      </c>
      <c r="AB2009">
        <v>28</v>
      </c>
      <c r="AC2009">
        <v>-50.323699999999903</v>
      </c>
      <c r="AD2009">
        <v>-1.1210633866269999</v>
      </c>
      <c r="AE2009">
        <v>2.07000000000334E-2</v>
      </c>
      <c r="AF2009">
        <v>-0.15244916230323299</v>
      </c>
      <c r="AG2009">
        <v>-1.1210633866269999</v>
      </c>
      <c r="AH2009">
        <v>50.298511638623602</v>
      </c>
      <c r="AI2009">
        <v>91.276802647586194</v>
      </c>
      <c r="AJ2009">
        <v>90.173656566753394</v>
      </c>
      <c r="AK2009">
        <v>50.311234301343397</v>
      </c>
      <c r="AL2009">
        <v>93.479678865619803</v>
      </c>
      <c r="AM2009">
        <v>89.849470897571805</v>
      </c>
      <c r="AN2009">
        <v>1.0000000571341301</v>
      </c>
    </row>
    <row r="2010" spans="1:40" x14ac:dyDescent="0.25">
      <c r="A2010" t="str">
        <f>"20190303154503695"</f>
        <v>20190303154503695</v>
      </c>
      <c r="B2010" t="str">
        <f>"1551599103683031"</f>
        <v>1551599103683031</v>
      </c>
      <c r="C2010" t="s">
        <v>40</v>
      </c>
      <c r="D2010">
        <v>4.3646520000000004</v>
      </c>
      <c r="E2010">
        <v>0.49792999999999998</v>
      </c>
      <c r="F2010" t="s">
        <v>54</v>
      </c>
      <c r="G2010">
        <v>-477.62830000000002</v>
      </c>
      <c r="H2010" s="1">
        <v>3.2136309999999998E-6</v>
      </c>
      <c r="I2010">
        <v>284.4144</v>
      </c>
      <c r="J2010">
        <v>-426.66849999999999</v>
      </c>
      <c r="K2010">
        <v>1.121067</v>
      </c>
      <c r="L2010">
        <v>284.40440000000001</v>
      </c>
      <c r="M2010">
        <v>-0.99989519999999998</v>
      </c>
      <c r="N2010">
        <v>-1.407101E-2</v>
      </c>
      <c r="O2010">
        <v>3.4418869999999998E-3</v>
      </c>
      <c r="P2010">
        <v>-0.99723150000000005</v>
      </c>
      <c r="Q2010">
        <v>-7.4115559999999997E-2</v>
      </c>
      <c r="R2010">
        <v>6.0454069999999896E-3</v>
      </c>
      <c r="S2010">
        <v>-3.0035400000000001</v>
      </c>
      <c r="T2010">
        <v>-6.5735100000000005E-2</v>
      </c>
      <c r="U2010">
        <v>6.408691E-4</v>
      </c>
      <c r="V2010">
        <v>2.6103760000000002E-3</v>
      </c>
      <c r="W2010">
        <v>-6.0076060000000001E-2</v>
      </c>
      <c r="X2010">
        <v>0.99819040000000003</v>
      </c>
      <c r="Y2010">
        <v>-3.2274830000000002E-3</v>
      </c>
      <c r="Z2010" s="1">
        <v>-8.4914829999999998E-5</v>
      </c>
      <c r="AA2010">
        <v>0.99999479999999996</v>
      </c>
      <c r="AB2010">
        <v>28</v>
      </c>
      <c r="AC2010">
        <v>-50.959800000000001</v>
      </c>
      <c r="AD2010">
        <v>-1.1210637863689901</v>
      </c>
      <c r="AE2010">
        <v>9.9999999999908998E-3</v>
      </c>
      <c r="AF2010">
        <v>-0.16533526189345499</v>
      </c>
      <c r="AG2010">
        <v>-1.1210637863689901</v>
      </c>
      <c r="AH2010">
        <v>50.934882308393497</v>
      </c>
      <c r="AI2010">
        <v>91.260855300286494</v>
      </c>
      <c r="AJ2010">
        <v>90.185982160181197</v>
      </c>
      <c r="AK2010">
        <v>50.9474862533161</v>
      </c>
      <c r="AL2010">
        <v>93.444178522586199</v>
      </c>
      <c r="AM2010">
        <v>89.850165673002806</v>
      </c>
      <c r="AN2010">
        <v>1.00000001085007</v>
      </c>
    </row>
    <row r="2011" spans="1:40" x14ac:dyDescent="0.25">
      <c r="A2011" t="str">
        <f>"20190303154503719"</f>
        <v>20190303154503719</v>
      </c>
      <c r="B2011" t="str">
        <f>"1551599103712311"</f>
        <v>1551599103712311</v>
      </c>
      <c r="C2011" t="s">
        <v>40</v>
      </c>
      <c r="D2011">
        <v>4.3200609999999999</v>
      </c>
      <c r="E2011">
        <v>0.47522360000000002</v>
      </c>
      <c r="F2011" t="s">
        <v>54</v>
      </c>
      <c r="G2011">
        <v>-479.6979</v>
      </c>
      <c r="H2011" s="1">
        <v>2.294453E-6</v>
      </c>
      <c r="I2011">
        <v>284.39839999999998</v>
      </c>
      <c r="J2011">
        <v>-426.95359999999999</v>
      </c>
      <c r="K2011">
        <v>1.1210599999999999</v>
      </c>
      <c r="L2011">
        <v>284.40530000000001</v>
      </c>
      <c r="M2011">
        <v>-0.99989530000000004</v>
      </c>
      <c r="N2011">
        <v>-1.4067949999999999E-2</v>
      </c>
      <c r="O2011">
        <v>3.44173E-3</v>
      </c>
      <c r="P2011">
        <v>-0.99729230000000002</v>
      </c>
      <c r="Q2011">
        <v>-7.3255870000000001E-2</v>
      </c>
      <c r="R2011">
        <v>6.4669489999999996E-3</v>
      </c>
      <c r="S2011">
        <v>-3.0036010000000002</v>
      </c>
      <c r="T2011">
        <v>-6.3497419999999999E-2</v>
      </c>
      <c r="U2011">
        <v>-3.3569339999999902E-4</v>
      </c>
      <c r="V2011">
        <v>3.0317679999999998E-3</v>
      </c>
      <c r="W2011">
        <v>-5.9218659999999999E-2</v>
      </c>
      <c r="X2011">
        <v>0.99824040000000003</v>
      </c>
      <c r="Y2011">
        <v>-3.552426E-3</v>
      </c>
      <c r="Z2011" s="1">
        <v>-8.687194E-5</v>
      </c>
      <c r="AA2011">
        <v>0.99999369999999999</v>
      </c>
      <c r="AB2011">
        <v>28</v>
      </c>
      <c r="AC2011">
        <v>-52.744300000000003</v>
      </c>
      <c r="AD2011">
        <v>-1.1210577055469999</v>
      </c>
      <c r="AE2011">
        <v>-6.9000000000300999E-3</v>
      </c>
      <c r="AF2011">
        <v>-0.18836443667406899</v>
      </c>
      <c r="AG2011">
        <v>-1.1210577055469999</v>
      </c>
      <c r="AH2011">
        <v>52.720147101650099</v>
      </c>
      <c r="AI2011">
        <v>91.218164026806406</v>
      </c>
      <c r="AJ2011">
        <v>90.204711896701994</v>
      </c>
      <c r="AK2011">
        <v>52.732401443133597</v>
      </c>
      <c r="AL2011">
        <v>93.394965640090206</v>
      </c>
      <c r="AM2011">
        <v>89.825986829655207</v>
      </c>
      <c r="AN2011">
        <v>0.99999996875078001</v>
      </c>
    </row>
    <row r="2012" spans="1:40" x14ac:dyDescent="0.25">
      <c r="A2012" t="str">
        <f>"20190303154503740"</f>
        <v>20190303154503740</v>
      </c>
      <c r="B2012" t="str">
        <f>"1551599103732808"</f>
        <v>1551599103732808</v>
      </c>
      <c r="C2012" t="s">
        <v>40</v>
      </c>
      <c r="D2012">
        <v>4.5853449999999896</v>
      </c>
      <c r="E2012">
        <v>0.46930440000000001</v>
      </c>
      <c r="F2012" t="s">
        <v>54</v>
      </c>
      <c r="G2012">
        <v>-483.23590000000002</v>
      </c>
      <c r="H2012" s="1">
        <v>2.4660779999999998E-6</v>
      </c>
      <c r="I2012">
        <v>281.02839999999998</v>
      </c>
      <c r="J2012">
        <v>-427.2183</v>
      </c>
      <c r="K2012">
        <v>1.1210599999999999</v>
      </c>
      <c r="L2012">
        <v>284.40629999999999</v>
      </c>
      <c r="M2012">
        <v>-0.99989530000000004</v>
      </c>
      <c r="N2012">
        <v>-1.406513E-2</v>
      </c>
      <c r="O2012">
        <v>3.4417499999999999E-3</v>
      </c>
      <c r="P2012">
        <v>-0.99726490000000001</v>
      </c>
      <c r="Q2012">
        <v>-7.3579599999999995E-2</v>
      </c>
      <c r="R2012">
        <v>7.0117110000000003E-3</v>
      </c>
      <c r="S2012">
        <v>-3.0049130000000002</v>
      </c>
      <c r="T2012">
        <v>-5.9853320000000002E-2</v>
      </c>
      <c r="U2012">
        <v>-0.18029790000000001</v>
      </c>
      <c r="V2012">
        <v>3.5767730000000001E-3</v>
      </c>
      <c r="W2012">
        <v>-5.9545550000000003E-2</v>
      </c>
      <c r="X2012">
        <v>0.99821919999999997</v>
      </c>
      <c r="Y2012">
        <v>-6.3307429999999998E-2</v>
      </c>
      <c r="Z2012">
        <v>-1.0956989999999999E-3</v>
      </c>
      <c r="AA2012">
        <v>0.99799349999999998</v>
      </c>
      <c r="AB2012">
        <v>28</v>
      </c>
      <c r="AC2012">
        <v>-56.017600000000002</v>
      </c>
      <c r="AD2012">
        <v>-1.1210575339219999</v>
      </c>
      <c r="AE2012">
        <v>-3.3779000000000101</v>
      </c>
      <c r="AF2012">
        <v>-3.56927328100151</v>
      </c>
      <c r="AG2012">
        <v>-1.1210575339219999</v>
      </c>
      <c r="AH2012">
        <v>55.983300815331603</v>
      </c>
      <c r="AI2012">
        <v>91.144862551900403</v>
      </c>
      <c r="AJ2012">
        <v>93.648014210175305</v>
      </c>
      <c r="AK2012">
        <v>56.108167426220099</v>
      </c>
      <c r="AL2012">
        <v>93.413727997710794</v>
      </c>
      <c r="AM2012">
        <v>89.794701283911905</v>
      </c>
      <c r="AN2012">
        <v>1.0000000185392599</v>
      </c>
    </row>
    <row r="2013" spans="1:40" x14ac:dyDescent="0.25">
      <c r="A2013" t="str">
        <f>"20190303154503764"</f>
        <v>20190303154503764</v>
      </c>
      <c r="B2013" t="str">
        <f>"1551599103752327"</f>
        <v>1551599103752327</v>
      </c>
      <c r="C2013" t="s">
        <v>40</v>
      </c>
      <c r="D2013">
        <v>4.2807029999999999</v>
      </c>
      <c r="E2013">
        <v>0.4661904</v>
      </c>
      <c r="F2013" t="s">
        <v>54</v>
      </c>
      <c r="G2013">
        <v>-473.92259999999999</v>
      </c>
      <c r="H2013" s="1">
        <v>4.5494199999999997E-6</v>
      </c>
      <c r="I2013">
        <v>280.89670000000001</v>
      </c>
      <c r="J2013">
        <v>-427.50310000000002</v>
      </c>
      <c r="K2013">
        <v>1.1210580000000001</v>
      </c>
      <c r="L2013">
        <v>284.40730000000002</v>
      </c>
      <c r="M2013">
        <v>-0.99989530000000004</v>
      </c>
      <c r="N2013">
        <v>-1.4062059999999999E-2</v>
      </c>
      <c r="O2013">
        <v>3.441951E-3</v>
      </c>
      <c r="P2013">
        <v>-0.99722120000000003</v>
      </c>
      <c r="Q2013">
        <v>-7.4157479999999998E-2</v>
      </c>
      <c r="R2013">
        <v>7.1259309999999899E-3</v>
      </c>
      <c r="S2013">
        <v>-3.0044559999999998</v>
      </c>
      <c r="T2013">
        <v>-7.2116730000000004E-2</v>
      </c>
      <c r="U2013">
        <v>-0.225769</v>
      </c>
      <c r="V2013">
        <v>3.6908259999999999E-3</v>
      </c>
      <c r="W2013">
        <v>-6.0127050000000001E-2</v>
      </c>
      <c r="X2013">
        <v>0.99818390000000001</v>
      </c>
      <c r="Y2013">
        <v>-7.8329830000000003E-2</v>
      </c>
      <c r="Z2013">
        <v>-1.5244569999999999E-3</v>
      </c>
      <c r="AA2013">
        <v>0.99692630000000004</v>
      </c>
      <c r="AB2013">
        <v>28</v>
      </c>
      <c r="AC2013">
        <v>-46.4194999999999</v>
      </c>
      <c r="AD2013">
        <v>-1.1210534505799901</v>
      </c>
      <c r="AE2013">
        <v>-3.5106000000000099</v>
      </c>
      <c r="AF2013">
        <v>-3.6682413089940602</v>
      </c>
      <c r="AG2013">
        <v>-1.1210534505799901</v>
      </c>
      <c r="AH2013">
        <v>46.3802432231398</v>
      </c>
      <c r="AI2013">
        <v>91.380313721861</v>
      </c>
      <c r="AJ2013">
        <v>94.522144153554805</v>
      </c>
      <c r="AK2013">
        <v>46.5385830959396</v>
      </c>
      <c r="AL2013">
        <v>93.447105392774006</v>
      </c>
      <c r="AM2013">
        <v>89.788147465607395</v>
      </c>
      <c r="AN2013">
        <v>0.99999999127873695</v>
      </c>
    </row>
    <row r="2014" spans="1:40" x14ac:dyDescent="0.25">
      <c r="A2014" t="str">
        <f>"20190303154503786"</f>
        <v>20190303154503786</v>
      </c>
      <c r="B2014" t="str">
        <f>"1551599103782583"</f>
        <v>1551599103782583</v>
      </c>
      <c r="C2014" t="s">
        <v>40</v>
      </c>
      <c r="D2014">
        <v>4.2049989999999999</v>
      </c>
      <c r="E2014">
        <v>0.46351209999999998</v>
      </c>
      <c r="F2014" t="s">
        <v>55</v>
      </c>
      <c r="G2014">
        <v>-465.7278</v>
      </c>
      <c r="H2014" s="1">
        <v>1.6595379999999999E-6</v>
      </c>
      <c r="I2014">
        <v>281.22410000000002</v>
      </c>
      <c r="J2014">
        <v>-427.77949999999998</v>
      </c>
      <c r="K2014">
        <v>1.1210610000000001</v>
      </c>
      <c r="L2014">
        <v>284.40820000000002</v>
      </c>
      <c r="M2014">
        <v>-0.99989530000000004</v>
      </c>
      <c r="N2014">
        <v>-1.405907E-2</v>
      </c>
      <c r="O2014">
        <v>3.4417929999999998E-3</v>
      </c>
      <c r="P2014">
        <v>-0.99719349999999995</v>
      </c>
      <c r="Q2014">
        <v>-7.4570849999999994E-2</v>
      </c>
      <c r="R2014">
        <v>6.6744480000000004E-3</v>
      </c>
      <c r="S2014">
        <v>-3.0035400000000001</v>
      </c>
      <c r="T2014">
        <v>-8.808792E-2</v>
      </c>
      <c r="U2014">
        <v>-0.25012210000000001</v>
      </c>
      <c r="V2014">
        <v>3.239544E-3</v>
      </c>
      <c r="W2014">
        <v>-6.0543739999999999E-2</v>
      </c>
      <c r="X2014">
        <v>0.9981603</v>
      </c>
      <c r="Y2014">
        <v>-8.6363209999999996E-2</v>
      </c>
      <c r="Z2014">
        <v>-1.9247859999999999E-3</v>
      </c>
      <c r="AA2014">
        <v>0.99626179999999998</v>
      </c>
      <c r="AB2014">
        <v>27</v>
      </c>
      <c r="AC2014">
        <v>-37.948300000000003</v>
      </c>
      <c r="AD2014">
        <v>-1.121059340462</v>
      </c>
      <c r="AE2014">
        <v>-3.1840999999999999</v>
      </c>
      <c r="AF2014">
        <v>-3.3118341507149398</v>
      </c>
      <c r="AG2014">
        <v>-1.121059340462</v>
      </c>
      <c r="AH2014">
        <v>37.9042667230379</v>
      </c>
      <c r="AI2014">
        <v>91.687664320838195</v>
      </c>
      <c r="AJ2014">
        <v>94.993460226782403</v>
      </c>
      <c r="AK2014">
        <v>38.065186920569303</v>
      </c>
      <c r="AL2014">
        <v>93.471023475253105</v>
      </c>
      <c r="AM2014">
        <v>89.814046354033493</v>
      </c>
      <c r="AN2014">
        <v>1.0000000117973</v>
      </c>
    </row>
    <row r="2015" spans="1:40" x14ac:dyDescent="0.25">
      <c r="A2015" t="str">
        <f>"20190303154503808"</f>
        <v>20190303154503808</v>
      </c>
      <c r="B2015" t="str">
        <f>"1551599103803079"</f>
        <v>1551599103803079</v>
      </c>
      <c r="C2015" t="s">
        <v>40</v>
      </c>
      <c r="D2015">
        <v>4.1729880000000001</v>
      </c>
      <c r="E2015">
        <v>0.4625146</v>
      </c>
      <c r="F2015" t="s">
        <v>55</v>
      </c>
      <c r="G2015">
        <v>-463.70609999999999</v>
      </c>
      <c r="H2015" s="1">
        <v>5.8732340000000005E-7</v>
      </c>
      <c r="I2015">
        <v>281.14080000000001</v>
      </c>
      <c r="J2015">
        <v>-428.05259999999998</v>
      </c>
      <c r="K2015">
        <v>1.1210610000000001</v>
      </c>
      <c r="L2015">
        <v>284.40910000000002</v>
      </c>
      <c r="M2015">
        <v>-0.99989530000000004</v>
      </c>
      <c r="N2015">
        <v>-1.405614E-2</v>
      </c>
      <c r="O2015">
        <v>3.4418130000000002E-3</v>
      </c>
      <c r="P2015">
        <v>-0.99720149999999996</v>
      </c>
      <c r="Q2015">
        <v>-7.459433E-2</v>
      </c>
      <c r="R2015">
        <v>5.0135240000000001E-3</v>
      </c>
      <c r="S2015">
        <v>-3.0032040000000002</v>
      </c>
      <c r="T2015">
        <v>-9.3712690000000001E-2</v>
      </c>
      <c r="U2015">
        <v>-0.27313229999999999</v>
      </c>
      <c r="V2015">
        <v>1.578697E-3</v>
      </c>
      <c r="W2015">
        <v>-6.0570060000000002E-2</v>
      </c>
      <c r="X2015">
        <v>0.99816269999999996</v>
      </c>
      <c r="Y2015">
        <v>-9.3934199999999995E-2</v>
      </c>
      <c r="Z2015">
        <v>-2.182883E-3</v>
      </c>
      <c r="AA2015">
        <v>0.99557600000000002</v>
      </c>
      <c r="AB2015">
        <v>27</v>
      </c>
      <c r="AC2015">
        <v>-35.653500000000001</v>
      </c>
      <c r="AD2015">
        <v>-1.1210604126765999</v>
      </c>
      <c r="AE2015">
        <v>-3.2683</v>
      </c>
      <c r="AF2015">
        <v>-3.38768403048716</v>
      </c>
      <c r="AG2015">
        <v>-1.1210604126765999</v>
      </c>
      <c r="AH2015">
        <v>35.607128259582602</v>
      </c>
      <c r="AI2015">
        <v>91.795212372137996</v>
      </c>
      <c r="AJ2015">
        <v>95.434796897417797</v>
      </c>
      <c r="AK2015">
        <v>35.785482565331598</v>
      </c>
      <c r="AL2015">
        <v>93.472534313649405</v>
      </c>
      <c r="AM2015">
        <v>89.909380905729506</v>
      </c>
      <c r="AN2015">
        <v>1.00000000006195</v>
      </c>
    </row>
    <row r="2016" spans="1:40" x14ac:dyDescent="0.25">
      <c r="A2016" t="str">
        <f>"20190303154503833"</f>
        <v>20190303154503833</v>
      </c>
      <c r="B2016" t="str">
        <f>"1551599103822600"</f>
        <v>1551599103822600</v>
      </c>
      <c r="C2016" t="s">
        <v>40</v>
      </c>
      <c r="D2016">
        <v>4.17157</v>
      </c>
      <c r="E2016">
        <v>0.46158850000000001</v>
      </c>
      <c r="F2016" t="s">
        <v>55</v>
      </c>
      <c r="G2016">
        <v>-464.17899999999997</v>
      </c>
      <c r="H2016" s="1">
        <v>8.4662539999999999E-7</v>
      </c>
      <c r="I2016">
        <v>280.96679999999998</v>
      </c>
      <c r="J2016">
        <v>-428.3528</v>
      </c>
      <c r="K2016">
        <v>1.121067</v>
      </c>
      <c r="L2016">
        <v>284.41019999999997</v>
      </c>
      <c r="M2016">
        <v>-0.99989530000000004</v>
      </c>
      <c r="N2016">
        <v>-1.405289E-2</v>
      </c>
      <c r="O2016">
        <v>3.443878E-3</v>
      </c>
      <c r="P2016">
        <v>-0.99723410000000001</v>
      </c>
      <c r="Q2016">
        <v>-7.4271359999999995E-2</v>
      </c>
      <c r="R2016">
        <v>2.7866259999999999E-3</v>
      </c>
      <c r="S2016">
        <v>-3.0028380000000001</v>
      </c>
      <c r="T2016">
        <v>-9.3182799999999996E-2</v>
      </c>
      <c r="U2016">
        <v>-0.28613280000000002</v>
      </c>
      <c r="V2016">
        <v>-6.509536E-4</v>
      </c>
      <c r="W2016">
        <v>-6.024993E-2</v>
      </c>
      <c r="X2016">
        <v>0.99818309999999999</v>
      </c>
      <c r="Y2016">
        <v>-9.8217170000000006E-2</v>
      </c>
      <c r="Z2016">
        <v>-2.2703860000000001E-3</v>
      </c>
      <c r="AA2016">
        <v>0.9951624</v>
      </c>
      <c r="AB2016">
        <v>27</v>
      </c>
      <c r="AC2016">
        <v>-35.8262</v>
      </c>
      <c r="AD2016">
        <v>-1.1210661533746</v>
      </c>
      <c r="AE2016">
        <v>-3.4433999999999898</v>
      </c>
      <c r="AF2016">
        <v>-3.56331564757012</v>
      </c>
      <c r="AG2016">
        <v>-1.1210661533746</v>
      </c>
      <c r="AH2016">
        <v>35.7794140015152</v>
      </c>
      <c r="AI2016">
        <v>91.785816529943702</v>
      </c>
      <c r="AJ2016">
        <v>95.687402973958598</v>
      </c>
      <c r="AK2016">
        <v>35.973886001046402</v>
      </c>
      <c r="AL2016">
        <v>93.454158691909697</v>
      </c>
      <c r="AM2016">
        <v>90.037364776714398</v>
      </c>
      <c r="AN2016">
        <v>0.99999998946560198</v>
      </c>
    </row>
    <row r="2017" spans="1:40" x14ac:dyDescent="0.25">
      <c r="A2017" t="str">
        <f>"20190303154503875"</f>
        <v>20190303154503875</v>
      </c>
      <c r="B2017" t="str">
        <f>"1551599103872375"</f>
        <v>1551599103872375</v>
      </c>
      <c r="C2017" t="s">
        <v>40</v>
      </c>
      <c r="D2017">
        <v>4.1211500000000001</v>
      </c>
      <c r="E2017">
        <v>0.46085730000000003</v>
      </c>
      <c r="F2017" t="s">
        <v>55</v>
      </c>
      <c r="G2017">
        <v>-464.13260000000002</v>
      </c>
      <c r="H2017" s="1">
        <v>8.2777889999999899E-7</v>
      </c>
      <c r="I2017">
        <v>280.83229999999998</v>
      </c>
      <c r="J2017">
        <v>-428.86610000000002</v>
      </c>
      <c r="K2017">
        <v>1.121054</v>
      </c>
      <c r="L2017">
        <v>284.4119</v>
      </c>
      <c r="M2017">
        <v>-0.99989519999999998</v>
      </c>
      <c r="N2017">
        <v>-1.404739E-2</v>
      </c>
      <c r="O2017">
        <v>3.4783090000000002E-3</v>
      </c>
      <c r="P2017">
        <v>-0.9973862</v>
      </c>
      <c r="Q2017">
        <v>-7.2255399999999997E-2</v>
      </c>
      <c r="R2017">
        <v>-2.5497040000000001E-4</v>
      </c>
      <c r="S2017">
        <v>-3.0021360000000001</v>
      </c>
      <c r="T2017">
        <v>-9.4063999999999995E-2</v>
      </c>
      <c r="U2017">
        <v>-0.30020140000000001</v>
      </c>
      <c r="V2017">
        <v>-3.72902E-3</v>
      </c>
      <c r="W2017">
        <v>-5.8237400000000002E-2</v>
      </c>
      <c r="X2017">
        <v>0.99829579999999996</v>
      </c>
      <c r="Y2017">
        <v>-0.1028874</v>
      </c>
      <c r="Z2017">
        <v>-2.3921459999999999E-3</v>
      </c>
      <c r="AA2017">
        <v>0.99469010000000002</v>
      </c>
      <c r="AB2017">
        <v>27</v>
      </c>
      <c r="AC2017">
        <v>-35.266500000000001</v>
      </c>
      <c r="AD2017">
        <v>-1.1210531722210999</v>
      </c>
      <c r="AE2017">
        <v>-3.5796000000000201</v>
      </c>
      <c r="AF2017">
        <v>-3.6985590319966701</v>
      </c>
      <c r="AG2017">
        <v>-1.1210531722210999</v>
      </c>
      <c r="AH2017">
        <v>35.218609640176602</v>
      </c>
      <c r="AI2017">
        <v>91.813217484158798</v>
      </c>
      <c r="AJ2017">
        <v>95.995066497016595</v>
      </c>
      <c r="AK2017">
        <v>35.430023484542801</v>
      </c>
      <c r="AL2017">
        <v>93.338646261279294</v>
      </c>
      <c r="AM2017">
        <v>90.214020848331003</v>
      </c>
      <c r="AN2017">
        <v>1.00000000232328</v>
      </c>
    </row>
    <row r="2018" spans="1:40" x14ac:dyDescent="0.25">
      <c r="A2018" t="str">
        <f>"20190303154503896"</f>
        <v>20190303154503896</v>
      </c>
      <c r="B2018" t="str">
        <f>"1551599103892872"</f>
        <v>1551599103892872</v>
      </c>
      <c r="C2018" t="s">
        <v>40</v>
      </c>
      <c r="D2018">
        <v>4.1346550000000004</v>
      </c>
      <c r="E2018">
        <v>0.46076699999999998</v>
      </c>
      <c r="F2018" t="s">
        <v>55</v>
      </c>
      <c r="G2018">
        <v>-469.45600000000002</v>
      </c>
      <c r="H2018" s="1">
        <v>3.6904569999999999E-6</v>
      </c>
      <c r="I2018">
        <v>280.14949999999999</v>
      </c>
      <c r="J2018">
        <v>-429.13260000000002</v>
      </c>
      <c r="K2018">
        <v>1.12104</v>
      </c>
      <c r="L2018">
        <v>284.41289999999998</v>
      </c>
      <c r="M2018">
        <v>-0.99989519999999998</v>
      </c>
      <c r="N2018">
        <v>-1.404451E-2</v>
      </c>
      <c r="O2018">
        <v>3.521667E-3</v>
      </c>
      <c r="P2018">
        <v>-0.99741639999999998</v>
      </c>
      <c r="Q2018">
        <v>-7.1831660000000006E-2</v>
      </c>
      <c r="R2018">
        <v>-9.8450339999999999E-4</v>
      </c>
      <c r="S2018">
        <v>-3.0017399999999999</v>
      </c>
      <c r="T2018">
        <v>-8.2904930000000002E-2</v>
      </c>
      <c r="U2018">
        <v>-0.315216099999999</v>
      </c>
      <c r="V2018">
        <v>-4.5040970000000003E-3</v>
      </c>
      <c r="W2018">
        <v>-5.7815980000000003E-2</v>
      </c>
      <c r="X2018">
        <v>0.99831709999999996</v>
      </c>
      <c r="Y2018">
        <v>-0.1078771</v>
      </c>
      <c r="Z2018">
        <v>-2.292896E-3</v>
      </c>
      <c r="AA2018">
        <v>0.99416159999999998</v>
      </c>
      <c r="AB2018">
        <v>27</v>
      </c>
      <c r="AC2018">
        <v>-40.3233999999999</v>
      </c>
      <c r="AD2018">
        <v>-1.121036309543</v>
      </c>
      <c r="AE2018">
        <v>-4.2633999999999901</v>
      </c>
      <c r="AF2018">
        <v>-4.4020284193341501</v>
      </c>
      <c r="AG2018">
        <v>-1.121036309543</v>
      </c>
      <c r="AH2018">
        <v>40.277347813949703</v>
      </c>
      <c r="AI2018">
        <v>91.584864801443203</v>
      </c>
      <c r="AJ2018">
        <v>96.237266313665003</v>
      </c>
      <c r="AK2018">
        <v>40.532694501325999</v>
      </c>
      <c r="AL2018">
        <v>93.314459917326502</v>
      </c>
      <c r="AM2018">
        <v>90.258499025643403</v>
      </c>
      <c r="AN2018">
        <v>1.0000000032927701</v>
      </c>
    </row>
    <row r="2019" spans="1:40" x14ac:dyDescent="0.25">
      <c r="A2019" t="str">
        <f>"20190303154503920"</f>
        <v>20190303154503920</v>
      </c>
      <c r="B2019" t="str">
        <f>"1551599103912392"</f>
        <v>1551599103912392</v>
      </c>
      <c r="C2019" t="s">
        <v>40</v>
      </c>
      <c r="D2019">
        <v>4.0751359999999996</v>
      </c>
      <c r="E2019">
        <v>0.46077430000000003</v>
      </c>
      <c r="F2019" t="s">
        <v>55</v>
      </c>
      <c r="G2019">
        <v>-469.41539999999998</v>
      </c>
      <c r="H2019" s="1">
        <v>3.669154E-6</v>
      </c>
      <c r="I2019">
        <v>280.1431</v>
      </c>
      <c r="J2019">
        <v>-429.41199999999998</v>
      </c>
      <c r="K2019">
        <v>1.1210199999999999</v>
      </c>
      <c r="L2019">
        <v>284.41399999999999</v>
      </c>
      <c r="M2019">
        <v>-0.99989510000000004</v>
      </c>
      <c r="N2019">
        <v>-1.4041349999999999E-2</v>
      </c>
      <c r="O2019">
        <v>3.5928930000000002E-3</v>
      </c>
      <c r="P2019">
        <v>-0.99738850000000001</v>
      </c>
      <c r="Q2019">
        <v>-7.2224330000000003E-2</v>
      </c>
      <c r="R2019">
        <v>-4.1115379999999999E-4</v>
      </c>
      <c r="S2019">
        <v>-3.001465</v>
      </c>
      <c r="T2019">
        <v>-8.3528279999999996E-2</v>
      </c>
      <c r="U2019">
        <v>-0.31814579999999998</v>
      </c>
      <c r="V2019">
        <v>-4.0046429999999996E-3</v>
      </c>
      <c r="W2019">
        <v>-5.8212E-2</v>
      </c>
      <c r="X2019">
        <v>0.99829619999999997</v>
      </c>
      <c r="Y2019">
        <v>-0.1089156</v>
      </c>
      <c r="Z2019">
        <v>-2.3274379999999998E-3</v>
      </c>
      <c r="AA2019">
        <v>0.9940483</v>
      </c>
      <c r="AB2019">
        <v>27</v>
      </c>
      <c r="AC2019">
        <v>-40.003399999999999</v>
      </c>
      <c r="AD2019">
        <v>-1.1210163308459999</v>
      </c>
      <c r="AE2019">
        <v>-4.2708999999999797</v>
      </c>
      <c r="AF2019">
        <v>-4.4111894915968799</v>
      </c>
      <c r="AG2019">
        <v>-1.1210163308459999</v>
      </c>
      <c r="AH2019">
        <v>39.956771323360201</v>
      </c>
      <c r="AI2019">
        <v>91.597353598575395</v>
      </c>
      <c r="AJ2019">
        <v>96.299887897314605</v>
      </c>
      <c r="AK2019">
        <v>40.215156905476597</v>
      </c>
      <c r="AL2019">
        <v>93.337188521463304</v>
      </c>
      <c r="AM2019">
        <v>90.229839512167601</v>
      </c>
      <c r="AN2019">
        <v>0.99999998852199801</v>
      </c>
    </row>
    <row r="2020" spans="1:40" x14ac:dyDescent="0.25">
      <c r="A2020" t="str">
        <f>"20190303154503941"</f>
        <v>20190303154503941</v>
      </c>
      <c r="B2020" t="str">
        <f>"1551599103932887"</f>
        <v>1551599103932887</v>
      </c>
      <c r="C2020" t="s">
        <v>40</v>
      </c>
      <c r="D2020">
        <v>4.0702550000000004</v>
      </c>
      <c r="E2020">
        <v>0.46083689999999999</v>
      </c>
      <c r="F2020" t="s">
        <v>54</v>
      </c>
      <c r="G2020">
        <v>-470.71039999999999</v>
      </c>
      <c r="H2020" s="1">
        <v>5.9006279999999998E-6</v>
      </c>
      <c r="I2020">
        <v>280.05880000000002</v>
      </c>
      <c r="J2020">
        <v>-429.67340000000002</v>
      </c>
      <c r="K2020">
        <v>1.120997</v>
      </c>
      <c r="L2020">
        <v>284.41500000000002</v>
      </c>
      <c r="M2020">
        <v>-0.99989470000000003</v>
      </c>
      <c r="N2020">
        <v>-1.4038520000000001E-2</v>
      </c>
      <c r="O2020">
        <v>3.6910179999999999E-3</v>
      </c>
      <c r="P2020">
        <v>-0.99733570000000005</v>
      </c>
      <c r="Q2020">
        <v>-7.2948299999999994E-2</v>
      </c>
      <c r="R2020">
        <v>4.7341309999999998E-4</v>
      </c>
      <c r="S2020">
        <v>-3.0018009999999999</v>
      </c>
      <c r="T2020">
        <v>-8.1481579999999998E-2</v>
      </c>
      <c r="U2020">
        <v>-0.31655879999999997</v>
      </c>
      <c r="V2020">
        <v>-3.2204920000000001E-3</v>
      </c>
      <c r="W2020">
        <v>-5.8939390000000001E-2</v>
      </c>
      <c r="X2020">
        <v>0.99825640000000004</v>
      </c>
      <c r="Y2020">
        <v>-0.1084846</v>
      </c>
      <c r="Z2020">
        <v>-2.280093E-3</v>
      </c>
      <c r="AA2020">
        <v>0.99409550000000002</v>
      </c>
      <c r="AB2020">
        <v>27</v>
      </c>
      <c r="AC2020">
        <v>-41.0369999999999</v>
      </c>
      <c r="AD2020">
        <v>-1.120991099372</v>
      </c>
      <c r="AE2020">
        <v>-4.3562000000000003</v>
      </c>
      <c r="AF2020">
        <v>-4.5043298833521899</v>
      </c>
      <c r="AG2020">
        <v>-1.120991099372</v>
      </c>
      <c r="AH2020">
        <v>40.990393955541002</v>
      </c>
      <c r="AI2020">
        <v>91.557146088167599</v>
      </c>
      <c r="AJ2020">
        <v>96.270926890977407</v>
      </c>
      <c r="AK2020">
        <v>41.2523696940356</v>
      </c>
      <c r="AL2020">
        <v>93.378936436542602</v>
      </c>
      <c r="AM2020">
        <v>90.184842250354194</v>
      </c>
      <c r="AN2020">
        <v>1.00000003170162</v>
      </c>
    </row>
    <row r="2021" spans="1:40" x14ac:dyDescent="0.25">
      <c r="A2021" t="str">
        <f>"20190303154503964"</f>
        <v>20190303154503964</v>
      </c>
      <c r="B2021" t="str">
        <f>"1551599103952408"</f>
        <v>1551599103952408</v>
      </c>
      <c r="C2021" t="s">
        <v>40</v>
      </c>
      <c r="D2021">
        <v>4.0844550000000002</v>
      </c>
      <c r="E2021">
        <v>0.4609162</v>
      </c>
      <c r="F2021" t="s">
        <v>54</v>
      </c>
      <c r="G2021">
        <v>-471.80259999999998</v>
      </c>
      <c r="H2021" s="1">
        <v>5.4128769999999999E-6</v>
      </c>
      <c r="I2021">
        <v>280.0197</v>
      </c>
      <c r="J2021">
        <v>-429.95030000000003</v>
      </c>
      <c r="K2021">
        <v>1.1209750000000001</v>
      </c>
      <c r="L2021">
        <v>284.4162</v>
      </c>
      <c r="M2021">
        <v>-0.99989430000000001</v>
      </c>
      <c r="N2021">
        <v>-1.4035560000000001E-2</v>
      </c>
      <c r="O2021">
        <v>3.824493E-3</v>
      </c>
      <c r="P2021">
        <v>-0.99730739999999996</v>
      </c>
      <c r="Q2021">
        <v>-7.3309979999999997E-2</v>
      </c>
      <c r="R2021">
        <v>1.9831979999999998E-3</v>
      </c>
      <c r="S2021">
        <v>-3.0023499999999999</v>
      </c>
      <c r="T2021">
        <v>-7.9887749999999993E-2</v>
      </c>
      <c r="U2021">
        <v>-0.31323240000000002</v>
      </c>
      <c r="V2021">
        <v>-1.847172E-3</v>
      </c>
      <c r="W2021">
        <v>-5.9304490000000001E-2</v>
      </c>
      <c r="X2021">
        <v>0.99823819999999996</v>
      </c>
      <c r="Y2021">
        <v>-0.10751139999999999</v>
      </c>
      <c r="Z2021">
        <v>-2.2309500000000002E-3</v>
      </c>
      <c r="AA2021">
        <v>0.99420140000000001</v>
      </c>
      <c r="AB2021">
        <v>27</v>
      </c>
      <c r="AC2021">
        <v>-41.8522999999999</v>
      </c>
      <c r="AD2021">
        <v>-1.1209695871230001</v>
      </c>
      <c r="AE2021">
        <v>-4.3964999999999996</v>
      </c>
      <c r="AF2021">
        <v>-4.5533166141596899</v>
      </c>
      <c r="AG2021">
        <v>-1.1209695871230001</v>
      </c>
      <c r="AH2021">
        <v>41.805514731847502</v>
      </c>
      <c r="AI2021">
        <v>91.526930367941901</v>
      </c>
      <c r="AJ2021">
        <v>96.215961990153502</v>
      </c>
      <c r="AK2021">
        <v>42.067687445339303</v>
      </c>
      <c r="AL2021">
        <v>93.399891993397901</v>
      </c>
      <c r="AM2021">
        <v>90.106021828094995</v>
      </c>
      <c r="AN2021">
        <v>0.999999969258898</v>
      </c>
    </row>
    <row r="2022" spans="1:40" x14ac:dyDescent="0.25">
      <c r="A2022" t="str">
        <f>"20190303154503985"</f>
        <v>20190303154503985</v>
      </c>
      <c r="B2022" t="str">
        <f>"1551599103982663"</f>
        <v>1551599103982663</v>
      </c>
      <c r="C2022" t="s">
        <v>40</v>
      </c>
      <c r="D2022">
        <v>4.0417509999999996</v>
      </c>
      <c r="E2022">
        <v>0.46100479999999999</v>
      </c>
      <c r="F2022" t="s">
        <v>54</v>
      </c>
      <c r="G2022">
        <v>-473.19959999999998</v>
      </c>
      <c r="H2022" s="1">
        <v>4.7898500000000004E-6</v>
      </c>
      <c r="I2022">
        <v>279.97969999999998</v>
      </c>
      <c r="J2022">
        <v>-430.21530000000001</v>
      </c>
      <c r="K2022">
        <v>1.1209629999999999</v>
      </c>
      <c r="L2022">
        <v>284.41739999999999</v>
      </c>
      <c r="M2022">
        <v>-0.99989380000000005</v>
      </c>
      <c r="N2022">
        <v>-1.40327E-2</v>
      </c>
      <c r="O2022">
        <v>3.9730030000000001E-3</v>
      </c>
      <c r="P2022">
        <v>-0.99731029999999998</v>
      </c>
      <c r="Q2022">
        <v>-7.3195930000000006E-2</v>
      </c>
      <c r="R2022">
        <v>3.8611790000000002E-3</v>
      </c>
      <c r="S2022">
        <v>-3.0029910000000002</v>
      </c>
      <c r="T2022">
        <v>-7.7833769999999997E-2</v>
      </c>
      <c r="U2022">
        <v>-0.3080444</v>
      </c>
      <c r="V2022">
        <v>-1.197777E-4</v>
      </c>
      <c r="W2022">
        <v>-5.9193629999999997E-2</v>
      </c>
      <c r="X2022">
        <v>0.99824650000000004</v>
      </c>
      <c r="Y2022">
        <v>-0.1059409</v>
      </c>
      <c r="Z2022">
        <v>-2.1616890000000001E-3</v>
      </c>
      <c r="AA2022">
        <v>0.99437010000000003</v>
      </c>
      <c r="AB2022">
        <v>27</v>
      </c>
      <c r="AC2022">
        <v>-42.984299999999898</v>
      </c>
      <c r="AD2022">
        <v>-1.12095821015</v>
      </c>
      <c r="AE2022">
        <v>-4.4377000000000004</v>
      </c>
      <c r="AF2022">
        <v>-4.6053595358456496</v>
      </c>
      <c r="AG2022">
        <v>-1.12095821015</v>
      </c>
      <c r="AH2022">
        <v>42.937435077682501</v>
      </c>
      <c r="AI2022">
        <v>91.486943971701294</v>
      </c>
      <c r="AJ2022">
        <v>96.121994315381599</v>
      </c>
      <c r="AK2022">
        <v>43.198254765829503</v>
      </c>
      <c r="AL2022">
        <v>93.393528942907906</v>
      </c>
      <c r="AM2022">
        <v>90.006874811638994</v>
      </c>
      <c r="AN2022">
        <v>0.99999998747076202</v>
      </c>
    </row>
    <row r="2023" spans="1:40" x14ac:dyDescent="0.25">
      <c r="A2023" t="str">
        <f>"20190303154504009"</f>
        <v>20190303154504009</v>
      </c>
      <c r="B2023" t="str">
        <f>"1551599104003164"</f>
        <v>1551599104003164</v>
      </c>
      <c r="C2023" t="s">
        <v>40</v>
      </c>
      <c r="D2023">
        <v>4.0983710000000002</v>
      </c>
      <c r="E2023">
        <v>0.46091470000000001</v>
      </c>
      <c r="F2023" t="s">
        <v>54</v>
      </c>
      <c r="G2023">
        <v>-475.90440000000001</v>
      </c>
      <c r="H2023" s="1">
        <v>3.5773859999999999E-6</v>
      </c>
      <c r="I2023">
        <v>279.8304</v>
      </c>
      <c r="J2023">
        <v>-430.49439999999998</v>
      </c>
      <c r="K2023">
        <v>1.1209519999999999</v>
      </c>
      <c r="L2023">
        <v>284.4187</v>
      </c>
      <c r="M2023">
        <v>-0.99989309999999998</v>
      </c>
      <c r="N2023">
        <v>-1.4029659999999999E-2</v>
      </c>
      <c r="O2023">
        <v>4.1437799999999997E-3</v>
      </c>
      <c r="P2023">
        <v>-0.99739460000000002</v>
      </c>
      <c r="Q2023">
        <v>-7.193621E-2</v>
      </c>
      <c r="R2023">
        <v>5.444773E-3</v>
      </c>
      <c r="S2023">
        <v>-3.003876</v>
      </c>
      <c r="T2023">
        <v>-7.3698760000000002E-2</v>
      </c>
      <c r="U2023">
        <v>-0.30157469999999997</v>
      </c>
      <c r="V2023">
        <v>1.292402E-3</v>
      </c>
      <c r="W2023">
        <v>-5.7936250000000002E-2</v>
      </c>
      <c r="X2023">
        <v>0.99831939999999997</v>
      </c>
      <c r="Y2023">
        <v>-0.10396660000000001</v>
      </c>
      <c r="Z2023">
        <v>-2.0467570000000002E-3</v>
      </c>
      <c r="AA2023">
        <v>0.99457870000000004</v>
      </c>
      <c r="AB2023">
        <v>27</v>
      </c>
      <c r="AC2023">
        <v>-45.41</v>
      </c>
      <c r="AD2023">
        <v>-1.1209484226140001</v>
      </c>
      <c r="AE2023">
        <v>-4.5883000000000003</v>
      </c>
      <c r="AF2023">
        <v>-4.7735687637032598</v>
      </c>
      <c r="AG2023">
        <v>-1.1209484226140001</v>
      </c>
      <c r="AH2023">
        <v>45.363232461690302</v>
      </c>
      <c r="AI2023">
        <v>91.407750003440796</v>
      </c>
      <c r="AJ2023">
        <v>96.007121731392104</v>
      </c>
      <c r="AK2023">
        <v>45.627473560140501</v>
      </c>
      <c r="AL2023">
        <v>93.321362621837906</v>
      </c>
      <c r="AM2023">
        <v>89.925826204852598</v>
      </c>
      <c r="AN2023">
        <v>0.99999995189167401</v>
      </c>
    </row>
    <row r="2024" spans="1:40" x14ac:dyDescent="0.25">
      <c r="A2024" t="str">
        <f>"20190303154504034"</f>
        <v>20190303154504034</v>
      </c>
      <c r="B2024" t="str">
        <f>"1551599104022679"</f>
        <v>1551599104022679</v>
      </c>
      <c r="C2024" t="s">
        <v>40</v>
      </c>
      <c r="D2024">
        <v>4.0918789999999996</v>
      </c>
      <c r="E2024">
        <v>0.46070410000000001</v>
      </c>
      <c r="F2024" t="s">
        <v>54</v>
      </c>
      <c r="G2024">
        <v>-478.01769999999999</v>
      </c>
      <c r="H2024" s="1">
        <v>2.6293259999999998E-6</v>
      </c>
      <c r="I2024">
        <v>279.70620000000002</v>
      </c>
      <c r="J2024">
        <v>-430.79349999999999</v>
      </c>
      <c r="K2024">
        <v>1.120943</v>
      </c>
      <c r="L2024">
        <v>284.42009999999999</v>
      </c>
      <c r="M2024">
        <v>-0.99989220000000001</v>
      </c>
      <c r="N2024">
        <v>-1.402631E-2</v>
      </c>
      <c r="O2024">
        <v>4.335991E-3</v>
      </c>
      <c r="P2024">
        <v>-0.99733870000000002</v>
      </c>
      <c r="Q2024">
        <v>-7.2675359999999994E-2</v>
      </c>
      <c r="R2024">
        <v>5.8028469999999999E-3</v>
      </c>
      <c r="S2024">
        <v>-3.0043639999999998</v>
      </c>
      <c r="T2024">
        <v>-7.0865040000000004E-2</v>
      </c>
      <c r="U2024">
        <v>-0.29791260000000003</v>
      </c>
      <c r="V2024">
        <v>1.4578169999999999E-3</v>
      </c>
      <c r="W2024">
        <v>-5.8679530000000001E-2</v>
      </c>
      <c r="X2024">
        <v>0.99827580000000005</v>
      </c>
      <c r="Y2024">
        <v>-0.1029448</v>
      </c>
      <c r="Z2024">
        <v>-1.9762389999999999E-3</v>
      </c>
      <c r="AA2024">
        <v>0.99468509999999999</v>
      </c>
      <c r="AB2024">
        <v>27</v>
      </c>
      <c r="AC2024">
        <v>-47.224200000000003</v>
      </c>
      <c r="AD2024">
        <v>-1.120940370674</v>
      </c>
      <c r="AE2024">
        <v>-4.7138999999999598</v>
      </c>
      <c r="AF2024">
        <v>-4.9158971230169897</v>
      </c>
      <c r="AG2024">
        <v>-1.120940370674</v>
      </c>
      <c r="AH2024">
        <v>47.1769961000265</v>
      </c>
      <c r="AI2024">
        <v>91.353782756734901</v>
      </c>
      <c r="AJ2024">
        <v>95.948817439199701</v>
      </c>
      <c r="AK2024">
        <v>47.4456690632624</v>
      </c>
      <c r="AL2024">
        <v>93.364021873201594</v>
      </c>
      <c r="AM2024">
        <v>89.916329032491106</v>
      </c>
      <c r="AN2024">
        <v>0.99999999266853301</v>
      </c>
    </row>
    <row r="2025" spans="1:40" x14ac:dyDescent="0.25">
      <c r="A2025" t="str">
        <f>"20190303154504076"</f>
        <v>20190303154504076</v>
      </c>
      <c r="B2025" t="str">
        <f>"1551599104072456"</f>
        <v>1551599104072456</v>
      </c>
      <c r="C2025" t="s">
        <v>40</v>
      </c>
      <c r="D2025">
        <v>4.1129049999999996</v>
      </c>
      <c r="E2025">
        <v>0.46005659999999998</v>
      </c>
      <c r="F2025" t="s">
        <v>54</v>
      </c>
      <c r="G2025">
        <v>-475.26639999999998</v>
      </c>
      <c r="H2025" s="1">
        <v>3.8754299999999998E-6</v>
      </c>
      <c r="I2025">
        <v>280.00369999999998</v>
      </c>
      <c r="J2025">
        <v>-431.30430000000001</v>
      </c>
      <c r="K2025">
        <v>1.1209519999999999</v>
      </c>
      <c r="L2025">
        <v>284.4228</v>
      </c>
      <c r="M2025">
        <v>-0.99989099999999997</v>
      </c>
      <c r="N2025">
        <v>-1.402073E-2</v>
      </c>
      <c r="O2025">
        <v>4.6670820000000003E-3</v>
      </c>
      <c r="P2025">
        <v>-0.99728930000000005</v>
      </c>
      <c r="Q2025">
        <v>-7.3476730000000004E-2</v>
      </c>
      <c r="R2025">
        <v>3.9518110000000004E-3</v>
      </c>
      <c r="S2025">
        <v>-3.0042420000000001</v>
      </c>
      <c r="T2025">
        <v>-7.5721979999999994E-2</v>
      </c>
      <c r="U2025">
        <v>-0.29833979999999999</v>
      </c>
      <c r="V2025">
        <v>-7.2381050000000003E-4</v>
      </c>
      <c r="W2025">
        <v>-5.9486440000000002E-2</v>
      </c>
      <c r="X2025">
        <v>0.99822880000000003</v>
      </c>
      <c r="Y2025">
        <v>-0.1034127</v>
      </c>
      <c r="Z2025">
        <v>-2.0788730000000002E-3</v>
      </c>
      <c r="AA2025">
        <v>0.99463639999999998</v>
      </c>
      <c r="AB2025">
        <v>27</v>
      </c>
      <c r="AC2025">
        <v>-43.9620999999999</v>
      </c>
      <c r="AD2025">
        <v>-1.1209481245699999</v>
      </c>
      <c r="AE2025">
        <v>-4.41910000000001</v>
      </c>
      <c r="AF2025">
        <v>-4.6212722504163199</v>
      </c>
      <c r="AG2025">
        <v>-1.1209481245699999</v>
      </c>
      <c r="AH2025">
        <v>43.912730486807</v>
      </c>
      <c r="AI2025">
        <v>91.454228847943199</v>
      </c>
      <c r="AJ2025">
        <v>96.007560073859594</v>
      </c>
      <c r="AK2025">
        <v>44.169453027147497</v>
      </c>
      <c r="AL2025">
        <v>93.410335468187697</v>
      </c>
      <c r="AM2025">
        <v>90.041544863812007</v>
      </c>
      <c r="AN2025">
        <v>0.999999948797475</v>
      </c>
    </row>
    <row r="2026" spans="1:40" x14ac:dyDescent="0.25">
      <c r="A2026" t="str">
        <f>"20190303154504098"</f>
        <v>20190303154504098</v>
      </c>
      <c r="B2026" t="str">
        <f>"1551599104092951"</f>
        <v>1551599104092951</v>
      </c>
      <c r="C2026" t="s">
        <v>40</v>
      </c>
      <c r="D2026">
        <v>4.0752129999999998</v>
      </c>
      <c r="E2026">
        <v>0.45997640000000001</v>
      </c>
      <c r="F2026" t="s">
        <v>54</v>
      </c>
      <c r="G2026">
        <v>-472.22699999999998</v>
      </c>
      <c r="H2026" s="1">
        <v>5.2414579999999998E-6</v>
      </c>
      <c r="I2026">
        <v>280.21170000000001</v>
      </c>
      <c r="J2026">
        <v>-431.5736</v>
      </c>
      <c r="K2026">
        <v>1.1209579999999999</v>
      </c>
      <c r="L2026">
        <v>284.42419999999998</v>
      </c>
      <c r="M2026">
        <v>-0.99988999999999995</v>
      </c>
      <c r="N2026">
        <v>-1.401787E-2</v>
      </c>
      <c r="O2026">
        <v>4.8374330000000004E-3</v>
      </c>
      <c r="P2026">
        <v>-0.99737659999999995</v>
      </c>
      <c r="Q2026">
        <v>-7.2350429999999993E-2</v>
      </c>
      <c r="R2026">
        <v>2.3621760000000001E-3</v>
      </c>
      <c r="S2026">
        <v>-3.0033569999999998</v>
      </c>
      <c r="T2026">
        <v>-8.2267400000000004E-2</v>
      </c>
      <c r="U2026">
        <v>-0.30905149999999998</v>
      </c>
      <c r="V2026">
        <v>-2.4832420000000001E-3</v>
      </c>
      <c r="W2026">
        <v>-5.8361379999999997E-2</v>
      </c>
      <c r="X2026">
        <v>0.99829239999999997</v>
      </c>
      <c r="Y2026">
        <v>-0.1071121</v>
      </c>
      <c r="Z2026">
        <v>-2.2803440000000001E-3</v>
      </c>
      <c r="AA2026">
        <v>0.99424429999999997</v>
      </c>
      <c r="AB2026">
        <v>27</v>
      </c>
      <c r="AC2026">
        <v>-40.653399999999898</v>
      </c>
      <c r="AD2026">
        <v>-1.1209527585419901</v>
      </c>
      <c r="AE2026">
        <v>-4.2124999999999702</v>
      </c>
      <c r="AF2026">
        <v>-4.4058140093464102</v>
      </c>
      <c r="AG2026">
        <v>-1.1209527585419901</v>
      </c>
      <c r="AH2026">
        <v>40.602003069653001</v>
      </c>
      <c r="AI2026">
        <v>91.572213454051806</v>
      </c>
      <c r="AJ2026">
        <v>96.193061254459195</v>
      </c>
      <c r="AK2026">
        <v>40.855726470593503</v>
      </c>
      <c r="AL2026">
        <v>93.345762014563604</v>
      </c>
      <c r="AM2026">
        <v>90.142522363843199</v>
      </c>
      <c r="AN2026">
        <v>0.99999996653204604</v>
      </c>
    </row>
    <row r="2027" spans="1:40" x14ac:dyDescent="0.25">
      <c r="A2027" t="str">
        <f>"20190303154504120"</f>
        <v>20190303154504120</v>
      </c>
      <c r="B2027" t="str">
        <f>"1551599104112471"</f>
        <v>1551599104112471</v>
      </c>
      <c r="C2027" t="s">
        <v>40</v>
      </c>
      <c r="D2027">
        <v>4.1463910000000004</v>
      </c>
      <c r="E2027">
        <v>0.48918200000000001</v>
      </c>
      <c r="F2027" t="s">
        <v>54</v>
      </c>
      <c r="G2027">
        <v>-474.28429999999997</v>
      </c>
      <c r="H2027" s="1">
        <v>4.3061909999999999E-6</v>
      </c>
      <c r="I2027">
        <v>279.94909999999999</v>
      </c>
      <c r="J2027">
        <v>-431.83519999999999</v>
      </c>
      <c r="K2027">
        <v>1.1209579999999999</v>
      </c>
      <c r="L2027">
        <v>284.42559999999997</v>
      </c>
      <c r="M2027">
        <v>-0.99988929999999998</v>
      </c>
      <c r="N2027">
        <v>-1.4015100000000001E-2</v>
      </c>
      <c r="O2027">
        <v>4.9988999999999997E-3</v>
      </c>
      <c r="P2027">
        <v>-0.99742050000000004</v>
      </c>
      <c r="Q2027">
        <v>-7.1782189999999996E-2</v>
      </c>
      <c r="R2027">
        <v>3.5184099999999998E-4</v>
      </c>
      <c r="S2027">
        <v>-3.0029300000000001</v>
      </c>
      <c r="T2027">
        <v>-7.8812720000000003E-2</v>
      </c>
      <c r="U2027">
        <v>-0.31463619999999998</v>
      </c>
      <c r="V2027">
        <v>-4.6545290000000001E-3</v>
      </c>
      <c r="W2027">
        <v>-5.7794760000000001E-2</v>
      </c>
      <c r="X2027">
        <v>0.99831769999999997</v>
      </c>
      <c r="Y2027">
        <v>-0.1091193</v>
      </c>
      <c r="Z2027">
        <v>-2.2557279999999998E-3</v>
      </c>
      <c r="AA2027">
        <v>0.99402610000000002</v>
      </c>
      <c r="AB2027">
        <v>27</v>
      </c>
      <c r="AC2027">
        <v>-42.449099999999902</v>
      </c>
      <c r="AD2027">
        <v>-1.1209536938089999</v>
      </c>
      <c r="AE2027">
        <v>-4.4764999999999802</v>
      </c>
      <c r="AF2027">
        <v>-4.6854323468004004</v>
      </c>
      <c r="AG2027">
        <v>-1.1209536938089999</v>
      </c>
      <c r="AH2027">
        <v>42.396950241490799</v>
      </c>
      <c r="AI2027">
        <v>91.505357805780605</v>
      </c>
      <c r="AJ2027">
        <v>96.3063624813324</v>
      </c>
      <c r="AK2027">
        <v>42.669792631785199</v>
      </c>
      <c r="AL2027">
        <v>93.3132418613678</v>
      </c>
      <c r="AM2027">
        <v>90.267132331694597</v>
      </c>
      <c r="AN2027">
        <v>1.0000000645284699</v>
      </c>
    </row>
    <row r="2028" spans="1:40" x14ac:dyDescent="0.25">
      <c r="A2028" t="str">
        <f>"20190303154504142"</f>
        <v>20190303154504142</v>
      </c>
      <c r="B2028" t="str">
        <f>"1551599104132968"</f>
        <v>1551599104132968</v>
      </c>
      <c r="C2028" t="s">
        <v>40</v>
      </c>
      <c r="D2028">
        <v>4.1364349999999996</v>
      </c>
      <c r="E2028">
        <v>0.49634080000000003</v>
      </c>
      <c r="F2028" t="s">
        <v>44</v>
      </c>
      <c r="G2028">
        <v>-643.19849999999997</v>
      </c>
      <c r="H2028">
        <v>-0.1</v>
      </c>
      <c r="I2028">
        <v>278.21890000000002</v>
      </c>
      <c r="J2028">
        <v>-432.10340000000002</v>
      </c>
      <c r="K2028">
        <v>1.120959</v>
      </c>
      <c r="L2028">
        <v>284.42720000000003</v>
      </c>
      <c r="M2028">
        <v>-0.99988860000000002</v>
      </c>
      <c r="N2028">
        <v>-1.4012230000000001E-2</v>
      </c>
      <c r="O2028">
        <v>5.1611419999999996E-3</v>
      </c>
      <c r="P2028">
        <v>-0.99740450000000003</v>
      </c>
      <c r="Q2028">
        <v>-7.1999060000000004E-2</v>
      </c>
      <c r="R2028">
        <v>-8.7497479999999999E-4</v>
      </c>
      <c r="S2028">
        <v>-3.0065309999999998</v>
      </c>
      <c r="T2028">
        <v>-1.7367480000000001E-2</v>
      </c>
      <c r="U2028">
        <v>-8.8287350000000001E-2</v>
      </c>
      <c r="V2028">
        <v>-6.0430419999999898E-3</v>
      </c>
      <c r="W2028">
        <v>-5.8014349999999999E-2</v>
      </c>
      <c r="X2028">
        <v>0.99829749999999995</v>
      </c>
      <c r="Y2028">
        <v>-3.4509430000000001E-2</v>
      </c>
      <c r="Z2028">
        <v>-2.9899970000000001E-4</v>
      </c>
      <c r="AA2028">
        <v>0.99940430000000002</v>
      </c>
      <c r="AB2028">
        <v>27</v>
      </c>
      <c r="AC2028">
        <v>-211.0951</v>
      </c>
      <c r="AD2028">
        <v>-1.2209589999999999</v>
      </c>
      <c r="AE2028">
        <v>-6.2083000000000004</v>
      </c>
      <c r="AF2028">
        <v>-7.29757203036504</v>
      </c>
      <c r="AG2028">
        <v>-1.2209589999999999</v>
      </c>
      <c r="AH2028">
        <v>211.053188421969</v>
      </c>
      <c r="AI2028">
        <v>90.331258856216294</v>
      </c>
      <c r="AJ2028">
        <v>91.980323399850207</v>
      </c>
      <c r="AK2028">
        <v>211.182844098419</v>
      </c>
      <c r="AL2028">
        <v>93.325844665508598</v>
      </c>
      <c r="AM2028">
        <v>90.346827046056305</v>
      </c>
      <c r="AN2028">
        <v>1.0000000408343901</v>
      </c>
    </row>
    <row r="2029" spans="1:40" x14ac:dyDescent="0.25">
      <c r="A2029" t="str">
        <f>"20190303154504165"</f>
        <v>20190303154504165</v>
      </c>
      <c r="B2029" t="str">
        <f>"1551599104152488"</f>
        <v>1551599104152488</v>
      </c>
      <c r="C2029" t="s">
        <v>40</v>
      </c>
      <c r="D2029">
        <v>4.1212080000000002</v>
      </c>
      <c r="E2029">
        <v>0.49890970000000001</v>
      </c>
      <c r="F2029" t="s">
        <v>44</v>
      </c>
      <c r="G2029">
        <v>-679.82039999999995</v>
      </c>
      <c r="H2029">
        <v>-0.1</v>
      </c>
      <c r="I2029">
        <v>281.55579999999998</v>
      </c>
      <c r="J2029">
        <v>-432.36829999999998</v>
      </c>
      <c r="K2029">
        <v>1.1209559999999901</v>
      </c>
      <c r="L2029">
        <v>284.42869999999999</v>
      </c>
      <c r="M2029">
        <v>-0.99988790000000005</v>
      </c>
      <c r="N2029">
        <v>-1.400942E-2</v>
      </c>
      <c r="O2029">
        <v>5.3202170000000003E-3</v>
      </c>
      <c r="P2029">
        <v>-0.99737730000000002</v>
      </c>
      <c r="Q2029">
        <v>-7.2376309999999999E-2</v>
      </c>
      <c r="R2029">
        <v>-6.4818180000000001E-4</v>
      </c>
      <c r="S2029">
        <v>-3.0067140000000001</v>
      </c>
      <c r="T2029">
        <v>-1.481962E-2</v>
      </c>
      <c r="U2029">
        <v>-3.4851069999999998E-2</v>
      </c>
      <c r="V2029">
        <v>-5.9743610000000001E-3</v>
      </c>
      <c r="W2029">
        <v>-5.8394769999999999E-2</v>
      </c>
      <c r="X2029">
        <v>0.99827569999999999</v>
      </c>
      <c r="Y2029">
        <v>-1.6909520000000001E-2</v>
      </c>
      <c r="Z2029">
        <v>-1.1181609999999999E-4</v>
      </c>
      <c r="AA2029">
        <v>0.999857</v>
      </c>
      <c r="AB2029">
        <v>27</v>
      </c>
      <c r="AC2029">
        <v>-247.4521</v>
      </c>
      <c r="AD2029">
        <v>-1.2209559999999999</v>
      </c>
      <c r="AE2029">
        <v>-2.8729000000000098</v>
      </c>
      <c r="AF2029">
        <v>-4.1893851824855997</v>
      </c>
      <c r="AG2029">
        <v>-1.2209559999999999</v>
      </c>
      <c r="AH2029">
        <v>247.42728839471999</v>
      </c>
      <c r="AI2029">
        <v>90.282689242543398</v>
      </c>
      <c r="AJ2029">
        <v>90.970027021405002</v>
      </c>
      <c r="AK2029">
        <v>247.46576475166299</v>
      </c>
      <c r="AL2029">
        <v>93.347678251082101</v>
      </c>
      <c r="AM2029">
        <v>90.342892834070298</v>
      </c>
      <c r="AN2029">
        <v>1.0000000076816</v>
      </c>
    </row>
    <row r="2030" spans="1:40" x14ac:dyDescent="0.25">
      <c r="A2030" t="str">
        <f>"20190303154504188"</f>
        <v>20190303154504188</v>
      </c>
      <c r="B2030" t="str">
        <f>"1551599104182743"</f>
        <v>1551599104182743</v>
      </c>
      <c r="C2030" t="s">
        <v>40</v>
      </c>
      <c r="D2030">
        <v>4.1607699999999896</v>
      </c>
      <c r="E2030">
        <v>0.50091169999999996</v>
      </c>
      <c r="F2030" t="s">
        <v>44</v>
      </c>
      <c r="G2030">
        <v>-572.99220000000003</v>
      </c>
      <c r="H2030">
        <v>-0.1</v>
      </c>
      <c r="I2030">
        <v>283.79770000000002</v>
      </c>
      <c r="J2030">
        <v>-432.6499</v>
      </c>
      <c r="K2030">
        <v>1.1209559999999901</v>
      </c>
      <c r="L2030">
        <v>284.43040000000002</v>
      </c>
      <c r="M2030">
        <v>-0.99988690000000002</v>
      </c>
      <c r="N2030">
        <v>-1.400645E-2</v>
      </c>
      <c r="O2030">
        <v>5.4884729999999998E-3</v>
      </c>
      <c r="P2030">
        <v>-0.99733830000000001</v>
      </c>
      <c r="Q2030">
        <v>-7.2913909999999998E-2</v>
      </c>
      <c r="R2030">
        <v>1.46427E-4</v>
      </c>
      <c r="S2030">
        <v>-3.0059809999999998</v>
      </c>
      <c r="T2030">
        <v>-2.6099210000000001E-2</v>
      </c>
      <c r="U2030">
        <v>-1.3488770000000001E-2</v>
      </c>
      <c r="V2030">
        <v>-5.3477539999999997E-3</v>
      </c>
      <c r="W2030">
        <v>-5.8936000000000002E-2</v>
      </c>
      <c r="X2030">
        <v>0.99824740000000001</v>
      </c>
      <c r="Y2030">
        <v>-9.9750919999999996E-3</v>
      </c>
      <c r="Z2030" s="1">
        <v>-8.3941729999999998E-5</v>
      </c>
      <c r="AA2030">
        <v>0.99995020000000001</v>
      </c>
      <c r="AB2030">
        <v>27</v>
      </c>
      <c r="AC2030">
        <v>-140.34229999999999</v>
      </c>
      <c r="AD2030">
        <v>-1.2209559999999999</v>
      </c>
      <c r="AE2030">
        <v>-0.63269999999999904</v>
      </c>
      <c r="AF2030">
        <v>-1.4029247331308601</v>
      </c>
      <c r="AG2030">
        <v>-1.2209559999999999</v>
      </c>
      <c r="AH2030">
        <v>140.32609219996399</v>
      </c>
      <c r="AI2030">
        <v>90.498484379143903</v>
      </c>
      <c r="AJ2030">
        <v>90.572801443966497</v>
      </c>
      <c r="AK2030">
        <v>140.33841627820101</v>
      </c>
      <c r="AL2030">
        <v>93.378742104489305</v>
      </c>
      <c r="AM2030">
        <v>90.3069387438088</v>
      </c>
      <c r="AN2030">
        <v>0.99999996108780098</v>
      </c>
    </row>
    <row r="2031" spans="1:40" x14ac:dyDescent="0.25">
      <c r="A2031" t="str">
        <f>"20190303154504209"</f>
        <v>20190303154504209</v>
      </c>
      <c r="B2031" t="str">
        <f>"1551599104202263"</f>
        <v>1551599104202263</v>
      </c>
      <c r="C2031" t="s">
        <v>40</v>
      </c>
      <c r="D2031">
        <v>4.1182999999999996</v>
      </c>
      <c r="E2031">
        <v>0.50227999999999995</v>
      </c>
      <c r="F2031" t="s">
        <v>43</v>
      </c>
      <c r="G2031">
        <v>-521.05600000000004</v>
      </c>
      <c r="H2031">
        <v>-0.05</v>
      </c>
      <c r="I2031">
        <v>284.57139999999998</v>
      </c>
      <c r="J2031">
        <v>-432.90660000000003</v>
      </c>
      <c r="K2031">
        <v>1.1209549999999999</v>
      </c>
      <c r="L2031">
        <v>284.43189999999998</v>
      </c>
      <c r="M2031">
        <v>-0.9998861</v>
      </c>
      <c r="N2031">
        <v>-1.4003740000000001E-2</v>
      </c>
      <c r="O2031">
        <v>5.6421240000000001E-3</v>
      </c>
      <c r="P2031">
        <v>-0.99733260000000001</v>
      </c>
      <c r="Q2031">
        <v>-7.2972540000000002E-2</v>
      </c>
      <c r="R2031">
        <v>1.7533119999999999E-3</v>
      </c>
      <c r="S2031">
        <v>-3.0051269999999999</v>
      </c>
      <c r="T2031">
        <v>-3.9803499999999999E-2</v>
      </c>
      <c r="U2031">
        <v>4.7912600000000003E-3</v>
      </c>
      <c r="V2031">
        <v>-3.89355E-3</v>
      </c>
      <c r="W2031">
        <v>-5.8997800000000003E-2</v>
      </c>
      <c r="X2031">
        <v>0.99825050000000004</v>
      </c>
      <c r="Y2031">
        <v>-4.0476039999999998E-3</v>
      </c>
      <c r="Z2031" s="1">
        <v>-5.08613E-5</v>
      </c>
      <c r="AA2031">
        <v>0.99999179999999999</v>
      </c>
      <c r="AB2031">
        <v>27</v>
      </c>
      <c r="AC2031">
        <v>-88.1494</v>
      </c>
      <c r="AD2031">
        <v>-1.170955</v>
      </c>
      <c r="AE2031">
        <v>0.13949999999999799</v>
      </c>
      <c r="AF2031">
        <v>-0.35783765883600599</v>
      </c>
      <c r="AG2031">
        <v>-1.170955</v>
      </c>
      <c r="AH2031">
        <v>88.133232025538604</v>
      </c>
      <c r="AI2031">
        <v>90.761191638998298</v>
      </c>
      <c r="AJ2031">
        <v>90.232630467184293</v>
      </c>
      <c r="AK2031">
        <v>88.141736825805296</v>
      </c>
      <c r="AL2031">
        <v>93.382289090347598</v>
      </c>
      <c r="AM2031">
        <v>90.223473818526401</v>
      </c>
      <c r="AN2031">
        <v>0.99999998044334604</v>
      </c>
    </row>
    <row r="2032" spans="1:40" x14ac:dyDescent="0.25">
      <c r="A2032" t="str">
        <f>"20190303154504233"</f>
        <v>20190303154504233</v>
      </c>
      <c r="B2032" t="str">
        <f>"1551599104222760"</f>
        <v>1551599104222760</v>
      </c>
      <c r="C2032" t="s">
        <v>40</v>
      </c>
      <c r="D2032">
        <v>4.1507529999999999</v>
      </c>
      <c r="E2032">
        <v>0.50288440000000001</v>
      </c>
      <c r="F2032" t="s">
        <v>43</v>
      </c>
      <c r="G2032">
        <v>-536.5249</v>
      </c>
      <c r="H2032">
        <v>-0.05</v>
      </c>
      <c r="I2032">
        <v>285.13690000000003</v>
      </c>
      <c r="J2032">
        <v>-433.18270000000001</v>
      </c>
      <c r="K2032">
        <v>1.12096</v>
      </c>
      <c r="L2032">
        <v>284.43369999999999</v>
      </c>
      <c r="M2032">
        <v>-0.99988509999999997</v>
      </c>
      <c r="N2032">
        <v>-1.4000830000000001E-2</v>
      </c>
      <c r="O2032">
        <v>5.8075230000000002E-3</v>
      </c>
      <c r="P2032">
        <v>-0.99725560000000002</v>
      </c>
      <c r="Q2032">
        <v>-7.3920369999999999E-2</v>
      </c>
      <c r="R2032">
        <v>4.1406890000000003E-3</v>
      </c>
      <c r="S2032">
        <v>-3.0054630000000002</v>
      </c>
      <c r="T2032">
        <v>-3.3963680000000003E-2</v>
      </c>
      <c r="U2032">
        <v>2.0446780000000001E-2</v>
      </c>
      <c r="V2032">
        <v>-1.6709889999999999E-3</v>
      </c>
      <c r="W2032">
        <v>-5.9950070000000001E-2</v>
      </c>
      <c r="X2032">
        <v>0.99819999999999998</v>
      </c>
      <c r="Y2032">
        <v>9.9485409999999991E-4</v>
      </c>
      <c r="Z2032" s="1">
        <v>2.8275529999999999E-5</v>
      </c>
      <c r="AA2032">
        <v>0.99999950000000004</v>
      </c>
      <c r="AB2032">
        <v>27</v>
      </c>
      <c r="AC2032">
        <v>-103.34220000000001</v>
      </c>
      <c r="AD2032">
        <v>-1.17096</v>
      </c>
      <c r="AE2032">
        <v>0.70320000000003802</v>
      </c>
      <c r="AF2032">
        <v>0.10295387572086501</v>
      </c>
      <c r="AG2032">
        <v>-1.17096</v>
      </c>
      <c r="AH2032">
        <v>103.331275153959</v>
      </c>
      <c r="AI2032">
        <v>90.649253199852296</v>
      </c>
      <c r="AJ2032">
        <v>89.942913502203496</v>
      </c>
      <c r="AK2032">
        <v>103.33796094255599</v>
      </c>
      <c r="AL2032">
        <v>93.436946756054695</v>
      </c>
      <c r="AM2032">
        <v>90.095913171590993</v>
      </c>
      <c r="AN2032">
        <v>1.00000002154862</v>
      </c>
    </row>
    <row r="2033" spans="1:40" x14ac:dyDescent="0.25">
      <c r="A2033" t="str">
        <f>"20190303154504254"</f>
        <v>20190303154504254</v>
      </c>
      <c r="B2033" t="str">
        <f>"1551599104242280"</f>
        <v>1551599104242280</v>
      </c>
      <c r="C2033" t="s">
        <v>40</v>
      </c>
      <c r="D2033">
        <v>4.1735610000000003</v>
      </c>
      <c r="E2033">
        <v>0.50393140000000003</v>
      </c>
      <c r="F2033" t="s">
        <v>43</v>
      </c>
      <c r="G2033">
        <v>-527.43299999999999</v>
      </c>
      <c r="H2033">
        <v>-0.05</v>
      </c>
      <c r="I2033">
        <v>285.45679999999999</v>
      </c>
      <c r="J2033">
        <v>-433.44929999999999</v>
      </c>
      <c r="K2033">
        <v>1.120957</v>
      </c>
      <c r="L2033">
        <v>284.43549999999999</v>
      </c>
      <c r="M2033">
        <v>-0.99988429999999995</v>
      </c>
      <c r="N2033">
        <v>-1.399803E-2</v>
      </c>
      <c r="O2033">
        <v>5.9675589999999999E-3</v>
      </c>
      <c r="P2033">
        <v>-0.99728050000000001</v>
      </c>
      <c r="Q2033">
        <v>-7.3453420000000005E-2</v>
      </c>
      <c r="R2033">
        <v>6.0353510000000004E-3</v>
      </c>
      <c r="S2033">
        <v>-3.0053100000000001</v>
      </c>
      <c r="T2033">
        <v>-3.7337780000000001E-2</v>
      </c>
      <c r="U2033">
        <v>3.2623289999999999E-2</v>
      </c>
      <c r="V2033" s="1">
        <v>6.3963900000000006E-5</v>
      </c>
      <c r="W2033">
        <v>-5.9486030000000002E-2</v>
      </c>
      <c r="X2033">
        <v>0.99822909999999998</v>
      </c>
      <c r="Y2033">
        <v>4.8857980000000002E-3</v>
      </c>
      <c r="Z2033" s="1">
        <v>7.3952159999999997E-5</v>
      </c>
      <c r="AA2033">
        <v>0.99998810000000005</v>
      </c>
      <c r="AB2033">
        <v>27</v>
      </c>
      <c r="AC2033">
        <v>-93.983699999999999</v>
      </c>
      <c r="AD2033">
        <v>-1.170957</v>
      </c>
      <c r="AE2033">
        <v>1.0212999999999901</v>
      </c>
      <c r="AF2033">
        <v>0.46030218333515399</v>
      </c>
      <c r="AG2033">
        <v>-1.170957</v>
      </c>
      <c r="AH2033">
        <v>93.973535631095899</v>
      </c>
      <c r="AI2033">
        <v>90.713888404844596</v>
      </c>
      <c r="AJ2033">
        <v>89.719355440753404</v>
      </c>
      <c r="AK2033">
        <v>93.981957935577597</v>
      </c>
      <c r="AL2033">
        <v>93.410311883433096</v>
      </c>
      <c r="AM2033">
        <v>89.996328636876797</v>
      </c>
      <c r="AN2033">
        <v>0.99999996397167501</v>
      </c>
    </row>
    <row r="2034" spans="1:40" x14ac:dyDescent="0.25">
      <c r="A2034" t="str">
        <f>"20190303154504276"</f>
        <v>20190303154504276</v>
      </c>
      <c r="B2034" t="str">
        <f>"1551599104272536"</f>
        <v>1551599104272536</v>
      </c>
      <c r="C2034" t="s">
        <v>40</v>
      </c>
      <c r="D2034">
        <v>4.2466410000000003</v>
      </c>
      <c r="E2034">
        <v>0.50402860000000005</v>
      </c>
      <c r="F2034" t="s">
        <v>43</v>
      </c>
      <c r="G2034">
        <v>-540.51729999999998</v>
      </c>
      <c r="H2034">
        <v>-0.05</v>
      </c>
      <c r="I2034">
        <v>286.10210000000001</v>
      </c>
      <c r="J2034">
        <v>-433.70499999999998</v>
      </c>
      <c r="K2034">
        <v>1.1209610000000001</v>
      </c>
      <c r="L2034">
        <v>284.43720000000002</v>
      </c>
      <c r="M2034">
        <v>-0.99988339999999998</v>
      </c>
      <c r="N2034">
        <v>-1.399535E-2</v>
      </c>
      <c r="O2034">
        <v>6.1213400000000003E-3</v>
      </c>
      <c r="P2034">
        <v>-0.99727270000000001</v>
      </c>
      <c r="Q2034">
        <v>-7.3460880000000006E-2</v>
      </c>
      <c r="R2034">
        <v>7.1238719999999998E-3</v>
      </c>
      <c r="S2034">
        <v>-3.0054630000000002</v>
      </c>
      <c r="T2034">
        <v>-3.2869460000000003E-2</v>
      </c>
      <c r="U2034">
        <v>4.6783449999999997E-2</v>
      </c>
      <c r="V2034">
        <v>9.9917360000000011E-4</v>
      </c>
      <c r="W2034">
        <v>-5.9496470000000003E-2</v>
      </c>
      <c r="X2034">
        <v>0.998228</v>
      </c>
      <c r="Y2034">
        <v>9.4415090000000007E-3</v>
      </c>
      <c r="Z2034">
        <v>1.364367E-4</v>
      </c>
      <c r="AA2034">
        <v>0.99995540000000005</v>
      </c>
      <c r="AB2034">
        <v>27</v>
      </c>
      <c r="AC2034">
        <v>-106.81229999999999</v>
      </c>
      <c r="AD2034">
        <v>-1.1709609999999999</v>
      </c>
      <c r="AE2034">
        <v>1.6648999999999801</v>
      </c>
      <c r="AF2034">
        <v>1.0108489472088</v>
      </c>
      <c r="AG2034">
        <v>-1.1709609999999999</v>
      </c>
      <c r="AH2034">
        <v>106.807657508932</v>
      </c>
      <c r="AI2034">
        <v>90.628095708840604</v>
      </c>
      <c r="AJ2034">
        <v>89.457757518481799</v>
      </c>
      <c r="AK2034">
        <v>106.818859139213</v>
      </c>
      <c r="AL2034">
        <v>93.4109110438675</v>
      </c>
      <c r="AM2034">
        <v>89.942649964575295</v>
      </c>
      <c r="AN2034">
        <v>0.99999998413717095</v>
      </c>
    </row>
    <row r="2035" spans="1:40" x14ac:dyDescent="0.25">
      <c r="A2035" t="str">
        <f>"20190303154504299"</f>
        <v>20190303154504299</v>
      </c>
      <c r="B2035" t="str">
        <f>"1551599104293032"</f>
        <v>1551599104293032</v>
      </c>
      <c r="C2035" t="s">
        <v>40</v>
      </c>
      <c r="D2035">
        <v>4.2255949999999904</v>
      </c>
      <c r="E2035">
        <v>0.50445909999999905</v>
      </c>
      <c r="F2035" t="s">
        <v>43</v>
      </c>
      <c r="G2035">
        <v>-520.23320000000001</v>
      </c>
      <c r="H2035">
        <v>-0.05</v>
      </c>
      <c r="I2035">
        <v>285.90649999999999</v>
      </c>
      <c r="J2035">
        <v>-433.98070000000001</v>
      </c>
      <c r="K2035">
        <v>1.1209629999999999</v>
      </c>
      <c r="L2035">
        <v>284.4391</v>
      </c>
      <c r="M2035">
        <v>-0.99988250000000001</v>
      </c>
      <c r="N2035">
        <v>-1.399244E-2</v>
      </c>
      <c r="O2035">
        <v>6.2872240000000001E-3</v>
      </c>
      <c r="P2035">
        <v>-0.99730989999999997</v>
      </c>
      <c r="Q2035">
        <v>-7.2910500000000003E-2</v>
      </c>
      <c r="R2035">
        <v>7.5747919999999899E-3</v>
      </c>
      <c r="S2035">
        <v>-3.0048520000000001</v>
      </c>
      <c r="T2035">
        <v>-4.066384E-2</v>
      </c>
      <c r="U2035">
        <v>5.1025389999999997E-2</v>
      </c>
      <c r="V2035">
        <v>1.284702E-3</v>
      </c>
      <c r="W2035">
        <v>-5.8948599999999997E-2</v>
      </c>
      <c r="X2035">
        <v>0.99826020000000004</v>
      </c>
      <c r="Y2035">
        <v>1.0689300000000001E-2</v>
      </c>
      <c r="Z2035">
        <v>1.5002139999999999E-4</v>
      </c>
      <c r="AA2035">
        <v>0.99994280000000002</v>
      </c>
      <c r="AB2035">
        <v>27</v>
      </c>
      <c r="AC2035">
        <v>-86.252499999999998</v>
      </c>
      <c r="AD2035">
        <v>-1.170963</v>
      </c>
      <c r="AE2035">
        <v>1.46739999999999</v>
      </c>
      <c r="AF2035">
        <v>0.92485878950734202</v>
      </c>
      <c r="AG2035">
        <v>-1.170963</v>
      </c>
      <c r="AH2035">
        <v>86.244130839560299</v>
      </c>
      <c r="AI2035">
        <v>90.777829846676596</v>
      </c>
      <c r="AJ2035">
        <v>89.385599070517401</v>
      </c>
      <c r="AK2035">
        <v>86.257038103560603</v>
      </c>
      <c r="AL2035">
        <v>93.379465131972694</v>
      </c>
      <c r="AM2035">
        <v>89.926263751780198</v>
      </c>
      <c r="AN2035">
        <v>1.0000000074026101</v>
      </c>
    </row>
    <row r="2036" spans="1:40" x14ac:dyDescent="0.25">
      <c r="A2036" t="str">
        <f>"20190303154504321"</f>
        <v>20190303154504321</v>
      </c>
      <c r="B2036" t="str">
        <f>"1551599104312552"</f>
        <v>1551599104312552</v>
      </c>
      <c r="C2036" t="s">
        <v>40</v>
      </c>
      <c r="D2036">
        <v>4.2570410000000001</v>
      </c>
      <c r="E2036">
        <v>0.50441939999999996</v>
      </c>
      <c r="F2036" t="s">
        <v>43</v>
      </c>
      <c r="G2036">
        <v>-529.79020000000003</v>
      </c>
      <c r="H2036">
        <v>-0.05</v>
      </c>
      <c r="I2036">
        <v>286.2285</v>
      </c>
      <c r="J2036">
        <v>-434.23390000000001</v>
      </c>
      <c r="K2036">
        <v>1.120968</v>
      </c>
      <c r="L2036">
        <v>284.4409</v>
      </c>
      <c r="M2036">
        <v>-0.99988140000000003</v>
      </c>
      <c r="N2036">
        <v>-1.3989740000000001E-2</v>
      </c>
      <c r="O2036">
        <v>6.4401719999999897E-3</v>
      </c>
      <c r="P2036">
        <v>-0.99738859999999996</v>
      </c>
      <c r="Q2036">
        <v>-7.1851979999999996E-2</v>
      </c>
      <c r="R2036">
        <v>7.3047819999999897E-3</v>
      </c>
      <c r="S2036">
        <v>-3.0049739999999998</v>
      </c>
      <c r="T2036">
        <v>-3.6726120000000001E-2</v>
      </c>
      <c r="U2036">
        <v>5.6121829999999998E-2</v>
      </c>
      <c r="V2036">
        <v>8.6203829999999997E-4</v>
      </c>
      <c r="W2036">
        <v>-5.7891650000000003E-2</v>
      </c>
      <c r="X2036">
        <v>0.9983225</v>
      </c>
      <c r="Y2036">
        <v>1.223104E-2</v>
      </c>
      <c r="Z2036">
        <v>1.7170250000000001E-4</v>
      </c>
      <c r="AA2036">
        <v>0.99992519999999996</v>
      </c>
      <c r="AB2036">
        <v>27</v>
      </c>
      <c r="AC2036">
        <v>-95.556299999999993</v>
      </c>
      <c r="AD2036">
        <v>-1.170968</v>
      </c>
      <c r="AE2036">
        <v>1.7875999999999901</v>
      </c>
      <c r="AF2036">
        <v>1.1719277627909099</v>
      </c>
      <c r="AG2036">
        <v>-1.170968</v>
      </c>
      <c r="AH2036">
        <v>95.551487973879006</v>
      </c>
      <c r="AI2036">
        <v>90.702062548388696</v>
      </c>
      <c r="AJ2036">
        <v>89.297309235688701</v>
      </c>
      <c r="AK2036">
        <v>95.565848684352602</v>
      </c>
      <c r="AL2036">
        <v>93.318802773446706</v>
      </c>
      <c r="AM2036">
        <v>89.950525863042103</v>
      </c>
      <c r="AN2036">
        <v>1.0000000001280001</v>
      </c>
    </row>
    <row r="2037" spans="1:40" x14ac:dyDescent="0.25">
      <c r="A2037" t="str">
        <f>"20190303154504344"</f>
        <v>20190303154504344</v>
      </c>
      <c r="B2037" t="str">
        <f>"1551599104333048"</f>
        <v>1551599104333048</v>
      </c>
      <c r="C2037" t="s">
        <v>40</v>
      </c>
      <c r="D2037">
        <v>4.2966839999999999</v>
      </c>
      <c r="E2037">
        <v>0.50445620000000002</v>
      </c>
      <c r="F2037" t="s">
        <v>43</v>
      </c>
      <c r="G2037">
        <v>-529.82950000000005</v>
      </c>
      <c r="H2037">
        <v>-0.05</v>
      </c>
      <c r="I2037">
        <v>286.1943</v>
      </c>
      <c r="J2037">
        <v>-434.51170000000002</v>
      </c>
      <c r="K2037">
        <v>1.1209709999999999</v>
      </c>
      <c r="L2037">
        <v>284.44290000000001</v>
      </c>
      <c r="M2037">
        <v>-0.9998804</v>
      </c>
      <c r="N2037">
        <v>-1.3986770000000001E-2</v>
      </c>
      <c r="O2037">
        <v>6.6082010000000002E-3</v>
      </c>
      <c r="P2037">
        <v>-0.99741020000000002</v>
      </c>
      <c r="Q2037">
        <v>-7.1602209999999999E-2</v>
      </c>
      <c r="R2037">
        <v>6.786215E-3</v>
      </c>
      <c r="S2037">
        <v>-3.0047299999999999</v>
      </c>
      <c r="T2037">
        <v>-3.680551E-2</v>
      </c>
      <c r="U2037">
        <v>5.5114749999999997E-2</v>
      </c>
      <c r="V2037">
        <v>1.758675E-4</v>
      </c>
      <c r="W2037">
        <v>-5.7644399999999998E-2</v>
      </c>
      <c r="X2037">
        <v>0.99833709999999998</v>
      </c>
      <c r="Y2037">
        <v>1.172957E-2</v>
      </c>
      <c r="Z2037">
        <v>1.6536989999999999E-4</v>
      </c>
      <c r="AA2037">
        <v>0.99993120000000002</v>
      </c>
      <c r="AB2037">
        <v>27</v>
      </c>
      <c r="AC2037">
        <v>-95.317800000000005</v>
      </c>
      <c r="AD2037">
        <v>-1.170971</v>
      </c>
      <c r="AE2037">
        <v>1.7513999999999801</v>
      </c>
      <c r="AF2037">
        <v>1.12125182406001</v>
      </c>
      <c r="AG2037">
        <v>-1.170971</v>
      </c>
      <c r="AH2037">
        <v>95.312913434936604</v>
      </c>
      <c r="AI2037">
        <v>90.703825719167199</v>
      </c>
      <c r="AJ2037">
        <v>89.326009124008095</v>
      </c>
      <c r="AK2037">
        <v>95.326700594279998</v>
      </c>
      <c r="AL2037">
        <v>93.3046129054391</v>
      </c>
      <c r="AM2037">
        <v>89.989906750536093</v>
      </c>
      <c r="AN2037">
        <v>0.999999936508571</v>
      </c>
    </row>
    <row r="2038" spans="1:40" x14ac:dyDescent="0.25">
      <c r="A2038" t="str">
        <f>"20190303154504376"</f>
        <v>20190303154504376</v>
      </c>
      <c r="B2038" t="str">
        <f>"1551599104373063"</f>
        <v>1551599104373063</v>
      </c>
      <c r="C2038" t="s">
        <v>40</v>
      </c>
      <c r="D2038">
        <v>4.2742319999999996</v>
      </c>
      <c r="E2038">
        <v>0.50457969999999996</v>
      </c>
      <c r="F2038" t="s">
        <v>43</v>
      </c>
      <c r="G2038">
        <v>-528.34659999999997</v>
      </c>
      <c r="H2038">
        <v>-0.05</v>
      </c>
      <c r="I2038">
        <v>286.1173</v>
      </c>
      <c r="J2038">
        <v>-434.89710000000002</v>
      </c>
      <c r="K2038">
        <v>1.120965</v>
      </c>
      <c r="L2038">
        <v>284.44569999999999</v>
      </c>
      <c r="M2038">
        <v>-0.99987890000000001</v>
      </c>
      <c r="N2038">
        <v>-1.3982619999999999E-2</v>
      </c>
      <c r="O2038">
        <v>6.8409059999999999E-3</v>
      </c>
      <c r="P2038">
        <v>-0.99740949999999995</v>
      </c>
      <c r="Q2038">
        <v>-7.1618070000000006E-2</v>
      </c>
      <c r="R2038">
        <v>6.748113E-3</v>
      </c>
      <c r="S2038">
        <v>-3.0047299999999999</v>
      </c>
      <c r="T2038">
        <v>-3.7496210000000002E-2</v>
      </c>
      <c r="U2038">
        <v>5.3619380000000001E-2</v>
      </c>
      <c r="V2038" s="1">
        <v>-9.4218939999999996E-5</v>
      </c>
      <c r="W2038">
        <v>-5.7664319999999998E-2</v>
      </c>
      <c r="X2038">
        <v>0.998336</v>
      </c>
      <c r="Y2038">
        <v>1.0999439999999999E-2</v>
      </c>
      <c r="Z2038">
        <v>1.5583710000000001E-4</v>
      </c>
      <c r="AA2038">
        <v>0.99993949999999998</v>
      </c>
      <c r="AB2038">
        <v>27</v>
      </c>
      <c r="AC2038">
        <v>-93.449499999999901</v>
      </c>
      <c r="AD2038">
        <v>-1.170965</v>
      </c>
      <c r="AE2038">
        <v>1.67160000000001</v>
      </c>
      <c r="AF2038">
        <v>1.0320571762900499</v>
      </c>
      <c r="AG2038">
        <v>-1.170965</v>
      </c>
      <c r="AH2038">
        <v>93.444082114693003</v>
      </c>
      <c r="AI2038">
        <v>90.717902604889005</v>
      </c>
      <c r="AJ2038">
        <v>89.367213901163794</v>
      </c>
      <c r="AK2038">
        <v>93.457117349637102</v>
      </c>
      <c r="AL2038">
        <v>93.305756009100406</v>
      </c>
      <c r="AM2038">
        <v>90.005407345418902</v>
      </c>
      <c r="AN2038">
        <v>0.99999997578713495</v>
      </c>
    </row>
    <row r="2039" spans="1:40" x14ac:dyDescent="0.25">
      <c r="A2039" t="str">
        <f>"20190303154504400"</f>
        <v>20190303154504400</v>
      </c>
      <c r="B2039" t="str">
        <f>"1551599104392583"</f>
        <v>1551599104392583</v>
      </c>
      <c r="C2039" t="s">
        <v>40</v>
      </c>
      <c r="D2039">
        <v>4.3326200000000004</v>
      </c>
      <c r="E2039">
        <v>0.50435399999999997</v>
      </c>
      <c r="F2039" t="s">
        <v>43</v>
      </c>
      <c r="G2039">
        <v>-524.18979999999999</v>
      </c>
      <c r="H2039">
        <v>-0.05</v>
      </c>
      <c r="I2039">
        <v>286.06819999999999</v>
      </c>
      <c r="J2039">
        <v>-435.1712</v>
      </c>
      <c r="K2039">
        <v>1.1209659999999999</v>
      </c>
      <c r="L2039">
        <v>284.44779999999997</v>
      </c>
      <c r="M2039">
        <v>-0.99987780000000004</v>
      </c>
      <c r="N2039">
        <v>-1.3979689999999999E-2</v>
      </c>
      <c r="O2039">
        <v>7.0063759999999999E-3</v>
      </c>
      <c r="P2039">
        <v>-0.99738769999999999</v>
      </c>
      <c r="Q2039">
        <v>-7.1926530000000002E-2</v>
      </c>
      <c r="R2039">
        <v>6.691776E-3</v>
      </c>
      <c r="S2039">
        <v>-3.0046080000000002</v>
      </c>
      <c r="T2039">
        <v>-3.9401770000000003E-2</v>
      </c>
      <c r="U2039">
        <v>5.4595949999999997E-2</v>
      </c>
      <c r="V2039">
        <v>-3.1543670000000002E-4</v>
      </c>
      <c r="W2039">
        <v>-5.797592E-2</v>
      </c>
      <c r="X2039">
        <v>0.99831800000000004</v>
      </c>
      <c r="Y2039">
        <v>1.115941E-2</v>
      </c>
      <c r="Z2039">
        <v>1.572612E-4</v>
      </c>
      <c r="AA2039">
        <v>0.99993770000000004</v>
      </c>
      <c r="AB2039">
        <v>26</v>
      </c>
      <c r="AC2039">
        <v>-89.018599999999907</v>
      </c>
      <c r="AD2039">
        <v>-1.170966</v>
      </c>
      <c r="AE2039">
        <v>1.6204000000000101</v>
      </c>
      <c r="AF2039">
        <v>0.99642916803655102</v>
      </c>
      <c r="AG2039">
        <v>-1.170966</v>
      </c>
      <c r="AH2039">
        <v>89.012371947119505</v>
      </c>
      <c r="AI2039">
        <v>90.753640600010897</v>
      </c>
      <c r="AJ2039">
        <v>89.358641949328899</v>
      </c>
      <c r="AK2039">
        <v>89.025650192022795</v>
      </c>
      <c r="AL2039">
        <v>93.323638986225504</v>
      </c>
      <c r="AM2039">
        <v>90.018103641336793</v>
      </c>
      <c r="AN2039">
        <v>1.00000006796207</v>
      </c>
    </row>
    <row r="2040" spans="1:40" x14ac:dyDescent="0.25">
      <c r="A2040" t="str">
        <f>"20190303154504422"</f>
        <v>20190303154504422</v>
      </c>
      <c r="B2040" t="str">
        <f>"1551599104413080"</f>
        <v>1551599104413080</v>
      </c>
      <c r="C2040" t="s">
        <v>40</v>
      </c>
      <c r="D2040">
        <v>4.3014580000000002</v>
      </c>
      <c r="E2040">
        <v>0.50427200000000005</v>
      </c>
      <c r="F2040" t="s">
        <v>43</v>
      </c>
      <c r="G2040">
        <v>-514.9873</v>
      </c>
      <c r="H2040">
        <v>-0.05</v>
      </c>
      <c r="I2040">
        <v>285.85120000000001</v>
      </c>
      <c r="J2040">
        <v>-435.43349999999998</v>
      </c>
      <c r="K2040">
        <v>1.1209639999999901</v>
      </c>
      <c r="L2040">
        <v>284.44979999999998</v>
      </c>
      <c r="M2040">
        <v>-0.99987680000000001</v>
      </c>
      <c r="N2040">
        <v>-1.397689E-2</v>
      </c>
      <c r="O2040">
        <v>7.1642769999999897E-3</v>
      </c>
      <c r="P2040">
        <v>-0.99738249999999995</v>
      </c>
      <c r="Q2040">
        <v>-7.2019879999999994E-2</v>
      </c>
      <c r="R2040">
        <v>6.4349979999999999E-3</v>
      </c>
      <c r="S2040">
        <v>-3.0043639999999998</v>
      </c>
      <c r="T2040">
        <v>-4.4076440000000001E-2</v>
      </c>
      <c r="U2040">
        <v>5.282593E-2</v>
      </c>
      <c r="V2040">
        <v>-7.3005909999999995E-4</v>
      </c>
      <c r="W2040">
        <v>-5.8072020000000002E-2</v>
      </c>
      <c r="X2040">
        <v>0.99831210000000004</v>
      </c>
      <c r="Y2040">
        <v>1.0413840000000001E-2</v>
      </c>
      <c r="Z2040">
        <v>1.442169E-4</v>
      </c>
      <c r="AA2040">
        <v>0.9999458</v>
      </c>
      <c r="AB2040">
        <v>26</v>
      </c>
      <c r="AC2040">
        <v>-79.553799999999995</v>
      </c>
      <c r="AD2040">
        <v>-1.1709639999999999</v>
      </c>
      <c r="AE2040">
        <v>1.40140000000002</v>
      </c>
      <c r="AF2040">
        <v>0.83118295122084496</v>
      </c>
      <c r="AG2040">
        <v>-1.1709639999999999</v>
      </c>
      <c r="AH2040">
        <v>79.544570704643505</v>
      </c>
      <c r="AI2040">
        <v>90.843335845864203</v>
      </c>
      <c r="AJ2040">
        <v>89.401322535100803</v>
      </c>
      <c r="AK2040">
        <v>79.557531072637801</v>
      </c>
      <c r="AL2040">
        <v>93.329154726690703</v>
      </c>
      <c r="AM2040">
        <v>90.0419000208136</v>
      </c>
      <c r="AN2040">
        <v>0.99999997074978897</v>
      </c>
    </row>
    <row r="2041" spans="1:40" x14ac:dyDescent="0.25">
      <c r="A2041" t="str">
        <f>"20190303154504449"</f>
        <v>20190303154504449</v>
      </c>
      <c r="B2041" t="str">
        <f>"1551599104442361"</f>
        <v>1551599104442361</v>
      </c>
      <c r="C2041" t="s">
        <v>40</v>
      </c>
      <c r="D2041">
        <v>4.3330529999999996</v>
      </c>
      <c r="E2041">
        <v>0.50423929999999995</v>
      </c>
      <c r="F2041" t="s">
        <v>54</v>
      </c>
      <c r="G2041">
        <v>-502.39370000000002</v>
      </c>
      <c r="H2041">
        <v>7.9981949999999996E-2</v>
      </c>
      <c r="I2041">
        <v>285.59660000000002</v>
      </c>
      <c r="J2041">
        <v>-435.73090000000002</v>
      </c>
      <c r="K2041">
        <v>1.120965</v>
      </c>
      <c r="L2041">
        <v>284.45209999999997</v>
      </c>
      <c r="M2041">
        <v>-0.99987539999999997</v>
      </c>
      <c r="N2041">
        <v>-1.397372E-2</v>
      </c>
      <c r="O2041">
        <v>7.343039E-3</v>
      </c>
      <c r="P2041">
        <v>-0.99734259999999997</v>
      </c>
      <c r="Q2041">
        <v>-7.2549829999999996E-2</v>
      </c>
      <c r="R2041">
        <v>6.6430500000000002E-3</v>
      </c>
      <c r="S2041">
        <v>-3.0042110000000002</v>
      </c>
      <c r="T2041">
        <v>-4.6704290000000002E-2</v>
      </c>
      <c r="U2041">
        <v>5.1452640000000001E-2</v>
      </c>
      <c r="V2041">
        <v>-6.9957129999999995E-4</v>
      </c>
      <c r="W2041">
        <v>-5.8605640000000001E-2</v>
      </c>
      <c r="X2041">
        <v>0.99828090000000003</v>
      </c>
      <c r="Y2041">
        <v>9.778953E-3</v>
      </c>
      <c r="Z2041">
        <v>1.3281299999999999E-4</v>
      </c>
      <c r="AA2041">
        <v>0.99995219999999996</v>
      </c>
      <c r="AB2041">
        <v>26</v>
      </c>
      <c r="AC2041">
        <v>-66.662800000000004</v>
      </c>
      <c r="AD2041">
        <v>-1.0409830499999999</v>
      </c>
      <c r="AE2041">
        <v>1.14450000000005</v>
      </c>
      <c r="AF2041">
        <v>0.65475418497469196</v>
      </c>
      <c r="AG2041">
        <v>-1.0409830499999999</v>
      </c>
      <c r="AH2041">
        <v>66.653158828908801</v>
      </c>
      <c r="AI2041">
        <v>90.894724433260507</v>
      </c>
      <c r="AJ2041">
        <v>89.437184291649302</v>
      </c>
      <c r="AK2041">
        <v>66.664502777901703</v>
      </c>
      <c r="AL2041">
        <v>93.359781190774797</v>
      </c>
      <c r="AM2041">
        <v>90.0401515008422</v>
      </c>
      <c r="AN2041">
        <v>0.99999993287230904</v>
      </c>
    </row>
    <row r="2042" spans="1:40" x14ac:dyDescent="0.25">
      <c r="A2042" t="str">
        <f>"20190303154504471"</f>
        <v>20190303154504471</v>
      </c>
      <c r="B2042" t="str">
        <f>"1551599104462856"</f>
        <v>1551599104462856</v>
      </c>
      <c r="C2042" t="s">
        <v>40</v>
      </c>
      <c r="D2042">
        <v>4.4039089999999996</v>
      </c>
      <c r="E2042">
        <v>0.50405449999999996</v>
      </c>
      <c r="F2042" t="s">
        <v>54</v>
      </c>
      <c r="G2042">
        <v>-499.95780000000002</v>
      </c>
      <c r="H2042">
        <v>3.8245300000000003E-2</v>
      </c>
      <c r="I2042">
        <v>285.56270000000001</v>
      </c>
      <c r="J2042">
        <v>-436.0102</v>
      </c>
      <c r="K2042">
        <v>1.1209709999999999</v>
      </c>
      <c r="L2042">
        <v>284.45429999999999</v>
      </c>
      <c r="M2042">
        <v>-0.99987420000000005</v>
      </c>
      <c r="N2042">
        <v>-1.3970669999999999E-2</v>
      </c>
      <c r="O2042">
        <v>7.5102950000000002E-3</v>
      </c>
      <c r="P2042">
        <v>-0.99734719999999999</v>
      </c>
      <c r="Q2042">
        <v>-7.2419559999999994E-2</v>
      </c>
      <c r="R2042">
        <v>7.3405609999999998E-3</v>
      </c>
      <c r="S2042">
        <v>-3.0039980000000002</v>
      </c>
      <c r="T2042">
        <v>-5.0640579999999998E-2</v>
      </c>
      <c r="U2042">
        <v>5.1940920000000002E-2</v>
      </c>
      <c r="V2042">
        <v>-1.69765E-4</v>
      </c>
      <c r="W2042">
        <v>-5.8478469999999998E-2</v>
      </c>
      <c r="X2042">
        <v>0.99828859999999997</v>
      </c>
      <c r="Y2042">
        <v>9.7751130000000002E-3</v>
      </c>
      <c r="Z2042">
        <v>1.2901809999999901E-4</v>
      </c>
      <c r="AA2042">
        <v>0.99995219999999996</v>
      </c>
      <c r="AB2042">
        <v>26</v>
      </c>
      <c r="AC2042">
        <v>-63.947600000000001</v>
      </c>
      <c r="AD2042">
        <v>-1.0827256999999999</v>
      </c>
      <c r="AE2042">
        <v>1.10840000000001</v>
      </c>
      <c r="AF2042">
        <v>0.62787657578787204</v>
      </c>
      <c r="AG2042">
        <v>-1.0827256999999999</v>
      </c>
      <c r="AH2042">
        <v>63.935798149038</v>
      </c>
      <c r="AI2042">
        <v>90.970140286068002</v>
      </c>
      <c r="AJ2042">
        <v>89.437349302242396</v>
      </c>
      <c r="AK2042">
        <v>63.9480477332216</v>
      </c>
      <c r="AL2042">
        <v>93.352482328801997</v>
      </c>
      <c r="AM2042">
        <v>90.009743492929005</v>
      </c>
      <c r="AN2042">
        <v>0.99999994458182595</v>
      </c>
    </row>
    <row r="2043" spans="1:40" x14ac:dyDescent="0.25">
      <c r="A2043" t="str">
        <f>"20190303154504491"</f>
        <v>20190303154504491</v>
      </c>
      <c r="B2043" t="str">
        <f>"1551599104483352"</f>
        <v>1551599104483352</v>
      </c>
      <c r="C2043" t="s">
        <v>40</v>
      </c>
      <c r="D2043">
        <v>4.4050289999999999</v>
      </c>
      <c r="E2043">
        <v>0.5039749</v>
      </c>
      <c r="F2043" t="s">
        <v>54</v>
      </c>
      <c r="G2043">
        <v>-499.6216</v>
      </c>
      <c r="H2043" s="1">
        <v>2.3408460000000001E-6</v>
      </c>
      <c r="I2043">
        <v>285.56529999999998</v>
      </c>
      <c r="J2043">
        <v>-436.24119999999999</v>
      </c>
      <c r="K2043">
        <v>1.120976</v>
      </c>
      <c r="L2043">
        <v>284.4563</v>
      </c>
      <c r="M2043">
        <v>-0.99987329999999996</v>
      </c>
      <c r="N2043">
        <v>-1.396495E-2</v>
      </c>
      <c r="O2043">
        <v>7.6487209999999998E-3</v>
      </c>
      <c r="P2043">
        <v>-0.99737180000000003</v>
      </c>
      <c r="Q2043">
        <v>-7.2013359999999998E-2</v>
      </c>
      <c r="R2043">
        <v>7.9745409999999999E-3</v>
      </c>
      <c r="S2043">
        <v>-3.003784</v>
      </c>
      <c r="T2043">
        <v>-5.2933099999999997E-2</v>
      </c>
      <c r="U2043">
        <v>5.2459720000000001E-2</v>
      </c>
      <c r="V2043">
        <v>3.2656139999999998E-4</v>
      </c>
      <c r="W2043">
        <v>-5.8077770000000001E-2</v>
      </c>
      <c r="X2043">
        <v>0.99831199999999998</v>
      </c>
      <c r="Y2043">
        <v>9.8103889999999992E-3</v>
      </c>
      <c r="Z2043">
        <v>1.269946E-4</v>
      </c>
      <c r="AA2043">
        <v>0.99995179999999995</v>
      </c>
      <c r="AB2043">
        <v>26</v>
      </c>
      <c r="AC2043">
        <v>-63.380400000000002</v>
      </c>
      <c r="AD2043">
        <v>-1.120973659154</v>
      </c>
      <c r="AE2043">
        <v>1.10899999999998</v>
      </c>
      <c r="AF2043">
        <v>0.62394619586321498</v>
      </c>
      <c r="AG2043">
        <v>-1.120973659154</v>
      </c>
      <c r="AH2043">
        <v>63.367213058317503</v>
      </c>
      <c r="AI2043">
        <v>91.013414440944302</v>
      </c>
      <c r="AJ2043">
        <v>89.435854495439699</v>
      </c>
      <c r="AK2043">
        <v>63.3801986552429</v>
      </c>
      <c r="AL2043">
        <v>93.329484664653805</v>
      </c>
      <c r="AM2043">
        <v>89.981257773817603</v>
      </c>
      <c r="AN2043">
        <v>0.99999999167725995</v>
      </c>
    </row>
    <row r="2044" spans="1:40" x14ac:dyDescent="0.25">
      <c r="A2044" t="str">
        <f>"20190303154504510"</f>
        <v>20190303154504510</v>
      </c>
      <c r="B2044" t="str">
        <f>"1551599104502872"</f>
        <v>1551599104502872</v>
      </c>
      <c r="C2044" t="s">
        <v>40</v>
      </c>
      <c r="D2044">
        <v>4.4032749999999998</v>
      </c>
      <c r="E2044">
        <v>0.50394640000000002</v>
      </c>
      <c r="F2044" t="s">
        <v>54</v>
      </c>
      <c r="G2044">
        <v>-499.69099999999997</v>
      </c>
      <c r="H2044" s="1">
        <v>2.3308300000000002E-6</v>
      </c>
      <c r="I2044">
        <v>285.5915</v>
      </c>
      <c r="J2044">
        <v>-436.47269999999997</v>
      </c>
      <c r="K2044">
        <v>1.120976</v>
      </c>
      <c r="L2044">
        <v>284.45819999999998</v>
      </c>
      <c r="M2044">
        <v>-0.99987239999999999</v>
      </c>
      <c r="N2044">
        <v>-1.3948739999999999E-2</v>
      </c>
      <c r="O2044">
        <v>7.7872189999999997E-3</v>
      </c>
      <c r="P2044">
        <v>-0.99744250000000001</v>
      </c>
      <c r="Q2044">
        <v>-7.0948230000000001E-2</v>
      </c>
      <c r="R2044">
        <v>8.6499200000000002E-3</v>
      </c>
      <c r="S2044">
        <v>-3.0036010000000002</v>
      </c>
      <c r="T2044">
        <v>-5.3064939999999998E-2</v>
      </c>
      <c r="U2044">
        <v>5.3741459999999998E-2</v>
      </c>
      <c r="V2044">
        <v>8.6367200000000001E-4</v>
      </c>
      <c r="W2044">
        <v>-5.702803E-2</v>
      </c>
      <c r="X2044">
        <v>0.99837220000000004</v>
      </c>
      <c r="Y2044">
        <v>1.0099439999999999E-2</v>
      </c>
      <c r="Z2044">
        <v>1.3072290000000001E-4</v>
      </c>
      <c r="AA2044">
        <v>0.99994899999999998</v>
      </c>
      <c r="AB2044">
        <v>26</v>
      </c>
      <c r="AC2044">
        <v>-63.218299999999999</v>
      </c>
      <c r="AD2044">
        <v>-1.1209736691700001</v>
      </c>
      <c r="AE2044">
        <v>1.13330000000001</v>
      </c>
      <c r="AF2044">
        <v>0.64072160190355598</v>
      </c>
      <c r="AG2044">
        <v>-1.1209736691700001</v>
      </c>
      <c r="AH2044">
        <v>63.2053424962454</v>
      </c>
      <c r="AI2044">
        <v>91.016006338510294</v>
      </c>
      <c r="AJ2044">
        <v>89.419204377710699</v>
      </c>
      <c r="AK2044">
        <v>63.218529136684303</v>
      </c>
      <c r="AL2044">
        <v>93.269239116340202</v>
      </c>
      <c r="AM2044">
        <v>89.950434569252394</v>
      </c>
      <c r="AN2044">
        <v>0.99999999593392197</v>
      </c>
    </row>
    <row r="2045" spans="1:40" x14ac:dyDescent="0.25">
      <c r="A2045" t="str">
        <f>"20190303154504534"</f>
        <v>20190303154504534</v>
      </c>
      <c r="B2045" t="str">
        <f>"1551599104522392"</f>
        <v>1551599104522392</v>
      </c>
      <c r="C2045" t="s">
        <v>40</v>
      </c>
      <c r="D2045">
        <v>4.3898250000000001</v>
      </c>
      <c r="E2045">
        <v>0.50393449999999995</v>
      </c>
      <c r="F2045" t="s">
        <v>54</v>
      </c>
      <c r="G2045">
        <v>-499.95780000000002</v>
      </c>
      <c r="H2045">
        <v>4.7468450000000002E-2</v>
      </c>
      <c r="I2045">
        <v>285.63409999999999</v>
      </c>
      <c r="J2045">
        <v>-436.74599999999998</v>
      </c>
      <c r="K2045">
        <v>1.1209709999999999</v>
      </c>
      <c r="L2045">
        <v>284.46050000000002</v>
      </c>
      <c r="M2045">
        <v>-0.99987170000000003</v>
      </c>
      <c r="N2045">
        <v>-1.3911690000000001E-2</v>
      </c>
      <c r="O2045">
        <v>7.9496469999999902E-3</v>
      </c>
      <c r="P2045">
        <v>-0.99748780000000004</v>
      </c>
      <c r="Q2045">
        <v>-7.0262240000000004E-2</v>
      </c>
      <c r="R2045">
        <v>9.0337860000000002E-3</v>
      </c>
      <c r="S2045">
        <v>-3.0036010000000002</v>
      </c>
      <c r="T2045">
        <v>-5.0789710000000002E-2</v>
      </c>
      <c r="U2045">
        <v>5.5633540000000002E-2</v>
      </c>
      <c r="V2045">
        <v>1.085459E-3</v>
      </c>
      <c r="W2045">
        <v>-5.6378480000000002E-2</v>
      </c>
      <c r="X2045">
        <v>0.99840890000000004</v>
      </c>
      <c r="Y2045">
        <v>1.056675E-2</v>
      </c>
      <c r="Z2045">
        <v>1.39035499999999E-4</v>
      </c>
      <c r="AA2045">
        <v>0.99994419999999995</v>
      </c>
      <c r="AB2045">
        <v>26</v>
      </c>
      <c r="AC2045">
        <v>-63.211799999999997</v>
      </c>
      <c r="AD2045">
        <v>-1.0735025499999999</v>
      </c>
      <c r="AE2045">
        <v>1.17359999999996</v>
      </c>
      <c r="AF2045">
        <v>0.67080941424768203</v>
      </c>
      <c r="AG2045">
        <v>-1.0735025499999999</v>
      </c>
      <c r="AH2045">
        <v>63.200911321357502</v>
      </c>
      <c r="AI2045">
        <v>90.973052235516704</v>
      </c>
      <c r="AJ2045">
        <v>89.391890017044005</v>
      </c>
      <c r="AK2045">
        <v>63.2135870271985</v>
      </c>
      <c r="AL2045">
        <v>93.231962584535907</v>
      </c>
      <c r="AM2045">
        <v>89.937708693270594</v>
      </c>
      <c r="AN2045">
        <v>1.0000000214137801</v>
      </c>
    </row>
    <row r="2046" spans="1:40" x14ac:dyDescent="0.25">
      <c r="A2046" t="str">
        <f>"20190303154504556"</f>
        <v>20190303154504556</v>
      </c>
      <c r="B2046" t="str">
        <f>"1551599104552648"</f>
        <v>1551599104552648</v>
      </c>
      <c r="C2046" t="s">
        <v>40</v>
      </c>
      <c r="D2046">
        <v>4.4603010000000003</v>
      </c>
      <c r="E2046">
        <v>0.50376120000000002</v>
      </c>
      <c r="F2046" t="s">
        <v>54</v>
      </c>
      <c r="G2046">
        <v>-499.97460000000001</v>
      </c>
      <c r="H2046">
        <v>6.6777840000000005E-2</v>
      </c>
      <c r="I2046">
        <v>285.6574</v>
      </c>
      <c r="J2046">
        <v>-437.00459999999998</v>
      </c>
      <c r="K2046">
        <v>1.120965</v>
      </c>
      <c r="L2046">
        <v>284.46280000000002</v>
      </c>
      <c r="M2046">
        <v>-0.99987119999999996</v>
      </c>
      <c r="N2046">
        <v>-1.385987E-2</v>
      </c>
      <c r="O2046">
        <v>8.1022860000000002E-3</v>
      </c>
      <c r="P2046">
        <v>-0.99751500000000004</v>
      </c>
      <c r="Q2046">
        <v>-6.9807859999999999E-2</v>
      </c>
      <c r="R2046">
        <v>9.5450069999999995E-3</v>
      </c>
      <c r="S2046">
        <v>-3.0035099999999999</v>
      </c>
      <c r="T2046">
        <v>-5.0076719999999998E-2</v>
      </c>
      <c r="U2046">
        <v>5.6854250000000002E-2</v>
      </c>
      <c r="V2046">
        <v>1.444327E-3</v>
      </c>
      <c r="W2046">
        <v>-5.5975560000000001E-2</v>
      </c>
      <c r="X2046">
        <v>0.99843110000000002</v>
      </c>
      <c r="Y2046">
        <v>1.0820929999999999E-2</v>
      </c>
      <c r="Z2046">
        <v>1.424327E-4</v>
      </c>
      <c r="AA2046">
        <v>0.99994150000000004</v>
      </c>
      <c r="AB2046">
        <v>26</v>
      </c>
      <c r="AC2046">
        <v>-62.97</v>
      </c>
      <c r="AD2046">
        <v>-1.0541871599999999</v>
      </c>
      <c r="AE2046">
        <v>1.1945999999999799</v>
      </c>
      <c r="AF2046">
        <v>0.68411919599344095</v>
      </c>
      <c r="AG2046">
        <v>-1.0541871599999999</v>
      </c>
      <c r="AH2046">
        <v>62.959973496235897</v>
      </c>
      <c r="AI2046">
        <v>90.959200962060294</v>
      </c>
      <c r="AJ2046">
        <v>89.377452087474197</v>
      </c>
      <c r="AK2046">
        <v>62.972514578102803</v>
      </c>
      <c r="AL2046">
        <v>93.208840506855395</v>
      </c>
      <c r="AM2046">
        <v>89.917116179962505</v>
      </c>
      <c r="AN2046">
        <v>1.0000000054225</v>
      </c>
    </row>
    <row r="2047" spans="1:40" x14ac:dyDescent="0.25">
      <c r="A2047" t="str">
        <f>"20190303154504579"</f>
        <v>20190303154504579</v>
      </c>
      <c r="B2047" t="str">
        <f>"1551599104573159"</f>
        <v>1551599104573159</v>
      </c>
      <c r="C2047" t="s">
        <v>40</v>
      </c>
      <c r="D2047">
        <v>4.4622590000000004</v>
      </c>
      <c r="E2047">
        <v>0.50365309999999996</v>
      </c>
      <c r="F2047" t="s">
        <v>54</v>
      </c>
      <c r="G2047">
        <v>-499.95780000000002</v>
      </c>
      <c r="H2047">
        <v>3.1958060000000003E-2</v>
      </c>
      <c r="I2047">
        <v>285.65449999999998</v>
      </c>
      <c r="J2047">
        <v>-437.2713</v>
      </c>
      <c r="K2047">
        <v>1.12096</v>
      </c>
      <c r="L2047">
        <v>284.46510000000001</v>
      </c>
      <c r="M2047">
        <v>-0.99987090000000001</v>
      </c>
      <c r="N2047">
        <v>-1.3792189999999999E-2</v>
      </c>
      <c r="O2047">
        <v>8.2581970000000001E-3</v>
      </c>
      <c r="P2047">
        <v>-0.99750859999999997</v>
      </c>
      <c r="Q2047">
        <v>-6.9939710000000002E-2</v>
      </c>
      <c r="R2047">
        <v>9.2271019999999992E-3</v>
      </c>
      <c r="S2047">
        <v>-3.0032960000000002</v>
      </c>
      <c r="T2047">
        <v>-5.1953079999999999E-2</v>
      </c>
      <c r="U2047">
        <v>5.6854250000000002E-2</v>
      </c>
      <c r="V2047">
        <v>9.7069850000000004E-4</v>
      </c>
      <c r="W2047">
        <v>-5.6174950000000001E-2</v>
      </c>
      <c r="X2047">
        <v>0.99842050000000004</v>
      </c>
      <c r="Y2047">
        <v>1.066626E-2</v>
      </c>
      <c r="Z2047">
        <v>1.3688329999999999E-4</v>
      </c>
      <c r="AA2047">
        <v>0.99994309999999997</v>
      </c>
      <c r="AB2047">
        <v>26</v>
      </c>
      <c r="AC2047">
        <v>-62.686500000000002</v>
      </c>
      <c r="AD2047">
        <v>-1.0890019399999999</v>
      </c>
      <c r="AE2047">
        <v>1.18939999999997</v>
      </c>
      <c r="AF2047">
        <v>0.67143022543442998</v>
      </c>
      <c r="AG2047">
        <v>-1.0890019399999999</v>
      </c>
      <c r="AH2047">
        <v>62.675277091575602</v>
      </c>
      <c r="AI2047">
        <v>90.995374268929993</v>
      </c>
      <c r="AJ2047">
        <v>89.386222951573401</v>
      </c>
      <c r="AK2047">
        <v>62.688333063487498</v>
      </c>
      <c r="AL2047">
        <v>93.220282633502904</v>
      </c>
      <c r="AM2047">
        <v>89.944295104411495</v>
      </c>
      <c r="AN2047">
        <v>1.0000000310416599</v>
      </c>
    </row>
    <row r="2048" spans="1:40" x14ac:dyDescent="0.25">
      <c r="A2048" t="str">
        <f>"20190303154504600"</f>
        <v>20190303154504600</v>
      </c>
      <c r="B2048" t="str">
        <f>"1551599104592665"</f>
        <v>1551599104592665</v>
      </c>
      <c r="C2048" t="s">
        <v>40</v>
      </c>
      <c r="D2048">
        <v>4.4683659999999996</v>
      </c>
      <c r="E2048">
        <v>0.50349520000000003</v>
      </c>
      <c r="F2048" t="s">
        <v>54</v>
      </c>
      <c r="G2048">
        <v>-499.75540000000001</v>
      </c>
      <c r="H2048" s="1">
        <v>2.3213469999999999E-6</v>
      </c>
      <c r="I2048">
        <v>285.61380000000003</v>
      </c>
      <c r="J2048">
        <v>-437.52420000000001</v>
      </c>
      <c r="K2048">
        <v>1.1209499999999999</v>
      </c>
      <c r="L2048">
        <v>284.4674</v>
      </c>
      <c r="M2048">
        <v>-0.9998707</v>
      </c>
      <c r="N2048">
        <v>-1.372307E-2</v>
      </c>
      <c r="O2048">
        <v>8.40375199999999E-3</v>
      </c>
      <c r="P2048">
        <v>-0.99755629999999995</v>
      </c>
      <c r="Q2048">
        <v>-6.9264870000000006E-2</v>
      </c>
      <c r="R2048">
        <v>9.1593030000000006E-3</v>
      </c>
      <c r="S2048">
        <v>-3.0032040000000002</v>
      </c>
      <c r="T2048">
        <v>-5.3877120000000001E-2</v>
      </c>
      <c r="U2048">
        <v>5.52063E-2</v>
      </c>
      <c r="V2048">
        <v>7.5719019999999999E-4</v>
      </c>
      <c r="W2048">
        <v>-5.5568470000000002E-2</v>
      </c>
      <c r="X2048">
        <v>0.99845459999999997</v>
      </c>
      <c r="Y2048">
        <v>9.9728290000000008E-3</v>
      </c>
      <c r="Z2048">
        <v>1.2247739999999999E-4</v>
      </c>
      <c r="AA2048">
        <v>0.99995029999999996</v>
      </c>
      <c r="AB2048">
        <v>26</v>
      </c>
      <c r="AC2048">
        <v>-62.231200000000001</v>
      </c>
      <c r="AD2048">
        <v>-1.1209476786529999</v>
      </c>
      <c r="AE2048">
        <v>1.1464000000000201</v>
      </c>
      <c r="AF2048">
        <v>0.62313267298667496</v>
      </c>
      <c r="AG2048">
        <v>-1.1209476786529999</v>
      </c>
      <c r="AH2048">
        <v>62.218456801721302</v>
      </c>
      <c r="AI2048">
        <v>91.032095731142107</v>
      </c>
      <c r="AJ2048">
        <v>89.426188298129304</v>
      </c>
      <c r="AK2048">
        <v>62.2316734855658</v>
      </c>
      <c r="AL2048">
        <v>93.185479598448495</v>
      </c>
      <c r="AM2048">
        <v>89.95654905648</v>
      </c>
      <c r="AN2048">
        <v>1.0000000082281499</v>
      </c>
    </row>
    <row r="2049" spans="1:40" x14ac:dyDescent="0.25">
      <c r="A2049" t="str">
        <f>"20190303154504622"</f>
        <v>20190303154504622</v>
      </c>
      <c r="B2049" t="str">
        <f>"1551599104612184"</f>
        <v>1551599104612184</v>
      </c>
      <c r="C2049" t="s">
        <v>40</v>
      </c>
      <c r="D2049">
        <v>4.4594509999999996</v>
      </c>
      <c r="E2049">
        <v>0.50349250000000001</v>
      </c>
      <c r="F2049" t="s">
        <v>54</v>
      </c>
      <c r="G2049">
        <v>-499.17059999999998</v>
      </c>
      <c r="H2049" s="1">
        <v>2.4211419999999999E-6</v>
      </c>
      <c r="I2049">
        <v>285.56869999999998</v>
      </c>
      <c r="J2049">
        <v>-437.78579999999999</v>
      </c>
      <c r="K2049">
        <v>1.1209359999999999</v>
      </c>
      <c r="L2049">
        <v>284.46980000000002</v>
      </c>
      <c r="M2049">
        <v>-0.99987029999999999</v>
      </c>
      <c r="N2049">
        <v>-1.3648860000000001E-2</v>
      </c>
      <c r="O2049">
        <v>8.5549800000000002E-3</v>
      </c>
      <c r="P2049">
        <v>-0.99752929999999995</v>
      </c>
      <c r="Q2049">
        <v>-6.9650509999999999E-2</v>
      </c>
      <c r="R2049">
        <v>9.1829219999999996E-3</v>
      </c>
      <c r="S2049">
        <v>-3.0030519999999998</v>
      </c>
      <c r="T2049">
        <v>-5.4605960000000002E-2</v>
      </c>
      <c r="U2049">
        <v>5.36499E-2</v>
      </c>
      <c r="V2049">
        <v>6.3032720000000004E-4</v>
      </c>
      <c r="W2049">
        <v>-5.6028519999999998E-2</v>
      </c>
      <c r="X2049">
        <v>0.99842889999999995</v>
      </c>
      <c r="Y2049">
        <v>9.3046080000000007E-3</v>
      </c>
      <c r="Z2049">
        <v>1.0933030000000001E-4</v>
      </c>
      <c r="AA2049">
        <v>0.99995670000000003</v>
      </c>
      <c r="AB2049">
        <v>26</v>
      </c>
      <c r="AC2049">
        <v>-61.384799999999899</v>
      </c>
      <c r="AD2049">
        <v>-1.1209335788579999</v>
      </c>
      <c r="AE2049">
        <v>1.09889999999995</v>
      </c>
      <c r="AF2049">
        <v>0.57347397891651797</v>
      </c>
      <c r="AG2049">
        <v>-1.1209335788579999</v>
      </c>
      <c r="AH2049">
        <v>61.371497062245801</v>
      </c>
      <c r="AI2049">
        <v>91.046329698322097</v>
      </c>
      <c r="AJ2049">
        <v>89.464626350301103</v>
      </c>
      <c r="AK2049">
        <v>61.384411833575001</v>
      </c>
      <c r="AL2049">
        <v>93.211879902148397</v>
      </c>
      <c r="AM2049">
        <v>89.963828086832905</v>
      </c>
      <c r="AN2049">
        <v>0.99999993036048695</v>
      </c>
    </row>
    <row r="2050" spans="1:40" x14ac:dyDescent="0.25">
      <c r="A2050" t="str">
        <f>"20190303154504646"</f>
        <v>20190303154504646</v>
      </c>
      <c r="B2050" t="str">
        <f>"1551599104642439"</f>
        <v>1551599104642439</v>
      </c>
      <c r="C2050" t="s">
        <v>40</v>
      </c>
      <c r="D2050">
        <v>4.4929319999999997</v>
      </c>
      <c r="E2050">
        <v>0.50355430000000001</v>
      </c>
      <c r="F2050" t="s">
        <v>54</v>
      </c>
      <c r="G2050">
        <v>-497.44</v>
      </c>
      <c r="H2050" s="1">
        <v>2.725709E-6</v>
      </c>
      <c r="I2050">
        <v>285.541</v>
      </c>
      <c r="J2050">
        <v>-438.0591</v>
      </c>
      <c r="K2050">
        <v>1.1209209999999901</v>
      </c>
      <c r="L2050">
        <v>284.47230000000002</v>
      </c>
      <c r="M2050">
        <v>-0.99987020000000004</v>
      </c>
      <c r="N2050">
        <v>-1.356569E-2</v>
      </c>
      <c r="O2050">
        <v>8.7127950000000006E-3</v>
      </c>
      <c r="P2050">
        <v>-0.99752289999999999</v>
      </c>
      <c r="Q2050">
        <v>-6.9766770000000006E-2</v>
      </c>
      <c r="R2050">
        <v>9.0048439999999997E-3</v>
      </c>
      <c r="S2050">
        <v>-3.0029300000000001</v>
      </c>
      <c r="T2050">
        <v>-5.642664E-2</v>
      </c>
      <c r="U2050">
        <v>5.3924560000000003E-2</v>
      </c>
      <c r="V2050">
        <v>2.9498380000000002E-4</v>
      </c>
      <c r="W2050">
        <v>-5.6227810000000003E-2</v>
      </c>
      <c r="X2050">
        <v>0.99841789999999997</v>
      </c>
      <c r="Y2050">
        <v>9.2388620000000005E-3</v>
      </c>
      <c r="Z2050">
        <v>1.039759E-4</v>
      </c>
      <c r="AA2050">
        <v>0.99995730000000005</v>
      </c>
      <c r="AB2050">
        <v>26</v>
      </c>
      <c r="AC2050">
        <v>-59.380899999999997</v>
      </c>
      <c r="AD2050">
        <v>-1.12091827429099</v>
      </c>
      <c r="AE2050">
        <v>1.06869999999997</v>
      </c>
      <c r="AF2050">
        <v>0.55104200941042203</v>
      </c>
      <c r="AG2050">
        <v>-1.12091827429099</v>
      </c>
      <c r="AH2050">
        <v>59.366810456037499</v>
      </c>
      <c r="AI2050">
        <v>91.081639556352897</v>
      </c>
      <c r="AJ2050">
        <v>89.468196546712406</v>
      </c>
      <c r="AK2050">
        <v>59.379948541547797</v>
      </c>
      <c r="AL2050">
        <v>93.223316252886505</v>
      </c>
      <c r="AM2050">
        <v>89.983071891766997</v>
      </c>
      <c r="AN2050">
        <v>0.99999997833662302</v>
      </c>
    </row>
    <row r="2051" spans="1:40" x14ac:dyDescent="0.25">
      <c r="A2051" t="str">
        <f>"20190303154504690"</f>
        <v>20190303154504690</v>
      </c>
      <c r="B2051" t="str">
        <f>"1551599104682459"</f>
        <v>1551599104682459</v>
      </c>
      <c r="C2051" t="s">
        <v>40</v>
      </c>
      <c r="D2051">
        <v>4.5273260000000004</v>
      </c>
      <c r="E2051">
        <v>0.5035982</v>
      </c>
      <c r="F2051" t="s">
        <v>54</v>
      </c>
      <c r="G2051">
        <v>-495.99560000000002</v>
      </c>
      <c r="H2051" s="1">
        <v>2.9791820000000001E-6</v>
      </c>
      <c r="I2051">
        <v>285.50970000000001</v>
      </c>
      <c r="J2051">
        <v>-438.56569999999999</v>
      </c>
      <c r="K2051">
        <v>1.1208979999999999</v>
      </c>
      <c r="L2051">
        <v>284.47710000000001</v>
      </c>
      <c r="M2051">
        <v>-0.99986969999999997</v>
      </c>
      <c r="N2051">
        <v>-1.3409259999999999E-2</v>
      </c>
      <c r="O2051">
        <v>8.9954030000000008E-3</v>
      </c>
      <c r="P2051">
        <v>-0.997448</v>
      </c>
      <c r="Q2051">
        <v>-7.0716929999999997E-2</v>
      </c>
      <c r="R2051">
        <v>9.8260420000000001E-3</v>
      </c>
      <c r="S2051">
        <v>-3.0029300000000001</v>
      </c>
      <c r="T2051">
        <v>-5.8098669999999998E-2</v>
      </c>
      <c r="U2051">
        <v>5.3771970000000002E-2</v>
      </c>
      <c r="V2051">
        <v>8.3495420000000002E-4</v>
      </c>
      <c r="W2051">
        <v>-5.7335150000000001E-2</v>
      </c>
      <c r="X2051">
        <v>0.99835459999999998</v>
      </c>
      <c r="Y2051">
        <v>8.9054790000000009E-3</v>
      </c>
      <c r="Z2051" s="1">
        <v>9.2474660000000001E-5</v>
      </c>
      <c r="AA2051">
        <v>0.99996039999999997</v>
      </c>
      <c r="AB2051">
        <v>26</v>
      </c>
      <c r="AC2051">
        <v>-57.429900000000004</v>
      </c>
      <c r="AD2051">
        <v>-1.120895020818</v>
      </c>
      <c r="AE2051">
        <v>1.0326</v>
      </c>
      <c r="AF2051">
        <v>0.51571031501132403</v>
      </c>
      <c r="AG2051">
        <v>-1.120895020818</v>
      </c>
      <c r="AH2051">
        <v>57.415001027512702</v>
      </c>
      <c r="AI2051">
        <v>91.118380318072397</v>
      </c>
      <c r="AJ2051">
        <v>89.485374390394796</v>
      </c>
      <c r="AK2051">
        <v>57.428257032283199</v>
      </c>
      <c r="AL2051">
        <v>93.2868647470589</v>
      </c>
      <c r="AM2051">
        <v>89.952081814825107</v>
      </c>
      <c r="AN2051">
        <v>0.99999996195759799</v>
      </c>
    </row>
    <row r="2052" spans="1:40" x14ac:dyDescent="0.25">
      <c r="A2052" t="str">
        <f>"20190303154504712"</f>
        <v>20190303154504712</v>
      </c>
      <c r="B2052" t="str">
        <f>"1551599104702952"</f>
        <v>1551599104702952</v>
      </c>
      <c r="C2052" t="s">
        <v>40</v>
      </c>
      <c r="D2052">
        <v>4.589512</v>
      </c>
      <c r="E2052">
        <v>0.50382159999999998</v>
      </c>
      <c r="F2052" t="s">
        <v>54</v>
      </c>
      <c r="G2052">
        <v>-491.04109999999997</v>
      </c>
      <c r="H2052" s="1">
        <v>3.8546670000000003E-6</v>
      </c>
      <c r="I2052">
        <v>285.47129999999999</v>
      </c>
      <c r="J2052">
        <v>-438.8288</v>
      </c>
      <c r="K2052">
        <v>1.120889</v>
      </c>
      <c r="L2052">
        <v>284.47969999999998</v>
      </c>
      <c r="M2052">
        <v>-0.99986949999999997</v>
      </c>
      <c r="N2052">
        <v>-1.3331620000000001E-2</v>
      </c>
      <c r="O2052">
        <v>9.1311239999999991E-3</v>
      </c>
      <c r="P2052">
        <v>-0.99742310000000001</v>
      </c>
      <c r="Q2052">
        <v>-7.0959259999999996E-2</v>
      </c>
      <c r="R2052">
        <v>1.0586470000000001E-2</v>
      </c>
      <c r="S2052">
        <v>-3.0025629999999999</v>
      </c>
      <c r="T2052">
        <v>-6.4135910000000004E-2</v>
      </c>
      <c r="U2052">
        <v>5.6884770000000001E-2</v>
      </c>
      <c r="V2052">
        <v>1.4604360000000001E-3</v>
      </c>
      <c r="W2052">
        <v>-5.7655390000000001E-2</v>
      </c>
      <c r="X2052">
        <v>0.99833550000000004</v>
      </c>
      <c r="Y2052">
        <v>9.8075769999999996E-3</v>
      </c>
      <c r="Z2052" s="1">
        <v>9.6849360000000005E-5</v>
      </c>
      <c r="AA2052">
        <v>0.9999519</v>
      </c>
      <c r="AB2052">
        <v>26</v>
      </c>
      <c r="AC2052">
        <v>-52.2122999999999</v>
      </c>
      <c r="AD2052">
        <v>-1.120885145333</v>
      </c>
      <c r="AE2052">
        <v>0.99160000000000503</v>
      </c>
      <c r="AF2052">
        <v>0.51452228328824201</v>
      </c>
      <c r="AG2052">
        <v>-1.120885145333</v>
      </c>
      <c r="AH2052">
        <v>52.195131736978603</v>
      </c>
      <c r="AI2052">
        <v>91.230172194600996</v>
      </c>
      <c r="AJ2052">
        <v>89.435215517593605</v>
      </c>
      <c r="AK2052">
        <v>52.20970114576</v>
      </c>
      <c r="AL2052">
        <v>93.305243346528599</v>
      </c>
      <c r="AM2052">
        <v>89.916183728456204</v>
      </c>
      <c r="AN2052">
        <v>1.0000000237147999</v>
      </c>
    </row>
    <row r="2053" spans="1:40" x14ac:dyDescent="0.25">
      <c r="A2053" t="str">
        <f>"20190303154504735"</f>
        <v>20190303154504735</v>
      </c>
      <c r="B2053" t="str">
        <f>"1551599104722471"</f>
        <v>1551599104722471</v>
      </c>
      <c r="C2053" t="s">
        <v>40</v>
      </c>
      <c r="D2053">
        <v>4.5615360000000003</v>
      </c>
      <c r="E2053">
        <v>0.53593000000000002</v>
      </c>
      <c r="F2053" t="s">
        <v>54</v>
      </c>
      <c r="G2053">
        <v>-489.82139999999998</v>
      </c>
      <c r="H2053" s="1">
        <v>4.0264899999999996E-6</v>
      </c>
      <c r="I2053">
        <v>285.51530000000002</v>
      </c>
      <c r="J2053">
        <v>-439.09019999999998</v>
      </c>
      <c r="K2053">
        <v>1.1208849999999999</v>
      </c>
      <c r="L2053">
        <v>284.48219999999998</v>
      </c>
      <c r="M2053">
        <v>-0.99986929999999996</v>
      </c>
      <c r="N2053">
        <v>-1.3257730000000001E-2</v>
      </c>
      <c r="O2053">
        <v>9.2602080000000007E-3</v>
      </c>
      <c r="P2053">
        <v>-0.99738199999999999</v>
      </c>
      <c r="Q2053">
        <v>-7.1474040000000003E-2</v>
      </c>
      <c r="R2053">
        <v>1.098503E-2</v>
      </c>
      <c r="S2053">
        <v>-3.0024109999999999</v>
      </c>
      <c r="T2053">
        <v>-6.5997E-2</v>
      </c>
      <c r="U2053">
        <v>6.097412E-2</v>
      </c>
      <c r="V2053">
        <v>1.7310730000000001E-3</v>
      </c>
      <c r="W2053">
        <v>-5.8244450000000003E-2</v>
      </c>
      <c r="X2053">
        <v>0.99830090000000005</v>
      </c>
      <c r="Y2053">
        <v>1.1040299999999999E-2</v>
      </c>
      <c r="Z2053">
        <v>1.137839E-4</v>
      </c>
      <c r="AA2053">
        <v>0.99993900000000002</v>
      </c>
      <c r="AB2053">
        <v>26</v>
      </c>
      <c r="AC2053">
        <v>-50.731200000000001</v>
      </c>
      <c r="AD2053">
        <v>-1.12088097351</v>
      </c>
      <c r="AE2053">
        <v>1.0331000000000401</v>
      </c>
      <c r="AF2053">
        <v>0.56295826870545596</v>
      </c>
      <c r="AG2053">
        <v>-1.12088097351</v>
      </c>
      <c r="AH2053">
        <v>50.713845414521998</v>
      </c>
      <c r="AI2053">
        <v>91.266071220086005</v>
      </c>
      <c r="AJ2053">
        <v>89.364003896923194</v>
      </c>
      <c r="AK2053">
        <v>50.729354548398497</v>
      </c>
      <c r="AL2053">
        <v>93.3390507247899</v>
      </c>
      <c r="AM2053">
        <v>89.9006481136894</v>
      </c>
      <c r="AN2053">
        <v>1.00000004975517</v>
      </c>
    </row>
    <row r="2054" spans="1:40" x14ac:dyDescent="0.25">
      <c r="A2054" t="str">
        <f>"20190303154504756"</f>
        <v>20190303154504756</v>
      </c>
      <c r="B2054" t="str">
        <f>"1551599104752728"</f>
        <v>1551599104752728</v>
      </c>
      <c r="C2054" t="s">
        <v>40</v>
      </c>
      <c r="D2054">
        <v>4.5813189999999997</v>
      </c>
      <c r="E2054">
        <v>0.53811629999999999</v>
      </c>
      <c r="F2054" t="s">
        <v>55</v>
      </c>
      <c r="G2054">
        <v>-468.07150000000001</v>
      </c>
      <c r="H2054" s="1">
        <v>2.629553E-6</v>
      </c>
      <c r="I2054">
        <v>287.565</v>
      </c>
      <c r="J2054">
        <v>-439.34719999999999</v>
      </c>
      <c r="K2054">
        <v>1.120884</v>
      </c>
      <c r="L2054">
        <v>284.48480000000001</v>
      </c>
      <c r="M2054">
        <v>-0.99986920000000001</v>
      </c>
      <c r="N2054">
        <v>-1.3186969999999999E-2</v>
      </c>
      <c r="O2054">
        <v>9.378852E-3</v>
      </c>
      <c r="P2054">
        <v>-0.99739169999999999</v>
      </c>
      <c r="Q2054">
        <v>-7.1333240000000006E-2</v>
      </c>
      <c r="R2054">
        <v>1.1036300000000001E-2</v>
      </c>
      <c r="S2054">
        <v>-2.9960629999999999</v>
      </c>
      <c r="T2054">
        <v>-0.1158762</v>
      </c>
      <c r="U2054">
        <v>0.31869509999999901</v>
      </c>
      <c r="V2054">
        <v>1.6651839999999999E-3</v>
      </c>
      <c r="W2054">
        <v>-5.8174110000000001E-2</v>
      </c>
      <c r="X2054">
        <v>0.99830509999999995</v>
      </c>
      <c r="Y2054">
        <v>9.6350130000000006E-2</v>
      </c>
      <c r="Z2054">
        <v>2.256498E-3</v>
      </c>
      <c r="AA2054">
        <v>0.99534489999999998</v>
      </c>
      <c r="AB2054">
        <v>26</v>
      </c>
      <c r="AC2054">
        <v>-28.724299999999999</v>
      </c>
      <c r="AD2054">
        <v>-1.120881370447</v>
      </c>
      <c r="AE2054">
        <v>3.0801999999999898</v>
      </c>
      <c r="AF2054">
        <v>2.80641534642159</v>
      </c>
      <c r="AG2054">
        <v>-1.120881370447</v>
      </c>
      <c r="AH2054">
        <v>28.708709271806601</v>
      </c>
      <c r="AI2054">
        <v>92.225281527789804</v>
      </c>
      <c r="AJ2054">
        <v>84.416799389590594</v>
      </c>
      <c r="AK2054">
        <v>28.8673228789294</v>
      </c>
      <c r="AL2054">
        <v>93.335013739607703</v>
      </c>
      <c r="AM2054">
        <v>89.904430091732905</v>
      </c>
      <c r="AN2054">
        <v>1.00000003629902</v>
      </c>
    </row>
    <row r="2055" spans="1:40" x14ac:dyDescent="0.25">
      <c r="A2055" t="str">
        <f>"20190303154504781"</f>
        <v>20190303154504781</v>
      </c>
      <c r="B2055" t="str">
        <f>"1551599104772248"</f>
        <v>1551599104772248</v>
      </c>
      <c r="C2055" t="s">
        <v>40</v>
      </c>
      <c r="D2055">
        <v>4.5652290000000004</v>
      </c>
      <c r="E2055">
        <v>0.53844979999999998</v>
      </c>
      <c r="F2055" t="s">
        <v>54</v>
      </c>
      <c r="G2055">
        <v>-472.7115</v>
      </c>
      <c r="H2055" s="1">
        <v>5.7269750000000003E-6</v>
      </c>
      <c r="I2055">
        <v>288.22269999999997</v>
      </c>
      <c r="J2055">
        <v>-439.62360000000001</v>
      </c>
      <c r="K2055">
        <v>1.1208899999999999</v>
      </c>
      <c r="L2055">
        <v>284.48759999999999</v>
      </c>
      <c r="M2055">
        <v>-0.99986889999999995</v>
      </c>
      <c r="N2055">
        <v>-1.311115E-2</v>
      </c>
      <c r="O2055">
        <v>9.499146E-3</v>
      </c>
      <c r="P2055">
        <v>-0.99739290000000003</v>
      </c>
      <c r="Q2055">
        <v>-7.1427229999999994E-2</v>
      </c>
      <c r="R2055">
        <v>1.028427E-2</v>
      </c>
      <c r="S2055">
        <v>-2.996918</v>
      </c>
      <c r="T2055">
        <v>-0.1006819</v>
      </c>
      <c r="U2055">
        <v>0.33575440000000001</v>
      </c>
      <c r="V2055">
        <v>7.9472750000000002E-4</v>
      </c>
      <c r="W2055">
        <v>-5.8343619999999999E-2</v>
      </c>
      <c r="X2055">
        <v>0.99829630000000003</v>
      </c>
      <c r="Y2055">
        <v>0.1018136</v>
      </c>
      <c r="Z2055">
        <v>2.1803930000000001E-3</v>
      </c>
      <c r="AA2055">
        <v>0.99480109999999999</v>
      </c>
      <c r="AB2055">
        <v>26</v>
      </c>
      <c r="AC2055">
        <v>-33.087899999999898</v>
      </c>
      <c r="AD2055">
        <v>-1.1208842730249999</v>
      </c>
      <c r="AE2055">
        <v>3.7350999999999801</v>
      </c>
      <c r="AF2055">
        <v>3.4167259999368098</v>
      </c>
      <c r="AG2055">
        <v>-1.1208842730249999</v>
      </c>
      <c r="AH2055">
        <v>33.084400905609201</v>
      </c>
      <c r="AI2055">
        <v>91.930154715319901</v>
      </c>
      <c r="AJ2055">
        <v>84.103794158611095</v>
      </c>
      <c r="AK2055">
        <v>33.279242500321899</v>
      </c>
      <c r="AL2055">
        <v>93.344742404733694</v>
      </c>
      <c r="AM2055">
        <v>89.954387768447205</v>
      </c>
      <c r="AN2055">
        <v>1.0000000560900899</v>
      </c>
    </row>
    <row r="2056" spans="1:40" x14ac:dyDescent="0.25">
      <c r="A2056" t="str">
        <f>"20190303154504802"</f>
        <v>20190303154504802</v>
      </c>
      <c r="B2056" t="str">
        <f>"1551599104792744"</f>
        <v>1551599104792744</v>
      </c>
      <c r="C2056" t="s">
        <v>40</v>
      </c>
      <c r="D2056">
        <v>4.5232890000000001</v>
      </c>
      <c r="E2056">
        <v>0.53847009999999995</v>
      </c>
      <c r="F2056" t="s">
        <v>54</v>
      </c>
      <c r="G2056">
        <v>-473.44749999999999</v>
      </c>
      <c r="H2056" s="1">
        <v>5.4056889999999997E-6</v>
      </c>
      <c r="I2056">
        <v>288.28140000000002</v>
      </c>
      <c r="J2056">
        <v>-439.87079999999997</v>
      </c>
      <c r="K2056">
        <v>1.1208940000000001</v>
      </c>
      <c r="L2056">
        <v>284.49009999999998</v>
      </c>
      <c r="M2056">
        <v>-0.99986909999999896</v>
      </c>
      <c r="N2056">
        <v>-1.3040100000000001E-2</v>
      </c>
      <c r="O2056">
        <v>9.5956010000000005E-3</v>
      </c>
      <c r="P2056">
        <v>-0.99744390000000005</v>
      </c>
      <c r="Q2056">
        <v>-7.0797620000000006E-2</v>
      </c>
      <c r="R2056">
        <v>9.6956820000000006E-3</v>
      </c>
      <c r="S2056">
        <v>-2.997223</v>
      </c>
      <c r="T2056">
        <v>-9.9324350000000006E-2</v>
      </c>
      <c r="U2056">
        <v>0.33618160000000002</v>
      </c>
      <c r="V2056">
        <v>1.110037E-4</v>
      </c>
      <c r="W2056">
        <v>-5.7784229999999999E-2</v>
      </c>
      <c r="X2056">
        <v>0.99832909999999997</v>
      </c>
      <c r="Y2056">
        <v>0.10184840000000001</v>
      </c>
      <c r="Z2056">
        <v>2.156126E-3</v>
      </c>
      <c r="AA2056">
        <v>0.99479759999999995</v>
      </c>
      <c r="AB2056">
        <v>26</v>
      </c>
      <c r="AC2056">
        <v>-33.576700000000002</v>
      </c>
      <c r="AD2056">
        <v>-1.1208885943109901</v>
      </c>
      <c r="AE2056">
        <v>3.7913000000000299</v>
      </c>
      <c r="AF2056">
        <v>3.4650965062916499</v>
      </c>
      <c r="AG2056">
        <v>-1.1208885943109901</v>
      </c>
      <c r="AH2056">
        <v>33.5745916398945</v>
      </c>
      <c r="AI2056">
        <v>91.902015565669004</v>
      </c>
      <c r="AJ2056">
        <v>84.107598356927994</v>
      </c>
      <c r="AK2056">
        <v>33.7715337055403</v>
      </c>
      <c r="AL2056">
        <v>93.312637705284004</v>
      </c>
      <c r="AM2056">
        <v>89.993629311722799</v>
      </c>
      <c r="AN2056">
        <v>1.0000000107326601</v>
      </c>
    </row>
    <row r="2057" spans="1:40" x14ac:dyDescent="0.25">
      <c r="A2057" t="str">
        <f>"20190303154504825"</f>
        <v>20190303154504825</v>
      </c>
      <c r="B2057" t="str">
        <f>"1551599104823000"</f>
        <v>1551599104823000</v>
      </c>
      <c r="C2057" t="s">
        <v>40</v>
      </c>
      <c r="D2057">
        <v>4.5440500000000004</v>
      </c>
      <c r="E2057">
        <v>0.53867719999999997</v>
      </c>
      <c r="F2057" t="s">
        <v>54</v>
      </c>
      <c r="G2057">
        <v>-475.20100000000002</v>
      </c>
      <c r="H2057" s="1">
        <v>4.6415009999999998E-6</v>
      </c>
      <c r="I2057">
        <v>288.43459999999999</v>
      </c>
      <c r="J2057">
        <v>-440.14609999999999</v>
      </c>
      <c r="K2057">
        <v>1.1208990000000001</v>
      </c>
      <c r="L2057">
        <v>284.49279999999999</v>
      </c>
      <c r="M2057">
        <v>-0.99986920000000001</v>
      </c>
      <c r="N2057">
        <v>-1.2949810000000001E-2</v>
      </c>
      <c r="O2057">
        <v>9.698847E-3</v>
      </c>
      <c r="P2057">
        <v>-0.99746500000000005</v>
      </c>
      <c r="Q2057">
        <v>-7.0636030000000002E-2</v>
      </c>
      <c r="R2057">
        <v>8.6225109999999994E-3</v>
      </c>
      <c r="S2057">
        <v>-2.997681</v>
      </c>
      <c r="T2057">
        <v>-9.5104809999999998E-2</v>
      </c>
      <c r="U2057">
        <v>0.33468629999999999</v>
      </c>
      <c r="V2057">
        <v>-1.064256E-3</v>
      </c>
      <c r="W2057">
        <v>-5.7712470000000002E-2</v>
      </c>
      <c r="X2057">
        <v>0.99833269999999996</v>
      </c>
      <c r="Y2057">
        <v>0.1012446</v>
      </c>
      <c r="Z2057">
        <v>2.077097E-3</v>
      </c>
      <c r="AA2057">
        <v>0.99485939999999995</v>
      </c>
      <c r="AB2057">
        <v>26</v>
      </c>
      <c r="AC2057">
        <v>-35.054899999999897</v>
      </c>
      <c r="AD2057">
        <v>-1.1208943584990001</v>
      </c>
      <c r="AE2057">
        <v>3.9418000000000002</v>
      </c>
      <c r="AF2057">
        <v>3.5979612580181701</v>
      </c>
      <c r="AG2057">
        <v>-1.1208943584990001</v>
      </c>
      <c r="AH2057">
        <v>35.0560903155951</v>
      </c>
      <c r="AI2057">
        <v>91.821805527023798</v>
      </c>
      <c r="AJ2057">
        <v>84.1399998775873</v>
      </c>
      <c r="AK2057">
        <v>35.258065709739</v>
      </c>
      <c r="AL2057">
        <v>93.308519253706507</v>
      </c>
      <c r="AM2057">
        <v>90.061079191358402</v>
      </c>
      <c r="AN2057">
        <v>1.0000000208618101</v>
      </c>
    </row>
    <row r="2058" spans="1:40" x14ac:dyDescent="0.25">
      <c r="A2058" t="str">
        <f>"20190303154504868"</f>
        <v>20190303154504868</v>
      </c>
      <c r="B2058" t="str">
        <f>"1551599104863016"</f>
        <v>1551599104863016</v>
      </c>
      <c r="C2058" t="s">
        <v>40</v>
      </c>
      <c r="D2058">
        <v>4.6163189999999998</v>
      </c>
      <c r="E2058">
        <v>0.53880689999999998</v>
      </c>
      <c r="F2058" t="s">
        <v>54</v>
      </c>
      <c r="G2058">
        <v>-477.30930000000001</v>
      </c>
      <c r="H2058" s="1">
        <v>3.7229570000000001E-6</v>
      </c>
      <c r="I2058">
        <v>288.62220000000002</v>
      </c>
      <c r="J2058">
        <v>-440.6549</v>
      </c>
      <c r="K2058">
        <v>1.1208849999999999</v>
      </c>
      <c r="L2058">
        <v>284.49799999999999</v>
      </c>
      <c r="M2058">
        <v>-0.99986969999999997</v>
      </c>
      <c r="N2058">
        <v>-1.2768949999999999E-2</v>
      </c>
      <c r="O2058">
        <v>9.8802209999999998E-3</v>
      </c>
      <c r="P2058">
        <v>-0.99746360000000001</v>
      </c>
      <c r="Q2058">
        <v>-7.0662420000000004E-2</v>
      </c>
      <c r="R2058">
        <v>8.5622119999999996E-3</v>
      </c>
      <c r="S2058">
        <v>-2.998383</v>
      </c>
      <c r="T2058">
        <v>-9.0435500000000002E-2</v>
      </c>
      <c r="U2058">
        <v>0.33316040000000002</v>
      </c>
      <c r="V2058">
        <v>-1.304166E-3</v>
      </c>
      <c r="W2058">
        <v>-5.7919430000000001E-2</v>
      </c>
      <c r="X2058">
        <v>0.9983204</v>
      </c>
      <c r="Y2058">
        <v>0.1005448</v>
      </c>
      <c r="Z2058">
        <v>1.9842269999999999E-3</v>
      </c>
      <c r="AA2058">
        <v>0.9949306</v>
      </c>
      <c r="AB2058">
        <v>26</v>
      </c>
      <c r="AC2058">
        <v>-36.654400000000003</v>
      </c>
      <c r="AD2058">
        <v>-1.1208812770429999</v>
      </c>
      <c r="AE2058">
        <v>4.1242000000000196</v>
      </c>
      <c r="AF2058">
        <v>3.7583450132354801</v>
      </c>
      <c r="AG2058">
        <v>-1.1208812770429999</v>
      </c>
      <c r="AH2058">
        <v>36.659509466505902</v>
      </c>
      <c r="AI2058">
        <v>91.742173192486504</v>
      </c>
      <c r="AJ2058">
        <v>84.1464682930755</v>
      </c>
      <c r="AK2058">
        <v>36.868701718403003</v>
      </c>
      <c r="AL2058">
        <v>93.320397155300796</v>
      </c>
      <c r="AM2058">
        <v>90.074848881258504</v>
      </c>
      <c r="AN2058">
        <v>0.99999999113832005</v>
      </c>
    </row>
    <row r="2059" spans="1:40" x14ac:dyDescent="0.25">
      <c r="A2059" t="str">
        <f>"20190303154504890"</f>
        <v>20190303154504890</v>
      </c>
      <c r="B2059" t="str">
        <f>"1551599104882537"</f>
        <v>1551599104882537</v>
      </c>
      <c r="C2059" t="s">
        <v>40</v>
      </c>
      <c r="D2059">
        <v>4.6018019999999904</v>
      </c>
      <c r="E2059">
        <v>0.53887759999999996</v>
      </c>
      <c r="F2059" t="s">
        <v>54</v>
      </c>
      <c r="G2059">
        <v>-479.72930000000002</v>
      </c>
      <c r="H2059" s="1">
        <v>2.669636E-6</v>
      </c>
      <c r="I2059">
        <v>288.84930000000003</v>
      </c>
      <c r="J2059">
        <v>-440.90800000000002</v>
      </c>
      <c r="K2059">
        <v>1.120862</v>
      </c>
      <c r="L2059">
        <v>284.50060000000002</v>
      </c>
      <c r="M2059">
        <v>-0.99987020000000004</v>
      </c>
      <c r="N2059">
        <v>-1.267214E-2</v>
      </c>
      <c r="O2059">
        <v>9.9624789999999998E-3</v>
      </c>
      <c r="P2059">
        <v>-0.99743630000000005</v>
      </c>
      <c r="Q2059">
        <v>-7.0989640000000007E-2</v>
      </c>
      <c r="R2059">
        <v>9.0355539999999995E-3</v>
      </c>
      <c r="S2059">
        <v>-2.9986269999999999</v>
      </c>
      <c r="T2059">
        <v>-8.6018200000000003E-2</v>
      </c>
      <c r="U2059">
        <v>0.33392329999999998</v>
      </c>
      <c r="V2059">
        <v>-9.1236520000000001E-4</v>
      </c>
      <c r="W2059">
        <v>-5.8343619999999999E-2</v>
      </c>
      <c r="X2059">
        <v>0.99829610000000002</v>
      </c>
      <c r="Y2059">
        <v>0.1007092</v>
      </c>
      <c r="Z2059">
        <v>1.9210659999999999E-3</v>
      </c>
      <c r="AA2059">
        <v>0.99491410000000002</v>
      </c>
      <c r="AB2059">
        <v>26</v>
      </c>
      <c r="AC2059">
        <v>-38.821300000000001</v>
      </c>
      <c r="AD2059">
        <v>-1.120859330364</v>
      </c>
      <c r="AE2059">
        <v>4.3487</v>
      </c>
      <c r="AF2059">
        <v>3.95843786518477</v>
      </c>
      <c r="AG2059">
        <v>-1.120859330364</v>
      </c>
      <c r="AH2059">
        <v>38.830731943693202</v>
      </c>
      <c r="AI2059">
        <v>91.644878770927207</v>
      </c>
      <c r="AJ2059">
        <v>84.179326587362993</v>
      </c>
      <c r="AK2059">
        <v>39.048063962941299</v>
      </c>
      <c r="AL2059">
        <v>93.344742737077098</v>
      </c>
      <c r="AM2059">
        <v>90.0523638836016</v>
      </c>
      <c r="AN2059">
        <v>0.99999995684008502</v>
      </c>
    </row>
    <row r="2060" spans="1:40" x14ac:dyDescent="0.25">
      <c r="A2060" t="str">
        <f>"20190303154504912"</f>
        <v>20190303154504912</v>
      </c>
      <c r="B2060" t="str">
        <f>"1551599104903032"</f>
        <v>1551599104903032</v>
      </c>
      <c r="C2060" t="s">
        <v>40</v>
      </c>
      <c r="D2060">
        <v>4.5712330000000003</v>
      </c>
      <c r="E2060">
        <v>0.53899989999999998</v>
      </c>
      <c r="F2060" t="s">
        <v>54</v>
      </c>
      <c r="G2060">
        <v>-479.98860000000002</v>
      </c>
      <c r="H2060" s="1">
        <v>2.5765330000000001E-6</v>
      </c>
      <c r="I2060">
        <v>288.88060000000002</v>
      </c>
      <c r="J2060">
        <v>-441.16829999999999</v>
      </c>
      <c r="K2060">
        <v>1.120841</v>
      </c>
      <c r="L2060">
        <v>284.50330000000002</v>
      </c>
      <c r="M2060">
        <v>-0.99987060000000005</v>
      </c>
      <c r="N2060">
        <v>-1.2570960000000001E-2</v>
      </c>
      <c r="O2060">
        <v>1.004364E-2</v>
      </c>
      <c r="P2060">
        <v>-0.99739299999999997</v>
      </c>
      <c r="Q2060">
        <v>-7.1485350000000003E-2</v>
      </c>
      <c r="R2060">
        <v>9.8626470000000004E-3</v>
      </c>
      <c r="S2060">
        <v>-2.9985050000000002</v>
      </c>
      <c r="T2060">
        <v>-8.5999010000000001E-2</v>
      </c>
      <c r="U2060">
        <v>0.33605960000000001</v>
      </c>
      <c r="V2060">
        <v>-1.6595229999999999E-4</v>
      </c>
      <c r="W2060">
        <v>-5.8940880000000001E-2</v>
      </c>
      <c r="X2060">
        <v>0.99826150000000002</v>
      </c>
      <c r="Y2060">
        <v>0.1013327</v>
      </c>
      <c r="Z2060">
        <v>1.9262560000000001E-3</v>
      </c>
      <c r="AA2060">
        <v>0.99485080000000004</v>
      </c>
      <c r="AB2060">
        <v>26</v>
      </c>
      <c r="AC2060">
        <v>-38.820300000000003</v>
      </c>
      <c r="AD2060">
        <v>-1.1208384234669999</v>
      </c>
      <c r="AE2060">
        <v>4.3772999999999902</v>
      </c>
      <c r="AF2060">
        <v>3.9838719330716201</v>
      </c>
      <c r="AG2060">
        <v>-1.1208384234669999</v>
      </c>
      <c r="AH2060">
        <v>38.830345777373601</v>
      </c>
      <c r="AI2060">
        <v>91.644755306983399</v>
      </c>
      <c r="AJ2060">
        <v>84.142128535736603</v>
      </c>
      <c r="AK2060">
        <v>39.050265908710898</v>
      </c>
      <c r="AL2060">
        <v>93.379021932491</v>
      </c>
      <c r="AM2060">
        <v>90.009524925385605</v>
      </c>
      <c r="AN2060">
        <v>1.0000000386287899</v>
      </c>
    </row>
    <row r="2061" spans="1:40" x14ac:dyDescent="0.25">
      <c r="A2061" t="str">
        <f>"20190303154504946"</f>
        <v>20190303154504946</v>
      </c>
      <c r="B2061" t="str">
        <f>"1551599104943048"</f>
        <v>1551599104943048</v>
      </c>
      <c r="C2061" t="s">
        <v>40</v>
      </c>
      <c r="D2061">
        <v>4.5657959999999997</v>
      </c>
      <c r="E2061">
        <v>0.53899989999999998</v>
      </c>
      <c r="F2061" t="s">
        <v>54</v>
      </c>
      <c r="G2061">
        <v>-480.71940000000001</v>
      </c>
      <c r="H2061" s="1">
        <v>2.714889E-6</v>
      </c>
      <c r="I2061">
        <v>288.98050000000001</v>
      </c>
      <c r="J2061">
        <v>-441.55990000000003</v>
      </c>
      <c r="K2061">
        <v>1.1208119999999999</v>
      </c>
      <c r="L2061">
        <v>284.50740000000002</v>
      </c>
      <c r="M2061">
        <v>-0.99987130000000002</v>
      </c>
      <c r="N2061">
        <v>-1.2416440000000001E-2</v>
      </c>
      <c r="O2061">
        <v>1.0159980000000001E-2</v>
      </c>
      <c r="P2061">
        <v>-0.99733289999999997</v>
      </c>
      <c r="Q2061">
        <v>-7.2349999999999998E-2</v>
      </c>
      <c r="R2061">
        <v>9.6285820000000001E-3</v>
      </c>
      <c r="S2061">
        <v>-2.9983520000000001</v>
      </c>
      <c r="T2061">
        <v>-8.4970359999999995E-2</v>
      </c>
      <c r="U2061">
        <v>0.33941650000000001</v>
      </c>
      <c r="V2061">
        <v>-5.1578690000000005E-4</v>
      </c>
      <c r="W2061">
        <v>-5.9960430000000002E-2</v>
      </c>
      <c r="X2061">
        <v>0.99820059999999999</v>
      </c>
      <c r="Y2061">
        <v>0.10232330000000001</v>
      </c>
      <c r="Z2061">
        <v>1.9212960000000001E-3</v>
      </c>
      <c r="AA2061">
        <v>0.99474940000000001</v>
      </c>
      <c r="AB2061">
        <v>26</v>
      </c>
      <c r="AC2061">
        <v>-39.159499999999902</v>
      </c>
      <c r="AD2061">
        <v>-1.1208092851109901</v>
      </c>
      <c r="AE2061">
        <v>4.4730999999999801</v>
      </c>
      <c r="AF2061">
        <v>4.07168612501252</v>
      </c>
      <c r="AG2061">
        <v>-1.1208092851109901</v>
      </c>
      <c r="AH2061">
        <v>39.171252893807797</v>
      </c>
      <c r="AI2061">
        <v>91.630181823702998</v>
      </c>
      <c r="AJ2061">
        <v>84.065657703098793</v>
      </c>
      <c r="AK2061">
        <v>39.3982473547347</v>
      </c>
      <c r="AL2061">
        <v>93.437541558147501</v>
      </c>
      <c r="AM2061">
        <v>90.0296056823328</v>
      </c>
      <c r="AN2061">
        <v>0.99999997852113498</v>
      </c>
    </row>
    <row r="2062" spans="1:40" x14ac:dyDescent="0.25">
      <c r="A2062" t="str">
        <f>"20190303154504969"</f>
        <v>20190303154504969</v>
      </c>
      <c r="B2062" t="str">
        <f>"1551599104962572"</f>
        <v>1551599104962572</v>
      </c>
      <c r="C2062" t="s">
        <v>40</v>
      </c>
      <c r="D2062">
        <v>4.5718389999999998</v>
      </c>
      <c r="E2062">
        <v>0.53895689999999996</v>
      </c>
      <c r="F2062" t="s">
        <v>54</v>
      </c>
      <c r="G2062">
        <v>-481.31479999999999</v>
      </c>
      <c r="H2062" s="1">
        <v>2.821829E-6</v>
      </c>
      <c r="I2062">
        <v>288.99549999999999</v>
      </c>
      <c r="J2062">
        <v>-441.82159999999999</v>
      </c>
      <c r="K2062">
        <v>1.1208009999999999</v>
      </c>
      <c r="L2062">
        <v>284.51010000000002</v>
      </c>
      <c r="M2062">
        <v>-0.99987190000000004</v>
      </c>
      <c r="N2062">
        <v>-1.2320879999999999E-2</v>
      </c>
      <c r="O2062">
        <v>1.023162E-2</v>
      </c>
      <c r="P2062">
        <v>-0.9972934</v>
      </c>
      <c r="Q2062">
        <v>-7.2925210000000004E-2</v>
      </c>
      <c r="R2062">
        <v>9.3958300000000008E-3</v>
      </c>
      <c r="S2062">
        <v>-2.998596</v>
      </c>
      <c r="T2062">
        <v>-8.4539290000000003E-2</v>
      </c>
      <c r="U2062">
        <v>0.33853149999999999</v>
      </c>
      <c r="V2062">
        <v>-8.1895250000000002E-4</v>
      </c>
      <c r="W2062">
        <v>-6.063147E-2</v>
      </c>
      <c r="X2062">
        <v>0.99815989999999999</v>
      </c>
      <c r="Y2062">
        <v>0.1019539</v>
      </c>
      <c r="Z2062">
        <v>1.9008600000000001E-3</v>
      </c>
      <c r="AA2062">
        <v>0.99478730000000004</v>
      </c>
      <c r="AB2062">
        <v>26</v>
      </c>
      <c r="AC2062">
        <v>-39.493200000000002</v>
      </c>
      <c r="AD2062">
        <v>-1.1207981781709999</v>
      </c>
      <c r="AE2062">
        <v>4.4853999999999603</v>
      </c>
      <c r="AF2062">
        <v>4.0778127167702296</v>
      </c>
      <c r="AG2062">
        <v>-1.1207981781709999</v>
      </c>
      <c r="AH2062">
        <v>39.505616298205197</v>
      </c>
      <c r="AI2062">
        <v>91.616495792879206</v>
      </c>
      <c r="AJ2062">
        <v>84.106738235878794</v>
      </c>
      <c r="AK2062">
        <v>39.731328497927898</v>
      </c>
      <c r="AL2062">
        <v>93.476059271012801</v>
      </c>
      <c r="AM2062">
        <v>90.047009012627001</v>
      </c>
      <c r="AN2062">
        <v>1.00000001590278</v>
      </c>
    </row>
    <row r="2063" spans="1:40" x14ac:dyDescent="0.25">
      <c r="A2063" t="str">
        <f>"20190303154504991"</f>
        <v>20190303154504991</v>
      </c>
      <c r="B2063" t="str">
        <f>"1551599104983065"</f>
        <v>1551599104983065</v>
      </c>
      <c r="C2063" t="s">
        <v>40</v>
      </c>
      <c r="D2063">
        <v>4.5728049999999998</v>
      </c>
      <c r="E2063">
        <v>0.53898579999999996</v>
      </c>
      <c r="F2063" t="s">
        <v>54</v>
      </c>
      <c r="G2063">
        <v>-481.15010000000001</v>
      </c>
      <c r="H2063" s="1">
        <v>2.7879570000000001E-6</v>
      </c>
      <c r="I2063">
        <v>288.94240000000002</v>
      </c>
      <c r="J2063">
        <v>-442.0797</v>
      </c>
      <c r="K2063">
        <v>1.120806</v>
      </c>
      <c r="L2063">
        <v>284.51280000000003</v>
      </c>
      <c r="M2063">
        <v>-0.99987210000000004</v>
      </c>
      <c r="N2063">
        <v>-1.223609E-2</v>
      </c>
      <c r="O2063">
        <v>1.0295479999999999E-2</v>
      </c>
      <c r="P2063">
        <v>-0.99730770000000002</v>
      </c>
      <c r="Q2063">
        <v>-7.2762610000000005E-2</v>
      </c>
      <c r="R2063">
        <v>9.1051280000000005E-3</v>
      </c>
      <c r="S2063">
        <v>-2.998688</v>
      </c>
      <c r="T2063">
        <v>-8.54578E-2</v>
      </c>
      <c r="U2063">
        <v>0.33795170000000002</v>
      </c>
      <c r="V2063">
        <v>-1.173072E-3</v>
      </c>
      <c r="W2063">
        <v>-6.0553349999999999E-2</v>
      </c>
      <c r="X2063">
        <v>0.9981643</v>
      </c>
      <c r="Y2063">
        <v>0.10169640000000001</v>
      </c>
      <c r="Z2063">
        <v>1.9017929999999999E-3</v>
      </c>
      <c r="AA2063">
        <v>0.99481370000000002</v>
      </c>
      <c r="AB2063">
        <v>26</v>
      </c>
      <c r="AC2063">
        <v>-39.070399999999999</v>
      </c>
      <c r="AD2063">
        <v>-1.120803212043</v>
      </c>
      <c r="AE2063">
        <v>4.42959999999999</v>
      </c>
      <c r="AF2063">
        <v>4.0238172479304701</v>
      </c>
      <c r="AG2063">
        <v>-1.120803212043</v>
      </c>
      <c r="AH2063">
        <v>39.082183485804997</v>
      </c>
      <c r="AI2063">
        <v>91.634051333416906</v>
      </c>
      <c r="AJ2063">
        <v>84.121662578370405</v>
      </c>
      <c r="AK2063">
        <v>39.304762702540202</v>
      </c>
      <c r="AL2063">
        <v>93.471575046782704</v>
      </c>
      <c r="AM2063">
        <v>90.067335651777299</v>
      </c>
      <c r="AN2063">
        <v>1.0000000270443099</v>
      </c>
    </row>
    <row r="2064" spans="1:40" x14ac:dyDescent="0.25">
      <c r="A2064" t="str">
        <f>"20190303154505014"</f>
        <v>20190303154505014</v>
      </c>
      <c r="B2064" t="str">
        <f>"1551599105002585"</f>
        <v>1551599105002585</v>
      </c>
      <c r="C2064" t="s">
        <v>40</v>
      </c>
      <c r="D2064">
        <v>4.5421750000000003</v>
      </c>
      <c r="E2064">
        <v>0.53899459999999999</v>
      </c>
      <c r="F2064" t="s">
        <v>54</v>
      </c>
      <c r="G2064">
        <v>-482.05250000000001</v>
      </c>
      <c r="H2064" s="1">
        <v>2.953425E-6</v>
      </c>
      <c r="I2064">
        <v>289.00409999999999</v>
      </c>
      <c r="J2064">
        <v>-442.34339999999997</v>
      </c>
      <c r="K2064">
        <v>1.120817</v>
      </c>
      <c r="L2064">
        <v>284.51560000000001</v>
      </c>
      <c r="M2064">
        <v>-0.99987250000000005</v>
      </c>
      <c r="N2064">
        <v>-1.2161119999999999E-2</v>
      </c>
      <c r="O2064">
        <v>1.034593E-2</v>
      </c>
      <c r="P2064">
        <v>-0.99733309999999997</v>
      </c>
      <c r="Q2064">
        <v>-7.2428900000000004E-2</v>
      </c>
      <c r="R2064">
        <v>8.9874269999999992E-3</v>
      </c>
      <c r="S2064">
        <v>-2.9988709999999998</v>
      </c>
      <c r="T2064">
        <v>-8.4085699999999999E-2</v>
      </c>
      <c r="U2064">
        <v>0.33694459999999998</v>
      </c>
      <c r="V2064">
        <v>-1.33968E-3</v>
      </c>
      <c r="W2064">
        <v>-6.0294210000000001E-2</v>
      </c>
      <c r="X2064">
        <v>0.9981797</v>
      </c>
      <c r="Y2064">
        <v>0.1013114</v>
      </c>
      <c r="Z2064">
        <v>1.870123E-3</v>
      </c>
      <c r="AA2064">
        <v>0.99485299999999999</v>
      </c>
      <c r="AB2064">
        <v>26</v>
      </c>
      <c r="AC2064">
        <v>-39.709099999999999</v>
      </c>
      <c r="AD2064">
        <v>-1.1208140465750001</v>
      </c>
      <c r="AE2064">
        <v>4.4884999999999797</v>
      </c>
      <c r="AF2064">
        <v>4.0741968689503496</v>
      </c>
      <c r="AG2064">
        <v>-1.1208140465750001</v>
      </c>
      <c r="AH2064">
        <v>39.722168724057703</v>
      </c>
      <c r="AI2064">
        <v>91.607817529219602</v>
      </c>
      <c r="AJ2064">
        <v>84.143803305373794</v>
      </c>
      <c r="AK2064">
        <v>39.946288843852201</v>
      </c>
      <c r="AL2064">
        <v>93.456700506455903</v>
      </c>
      <c r="AM2064">
        <v>90.076897941132401</v>
      </c>
      <c r="AN2064">
        <v>0.99999994999705699</v>
      </c>
    </row>
    <row r="2065" spans="1:40" x14ac:dyDescent="0.25">
      <c r="A2065" t="str">
        <f>"20190303154505035"</f>
        <v>20190303154505035</v>
      </c>
      <c r="B2065" t="str">
        <f>"1551599105032841"</f>
        <v>1551599105032841</v>
      </c>
      <c r="C2065" t="s">
        <v>40</v>
      </c>
      <c r="D2065">
        <v>4.5397040000000004</v>
      </c>
      <c r="E2065">
        <v>0.53895569999999904</v>
      </c>
      <c r="F2065" t="s">
        <v>54</v>
      </c>
      <c r="G2065">
        <v>-482.8648</v>
      </c>
      <c r="H2065" s="1">
        <v>3.1029500000000001E-6</v>
      </c>
      <c r="I2065">
        <v>289.06630000000001</v>
      </c>
      <c r="J2065">
        <v>-442.60120000000001</v>
      </c>
      <c r="K2065">
        <v>1.1208309999999999</v>
      </c>
      <c r="L2065">
        <v>284.51830000000001</v>
      </c>
      <c r="M2065">
        <v>-0.99987300000000001</v>
      </c>
      <c r="N2065">
        <v>-1.2104169999999999E-2</v>
      </c>
      <c r="O2065">
        <v>1.0377279999999999E-2</v>
      </c>
      <c r="P2065">
        <v>-0.99744929999999998</v>
      </c>
      <c r="Q2065">
        <v>-7.0849419999999996E-2</v>
      </c>
      <c r="R2065">
        <v>8.6857310000000004E-3</v>
      </c>
      <c r="S2065">
        <v>-2.9989319999999999</v>
      </c>
      <c r="T2065">
        <v>-8.2949880000000004E-2</v>
      </c>
      <c r="U2065">
        <v>0.33679199999999998</v>
      </c>
      <c r="V2065">
        <v>-1.671582E-3</v>
      </c>
      <c r="W2065">
        <v>-5.8770330000000003E-2</v>
      </c>
      <c r="X2065">
        <v>0.9982702</v>
      </c>
      <c r="Y2065">
        <v>0.10122929999999999</v>
      </c>
      <c r="Z2065">
        <v>1.8492890000000001E-3</v>
      </c>
      <c r="AA2065">
        <v>0.99486140000000001</v>
      </c>
      <c r="AB2065">
        <v>26</v>
      </c>
      <c r="AC2065">
        <v>-40.263599999999997</v>
      </c>
      <c r="AD2065">
        <v>-1.1208278970500001</v>
      </c>
      <c r="AE2065">
        <v>4.548</v>
      </c>
      <c r="AF2065">
        <v>4.12674028251599</v>
      </c>
      <c r="AG2065">
        <v>-1.1208278970500001</v>
      </c>
      <c r="AH2065">
        <v>40.277812427969799</v>
      </c>
      <c r="AI2065">
        <v>91.5856859764842</v>
      </c>
      <c r="AJ2065">
        <v>84.1500641159287</v>
      </c>
      <c r="AK2065">
        <v>40.504177741522703</v>
      </c>
      <c r="AL2065">
        <v>93.369233066317193</v>
      </c>
      <c r="AM2065">
        <v>90.095940462007903</v>
      </c>
      <c r="AN2065">
        <v>1.00000006904136</v>
      </c>
    </row>
    <row r="2066" spans="1:40" x14ac:dyDescent="0.25">
      <c r="A2066" t="str">
        <f>"20190303154505060"</f>
        <v>20190303154505060</v>
      </c>
      <c r="B2066" t="str">
        <f>"1551599105052360"</f>
        <v>1551599105052360</v>
      </c>
      <c r="C2066" t="s">
        <v>40</v>
      </c>
      <c r="D2066">
        <v>4.5890380000000004</v>
      </c>
      <c r="E2066">
        <v>0.5389583</v>
      </c>
      <c r="F2066" t="s">
        <v>54</v>
      </c>
      <c r="G2066">
        <v>-485.2226</v>
      </c>
      <c r="H2066" s="1">
        <v>3.540531E-6</v>
      </c>
      <c r="I2066">
        <v>289.28769999999997</v>
      </c>
      <c r="J2066">
        <v>-442.87549999999999</v>
      </c>
      <c r="K2066">
        <v>1.1208549999999999</v>
      </c>
      <c r="L2066">
        <v>284.52120000000002</v>
      </c>
      <c r="M2066">
        <v>-0.99987329999999996</v>
      </c>
      <c r="N2066">
        <v>-1.206367E-2</v>
      </c>
      <c r="O2066">
        <v>1.039312E-2</v>
      </c>
      <c r="P2066">
        <v>-0.99746610000000002</v>
      </c>
      <c r="Q2066">
        <v>-7.0579020000000006E-2</v>
      </c>
      <c r="R2066">
        <v>8.9494280000000006E-3</v>
      </c>
      <c r="S2066">
        <v>-2.9991150000000002</v>
      </c>
      <c r="T2066">
        <v>-7.8868750000000001E-2</v>
      </c>
      <c r="U2066">
        <v>0.33560180000000001</v>
      </c>
      <c r="V2066">
        <v>-1.4221710000000001E-3</v>
      </c>
      <c r="W2066">
        <v>-5.8540210000000002E-2</v>
      </c>
      <c r="X2066">
        <v>0.99828399999999995</v>
      </c>
      <c r="Y2066">
        <v>0.10082140000000001</v>
      </c>
      <c r="Z2066">
        <v>1.7841529999999999E-3</v>
      </c>
      <c r="AA2066">
        <v>0.99490290000000003</v>
      </c>
      <c r="AB2066">
        <v>26</v>
      </c>
      <c r="AC2066">
        <v>-42.347099999999998</v>
      </c>
      <c r="AD2066">
        <v>-1.120851459469</v>
      </c>
      <c r="AE2066">
        <v>4.76649999999995</v>
      </c>
      <c r="AF2066">
        <v>4.3231013139464496</v>
      </c>
      <c r="AG2066">
        <v>-1.120851459469</v>
      </c>
      <c r="AH2066">
        <v>42.365046732455397</v>
      </c>
      <c r="AI2066">
        <v>91.507694278845193</v>
      </c>
      <c r="AJ2066">
        <v>84.173474112805195</v>
      </c>
      <c r="AK2066">
        <v>42.599796919797299</v>
      </c>
      <c r="AL2066">
        <v>93.356025783417806</v>
      </c>
      <c r="AM2066">
        <v>90.081624408405801</v>
      </c>
      <c r="AN2066">
        <v>0.999999961706597</v>
      </c>
    </row>
    <row r="2067" spans="1:40" x14ac:dyDescent="0.25">
      <c r="A2067" t="str">
        <f>"20190303154505083"</f>
        <v>20190303154505083</v>
      </c>
      <c r="B2067" t="str">
        <f>"1551599105072857"</f>
        <v>1551599105072857</v>
      </c>
      <c r="C2067" t="s">
        <v>40</v>
      </c>
      <c r="D2067">
        <v>4.5722779999999998</v>
      </c>
      <c r="E2067">
        <v>0.53898749999999995</v>
      </c>
      <c r="F2067" t="s">
        <v>54</v>
      </c>
      <c r="G2067">
        <v>-485.76119999999997</v>
      </c>
      <c r="H2067" s="1">
        <v>3.6403410000000002E-6</v>
      </c>
      <c r="I2067">
        <v>289.33640000000003</v>
      </c>
      <c r="J2067">
        <v>-443.14780000000002</v>
      </c>
      <c r="K2067">
        <v>1.120873</v>
      </c>
      <c r="L2067">
        <v>284.524</v>
      </c>
      <c r="M2067">
        <v>-0.99987360000000003</v>
      </c>
      <c r="N2067">
        <v>-1.20491E-2</v>
      </c>
      <c r="O2067">
        <v>1.0388140000000001E-2</v>
      </c>
      <c r="P2067">
        <v>-0.9974324</v>
      </c>
      <c r="Q2067">
        <v>-7.1014519999999998E-2</v>
      </c>
      <c r="R2067">
        <v>9.2753060000000005E-3</v>
      </c>
      <c r="S2067">
        <v>-2.9990230000000002</v>
      </c>
      <c r="T2067">
        <v>-7.8381779999999998E-2</v>
      </c>
      <c r="U2067">
        <v>0.336731</v>
      </c>
      <c r="V2067">
        <v>-1.088929E-3</v>
      </c>
      <c r="W2067">
        <v>-5.899066E-2</v>
      </c>
      <c r="X2067">
        <v>0.99825790000000003</v>
      </c>
      <c r="Y2067">
        <v>0.1012</v>
      </c>
      <c r="Z2067">
        <v>1.78409799999999E-3</v>
      </c>
      <c r="AA2067">
        <v>0.99486450000000004</v>
      </c>
      <c r="AB2067">
        <v>26</v>
      </c>
      <c r="AC2067">
        <v>-42.613399999999899</v>
      </c>
      <c r="AD2067">
        <v>-1.120869359659</v>
      </c>
      <c r="AE2067">
        <v>4.8124000000000198</v>
      </c>
      <c r="AF2067">
        <v>4.36645133429914</v>
      </c>
      <c r="AG2067">
        <v>-1.120869359659</v>
      </c>
      <c r="AH2067">
        <v>42.631971949330598</v>
      </c>
      <c r="AI2067">
        <v>91.498225347017794</v>
      </c>
      <c r="AJ2067">
        <v>84.152044312476605</v>
      </c>
      <c r="AK2067">
        <v>42.869654508343601</v>
      </c>
      <c r="AL2067">
        <v>93.381879356234606</v>
      </c>
      <c r="AM2067">
        <v>90.062499892204997</v>
      </c>
      <c r="AN2067">
        <v>0.99999995932300501</v>
      </c>
    </row>
    <row r="2068" spans="1:40" x14ac:dyDescent="0.25">
      <c r="A2068" t="str">
        <f>"20190303154505105"</f>
        <v>20190303154505105</v>
      </c>
      <c r="B2068" t="str">
        <f>"1551599105093352"</f>
        <v>1551599105093352</v>
      </c>
      <c r="C2068" t="s">
        <v>40</v>
      </c>
      <c r="D2068">
        <v>4.661206</v>
      </c>
      <c r="E2068">
        <v>0.53901160000000004</v>
      </c>
      <c r="F2068" t="s">
        <v>54</v>
      </c>
      <c r="G2068">
        <v>-485.29140000000001</v>
      </c>
      <c r="H2068" s="1">
        <v>3.5511760000000002E-6</v>
      </c>
      <c r="I2068">
        <v>289.26979999999998</v>
      </c>
      <c r="J2068">
        <v>-443.4</v>
      </c>
      <c r="K2068">
        <v>1.120886</v>
      </c>
      <c r="L2068">
        <v>284.52670000000001</v>
      </c>
      <c r="M2068">
        <v>-0.99987360000000003</v>
      </c>
      <c r="N2068">
        <v>-1.2055990000000001E-2</v>
      </c>
      <c r="O2068">
        <v>1.0367329999999999E-2</v>
      </c>
      <c r="P2068">
        <v>-0.99739060000000002</v>
      </c>
      <c r="Q2068">
        <v>-7.1559349999999994E-2</v>
      </c>
      <c r="R2068">
        <v>9.5811769999999997E-3</v>
      </c>
      <c r="S2068">
        <v>-2.998901</v>
      </c>
      <c r="T2068">
        <v>-7.9760189999999995E-2</v>
      </c>
      <c r="U2068">
        <v>0.33770749999999999</v>
      </c>
      <c r="V2068">
        <v>-7.6093600000000003E-4</v>
      </c>
      <c r="W2068">
        <v>-5.952905E-2</v>
      </c>
      <c r="X2068">
        <v>0.99822630000000001</v>
      </c>
      <c r="Y2068">
        <v>0.10154349999999999</v>
      </c>
      <c r="Z2068">
        <v>1.809904E-3</v>
      </c>
      <c r="AA2068">
        <v>0.99482950000000003</v>
      </c>
      <c r="AB2068">
        <v>26</v>
      </c>
      <c r="AC2068">
        <v>-41.891399999999997</v>
      </c>
      <c r="AD2068">
        <v>-1.1208824488239999</v>
      </c>
      <c r="AE2068">
        <v>4.7430999999999699</v>
      </c>
      <c r="AF2068">
        <v>4.3054681368908003</v>
      </c>
      <c r="AG2068">
        <v>-1.1208824488239999</v>
      </c>
      <c r="AH2068">
        <v>41.908701274724301</v>
      </c>
      <c r="AI2068">
        <v>91.524039465767999</v>
      </c>
      <c r="AJ2068">
        <v>84.134326965179795</v>
      </c>
      <c r="AK2068">
        <v>42.144189111619397</v>
      </c>
      <c r="AL2068">
        <v>93.412780944618206</v>
      </c>
      <c r="AM2068">
        <v>90.043675880744402</v>
      </c>
      <c r="AN2068">
        <v>1.0000000164145899</v>
      </c>
    </row>
    <row r="2069" spans="1:40" x14ac:dyDescent="0.25">
      <c r="A2069" t="str">
        <f>"20190303154505125"</f>
        <v>20190303154505125</v>
      </c>
      <c r="B2069" t="str">
        <f>"1551599105122632"</f>
        <v>1551599105122632</v>
      </c>
      <c r="C2069" t="s">
        <v>40</v>
      </c>
      <c r="D2069">
        <v>4.6020839999999996</v>
      </c>
      <c r="E2069">
        <v>0.5016408</v>
      </c>
      <c r="F2069" t="s">
        <v>54</v>
      </c>
      <c r="G2069">
        <v>-485.04079999999999</v>
      </c>
      <c r="H2069" s="1">
        <v>3.503215E-6</v>
      </c>
      <c r="I2069">
        <v>289.2296</v>
      </c>
      <c r="J2069">
        <v>-443.64600000000002</v>
      </c>
      <c r="K2069">
        <v>1.120903</v>
      </c>
      <c r="L2069">
        <v>284.5292</v>
      </c>
      <c r="M2069">
        <v>-0.99987389999999998</v>
      </c>
      <c r="N2069">
        <v>-1.207253E-2</v>
      </c>
      <c r="O2069">
        <v>1.033457E-2</v>
      </c>
      <c r="P2069">
        <v>-0.99736919999999996</v>
      </c>
      <c r="Q2069">
        <v>-7.1853529999999999E-2</v>
      </c>
      <c r="R2069">
        <v>9.5950170000000008E-3</v>
      </c>
      <c r="S2069">
        <v>-2.9987789999999999</v>
      </c>
      <c r="T2069">
        <v>-8.0720780000000006E-2</v>
      </c>
      <c r="U2069">
        <v>0.33868409999999999</v>
      </c>
      <c r="V2069">
        <v>-7.1284889999999996E-4</v>
      </c>
      <c r="W2069">
        <v>-5.9806980000000003E-2</v>
      </c>
      <c r="X2069">
        <v>0.99820969999999998</v>
      </c>
      <c r="Y2069">
        <v>0.1018993</v>
      </c>
      <c r="Z2069">
        <v>1.831259E-3</v>
      </c>
      <c r="AA2069">
        <v>0.99479309999999999</v>
      </c>
      <c r="AB2069">
        <v>26</v>
      </c>
      <c r="AC2069">
        <v>-41.394799999999996</v>
      </c>
      <c r="AD2069">
        <v>-1.1208994967849999</v>
      </c>
      <c r="AE2069">
        <v>4.7004000000000001</v>
      </c>
      <c r="AF2069">
        <v>4.2692298985360697</v>
      </c>
      <c r="AG2069">
        <v>-1.1208994967849999</v>
      </c>
      <c r="AH2069">
        <v>41.411191697801897</v>
      </c>
      <c r="AI2069">
        <v>91.5423073827492</v>
      </c>
      <c r="AJ2069">
        <v>84.113964417688607</v>
      </c>
      <c r="AK2069">
        <v>41.645762538829104</v>
      </c>
      <c r="AL2069">
        <v>93.428733660225205</v>
      </c>
      <c r="AM2069">
        <v>90.040916479230205</v>
      </c>
      <c r="AN2069">
        <v>0.99999999409218199</v>
      </c>
    </row>
    <row r="2070" spans="1:40" x14ac:dyDescent="0.25">
      <c r="A2070" t="str">
        <f>"20190303154505148"</f>
        <v>20190303154505148</v>
      </c>
      <c r="B2070" t="str">
        <f>"1551599105143132"</f>
        <v>1551599105143132</v>
      </c>
      <c r="C2070" t="s">
        <v>40</v>
      </c>
      <c r="D2070">
        <v>4.5866579999999999</v>
      </c>
      <c r="E2070">
        <v>0.49352889999999999</v>
      </c>
      <c r="F2070" t="s">
        <v>54</v>
      </c>
      <c r="G2070">
        <v>-480.49919999999997</v>
      </c>
      <c r="H2070" s="1">
        <v>2.3304889999999999E-6</v>
      </c>
      <c r="I2070">
        <v>285.03030000000001</v>
      </c>
      <c r="J2070">
        <v>-443.9049</v>
      </c>
      <c r="K2070">
        <v>1.1209249999999999</v>
      </c>
      <c r="L2070">
        <v>284.53190000000001</v>
      </c>
      <c r="M2070">
        <v>-0.99987389999999998</v>
      </c>
      <c r="N2070">
        <v>-1.210746E-2</v>
      </c>
      <c r="O2070">
        <v>1.02857E-2</v>
      </c>
      <c r="P2070">
        <v>-0.99733119999999997</v>
      </c>
      <c r="Q2070">
        <v>-7.2319540000000002E-2</v>
      </c>
      <c r="R2070">
        <v>1.003737E-2</v>
      </c>
      <c r="S2070">
        <v>-3.0009459999999999</v>
      </c>
      <c r="T2070">
        <v>-9.1274739999999993E-2</v>
      </c>
      <c r="U2070">
        <v>4.0801999999999998E-2</v>
      </c>
      <c r="V2070">
        <v>-2.1972420000000001E-4</v>
      </c>
      <c r="W2070">
        <v>-6.0238489999999999E-2</v>
      </c>
      <c r="X2070">
        <v>0.99818399999999996</v>
      </c>
      <c r="Y2070">
        <v>3.3084820000000002E-3</v>
      </c>
      <c r="Z2070">
        <v>-1.1789050000000001E-4</v>
      </c>
      <c r="AA2070">
        <v>0.99999450000000001</v>
      </c>
      <c r="AB2070">
        <v>26</v>
      </c>
      <c r="AC2070">
        <v>-36.594299999999897</v>
      </c>
      <c r="AD2070">
        <v>-1.1209226695109999</v>
      </c>
      <c r="AE2070">
        <v>0.49840000000000301</v>
      </c>
      <c r="AF2070">
        <v>0.121833795577305</v>
      </c>
      <c r="AG2070">
        <v>-1.1209226695109999</v>
      </c>
      <c r="AH2070">
        <v>36.563191161747703</v>
      </c>
      <c r="AI2070">
        <v>91.7559646915375</v>
      </c>
      <c r="AJ2070">
        <v>89.809082953879695</v>
      </c>
      <c r="AK2070">
        <v>36.580572152923899</v>
      </c>
      <c r="AL2070">
        <v>93.4535019613445</v>
      </c>
      <c r="AM2070">
        <v>90.012612172819303</v>
      </c>
      <c r="AN2070">
        <v>1.0000000109061</v>
      </c>
    </row>
    <row r="2071" spans="1:40" x14ac:dyDescent="0.25">
      <c r="A2071" t="str">
        <f>"20190303154505170"</f>
        <v>20190303154505170</v>
      </c>
      <c r="B2071" t="str">
        <f>"1551599105162214"</f>
        <v>1551599105162214</v>
      </c>
      <c r="C2071" t="s">
        <v>40</v>
      </c>
      <c r="D2071">
        <v>4.5777070000000002</v>
      </c>
      <c r="E2071">
        <v>0.48939169999999999</v>
      </c>
      <c r="F2071" t="s">
        <v>54</v>
      </c>
      <c r="G2071">
        <v>-476.36290000000002</v>
      </c>
      <c r="H2071" s="1">
        <v>3.763744E-6</v>
      </c>
      <c r="I2071">
        <v>284.28820000000002</v>
      </c>
      <c r="J2071">
        <v>-444.16219999999998</v>
      </c>
      <c r="K2071">
        <v>1.1209530000000001</v>
      </c>
      <c r="L2071">
        <v>284.53440000000001</v>
      </c>
      <c r="M2071">
        <v>-0.99987380000000003</v>
      </c>
      <c r="N2071">
        <v>-1.2174229999999999E-2</v>
      </c>
      <c r="O2071">
        <v>1.0214930000000001E-2</v>
      </c>
      <c r="P2071">
        <v>-0.9973166</v>
      </c>
      <c r="Q2071">
        <v>-7.2506310000000004E-2</v>
      </c>
      <c r="R2071">
        <v>1.0128160000000001E-2</v>
      </c>
      <c r="S2071">
        <v>-3.0006710000000001</v>
      </c>
      <c r="T2071">
        <v>-0.1036267</v>
      </c>
      <c r="U2071">
        <v>-2.2521969999999999E-2</v>
      </c>
      <c r="V2071" s="1">
        <v>-5.544478E-5</v>
      </c>
      <c r="W2071">
        <v>-6.0358740000000001E-2</v>
      </c>
      <c r="X2071">
        <v>0.99817679999999998</v>
      </c>
      <c r="Y2071">
        <v>-1.770362E-2</v>
      </c>
      <c r="Z2071">
        <v>-6.4172860000000003E-4</v>
      </c>
      <c r="AA2071">
        <v>0.99984309999999998</v>
      </c>
      <c r="AB2071">
        <v>26</v>
      </c>
      <c r="AC2071">
        <v>-32.200699999999998</v>
      </c>
      <c r="AD2071">
        <v>-1.1209492362559901</v>
      </c>
      <c r="AE2071">
        <v>-0.24619999999998701</v>
      </c>
      <c r="AF2071">
        <v>-0.57444331294588202</v>
      </c>
      <c r="AG2071">
        <v>-1.1209492362559901</v>
      </c>
      <c r="AH2071">
        <v>32.157537466061697</v>
      </c>
      <c r="AI2071">
        <v>91.996092945308902</v>
      </c>
      <c r="AJ2071">
        <v>91.023389220185507</v>
      </c>
      <c r="AK2071">
        <v>32.182195826127398</v>
      </c>
      <c r="AL2071">
        <v>93.460404194982004</v>
      </c>
      <c r="AM2071">
        <v>90.003182554319807</v>
      </c>
      <c r="AN2071">
        <v>1.0000000523133701</v>
      </c>
    </row>
    <row r="2072" spans="1:40" x14ac:dyDescent="0.25">
      <c r="A2072" t="str">
        <f>"20190303154505192"</f>
        <v>20190303154505192</v>
      </c>
      <c r="B2072" t="str">
        <f>"1551599105182710"</f>
        <v>1551599105182710</v>
      </c>
      <c r="C2072" t="s">
        <v>40</v>
      </c>
      <c r="D2072">
        <v>4.5786449999999999</v>
      </c>
      <c r="E2072">
        <v>0.48682819999999999</v>
      </c>
      <c r="F2072" t="s">
        <v>54</v>
      </c>
      <c r="G2072">
        <v>-474.27850000000001</v>
      </c>
      <c r="H2072" s="1">
        <v>4.6614029999999998E-6</v>
      </c>
      <c r="I2072">
        <v>283.98309999999998</v>
      </c>
      <c r="J2072">
        <v>-444.42849999999999</v>
      </c>
      <c r="K2072">
        <v>1.1209960000000001</v>
      </c>
      <c r="L2072">
        <v>284.53699999999998</v>
      </c>
      <c r="M2072">
        <v>-0.99987349999999997</v>
      </c>
      <c r="N2072">
        <v>-1.228456E-2</v>
      </c>
      <c r="O2072">
        <v>1.0110269999999999E-2</v>
      </c>
      <c r="P2072">
        <v>-0.99728600000000001</v>
      </c>
      <c r="Q2072">
        <v>-7.2946440000000001E-2</v>
      </c>
      <c r="R2072">
        <v>9.9858250000000003E-3</v>
      </c>
      <c r="S2072">
        <v>-3.0005489999999999</v>
      </c>
      <c r="T2072">
        <v>-0.1116824</v>
      </c>
      <c r="U2072">
        <v>-5.4931639999999997E-2</v>
      </c>
      <c r="V2072" s="1">
        <v>-8.9839330000000001E-5</v>
      </c>
      <c r="W2072">
        <v>-6.0689130000000001E-2</v>
      </c>
      <c r="X2072">
        <v>0.99815670000000001</v>
      </c>
      <c r="Y2072">
        <v>-2.838326E-2</v>
      </c>
      <c r="Z2072">
        <v>-9.5442279999999997E-4</v>
      </c>
      <c r="AA2072">
        <v>0.9995967</v>
      </c>
      <c r="AB2072">
        <v>26</v>
      </c>
      <c r="AC2072">
        <v>-29.85</v>
      </c>
      <c r="AD2072">
        <v>-1.1209913385969901</v>
      </c>
      <c r="AE2072">
        <v>-0.55390000000005502</v>
      </c>
      <c r="AF2072">
        <v>-0.85448132570219604</v>
      </c>
      <c r="AG2072">
        <v>-1.1209913385969901</v>
      </c>
      <c r="AH2072">
        <v>29.8008595279018</v>
      </c>
      <c r="AI2072">
        <v>92.153342450428397</v>
      </c>
      <c r="AJ2072">
        <v>91.642394351896598</v>
      </c>
      <c r="AK2072">
        <v>29.8341748422663</v>
      </c>
      <c r="AL2072">
        <v>93.479369137288202</v>
      </c>
      <c r="AM2072">
        <v>90.005156920180298</v>
      </c>
      <c r="AN2072">
        <v>0.999999988163075</v>
      </c>
    </row>
    <row r="2073" spans="1:40" x14ac:dyDescent="0.25">
      <c r="A2073" t="str">
        <f>"20190303154505214"</f>
        <v>20190303154505214</v>
      </c>
      <c r="B2073" t="str">
        <f>"1551599105202230"</f>
        <v>1551599105202230</v>
      </c>
      <c r="C2073" t="s">
        <v>40</v>
      </c>
      <c r="D2073">
        <v>4.5834320000000002</v>
      </c>
      <c r="E2073">
        <v>0.4853557</v>
      </c>
      <c r="F2073" t="s">
        <v>54</v>
      </c>
      <c r="G2073">
        <v>-472.62220000000002</v>
      </c>
      <c r="H2073" s="1">
        <v>5.3820640000000004E-6</v>
      </c>
      <c r="I2073">
        <v>283.82440000000003</v>
      </c>
      <c r="J2073">
        <v>-444.68529999999998</v>
      </c>
      <c r="K2073">
        <v>1.121038</v>
      </c>
      <c r="L2073">
        <v>284.53949999999998</v>
      </c>
      <c r="M2073">
        <v>-0.99987300000000001</v>
      </c>
      <c r="N2073">
        <v>-1.242265E-2</v>
      </c>
      <c r="O2073">
        <v>9.9789019999999996E-3</v>
      </c>
      <c r="P2073">
        <v>-0.99720699999999995</v>
      </c>
      <c r="Q2073">
        <v>-7.4096609999999993E-2</v>
      </c>
      <c r="R2073">
        <v>9.3772660000000004E-3</v>
      </c>
      <c r="S2073">
        <v>-3.0001829999999998</v>
      </c>
      <c r="T2073">
        <v>-0.1192883</v>
      </c>
      <c r="U2073">
        <v>-7.5836180000000003E-2</v>
      </c>
      <c r="V2073">
        <v>-5.6284900000000003E-4</v>
      </c>
      <c r="W2073">
        <v>-6.1702510000000002E-2</v>
      </c>
      <c r="X2073">
        <v>0.99809440000000005</v>
      </c>
      <c r="Y2073">
        <v>-3.5204119999999998E-2</v>
      </c>
      <c r="Z2073">
        <v>-1.1909360000000001E-3</v>
      </c>
      <c r="AA2073">
        <v>0.99937949999999998</v>
      </c>
      <c r="AB2073">
        <v>26</v>
      </c>
      <c r="AC2073">
        <v>-27.936900000000001</v>
      </c>
      <c r="AD2073">
        <v>-1.121032617936</v>
      </c>
      <c r="AE2073">
        <v>-0.715099999999949</v>
      </c>
      <c r="AF2073">
        <v>-0.99226879567578397</v>
      </c>
      <c r="AG2073">
        <v>-1.121032617936</v>
      </c>
      <c r="AH2073">
        <v>27.883503684397802</v>
      </c>
      <c r="AI2073">
        <v>92.300833467881802</v>
      </c>
      <c r="AJ2073">
        <v>92.038080791826005</v>
      </c>
      <c r="AK2073">
        <v>27.923665397135402</v>
      </c>
      <c r="AL2073">
        <v>93.537540614055999</v>
      </c>
      <c r="AM2073">
        <v>90.032310439558302</v>
      </c>
      <c r="AN2073">
        <v>0.99999997392532802</v>
      </c>
    </row>
    <row r="2074" spans="1:40" x14ac:dyDescent="0.25">
      <c r="A2074" t="str">
        <f>"20190303154505237"</f>
        <v>20190303154505237</v>
      </c>
      <c r="B2074" t="str">
        <f>"1551599105232485"</f>
        <v>1551599105232485</v>
      </c>
      <c r="C2074" t="s">
        <v>40</v>
      </c>
      <c r="D2074">
        <v>4.5799200000000004</v>
      </c>
      <c r="E2074">
        <v>0.4838133</v>
      </c>
      <c r="F2074" t="s">
        <v>54</v>
      </c>
      <c r="G2074">
        <v>-471.45510000000002</v>
      </c>
      <c r="H2074" s="1">
        <v>5.8924139999999997E-6</v>
      </c>
      <c r="I2074">
        <v>283.74209999999999</v>
      </c>
      <c r="J2074">
        <v>-444.94310000000002</v>
      </c>
      <c r="K2074">
        <v>1.121076</v>
      </c>
      <c r="L2074">
        <v>284.54180000000002</v>
      </c>
      <c r="M2074">
        <v>-0.99987289999999995</v>
      </c>
      <c r="N2074">
        <v>-1.257371E-2</v>
      </c>
      <c r="O2074">
        <v>9.8218420000000008E-3</v>
      </c>
      <c r="P2074">
        <v>-0.99713499999999999</v>
      </c>
      <c r="Q2074">
        <v>-7.5142609999999999E-2</v>
      </c>
      <c r="R2074">
        <v>8.6837559999999904E-3</v>
      </c>
      <c r="S2074">
        <v>-2.9999690000000001</v>
      </c>
      <c r="T2074">
        <v>-0.12562880000000001</v>
      </c>
      <c r="U2074">
        <v>-8.9355470000000006E-2</v>
      </c>
      <c r="V2074">
        <v>-1.096304E-3</v>
      </c>
      <c r="W2074">
        <v>-6.2598780000000007E-2</v>
      </c>
      <c r="X2074">
        <v>0.99803819999999999</v>
      </c>
      <c r="Y2074">
        <v>-3.9539829999999998E-2</v>
      </c>
      <c r="Z2074">
        <v>-1.363752E-3</v>
      </c>
      <c r="AA2074">
        <v>0.99921709999999997</v>
      </c>
      <c r="AB2074">
        <v>26</v>
      </c>
      <c r="AC2074">
        <v>-26.511999999999901</v>
      </c>
      <c r="AD2074">
        <v>-1.1210701075859999</v>
      </c>
      <c r="AE2074">
        <v>-0.79970000000002905</v>
      </c>
      <c r="AF2074">
        <v>-1.05818825433227</v>
      </c>
      <c r="AG2074">
        <v>-1.1210701075859999</v>
      </c>
      <c r="AH2074">
        <v>26.4556047912004</v>
      </c>
      <c r="AI2074">
        <v>92.424550537702004</v>
      </c>
      <c r="AJ2074">
        <v>92.290532336329406</v>
      </c>
      <c r="AK2074">
        <v>26.500482739676901</v>
      </c>
      <c r="AL2074">
        <v>93.588992375846502</v>
      </c>
      <c r="AM2074">
        <v>90.062937036878395</v>
      </c>
      <c r="AN2074">
        <v>1.0000000288995901</v>
      </c>
    </row>
    <row r="2075" spans="1:40" x14ac:dyDescent="0.25">
      <c r="A2075" t="str">
        <f>"20190303154505262"</f>
        <v>20190303154505262</v>
      </c>
      <c r="B2075" t="str">
        <f>"1551599105252629"</f>
        <v>1551599105252629</v>
      </c>
      <c r="C2075" t="s">
        <v>40</v>
      </c>
      <c r="D2075">
        <v>4.601248</v>
      </c>
      <c r="E2075">
        <v>0.48310189999999997</v>
      </c>
      <c r="F2075" t="s">
        <v>54</v>
      </c>
      <c r="G2075">
        <v>-470.63529999999997</v>
      </c>
      <c r="H2075" s="1">
        <v>6.2480329999999996E-6</v>
      </c>
      <c r="I2075">
        <v>283.65129999999999</v>
      </c>
      <c r="J2075">
        <v>-445.23160000000001</v>
      </c>
      <c r="K2075">
        <v>1.121113</v>
      </c>
      <c r="L2075">
        <v>284.54450000000003</v>
      </c>
      <c r="M2075">
        <v>-0.9998726</v>
      </c>
      <c r="N2075">
        <v>-1.2736559999999999E-2</v>
      </c>
      <c r="O2075">
        <v>9.6239259999999997E-3</v>
      </c>
      <c r="P2075">
        <v>-0.99706879999999998</v>
      </c>
      <c r="Q2075">
        <v>-7.6167449999999998E-2</v>
      </c>
      <c r="R2075">
        <v>7.2298149999999997E-3</v>
      </c>
      <c r="S2075">
        <v>-2.9996640000000001</v>
      </c>
      <c r="T2075">
        <v>-0.13088920000000001</v>
      </c>
      <c r="U2075">
        <v>-0.10397339999999999</v>
      </c>
      <c r="V2075">
        <v>-2.3501749999999999E-3</v>
      </c>
      <c r="W2075">
        <v>-6.3462389999999994E-2</v>
      </c>
      <c r="X2075">
        <v>0.99798149999999997</v>
      </c>
      <c r="Y2075">
        <v>-4.4199330000000002E-2</v>
      </c>
      <c r="Z2075">
        <v>-1.5424289999999999E-3</v>
      </c>
      <c r="AA2075">
        <v>0.99902150000000001</v>
      </c>
      <c r="AB2075">
        <v>26</v>
      </c>
      <c r="AC2075">
        <v>-25.403699999999901</v>
      </c>
      <c r="AD2075">
        <v>-1.1211067519669999</v>
      </c>
      <c r="AE2075">
        <v>-0.89320000000003497</v>
      </c>
      <c r="AF2075">
        <v>-1.1354531036536499</v>
      </c>
      <c r="AG2075">
        <v>-1.1211067519669999</v>
      </c>
      <c r="AH2075">
        <v>25.3446262773924</v>
      </c>
      <c r="AI2075">
        <v>92.530264126543102</v>
      </c>
      <c r="AJ2075">
        <v>92.565166969167393</v>
      </c>
      <c r="AK2075">
        <v>25.394806855744999</v>
      </c>
      <c r="AL2075">
        <v>93.638572141806705</v>
      </c>
      <c r="AM2075">
        <v>90.134927210273503</v>
      </c>
      <c r="AN2075">
        <v>1.00000003630464</v>
      </c>
    </row>
    <row r="2076" spans="1:40" x14ac:dyDescent="0.25">
      <c r="A2076" t="str">
        <f>"20190303154505304"</f>
        <v>20190303154505304</v>
      </c>
      <c r="B2076" t="str">
        <f>"1551599105292646"</f>
        <v>1551599105292646</v>
      </c>
      <c r="C2076" t="s">
        <v>40</v>
      </c>
      <c r="D2076">
        <v>4.5908170000000004</v>
      </c>
      <c r="E2076">
        <v>0.4823944</v>
      </c>
      <c r="F2076" t="s">
        <v>54</v>
      </c>
      <c r="G2076">
        <v>-470.08030000000002</v>
      </c>
      <c r="H2076" s="1">
        <v>6.48969399999999E-6</v>
      </c>
      <c r="I2076">
        <v>283.60039999999998</v>
      </c>
      <c r="J2076">
        <v>-445.71949999999998</v>
      </c>
      <c r="K2076">
        <v>1.1211439999999999</v>
      </c>
      <c r="L2076">
        <v>284.5487</v>
      </c>
      <c r="M2076">
        <v>-0.99987300000000001</v>
      </c>
      <c r="N2076">
        <v>-1.298151E-2</v>
      </c>
      <c r="O2076">
        <v>9.2607850000000005E-3</v>
      </c>
      <c r="P2076">
        <v>-0.99706669999999997</v>
      </c>
      <c r="Q2076">
        <v>-7.6468720000000004E-2</v>
      </c>
      <c r="R2076">
        <v>3.2950879999999998E-3</v>
      </c>
      <c r="S2076">
        <v>-2.999298</v>
      </c>
      <c r="T2076">
        <v>-0.1353203</v>
      </c>
      <c r="U2076">
        <v>-0.1139526</v>
      </c>
      <c r="V2076">
        <v>-5.9206179999999999E-3</v>
      </c>
      <c r="W2076">
        <v>-6.3520770000000004E-2</v>
      </c>
      <c r="X2076">
        <v>0.99796300000000004</v>
      </c>
      <c r="Y2076">
        <v>-4.7152489999999998E-2</v>
      </c>
      <c r="Z2076">
        <v>-1.6664920000000001E-3</v>
      </c>
      <c r="AA2076">
        <v>0.9988863</v>
      </c>
      <c r="AB2076">
        <v>26</v>
      </c>
      <c r="AC2076">
        <v>-24.360800000000001</v>
      </c>
      <c r="AD2076">
        <v>-1.121137510306</v>
      </c>
      <c r="AE2076">
        <v>-0.94830000000001702</v>
      </c>
      <c r="AF2076">
        <v>-1.17140111382189</v>
      </c>
      <c r="AG2076">
        <v>-1.121137510306</v>
      </c>
      <c r="AH2076">
        <v>24.2995827665967</v>
      </c>
      <c r="AI2076">
        <v>92.638587449918504</v>
      </c>
      <c r="AJ2076">
        <v>92.759900153655593</v>
      </c>
      <c r="AK2076">
        <v>24.353620932361601</v>
      </c>
      <c r="AL2076">
        <v>93.641923797653803</v>
      </c>
      <c r="AM2076">
        <v>90.339914850229704</v>
      </c>
      <c r="AN2076">
        <v>1.00000004565394</v>
      </c>
    </row>
    <row r="2077" spans="1:40" x14ac:dyDescent="0.25">
      <c r="A2077" t="str">
        <f>"20190303154505325"</f>
        <v>20190303154505325</v>
      </c>
      <c r="B2077" t="str">
        <f>"1551599105322902"</f>
        <v>1551599105322902</v>
      </c>
      <c r="C2077" t="s">
        <v>40</v>
      </c>
      <c r="D2077">
        <v>4.6224179999999997</v>
      </c>
      <c r="E2077">
        <v>0.48240769999999999</v>
      </c>
      <c r="F2077" t="s">
        <v>54</v>
      </c>
      <c r="G2077">
        <v>-470.97239999999999</v>
      </c>
      <c r="H2077" s="1">
        <v>6.0801499999999997E-6</v>
      </c>
      <c r="I2077">
        <v>283.44119999999998</v>
      </c>
      <c r="J2077">
        <v>-445.97160000000002</v>
      </c>
      <c r="K2077">
        <v>1.1211580000000001</v>
      </c>
      <c r="L2077">
        <v>284.55079999999998</v>
      </c>
      <c r="M2077">
        <v>-0.99987320000000002</v>
      </c>
      <c r="N2077">
        <v>-1.3094059999999999E-2</v>
      </c>
      <c r="O2077">
        <v>9.0710219999999998E-3</v>
      </c>
      <c r="P2077">
        <v>-0.99707159999999995</v>
      </c>
      <c r="Q2077">
        <v>-7.6455179999999998E-2</v>
      </c>
      <c r="R2077">
        <v>1.7434830000000001E-3</v>
      </c>
      <c r="S2077">
        <v>-2.9990540000000001</v>
      </c>
      <c r="T2077">
        <v>-0.13314699999999999</v>
      </c>
      <c r="U2077">
        <v>-0.1315308</v>
      </c>
      <c r="V2077">
        <v>-7.2830739999999996E-3</v>
      </c>
      <c r="W2077">
        <v>-6.3395409999999999E-2</v>
      </c>
      <c r="X2077">
        <v>0.99796189999999996</v>
      </c>
      <c r="Y2077">
        <v>-5.2804879999999998E-2</v>
      </c>
      <c r="Z2077">
        <v>-1.8008150000000001E-3</v>
      </c>
      <c r="AA2077">
        <v>0.99860320000000002</v>
      </c>
      <c r="AB2077">
        <v>26</v>
      </c>
      <c r="AC2077">
        <v>-25.000799999999899</v>
      </c>
      <c r="AD2077">
        <v>-1.12115191985</v>
      </c>
      <c r="AE2077">
        <v>-1.1095999999999999</v>
      </c>
      <c r="AF2077">
        <v>-1.333679760651</v>
      </c>
      <c r="AG2077">
        <v>-1.12115191985</v>
      </c>
      <c r="AH2077">
        <v>24.939649080466399</v>
      </c>
      <c r="AI2077">
        <v>92.570308175323106</v>
      </c>
      <c r="AJ2077">
        <v>93.061049699432601</v>
      </c>
      <c r="AK2077">
        <v>25.0004355879685</v>
      </c>
      <c r="AL2077">
        <v>93.634726904933203</v>
      </c>
      <c r="AM2077">
        <v>90.4181341933336</v>
      </c>
      <c r="AN2077">
        <v>0.99999998751378305</v>
      </c>
    </row>
    <row r="2078" spans="1:40" x14ac:dyDescent="0.25">
      <c r="A2078" t="str">
        <f>"20190303154505349"</f>
        <v>20190303154505349</v>
      </c>
      <c r="B2078" t="str">
        <f>"1551599105342424"</f>
        <v>1551599105342424</v>
      </c>
      <c r="C2078" t="s">
        <v>40</v>
      </c>
      <c r="D2078">
        <v>4.6669330000000002</v>
      </c>
      <c r="E2078">
        <v>0.48229880000000003</v>
      </c>
      <c r="F2078" t="s">
        <v>54</v>
      </c>
      <c r="G2078">
        <v>-472.03699999999998</v>
      </c>
      <c r="H2078" s="1">
        <v>5.6016830000000003E-6</v>
      </c>
      <c r="I2078">
        <v>283.3682</v>
      </c>
      <c r="J2078">
        <v>-446.23930000000001</v>
      </c>
      <c r="K2078">
        <v>1.1211679999999999</v>
      </c>
      <c r="L2078">
        <v>284.553</v>
      </c>
      <c r="M2078">
        <v>-0.99987349999999997</v>
      </c>
      <c r="N2078">
        <v>-1.320152E-2</v>
      </c>
      <c r="O2078">
        <v>8.8731480000000008E-3</v>
      </c>
      <c r="P2078">
        <v>-0.99709619999999999</v>
      </c>
      <c r="Q2078">
        <v>-7.6150999999999996E-2</v>
      </c>
      <c r="R2078">
        <v>5.6489309999999896E-4</v>
      </c>
      <c r="S2078">
        <v>-2.9991759999999998</v>
      </c>
      <c r="T2078">
        <v>-0.12900410000000001</v>
      </c>
      <c r="U2078">
        <v>-0.1360779</v>
      </c>
      <c r="V2078">
        <v>-8.2649960000000001E-3</v>
      </c>
      <c r="W2078">
        <v>-6.2984040000000005E-2</v>
      </c>
      <c r="X2078">
        <v>0.99798030000000004</v>
      </c>
      <c r="Y2078">
        <v>-5.4118890000000003E-2</v>
      </c>
      <c r="Z2078">
        <v>-1.7846819999999999E-3</v>
      </c>
      <c r="AA2078">
        <v>0.99853289999999995</v>
      </c>
      <c r="AB2078">
        <v>26</v>
      </c>
      <c r="AC2078">
        <v>-25.797699999999899</v>
      </c>
      <c r="AD2078">
        <v>-1.121162398317</v>
      </c>
      <c r="AE2078">
        <v>-1.1847999999999901</v>
      </c>
      <c r="AF2078">
        <v>-1.41102064665488</v>
      </c>
      <c r="AG2078">
        <v>-1.121162398317</v>
      </c>
      <c r="AH2078">
        <v>25.737660665295799</v>
      </c>
      <c r="AI2078">
        <v>92.490558550235505</v>
      </c>
      <c r="AJ2078">
        <v>93.137996055796407</v>
      </c>
      <c r="AK2078">
        <v>25.800681403997899</v>
      </c>
      <c r="AL2078">
        <v>93.611109935380796</v>
      </c>
      <c r="AM2078">
        <v>90.474496903901994</v>
      </c>
      <c r="AN2078">
        <v>0.999999989320845</v>
      </c>
    </row>
    <row r="2079" spans="1:40" x14ac:dyDescent="0.25">
      <c r="A2079" t="str">
        <f>"20190303154505371"</f>
        <v>20190303154505371</v>
      </c>
      <c r="B2079" t="str">
        <f>"1551599105362511"</f>
        <v>1551599105362511</v>
      </c>
      <c r="C2079" t="s">
        <v>40</v>
      </c>
      <c r="D2079">
        <v>4.6074799999999998</v>
      </c>
      <c r="E2079">
        <v>0.48211910000000002</v>
      </c>
      <c r="F2079" t="s">
        <v>54</v>
      </c>
      <c r="G2079">
        <v>-472.37180000000001</v>
      </c>
      <c r="H2079" s="1">
        <v>5.4496749999999996E-6</v>
      </c>
      <c r="I2079">
        <v>283.3279</v>
      </c>
      <c r="J2079">
        <v>-446.48649999999998</v>
      </c>
      <c r="K2079">
        <v>1.1211739999999999</v>
      </c>
      <c r="L2079">
        <v>284.55500000000001</v>
      </c>
      <c r="M2079">
        <v>-0.99987400000000004</v>
      </c>
      <c r="N2079">
        <v>-1.3289530000000001E-2</v>
      </c>
      <c r="O2079">
        <v>8.6941880000000003E-3</v>
      </c>
      <c r="P2079">
        <v>-0.9971371</v>
      </c>
      <c r="Q2079">
        <v>-7.5617390000000007E-2</v>
      </c>
      <c r="R2079">
        <v>-1.4169979999999999E-4</v>
      </c>
      <c r="S2079">
        <v>-2.998993</v>
      </c>
      <c r="T2079">
        <v>-0.12866569999999999</v>
      </c>
      <c r="U2079">
        <v>-0.14059449999999901</v>
      </c>
      <c r="V2079">
        <v>-8.7935600000000006E-3</v>
      </c>
      <c r="W2079">
        <v>-6.2362279999999999E-2</v>
      </c>
      <c r="X2079">
        <v>0.99801490000000004</v>
      </c>
      <c r="Y2079">
        <v>-5.5442270000000002E-2</v>
      </c>
      <c r="Z2079">
        <v>-1.814165E-3</v>
      </c>
      <c r="AA2079">
        <v>0.99846020000000002</v>
      </c>
      <c r="AB2079">
        <v>26</v>
      </c>
      <c r="AC2079">
        <v>-25.885300000000001</v>
      </c>
      <c r="AD2079">
        <v>-1.121168550325</v>
      </c>
      <c r="AE2079">
        <v>-1.2271000000000001</v>
      </c>
      <c r="AF2079">
        <v>-1.44941211326194</v>
      </c>
      <c r="AG2079">
        <v>-1.121168550325</v>
      </c>
      <c r="AH2079">
        <v>25.82531196899</v>
      </c>
      <c r="AI2079">
        <v>92.481951476922006</v>
      </c>
      <c r="AJ2079">
        <v>93.212281328036497</v>
      </c>
      <c r="AK2079">
        <v>25.890240491118799</v>
      </c>
      <c r="AL2079">
        <v>93.575415283777303</v>
      </c>
      <c r="AM2079">
        <v>90.504822961246106</v>
      </c>
      <c r="AN2079">
        <v>1.0000000606431301</v>
      </c>
    </row>
    <row r="2080" spans="1:40" x14ac:dyDescent="0.25">
      <c r="A2080" t="str">
        <f>"20190303154505393"</f>
        <v>20190303154505393</v>
      </c>
      <c r="B2080" t="str">
        <f>"1551599105383006"</f>
        <v>1551599105383006</v>
      </c>
      <c r="C2080" t="s">
        <v>40</v>
      </c>
      <c r="D2080">
        <v>4.673565</v>
      </c>
      <c r="E2080">
        <v>0.45742929999999998</v>
      </c>
      <c r="F2080" t="s">
        <v>54</v>
      </c>
      <c r="G2080">
        <v>-472.58390000000003</v>
      </c>
      <c r="H2080" s="1">
        <v>5.3532779999999999E-6</v>
      </c>
      <c r="I2080">
        <v>283.30090000000001</v>
      </c>
      <c r="J2080">
        <v>-446.75049999999999</v>
      </c>
      <c r="K2080">
        <v>1.1211799999999901</v>
      </c>
      <c r="L2080">
        <v>284.55700000000002</v>
      </c>
      <c r="M2080">
        <v>-0.99987440000000005</v>
      </c>
      <c r="N2080">
        <v>-1.33726E-2</v>
      </c>
      <c r="O2080">
        <v>8.5079990000000005E-3</v>
      </c>
      <c r="P2080">
        <v>-0.99720180000000003</v>
      </c>
      <c r="Q2080">
        <v>-7.4755989999999994E-2</v>
      </c>
      <c r="R2080">
        <v>3.7000599999999998E-4</v>
      </c>
      <c r="S2080">
        <v>-2.9988100000000002</v>
      </c>
      <c r="T2080">
        <v>-0.128832</v>
      </c>
      <c r="U2080">
        <v>-0.14410400000000001</v>
      </c>
      <c r="V2080">
        <v>-8.0978049999999996E-3</v>
      </c>
      <c r="W2080">
        <v>-6.1416869999999998E-2</v>
      </c>
      <c r="X2080">
        <v>0.99807939999999995</v>
      </c>
      <c r="Y2080">
        <v>-5.6423719999999997E-2</v>
      </c>
      <c r="Z2080">
        <v>-1.839959E-3</v>
      </c>
      <c r="AA2080">
        <v>0.99840519999999999</v>
      </c>
      <c r="AB2080">
        <v>26</v>
      </c>
      <c r="AC2080">
        <v>-25.833400000000001</v>
      </c>
      <c r="AD2080">
        <v>-1.1211746467219901</v>
      </c>
      <c r="AE2080">
        <v>-1.2561</v>
      </c>
      <c r="AF2080">
        <v>-1.4730965755713099</v>
      </c>
      <c r="AG2080">
        <v>-1.1211746467219901</v>
      </c>
      <c r="AH2080">
        <v>25.773345393222399</v>
      </c>
      <c r="AI2080">
        <v>92.486818310040903</v>
      </c>
      <c r="AJ2080">
        <v>93.271227968576795</v>
      </c>
      <c r="AK2080">
        <v>25.8397441718711</v>
      </c>
      <c r="AL2080">
        <v>93.521143288979502</v>
      </c>
      <c r="AM2080">
        <v>90.464852665657205</v>
      </c>
      <c r="AN2080">
        <v>1.0000000475353801</v>
      </c>
    </row>
    <row r="2081" spans="1:40" x14ac:dyDescent="0.25">
      <c r="A2081" t="str">
        <f>"20190303154505417"</f>
        <v>20190303154505417</v>
      </c>
      <c r="B2081" t="str">
        <f>"1551599105412287"</f>
        <v>1551599105412287</v>
      </c>
      <c r="C2081" t="s">
        <v>40</v>
      </c>
      <c r="D2081">
        <v>4.6073149999999998</v>
      </c>
      <c r="E2081">
        <v>0.44395190000000001</v>
      </c>
      <c r="F2081" t="s">
        <v>55</v>
      </c>
      <c r="G2081">
        <v>-466.03769999999997</v>
      </c>
      <c r="H2081" s="1">
        <v>1.7741920000000001E-6</v>
      </c>
      <c r="I2081">
        <v>282.37360000000001</v>
      </c>
      <c r="J2081">
        <v>-447.00779999999997</v>
      </c>
      <c r="K2081">
        <v>1.121176</v>
      </c>
      <c r="L2081">
        <v>284.55900000000003</v>
      </c>
      <c r="M2081">
        <v>-0.99987499999999996</v>
      </c>
      <c r="N2081">
        <v>-1.344331E-2</v>
      </c>
      <c r="O2081">
        <v>8.3314979999999997E-3</v>
      </c>
      <c r="P2081">
        <v>-0.99721630000000006</v>
      </c>
      <c r="Q2081">
        <v>-7.454508E-2</v>
      </c>
      <c r="R2081">
        <v>1.7037059999999999E-3</v>
      </c>
      <c r="S2081">
        <v>-2.9954830000000001</v>
      </c>
      <c r="T2081">
        <v>-0.17413020000000001</v>
      </c>
      <c r="U2081">
        <v>-0.3391113</v>
      </c>
      <c r="V2081">
        <v>-6.5887640000000004E-3</v>
      </c>
      <c r="W2081">
        <v>-6.1134550000000003E-2</v>
      </c>
      <c r="X2081">
        <v>0.99810779999999999</v>
      </c>
      <c r="Y2081">
        <v>-0.1205083</v>
      </c>
      <c r="Z2081">
        <v>-4.6728840000000004E-3</v>
      </c>
      <c r="AA2081">
        <v>0.99270130000000001</v>
      </c>
      <c r="AB2081">
        <v>26</v>
      </c>
      <c r="AC2081">
        <v>-19.029900000000001</v>
      </c>
      <c r="AD2081">
        <v>-1.121174225808</v>
      </c>
      <c r="AE2081">
        <v>-2.1854000000000098</v>
      </c>
      <c r="AF2081">
        <v>-2.3358833700017598</v>
      </c>
      <c r="AG2081">
        <v>-1.121174225808</v>
      </c>
      <c r="AH2081">
        <v>18.946121334996398</v>
      </c>
      <c r="AI2081">
        <v>93.361250384567697</v>
      </c>
      <c r="AJ2081">
        <v>97.028575541852106</v>
      </c>
      <c r="AK2081">
        <v>19.122470980583799</v>
      </c>
      <c r="AL2081">
        <v>93.504937213991099</v>
      </c>
      <c r="AM2081">
        <v>90.378218551187501</v>
      </c>
      <c r="AN2081">
        <v>1.0000000127177899</v>
      </c>
    </row>
    <row r="2082" spans="1:40" x14ac:dyDescent="0.25">
      <c r="A2082" t="str">
        <f>"20190303154505441"</f>
        <v>20190303154505441</v>
      </c>
      <c r="B2082" t="str">
        <f>"1551599105432783"</f>
        <v>1551599105432783</v>
      </c>
      <c r="C2082" t="s">
        <v>40</v>
      </c>
      <c r="D2082">
        <v>4.5850379999999999</v>
      </c>
      <c r="E2082">
        <v>0.44138040000000001</v>
      </c>
      <c r="F2082" t="s">
        <v>55</v>
      </c>
      <c r="G2082">
        <v>-465.30459999999999</v>
      </c>
      <c r="H2082" s="1">
        <v>1.4066809999999999E-6</v>
      </c>
      <c r="I2082">
        <v>281.85669999999999</v>
      </c>
      <c r="J2082">
        <v>-447.29309999999998</v>
      </c>
      <c r="K2082">
        <v>1.1211719999999901</v>
      </c>
      <c r="L2082">
        <v>284.56119999999999</v>
      </c>
      <c r="M2082">
        <v>-0.99987570000000003</v>
      </c>
      <c r="N2082">
        <v>-1.3511560000000001E-2</v>
      </c>
      <c r="O2082">
        <v>8.1425899999999999E-3</v>
      </c>
      <c r="P2082">
        <v>-0.99717310000000003</v>
      </c>
      <c r="Q2082">
        <v>-7.5065300000000001E-2</v>
      </c>
      <c r="R2082">
        <v>3.3926849999999999E-3</v>
      </c>
      <c r="S2082">
        <v>-2.995422</v>
      </c>
      <c r="T2082">
        <v>-0.18355070000000001</v>
      </c>
      <c r="U2082">
        <v>-0.44241330000000001</v>
      </c>
      <c r="V2082">
        <v>-4.7110590000000001E-3</v>
      </c>
      <c r="W2082">
        <v>-6.1586399999999999E-2</v>
      </c>
      <c r="X2082">
        <v>0.99809060000000005</v>
      </c>
      <c r="Y2082">
        <v>-0.15380750000000001</v>
      </c>
      <c r="Z2082">
        <v>-6.1151440000000003E-3</v>
      </c>
      <c r="AA2082">
        <v>0.98808189999999996</v>
      </c>
      <c r="AB2082">
        <v>26</v>
      </c>
      <c r="AC2082">
        <v>-18.011500000000002</v>
      </c>
      <c r="AD2082">
        <v>-1.1211705933189999</v>
      </c>
      <c r="AE2082">
        <v>-2.7044999999999901</v>
      </c>
      <c r="AF2082">
        <v>-2.8403210836123498</v>
      </c>
      <c r="AG2082">
        <v>-1.1211705933189999</v>
      </c>
      <c r="AH2082">
        <v>17.9209709435255</v>
      </c>
      <c r="AI2082">
        <v>93.535849124844901</v>
      </c>
      <c r="AJ2082">
        <v>99.005982351847905</v>
      </c>
      <c r="AK2082">
        <v>18.179264201722301</v>
      </c>
      <c r="AL2082">
        <v>93.5308753658732</v>
      </c>
      <c r="AM2082">
        <v>90.270438167850699</v>
      </c>
      <c r="AN2082">
        <v>0.99999996227511001</v>
      </c>
    </row>
    <row r="2083" spans="1:40" x14ac:dyDescent="0.25">
      <c r="A2083" t="str">
        <f>"20190303154505465"</f>
        <v>20190303154505465</v>
      </c>
      <c r="B2083" t="str">
        <f>"1551599105463039"</f>
        <v>1551599105463039</v>
      </c>
      <c r="C2083" t="s">
        <v>40</v>
      </c>
      <c r="D2083">
        <v>4.5805309999999997</v>
      </c>
      <c r="E2083">
        <v>0.43915609999999999</v>
      </c>
      <c r="F2083" t="s">
        <v>55</v>
      </c>
      <c r="G2083">
        <v>-465.03059999999999</v>
      </c>
      <c r="H2083" s="1">
        <v>1.2611600000000001E-6</v>
      </c>
      <c r="I2083">
        <v>281.85050000000001</v>
      </c>
      <c r="J2083">
        <v>-447.56369999999998</v>
      </c>
      <c r="K2083">
        <v>1.121164</v>
      </c>
      <c r="L2083">
        <v>284.56310000000002</v>
      </c>
      <c r="M2083">
        <v>-0.99987630000000005</v>
      </c>
      <c r="N2083">
        <v>-1.356632E-2</v>
      </c>
      <c r="O2083">
        <v>7.9730519999999996E-3</v>
      </c>
      <c r="P2083">
        <v>-0.99711439999999996</v>
      </c>
      <c r="Q2083">
        <v>-7.5746060000000004E-2</v>
      </c>
      <c r="R2083">
        <v>5.0652689999999998E-3</v>
      </c>
      <c r="S2083">
        <v>-2.9958499999999999</v>
      </c>
      <c r="T2083">
        <v>-0.18936410000000001</v>
      </c>
      <c r="U2083">
        <v>-0.45782469999999997</v>
      </c>
      <c r="V2083">
        <v>-2.8700560000000002E-3</v>
      </c>
      <c r="W2083">
        <v>-6.221252E-2</v>
      </c>
      <c r="X2083">
        <v>0.99805880000000002</v>
      </c>
      <c r="Y2083">
        <v>-0.15855669999999999</v>
      </c>
      <c r="Z2083">
        <v>-6.4535299999999999E-3</v>
      </c>
      <c r="AA2083">
        <v>0.98732880000000001</v>
      </c>
      <c r="AB2083">
        <v>26</v>
      </c>
      <c r="AC2083">
        <v>-17.466899999999999</v>
      </c>
      <c r="AD2083">
        <v>-1.1211627388400001</v>
      </c>
      <c r="AE2083">
        <v>-2.7126000000000001</v>
      </c>
      <c r="AF2083">
        <v>-2.8403641331327298</v>
      </c>
      <c r="AG2083">
        <v>-1.1211627388400001</v>
      </c>
      <c r="AH2083">
        <v>17.374815228298701</v>
      </c>
      <c r="AI2083">
        <v>93.643829883387397</v>
      </c>
      <c r="AJ2083">
        <v>99.284356095850001</v>
      </c>
      <c r="AK2083">
        <v>17.6411133014124</v>
      </c>
      <c r="AL2083">
        <v>93.566818185572004</v>
      </c>
      <c r="AM2083">
        <v>90.164761477475096</v>
      </c>
      <c r="AN2083">
        <v>1.00000000156181</v>
      </c>
    </row>
    <row r="2084" spans="1:40" x14ac:dyDescent="0.25">
      <c r="A2084" t="str">
        <f>"20190303154505488"</f>
        <v>20190303154505488</v>
      </c>
      <c r="B2084" t="str">
        <f>"1551599105482558"</f>
        <v>1551599105482558</v>
      </c>
      <c r="C2084" t="s">
        <v>40</v>
      </c>
      <c r="D2084">
        <v>4.5775249999999996</v>
      </c>
      <c r="E2084">
        <v>0.43810909999999897</v>
      </c>
      <c r="F2084" t="s">
        <v>55</v>
      </c>
      <c r="G2084">
        <v>-464.93259999999998</v>
      </c>
      <c r="H2084" s="1">
        <v>1.2096469999999899E-6</v>
      </c>
      <c r="I2084">
        <v>281.83519999999999</v>
      </c>
      <c r="J2084">
        <v>-447.81830000000002</v>
      </c>
      <c r="K2084">
        <v>1.121154</v>
      </c>
      <c r="L2084">
        <v>284.565</v>
      </c>
      <c r="M2084">
        <v>-0.99987689999999996</v>
      </c>
      <c r="N2084">
        <v>-1.361064E-2</v>
      </c>
      <c r="O2084">
        <v>7.8216009999999992E-3</v>
      </c>
      <c r="P2084">
        <v>-0.99713209999999997</v>
      </c>
      <c r="Q2084">
        <v>-7.5481430000000002E-2</v>
      </c>
      <c r="R2084">
        <v>5.501896E-3</v>
      </c>
      <c r="S2084">
        <v>-2.996429</v>
      </c>
      <c r="T2084">
        <v>-0.1934198</v>
      </c>
      <c r="U2084">
        <v>-0.47061160000000002</v>
      </c>
      <c r="V2084">
        <v>-2.2837769999999999E-3</v>
      </c>
      <c r="W2084">
        <v>-6.1903189999999997E-2</v>
      </c>
      <c r="X2084">
        <v>0.99807950000000001</v>
      </c>
      <c r="Y2084">
        <v>-0.16246720000000001</v>
      </c>
      <c r="Z2084">
        <v>-6.7158249999999999E-3</v>
      </c>
      <c r="AA2084">
        <v>0.98669110000000004</v>
      </c>
      <c r="AB2084">
        <v>26</v>
      </c>
      <c r="AC2084">
        <v>-17.114299999999901</v>
      </c>
      <c r="AD2084">
        <v>-1.1211527903530001</v>
      </c>
      <c r="AE2084">
        <v>-2.7298000000000102</v>
      </c>
      <c r="AF2084">
        <v>-2.85165577696824</v>
      </c>
      <c r="AG2084">
        <v>-1.1211527903530001</v>
      </c>
      <c r="AH2084">
        <v>17.0211885221313</v>
      </c>
      <c r="AI2084">
        <v>93.716864906522801</v>
      </c>
      <c r="AJ2084">
        <v>99.510758451099406</v>
      </c>
      <c r="AK2084">
        <v>17.294790630579101</v>
      </c>
      <c r="AL2084">
        <v>93.549060822802005</v>
      </c>
      <c r="AM2084">
        <v>90.131102337121803</v>
      </c>
      <c r="AN2084">
        <v>0.99999995444490497</v>
      </c>
    </row>
    <row r="2085" spans="1:40" x14ac:dyDescent="0.25">
      <c r="A2085" t="str">
        <f>"20190303154505509"</f>
        <v>20190303154505509</v>
      </c>
      <c r="B2085" t="str">
        <f>"1551599105503055"</f>
        <v>1551599105503055</v>
      </c>
      <c r="C2085" t="s">
        <v>40</v>
      </c>
      <c r="D2085">
        <v>4.5567890000000002</v>
      </c>
      <c r="E2085">
        <v>0.43725000000000003</v>
      </c>
      <c r="F2085" t="s">
        <v>55</v>
      </c>
      <c r="G2085">
        <v>-465.07850000000002</v>
      </c>
      <c r="H2085" s="1">
        <v>1.288183E-6</v>
      </c>
      <c r="I2085">
        <v>281.81470000000002</v>
      </c>
      <c r="J2085">
        <v>-448.07389999999998</v>
      </c>
      <c r="K2085">
        <v>1.1211530000000001</v>
      </c>
      <c r="L2085">
        <v>284.5668</v>
      </c>
      <c r="M2085">
        <v>-0.99987749999999997</v>
      </c>
      <c r="N2085">
        <v>-1.3649069999999999E-2</v>
      </c>
      <c r="O2085">
        <v>7.6775139999999999E-3</v>
      </c>
      <c r="P2085">
        <v>-0.99716530000000003</v>
      </c>
      <c r="Q2085">
        <v>-7.5070600000000001E-2</v>
      </c>
      <c r="R2085">
        <v>5.1143350000000002E-3</v>
      </c>
      <c r="S2085">
        <v>-2.996521</v>
      </c>
      <c r="T2085">
        <v>-0.19464219999999999</v>
      </c>
      <c r="U2085">
        <v>-0.47747800000000001</v>
      </c>
      <c r="V2085">
        <v>-2.5294219999999999E-3</v>
      </c>
      <c r="W2085">
        <v>-6.1453630000000002E-2</v>
      </c>
      <c r="X2085">
        <v>0.99810670000000001</v>
      </c>
      <c r="Y2085">
        <v>-0.1645162</v>
      </c>
      <c r="Z2085">
        <v>-6.8265160000000004E-3</v>
      </c>
      <c r="AA2085">
        <v>0.98635079999999997</v>
      </c>
      <c r="AB2085">
        <v>26</v>
      </c>
      <c r="AC2085">
        <v>-17.0046</v>
      </c>
      <c r="AD2085">
        <v>-1.121151711817</v>
      </c>
      <c r="AE2085">
        <v>-2.75209999999998</v>
      </c>
      <c r="AF2085">
        <v>-2.87042465643973</v>
      </c>
      <c r="AG2085">
        <v>-1.121151711817</v>
      </c>
      <c r="AH2085">
        <v>16.911329335687501</v>
      </c>
      <c r="AI2085">
        <v>93.739594117468101</v>
      </c>
      <c r="AJ2085">
        <v>99.633222465826194</v>
      </c>
      <c r="AK2085">
        <v>17.189804500612901</v>
      </c>
      <c r="AL2085">
        <v>93.523253756754102</v>
      </c>
      <c r="AM2085">
        <v>90.145199801743701</v>
      </c>
      <c r="AN2085">
        <v>0.99999996560035898</v>
      </c>
    </row>
    <row r="2086" spans="1:40" x14ac:dyDescent="0.25">
      <c r="A2086" t="str">
        <f>"20190303154505529"</f>
        <v>20190303154505529</v>
      </c>
      <c r="B2086" t="str">
        <f>"1551599105522575"</f>
        <v>1551599105522575</v>
      </c>
      <c r="C2086" t="s">
        <v>40</v>
      </c>
      <c r="D2086">
        <v>4.5340170000000004</v>
      </c>
      <c r="E2086">
        <v>0.43636750000000002</v>
      </c>
      <c r="F2086" t="s">
        <v>55</v>
      </c>
      <c r="G2086">
        <v>-465.28969999999998</v>
      </c>
      <c r="H2086" s="1">
        <v>1.402287E-6</v>
      </c>
      <c r="I2086">
        <v>281.77569999999997</v>
      </c>
      <c r="J2086">
        <v>-448.29180000000002</v>
      </c>
      <c r="K2086">
        <v>1.121146</v>
      </c>
      <c r="L2086">
        <v>284.56830000000002</v>
      </c>
      <c r="M2086">
        <v>-0.99987800000000004</v>
      </c>
      <c r="N2086">
        <v>-1.367759E-2</v>
      </c>
      <c r="O2086">
        <v>7.5615430000000004E-3</v>
      </c>
      <c r="P2086">
        <v>-0.99723519999999999</v>
      </c>
      <c r="Q2086">
        <v>-7.4199050000000003E-2</v>
      </c>
      <c r="R2086">
        <v>4.099269E-3</v>
      </c>
      <c r="S2086">
        <v>-2.9963380000000002</v>
      </c>
      <c r="T2086">
        <v>-0.19513169999999999</v>
      </c>
      <c r="U2086">
        <v>-0.48577880000000001</v>
      </c>
      <c r="V2086">
        <v>-3.4300789999999999E-3</v>
      </c>
      <c r="W2086">
        <v>-6.0552990000000001E-2</v>
      </c>
      <c r="X2086">
        <v>0.99815909999999997</v>
      </c>
      <c r="Y2086">
        <v>-0.16706599999999999</v>
      </c>
      <c r="Z2086">
        <v>-6.9366310000000004E-3</v>
      </c>
      <c r="AA2086">
        <v>0.9859213</v>
      </c>
      <c r="AB2086">
        <v>26</v>
      </c>
      <c r="AC2086">
        <v>-16.997899999999898</v>
      </c>
      <c r="AD2086">
        <v>-1.1211445977129999</v>
      </c>
      <c r="AE2086">
        <v>-2.7926000000000499</v>
      </c>
      <c r="AF2086">
        <v>-2.9087407990458201</v>
      </c>
      <c r="AG2086">
        <v>-1.1211445977129999</v>
      </c>
      <c r="AH2086">
        <v>16.9046857364315</v>
      </c>
      <c r="AI2086">
        <v>93.739590890223397</v>
      </c>
      <c r="AJ2086">
        <v>99.763117107494494</v>
      </c>
      <c r="AK2086">
        <v>17.189710238759801</v>
      </c>
      <c r="AL2086">
        <v>93.471554443445797</v>
      </c>
      <c r="AM2086">
        <v>90.196890732655703</v>
      </c>
      <c r="AN2086">
        <v>1.0000000094763399</v>
      </c>
    </row>
    <row r="2087" spans="1:40" x14ac:dyDescent="0.25">
      <c r="A2087" t="str">
        <f>"20190303154505561"</f>
        <v>20190303154505561</v>
      </c>
      <c r="B2087" t="str">
        <f>"1551599105552370"</f>
        <v>1551599105552370</v>
      </c>
      <c r="C2087" t="s">
        <v>40</v>
      </c>
      <c r="D2087">
        <v>4.5196019999999999</v>
      </c>
      <c r="E2087">
        <v>0.43523879999999998</v>
      </c>
      <c r="F2087" t="s">
        <v>55</v>
      </c>
      <c r="G2087">
        <v>-465.5444</v>
      </c>
      <c r="H2087" s="1">
        <v>1.540488E-6</v>
      </c>
      <c r="I2087">
        <v>281.71440000000001</v>
      </c>
      <c r="J2087">
        <v>-448.65530000000001</v>
      </c>
      <c r="K2087">
        <v>1.1211409999999999</v>
      </c>
      <c r="L2087">
        <v>284.57080000000002</v>
      </c>
      <c r="M2087">
        <v>-0.99987870000000001</v>
      </c>
      <c r="N2087">
        <v>-1.3717790000000001E-2</v>
      </c>
      <c r="O2087">
        <v>7.3817040000000002E-3</v>
      </c>
      <c r="P2087">
        <v>-0.99716159999999998</v>
      </c>
      <c r="Q2087">
        <v>-7.5254080000000001E-2</v>
      </c>
      <c r="R2087">
        <v>2.402679E-3</v>
      </c>
      <c r="S2087">
        <v>-2.995911</v>
      </c>
      <c r="T2087">
        <v>-0.19468740000000001</v>
      </c>
      <c r="U2087">
        <v>-0.49557499999999999</v>
      </c>
      <c r="V2087">
        <v>-4.9475999999999999E-3</v>
      </c>
      <c r="W2087">
        <v>-6.1569150000000003E-2</v>
      </c>
      <c r="X2087">
        <v>0.99809060000000005</v>
      </c>
      <c r="Y2087">
        <v>-0.17004420000000001</v>
      </c>
      <c r="Z2087">
        <v>-7.0334029999999997E-3</v>
      </c>
      <c r="AA2087">
        <v>0.98541129999999999</v>
      </c>
      <c r="AB2087">
        <v>25</v>
      </c>
      <c r="AC2087">
        <v>-16.8890999999999</v>
      </c>
      <c r="AD2087">
        <v>-1.1211394595119999</v>
      </c>
      <c r="AE2087">
        <v>-2.8563999999999998</v>
      </c>
      <c r="AF2087">
        <v>-2.96828782795943</v>
      </c>
      <c r="AG2087">
        <v>-1.1211394595119999</v>
      </c>
      <c r="AH2087">
        <v>16.795598907731499</v>
      </c>
      <c r="AI2087">
        <v>93.760831897915907</v>
      </c>
      <c r="AJ2087">
        <v>100.022398873941</v>
      </c>
      <c r="AK2087">
        <v>17.092683492848</v>
      </c>
      <c r="AL2087">
        <v>93.529884851300295</v>
      </c>
      <c r="AM2087">
        <v>90.284016578098402</v>
      </c>
      <c r="AN2087">
        <v>1.0000000423929201</v>
      </c>
    </row>
    <row r="2088" spans="1:40" x14ac:dyDescent="0.25">
      <c r="A2088" t="str">
        <f>"20190303154505583"</f>
        <v>20190303154505583</v>
      </c>
      <c r="B2088" t="str">
        <f>"1551599105572857"</f>
        <v>1551599105572857</v>
      </c>
      <c r="C2088" t="s">
        <v>40</v>
      </c>
      <c r="D2088">
        <v>4.5171799999999998</v>
      </c>
      <c r="E2088">
        <v>0.4346043</v>
      </c>
      <c r="F2088" t="s">
        <v>55</v>
      </c>
      <c r="G2088">
        <v>-465.44940000000003</v>
      </c>
      <c r="H2088" s="1">
        <v>1.490042E-6</v>
      </c>
      <c r="I2088">
        <v>281.71199999999999</v>
      </c>
      <c r="J2088">
        <v>-448.91309999999999</v>
      </c>
      <c r="K2088">
        <v>1.12114</v>
      </c>
      <c r="L2088">
        <v>284.57260000000002</v>
      </c>
      <c r="M2088">
        <v>-0.99987930000000003</v>
      </c>
      <c r="N2088">
        <v>-1.374059E-2</v>
      </c>
      <c r="O2088">
        <v>7.2657779999999996E-3</v>
      </c>
      <c r="P2088">
        <v>-0.99709270000000005</v>
      </c>
      <c r="Q2088">
        <v>-7.6177960000000003E-2</v>
      </c>
      <c r="R2088">
        <v>1.850342E-3</v>
      </c>
      <c r="S2088">
        <v>-2.9947509999999999</v>
      </c>
      <c r="T2088">
        <v>-0.19992360000000001</v>
      </c>
      <c r="U2088">
        <v>-0.50979609999999997</v>
      </c>
      <c r="V2088">
        <v>-5.3846719999999897E-3</v>
      </c>
      <c r="W2088">
        <v>-6.2471169999999999E-2</v>
      </c>
      <c r="X2088">
        <v>0.99803229999999998</v>
      </c>
      <c r="Y2088">
        <v>-0.17450750000000001</v>
      </c>
      <c r="Z2088">
        <v>-7.3682080000000002E-3</v>
      </c>
      <c r="AA2088">
        <v>0.98462830000000001</v>
      </c>
      <c r="AB2088">
        <v>25</v>
      </c>
      <c r="AC2088">
        <v>-16.536300000000001</v>
      </c>
      <c r="AD2088">
        <v>-1.121138509958</v>
      </c>
      <c r="AE2088">
        <v>-2.86060000000003</v>
      </c>
      <c r="AF2088">
        <v>-2.9674409215783499</v>
      </c>
      <c r="AG2088">
        <v>-1.121138509958</v>
      </c>
      <c r="AH2088">
        <v>16.441696122945999</v>
      </c>
      <c r="AI2088">
        <v>93.8390527952821</v>
      </c>
      <c r="AJ2088">
        <v>100.23075752682701</v>
      </c>
      <c r="AK2088">
        <v>16.744910527705599</v>
      </c>
      <c r="AL2088">
        <v>93.581666423183194</v>
      </c>
      <c r="AM2088">
        <v>90.309124249927393</v>
      </c>
      <c r="AN2088">
        <v>1.0000000568084999</v>
      </c>
    </row>
    <row r="2089" spans="1:40" x14ac:dyDescent="0.25">
      <c r="A2089" t="str">
        <f>"20190303154505605"</f>
        <v>20190303154505605</v>
      </c>
      <c r="B2089" t="str">
        <f>"1551599105602137"</f>
        <v>1551599105602137</v>
      </c>
      <c r="C2089" t="s">
        <v>40</v>
      </c>
      <c r="D2089">
        <v>4.5130589999999904</v>
      </c>
      <c r="E2089">
        <v>0.43381140000000001</v>
      </c>
      <c r="F2089" t="s">
        <v>55</v>
      </c>
      <c r="G2089">
        <v>-465.31349999999998</v>
      </c>
      <c r="H2089" s="1">
        <v>1.416382E-6</v>
      </c>
      <c r="I2089">
        <v>281.74369999999999</v>
      </c>
      <c r="J2089">
        <v>-449.16160000000002</v>
      </c>
      <c r="K2089">
        <v>1.1211310000000001</v>
      </c>
      <c r="L2089">
        <v>284.57429999999999</v>
      </c>
      <c r="M2089">
        <v>-0.99987979999999999</v>
      </c>
      <c r="N2089">
        <v>-1.375929E-2</v>
      </c>
      <c r="O2089">
        <v>7.1622880000000002E-3</v>
      </c>
      <c r="P2089">
        <v>-0.99707480000000004</v>
      </c>
      <c r="Q2089">
        <v>-7.6404910000000006E-2</v>
      </c>
      <c r="R2089">
        <v>2.0956759999999999E-3</v>
      </c>
      <c r="S2089">
        <v>-2.99411</v>
      </c>
      <c r="T2089">
        <v>-0.20467779999999999</v>
      </c>
      <c r="U2089">
        <v>-0.51644899999999905</v>
      </c>
      <c r="V2089">
        <v>-5.0372020000000002E-3</v>
      </c>
      <c r="W2089">
        <v>-6.2679509999999994E-2</v>
      </c>
      <c r="X2089">
        <v>0.99802100000000005</v>
      </c>
      <c r="Y2089">
        <v>-0.17653929999999901</v>
      </c>
      <c r="Z2089">
        <v>-7.5960369999999999E-3</v>
      </c>
      <c r="AA2089">
        <v>0.98426429999999998</v>
      </c>
      <c r="AB2089">
        <v>25</v>
      </c>
      <c r="AC2089">
        <v>-16.151899999999898</v>
      </c>
      <c r="AD2089">
        <v>-1.121129583618</v>
      </c>
      <c r="AE2089">
        <v>-2.8306</v>
      </c>
      <c r="AF2089">
        <v>-2.9325150966796301</v>
      </c>
      <c r="AG2089">
        <v>-1.121129583618</v>
      </c>
      <c r="AH2089">
        <v>16.056157047113199</v>
      </c>
      <c r="AI2089">
        <v>93.929432557846098</v>
      </c>
      <c r="AJ2089">
        <v>100.350483945561</v>
      </c>
      <c r="AK2089">
        <v>16.360218686101899</v>
      </c>
      <c r="AL2089">
        <v>93.593627049737904</v>
      </c>
      <c r="AM2089">
        <v>90.289180252211594</v>
      </c>
      <c r="AN2089">
        <v>1.00000000540941</v>
      </c>
    </row>
    <row r="2090" spans="1:40" x14ac:dyDescent="0.25">
      <c r="A2090" t="str">
        <f>"20190303154505627"</f>
        <v>20190303154505627</v>
      </c>
      <c r="B2090" t="str">
        <f>"1551599105622636"</f>
        <v>1551599105622636</v>
      </c>
      <c r="C2090" t="s">
        <v>40</v>
      </c>
      <c r="D2090">
        <v>4.4930620000000001</v>
      </c>
      <c r="E2090">
        <v>0.43341800000000003</v>
      </c>
      <c r="F2090" t="s">
        <v>55</v>
      </c>
      <c r="G2090">
        <v>-465.44240000000002</v>
      </c>
      <c r="H2090" s="1">
        <v>1.4852720000000001E-6</v>
      </c>
      <c r="I2090">
        <v>281.73700000000002</v>
      </c>
      <c r="J2090">
        <v>-449.41800000000001</v>
      </c>
      <c r="K2090">
        <v>1.1211249999999999</v>
      </c>
      <c r="L2090">
        <v>284.57600000000002</v>
      </c>
      <c r="M2090">
        <v>-0.9998802</v>
      </c>
      <c r="N2090">
        <v>-1.377601E-2</v>
      </c>
      <c r="O2090">
        <v>7.062146E-3</v>
      </c>
      <c r="P2090">
        <v>-0.9970831</v>
      </c>
      <c r="Q2090">
        <v>-7.6301399999999894E-2</v>
      </c>
      <c r="R2090">
        <v>1.8854989999999999E-3</v>
      </c>
      <c r="S2090">
        <v>-2.9940799999999999</v>
      </c>
      <c r="T2090">
        <v>-0.20617779999999999</v>
      </c>
      <c r="U2090">
        <v>-0.52178959999999996</v>
      </c>
      <c r="V2090">
        <v>-5.1485990000000002E-3</v>
      </c>
      <c r="W2090">
        <v>-6.2559169999999997E-2</v>
      </c>
      <c r="X2090">
        <v>0.99802800000000003</v>
      </c>
      <c r="Y2090">
        <v>-0.17813570000000001</v>
      </c>
      <c r="Z2090">
        <v>-7.7041219999999999E-3</v>
      </c>
      <c r="AA2090">
        <v>0.98397579999999996</v>
      </c>
      <c r="AB2090">
        <v>25</v>
      </c>
      <c r="AC2090">
        <v>-16.0244</v>
      </c>
      <c r="AD2090">
        <v>-1.1211235147280001</v>
      </c>
      <c r="AE2090">
        <v>-2.83899999999994</v>
      </c>
      <c r="AF2090">
        <v>-2.9381622702069601</v>
      </c>
      <c r="AG2090">
        <v>-1.1211235147280001</v>
      </c>
      <c r="AH2090">
        <v>15.928354155927201</v>
      </c>
      <c r="AI2090">
        <v>93.959563713229201</v>
      </c>
      <c r="AJ2090">
        <v>100.451362240816</v>
      </c>
      <c r="AK2090">
        <v>16.235830178281201</v>
      </c>
      <c r="AL2090">
        <v>93.5867184532908</v>
      </c>
      <c r="AM2090">
        <v>90.295573246713602</v>
      </c>
      <c r="AN2090">
        <v>1.0000000233033699</v>
      </c>
    </row>
    <row r="2091" spans="1:40" x14ac:dyDescent="0.25">
      <c r="A2091" t="str">
        <f>"20190303154505650"</f>
        <v>20190303154505650</v>
      </c>
      <c r="B2091" t="str">
        <f>"1551599105642153"</f>
        <v>1551599105642153</v>
      </c>
      <c r="C2091" t="s">
        <v>40</v>
      </c>
      <c r="D2091">
        <v>4.4967600000000001</v>
      </c>
      <c r="E2091">
        <v>0.4330329</v>
      </c>
      <c r="F2091" t="s">
        <v>55</v>
      </c>
      <c r="G2091">
        <v>-465.73989999999998</v>
      </c>
      <c r="H2091" s="1">
        <v>1.6447319999999999E-6</v>
      </c>
      <c r="I2091">
        <v>281.71019999999999</v>
      </c>
      <c r="J2091">
        <v>-449.6705</v>
      </c>
      <c r="K2091">
        <v>1.1211199999999999</v>
      </c>
      <c r="L2091">
        <v>284.57769999999999</v>
      </c>
      <c r="M2091">
        <v>-0.99988069999999896</v>
      </c>
      <c r="N2091">
        <v>-1.378997E-2</v>
      </c>
      <c r="O2091">
        <v>6.9685559999999999E-3</v>
      </c>
      <c r="P2091">
        <v>-0.99710460000000001</v>
      </c>
      <c r="Q2091">
        <v>-7.6026709999999997E-2</v>
      </c>
      <c r="R2091">
        <v>1.5675979999999999E-3</v>
      </c>
      <c r="S2091">
        <v>-2.994049</v>
      </c>
      <c r="T2091">
        <v>-0.2056557</v>
      </c>
      <c r="U2091">
        <v>-0.52569580000000005</v>
      </c>
      <c r="V2091">
        <v>-5.3737960000000001E-3</v>
      </c>
      <c r="W2091">
        <v>-6.2270270000000003E-2</v>
      </c>
      <c r="X2091">
        <v>0.99804479999999995</v>
      </c>
      <c r="Y2091">
        <v>-0.17929020000000001</v>
      </c>
      <c r="Z2091">
        <v>-7.73041599999999E-3</v>
      </c>
      <c r="AA2091">
        <v>0.98376580000000002</v>
      </c>
      <c r="AB2091">
        <v>25</v>
      </c>
      <c r="AC2091">
        <v>-16.069399999999899</v>
      </c>
      <c r="AD2091">
        <v>-1.121118355268</v>
      </c>
      <c r="AE2091">
        <v>-2.8675000000000002</v>
      </c>
      <c r="AF2091">
        <v>-2.9654327874988402</v>
      </c>
      <c r="AG2091">
        <v>-1.121118355268</v>
      </c>
      <c r="AH2091">
        <v>15.9736734821866</v>
      </c>
      <c r="AI2091">
        <v>93.947513769974407</v>
      </c>
      <c r="AJ2091">
        <v>100.516947442183</v>
      </c>
      <c r="AK2091">
        <v>16.285236949433799</v>
      </c>
      <c r="AL2091">
        <v>93.570133652235896</v>
      </c>
      <c r="AM2091">
        <v>90.308496026851302</v>
      </c>
      <c r="AN2091">
        <v>0.999999943508179</v>
      </c>
    </row>
    <row r="2092" spans="1:40" x14ac:dyDescent="0.25">
      <c r="A2092" t="str">
        <f>"20190303154505673"</f>
        <v>20190303154505673</v>
      </c>
      <c r="B2092" t="str">
        <f>"1551599105662649"</f>
        <v>1551599105662649</v>
      </c>
      <c r="C2092" t="s">
        <v>40</v>
      </c>
      <c r="D2092">
        <v>4.4819779999999998</v>
      </c>
      <c r="E2092">
        <v>0.43268450000000003</v>
      </c>
      <c r="F2092" t="s">
        <v>55</v>
      </c>
      <c r="G2092">
        <v>-465.98919999999998</v>
      </c>
      <c r="H2092" s="1">
        <v>1.778256E-6</v>
      </c>
      <c r="I2092">
        <v>281.69060000000002</v>
      </c>
      <c r="J2092">
        <v>-449.92950000000002</v>
      </c>
      <c r="K2092">
        <v>1.121119</v>
      </c>
      <c r="L2092">
        <v>284.57940000000002</v>
      </c>
      <c r="M2092">
        <v>-0.99988109999999997</v>
      </c>
      <c r="N2092">
        <v>-1.380195E-2</v>
      </c>
      <c r="O2092">
        <v>6.8778169999999996E-3</v>
      </c>
      <c r="P2092">
        <v>-0.99708839999999999</v>
      </c>
      <c r="Q2092">
        <v>-7.6239509999999996E-2</v>
      </c>
      <c r="R2092">
        <v>1.45527E-3</v>
      </c>
      <c r="S2092">
        <v>-2.9938660000000001</v>
      </c>
      <c r="T2092">
        <v>-0.20568239999999999</v>
      </c>
      <c r="U2092">
        <v>-0.52966309999999905</v>
      </c>
      <c r="V2092">
        <v>-5.3960950000000001E-3</v>
      </c>
      <c r="W2092">
        <v>-6.2471279999999997E-2</v>
      </c>
      <c r="X2092">
        <v>0.99803220000000004</v>
      </c>
      <c r="Y2092">
        <v>-0.1804721</v>
      </c>
      <c r="Z2092">
        <v>-7.775601E-3</v>
      </c>
      <c r="AA2092">
        <v>0.98354940000000002</v>
      </c>
      <c r="AB2092">
        <v>25</v>
      </c>
      <c r="AC2092">
        <v>-16.0596999999999</v>
      </c>
      <c r="AD2092">
        <v>-1.121117221744</v>
      </c>
      <c r="AE2092">
        <v>-2.8887999999999998</v>
      </c>
      <c r="AF2092">
        <v>-2.9851063547830101</v>
      </c>
      <c r="AG2092">
        <v>-1.121117221744</v>
      </c>
      <c r="AH2092">
        <v>15.964089406752301</v>
      </c>
      <c r="AI2092">
        <v>93.948919554727695</v>
      </c>
      <c r="AJ2092">
        <v>100.59135930035001</v>
      </c>
      <c r="AK2092">
        <v>16.279432249345799</v>
      </c>
      <c r="AL2092">
        <v>93.581672850510202</v>
      </c>
      <c r="AM2092">
        <v>90.309780041904602</v>
      </c>
      <c r="AN2092">
        <v>1.0000000254514601</v>
      </c>
    </row>
    <row r="2093" spans="1:40" x14ac:dyDescent="0.25">
      <c r="A2093" t="str">
        <f>"20190303154505718"</f>
        <v>20190303154505718</v>
      </c>
      <c r="B2093" t="str">
        <f>"1551599105712440"</f>
        <v>1551599105712440</v>
      </c>
      <c r="C2093" t="s">
        <v>40</v>
      </c>
      <c r="D2093">
        <v>4.4628560000000004</v>
      </c>
      <c r="E2093">
        <v>0.48906709999999898</v>
      </c>
      <c r="F2093" t="s">
        <v>55</v>
      </c>
      <c r="G2093">
        <v>-466.1952</v>
      </c>
      <c r="H2093" s="1">
        <v>1.888155E-6</v>
      </c>
      <c r="I2093">
        <v>281.68419999999998</v>
      </c>
      <c r="J2093">
        <v>-450.42860000000002</v>
      </c>
      <c r="K2093">
        <v>1.1211089999999999</v>
      </c>
      <c r="L2093">
        <v>284.58260000000001</v>
      </c>
      <c r="M2093">
        <v>-0.9998821</v>
      </c>
      <c r="N2093">
        <v>-1.3819619999999999E-2</v>
      </c>
      <c r="O2093">
        <v>6.7151950000000002E-3</v>
      </c>
      <c r="P2093">
        <v>-0.99704179999999998</v>
      </c>
      <c r="Q2093">
        <v>-7.6833369999999998E-2</v>
      </c>
      <c r="R2093">
        <v>2.1937720000000001E-3</v>
      </c>
      <c r="S2093">
        <v>-2.993805</v>
      </c>
      <c r="T2093">
        <v>-0.2063488</v>
      </c>
      <c r="U2093">
        <v>-0.53286739999999999</v>
      </c>
      <c r="V2093">
        <v>-4.4960039999999996E-3</v>
      </c>
      <c r="W2093">
        <v>-6.3047829999999999E-2</v>
      </c>
      <c r="X2093">
        <v>0.99800040000000001</v>
      </c>
      <c r="Y2093">
        <v>-0.18133089999999999</v>
      </c>
      <c r="Z2093">
        <v>-7.8245559999999999E-3</v>
      </c>
      <c r="AA2093">
        <v>0.98339100000000002</v>
      </c>
      <c r="AB2093">
        <v>25</v>
      </c>
      <c r="AC2093">
        <v>-15.766599999999899</v>
      </c>
      <c r="AD2093">
        <v>-1.121107111845</v>
      </c>
      <c r="AE2093">
        <v>-2.8984000000000298</v>
      </c>
      <c r="AF2093">
        <v>-2.9895988559597799</v>
      </c>
      <c r="AG2093">
        <v>-1.121107111845</v>
      </c>
      <c r="AH2093">
        <v>15.6701390101975</v>
      </c>
      <c r="AI2093">
        <v>94.019945100429297</v>
      </c>
      <c r="AJ2093">
        <v>100.801269962112</v>
      </c>
      <c r="AK2093">
        <v>15.992118029663899</v>
      </c>
      <c r="AL2093">
        <v>93.614771998260395</v>
      </c>
      <c r="AM2093">
        <v>90.258116440840695</v>
      </c>
      <c r="AN2093">
        <v>1.00000002065991</v>
      </c>
    </row>
    <row r="2094" spans="1:40" x14ac:dyDescent="0.25">
      <c r="A2094" t="str">
        <f>"20190303154505739"</f>
        <v>20190303154505739</v>
      </c>
      <c r="B2094" t="str">
        <f>"1551599105732921"</f>
        <v>1551599105732921</v>
      </c>
      <c r="C2094" t="s">
        <v>40</v>
      </c>
      <c r="D2094">
        <v>4.5325709999999999</v>
      </c>
      <c r="E2094">
        <v>0.49564639999999999</v>
      </c>
      <c r="F2094" t="s">
        <v>54</v>
      </c>
      <c r="G2094">
        <v>-470.0258</v>
      </c>
      <c r="H2094" s="1">
        <v>6.553107E-6</v>
      </c>
      <c r="I2094">
        <v>284.0496</v>
      </c>
      <c r="J2094">
        <v>-450.67399999999998</v>
      </c>
      <c r="K2094">
        <v>1.121111</v>
      </c>
      <c r="L2094">
        <v>284.58409999999998</v>
      </c>
      <c r="M2094">
        <v>-0.99988239999999995</v>
      </c>
      <c r="N2094">
        <v>-1.3826140000000001E-2</v>
      </c>
      <c r="O2094">
        <v>6.6392519999999896E-3</v>
      </c>
      <c r="P2094">
        <v>-0.99707319999999999</v>
      </c>
      <c r="Q2094">
        <v>-7.6415369999999996E-2</v>
      </c>
      <c r="R2094">
        <v>2.3980809999999998E-3</v>
      </c>
      <c r="S2094">
        <v>-2.9958800000000001</v>
      </c>
      <c r="T2094">
        <v>-0.1713855</v>
      </c>
      <c r="U2094">
        <v>-8.1481929999999994E-2</v>
      </c>
      <c r="V2094">
        <v>-4.2167740000000004E-3</v>
      </c>
      <c r="W2094">
        <v>-6.2622860000000002E-2</v>
      </c>
      <c r="X2094">
        <v>0.99802829999999998</v>
      </c>
      <c r="Y2094">
        <v>-3.3750040000000002E-2</v>
      </c>
      <c r="Z2094">
        <v>-1.4857259999999999E-3</v>
      </c>
      <c r="AA2094">
        <v>0.99942920000000002</v>
      </c>
      <c r="AB2094">
        <v>25</v>
      </c>
      <c r="AC2094">
        <v>-19.351799999999901</v>
      </c>
      <c r="AD2094">
        <v>-1.121104446893</v>
      </c>
      <c r="AE2094">
        <v>-0.53449999999997999</v>
      </c>
      <c r="AF2094">
        <v>-0.66076599236784195</v>
      </c>
      <c r="AG2094">
        <v>-1.121104446893</v>
      </c>
      <c r="AH2094">
        <v>19.2831553563264</v>
      </c>
      <c r="AI2094">
        <v>93.325429499815101</v>
      </c>
      <c r="AJ2094">
        <v>91.962557184568794</v>
      </c>
      <c r="AK2094">
        <v>19.3270165150686</v>
      </c>
      <c r="AL2094">
        <v>93.590375069558604</v>
      </c>
      <c r="AM2094">
        <v>90.242079223318996</v>
      </c>
      <c r="AN2094">
        <v>0.99999994568921602</v>
      </c>
    </row>
    <row r="2095" spans="1:40" x14ac:dyDescent="0.25">
      <c r="A2095" t="str">
        <f>"20190303154505761"</f>
        <v>20190303154505761</v>
      </c>
      <c r="B2095" t="str">
        <f>"1551599105752962"</f>
        <v>1551599105752962</v>
      </c>
      <c r="C2095" t="s">
        <v>40</v>
      </c>
      <c r="D2095">
        <v>4.4328810000000001</v>
      </c>
      <c r="E2095">
        <v>0.49914330000000001</v>
      </c>
      <c r="F2095" t="s">
        <v>54</v>
      </c>
      <c r="G2095">
        <v>-471.3021</v>
      </c>
      <c r="H2095" s="1">
        <v>6.0167289999999997E-6</v>
      </c>
      <c r="I2095">
        <v>284.3879</v>
      </c>
      <c r="J2095">
        <v>-450.92450000000002</v>
      </c>
      <c r="K2095">
        <v>1.1211089999999999</v>
      </c>
      <c r="L2095">
        <v>284.58580000000001</v>
      </c>
      <c r="M2095">
        <v>-0.99988290000000002</v>
      </c>
      <c r="N2095">
        <v>-1.383155E-2</v>
      </c>
      <c r="O2095">
        <v>6.5656550000000001E-3</v>
      </c>
      <c r="P2095">
        <v>-0.99711689999999997</v>
      </c>
      <c r="Q2095">
        <v>-7.5849959999999994E-2</v>
      </c>
      <c r="R2095">
        <v>2.1945900000000002E-3</v>
      </c>
      <c r="S2095">
        <v>-2.9963679999999999</v>
      </c>
      <c r="T2095">
        <v>-0.16284849999999901</v>
      </c>
      <c r="U2095">
        <v>-2.8503420000000002E-2</v>
      </c>
      <c r="V2095">
        <v>-4.347325E-3</v>
      </c>
      <c r="W2095">
        <v>-6.2051509999999997E-2</v>
      </c>
      <c r="X2095">
        <v>0.99806349999999999</v>
      </c>
      <c r="Y2095">
        <v>-1.6042910000000001E-2</v>
      </c>
      <c r="Z2095">
        <v>-8.1248170000000001E-4</v>
      </c>
      <c r="AA2095">
        <v>0.99987099999999995</v>
      </c>
      <c r="AB2095">
        <v>25</v>
      </c>
      <c r="AC2095">
        <v>-20.377599999999902</v>
      </c>
      <c r="AD2095">
        <v>-1.121102983271</v>
      </c>
      <c r="AE2095">
        <v>-0.19790000000000399</v>
      </c>
      <c r="AF2095">
        <v>-0.33069993819392002</v>
      </c>
      <c r="AG2095">
        <v>-1.121102983271</v>
      </c>
      <c r="AH2095">
        <v>20.314379289083298</v>
      </c>
      <c r="AI2095">
        <v>93.158397852538698</v>
      </c>
      <c r="AJ2095">
        <v>90.932641700100405</v>
      </c>
      <c r="AK2095">
        <v>20.347978775518701</v>
      </c>
      <c r="AL2095">
        <v>93.557575069802098</v>
      </c>
      <c r="AM2095">
        <v>90.249565082214502</v>
      </c>
      <c r="AN2095">
        <v>1.00000001958009</v>
      </c>
    </row>
    <row r="2096" spans="1:40" x14ac:dyDescent="0.25">
      <c r="A2096" t="str">
        <f>"20190303154505784"</f>
        <v>20190303154505784</v>
      </c>
      <c r="B2096" t="str">
        <f>"1551599105772468"</f>
        <v>1551599105772468</v>
      </c>
      <c r="C2096" t="s">
        <v>40</v>
      </c>
      <c r="D2096">
        <v>4.3961069999999998</v>
      </c>
      <c r="E2096">
        <v>0.50114700000000001</v>
      </c>
      <c r="F2096" t="s">
        <v>54</v>
      </c>
      <c r="G2096">
        <v>-472.45580000000001</v>
      </c>
      <c r="H2096" s="1">
        <v>5.5214250000000002E-6</v>
      </c>
      <c r="I2096">
        <v>284.57479999999998</v>
      </c>
      <c r="J2096">
        <v>-451.18029999999999</v>
      </c>
      <c r="K2096">
        <v>1.1211169999999999</v>
      </c>
      <c r="L2096">
        <v>284.58730000000003</v>
      </c>
      <c r="M2096">
        <v>-0.99988319999999997</v>
      </c>
      <c r="N2096">
        <v>-1.383588E-2</v>
      </c>
      <c r="O2096">
        <v>6.4971450000000002E-3</v>
      </c>
      <c r="P2096">
        <v>-0.99714579999999997</v>
      </c>
      <c r="Q2096">
        <v>-7.5464729999999994E-2</v>
      </c>
      <c r="R2096">
        <v>2.353029E-3</v>
      </c>
      <c r="S2096">
        <v>-2.9967959999999998</v>
      </c>
      <c r="T2096">
        <v>-0.15603889999999901</v>
      </c>
      <c r="U2096">
        <v>-1.525879E-3</v>
      </c>
      <c r="V2096">
        <v>-4.1218419999999997E-3</v>
      </c>
      <c r="W2096">
        <v>-6.1661519999999997E-2</v>
      </c>
      <c r="X2096">
        <v>0.99808859999999999</v>
      </c>
      <c r="Y2096">
        <v>-6.9901909999999998E-3</v>
      </c>
      <c r="Z2096">
        <v>-4.784756E-4</v>
      </c>
      <c r="AA2096">
        <v>0.99997539999999996</v>
      </c>
      <c r="AB2096">
        <v>25</v>
      </c>
      <c r="AC2096">
        <v>-21.275500000000001</v>
      </c>
      <c r="AD2096">
        <v>-1.1211114785749901</v>
      </c>
      <c r="AE2096">
        <v>-1.25000000000454E-2</v>
      </c>
      <c r="AF2096">
        <v>-0.150325555679727</v>
      </c>
      <c r="AG2096">
        <v>-1.1211114785749901</v>
      </c>
      <c r="AH2096">
        <v>21.216057796983499</v>
      </c>
      <c r="AI2096">
        <v>93.024768324131401</v>
      </c>
      <c r="AJ2096">
        <v>90.405960232802599</v>
      </c>
      <c r="AK2096">
        <v>21.246190180007101</v>
      </c>
      <c r="AL2096">
        <v>93.535187511805006</v>
      </c>
      <c r="AM2096">
        <v>90.236615073914905</v>
      </c>
      <c r="AN2096">
        <v>0.99999999304007103</v>
      </c>
    </row>
    <row r="2097" spans="1:40" x14ac:dyDescent="0.25">
      <c r="A2097" t="str">
        <f>"20190303154505806"</f>
        <v>20190303154505806</v>
      </c>
      <c r="B2097" t="str">
        <f>"1551599105802724"</f>
        <v>1551599105802724</v>
      </c>
      <c r="C2097" t="s">
        <v>40</v>
      </c>
      <c r="D2097">
        <v>4.3927500000000004</v>
      </c>
      <c r="E2097">
        <v>0.50284149999999905</v>
      </c>
      <c r="F2097" t="s">
        <v>54</v>
      </c>
      <c r="G2097">
        <v>-473.30239999999998</v>
      </c>
      <c r="H2097" s="1">
        <v>5.1567899999999996E-6</v>
      </c>
      <c r="I2097">
        <v>284.69810000000001</v>
      </c>
      <c r="J2097">
        <v>-451.42540000000002</v>
      </c>
      <c r="K2097">
        <v>1.1211139999999999</v>
      </c>
      <c r="L2097">
        <v>284.58879999999999</v>
      </c>
      <c r="M2097">
        <v>-0.99988370000000004</v>
      </c>
      <c r="N2097">
        <v>-1.3839000000000001E-2</v>
      </c>
      <c r="O2097">
        <v>6.4355039999999999E-3</v>
      </c>
      <c r="P2097">
        <v>-0.99714400000000003</v>
      </c>
      <c r="Q2097">
        <v>-7.5508309999999995E-2</v>
      </c>
      <c r="R2097">
        <v>1.6734919999999999E-3</v>
      </c>
      <c r="S2097">
        <v>-2.9970699999999999</v>
      </c>
      <c r="T2097">
        <v>-0.15188689999999999</v>
      </c>
      <c r="U2097">
        <v>1.5014649999999999E-2</v>
      </c>
      <c r="V2097">
        <v>-4.7400569999999998E-3</v>
      </c>
      <c r="W2097">
        <v>-6.1702060000000003E-2</v>
      </c>
      <c r="X2097">
        <v>0.99808339999999995</v>
      </c>
      <c r="Y2097">
        <v>-1.4197459999999999E-3</v>
      </c>
      <c r="Z2097">
        <v>-2.826878E-4</v>
      </c>
      <c r="AA2097">
        <v>0.99999890000000002</v>
      </c>
      <c r="AB2097">
        <v>25</v>
      </c>
      <c r="AC2097">
        <v>-21.876999999999899</v>
      </c>
      <c r="AD2097">
        <v>-1.12110884321</v>
      </c>
      <c r="AE2097">
        <v>0.10930000000001799</v>
      </c>
      <c r="AF2097">
        <v>-3.1422725358304197E-2</v>
      </c>
      <c r="AG2097">
        <v>-1.12110884321</v>
      </c>
      <c r="AH2097">
        <v>21.819949256072299</v>
      </c>
      <c r="AI2097">
        <v>92.941267310140205</v>
      </c>
      <c r="AJ2097">
        <v>90.082511113023898</v>
      </c>
      <c r="AK2097">
        <v>21.8487541512912</v>
      </c>
      <c r="AL2097">
        <v>93.537514537593907</v>
      </c>
      <c r="AM2097">
        <v>90.272104734889496</v>
      </c>
      <c r="AN2097">
        <v>1.0000000428520801</v>
      </c>
    </row>
    <row r="2098" spans="1:40" x14ac:dyDescent="0.25">
      <c r="A2098" t="str">
        <f>"20190303154505829"</f>
        <v>20190303154505829</v>
      </c>
      <c r="B2098" t="str">
        <f>"1551599105822244"</f>
        <v>1551599105822244</v>
      </c>
      <c r="C2098" t="s">
        <v>40</v>
      </c>
      <c r="D2098">
        <v>4.3753310000000001</v>
      </c>
      <c r="E2098">
        <v>0.50359759999999998</v>
      </c>
      <c r="F2098" t="s">
        <v>54</v>
      </c>
      <c r="G2098">
        <v>-473.94380000000001</v>
      </c>
      <c r="H2098" s="1">
        <v>4.8800860000000001E-6</v>
      </c>
      <c r="I2098">
        <v>284.7867</v>
      </c>
      <c r="J2098">
        <v>-451.68299999999999</v>
      </c>
      <c r="K2098">
        <v>1.1211089999999999</v>
      </c>
      <c r="L2098">
        <v>284.59039999999999</v>
      </c>
      <c r="M2098">
        <v>-0.99988390000000005</v>
      </c>
      <c r="N2098">
        <v>-1.3841559999999999E-2</v>
      </c>
      <c r="O2098">
        <v>6.3772759999999899E-3</v>
      </c>
      <c r="P2098">
        <v>-0.99712330000000005</v>
      </c>
      <c r="Q2098">
        <v>-7.5785399999999906E-2</v>
      </c>
      <c r="R2098">
        <v>1.2977679999999999E-3</v>
      </c>
      <c r="S2098">
        <v>-2.9972840000000001</v>
      </c>
      <c r="T2098">
        <v>-0.14922340000000001</v>
      </c>
      <c r="U2098">
        <v>2.633667E-2</v>
      </c>
      <c r="V2098">
        <v>-5.0588389999999999E-3</v>
      </c>
      <c r="W2098">
        <v>-6.1976820000000002E-2</v>
      </c>
      <c r="X2098">
        <v>0.99806479999999997</v>
      </c>
      <c r="Y2098">
        <v>2.4089889999999998E-3</v>
      </c>
      <c r="Z2098">
        <v>-1.524431E-4</v>
      </c>
      <c r="AA2098">
        <v>0.99999709999999997</v>
      </c>
      <c r="AB2098">
        <v>25</v>
      </c>
      <c r="AC2098">
        <v>-22.2607999999999</v>
      </c>
      <c r="AD2098">
        <v>-1.1211041199139999</v>
      </c>
      <c r="AE2098">
        <v>0.196300000000007</v>
      </c>
      <c r="AF2098">
        <v>5.4181732230649197E-2</v>
      </c>
      <c r="AG2098">
        <v>-1.1211041199139999</v>
      </c>
      <c r="AH2098">
        <v>22.205283075029001</v>
      </c>
      <c r="AI2098">
        <v>92.890296318754196</v>
      </c>
      <c r="AJ2098">
        <v>89.860196404066897</v>
      </c>
      <c r="AK2098">
        <v>22.233632329198102</v>
      </c>
      <c r="AL2098">
        <v>93.553287352964503</v>
      </c>
      <c r="AM2098">
        <v>90.290409642516295</v>
      </c>
      <c r="AN2098">
        <v>1.0000000315341799</v>
      </c>
    </row>
    <row r="2099" spans="1:40" x14ac:dyDescent="0.25">
      <c r="A2099" t="str">
        <f>"20190303154505850"</f>
        <v>20190303154505850</v>
      </c>
      <c r="B2099" t="str">
        <f>"1551599105842740"</f>
        <v>1551599105842740</v>
      </c>
      <c r="C2099" t="s">
        <v>40</v>
      </c>
      <c r="D2099">
        <v>4.3794389999999996</v>
      </c>
      <c r="E2099">
        <v>0.50416450000000002</v>
      </c>
      <c r="F2099" t="s">
        <v>54</v>
      </c>
      <c r="G2099">
        <v>-474.3972</v>
      </c>
      <c r="H2099" s="1">
        <v>4.6825789999999999E-6</v>
      </c>
      <c r="I2099">
        <v>284.8272</v>
      </c>
      <c r="J2099">
        <v>-451.91919999999999</v>
      </c>
      <c r="K2099">
        <v>1.121105</v>
      </c>
      <c r="L2099">
        <v>284.59190000000001</v>
      </c>
      <c r="M2099">
        <v>-0.9998842</v>
      </c>
      <c r="N2099">
        <v>-1.384324E-2</v>
      </c>
      <c r="O2099">
        <v>6.3308009999999996E-3</v>
      </c>
      <c r="P2099">
        <v>-0.99712330000000005</v>
      </c>
      <c r="Q2099">
        <v>-7.5786049999999994E-2</v>
      </c>
      <c r="R2099">
        <v>1.294405E-3</v>
      </c>
      <c r="S2099">
        <v>-2.9973749999999999</v>
      </c>
      <c r="T2099">
        <v>-0.1479414</v>
      </c>
      <c r="U2099">
        <v>3.125E-2</v>
      </c>
      <c r="V2099">
        <v>-5.0164820000000001E-3</v>
      </c>
      <c r="W2099">
        <v>-6.1975750000000003E-2</v>
      </c>
      <c r="X2099">
        <v>0.99806510000000004</v>
      </c>
      <c r="Y2099">
        <v>4.0915589999999998E-3</v>
      </c>
      <c r="Z2099" s="1">
        <v>-9.5409249999999998E-5</v>
      </c>
      <c r="AA2099">
        <v>0.99999159999999998</v>
      </c>
      <c r="AB2099">
        <v>25</v>
      </c>
      <c r="AC2099">
        <v>-22.478000000000002</v>
      </c>
      <c r="AD2099">
        <v>-1.1211003174209999</v>
      </c>
      <c r="AE2099">
        <v>0.23529999999999501</v>
      </c>
      <c r="AF2099">
        <v>9.2747221766027704E-2</v>
      </c>
      <c r="AG2099">
        <v>-1.1211003174209999</v>
      </c>
      <c r="AH2099">
        <v>22.423266125935601</v>
      </c>
      <c r="AI2099">
        <v>92.862220235817205</v>
      </c>
      <c r="AJ2099">
        <v>89.763014271213805</v>
      </c>
      <c r="AK2099">
        <v>22.451466137501999</v>
      </c>
      <c r="AL2099">
        <v>93.553225858224906</v>
      </c>
      <c r="AM2099">
        <v>90.2879780349718</v>
      </c>
      <c r="AN2099">
        <v>1.00000005125886</v>
      </c>
    </row>
    <row r="2100" spans="1:40" x14ac:dyDescent="0.25">
      <c r="A2100" t="str">
        <f>"20190303154505887"</f>
        <v>20190303154505887</v>
      </c>
      <c r="B2100" t="str">
        <f>"1551599105882287"</f>
        <v>1551599105882287</v>
      </c>
      <c r="C2100" t="s">
        <v>40</v>
      </c>
      <c r="D2100">
        <v>4.3731869999999997</v>
      </c>
      <c r="E2100">
        <v>0.50504609999999905</v>
      </c>
      <c r="F2100" t="s">
        <v>54</v>
      </c>
      <c r="G2100">
        <v>-474.65940000000001</v>
      </c>
      <c r="H2100" s="1">
        <v>4.569443E-6</v>
      </c>
      <c r="I2100">
        <v>284.86329999999998</v>
      </c>
      <c r="J2100">
        <v>-452.31049999999999</v>
      </c>
      <c r="K2100">
        <v>1.1210910000000001</v>
      </c>
      <c r="L2100">
        <v>284.59429999999998</v>
      </c>
      <c r="M2100">
        <v>-0.99988449999999995</v>
      </c>
      <c r="N2100">
        <v>-1.384489E-2</v>
      </c>
      <c r="O2100">
        <v>6.2733160000000001E-3</v>
      </c>
      <c r="P2100">
        <v>-0.99708750000000002</v>
      </c>
      <c r="Q2100">
        <v>-7.6261759999999998E-2</v>
      </c>
      <c r="R2100">
        <v>1.0260219999999999E-3</v>
      </c>
      <c r="S2100">
        <v>-2.9973450000000001</v>
      </c>
      <c r="T2100">
        <v>-0.14777029999999999</v>
      </c>
      <c r="U2100">
        <v>3.5766600000000003E-2</v>
      </c>
      <c r="V2100">
        <v>-5.2281100000000002E-3</v>
      </c>
      <c r="W2100">
        <v>-6.2450150000000003E-2</v>
      </c>
      <c r="X2100">
        <v>0.99803439999999999</v>
      </c>
      <c r="Y2100">
        <v>5.653351E-3</v>
      </c>
      <c r="Z2100" s="1">
        <v>-4.3820709999999999E-5</v>
      </c>
      <c r="AA2100">
        <v>0.99998399999999998</v>
      </c>
      <c r="AB2100">
        <v>25</v>
      </c>
      <c r="AC2100">
        <v>-22.3489</v>
      </c>
      <c r="AD2100">
        <v>-1.1210864305570001</v>
      </c>
      <c r="AE2100">
        <v>0.26900000000000501</v>
      </c>
      <c r="AF2100">
        <v>0.12845636777303199</v>
      </c>
      <c r="AG2100">
        <v>-1.1210864305570001</v>
      </c>
      <c r="AH2100">
        <v>22.294056972658598</v>
      </c>
      <c r="AI2100">
        <v>92.878722194979503</v>
      </c>
      <c r="AJ2100">
        <v>89.669870482262894</v>
      </c>
      <c r="AK2100">
        <v>22.3225964467252</v>
      </c>
      <c r="AL2100">
        <v>93.580459881254797</v>
      </c>
      <c r="AM2100">
        <v>90.300135844930196</v>
      </c>
      <c r="AN2100">
        <v>1.0000000089762699</v>
      </c>
    </row>
    <row r="2101" spans="1:40" x14ac:dyDescent="0.25">
      <c r="A2101" t="str">
        <f>"20190303154505908"</f>
        <v>20190303154505908</v>
      </c>
      <c r="B2101" t="str">
        <f>"1551599105902782"</f>
        <v>1551599105902782</v>
      </c>
      <c r="C2101" t="s">
        <v>40</v>
      </c>
      <c r="D2101">
        <v>4.3407070000000001</v>
      </c>
      <c r="E2101">
        <v>0.50539049999999996</v>
      </c>
      <c r="F2101" t="s">
        <v>54</v>
      </c>
      <c r="G2101">
        <v>-475.09379999999999</v>
      </c>
      <c r="H2101" s="1">
        <v>4.3811289999999996E-6</v>
      </c>
      <c r="I2101">
        <v>284.91250000000002</v>
      </c>
      <c r="J2101">
        <v>-452.5616</v>
      </c>
      <c r="K2101">
        <v>1.1210869999999999</v>
      </c>
      <c r="L2101">
        <v>284.5958</v>
      </c>
      <c r="M2101">
        <v>-0.99988469999999996</v>
      </c>
      <c r="N2101">
        <v>-1.384519E-2</v>
      </c>
      <c r="O2101">
        <v>6.2497109999999998E-3</v>
      </c>
      <c r="P2101">
        <v>-0.99704919999999997</v>
      </c>
      <c r="Q2101">
        <v>-7.6758309999999996E-2</v>
      </c>
      <c r="R2101">
        <v>1.0216960000000001E-3</v>
      </c>
      <c r="S2101">
        <v>-2.9974669999999999</v>
      </c>
      <c r="T2101">
        <v>-0.1474954</v>
      </c>
      <c r="U2101">
        <v>4.1870119999999997E-2</v>
      </c>
      <c r="V2101">
        <v>-5.2103380000000001E-3</v>
      </c>
      <c r="W2101">
        <v>-6.2946810000000006E-2</v>
      </c>
      <c r="X2101">
        <v>0.99800330000000004</v>
      </c>
      <c r="Y2101">
        <v>7.7091169999999997E-3</v>
      </c>
      <c r="Z2101" s="1">
        <v>2.2130039999999999E-5</v>
      </c>
      <c r="AA2101">
        <v>0.99997029999999998</v>
      </c>
      <c r="AB2101">
        <v>25</v>
      </c>
      <c r="AC2101">
        <v>-22.5321999999999</v>
      </c>
      <c r="AD2101">
        <v>-1.1210826188709999</v>
      </c>
      <c r="AE2101">
        <v>0.31670000000002502</v>
      </c>
      <c r="AF2101">
        <v>0.17542640080767199</v>
      </c>
      <c r="AG2101">
        <v>-1.1210826188709999</v>
      </c>
      <c r="AH2101">
        <v>22.4781051295741</v>
      </c>
      <c r="AI2101">
        <v>92.855141529869798</v>
      </c>
      <c r="AJ2101">
        <v>89.552854287905504</v>
      </c>
      <c r="AK2101">
        <v>22.506728124643502</v>
      </c>
      <c r="AL2101">
        <v>93.608972469921596</v>
      </c>
      <c r="AM2101">
        <v>90.299124927740493</v>
      </c>
      <c r="AN2101">
        <v>1.0000000176610699</v>
      </c>
    </row>
    <row r="2102" spans="1:40" x14ac:dyDescent="0.25">
      <c r="A2102" t="str">
        <f>"20190303154505929"</f>
        <v>20190303154505929</v>
      </c>
      <c r="B2102" t="str">
        <f>"1551599105922302"</f>
        <v>1551599105922302</v>
      </c>
      <c r="C2102" t="s">
        <v>40</v>
      </c>
      <c r="D2102">
        <v>4.3305720000000001</v>
      </c>
      <c r="E2102">
        <v>0.50575079999999994</v>
      </c>
      <c r="F2102" t="s">
        <v>54</v>
      </c>
      <c r="G2102">
        <v>-475.15620000000001</v>
      </c>
      <c r="H2102" s="1">
        <v>4.3553310000000003E-6</v>
      </c>
      <c r="I2102">
        <v>284.93419999999998</v>
      </c>
      <c r="J2102">
        <v>-452.79309999999998</v>
      </c>
      <c r="K2102">
        <v>1.1210880000000001</v>
      </c>
      <c r="L2102">
        <v>284.59730000000002</v>
      </c>
      <c r="M2102">
        <v>-0.99988469999999996</v>
      </c>
      <c r="N2102">
        <v>-1.3845069999999999E-2</v>
      </c>
      <c r="O2102">
        <v>6.2353950000000003E-3</v>
      </c>
      <c r="P2102">
        <v>-0.99704899999999996</v>
      </c>
      <c r="Q2102">
        <v>-7.6761010000000005E-2</v>
      </c>
      <c r="R2102">
        <v>1.017579E-3</v>
      </c>
      <c r="S2102">
        <v>-2.9973450000000001</v>
      </c>
      <c r="T2102">
        <v>-0.1487203</v>
      </c>
      <c r="U2102">
        <v>4.4891359999999998E-2</v>
      </c>
      <c r="V2102">
        <v>-5.2008200000000001E-3</v>
      </c>
      <c r="W2102">
        <v>-6.2949560000000002E-2</v>
      </c>
      <c r="X2102">
        <v>0.99800319999999998</v>
      </c>
      <c r="Y2102">
        <v>8.7300260000000001E-3</v>
      </c>
      <c r="Z2102" s="1">
        <v>5.4043609999999999E-5</v>
      </c>
      <c r="AA2102">
        <v>0.99996189999999996</v>
      </c>
      <c r="AB2102">
        <v>25</v>
      </c>
      <c r="AC2102">
        <v>-22.363099999999999</v>
      </c>
      <c r="AD2102">
        <v>-1.12108364466899</v>
      </c>
      <c r="AE2102">
        <v>0.33689999999995701</v>
      </c>
      <c r="AF2102">
        <v>0.19694249298436001</v>
      </c>
      <c r="AG2102">
        <v>-1.12108364466899</v>
      </c>
      <c r="AH2102">
        <v>22.308714478132401</v>
      </c>
      <c r="AI2102">
        <v>92.876762593315505</v>
      </c>
      <c r="AJ2102">
        <v>89.4942030145845</v>
      </c>
      <c r="AK2102">
        <v>22.337733917090201</v>
      </c>
      <c r="AL2102">
        <v>93.609130260545399</v>
      </c>
      <c r="AM2102">
        <v>90.298578540232896</v>
      </c>
      <c r="AN2102">
        <v>1.00000004142155</v>
      </c>
    </row>
    <row r="2103" spans="1:40" x14ac:dyDescent="0.25">
      <c r="A2103" t="str">
        <f>"20190303154505951"</f>
        <v>20190303154505951</v>
      </c>
      <c r="B2103" t="str">
        <f>"1551599105942798"</f>
        <v>1551599105942798</v>
      </c>
      <c r="C2103" t="s">
        <v>40</v>
      </c>
      <c r="D2103">
        <v>4.319858</v>
      </c>
      <c r="E2103">
        <v>0.50605889999999998</v>
      </c>
      <c r="F2103" t="s">
        <v>54</v>
      </c>
      <c r="G2103">
        <v>-475.53390000000002</v>
      </c>
      <c r="H2103" s="1">
        <v>4.1901239999999997E-6</v>
      </c>
      <c r="I2103">
        <v>284.96030000000002</v>
      </c>
      <c r="J2103">
        <v>-453.04050000000001</v>
      </c>
      <c r="K2103">
        <v>1.1210869999999999</v>
      </c>
      <c r="L2103">
        <v>284.59879999999998</v>
      </c>
      <c r="M2103">
        <v>-0.99988480000000002</v>
      </c>
      <c r="N2103">
        <v>-1.38446E-2</v>
      </c>
      <c r="O2103">
        <v>6.2281069999999897E-3</v>
      </c>
      <c r="P2103">
        <v>-0.99700869999999997</v>
      </c>
      <c r="Q2103">
        <v>-7.7276830000000005E-2</v>
      </c>
      <c r="R2103">
        <v>1.455544E-3</v>
      </c>
      <c r="S2103">
        <v>-2.9974669999999999</v>
      </c>
      <c r="T2103">
        <v>-0.14777019999999999</v>
      </c>
      <c r="U2103">
        <v>4.7851560000000001E-2</v>
      </c>
      <c r="V2103">
        <v>-4.7561870000000003E-3</v>
      </c>
      <c r="W2103">
        <v>-6.3466259999999997E-2</v>
      </c>
      <c r="X2103">
        <v>0.99797270000000005</v>
      </c>
      <c r="Y2103">
        <v>9.7225320000000007E-3</v>
      </c>
      <c r="Z2103" s="1">
        <v>8.6217800000000007E-5</v>
      </c>
      <c r="AA2103">
        <v>0.99995270000000003</v>
      </c>
      <c r="AB2103">
        <v>25</v>
      </c>
      <c r="AC2103">
        <v>-22.493400000000001</v>
      </c>
      <c r="AD2103">
        <v>-1.121082809876</v>
      </c>
      <c r="AE2103">
        <v>0.36150000000003402</v>
      </c>
      <c r="AF2103">
        <v>0.22083982131522301</v>
      </c>
      <c r="AG2103">
        <v>-1.121082809876</v>
      </c>
      <c r="AH2103">
        <v>22.439488298245099</v>
      </c>
      <c r="AI2103">
        <v>92.859996051316898</v>
      </c>
      <c r="AJ2103">
        <v>89.436137711756103</v>
      </c>
      <c r="AK2103">
        <v>22.468560968169701</v>
      </c>
      <c r="AL2103">
        <v>93.638794279162894</v>
      </c>
      <c r="AM2103">
        <v>90.273060954979499</v>
      </c>
      <c r="AN2103">
        <v>1.00000004870922</v>
      </c>
    </row>
    <row r="2104" spans="1:40" x14ac:dyDescent="0.25">
      <c r="A2104" t="str">
        <f>"20190303154505974"</f>
        <v>20190303154505974</v>
      </c>
      <c r="B2104" t="str">
        <f>"1551599105962825"</f>
        <v>1551599105962825</v>
      </c>
      <c r="C2104" t="s">
        <v>40</v>
      </c>
      <c r="D2104">
        <v>4.3277070000000002</v>
      </c>
      <c r="E2104">
        <v>0.50633099999999998</v>
      </c>
      <c r="F2104" t="s">
        <v>54</v>
      </c>
      <c r="G2104">
        <v>-475.64699999999999</v>
      </c>
      <c r="H2104" s="1">
        <v>4.1424039999999996E-6</v>
      </c>
      <c r="I2104">
        <v>284.98829999999998</v>
      </c>
      <c r="J2104">
        <v>-453.29239999999999</v>
      </c>
      <c r="K2104">
        <v>1.121081</v>
      </c>
      <c r="L2104">
        <v>284.60039999999998</v>
      </c>
      <c r="M2104">
        <v>-0.99988480000000002</v>
      </c>
      <c r="N2104">
        <v>-1.384383E-2</v>
      </c>
      <c r="O2104">
        <v>6.2269959999999899E-3</v>
      </c>
      <c r="P2104">
        <v>-0.99704020000000004</v>
      </c>
      <c r="Q2104">
        <v>-7.685293E-2</v>
      </c>
      <c r="R2104">
        <v>2.201606E-3</v>
      </c>
      <c r="S2104">
        <v>-2.9974059999999998</v>
      </c>
      <c r="T2104">
        <v>-0.14864469999999999</v>
      </c>
      <c r="U2104">
        <v>5.1635739999999999E-2</v>
      </c>
      <c r="V2104">
        <v>-4.010128E-3</v>
      </c>
      <c r="W2104">
        <v>-6.3042639999999997E-2</v>
      </c>
      <c r="X2104">
        <v>0.99800279999999997</v>
      </c>
      <c r="Y2104">
        <v>1.0983959999999999E-2</v>
      </c>
      <c r="Z2104">
        <v>1.2584599999999999E-4</v>
      </c>
      <c r="AA2104">
        <v>0.99993969999999999</v>
      </c>
      <c r="AB2104">
        <v>25</v>
      </c>
      <c r="AC2104">
        <v>-22.354600000000001</v>
      </c>
      <c r="AD2104">
        <v>-1.121076857596</v>
      </c>
      <c r="AE2104">
        <v>0.38790000000000102</v>
      </c>
      <c r="AF2104">
        <v>0.24805346972166101</v>
      </c>
      <c r="AG2104">
        <v>-1.121076857596</v>
      </c>
      <c r="AH2104">
        <v>22.300513413487199</v>
      </c>
      <c r="AI2104">
        <v>92.877735586886004</v>
      </c>
      <c r="AJ2104">
        <v>89.362712842514298</v>
      </c>
      <c r="AK2104">
        <v>22.330052448429299</v>
      </c>
      <c r="AL2104">
        <v>93.614474034873993</v>
      </c>
      <c r="AM2104">
        <v>90.230221972490099</v>
      </c>
      <c r="AN2104">
        <v>1.0000000221962899</v>
      </c>
    </row>
    <row r="2105" spans="1:40" x14ac:dyDescent="0.25">
      <c r="A2105" t="str">
        <f>"20190303154505996"</f>
        <v>20190303154505996</v>
      </c>
      <c r="B2105" t="str">
        <f>"1551599105993082"</f>
        <v>1551599105993082</v>
      </c>
      <c r="C2105" t="s">
        <v>40</v>
      </c>
      <c r="D2105">
        <v>4.2941089999999997</v>
      </c>
      <c r="E2105">
        <v>0.50649670000000002</v>
      </c>
      <c r="F2105" t="s">
        <v>54</v>
      </c>
      <c r="G2105">
        <v>-476.11799999999999</v>
      </c>
      <c r="H2105" s="1">
        <v>3.9369099999999901E-6</v>
      </c>
      <c r="I2105">
        <v>285.02659999999997</v>
      </c>
      <c r="J2105">
        <v>-453.54039999999998</v>
      </c>
      <c r="K2105">
        <v>1.121078</v>
      </c>
      <c r="L2105">
        <v>284.6019</v>
      </c>
      <c r="M2105">
        <v>-0.99988480000000002</v>
      </c>
      <c r="N2105">
        <v>-1.3842780000000001E-2</v>
      </c>
      <c r="O2105">
        <v>6.2295550000000003E-3</v>
      </c>
      <c r="P2105">
        <v>-0.99706249999999996</v>
      </c>
      <c r="Q2105">
        <v>-7.6546009999999998E-2</v>
      </c>
      <c r="R2105">
        <v>2.7288E-3</v>
      </c>
      <c r="S2105">
        <v>-2.9974669999999999</v>
      </c>
      <c r="T2105">
        <v>-0.1472204</v>
      </c>
      <c r="U2105">
        <v>5.5969240000000003E-2</v>
      </c>
      <c r="V2105">
        <v>-3.48577E-3</v>
      </c>
      <c r="W2105">
        <v>-6.2736420000000001E-2</v>
      </c>
      <c r="X2105">
        <v>0.99802400000000002</v>
      </c>
      <c r="Y2105">
        <v>1.242417E-2</v>
      </c>
      <c r="Z2105">
        <v>1.714144E-4</v>
      </c>
      <c r="AA2105">
        <v>0.9999228</v>
      </c>
      <c r="AB2105">
        <v>25</v>
      </c>
      <c r="AC2105">
        <v>-22.5776</v>
      </c>
      <c r="AD2105">
        <v>-1.12107406309</v>
      </c>
      <c r="AE2105">
        <v>0.42469999999997199</v>
      </c>
      <c r="AF2105">
        <v>0.28333156220183298</v>
      </c>
      <c r="AG2105">
        <v>-1.12107406309</v>
      </c>
      <c r="AH2105">
        <v>22.524292738705402</v>
      </c>
      <c r="AI2105">
        <v>92.849136412841105</v>
      </c>
      <c r="AJ2105">
        <v>89.279318255651503</v>
      </c>
      <c r="AK2105">
        <v>22.553954136868601</v>
      </c>
      <c r="AL2105">
        <v>93.596894357654804</v>
      </c>
      <c r="AM2105">
        <v>90.200114523546404</v>
      </c>
      <c r="AN2105">
        <v>0.99999995678145304</v>
      </c>
    </row>
    <row r="2106" spans="1:40" x14ac:dyDescent="0.25">
      <c r="A2106" t="str">
        <f>"20190303154506019"</f>
        <v>20190303154506019</v>
      </c>
      <c r="B2106" t="str">
        <f>"1551599106012602"</f>
        <v>1551599106012602</v>
      </c>
      <c r="C2106" t="s">
        <v>40</v>
      </c>
      <c r="D2106">
        <v>4.2946289999999996</v>
      </c>
      <c r="E2106">
        <v>0.50656880000000004</v>
      </c>
      <c r="F2106" t="s">
        <v>54</v>
      </c>
      <c r="G2106">
        <v>-476.63440000000003</v>
      </c>
      <c r="H2106" s="1">
        <v>3.7103849999999999E-6</v>
      </c>
      <c r="I2106">
        <v>285.05500000000001</v>
      </c>
      <c r="J2106">
        <v>-453.78809999999999</v>
      </c>
      <c r="K2106">
        <v>1.121081</v>
      </c>
      <c r="L2106">
        <v>284.6035</v>
      </c>
      <c r="M2106">
        <v>-0.99988480000000002</v>
      </c>
      <c r="N2106">
        <v>-1.384149E-2</v>
      </c>
      <c r="O2106">
        <v>6.2342930000000001E-3</v>
      </c>
      <c r="P2106">
        <v>-0.99707449999999997</v>
      </c>
      <c r="Q2106">
        <v>-7.6370499999999994E-2</v>
      </c>
      <c r="R2106">
        <v>3.153112E-3</v>
      </c>
      <c r="S2106">
        <v>-2.9974980000000002</v>
      </c>
      <c r="T2106">
        <v>-0.14551069999999999</v>
      </c>
      <c r="U2106">
        <v>5.8807369999999998E-2</v>
      </c>
      <c r="V2106">
        <v>-3.0670160000000001E-3</v>
      </c>
      <c r="W2106">
        <v>-6.2562049999999994E-2</v>
      </c>
      <c r="X2106">
        <v>0.99803640000000005</v>
      </c>
      <c r="Y2106">
        <v>1.33645E-2</v>
      </c>
      <c r="Z2106">
        <v>2.0056570000000001E-4</v>
      </c>
      <c r="AA2106">
        <v>0.99991070000000004</v>
      </c>
      <c r="AB2106">
        <v>25</v>
      </c>
      <c r="AC2106">
        <v>-22.846299999999999</v>
      </c>
      <c r="AD2106">
        <v>-1.1210772896150001</v>
      </c>
      <c r="AE2106">
        <v>0.45150000000001</v>
      </c>
      <c r="AF2106">
        <v>0.30830497556016001</v>
      </c>
      <c r="AG2106">
        <v>-1.1210772896150001</v>
      </c>
      <c r="AH2106">
        <v>22.7938070907331</v>
      </c>
      <c r="AI2106">
        <v>92.815476060753696</v>
      </c>
      <c r="AJ2106">
        <v>89.225074744275403</v>
      </c>
      <c r="AK2106">
        <v>22.823442070310001</v>
      </c>
      <c r="AL2106">
        <v>93.5868837426558</v>
      </c>
      <c r="AM2106">
        <v>90.176072254814102</v>
      </c>
      <c r="AN2106">
        <v>1.0000000362061501</v>
      </c>
    </row>
    <row r="2107" spans="1:40" x14ac:dyDescent="0.25">
      <c r="A2107" t="str">
        <f>"20190303154506040"</f>
        <v>20190303154506040</v>
      </c>
      <c r="B2107" t="str">
        <f>"1551599106033098"</f>
        <v>1551599106033098</v>
      </c>
      <c r="C2107" t="s">
        <v>40</v>
      </c>
      <c r="D2107">
        <v>4.292751</v>
      </c>
      <c r="E2107">
        <v>0.50658479999999995</v>
      </c>
      <c r="F2107" t="s">
        <v>54</v>
      </c>
      <c r="G2107">
        <v>-476.916</v>
      </c>
      <c r="H2107" s="1">
        <v>3.5870539999999999E-6</v>
      </c>
      <c r="I2107">
        <v>285.07249999999999</v>
      </c>
      <c r="J2107">
        <v>-454.02870000000001</v>
      </c>
      <c r="K2107">
        <v>1.1210850000000001</v>
      </c>
      <c r="L2107">
        <v>284.60500000000002</v>
      </c>
      <c r="M2107">
        <v>-0.99988480000000002</v>
      </c>
      <c r="N2107">
        <v>-1.3840079999999999E-2</v>
      </c>
      <c r="O2107">
        <v>6.2391929999999996E-3</v>
      </c>
      <c r="P2107">
        <v>-0.99709619999999999</v>
      </c>
      <c r="Q2107">
        <v>-7.6105590000000001E-2</v>
      </c>
      <c r="R2107">
        <v>2.7329350000000001E-3</v>
      </c>
      <c r="S2107">
        <v>-2.9974980000000002</v>
      </c>
      <c r="T2107">
        <v>-0.14529810000000001</v>
      </c>
      <c r="U2107">
        <v>6.0791020000000001E-2</v>
      </c>
      <c r="V2107">
        <v>-3.491577E-3</v>
      </c>
      <c r="W2107">
        <v>-6.2298279999999998E-2</v>
      </c>
      <c r="X2107">
        <v>0.99805149999999998</v>
      </c>
      <c r="Y2107">
        <v>1.4020100000000001E-2</v>
      </c>
      <c r="Z2107">
        <v>2.207655E-4</v>
      </c>
      <c r="AA2107">
        <v>0.9999017</v>
      </c>
      <c r="AB2107">
        <v>25</v>
      </c>
      <c r="AC2107">
        <v>-22.8872999999999</v>
      </c>
      <c r="AD2107">
        <v>-1.1210814129460001</v>
      </c>
      <c r="AE2107">
        <v>0.46749999999997199</v>
      </c>
      <c r="AF2107">
        <v>0.32390212953462499</v>
      </c>
      <c r="AG2107">
        <v>-1.1210814129460001</v>
      </c>
      <c r="AH2107">
        <v>22.835006279438801</v>
      </c>
      <c r="AI2107">
        <v>92.810389216674807</v>
      </c>
      <c r="AJ2107">
        <v>89.187345066164895</v>
      </c>
      <c r="AK2107">
        <v>22.864803692705902</v>
      </c>
      <c r="AL2107">
        <v>93.571741313576894</v>
      </c>
      <c r="AM2107">
        <v>90.200442371780397</v>
      </c>
      <c r="AN2107">
        <v>1.00000003172657</v>
      </c>
    </row>
    <row r="2108" spans="1:40" x14ac:dyDescent="0.25">
      <c r="A2108" t="str">
        <f>"20190303154506064"</f>
        <v>20190303154506064</v>
      </c>
      <c r="B2108" t="str">
        <f>"1551599106053137"</f>
        <v>1551599106053137</v>
      </c>
      <c r="C2108" t="s">
        <v>40</v>
      </c>
      <c r="D2108">
        <v>4.3031779999999999</v>
      </c>
      <c r="E2108">
        <v>0.50655459999999997</v>
      </c>
      <c r="F2108" t="s">
        <v>54</v>
      </c>
      <c r="G2108">
        <v>-477.2328</v>
      </c>
      <c r="H2108" s="1">
        <v>3.4459389999999999E-6</v>
      </c>
      <c r="I2108">
        <v>285.06560000000002</v>
      </c>
      <c r="J2108">
        <v>-454.2799</v>
      </c>
      <c r="K2108">
        <v>1.1210869999999999</v>
      </c>
      <c r="L2108">
        <v>284.60649999999998</v>
      </c>
      <c r="M2108">
        <v>-0.99988480000000002</v>
      </c>
      <c r="N2108">
        <v>-1.383844E-2</v>
      </c>
      <c r="O2108">
        <v>6.2435470000000003E-3</v>
      </c>
      <c r="P2108">
        <v>-0.99712940000000005</v>
      </c>
      <c r="Q2108">
        <v>-7.5685340000000004E-2</v>
      </c>
      <c r="R2108">
        <v>2.2470670000000002E-3</v>
      </c>
      <c r="S2108">
        <v>-2.997528</v>
      </c>
      <c r="T2108">
        <v>-0.1448226</v>
      </c>
      <c r="U2108">
        <v>5.9509279999999998E-2</v>
      </c>
      <c r="V2108">
        <v>-3.9823419999999998E-3</v>
      </c>
      <c r="W2108">
        <v>-6.187927E-2</v>
      </c>
      <c r="X2108">
        <v>0.99807570000000001</v>
      </c>
      <c r="Y2108">
        <v>1.3588889999999999E-2</v>
      </c>
      <c r="Z2108">
        <v>2.0707519999999999E-4</v>
      </c>
      <c r="AA2108">
        <v>0.99990769999999995</v>
      </c>
      <c r="AB2108">
        <v>25</v>
      </c>
      <c r="AC2108">
        <v>-22.9529</v>
      </c>
      <c r="AD2108">
        <v>-1.121083554061</v>
      </c>
      <c r="AE2108">
        <v>0.45910000000003398</v>
      </c>
      <c r="AF2108">
        <v>0.31501860972145401</v>
      </c>
      <c r="AG2108">
        <v>-1.121083554061</v>
      </c>
      <c r="AH2108">
        <v>22.900708737067198</v>
      </c>
      <c r="AI2108">
        <v>92.8023611347366</v>
      </c>
      <c r="AJ2108">
        <v>89.211897819570297</v>
      </c>
      <c r="AK2108">
        <v>22.930297113636399</v>
      </c>
      <c r="AL2108">
        <v>93.547687502693094</v>
      </c>
      <c r="AM2108">
        <v>90.228610092741405</v>
      </c>
      <c r="AN2108">
        <v>1.00000000301701</v>
      </c>
    </row>
    <row r="2109" spans="1:40" x14ac:dyDescent="0.25">
      <c r="A2109" t="str">
        <f>"20190303154506088"</f>
        <v>20190303154506088</v>
      </c>
      <c r="B2109" t="str">
        <f>"1551599106083366"</f>
        <v>1551599106083366</v>
      </c>
      <c r="C2109" t="s">
        <v>40</v>
      </c>
      <c r="D2109">
        <v>4.2949539999999997</v>
      </c>
      <c r="E2109">
        <v>0.50650419999999996</v>
      </c>
      <c r="F2109" t="s">
        <v>54</v>
      </c>
      <c r="G2109">
        <v>-477.58030000000002</v>
      </c>
      <c r="H2109" s="1">
        <v>3.2911480000000002E-6</v>
      </c>
      <c r="I2109">
        <v>285.05770000000001</v>
      </c>
      <c r="J2109">
        <v>-454.54719999999998</v>
      </c>
      <c r="K2109">
        <v>1.1210869999999999</v>
      </c>
      <c r="L2109">
        <v>284.60820000000001</v>
      </c>
      <c r="M2109">
        <v>-0.99988480000000002</v>
      </c>
      <c r="N2109">
        <v>-1.383651E-2</v>
      </c>
      <c r="O2109">
        <v>6.2462309999999997E-3</v>
      </c>
      <c r="P2109">
        <v>-0.99711640000000001</v>
      </c>
      <c r="Q2109">
        <v>-7.586975E-2</v>
      </c>
      <c r="R2109">
        <v>1.802791E-3</v>
      </c>
      <c r="S2109">
        <v>-2.9975589999999999</v>
      </c>
      <c r="T2109">
        <v>-0.14422579999999999</v>
      </c>
      <c r="U2109">
        <v>5.8044430000000001E-2</v>
      </c>
      <c r="V2109">
        <v>-4.4287019999999996E-3</v>
      </c>
      <c r="W2109">
        <v>-6.2065780000000001E-2</v>
      </c>
      <c r="X2109">
        <v>0.99806229999999996</v>
      </c>
      <c r="Y2109">
        <v>1.309839E-2</v>
      </c>
      <c r="Z2109">
        <v>1.916597E-4</v>
      </c>
      <c r="AA2109">
        <v>0.99991419999999998</v>
      </c>
      <c r="AB2109">
        <v>25</v>
      </c>
      <c r="AC2109">
        <v>-23.033100000000001</v>
      </c>
      <c r="AD2109">
        <v>-1.121083708852</v>
      </c>
      <c r="AE2109">
        <v>0.44950000000000001</v>
      </c>
      <c r="AF2109">
        <v>0.30488538911883101</v>
      </c>
      <c r="AG2109">
        <v>-1.121083708852</v>
      </c>
      <c r="AH2109">
        <v>22.9810364059995</v>
      </c>
      <c r="AI2109">
        <v>92.792600128245397</v>
      </c>
      <c r="AJ2109">
        <v>89.239911509918201</v>
      </c>
      <c r="AK2109">
        <v>23.010385004962998</v>
      </c>
      <c r="AL2109">
        <v>93.558394099264504</v>
      </c>
      <c r="AM2109">
        <v>90.254236902799207</v>
      </c>
      <c r="AN2109">
        <v>1.0000000645648399</v>
      </c>
    </row>
    <row r="2110" spans="1:40" x14ac:dyDescent="0.25">
      <c r="A2110" t="str">
        <f>"20190303154506110"</f>
        <v>20190303154506110</v>
      </c>
      <c r="B2110" t="str">
        <f>"1551599106102886"</f>
        <v>1551599106102886</v>
      </c>
      <c r="C2110" t="s">
        <v>40</v>
      </c>
      <c r="D2110">
        <v>4.2987089999999997</v>
      </c>
      <c r="E2110">
        <v>0.5064362</v>
      </c>
      <c r="F2110" t="s">
        <v>54</v>
      </c>
      <c r="G2110">
        <v>-477.62130000000002</v>
      </c>
      <c r="H2110" s="1">
        <v>3.2714870000000002E-6</v>
      </c>
      <c r="I2110">
        <v>285.04090000000002</v>
      </c>
      <c r="J2110">
        <v>-454.7946</v>
      </c>
      <c r="K2110">
        <v>1.121092</v>
      </c>
      <c r="L2110">
        <v>284.60980000000001</v>
      </c>
      <c r="M2110">
        <v>-0.99988480000000002</v>
      </c>
      <c r="N2110">
        <v>-1.3834630000000001E-2</v>
      </c>
      <c r="O2110">
        <v>6.2474269999999998E-3</v>
      </c>
      <c r="P2110">
        <v>-0.99714409999999998</v>
      </c>
      <c r="Q2110">
        <v>-7.5493690000000002E-2</v>
      </c>
      <c r="R2110">
        <v>2.0909710000000001E-3</v>
      </c>
      <c r="S2110">
        <v>-2.9974980000000002</v>
      </c>
      <c r="T2110">
        <v>-0.14563699999999999</v>
      </c>
      <c r="U2110">
        <v>5.621338E-2</v>
      </c>
      <c r="V2110">
        <v>-4.142298E-3</v>
      </c>
      <c r="W2110">
        <v>-6.1691240000000001E-2</v>
      </c>
      <c r="X2110">
        <v>0.99808669999999999</v>
      </c>
      <c r="Y2110">
        <v>1.2487689999999999E-2</v>
      </c>
      <c r="Z2110">
        <v>1.7268310000000001E-4</v>
      </c>
      <c r="AA2110">
        <v>0.99992199999999998</v>
      </c>
      <c r="AB2110">
        <v>25</v>
      </c>
      <c r="AC2110">
        <v>-22.826699999999999</v>
      </c>
      <c r="AD2110">
        <v>-1.121088728513</v>
      </c>
      <c r="AE2110">
        <v>0.43110000000001403</v>
      </c>
      <c r="AF2110">
        <v>0.28777590276147003</v>
      </c>
      <c r="AG2110">
        <v>-1.121088728513</v>
      </c>
      <c r="AH2110">
        <v>22.774034506617902</v>
      </c>
      <c r="AI2110">
        <v>92.817977982496899</v>
      </c>
      <c r="AJ2110">
        <v>89.276041002873598</v>
      </c>
      <c r="AK2110">
        <v>22.803427431332199</v>
      </c>
      <c r="AL2110">
        <v>93.536893515406206</v>
      </c>
      <c r="AM2110">
        <v>90.237789793447106</v>
      </c>
      <c r="AN2110">
        <v>1.00000001422117</v>
      </c>
    </row>
    <row r="2111" spans="1:40" x14ac:dyDescent="0.25">
      <c r="A2111" t="str">
        <f>"20190303154506130"</f>
        <v>20190303154506130</v>
      </c>
      <c r="B2111" t="str">
        <f>"1551599106122406"</f>
        <v>1551599106122406</v>
      </c>
      <c r="C2111" t="s">
        <v>40</v>
      </c>
      <c r="D2111">
        <v>4.3076410000000003</v>
      </c>
      <c r="E2111">
        <v>0.50638459999999996</v>
      </c>
      <c r="F2111" t="s">
        <v>54</v>
      </c>
      <c r="G2111">
        <v>-477.9221</v>
      </c>
      <c r="H2111" s="1">
        <v>3.138659E-6</v>
      </c>
      <c r="I2111">
        <v>285.04730000000001</v>
      </c>
      <c r="J2111">
        <v>-455.01150000000001</v>
      </c>
      <c r="K2111">
        <v>1.1210990000000001</v>
      </c>
      <c r="L2111">
        <v>284.61110000000002</v>
      </c>
      <c r="M2111">
        <v>-0.99988500000000002</v>
      </c>
      <c r="N2111">
        <v>-1.383295E-2</v>
      </c>
      <c r="O2111">
        <v>6.2477849999999996E-3</v>
      </c>
      <c r="P2111">
        <v>-0.99719979999999997</v>
      </c>
      <c r="Q2111">
        <v>-7.472297E-2</v>
      </c>
      <c r="R2111">
        <v>3.072427E-3</v>
      </c>
      <c r="S2111">
        <v>-2.9974370000000001</v>
      </c>
      <c r="T2111">
        <v>-0.14529819999999999</v>
      </c>
      <c r="U2111">
        <v>5.6701660000000001E-2</v>
      </c>
      <c r="V2111">
        <v>-3.1610900000000001E-3</v>
      </c>
      <c r="W2111">
        <v>-6.0921469999999998E-2</v>
      </c>
      <c r="X2111">
        <v>0.99813750000000001</v>
      </c>
      <c r="Y2111">
        <v>1.2650349999999999E-2</v>
      </c>
      <c r="Z2111">
        <v>1.7771590000000001E-4</v>
      </c>
      <c r="AA2111">
        <v>0.99992000000000003</v>
      </c>
      <c r="AB2111">
        <v>25</v>
      </c>
      <c r="AC2111">
        <v>-22.910599999999899</v>
      </c>
      <c r="AD2111">
        <v>-1.121095861341</v>
      </c>
      <c r="AE2111">
        <v>0.43619999999998499</v>
      </c>
      <c r="AF2111">
        <v>0.29233756834026597</v>
      </c>
      <c r="AG2111">
        <v>-1.121095861341</v>
      </c>
      <c r="AH2111">
        <v>22.858164542960299</v>
      </c>
      <c r="AI2111">
        <v>92.807635352269997</v>
      </c>
      <c r="AJ2111">
        <v>89.267272938597003</v>
      </c>
      <c r="AK2111">
        <v>22.887507585082901</v>
      </c>
      <c r="AL2111">
        <v>93.492706073011803</v>
      </c>
      <c r="AM2111">
        <v>90.181454469089502</v>
      </c>
      <c r="AN2111">
        <v>0.99999994345159704</v>
      </c>
    </row>
    <row r="2112" spans="1:40" x14ac:dyDescent="0.25">
      <c r="A2112" t="str">
        <f>"20190303154506153"</f>
        <v>20190303154506153</v>
      </c>
      <c r="B2112" t="str">
        <f>"1551599106142904"</f>
        <v>1551599106142904</v>
      </c>
      <c r="C2112" t="s">
        <v>40</v>
      </c>
      <c r="D2112">
        <v>4.3676349999999999</v>
      </c>
      <c r="E2112">
        <v>0.50637480000000001</v>
      </c>
      <c r="F2112" t="s">
        <v>54</v>
      </c>
      <c r="G2112">
        <v>-478.38350000000003</v>
      </c>
      <c r="H2112" s="1">
        <v>2.9361810000000001E-6</v>
      </c>
      <c r="I2112">
        <v>285.07139999999998</v>
      </c>
      <c r="J2112">
        <v>-455.26690000000002</v>
      </c>
      <c r="K2112">
        <v>1.121095</v>
      </c>
      <c r="L2112">
        <v>284.61270000000002</v>
      </c>
      <c r="M2112">
        <v>-0.99988489999999997</v>
      </c>
      <c r="N2112">
        <v>-1.383087E-2</v>
      </c>
      <c r="O2112">
        <v>6.247608E-3</v>
      </c>
      <c r="P2112">
        <v>-0.99724959999999996</v>
      </c>
      <c r="Q2112">
        <v>-7.4013930000000006E-2</v>
      </c>
      <c r="R2112">
        <v>3.8990370000000002E-3</v>
      </c>
      <c r="S2112">
        <v>-2.9974669999999999</v>
      </c>
      <c r="T2112">
        <v>-0.1437811</v>
      </c>
      <c r="U2112">
        <v>5.9020999999999997E-2</v>
      </c>
      <c r="V2112">
        <v>-2.3344659999999999E-3</v>
      </c>
      <c r="W2112">
        <v>-6.0213879999999997E-2</v>
      </c>
      <c r="X2112">
        <v>0.99818280000000004</v>
      </c>
      <c r="Y2112">
        <v>1.342285E-2</v>
      </c>
      <c r="Z2112">
        <v>2.015183E-4</v>
      </c>
      <c r="AA2112">
        <v>0.99990990000000002</v>
      </c>
      <c r="AB2112">
        <v>25</v>
      </c>
      <c r="AC2112">
        <v>-23.116599999999998</v>
      </c>
      <c r="AD2112">
        <v>-1.1210920638190001</v>
      </c>
      <c r="AE2112">
        <v>0.45869999999996403</v>
      </c>
      <c r="AF2112">
        <v>0.31351668894761803</v>
      </c>
      <c r="AG2112">
        <v>-1.1210920638190001</v>
      </c>
      <c r="AH2112">
        <v>23.064788114516499</v>
      </c>
      <c r="AI2112">
        <v>92.782484284246294</v>
      </c>
      <c r="AJ2112">
        <v>89.221233822408294</v>
      </c>
      <c r="AK2112">
        <v>23.0941462474227</v>
      </c>
      <c r="AL2112">
        <v>93.452089276305102</v>
      </c>
      <c r="AM2112">
        <v>90.133998307079295</v>
      </c>
      <c r="AN2112">
        <v>1.0000000316459901</v>
      </c>
    </row>
    <row r="2113" spans="1:40" x14ac:dyDescent="0.25">
      <c r="A2113" t="str">
        <f>"20190303154506175"</f>
        <v>20190303154506175</v>
      </c>
      <c r="B2113" t="str">
        <f>"1551599106162701"</f>
        <v>1551599106162701</v>
      </c>
      <c r="C2113" t="s">
        <v>40</v>
      </c>
      <c r="D2113">
        <v>4.3722349999999999</v>
      </c>
      <c r="E2113">
        <v>0.50634239999999997</v>
      </c>
      <c r="F2113" t="s">
        <v>54</v>
      </c>
      <c r="G2113">
        <v>-478.86309999999997</v>
      </c>
      <c r="H2113" s="1">
        <v>2.7257809999999999E-6</v>
      </c>
      <c r="I2113">
        <v>285.09750000000003</v>
      </c>
      <c r="J2113">
        <v>-455.50400000000002</v>
      </c>
      <c r="K2113">
        <v>1.121095</v>
      </c>
      <c r="L2113">
        <v>284.61419999999998</v>
      </c>
      <c r="M2113">
        <v>-0.99988500000000002</v>
      </c>
      <c r="N2113">
        <v>-1.382881E-2</v>
      </c>
      <c r="O2113">
        <v>6.2472550000000002E-3</v>
      </c>
      <c r="P2113">
        <v>-0.99727460000000001</v>
      </c>
      <c r="Q2113">
        <v>-7.3653280000000002E-2</v>
      </c>
      <c r="R2113">
        <v>4.34382E-3</v>
      </c>
      <c r="S2113">
        <v>-2.9974980000000002</v>
      </c>
      <c r="T2113">
        <v>-0.14241609999999999</v>
      </c>
      <c r="U2113">
        <v>6.1584470000000002E-2</v>
      </c>
      <c r="V2113">
        <v>-1.8894739999999999E-3</v>
      </c>
      <c r="W2113">
        <v>-5.9854919999999999E-2</v>
      </c>
      <c r="X2113">
        <v>0.99820529999999996</v>
      </c>
      <c r="Y2113">
        <v>1.4276779999999999E-2</v>
      </c>
      <c r="Z2113">
        <v>2.27474E-4</v>
      </c>
      <c r="AA2113">
        <v>0.99989810000000001</v>
      </c>
      <c r="AB2113">
        <v>25</v>
      </c>
      <c r="AC2113">
        <v>-23.359099999999899</v>
      </c>
      <c r="AD2113">
        <v>-1.1210922742189999</v>
      </c>
      <c r="AE2113">
        <v>0.48330000000004197</v>
      </c>
      <c r="AF2113">
        <v>0.336571448370381</v>
      </c>
      <c r="AG2113">
        <v>-1.1210922742189999</v>
      </c>
      <c r="AH2113">
        <v>23.3079988499222</v>
      </c>
      <c r="AI2113">
        <v>92.753462833407298</v>
      </c>
      <c r="AJ2113">
        <v>89.172696745755204</v>
      </c>
      <c r="AK2113">
        <v>23.337372144591299</v>
      </c>
      <c r="AL2113">
        <v>93.431485324891199</v>
      </c>
      <c r="AM2113">
        <v>90.108453397717</v>
      </c>
      <c r="AN2113">
        <v>1.0000000012541399</v>
      </c>
    </row>
    <row r="2114" spans="1:40" x14ac:dyDescent="0.25">
      <c r="A2114" t="str">
        <f>"20190303154506197"</f>
        <v>20190303154506197</v>
      </c>
      <c r="B2114" t="str">
        <f>"1551599106192957"</f>
        <v>1551599106192957</v>
      </c>
      <c r="C2114" t="s">
        <v>40</v>
      </c>
      <c r="D2114">
        <v>4.4832660000000004</v>
      </c>
      <c r="E2114">
        <v>0.50578469999999998</v>
      </c>
      <c r="F2114" t="s">
        <v>54</v>
      </c>
      <c r="G2114">
        <v>-479.07900000000001</v>
      </c>
      <c r="H2114" s="1">
        <v>2.630712E-6</v>
      </c>
      <c r="I2114">
        <v>285.10559999999998</v>
      </c>
      <c r="J2114">
        <v>-455.7466</v>
      </c>
      <c r="K2114">
        <v>1.1210910000000001</v>
      </c>
      <c r="L2114">
        <v>284.61579999999998</v>
      </c>
      <c r="M2114">
        <v>-0.99988489999999997</v>
      </c>
      <c r="N2114">
        <v>-1.3826659999999999E-2</v>
      </c>
      <c r="O2114">
        <v>6.2469639999999998E-3</v>
      </c>
      <c r="P2114">
        <v>-0.99721470000000001</v>
      </c>
      <c r="Q2114">
        <v>-7.441209E-2</v>
      </c>
      <c r="R2114">
        <v>5.0658539999999998E-3</v>
      </c>
      <c r="S2114">
        <v>-2.9974370000000001</v>
      </c>
      <c r="T2114">
        <v>-0.14254059999999999</v>
      </c>
      <c r="U2114">
        <v>6.2469480000000001E-2</v>
      </c>
      <c r="V2114">
        <v>-1.1668799999999999E-3</v>
      </c>
      <c r="W2114">
        <v>-6.0616610000000001E-2</v>
      </c>
      <c r="X2114">
        <v>0.99816039999999995</v>
      </c>
      <c r="Y2114">
        <v>1.4572130000000001E-2</v>
      </c>
      <c r="Z2114">
        <v>2.3655440000000001E-4</v>
      </c>
      <c r="AA2114">
        <v>0.99989380000000005</v>
      </c>
      <c r="AB2114">
        <v>24</v>
      </c>
      <c r="AC2114">
        <v>-23.3324</v>
      </c>
      <c r="AD2114">
        <v>-1.121088369288</v>
      </c>
      <c r="AE2114">
        <v>0.48980000000000201</v>
      </c>
      <c r="AF2114">
        <v>0.34322779568294998</v>
      </c>
      <c r="AG2114">
        <v>-1.121088369288</v>
      </c>
      <c r="AH2114">
        <v>23.281279701685001</v>
      </c>
      <c r="AI2114">
        <v>92.756596287164101</v>
      </c>
      <c r="AJ2114">
        <v>89.155369472646697</v>
      </c>
      <c r="AK2114">
        <v>23.310783534655599</v>
      </c>
      <c r="AL2114">
        <v>93.475206482824404</v>
      </c>
      <c r="AM2114">
        <v>90.066980486043903</v>
      </c>
      <c r="AN2114">
        <v>0.99999995957249199</v>
      </c>
    </row>
    <row r="2115" spans="1:40" x14ac:dyDescent="0.25">
      <c r="A2115" t="str">
        <f>"20190303154506219"</f>
        <v>20190303154506219</v>
      </c>
      <c r="B2115" t="str">
        <f>"1551599106212477"</f>
        <v>1551599106212477</v>
      </c>
      <c r="C2115" t="s">
        <v>40</v>
      </c>
      <c r="D2115">
        <v>4.4843469999999996</v>
      </c>
      <c r="E2115">
        <v>0.5050424</v>
      </c>
      <c r="F2115" t="s">
        <v>54</v>
      </c>
      <c r="G2115">
        <v>-478.47019999999998</v>
      </c>
      <c r="H2115" s="1">
        <v>2.8978559999999999E-6</v>
      </c>
      <c r="I2115">
        <v>285.07319999999999</v>
      </c>
      <c r="J2115">
        <v>-455.98809999999997</v>
      </c>
      <c r="K2115">
        <v>1.1210770000000001</v>
      </c>
      <c r="L2115">
        <v>284.6173</v>
      </c>
      <c r="M2115">
        <v>-0.99988489999999997</v>
      </c>
      <c r="N2115">
        <v>-1.382447E-2</v>
      </c>
      <c r="O2115">
        <v>6.2464369999999996E-3</v>
      </c>
      <c r="P2115">
        <v>-0.99714400000000003</v>
      </c>
      <c r="Q2115">
        <v>-7.5314160000000005E-2</v>
      </c>
      <c r="R2115">
        <v>5.6625590000000002E-3</v>
      </c>
      <c r="S2115">
        <v>-2.9970089999999998</v>
      </c>
      <c r="T2115">
        <v>-0.14785960000000001</v>
      </c>
      <c r="U2115">
        <v>6.0333249999999998E-2</v>
      </c>
      <c r="V2115">
        <v>-5.6904259999999995E-4</v>
      </c>
      <c r="W2115">
        <v>-6.1521739999999998E-2</v>
      </c>
      <c r="X2115">
        <v>0.99810560000000004</v>
      </c>
      <c r="Y2115">
        <v>1.3863260000000001E-2</v>
      </c>
      <c r="Z2115">
        <v>2.160149E-4</v>
      </c>
      <c r="AA2115">
        <v>0.99990389999999996</v>
      </c>
      <c r="AB2115">
        <v>24</v>
      </c>
      <c r="AC2115">
        <v>-22.482099999999999</v>
      </c>
      <c r="AD2115">
        <v>-1.1210741021439901</v>
      </c>
      <c r="AE2115">
        <v>0.45589999999998498</v>
      </c>
      <c r="AF2115">
        <v>0.31466255923536701</v>
      </c>
      <c r="AG2115">
        <v>-1.1210741021439901</v>
      </c>
      <c r="AH2115">
        <v>22.428762312839499</v>
      </c>
      <c r="AI2115">
        <v>92.861196552137102</v>
      </c>
      <c r="AJ2115">
        <v>89.196226092939497</v>
      </c>
      <c r="AK2115">
        <v>22.458966996603699</v>
      </c>
      <c r="AL2115">
        <v>93.527163383500707</v>
      </c>
      <c r="AM2115">
        <v>90.032665617556503</v>
      </c>
      <c r="AN2115">
        <v>1.0000000185267299</v>
      </c>
    </row>
    <row r="2116" spans="1:40" x14ac:dyDescent="0.25">
      <c r="A2116" t="str">
        <f>"20190303154506242"</f>
        <v>20190303154506242</v>
      </c>
      <c r="B2116" t="str">
        <f>"1551599106232973"</f>
        <v>1551599106232973</v>
      </c>
      <c r="C2116" t="s">
        <v>40</v>
      </c>
      <c r="D2116">
        <v>4.4971949999999996</v>
      </c>
      <c r="E2116">
        <v>0.50436369999999997</v>
      </c>
      <c r="F2116" t="s">
        <v>54</v>
      </c>
      <c r="G2116">
        <v>-477.92759999999998</v>
      </c>
      <c r="H2116" s="1">
        <v>3.1345959999999999E-6</v>
      </c>
      <c r="I2116">
        <v>285.02890000000002</v>
      </c>
      <c r="J2116">
        <v>-456.23140000000001</v>
      </c>
      <c r="K2116">
        <v>1.1210709999999999</v>
      </c>
      <c r="L2116">
        <v>284.6189</v>
      </c>
      <c r="M2116">
        <v>-0.99988500000000002</v>
      </c>
      <c r="N2116">
        <v>-1.382219E-2</v>
      </c>
      <c r="O2116">
        <v>6.2462719999999998E-3</v>
      </c>
      <c r="P2116">
        <v>-0.99702670000000004</v>
      </c>
      <c r="Q2116">
        <v>-7.6831999999999998E-2</v>
      </c>
      <c r="R2116">
        <v>5.8823869999999898E-3</v>
      </c>
      <c r="S2116">
        <v>-2.9967350000000001</v>
      </c>
      <c r="T2116">
        <v>-0.15312790000000001</v>
      </c>
      <c r="U2116">
        <v>5.621338E-2</v>
      </c>
      <c r="V2116">
        <v>-3.4817600000000001E-4</v>
      </c>
      <c r="W2116">
        <v>-6.3043329999999995E-2</v>
      </c>
      <c r="X2116">
        <v>0.99801079999999998</v>
      </c>
      <c r="Y2116">
        <v>1.2492400000000001E-2</v>
      </c>
      <c r="Z2116">
        <v>1.7271640000000001E-4</v>
      </c>
      <c r="AA2116">
        <v>0.99992199999999998</v>
      </c>
      <c r="AB2116">
        <v>24</v>
      </c>
      <c r="AC2116">
        <v>-21.696199999999902</v>
      </c>
      <c r="AD2116">
        <v>-1.1210678654039901</v>
      </c>
      <c r="AE2116">
        <v>0.41000000000002501</v>
      </c>
      <c r="AF2116">
        <v>0.27372812320805801</v>
      </c>
      <c r="AG2116">
        <v>-1.1210678654039901</v>
      </c>
      <c r="AH2116">
        <v>21.640580129059501</v>
      </c>
      <c r="AI2116">
        <v>92.965260913863702</v>
      </c>
      <c r="AJ2116">
        <v>89.275313796323204</v>
      </c>
      <c r="AK2116">
        <v>21.671327337441099</v>
      </c>
      <c r="AL2116">
        <v>93.614513475464406</v>
      </c>
      <c r="AM2116">
        <v>90.019988776191994</v>
      </c>
      <c r="AN2116">
        <v>1.00000006980032</v>
      </c>
    </row>
    <row r="2117" spans="1:40" x14ac:dyDescent="0.25">
      <c r="A2117" t="str">
        <f>"20190303154506265"</f>
        <v>20190303154506265</v>
      </c>
      <c r="B2117" t="str">
        <f>"1551599106253015"</f>
        <v>1551599106253015</v>
      </c>
      <c r="C2117" t="s">
        <v>40</v>
      </c>
      <c r="D2117">
        <v>4.4800570000000004</v>
      </c>
      <c r="E2117">
        <v>0.50386830000000005</v>
      </c>
      <c r="F2117" t="s">
        <v>54</v>
      </c>
      <c r="G2117">
        <v>-477.1798</v>
      </c>
      <c r="H2117" s="1">
        <v>3.4618550000000001E-6</v>
      </c>
      <c r="I2117">
        <v>284.97859999999997</v>
      </c>
      <c r="J2117">
        <v>-456.48079999999999</v>
      </c>
      <c r="K2117">
        <v>1.121076</v>
      </c>
      <c r="L2117">
        <v>284.62040000000002</v>
      </c>
      <c r="M2117">
        <v>-0.99988509999999997</v>
      </c>
      <c r="N2117">
        <v>-1.38197999999999E-2</v>
      </c>
      <c r="O2117">
        <v>6.2459890000000004E-3</v>
      </c>
      <c r="P2117">
        <v>-0.99687910000000002</v>
      </c>
      <c r="Q2117">
        <v>-7.8767340000000005E-2</v>
      </c>
      <c r="R2117">
        <v>5.2842979999999998E-3</v>
      </c>
      <c r="S2117">
        <v>-2.9962770000000001</v>
      </c>
      <c r="T2117">
        <v>-0.1603483</v>
      </c>
      <c r="U2117">
        <v>5.1452640000000001E-2</v>
      </c>
      <c r="V2117">
        <v>-9.4577419999999999E-4</v>
      </c>
      <c r="W2117">
        <v>-6.4982940000000003E-2</v>
      </c>
      <c r="X2117">
        <v>0.99788589999999999</v>
      </c>
      <c r="Y2117">
        <v>1.0908930000000001E-2</v>
      </c>
      <c r="Z2117">
        <v>1.194089E-4</v>
      </c>
      <c r="AA2117">
        <v>0.99994050000000001</v>
      </c>
      <c r="AB2117">
        <v>24</v>
      </c>
      <c r="AC2117">
        <v>-20.699000000000002</v>
      </c>
      <c r="AD2117">
        <v>-1.121072538145</v>
      </c>
      <c r="AE2117">
        <v>0.358199999999953</v>
      </c>
      <c r="AF2117">
        <v>0.22822567841271901</v>
      </c>
      <c r="AG2117">
        <v>-1.121072538145</v>
      </c>
      <c r="AH2117">
        <v>20.6403059008437</v>
      </c>
      <c r="AI2117">
        <v>93.108760015385499</v>
      </c>
      <c r="AJ2117">
        <v>89.3664902385311</v>
      </c>
      <c r="AK2117">
        <v>20.6719887353992</v>
      </c>
      <c r="AL2117">
        <v>93.725873705562606</v>
      </c>
      <c r="AM2117">
        <v>90.054303657168305</v>
      </c>
      <c r="AN2117">
        <v>0.99999997319934497</v>
      </c>
    </row>
    <row r="2118" spans="1:40" x14ac:dyDescent="0.25">
      <c r="A2118" t="str">
        <f>"20190303154506289"</f>
        <v>20190303154506289</v>
      </c>
      <c r="B2118" t="str">
        <f>"1551599106283257"</f>
        <v>1551599106283257</v>
      </c>
      <c r="C2118" t="s">
        <v>40</v>
      </c>
      <c r="D2118">
        <v>4.4639290000000003</v>
      </c>
      <c r="E2118">
        <v>0.50303529999999996</v>
      </c>
      <c r="F2118" t="s">
        <v>54</v>
      </c>
      <c r="G2118">
        <v>-476.55500000000001</v>
      </c>
      <c r="H2118" s="1">
        <v>3.7344819999999999E-6</v>
      </c>
      <c r="I2118">
        <v>284.92779999999999</v>
      </c>
      <c r="J2118">
        <v>-456.7407</v>
      </c>
      <c r="K2118">
        <v>1.121076</v>
      </c>
      <c r="L2118">
        <v>284.62200000000001</v>
      </c>
      <c r="M2118">
        <v>-0.99988509999999997</v>
      </c>
      <c r="N2118">
        <v>-1.3817299999999999E-2</v>
      </c>
      <c r="O2118">
        <v>6.2458269999999998E-3</v>
      </c>
      <c r="P2118">
        <v>-0.99675599999999998</v>
      </c>
      <c r="Q2118">
        <v>-8.0353049999999995E-2</v>
      </c>
      <c r="R2118">
        <v>4.6088689999999998E-3</v>
      </c>
      <c r="S2118">
        <v>-2.9959410000000002</v>
      </c>
      <c r="T2118">
        <v>-0.16731289999999999</v>
      </c>
      <c r="U2118">
        <v>4.586792E-2</v>
      </c>
      <c r="V2118">
        <v>-1.619854E-3</v>
      </c>
      <c r="W2118">
        <v>-6.6572699999999999E-2</v>
      </c>
      <c r="X2118">
        <v>0.99778029999999995</v>
      </c>
      <c r="Y2118">
        <v>9.0501539999999995E-3</v>
      </c>
      <c r="Z2118" s="1">
        <v>5.2830510000000003E-5</v>
      </c>
      <c r="AA2118">
        <v>0.99995909999999999</v>
      </c>
      <c r="AB2118">
        <v>24</v>
      </c>
      <c r="AC2118">
        <v>-19.814299999999999</v>
      </c>
      <c r="AD2118">
        <v>-1.1210722655180001</v>
      </c>
      <c r="AE2118">
        <v>0.30579999999997598</v>
      </c>
      <c r="AF2118">
        <v>0.18144483876300399</v>
      </c>
      <c r="AG2118">
        <v>-1.1210722655180001</v>
      </c>
      <c r="AH2118">
        <v>19.7526070542343</v>
      </c>
      <c r="AI2118">
        <v>93.248238176295004</v>
      </c>
      <c r="AJ2118">
        <v>89.473703341754302</v>
      </c>
      <c r="AK2118">
        <v>19.785227082169499</v>
      </c>
      <c r="AL2118">
        <v>93.817157704508801</v>
      </c>
      <c r="AM2118">
        <v>90.093017186338201</v>
      </c>
      <c r="AN2118">
        <v>1.0000000376901701</v>
      </c>
    </row>
    <row r="2119" spans="1:40" x14ac:dyDescent="0.25">
      <c r="A2119" t="str">
        <f>"20190303154506314"</f>
        <v>20190303154506314</v>
      </c>
      <c r="B2119" t="str">
        <f>"1551599106302776"</f>
        <v>1551599106302776</v>
      </c>
      <c r="C2119" t="s">
        <v>40</v>
      </c>
      <c r="D2119">
        <v>4.5077699999999998</v>
      </c>
      <c r="E2119">
        <v>0.50257619999999903</v>
      </c>
      <c r="F2119" t="s">
        <v>54</v>
      </c>
      <c r="G2119">
        <v>-476.05540000000002</v>
      </c>
      <c r="H2119" s="1">
        <v>3.9504739999999901E-6</v>
      </c>
      <c r="I2119">
        <v>284.86410000000001</v>
      </c>
      <c r="J2119">
        <v>-457.00569999999999</v>
      </c>
      <c r="K2119">
        <v>1.121076</v>
      </c>
      <c r="L2119">
        <v>284.62369999999999</v>
      </c>
      <c r="M2119">
        <v>-0.99988509999999997</v>
      </c>
      <c r="N2119">
        <v>-1.3814709999999999E-2</v>
      </c>
      <c r="O2119">
        <v>6.2456669999999999E-3</v>
      </c>
      <c r="P2119">
        <v>-0.99668299999999999</v>
      </c>
      <c r="Q2119">
        <v>-8.1218449999999998E-2</v>
      </c>
      <c r="R2119">
        <v>5.1767509999999899E-3</v>
      </c>
      <c r="S2119">
        <v>-2.9955750000000001</v>
      </c>
      <c r="T2119">
        <v>-0.17387040000000001</v>
      </c>
      <c r="U2119">
        <v>3.753662E-2</v>
      </c>
      <c r="V2119">
        <v>-1.0512360000000001E-3</v>
      </c>
      <c r="W2119">
        <v>-6.7441589999999996E-2</v>
      </c>
      <c r="X2119">
        <v>0.99772269999999996</v>
      </c>
      <c r="Y2119">
        <v>6.2767109999999999E-3</v>
      </c>
      <c r="Z2119" s="1">
        <v>-5.055869E-5</v>
      </c>
      <c r="AA2119">
        <v>0.99998030000000004</v>
      </c>
      <c r="AB2119">
        <v>24</v>
      </c>
      <c r="AC2119">
        <v>-19.049700000000001</v>
      </c>
      <c r="AD2119">
        <v>-1.121072049526</v>
      </c>
      <c r="AE2119">
        <v>0.24040000000002201</v>
      </c>
      <c r="AF2119">
        <v>0.120986928810929</v>
      </c>
      <c r="AG2119">
        <v>-1.121072049526</v>
      </c>
      <c r="AH2119">
        <v>18.985089288861499</v>
      </c>
      <c r="AI2119">
        <v>93.379330695618094</v>
      </c>
      <c r="AJ2119">
        <v>89.634874166079101</v>
      </c>
      <c r="AK2119">
        <v>19.018545046433399</v>
      </c>
      <c r="AL2119">
        <v>93.867053606495304</v>
      </c>
      <c r="AM2119">
        <v>90.060368841746893</v>
      </c>
      <c r="AN2119">
        <v>1.0000000296270699</v>
      </c>
    </row>
    <row r="2120" spans="1:40" x14ac:dyDescent="0.25">
      <c r="A2120" t="str">
        <f>"20190303154506333"</f>
        <v>20190303154506333</v>
      </c>
      <c r="B2120" t="str">
        <f>"1551599106323272"</f>
        <v>1551599106323272</v>
      </c>
      <c r="C2120" t="s">
        <v>40</v>
      </c>
      <c r="D2120">
        <v>4.5183900000000001</v>
      </c>
      <c r="E2120">
        <v>0.50209399999999904</v>
      </c>
      <c r="F2120" t="s">
        <v>54</v>
      </c>
      <c r="G2120">
        <v>-475.86759999999998</v>
      </c>
      <c r="H2120" s="1">
        <v>4.0323490000000002E-6</v>
      </c>
      <c r="I2120">
        <v>284.84800000000001</v>
      </c>
      <c r="J2120">
        <v>-457.22469999999998</v>
      </c>
      <c r="K2120">
        <v>1.121075</v>
      </c>
      <c r="L2120">
        <v>284.62509999999997</v>
      </c>
      <c r="M2120">
        <v>-0.99988520000000003</v>
      </c>
      <c r="N2120">
        <v>-1.381251E-2</v>
      </c>
      <c r="O2120">
        <v>6.2456819999999998E-3</v>
      </c>
      <c r="P2120">
        <v>-0.99662240000000002</v>
      </c>
      <c r="Q2120">
        <v>-8.1898609999999997E-2</v>
      </c>
      <c r="R2120">
        <v>6.0503619999999897E-3</v>
      </c>
      <c r="S2120">
        <v>-2.9952999999999999</v>
      </c>
      <c r="T2120">
        <v>-0.1780283</v>
      </c>
      <c r="U2120">
        <v>3.5614010000000001E-2</v>
      </c>
      <c r="V2120">
        <v>-1.777483E-4</v>
      </c>
      <c r="W2120">
        <v>-6.8124669999999998E-2</v>
      </c>
      <c r="X2120">
        <v>0.99767680000000003</v>
      </c>
      <c r="Y2120">
        <v>5.6372870000000004E-3</v>
      </c>
      <c r="Z2120" s="1">
        <v>-7.8306609999999994E-5</v>
      </c>
      <c r="AA2120">
        <v>0.99998410000000004</v>
      </c>
      <c r="AB2120">
        <v>24</v>
      </c>
      <c r="AC2120">
        <v>-18.642900000000001</v>
      </c>
      <c r="AD2120">
        <v>-1.121070967651</v>
      </c>
      <c r="AE2120">
        <v>0.22290000000003801</v>
      </c>
      <c r="AF2120">
        <v>0.10606344964601599</v>
      </c>
      <c r="AG2120">
        <v>-1.121070967651</v>
      </c>
      <c r="AH2120">
        <v>18.5767629546542</v>
      </c>
      <c r="AI2120">
        <v>93.453442671325405</v>
      </c>
      <c r="AJ2120">
        <v>89.672875085459296</v>
      </c>
      <c r="AK2120">
        <v>18.610861652359699</v>
      </c>
      <c r="AL2120">
        <v>93.906281544932199</v>
      </c>
      <c r="AM2120">
        <v>90.010207942389599</v>
      </c>
      <c r="AN2120">
        <v>0.99999999975765297</v>
      </c>
    </row>
    <row r="2121" spans="1:40" x14ac:dyDescent="0.25">
      <c r="A2121" t="str">
        <f>"20190303154506355"</f>
        <v>20190303154506355</v>
      </c>
      <c r="B2121" t="str">
        <f>"1551599106342792"</f>
        <v>1551599106342792</v>
      </c>
      <c r="C2121" t="s">
        <v>40</v>
      </c>
      <c r="D2121">
        <v>4.4681639999999998</v>
      </c>
      <c r="E2121">
        <v>0.50161880000000003</v>
      </c>
      <c r="F2121" t="s">
        <v>54</v>
      </c>
      <c r="G2121">
        <v>-475.65989999999999</v>
      </c>
      <c r="H2121" s="1">
        <v>4.1234329999999996E-6</v>
      </c>
      <c r="I2121">
        <v>284.83659999999998</v>
      </c>
      <c r="J2121">
        <v>-457.45209999999997</v>
      </c>
      <c r="K2121">
        <v>1.1210800000000001</v>
      </c>
      <c r="L2121">
        <v>284.62650000000002</v>
      </c>
      <c r="M2121">
        <v>-0.99988449999999995</v>
      </c>
      <c r="N2121">
        <v>-1.385863E-2</v>
      </c>
      <c r="O2121">
        <v>6.2457190000000003E-3</v>
      </c>
      <c r="P2121">
        <v>-0.99655749999999999</v>
      </c>
      <c r="Q2121">
        <v>-8.2607219999999995E-2</v>
      </c>
      <c r="R2121">
        <v>7.0321050000000003E-3</v>
      </c>
      <c r="S2121">
        <v>-2.9950260000000002</v>
      </c>
      <c r="T2121">
        <v>-0.18213199999999999</v>
      </c>
      <c r="U2121">
        <v>3.4362789999999997E-2</v>
      </c>
      <c r="V2121">
        <v>8.0458099999999996E-4</v>
      </c>
      <c r="W2121">
        <v>-6.8788070000000007E-2</v>
      </c>
      <c r="X2121">
        <v>0.99763100000000005</v>
      </c>
      <c r="Y2121">
        <v>5.2214319999999998E-3</v>
      </c>
      <c r="Z2121" s="1">
        <v>-9.8110760000000007E-5</v>
      </c>
      <c r="AA2121">
        <v>0.99998640000000005</v>
      </c>
      <c r="AB2121">
        <v>24</v>
      </c>
      <c r="AC2121">
        <v>-18.207799999999999</v>
      </c>
      <c r="AD2121">
        <v>-1.1210758765669999</v>
      </c>
      <c r="AE2121">
        <v>0.21009999999995399</v>
      </c>
      <c r="AF2121">
        <v>9.6000291642109603E-2</v>
      </c>
      <c r="AG2121">
        <v>-1.1210758765669999</v>
      </c>
      <c r="AH2121">
        <v>18.139997368071398</v>
      </c>
      <c r="AI2121">
        <v>93.5364078964773</v>
      </c>
      <c r="AJ2121">
        <v>89.696782745780695</v>
      </c>
      <c r="AK2121">
        <v>18.1748598809084</v>
      </c>
      <c r="AL2121">
        <v>93.944380827039595</v>
      </c>
      <c r="AM2121">
        <v>89.9537914463547</v>
      </c>
      <c r="AN2121">
        <v>1.00000002904295</v>
      </c>
    </row>
    <row r="2122" spans="1:40" x14ac:dyDescent="0.25">
      <c r="A2122" t="str">
        <f>"20190303154506388"</f>
        <v>20190303154506388</v>
      </c>
      <c r="B2122" t="str">
        <f>"1551599106383315"</f>
        <v>1551599106383315</v>
      </c>
      <c r="C2122" t="s">
        <v>40</v>
      </c>
      <c r="D2122">
        <v>4.5101329999999997</v>
      </c>
      <c r="E2122">
        <v>0.5007876</v>
      </c>
      <c r="F2122" t="s">
        <v>54</v>
      </c>
      <c r="G2122">
        <v>-475.65820000000002</v>
      </c>
      <c r="H2122" s="1">
        <v>4.1236340000000003E-6</v>
      </c>
      <c r="I2122">
        <v>284.8304</v>
      </c>
      <c r="J2122">
        <v>-457.80720000000002</v>
      </c>
      <c r="K2122">
        <v>1.121178</v>
      </c>
      <c r="L2122">
        <v>284.62869999999998</v>
      </c>
      <c r="M2122">
        <v>-0.99987859999999995</v>
      </c>
      <c r="N2122">
        <v>-1.427221E-2</v>
      </c>
      <c r="O2122">
        <v>6.246138E-3</v>
      </c>
      <c r="P2122">
        <v>-0.99642339999999996</v>
      </c>
      <c r="Q2122">
        <v>-8.4123509999999999E-2</v>
      </c>
      <c r="R2122">
        <v>7.9700050000000005E-3</v>
      </c>
      <c r="S2122">
        <v>-2.9948429999999999</v>
      </c>
      <c r="T2122">
        <v>-0.1844131</v>
      </c>
      <c r="U2122">
        <v>3.3538819999999997E-2</v>
      </c>
      <c r="V2122">
        <v>1.7427129999999999E-3</v>
      </c>
      <c r="W2122">
        <v>-6.9893430000000006E-2</v>
      </c>
      <c r="X2122">
        <v>0.99755289999999996</v>
      </c>
      <c r="Y2122">
        <v>4.9469919999999999E-3</v>
      </c>
      <c r="Z2122">
        <v>-1.076446E-4</v>
      </c>
      <c r="AA2122">
        <v>0.99998779999999998</v>
      </c>
      <c r="AB2122">
        <v>24</v>
      </c>
      <c r="AC2122">
        <v>-17.850999999999999</v>
      </c>
      <c r="AD2122">
        <v>-1.121173876366</v>
      </c>
      <c r="AE2122">
        <v>0.20170000000001601</v>
      </c>
      <c r="AF2122">
        <v>8.9830578140337597E-2</v>
      </c>
      <c r="AG2122">
        <v>-1.121173876366</v>
      </c>
      <c r="AH2122">
        <v>17.781775753858099</v>
      </c>
      <c r="AI2122">
        <v>93.607783080903999</v>
      </c>
      <c r="AJ2122">
        <v>89.710553699149997</v>
      </c>
      <c r="AK2122">
        <v>17.817313191228099</v>
      </c>
      <c r="AL2122">
        <v>94.007866381626002</v>
      </c>
      <c r="AM2122">
        <v>89.899905059447903</v>
      </c>
      <c r="AN2122">
        <v>0.999999958452086</v>
      </c>
    </row>
    <row r="2123" spans="1:40" x14ac:dyDescent="0.25">
      <c r="A2123" t="str">
        <f>"20190303154506411"</f>
        <v>20190303154506411</v>
      </c>
      <c r="B2123" t="str">
        <f>"1551599106402835"</f>
        <v>1551599106402835</v>
      </c>
      <c r="C2123" t="s">
        <v>40</v>
      </c>
      <c r="D2123">
        <v>4.4486169999999996</v>
      </c>
      <c r="E2123">
        <v>0.50036389999999997</v>
      </c>
      <c r="F2123" t="s">
        <v>54</v>
      </c>
      <c r="G2123">
        <v>-475.45229999999998</v>
      </c>
      <c r="H2123" s="1">
        <v>4.2125870000000004E-6</v>
      </c>
      <c r="I2123">
        <v>284.8032</v>
      </c>
      <c r="J2123">
        <v>-458.05869999999999</v>
      </c>
      <c r="K2123">
        <v>1.1213089999999999</v>
      </c>
      <c r="L2123">
        <v>284.63029999999998</v>
      </c>
      <c r="M2123">
        <v>-0.99987020000000004</v>
      </c>
      <c r="N2123">
        <v>-1.485963E-2</v>
      </c>
      <c r="O2123">
        <v>6.2461940000000001E-3</v>
      </c>
      <c r="P2123">
        <v>-0.9963246</v>
      </c>
      <c r="Q2123">
        <v>-8.5244979999999998E-2</v>
      </c>
      <c r="R2123">
        <v>8.4341950000000002E-3</v>
      </c>
      <c r="S2123">
        <v>-2.9944760000000001</v>
      </c>
      <c r="T2123">
        <v>-0.19026979999999999</v>
      </c>
      <c r="U2123">
        <v>2.9602050000000001E-2</v>
      </c>
      <c r="V2123">
        <v>2.2075609999999998E-3</v>
      </c>
      <c r="W2123">
        <v>-7.0430129999999994E-2</v>
      </c>
      <c r="X2123">
        <v>0.99751420000000002</v>
      </c>
      <c r="Y2123">
        <v>3.6366369999999999E-3</v>
      </c>
      <c r="Z2123">
        <v>-1.6124919999999999E-4</v>
      </c>
      <c r="AA2123">
        <v>0.99999340000000003</v>
      </c>
      <c r="AB2123">
        <v>24</v>
      </c>
      <c r="AC2123">
        <v>-17.3935999999999</v>
      </c>
      <c r="AD2123">
        <v>-1.121304787413</v>
      </c>
      <c r="AE2123">
        <v>0.17290000000002601</v>
      </c>
      <c r="AF2123">
        <v>6.3974993326142496E-2</v>
      </c>
      <c r="AG2123">
        <v>-1.121304787413</v>
      </c>
      <c r="AH2123">
        <v>17.322357282804902</v>
      </c>
      <c r="AI2123">
        <v>93.7036579457708</v>
      </c>
      <c r="AJ2123">
        <v>89.788395979440494</v>
      </c>
      <c r="AK2123">
        <v>17.358729189061901</v>
      </c>
      <c r="AL2123">
        <v>94.038693120185599</v>
      </c>
      <c r="AM2123">
        <v>89.873201081421001</v>
      </c>
      <c r="AN2123">
        <v>0.99999992786950997</v>
      </c>
    </row>
    <row r="2124" spans="1:40" x14ac:dyDescent="0.25">
      <c r="A2124" t="str">
        <f>"20190303154506433"</f>
        <v>20190303154506433</v>
      </c>
      <c r="B2124" t="str">
        <f>"1551599106423331"</f>
        <v>1551599106423331</v>
      </c>
      <c r="C2124" t="s">
        <v>40</v>
      </c>
      <c r="D2124">
        <v>4.4414350000000002</v>
      </c>
      <c r="E2124">
        <v>0.49997340000000001</v>
      </c>
      <c r="F2124" t="s">
        <v>54</v>
      </c>
      <c r="G2124">
        <v>-475.35520000000002</v>
      </c>
      <c r="H2124" s="1">
        <v>4.2545819999999998E-6</v>
      </c>
      <c r="I2124">
        <v>284.79129999999998</v>
      </c>
      <c r="J2124">
        <v>-458.29289999999997</v>
      </c>
      <c r="K2124">
        <v>1.121442</v>
      </c>
      <c r="L2124">
        <v>284.6318</v>
      </c>
      <c r="M2124">
        <v>-0.99986030000000004</v>
      </c>
      <c r="N2124">
        <v>-1.5504179999999999E-2</v>
      </c>
      <c r="O2124">
        <v>6.2465289999999998E-3</v>
      </c>
      <c r="P2124">
        <v>-0.99624970000000002</v>
      </c>
      <c r="Q2124">
        <v>-8.6200390000000002E-2</v>
      </c>
      <c r="R2124">
        <v>7.4521369999999898E-3</v>
      </c>
      <c r="S2124">
        <v>-2.9941710000000001</v>
      </c>
      <c r="T2124">
        <v>-0.1941068</v>
      </c>
      <c r="U2124">
        <v>2.786255E-2</v>
      </c>
      <c r="V2124">
        <v>1.2252820000000001E-3</v>
      </c>
      <c r="W2124">
        <v>-7.0743630000000002E-2</v>
      </c>
      <c r="X2124">
        <v>0.99749379999999999</v>
      </c>
      <c r="Y2124">
        <v>3.0576359999999999E-3</v>
      </c>
      <c r="Z2124">
        <v>-1.8499790000000001E-4</v>
      </c>
      <c r="AA2124">
        <v>0.99999530000000003</v>
      </c>
      <c r="AB2124">
        <v>24</v>
      </c>
      <c r="AC2124">
        <v>-17.0623</v>
      </c>
      <c r="AD2124">
        <v>-1.121437745418</v>
      </c>
      <c r="AE2124">
        <v>0.15949999999997999</v>
      </c>
      <c r="AF2124">
        <v>5.2676386880197698E-2</v>
      </c>
      <c r="AG2124">
        <v>-1.121437745418</v>
      </c>
      <c r="AH2124">
        <v>16.989576368812902</v>
      </c>
      <c r="AI2124">
        <v>93.776448975579399</v>
      </c>
      <c r="AJ2124">
        <v>89.822354312344999</v>
      </c>
      <c r="AK2124">
        <v>17.026629220439101</v>
      </c>
      <c r="AL2124">
        <v>94.056699883262894</v>
      </c>
      <c r="AM2124">
        <v>89.929620162046007</v>
      </c>
      <c r="AN2124">
        <v>1.00000002176999</v>
      </c>
    </row>
    <row r="2125" spans="1:40" x14ac:dyDescent="0.25">
      <c r="A2125" t="str">
        <f>"20190303154506455"</f>
        <v>20190303154506455</v>
      </c>
      <c r="B2125" t="str">
        <f>"1551599106453065"</f>
        <v>1551599106453065</v>
      </c>
      <c r="C2125" t="s">
        <v>40</v>
      </c>
      <c r="D2125">
        <v>4.4524689999999998</v>
      </c>
      <c r="E2125">
        <v>0.49962079999999998</v>
      </c>
      <c r="F2125" t="s">
        <v>54</v>
      </c>
      <c r="G2125">
        <v>-475.35969999999998</v>
      </c>
      <c r="H2125" s="1">
        <v>4.249487E-6</v>
      </c>
      <c r="I2125">
        <v>284.75549999999998</v>
      </c>
      <c r="J2125">
        <v>-458.524</v>
      </c>
      <c r="K2125">
        <v>1.121553</v>
      </c>
      <c r="L2125">
        <v>284.63319999999999</v>
      </c>
      <c r="M2125">
        <v>-0.99985020000000002</v>
      </c>
      <c r="N2125">
        <v>-1.614817E-2</v>
      </c>
      <c r="O2125">
        <v>6.2467779999999997E-3</v>
      </c>
      <c r="P2125">
        <v>-0.99611470000000002</v>
      </c>
      <c r="Q2125">
        <v>-8.7802389999999994E-2</v>
      </c>
      <c r="R2125">
        <v>6.8307960000000001E-3</v>
      </c>
      <c r="S2125">
        <v>-2.99411</v>
      </c>
      <c r="T2125">
        <v>-0.19673969999999999</v>
      </c>
      <c r="U2125">
        <v>2.1697999999999999E-2</v>
      </c>
      <c r="V2125">
        <v>6.0466419999999897E-4</v>
      </c>
      <c r="W2125">
        <v>-7.1705140000000001E-2</v>
      </c>
      <c r="X2125">
        <v>0.99742569999999997</v>
      </c>
      <c r="Y2125">
        <v>1.004097E-3</v>
      </c>
      <c r="Z2125">
        <v>-2.6814679999999998E-4</v>
      </c>
      <c r="AA2125">
        <v>0.99999950000000004</v>
      </c>
      <c r="AB2125">
        <v>24</v>
      </c>
      <c r="AC2125">
        <v>-16.8356999999999</v>
      </c>
      <c r="AD2125">
        <v>-1.121548750513</v>
      </c>
      <c r="AE2125">
        <v>0.122299999999995</v>
      </c>
      <c r="AF2125">
        <v>1.7039414329301301E-2</v>
      </c>
      <c r="AG2125">
        <v>-1.121548750513</v>
      </c>
      <c r="AH2125">
        <v>16.761753058882402</v>
      </c>
      <c r="AI2125">
        <v>93.828020481771702</v>
      </c>
      <c r="AJ2125">
        <v>89.941755126285699</v>
      </c>
      <c r="AK2125">
        <v>16.7992418742148</v>
      </c>
      <c r="AL2125">
        <v>94.111930666669707</v>
      </c>
      <c r="AM2125">
        <v>89.965265881520196</v>
      </c>
      <c r="AN2125">
        <v>1.0000000098708499</v>
      </c>
    </row>
    <row r="2126" spans="1:40" x14ac:dyDescent="0.25">
      <c r="A2126" t="str">
        <f>"20190303154506479"</f>
        <v>20190303154506479</v>
      </c>
      <c r="B2126" t="str">
        <f>"1551599106472560"</f>
        <v>1551599106472560</v>
      </c>
      <c r="C2126" t="s">
        <v>40</v>
      </c>
      <c r="D2126">
        <v>4.4579149999999998</v>
      </c>
      <c r="E2126">
        <v>0.45656600000000003</v>
      </c>
      <c r="F2126" t="s">
        <v>54</v>
      </c>
      <c r="G2126">
        <v>-475.1857</v>
      </c>
      <c r="H2126" s="1">
        <v>4.324168E-6</v>
      </c>
      <c r="I2126">
        <v>284.72750000000002</v>
      </c>
      <c r="J2126">
        <v>-458.76749999999998</v>
      </c>
      <c r="K2126">
        <v>1.12165</v>
      </c>
      <c r="L2126">
        <v>284.63470000000001</v>
      </c>
      <c r="M2126">
        <v>-0.99983920000000004</v>
      </c>
      <c r="N2126">
        <v>-1.681707E-2</v>
      </c>
      <c r="O2126">
        <v>6.2472639999999998E-3</v>
      </c>
      <c r="P2126">
        <v>-0.99596669999999998</v>
      </c>
      <c r="Q2126">
        <v>-8.9515540000000005E-2</v>
      </c>
      <c r="R2126">
        <v>6.1225209999999997E-3</v>
      </c>
      <c r="S2126">
        <v>-2.9938349999999998</v>
      </c>
      <c r="T2126">
        <v>-0.20152400000000001</v>
      </c>
      <c r="U2126">
        <v>1.6937259999999999E-2</v>
      </c>
      <c r="V2126">
        <v>-1.035006E-4</v>
      </c>
      <c r="W2126">
        <v>-7.2753300000000007E-2</v>
      </c>
      <c r="X2126">
        <v>0.99734999999999996</v>
      </c>
      <c r="Y2126">
        <v>-5.8127229999999997E-4</v>
      </c>
      <c r="Z2126">
        <v>-3.3949659999999999E-4</v>
      </c>
      <c r="AA2126">
        <v>0.99999979999999999</v>
      </c>
      <c r="AB2126">
        <v>24</v>
      </c>
      <c r="AC2126">
        <v>-16.418199999999999</v>
      </c>
      <c r="AD2126">
        <v>-1.1216456758319999</v>
      </c>
      <c r="AE2126">
        <v>9.2800000000011096E-2</v>
      </c>
      <c r="AF2126">
        <v>-9.7396785356725496E-3</v>
      </c>
      <c r="AG2126">
        <v>-1.1216456758319999</v>
      </c>
      <c r="AH2126">
        <v>16.342188839031699</v>
      </c>
      <c r="AI2126">
        <v>93.926335919537493</v>
      </c>
      <c r="AJ2126">
        <v>90.034147347906298</v>
      </c>
      <c r="AK2126">
        <v>16.3806385691774</v>
      </c>
      <c r="AL2126">
        <v>94.172142967129901</v>
      </c>
      <c r="AM2126">
        <v>90.0059459041818</v>
      </c>
      <c r="AN2126">
        <v>1.0000000379366301</v>
      </c>
    </row>
    <row r="2127" spans="1:40" x14ac:dyDescent="0.25">
      <c r="A2127" t="str">
        <f>"20190303154506507"</f>
        <v>20190303154506507</v>
      </c>
      <c r="B2127" t="str">
        <f>"1551599106502815"</f>
        <v>1551599106502815</v>
      </c>
      <c r="C2127" t="s">
        <v>40</v>
      </c>
      <c r="D2127">
        <v>4.4298659999999996</v>
      </c>
      <c r="E2127">
        <v>0.43908789999999998</v>
      </c>
      <c r="F2127" t="s">
        <v>54</v>
      </c>
      <c r="G2127">
        <v>-474.86860000000001</v>
      </c>
      <c r="H2127" s="1">
        <v>4.3023670000000002E-6</v>
      </c>
      <c r="I2127">
        <v>282.86930000000001</v>
      </c>
      <c r="J2127">
        <v>-459.05500000000001</v>
      </c>
      <c r="K2127">
        <v>1.1217360000000001</v>
      </c>
      <c r="L2127">
        <v>284.63650000000001</v>
      </c>
      <c r="M2127">
        <v>-0.99982599999999999</v>
      </c>
      <c r="N2127">
        <v>-1.758355E-2</v>
      </c>
      <c r="O2127">
        <v>6.2473800000000003E-3</v>
      </c>
      <c r="P2127">
        <v>-0.9958766</v>
      </c>
      <c r="Q2127">
        <v>-9.0552240000000006E-2</v>
      </c>
      <c r="R2127">
        <v>5.5111559999999997E-3</v>
      </c>
      <c r="S2127">
        <v>-2.9954529999999999</v>
      </c>
      <c r="T2127">
        <v>-0.20867160000000001</v>
      </c>
      <c r="U2127">
        <v>-0.32843020000000001</v>
      </c>
      <c r="V2127">
        <v>-7.1459819999999995E-4</v>
      </c>
      <c r="W2127">
        <v>-7.3026889999999997E-2</v>
      </c>
      <c r="X2127">
        <v>0.99732969999999999</v>
      </c>
      <c r="Y2127">
        <v>-0.114845</v>
      </c>
      <c r="Z2127">
        <v>-5.3217809999999898E-3</v>
      </c>
      <c r="AA2127">
        <v>0.99336919999999995</v>
      </c>
      <c r="AB2127">
        <v>23</v>
      </c>
      <c r="AC2127">
        <v>-15.813599999999999</v>
      </c>
      <c r="AD2127">
        <v>-1.1217316976330001</v>
      </c>
      <c r="AE2127">
        <v>-1.7672000000000001</v>
      </c>
      <c r="AF2127">
        <v>-1.85674693993787</v>
      </c>
      <c r="AG2127">
        <v>-1.1217316976330001</v>
      </c>
      <c r="AH2127">
        <v>15.724105817149599</v>
      </c>
      <c r="AI2127">
        <v>94.052413494549597</v>
      </c>
      <c r="AJ2127">
        <v>96.734462645041305</v>
      </c>
      <c r="AK2127">
        <v>15.8730367273991</v>
      </c>
      <c r="AL2127">
        <v>94.187860554073296</v>
      </c>
      <c r="AM2127">
        <v>90.041053077935004</v>
      </c>
      <c r="AN2127">
        <v>0.99999998390787403</v>
      </c>
    </row>
    <row r="2128" spans="1:40" x14ac:dyDescent="0.25">
      <c r="A2128" t="str">
        <f>"20190303154506529"</f>
        <v>20190303154506529</v>
      </c>
      <c r="B2128" t="str">
        <f>"1551599106523312"</f>
        <v>1551599106523312</v>
      </c>
      <c r="C2128" t="s">
        <v>40</v>
      </c>
      <c r="D2128">
        <v>4.3944570000000001</v>
      </c>
      <c r="E2128">
        <v>0.43398409999999898</v>
      </c>
      <c r="F2128" t="s">
        <v>54</v>
      </c>
      <c r="G2128">
        <v>-475.44450000000001</v>
      </c>
      <c r="H2128" s="1">
        <v>3.9768970000000001E-6</v>
      </c>
      <c r="I2128">
        <v>282.0677</v>
      </c>
      <c r="J2128">
        <v>-459.27429999999998</v>
      </c>
      <c r="K2128">
        <v>1.1218030000000001</v>
      </c>
      <c r="L2128">
        <v>284.6379</v>
      </c>
      <c r="M2128">
        <v>-0.99981609999999999</v>
      </c>
      <c r="N2128">
        <v>-1.812919E-2</v>
      </c>
      <c r="O2128">
        <v>6.2475530000000003E-3</v>
      </c>
      <c r="P2128">
        <v>-0.99594649999999996</v>
      </c>
      <c r="Q2128">
        <v>-8.9784260000000005E-2</v>
      </c>
      <c r="R2128">
        <v>5.4291729999999998E-3</v>
      </c>
      <c r="S2128">
        <v>-2.9963679999999999</v>
      </c>
      <c r="T2128">
        <v>-0.20507739999999999</v>
      </c>
      <c r="U2128">
        <v>-0.46963500000000002</v>
      </c>
      <c r="V2128">
        <v>-7.96947E-4</v>
      </c>
      <c r="W2128">
        <v>-7.1713499999999999E-2</v>
      </c>
      <c r="X2128">
        <v>0.99742500000000001</v>
      </c>
      <c r="Y2128">
        <v>-0.16054089999999999</v>
      </c>
      <c r="Z2128">
        <v>-7.2326550000000002E-3</v>
      </c>
      <c r="AA2128">
        <v>0.98700270000000001</v>
      </c>
      <c r="AB2128">
        <v>23</v>
      </c>
      <c r="AC2128">
        <v>-16.170200000000001</v>
      </c>
      <c r="AD2128">
        <v>-1.1217990231029999</v>
      </c>
      <c r="AE2128">
        <v>-2.5701999999999998</v>
      </c>
      <c r="AF2128">
        <v>-2.6587100392999301</v>
      </c>
      <c r="AG2128">
        <v>-1.1217990231029999</v>
      </c>
      <c r="AH2128">
        <v>16.078348880624901</v>
      </c>
      <c r="AI2128">
        <v>93.937801212721197</v>
      </c>
      <c r="AJ2128">
        <v>99.389443861321595</v>
      </c>
      <c r="AK2128">
        <v>16.335252518660401</v>
      </c>
      <c r="AL2128">
        <v>94.112410747209196</v>
      </c>
      <c r="AM2128">
        <v>90.045779572277297</v>
      </c>
      <c r="AN2128">
        <v>1.00000004591588</v>
      </c>
    </row>
    <row r="2129" spans="1:40" x14ac:dyDescent="0.25">
      <c r="A2129" t="str">
        <f>"20190303154506549"</f>
        <v>20190303154506549</v>
      </c>
      <c r="B2129" t="str">
        <f>"1551599106542832"</f>
        <v>1551599106542832</v>
      </c>
      <c r="C2129" t="s">
        <v>40</v>
      </c>
      <c r="D2129">
        <v>4.3844200000000004</v>
      </c>
      <c r="E2129">
        <v>0.4307684</v>
      </c>
      <c r="F2129" t="s">
        <v>54</v>
      </c>
      <c r="G2129">
        <v>-475.93349999999998</v>
      </c>
      <c r="H2129" s="1">
        <v>3.736618E-6</v>
      </c>
      <c r="I2129">
        <v>281.7998</v>
      </c>
      <c r="J2129">
        <v>-459.48559999999998</v>
      </c>
      <c r="K2129">
        <v>1.1218459999999999</v>
      </c>
      <c r="L2129">
        <v>284.63920000000002</v>
      </c>
      <c r="M2129">
        <v>-0.99980740000000001</v>
      </c>
      <c r="N2129">
        <v>-1.8609009999999999E-2</v>
      </c>
      <c r="O2129">
        <v>6.2480139999999997E-3</v>
      </c>
      <c r="P2129">
        <v>-0.99602230000000003</v>
      </c>
      <c r="Q2129">
        <v>-8.8911119999999996E-2</v>
      </c>
      <c r="R2129">
        <v>5.8965759999999997E-3</v>
      </c>
      <c r="S2129">
        <v>-2.9967649999999999</v>
      </c>
      <c r="T2129">
        <v>-0.20179630000000001</v>
      </c>
      <c r="U2129">
        <v>-0.5105286</v>
      </c>
      <c r="V2129">
        <v>-3.3040609999999997E-4</v>
      </c>
      <c r="W2129">
        <v>-7.0360389999999995E-2</v>
      </c>
      <c r="X2129">
        <v>0.99752160000000001</v>
      </c>
      <c r="Y2129">
        <v>-0.17359959999999999</v>
      </c>
      <c r="Z2129">
        <v>-7.7279069999999896E-3</v>
      </c>
      <c r="AA2129">
        <v>0.98478600000000005</v>
      </c>
      <c r="AB2129">
        <v>23</v>
      </c>
      <c r="AC2129">
        <v>-16.447900000000001</v>
      </c>
      <c r="AD2129">
        <v>-1.121842263382</v>
      </c>
      <c r="AE2129">
        <v>-2.8394000000000101</v>
      </c>
      <c r="AF2129">
        <v>-2.9288980298171299</v>
      </c>
      <c r="AG2129">
        <v>-1.121842263382</v>
      </c>
      <c r="AH2129">
        <v>16.355948664042799</v>
      </c>
      <c r="AI2129">
        <v>93.862479446953202</v>
      </c>
      <c r="AJ2129">
        <v>100.152482552954</v>
      </c>
      <c r="AK2129">
        <v>16.653949394476399</v>
      </c>
      <c r="AL2129">
        <v>94.034687010199704</v>
      </c>
      <c r="AM2129">
        <v>90.018977909213206</v>
      </c>
      <c r="AN2129">
        <v>1.0000000180578501</v>
      </c>
    </row>
    <row r="2130" spans="1:40" x14ac:dyDescent="0.25">
      <c r="A2130" t="str">
        <f>"20190303154506566"</f>
        <v>20190303154506566</v>
      </c>
      <c r="B2130" t="str">
        <f>"1551599106562859"</f>
        <v>1551599106562859</v>
      </c>
      <c r="C2130" t="s">
        <v>40</v>
      </c>
      <c r="D2130">
        <v>4.4030690000000003</v>
      </c>
      <c r="E2130">
        <v>0.42840040000000001</v>
      </c>
      <c r="F2130" t="s">
        <v>54</v>
      </c>
      <c r="G2130">
        <v>-476.33139999999997</v>
      </c>
      <c r="H2130" s="1">
        <v>3.5455670000000001E-6</v>
      </c>
      <c r="I2130">
        <v>281.63279999999997</v>
      </c>
      <c r="J2130">
        <v>-459.66340000000002</v>
      </c>
      <c r="K2130">
        <v>1.1218699999999999</v>
      </c>
      <c r="L2130">
        <v>284.64030000000002</v>
      </c>
      <c r="M2130">
        <v>-0.99980040000000003</v>
      </c>
      <c r="N2130">
        <v>-1.8977359999999999E-2</v>
      </c>
      <c r="O2130">
        <v>6.2483520000000004E-3</v>
      </c>
      <c r="P2130">
        <v>-0.99596600000000002</v>
      </c>
      <c r="Q2130">
        <v>-8.9458940000000001E-2</v>
      </c>
      <c r="R2130">
        <v>6.9911399999999999E-3</v>
      </c>
      <c r="S2130">
        <v>-2.9973450000000001</v>
      </c>
      <c r="T2130">
        <v>-0.19960700000000001</v>
      </c>
      <c r="U2130">
        <v>-0.5349121</v>
      </c>
      <c r="V2130">
        <v>7.6393849999999998E-4</v>
      </c>
      <c r="W2130">
        <v>-7.0541599999999996E-2</v>
      </c>
      <c r="X2130">
        <v>0.99750850000000002</v>
      </c>
      <c r="Y2130">
        <v>-0.18132480000000001</v>
      </c>
      <c r="Z2130">
        <v>-8.0152969999999994E-3</v>
      </c>
      <c r="AA2130">
        <v>0.9833906</v>
      </c>
      <c r="AB2130">
        <v>23</v>
      </c>
      <c r="AC2130">
        <v>-16.6679999999999</v>
      </c>
      <c r="AD2130">
        <v>-1.1218664544329999</v>
      </c>
      <c r="AE2130">
        <v>-3.00750000000005</v>
      </c>
      <c r="AF2130">
        <v>-3.0980155100426998</v>
      </c>
      <c r="AG2130">
        <v>-1.1218664544329999</v>
      </c>
      <c r="AH2130">
        <v>16.576153975009301</v>
      </c>
      <c r="AI2130">
        <v>93.806142326518696</v>
      </c>
      <c r="AJ2130">
        <v>100.58621573829799</v>
      </c>
      <c r="AK2130">
        <v>16.900448664022601</v>
      </c>
      <c r="AL2130">
        <v>94.045095699194704</v>
      </c>
      <c r="AM2130">
        <v>89.956120230253504</v>
      </c>
      <c r="AN2130">
        <v>0.99999995425241905</v>
      </c>
    </row>
    <row r="2131" spans="1:40" x14ac:dyDescent="0.25">
      <c r="A2131" t="str">
        <f>"20190303154506588"</f>
        <v>20190303154506588</v>
      </c>
      <c r="B2131" t="str">
        <f>"1551599106582378"</f>
        <v>1551599106582378</v>
      </c>
      <c r="C2131" t="s">
        <v>40</v>
      </c>
      <c r="D2131">
        <v>4.4292959999999999</v>
      </c>
      <c r="E2131">
        <v>0.42679660000000003</v>
      </c>
      <c r="F2131" t="s">
        <v>54</v>
      </c>
      <c r="G2131">
        <v>-476.3236</v>
      </c>
      <c r="H2131" s="1">
        <v>3.5445169999999999E-6</v>
      </c>
      <c r="I2131">
        <v>281.58100000000002</v>
      </c>
      <c r="J2131">
        <v>-459.88099999999997</v>
      </c>
      <c r="K2131">
        <v>1.121888</v>
      </c>
      <c r="L2131">
        <v>284.64170000000001</v>
      </c>
      <c r="M2131">
        <v>-0.99979280000000004</v>
      </c>
      <c r="N2131">
        <v>-1.93761E-2</v>
      </c>
      <c r="O2131">
        <v>6.2485650000000002E-3</v>
      </c>
      <c r="P2131">
        <v>-0.99589000000000005</v>
      </c>
      <c r="Q2131">
        <v>-9.0178439999999999E-2</v>
      </c>
      <c r="R2131">
        <v>8.4273239999999999E-3</v>
      </c>
      <c r="S2131">
        <v>-2.9978940000000001</v>
      </c>
      <c r="T2131">
        <v>-0.20187250000000001</v>
      </c>
      <c r="U2131">
        <v>-0.55050659999999996</v>
      </c>
      <c r="V2131">
        <v>2.2004619999999998E-3</v>
      </c>
      <c r="W2131">
        <v>-7.0864490000000002E-2</v>
      </c>
      <c r="X2131">
        <v>0.99748360000000003</v>
      </c>
      <c r="Y2131">
        <v>-0.18621860000000001</v>
      </c>
      <c r="Z2131">
        <v>-8.329655E-3</v>
      </c>
      <c r="AA2131">
        <v>0.98247300000000004</v>
      </c>
      <c r="AB2131">
        <v>22</v>
      </c>
      <c r="AC2131">
        <v>-16.442599999999999</v>
      </c>
      <c r="AD2131">
        <v>-1.1218844554830001</v>
      </c>
      <c r="AE2131">
        <v>-3.0607000000000499</v>
      </c>
      <c r="AF2131">
        <v>-3.1492322718127501</v>
      </c>
      <c r="AG2131">
        <v>-1.1218844554830001</v>
      </c>
      <c r="AH2131">
        <v>16.349585743516201</v>
      </c>
      <c r="AI2131">
        <v>93.854760042081907</v>
      </c>
      <c r="AJ2131">
        <v>100.902697557282</v>
      </c>
      <c r="AK2131">
        <v>16.6878771153754</v>
      </c>
      <c r="AL2131">
        <v>94.063641857069697</v>
      </c>
      <c r="AM2131">
        <v>89.8736049584559</v>
      </c>
      <c r="AN2131">
        <v>1.00000007512246</v>
      </c>
    </row>
    <row r="2132" spans="1:40" x14ac:dyDescent="0.25">
      <c r="A2132" t="str">
        <f>"20190303154506610"</f>
        <v>20190303154506610</v>
      </c>
      <c r="B2132" t="str">
        <f>"1551599106602874"</f>
        <v>1551599106602874</v>
      </c>
      <c r="C2132" t="s">
        <v>40</v>
      </c>
      <c r="D2132">
        <v>4.4175399999999998</v>
      </c>
      <c r="E2132">
        <v>0.42546620000000002</v>
      </c>
      <c r="F2132" t="s">
        <v>54</v>
      </c>
      <c r="G2132">
        <v>-476.38729999999998</v>
      </c>
      <c r="H2132" s="1">
        <v>3.5149060000000002E-6</v>
      </c>
      <c r="I2132">
        <v>281.56549999999999</v>
      </c>
      <c r="J2132">
        <v>-460.09789999999998</v>
      </c>
      <c r="K2132">
        <v>1.1218950000000001</v>
      </c>
      <c r="L2132">
        <v>284.64299999999997</v>
      </c>
      <c r="M2132">
        <v>-0.99978670000000003</v>
      </c>
      <c r="N2132">
        <v>-1.9694710000000001E-2</v>
      </c>
      <c r="O2132">
        <v>6.2486590000000002E-3</v>
      </c>
      <c r="P2132">
        <v>-0.99590469999999998</v>
      </c>
      <c r="Q2132">
        <v>-8.9856599999999995E-2</v>
      </c>
      <c r="R2132">
        <v>9.9951510000000007E-3</v>
      </c>
      <c r="S2132">
        <v>-2.9986269999999999</v>
      </c>
      <c r="T2132">
        <v>-0.20380780000000001</v>
      </c>
      <c r="U2132">
        <v>-0.5588379</v>
      </c>
      <c r="V2132">
        <v>3.7680169999999998E-3</v>
      </c>
      <c r="W2132">
        <v>-7.0224430000000004E-2</v>
      </c>
      <c r="X2132">
        <v>0.99752410000000002</v>
      </c>
      <c r="Y2132">
        <v>-0.18879679999999999</v>
      </c>
      <c r="Z2132">
        <v>-8.5307170000000002E-3</v>
      </c>
      <c r="AA2132">
        <v>0.98197909999999999</v>
      </c>
      <c r="AB2132">
        <v>22</v>
      </c>
      <c r="AC2132">
        <v>-16.289400000000001</v>
      </c>
      <c r="AD2132">
        <v>-1.1218914850940001</v>
      </c>
      <c r="AE2132">
        <v>-3.0774999999999801</v>
      </c>
      <c r="AF2132">
        <v>-3.1647521329359098</v>
      </c>
      <c r="AG2132">
        <v>-1.1218914850940001</v>
      </c>
      <c r="AH2132">
        <v>16.1956725718013</v>
      </c>
      <c r="AI2132">
        <v>93.8892831719496</v>
      </c>
      <c r="AJ2132">
        <v>101.056687227918</v>
      </c>
      <c r="AK2132">
        <v>16.540075774319899</v>
      </c>
      <c r="AL2132">
        <v>94.026877835074799</v>
      </c>
      <c r="AM2132">
        <v>89.783573705712797</v>
      </c>
      <c r="AN2132">
        <v>0.99999999930087302</v>
      </c>
    </row>
    <row r="2133" spans="1:40" x14ac:dyDescent="0.25">
      <c r="A2133" t="str">
        <f>"20190303154506634"</f>
        <v>20190303154506634</v>
      </c>
      <c r="B2133" t="str">
        <f>"1551599106622395"</f>
        <v>1551599106622395</v>
      </c>
      <c r="C2133" t="s">
        <v>40</v>
      </c>
      <c r="D2133">
        <v>4.4095230000000001</v>
      </c>
      <c r="E2133">
        <v>0.42439539999999998</v>
      </c>
      <c r="F2133" t="s">
        <v>54</v>
      </c>
      <c r="G2133">
        <v>-476.60410000000002</v>
      </c>
      <c r="H2133" s="1">
        <v>3.4160910000000002E-6</v>
      </c>
      <c r="I2133">
        <v>281.5351</v>
      </c>
      <c r="J2133">
        <v>-460.3261</v>
      </c>
      <c r="K2133">
        <v>1.1218950000000001</v>
      </c>
      <c r="L2133">
        <v>284.64440000000002</v>
      </c>
      <c r="M2133">
        <v>-0.99978199999999995</v>
      </c>
      <c r="N2133">
        <v>-1.993346E-2</v>
      </c>
      <c r="O2133">
        <v>6.2481239999999999E-3</v>
      </c>
      <c r="P2133">
        <v>-0.9960734</v>
      </c>
      <c r="Q2133">
        <v>-8.7781440000000002E-2</v>
      </c>
      <c r="R2133">
        <v>1.1515360000000001E-2</v>
      </c>
      <c r="S2133">
        <v>-2.9995419999999999</v>
      </c>
      <c r="T2133">
        <v>-0.20387240000000001</v>
      </c>
      <c r="U2133">
        <v>-0.56478879999999998</v>
      </c>
      <c r="V2133">
        <v>5.2878379999999996E-3</v>
      </c>
      <c r="W2133">
        <v>-6.7907969999999998E-2</v>
      </c>
      <c r="X2133">
        <v>0.99767760000000005</v>
      </c>
      <c r="Y2133">
        <v>-0.1906176</v>
      </c>
      <c r="Z2133">
        <v>-8.6308349999999999E-3</v>
      </c>
      <c r="AA2133">
        <v>0.98162649999999996</v>
      </c>
      <c r="AB2133">
        <v>22</v>
      </c>
      <c r="AC2133">
        <v>-16.277999999999999</v>
      </c>
      <c r="AD2133">
        <v>-1.121891583909</v>
      </c>
      <c r="AE2133">
        <v>-3.1093000000000099</v>
      </c>
      <c r="AF2133">
        <v>-3.1963181652506698</v>
      </c>
      <c r="AG2133">
        <v>-1.121891583909</v>
      </c>
      <c r="AH2133">
        <v>16.184081642204202</v>
      </c>
      <c r="AI2133">
        <v>93.8905265389389</v>
      </c>
      <c r="AJ2133">
        <v>101.172006912321</v>
      </c>
      <c r="AK2133">
        <v>16.534799337793299</v>
      </c>
      <c r="AL2133">
        <v>93.893836636981803</v>
      </c>
      <c r="AM2133">
        <v>89.696326786105303</v>
      </c>
      <c r="AN2133">
        <v>1.00000002358099</v>
      </c>
    </row>
    <row r="2134" spans="1:40" x14ac:dyDescent="0.25">
      <c r="A2134" t="str">
        <f>"20190303154506656"</f>
        <v>20190303154506656</v>
      </c>
      <c r="B2134" t="str">
        <f>"1551599106652650"</f>
        <v>1551599106652650</v>
      </c>
      <c r="C2134" t="s">
        <v>40</v>
      </c>
      <c r="D2134">
        <v>4.4349129999999999</v>
      </c>
      <c r="E2134">
        <v>0.42274729999999999</v>
      </c>
      <c r="F2134" t="s">
        <v>54</v>
      </c>
      <c r="G2134">
        <v>-477.35989999999998</v>
      </c>
      <c r="H2134" s="1">
        <v>3.0705289999999998E-6</v>
      </c>
      <c r="I2134">
        <v>281.41609999999997</v>
      </c>
      <c r="J2134">
        <v>-460.54559999999998</v>
      </c>
      <c r="K2134">
        <v>1.1218760000000001</v>
      </c>
      <c r="L2134">
        <v>284.64580000000001</v>
      </c>
      <c r="M2134">
        <v>-0.99977919999999998</v>
      </c>
      <c r="N2134">
        <v>-2.0071289999999999E-2</v>
      </c>
      <c r="O2134">
        <v>6.2461819999999899E-3</v>
      </c>
      <c r="P2134">
        <v>-0.99616479999999996</v>
      </c>
      <c r="Q2134">
        <v>-8.6657540000000005E-2</v>
      </c>
      <c r="R2134">
        <v>1.210586E-2</v>
      </c>
      <c r="S2134">
        <v>-3.0009769999999998</v>
      </c>
      <c r="T2134">
        <v>-0.19765250000000001</v>
      </c>
      <c r="U2134">
        <v>-0.56875609999999999</v>
      </c>
      <c r="V2134">
        <v>5.8797709999999998E-3</v>
      </c>
      <c r="W2134">
        <v>-6.6644839999999997E-2</v>
      </c>
      <c r="X2134">
        <v>0.99775950000000002</v>
      </c>
      <c r="Y2134">
        <v>-0.1918097</v>
      </c>
      <c r="Z2134">
        <v>-8.4822130000000006E-3</v>
      </c>
      <c r="AA2134">
        <v>0.98139549999999998</v>
      </c>
      <c r="AB2134">
        <v>22</v>
      </c>
      <c r="AC2134">
        <v>-16.814299999999999</v>
      </c>
      <c r="AD2134">
        <v>-1.1218729294709999</v>
      </c>
      <c r="AE2134">
        <v>-3.22970000000003</v>
      </c>
      <c r="AF2134">
        <v>-3.3204275783525099</v>
      </c>
      <c r="AG2134">
        <v>-1.1218729294709999</v>
      </c>
      <c r="AH2134">
        <v>16.72200131572</v>
      </c>
      <c r="AI2134">
        <v>93.764913601657199</v>
      </c>
      <c r="AJ2134">
        <v>101.23093063737799</v>
      </c>
      <c r="AK2134">
        <v>17.0853494601634</v>
      </c>
      <c r="AL2134">
        <v>93.821300124383896</v>
      </c>
      <c r="AM2134">
        <v>89.662361357433696</v>
      </c>
      <c r="AN2134">
        <v>1.00000006312294</v>
      </c>
    </row>
    <row r="2135" spans="1:40" x14ac:dyDescent="0.25">
      <c r="A2135" t="str">
        <f>"20190303154506678"</f>
        <v>20190303154506678</v>
      </c>
      <c r="B2135" t="str">
        <f>"1551599106673146"</f>
        <v>1551599106673146</v>
      </c>
      <c r="C2135" t="s">
        <v>40</v>
      </c>
      <c r="D2135">
        <v>4.4505999999999997</v>
      </c>
      <c r="E2135">
        <v>0.42186790000000002</v>
      </c>
      <c r="F2135" t="s">
        <v>54</v>
      </c>
      <c r="G2135">
        <v>-477.81459999999998</v>
      </c>
      <c r="H2135" s="1">
        <v>2.8595080000000001E-6</v>
      </c>
      <c r="I2135">
        <v>281.30869999999999</v>
      </c>
      <c r="J2135">
        <v>-460.75349999999997</v>
      </c>
      <c r="K2135">
        <v>1.1218459999999999</v>
      </c>
      <c r="L2135">
        <v>284.64710000000002</v>
      </c>
      <c r="M2135">
        <v>-0.99977839999999996</v>
      </c>
      <c r="N2135">
        <v>-2.010323E-2</v>
      </c>
      <c r="O2135">
        <v>6.2431459999999998E-3</v>
      </c>
      <c r="P2135">
        <v>-0.99611470000000002</v>
      </c>
      <c r="Q2135">
        <v>-8.7328639999999999E-2</v>
      </c>
      <c r="R2135">
        <v>1.137639E-2</v>
      </c>
      <c r="S2135">
        <v>-3.0016479999999999</v>
      </c>
      <c r="T2135">
        <v>-0.1950009</v>
      </c>
      <c r="U2135">
        <v>-0.5800476</v>
      </c>
      <c r="V2135">
        <v>5.1540359999999999E-3</v>
      </c>
      <c r="W2135">
        <v>-6.7285010000000006E-2</v>
      </c>
      <c r="X2135">
        <v>0.99772050000000001</v>
      </c>
      <c r="Y2135">
        <v>-0.19533020000000001</v>
      </c>
      <c r="Z2135">
        <v>-8.5416480000000006E-3</v>
      </c>
      <c r="AA2135">
        <v>0.98070029999999997</v>
      </c>
      <c r="AB2135">
        <v>22</v>
      </c>
      <c r="AC2135">
        <v>-17.0611</v>
      </c>
      <c r="AD2135">
        <v>-1.121843140492</v>
      </c>
      <c r="AE2135">
        <v>-3.3384000000000298</v>
      </c>
      <c r="AF2135">
        <v>-3.4305857115010001</v>
      </c>
      <c r="AG2135">
        <v>-1.121843140492</v>
      </c>
      <c r="AH2135">
        <v>16.9692575237044</v>
      </c>
      <c r="AI2135">
        <v>93.707548167209495</v>
      </c>
      <c r="AJ2135">
        <v>101.42914331003099</v>
      </c>
      <c r="AK2135">
        <v>17.348865993534599</v>
      </c>
      <c r="AL2135">
        <v>93.858061859996695</v>
      </c>
      <c r="AM2135">
        <v>89.704023437919602</v>
      </c>
      <c r="AN2135">
        <v>1.0000000163890099</v>
      </c>
    </row>
    <row r="2136" spans="1:40" x14ac:dyDescent="0.25">
      <c r="A2136" t="str">
        <f>"20190303154506704"</f>
        <v>20190303154506704</v>
      </c>
      <c r="B2136" t="str">
        <f>"1551599106692666"</f>
        <v>1551599106692666</v>
      </c>
      <c r="C2136" t="s">
        <v>40</v>
      </c>
      <c r="D2136">
        <v>4.4532619999999996</v>
      </c>
      <c r="E2136">
        <v>0.41133459999999999</v>
      </c>
      <c r="F2136" t="s">
        <v>54</v>
      </c>
      <c r="G2136">
        <v>-477.80779999999999</v>
      </c>
      <c r="H2136" s="1">
        <v>2.8617009999999999E-6</v>
      </c>
      <c r="I2136">
        <v>281.29939999999999</v>
      </c>
      <c r="J2136">
        <v>-460.9982</v>
      </c>
      <c r="K2136">
        <v>1.1217820000000001</v>
      </c>
      <c r="L2136">
        <v>284.64859999999999</v>
      </c>
      <c r="M2136">
        <v>-0.99978049999999996</v>
      </c>
      <c r="N2136">
        <v>-2.0001399999999999E-2</v>
      </c>
      <c r="O2136">
        <v>6.2374020000000004E-3</v>
      </c>
      <c r="P2136">
        <v>-0.99599990000000005</v>
      </c>
      <c r="Q2136">
        <v>-8.883423E-2</v>
      </c>
      <c r="R2136">
        <v>9.6374890000000008E-3</v>
      </c>
      <c r="S2136">
        <v>-3.001099</v>
      </c>
      <c r="T2136">
        <v>-0.19741429999999999</v>
      </c>
      <c r="U2136">
        <v>-0.5891113</v>
      </c>
      <c r="V2136">
        <v>3.4215949999999999E-3</v>
      </c>
      <c r="W2136">
        <v>-6.8894339999999998E-2</v>
      </c>
      <c r="X2136">
        <v>0.99761809999999995</v>
      </c>
      <c r="Y2136">
        <v>-0.19819200000000001</v>
      </c>
      <c r="Z2136">
        <v>-8.7364909999999903E-3</v>
      </c>
      <c r="AA2136">
        <v>0.98012429999999995</v>
      </c>
      <c r="AB2136">
        <v>22</v>
      </c>
      <c r="AC2136">
        <v>-16.8095999999999</v>
      </c>
      <c r="AD2136">
        <v>-1.1217791382989999</v>
      </c>
      <c r="AE2136">
        <v>-3.34919999999999</v>
      </c>
      <c r="AF2136">
        <v>-3.4392721142316902</v>
      </c>
      <c r="AG2136">
        <v>-1.1217791382989999</v>
      </c>
      <c r="AH2136">
        <v>16.716773076440099</v>
      </c>
      <c r="AI2136">
        <v>93.760547563223298</v>
      </c>
      <c r="AJ2136">
        <v>101.625688282924</v>
      </c>
      <c r="AK2136">
        <v>17.1037271727552</v>
      </c>
      <c r="AL2136">
        <v>93.950484222104606</v>
      </c>
      <c r="AM2136">
        <v>89.803489748225701</v>
      </c>
      <c r="AN2136">
        <v>1.00000000542199</v>
      </c>
    </row>
    <row r="2137" spans="1:40" x14ac:dyDescent="0.25">
      <c r="A2137" t="str">
        <f>"20190303154506725"</f>
        <v>20190303154506725</v>
      </c>
      <c r="B2137" t="str">
        <f>"1551599106722922"</f>
        <v>1551599106722922</v>
      </c>
      <c r="C2137" t="s">
        <v>40</v>
      </c>
      <c r="D2137">
        <v>4.4344419999999998</v>
      </c>
      <c r="E2137">
        <v>0.4109544</v>
      </c>
      <c r="F2137" t="s">
        <v>54</v>
      </c>
      <c r="G2137">
        <v>-476.709</v>
      </c>
      <c r="H2137" s="1">
        <v>3.3310700000000002E-6</v>
      </c>
      <c r="I2137">
        <v>281.09480000000002</v>
      </c>
      <c r="J2137">
        <v>-461.21519999999998</v>
      </c>
      <c r="K2137">
        <v>1.121712</v>
      </c>
      <c r="L2137">
        <v>284.64999999999998</v>
      </c>
      <c r="M2137">
        <v>-0.99978460000000002</v>
      </c>
      <c r="N2137">
        <v>-1.9797559999999999E-2</v>
      </c>
      <c r="O2137">
        <v>6.2310150000000003E-3</v>
      </c>
      <c r="P2137">
        <v>-0.99585239999999997</v>
      </c>
      <c r="Q2137">
        <v>-9.0652880000000005E-2</v>
      </c>
      <c r="R2137">
        <v>7.7641780000000001E-3</v>
      </c>
      <c r="S2137">
        <v>-2.9994809999999998</v>
      </c>
      <c r="T2137">
        <v>-0.2141682</v>
      </c>
      <c r="U2137">
        <v>-0.67849729999999997</v>
      </c>
      <c r="V2137">
        <v>1.555905E-3</v>
      </c>
      <c r="W2137">
        <v>-7.0919099999999999E-2</v>
      </c>
      <c r="X2137">
        <v>0.9974809</v>
      </c>
      <c r="Y2137">
        <v>-0.225991</v>
      </c>
      <c r="Z2137">
        <v>-1.0543520000000001E-2</v>
      </c>
      <c r="AA2137">
        <v>0.9740723</v>
      </c>
      <c r="AB2137">
        <v>22</v>
      </c>
      <c r="AC2137">
        <v>-15.4938</v>
      </c>
      <c r="AD2137">
        <v>-1.12170866893</v>
      </c>
      <c r="AE2137">
        <v>-3.55519999999995</v>
      </c>
      <c r="AF2137">
        <v>-3.6335995613855201</v>
      </c>
      <c r="AG2137">
        <v>-1.12170866893</v>
      </c>
      <c r="AH2137">
        <v>15.3946890181952</v>
      </c>
      <c r="AI2137">
        <v>94.056328007602701</v>
      </c>
      <c r="AJ2137">
        <v>103.280433149008</v>
      </c>
      <c r="AK2137">
        <v>15.8574186448297</v>
      </c>
      <c r="AL2137">
        <v>94.066778803516996</v>
      </c>
      <c r="AM2137">
        <v>89.910628145839297</v>
      </c>
      <c r="AN2137">
        <v>1.00000004272499</v>
      </c>
    </row>
    <row r="2138" spans="1:40" x14ac:dyDescent="0.25">
      <c r="A2138" t="str">
        <f>"20190303154506746"</f>
        <v>20190303154506746</v>
      </c>
      <c r="B2138" t="str">
        <f>"1551599106742442"</f>
        <v>1551599106742442</v>
      </c>
      <c r="C2138" t="s">
        <v>40</v>
      </c>
      <c r="D2138">
        <v>4.4854969999999996</v>
      </c>
      <c r="E2138">
        <v>0.41110020000000003</v>
      </c>
      <c r="F2138" t="s">
        <v>54</v>
      </c>
      <c r="G2138">
        <v>-476.31450000000001</v>
      </c>
      <c r="H2138" s="1">
        <v>3.5142679999999999E-6</v>
      </c>
      <c r="I2138">
        <v>281.1891</v>
      </c>
      <c r="J2138">
        <v>-461.40429999999998</v>
      </c>
      <c r="K2138">
        <v>1.1216440000000001</v>
      </c>
      <c r="L2138">
        <v>284.65120000000002</v>
      </c>
      <c r="M2138">
        <v>-0.99978929999999999</v>
      </c>
      <c r="N2138">
        <v>-1.9566670000000001E-2</v>
      </c>
      <c r="O2138">
        <v>6.2247650000000002E-3</v>
      </c>
      <c r="P2138">
        <v>-0.99573630000000002</v>
      </c>
      <c r="Q2138">
        <v>-9.1976199999999994E-2</v>
      </c>
      <c r="R2138">
        <v>7.0781369999999904E-3</v>
      </c>
      <c r="S2138">
        <v>-2.997528</v>
      </c>
      <c r="T2138">
        <v>-0.22268189999999999</v>
      </c>
      <c r="U2138">
        <v>-0.68704219999999905</v>
      </c>
      <c r="V2138">
        <v>8.7690039999999895E-4</v>
      </c>
      <c r="W2138">
        <v>-7.2474880000000005E-2</v>
      </c>
      <c r="X2138">
        <v>0.99736979999999997</v>
      </c>
      <c r="Y2138">
        <v>-0.22870119999999999</v>
      </c>
      <c r="Z2138">
        <v>-1.0981029999999999E-2</v>
      </c>
      <c r="AA2138">
        <v>0.97343469999999999</v>
      </c>
      <c r="AB2138">
        <v>21</v>
      </c>
      <c r="AC2138">
        <v>-14.9102</v>
      </c>
      <c r="AD2138">
        <v>-1.1216404857319999</v>
      </c>
      <c r="AE2138">
        <v>-3.4621000000000199</v>
      </c>
      <c r="AF2138">
        <v>-3.5358772213106802</v>
      </c>
      <c r="AG2138">
        <v>-1.1216404857319999</v>
      </c>
      <c r="AH2138">
        <v>14.808839914867299</v>
      </c>
      <c r="AI2138">
        <v>94.213391792427004</v>
      </c>
      <c r="AJ2138">
        <v>103.42897118191701</v>
      </c>
      <c r="AK2138">
        <v>15.266376280165</v>
      </c>
      <c r="AL2138">
        <v>94.156148829277996</v>
      </c>
      <c r="AM2138">
        <v>89.949624824185307</v>
      </c>
      <c r="AN2138">
        <v>0.99999994756868105</v>
      </c>
    </row>
    <row r="2139" spans="1:40" x14ac:dyDescent="0.25">
      <c r="A2139" t="str">
        <f>"20190303154506766"</f>
        <v>20190303154506766</v>
      </c>
      <c r="B2139" t="str">
        <f>"1551599106762941"</f>
        <v>1551599106762941</v>
      </c>
      <c r="C2139" t="s">
        <v>40</v>
      </c>
      <c r="D2139">
        <v>4.7211429999999996</v>
      </c>
      <c r="E2139">
        <v>0.44890289999999999</v>
      </c>
      <c r="F2139" t="s">
        <v>54</v>
      </c>
      <c r="G2139">
        <v>-476.1123</v>
      </c>
      <c r="H2139" s="1">
        <v>3.6114319999999999E-6</v>
      </c>
      <c r="I2139">
        <v>281.27499999999998</v>
      </c>
      <c r="J2139">
        <v>-461.60849999999999</v>
      </c>
      <c r="K2139">
        <v>1.1215869999999999</v>
      </c>
      <c r="L2139">
        <v>284.6524</v>
      </c>
      <c r="M2139">
        <v>-0.99979470000000004</v>
      </c>
      <c r="N2139">
        <v>-1.9291059999999999E-2</v>
      </c>
      <c r="O2139">
        <v>6.2174969999999998E-3</v>
      </c>
      <c r="P2139">
        <v>-0.99568690000000004</v>
      </c>
      <c r="Q2139">
        <v>-9.2505279999999995E-2</v>
      </c>
      <c r="R2139">
        <v>7.1105029999999998E-3</v>
      </c>
      <c r="S2139">
        <v>-2.9966430000000002</v>
      </c>
      <c r="T2139">
        <v>-0.22852430000000001</v>
      </c>
      <c r="U2139">
        <v>-0.68786619999999998</v>
      </c>
      <c r="V2139">
        <v>9.1665309999999995E-4</v>
      </c>
      <c r="W2139">
        <v>-7.3279769999999994E-2</v>
      </c>
      <c r="X2139">
        <v>0.99731099999999995</v>
      </c>
      <c r="Y2139">
        <v>-0.22897519999999999</v>
      </c>
      <c r="Z2139">
        <v>-1.1196960000000001E-2</v>
      </c>
      <c r="AA2139">
        <v>0.97336789999999995</v>
      </c>
      <c r="AB2139">
        <v>21</v>
      </c>
      <c r="AC2139">
        <v>-14.5038</v>
      </c>
      <c r="AD2139">
        <v>-1.121583388568</v>
      </c>
      <c r="AE2139">
        <v>-3.3774000000000202</v>
      </c>
      <c r="AF2139">
        <v>-3.4479705649772301</v>
      </c>
      <c r="AG2139">
        <v>-1.121583388568</v>
      </c>
      <c r="AH2139">
        <v>14.4008295443103</v>
      </c>
      <c r="AI2139">
        <v>94.331454688597205</v>
      </c>
      <c r="AJ2139">
        <v>103.464773920214</v>
      </c>
      <c r="AK2139">
        <v>14.850264033974</v>
      </c>
      <c r="AL2139">
        <v>94.202388376916204</v>
      </c>
      <c r="AM2139">
        <v>89.947338052906204</v>
      </c>
      <c r="AN2139">
        <v>0.99999999783257898</v>
      </c>
    </row>
    <row r="2140" spans="1:40" x14ac:dyDescent="0.25">
      <c r="A2140" t="str">
        <f>"20190303154506790"</f>
        <v>20190303154506790</v>
      </c>
      <c r="B2140" t="str">
        <f>"1551599106782458"</f>
        <v>1551599106782458</v>
      </c>
      <c r="C2140" t="s">
        <v>40</v>
      </c>
      <c r="D2140">
        <v>4.5980910000000002</v>
      </c>
      <c r="E2140">
        <v>0.49288900000000002</v>
      </c>
      <c r="F2140" t="s">
        <v>54</v>
      </c>
      <c r="G2140">
        <v>-476.26859999999999</v>
      </c>
      <c r="H2140" s="1">
        <v>3.6720519999999999E-6</v>
      </c>
      <c r="I2140">
        <v>282.76080000000002</v>
      </c>
      <c r="J2140">
        <v>-461.82569999999998</v>
      </c>
      <c r="K2140">
        <v>1.12154</v>
      </c>
      <c r="L2140">
        <v>284.65370000000001</v>
      </c>
      <c r="M2140">
        <v>-0.99980060000000004</v>
      </c>
      <c r="N2140">
        <v>-1.8979050000000001E-2</v>
      </c>
      <c r="O2140">
        <v>6.2089440000000001E-3</v>
      </c>
      <c r="P2140">
        <v>-0.99574549999999995</v>
      </c>
      <c r="Q2140">
        <v>-9.1852180000000005E-2</v>
      </c>
      <c r="R2140">
        <v>7.345575E-3</v>
      </c>
      <c r="S2140">
        <v>-2.994507</v>
      </c>
      <c r="T2140">
        <v>-0.2290982</v>
      </c>
      <c r="U2140">
        <v>-0.38638309999999998</v>
      </c>
      <c r="V2140">
        <v>1.159878E-3</v>
      </c>
      <c r="W2140">
        <v>-7.2936860000000006E-2</v>
      </c>
      <c r="X2140">
        <v>0.99733590000000005</v>
      </c>
      <c r="Y2140">
        <v>-0.13363510000000001</v>
      </c>
      <c r="Z2140">
        <v>-6.7144769999999999E-3</v>
      </c>
      <c r="AA2140">
        <v>0.99100790000000005</v>
      </c>
      <c r="AB2140">
        <v>21</v>
      </c>
      <c r="AC2140">
        <v>-14.4429</v>
      </c>
      <c r="AD2140">
        <v>-1.121536327948</v>
      </c>
      <c r="AE2140">
        <v>-1.89289999999999</v>
      </c>
      <c r="AF2140">
        <v>-1.9708711341313401</v>
      </c>
      <c r="AG2140">
        <v>-1.121536327948</v>
      </c>
      <c r="AH2140">
        <v>14.3458218647783</v>
      </c>
      <c r="AI2140">
        <v>94.428780343745998</v>
      </c>
      <c r="AJ2140">
        <v>97.822493616838898</v>
      </c>
      <c r="AK2140">
        <v>14.5239382310106</v>
      </c>
      <c r="AL2140">
        <v>94.1826882955624</v>
      </c>
      <c r="AM2140">
        <v>89.933366397229605</v>
      </c>
      <c r="AN2140">
        <v>1.00000001414622</v>
      </c>
    </row>
    <row r="2141" spans="1:40" x14ac:dyDescent="0.25">
      <c r="A2141" t="str">
        <f>"20190303154506812"</f>
        <v>20190303154506812</v>
      </c>
      <c r="B2141" t="str">
        <f>"1551599106802955"</f>
        <v>1551599106802955</v>
      </c>
      <c r="C2141" t="s">
        <v>40</v>
      </c>
      <c r="D2141">
        <v>4.5639859999999999</v>
      </c>
      <c r="E2141">
        <v>0.49630489999999999</v>
      </c>
      <c r="F2141" t="s">
        <v>54</v>
      </c>
      <c r="G2141">
        <v>-474.77519999999998</v>
      </c>
      <c r="H2141" s="1">
        <v>4.4866270000000001E-6</v>
      </c>
      <c r="I2141">
        <v>284.50349999999997</v>
      </c>
      <c r="J2141">
        <v>-462.03789999999998</v>
      </c>
      <c r="K2141">
        <v>1.1214999999999999</v>
      </c>
      <c r="L2141">
        <v>284.65499999999997</v>
      </c>
      <c r="M2141">
        <v>-0.9998068</v>
      </c>
      <c r="N2141">
        <v>-1.86593E-2</v>
      </c>
      <c r="O2141">
        <v>6.2008890000000002E-3</v>
      </c>
      <c r="P2141">
        <v>-0.99576509999999996</v>
      </c>
      <c r="Q2141">
        <v>-9.1630059999999999E-2</v>
      </c>
      <c r="R2141">
        <v>7.5009309999999997E-3</v>
      </c>
      <c r="S2141">
        <v>-2.9891969999999999</v>
      </c>
      <c r="T2141">
        <v>-0.25888820000000001</v>
      </c>
      <c r="U2141">
        <v>-3.4667969999999999E-2</v>
      </c>
      <c r="V2141">
        <v>1.323292E-3</v>
      </c>
      <c r="W2141">
        <v>-7.303337E-2</v>
      </c>
      <c r="X2141">
        <v>0.99732860000000001</v>
      </c>
      <c r="Y2141">
        <v>-1.7703420000000001E-2</v>
      </c>
      <c r="Z2141">
        <v>-1.3512190000000001E-3</v>
      </c>
      <c r="AA2141">
        <v>0.99984229999999996</v>
      </c>
      <c r="AB2141">
        <v>21</v>
      </c>
      <c r="AC2141">
        <v>-12.737299999999999</v>
      </c>
      <c r="AD2141">
        <v>-1.121495513373</v>
      </c>
      <c r="AE2141">
        <v>-0.151499999999998</v>
      </c>
      <c r="AF2141">
        <v>-0.22872051377029101</v>
      </c>
      <c r="AG2141">
        <v>-1.121495513373</v>
      </c>
      <c r="AH2141">
        <v>12.6381523431677</v>
      </c>
      <c r="AI2141">
        <v>95.070254461794306</v>
      </c>
      <c r="AJ2141">
        <v>91.036804221784706</v>
      </c>
      <c r="AK2141">
        <v>12.689876276349301</v>
      </c>
      <c r="AL2141">
        <v>94.1882328399019</v>
      </c>
      <c r="AM2141">
        <v>89.923977912424704</v>
      </c>
      <c r="AN2141">
        <v>0.99999998030661696</v>
      </c>
    </row>
    <row r="2142" spans="1:40" x14ac:dyDescent="0.25">
      <c r="A2142" t="str">
        <f>"20190303154506836"</f>
        <v>20190303154506836</v>
      </c>
      <c r="B2142" t="str">
        <f>"1551599106833210"</f>
        <v>1551599106833210</v>
      </c>
      <c r="C2142" t="s">
        <v>40</v>
      </c>
      <c r="D2142">
        <v>4.5010180000000002</v>
      </c>
      <c r="E2142">
        <v>0.49826219999999999</v>
      </c>
      <c r="F2142" t="s">
        <v>54</v>
      </c>
      <c r="G2142">
        <v>-474.9126</v>
      </c>
      <c r="H2142" s="1">
        <v>4.4363080000000004E-6</v>
      </c>
      <c r="I2142">
        <v>284.62450000000001</v>
      </c>
      <c r="J2142">
        <v>-462.2534</v>
      </c>
      <c r="K2142">
        <v>1.1214679999999999</v>
      </c>
      <c r="L2142">
        <v>284.65629999999999</v>
      </c>
      <c r="M2142">
        <v>-0.99981279999999995</v>
      </c>
      <c r="N2142">
        <v>-1.8333100000000001E-2</v>
      </c>
      <c r="O2142">
        <v>6.1934939999999999E-3</v>
      </c>
      <c r="P2142">
        <v>-0.99571580000000004</v>
      </c>
      <c r="Q2142">
        <v>-9.212099E-2</v>
      </c>
      <c r="R2142">
        <v>7.9997309999999995E-3</v>
      </c>
      <c r="S2142">
        <v>-2.9888309999999998</v>
      </c>
      <c r="T2142">
        <v>-0.26035370000000002</v>
      </c>
      <c r="U2142">
        <v>-7.0800780000000001E-3</v>
      </c>
      <c r="V2142">
        <v>1.829544E-3</v>
      </c>
      <c r="W2142">
        <v>-7.3850449999999998E-2</v>
      </c>
      <c r="X2142">
        <v>0.99726769999999998</v>
      </c>
      <c r="Y2142">
        <v>-8.5096579999999998E-3</v>
      </c>
      <c r="Z2142">
        <v>-8.73222E-4</v>
      </c>
      <c r="AA2142">
        <v>0.99996339999999995</v>
      </c>
      <c r="AB2142">
        <v>21</v>
      </c>
      <c r="AC2142">
        <v>-12.659199999999901</v>
      </c>
      <c r="AD2142">
        <v>-1.1214635636920001</v>
      </c>
      <c r="AE2142">
        <v>-3.1799999999975598E-2</v>
      </c>
      <c r="AF2142">
        <v>-0.109359002939976</v>
      </c>
      <c r="AG2142">
        <v>-1.1214635636920001</v>
      </c>
      <c r="AH2142">
        <v>12.5601886598501</v>
      </c>
      <c r="AI2142">
        <v>95.102055016973395</v>
      </c>
      <c r="AJ2142">
        <v>90.498850070142495</v>
      </c>
      <c r="AK2142">
        <v>12.610629607090999</v>
      </c>
      <c r="AL2142">
        <v>94.2351745455057</v>
      </c>
      <c r="AM2142">
        <v>89.894887769819505</v>
      </c>
      <c r="AN2142">
        <v>1.0000000508298601</v>
      </c>
    </row>
    <row r="2143" spans="1:40" x14ac:dyDescent="0.25">
      <c r="A2143" t="str">
        <f>"20190303154506856"</f>
        <v>20190303154506856</v>
      </c>
      <c r="B2143" t="str">
        <f>"1551599106852731"</f>
        <v>1551599106852731</v>
      </c>
      <c r="C2143" t="s">
        <v>40</v>
      </c>
      <c r="D2143">
        <v>4.5389059999999999</v>
      </c>
      <c r="E2143">
        <v>0.4989883</v>
      </c>
      <c r="F2143" t="s">
        <v>54</v>
      </c>
      <c r="G2143">
        <v>-475.66899999999998</v>
      </c>
      <c r="H2143" s="1">
        <v>4.1075869999999997E-6</v>
      </c>
      <c r="I2143">
        <v>284.70150000000001</v>
      </c>
      <c r="J2143">
        <v>-462.45209999999997</v>
      </c>
      <c r="K2143">
        <v>1.1214390000000001</v>
      </c>
      <c r="L2143">
        <v>284.6576</v>
      </c>
      <c r="M2143">
        <v>-0.99981830000000005</v>
      </c>
      <c r="N2143">
        <v>-1.803652E-2</v>
      </c>
      <c r="O2143">
        <v>6.1871449999999998E-3</v>
      </c>
      <c r="P2143">
        <v>-0.99573489999999998</v>
      </c>
      <c r="Q2143">
        <v>-9.189116E-2</v>
      </c>
      <c r="R2143">
        <v>8.2875599999999994E-3</v>
      </c>
      <c r="S2143">
        <v>-2.989716</v>
      </c>
      <c r="T2143">
        <v>-0.2499218</v>
      </c>
      <c r="U2143">
        <v>1.00708E-2</v>
      </c>
      <c r="V2143">
        <v>2.123865E-3</v>
      </c>
      <c r="W2143">
        <v>-7.3916090000000004E-2</v>
      </c>
      <c r="X2143">
        <v>0.99726219999999999</v>
      </c>
      <c r="Y2143">
        <v>-2.7945909999999999E-3</v>
      </c>
      <c r="Z2143">
        <v>-5.4670909999999997E-4</v>
      </c>
      <c r="AA2143">
        <v>0.99999590000000005</v>
      </c>
      <c r="AB2143">
        <v>21</v>
      </c>
      <c r="AC2143">
        <v>-13.216900000000001</v>
      </c>
      <c r="AD2143">
        <v>-1.12143489241299</v>
      </c>
      <c r="AE2143">
        <v>4.3900000000007801E-2</v>
      </c>
      <c r="AF2143">
        <v>-3.7618191661621697E-2</v>
      </c>
      <c r="AG2143">
        <v>-1.12143489241299</v>
      </c>
      <c r="AH2143">
        <v>13.1224474983112</v>
      </c>
      <c r="AI2143">
        <v>94.884567877954197</v>
      </c>
      <c r="AJ2143">
        <v>90.164249673025694</v>
      </c>
      <c r="AK2143">
        <v>13.1703325581474</v>
      </c>
      <c r="AL2143">
        <v>94.238945974453998</v>
      </c>
      <c r="AM2143">
        <v>89.877977610322404</v>
      </c>
      <c r="AN2143">
        <v>0.99999999735613299</v>
      </c>
    </row>
    <row r="2144" spans="1:40" x14ac:dyDescent="0.25">
      <c r="A2144" t="str">
        <f>"20190303154506880"</f>
        <v>20190303154506880</v>
      </c>
      <c r="B2144" t="str">
        <f>"1551599106873226"</f>
        <v>1551599106873226</v>
      </c>
      <c r="C2144" t="s">
        <v>40</v>
      </c>
      <c r="D2144">
        <v>4.5385140000000002</v>
      </c>
      <c r="E2144">
        <v>0.49959389999999998</v>
      </c>
      <c r="F2144" t="s">
        <v>54</v>
      </c>
      <c r="G2144">
        <v>-476.3485</v>
      </c>
      <c r="H2144" s="1">
        <v>3.809183E-6</v>
      </c>
      <c r="I2144">
        <v>284.73469999999998</v>
      </c>
      <c r="J2144">
        <v>-462.66860000000003</v>
      </c>
      <c r="K2144">
        <v>1.121421</v>
      </c>
      <c r="L2144">
        <v>284.65890000000002</v>
      </c>
      <c r="M2144">
        <v>-0.99982420000000005</v>
      </c>
      <c r="N2144">
        <v>-1.7705120000000001E-2</v>
      </c>
      <c r="O2144">
        <v>6.1808239999999997E-3</v>
      </c>
      <c r="P2144">
        <v>-0.99577280000000001</v>
      </c>
      <c r="Q2144">
        <v>-9.1490920000000003E-2</v>
      </c>
      <c r="R2144">
        <v>8.1206739999999996E-3</v>
      </c>
      <c r="S2144">
        <v>-2.9905089999999999</v>
      </c>
      <c r="T2144">
        <v>-0.24133350000000001</v>
      </c>
      <c r="U2144">
        <v>1.6601560000000001E-2</v>
      </c>
      <c r="V2144">
        <v>1.9628169999999999E-3</v>
      </c>
      <c r="W2144">
        <v>-7.3845809999999998E-2</v>
      </c>
      <c r="X2144">
        <v>0.99726769999999998</v>
      </c>
      <c r="Y2144">
        <v>-6.1578839999999995E-4</v>
      </c>
      <c r="Z2144">
        <v>-4.1894019999999998E-4</v>
      </c>
      <c r="AA2144">
        <v>0.99999970000000005</v>
      </c>
      <c r="AB2144">
        <v>21</v>
      </c>
      <c r="AC2144">
        <v>-13.6798999999999</v>
      </c>
      <c r="AD2144">
        <v>-1.1214171908169901</v>
      </c>
      <c r="AE2144">
        <v>7.5799999999958304E-2</v>
      </c>
      <c r="AF2144">
        <v>-8.7092296136022304E-3</v>
      </c>
      <c r="AG2144">
        <v>-1.1214171908169901</v>
      </c>
      <c r="AH2144">
        <v>13.5887934504042</v>
      </c>
      <c r="AI2144">
        <v>94.717651401197699</v>
      </c>
      <c r="AJ2144">
        <v>90.036721584823994</v>
      </c>
      <c r="AK2144">
        <v>13.6349902751813</v>
      </c>
      <c r="AL2144">
        <v>94.234908346811395</v>
      </c>
      <c r="AM2144">
        <v>89.887230896137595</v>
      </c>
      <c r="AN2144">
        <v>0.99999996088420995</v>
      </c>
    </row>
    <row r="2145" spans="1:40" x14ac:dyDescent="0.25">
      <c r="A2145" t="str">
        <f>"20190303154506907"</f>
        <v>20190303154506907</v>
      </c>
      <c r="B2145" t="str">
        <f>"1551599106902506"</f>
        <v>1551599106902506</v>
      </c>
      <c r="C2145" t="s">
        <v>40</v>
      </c>
      <c r="D2145">
        <v>4.552594</v>
      </c>
      <c r="E2145">
        <v>0.50024460000000004</v>
      </c>
      <c r="F2145" t="s">
        <v>54</v>
      </c>
      <c r="G2145">
        <v>-476.91329999999999</v>
      </c>
      <c r="H2145" s="1">
        <v>3.5607489999999999E-6</v>
      </c>
      <c r="I2145">
        <v>284.75819999999999</v>
      </c>
      <c r="J2145">
        <v>-462.91579999999999</v>
      </c>
      <c r="K2145">
        <v>1.1213879999999901</v>
      </c>
      <c r="L2145">
        <v>284.66050000000001</v>
      </c>
      <c r="M2145">
        <v>-0.99983129999999998</v>
      </c>
      <c r="N2145">
        <v>-1.7301799999999999E-2</v>
      </c>
      <c r="O2145">
        <v>6.173825E-3</v>
      </c>
      <c r="P2145">
        <v>-0.99582110000000001</v>
      </c>
      <c r="Q2145">
        <v>-9.1062690000000002E-2</v>
      </c>
      <c r="R2145">
        <v>6.9644019999999997E-3</v>
      </c>
      <c r="S2145">
        <v>-2.9909669999999999</v>
      </c>
      <c r="T2145">
        <v>-0.23546500000000001</v>
      </c>
      <c r="U2145">
        <v>2.0843509999999999E-2</v>
      </c>
      <c r="V2145">
        <v>8.1339209999999995E-4</v>
      </c>
      <c r="W2145">
        <v>-7.381915E-2</v>
      </c>
      <c r="X2145">
        <v>0.99727129999999997</v>
      </c>
      <c r="Y2145">
        <v>8.0251240000000004E-4</v>
      </c>
      <c r="Z2145">
        <v>-3.4008200000000001E-4</v>
      </c>
      <c r="AA2145">
        <v>0.99999959999999999</v>
      </c>
      <c r="AB2145">
        <v>21</v>
      </c>
      <c r="AC2145">
        <v>-13.9975</v>
      </c>
      <c r="AD2145">
        <v>-1.12138443925099</v>
      </c>
      <c r="AE2145">
        <v>9.7699999999974793E-2</v>
      </c>
      <c r="AF2145">
        <v>1.11952396323139E-2</v>
      </c>
      <c r="AG2145">
        <v>-1.12138443925099</v>
      </c>
      <c r="AH2145">
        <v>13.908573823688799</v>
      </c>
      <c r="AI2145">
        <v>94.609523363120701</v>
      </c>
      <c r="AJ2145">
        <v>89.953881695479794</v>
      </c>
      <c r="AK2145">
        <v>13.953711126542199</v>
      </c>
      <c r="AL2145">
        <v>94.233376549341997</v>
      </c>
      <c r="AM2145">
        <v>89.953268559834001</v>
      </c>
      <c r="AN2145">
        <v>0.99999998715855998</v>
      </c>
    </row>
    <row r="2146" spans="1:40" x14ac:dyDescent="0.25">
      <c r="A2146" t="str">
        <f>"20190303154506946"</f>
        <v>20190303154506946</v>
      </c>
      <c r="B2146" t="str">
        <f>"1551599106942523"</f>
        <v>1551599106942523</v>
      </c>
      <c r="C2146" t="s">
        <v>40</v>
      </c>
      <c r="D2146">
        <v>4.5653249999999996</v>
      </c>
      <c r="E2146">
        <v>0.5007644</v>
      </c>
      <c r="F2146" t="s">
        <v>54</v>
      </c>
      <c r="G2146">
        <v>-477.56869999999998</v>
      </c>
      <c r="H2146" s="1">
        <v>3.2712940000000002E-6</v>
      </c>
      <c r="I2146">
        <v>284.7715</v>
      </c>
      <c r="J2146">
        <v>-463.28230000000002</v>
      </c>
      <c r="K2146">
        <v>1.1213329999999999</v>
      </c>
      <c r="L2146">
        <v>284.66269999999997</v>
      </c>
      <c r="M2146">
        <v>-0.99984170000000006</v>
      </c>
      <c r="N2146">
        <v>-1.669056E-2</v>
      </c>
      <c r="O2146">
        <v>6.1627239999999996E-3</v>
      </c>
      <c r="P2146">
        <v>-0.99601269999999997</v>
      </c>
      <c r="Q2146">
        <v>-8.9132890000000006E-2</v>
      </c>
      <c r="R2146">
        <v>3.7239389999999999E-3</v>
      </c>
      <c r="S2146">
        <v>-2.9914860000000001</v>
      </c>
      <c r="T2146">
        <v>-0.22893810000000001</v>
      </c>
      <c r="U2146">
        <v>2.267456E-2</v>
      </c>
      <c r="V2146">
        <v>-2.4176850000000001E-3</v>
      </c>
      <c r="W2146">
        <v>-7.2496329999999998E-2</v>
      </c>
      <c r="X2146">
        <v>0.99736579999999997</v>
      </c>
      <c r="Y2146">
        <v>1.4218799999999999E-3</v>
      </c>
      <c r="Z2146">
        <v>-3.0196770000000001E-4</v>
      </c>
      <c r="AA2146">
        <v>0.99999890000000002</v>
      </c>
      <c r="AB2146">
        <v>21</v>
      </c>
      <c r="AC2146">
        <v>-14.286399999999899</v>
      </c>
      <c r="AD2146">
        <v>-1.121329728706</v>
      </c>
      <c r="AE2146">
        <v>0.10880000000003</v>
      </c>
      <c r="AF2146">
        <v>2.06155302976372E-2</v>
      </c>
      <c r="AG2146">
        <v>-1.121329728706</v>
      </c>
      <c r="AH2146">
        <v>14.199328310754799</v>
      </c>
      <c r="AI2146">
        <v>94.515307555169699</v>
      </c>
      <c r="AJ2146">
        <v>89.916814230737899</v>
      </c>
      <c r="AK2146">
        <v>14.2435504645847</v>
      </c>
      <c r="AL2146">
        <v>94.157380634347604</v>
      </c>
      <c r="AM2146">
        <v>90.138888736075501</v>
      </c>
      <c r="AN2146">
        <v>1.00000005103693</v>
      </c>
    </row>
    <row r="2147" spans="1:40" x14ac:dyDescent="0.25">
      <c r="A2147" t="str">
        <f>"20190303154506967"</f>
        <v>20190303154506967</v>
      </c>
      <c r="B2147" t="str">
        <f>"1551599106963018"</f>
        <v>1551599106963018</v>
      </c>
      <c r="C2147" t="s">
        <v>40</v>
      </c>
      <c r="D2147">
        <v>4.5753199999999996</v>
      </c>
      <c r="E2147">
        <v>0.50090129999999999</v>
      </c>
      <c r="F2147" t="s">
        <v>54</v>
      </c>
      <c r="G2147">
        <v>-478.58300000000003</v>
      </c>
      <c r="H2147" s="1">
        <v>2.8196099999999999E-6</v>
      </c>
      <c r="I2147">
        <v>284.75009999999997</v>
      </c>
      <c r="J2147">
        <v>-463.49110000000002</v>
      </c>
      <c r="K2147">
        <v>1.1213029999999999</v>
      </c>
      <c r="L2147">
        <v>284.66390000000001</v>
      </c>
      <c r="M2147">
        <v>-0.99984740000000005</v>
      </c>
      <c r="N2147">
        <v>-1.6352869999999999E-2</v>
      </c>
      <c r="O2147">
        <v>6.1562919999999998E-3</v>
      </c>
      <c r="P2147">
        <v>-0.99608240000000003</v>
      </c>
      <c r="Q2147">
        <v>-8.8427930000000002E-2</v>
      </c>
      <c r="R2147">
        <v>8.2431279999999995E-4</v>
      </c>
      <c r="S2147">
        <v>-2.9922789999999999</v>
      </c>
      <c r="T2147">
        <v>-0.2192934</v>
      </c>
      <c r="U2147">
        <v>1.7089839999999999E-2</v>
      </c>
      <c r="V2147">
        <v>-5.3107719999999897E-3</v>
      </c>
      <c r="W2147">
        <v>-7.212739E-2</v>
      </c>
      <c r="X2147">
        <v>0.99738130000000003</v>
      </c>
      <c r="Y2147">
        <v>-4.3451399999999999E-4</v>
      </c>
      <c r="Z2147">
        <v>-3.6944480000000002E-4</v>
      </c>
      <c r="AA2147">
        <v>0.99999979999999999</v>
      </c>
      <c r="AB2147">
        <v>21</v>
      </c>
      <c r="AC2147">
        <v>-15.091900000000001</v>
      </c>
      <c r="AD2147">
        <v>-1.12130018039</v>
      </c>
      <c r="AE2147">
        <v>8.6199999999962501E-2</v>
      </c>
      <c r="AF2147">
        <v>-6.6872819994369496E-3</v>
      </c>
      <c r="AG2147">
        <v>-1.12130018039</v>
      </c>
      <c r="AH2147">
        <v>15.0092928613289</v>
      </c>
      <c r="AI2147">
        <v>94.272462344085895</v>
      </c>
      <c r="AJ2147">
        <v>90.025527718938406</v>
      </c>
      <c r="AK2147">
        <v>15.051120589890401</v>
      </c>
      <c r="AL2147">
        <v>94.136186610842003</v>
      </c>
      <c r="AM2147">
        <v>90.305080861101004</v>
      </c>
      <c r="AN2147">
        <v>1.0000000111385601</v>
      </c>
    </row>
    <row r="2148" spans="1:40" x14ac:dyDescent="0.25">
      <c r="A2148" t="str">
        <f>"20190303154506990"</f>
        <v>20190303154506990</v>
      </c>
      <c r="B2148" t="str">
        <f>"1551599106982538"</f>
        <v>1551599106982538</v>
      </c>
      <c r="C2148" t="s">
        <v>40</v>
      </c>
      <c r="D2148">
        <v>4.5952640000000002</v>
      </c>
      <c r="E2148">
        <v>0.50110010000000005</v>
      </c>
      <c r="F2148" t="s">
        <v>54</v>
      </c>
      <c r="G2148">
        <v>-478.95389999999998</v>
      </c>
      <c r="H2148" s="1">
        <v>2.6517029999999998E-6</v>
      </c>
      <c r="I2148">
        <v>284.71120000000002</v>
      </c>
      <c r="J2148">
        <v>-463.69720000000001</v>
      </c>
      <c r="K2148">
        <v>1.1212759999999999</v>
      </c>
      <c r="L2148">
        <v>284.66520000000003</v>
      </c>
      <c r="M2148">
        <v>-0.99985259999999998</v>
      </c>
      <c r="N2148">
        <v>-1.6032709999999999E-2</v>
      </c>
      <c r="O2148">
        <v>6.150015E-3</v>
      </c>
      <c r="P2148">
        <v>-0.99605659999999896</v>
      </c>
      <c r="Q2148">
        <v>-8.8695529999999995E-2</v>
      </c>
      <c r="R2148">
        <v>-2.0920119999999999E-3</v>
      </c>
      <c r="S2148">
        <v>-2.9925229999999998</v>
      </c>
      <c r="T2148">
        <v>-0.21700559999999999</v>
      </c>
      <c r="U2148">
        <v>9.1552730000000002E-3</v>
      </c>
      <c r="V2148">
        <v>-8.2205190000000008E-3</v>
      </c>
      <c r="W2148">
        <v>-7.2714899999999902E-2</v>
      </c>
      <c r="X2148">
        <v>0.99731890000000001</v>
      </c>
      <c r="Y2148">
        <v>-3.0718160000000002E-3</v>
      </c>
      <c r="Z2148">
        <v>-4.8277489999999998E-4</v>
      </c>
      <c r="AA2148">
        <v>0.99999519999999997</v>
      </c>
      <c r="AB2148">
        <v>21</v>
      </c>
      <c r="AC2148">
        <v>-15.256699999999899</v>
      </c>
      <c r="AD2148">
        <v>-1.1212733482970001</v>
      </c>
      <c r="AE2148">
        <v>4.59999999999922E-2</v>
      </c>
      <c r="AF2148">
        <v>-4.7584841530968001E-2</v>
      </c>
      <c r="AG2148">
        <v>-1.1212733482970001</v>
      </c>
      <c r="AH2148">
        <v>15.174731147292199</v>
      </c>
      <c r="AI2148">
        <v>94.225931645463504</v>
      </c>
      <c r="AJ2148">
        <v>90.179667212925096</v>
      </c>
      <c r="AK2148">
        <v>15.216175065743199</v>
      </c>
      <c r="AL2148">
        <v>94.169937079102496</v>
      </c>
      <c r="AM2148">
        <v>90.472256544841898</v>
      </c>
      <c r="AN2148">
        <v>1.0000000109559199</v>
      </c>
    </row>
    <row r="2149" spans="1:40" x14ac:dyDescent="0.25">
      <c r="A2149" t="str">
        <f>"20190303154507012"</f>
        <v>20190303154507012</v>
      </c>
      <c r="B2149" t="str">
        <f>"1551599107003034"</f>
        <v>1551599107003034</v>
      </c>
      <c r="C2149" t="s">
        <v>40</v>
      </c>
      <c r="D2149">
        <v>4.5905800000000001</v>
      </c>
      <c r="E2149">
        <v>0.50115849999999995</v>
      </c>
      <c r="F2149" t="s">
        <v>54</v>
      </c>
      <c r="G2149">
        <v>-479.07560000000001</v>
      </c>
      <c r="H2149" s="1">
        <v>2.5946710000000002E-6</v>
      </c>
      <c r="I2149">
        <v>284.67590000000001</v>
      </c>
      <c r="J2149">
        <v>-463.90600000000001</v>
      </c>
      <c r="K2149">
        <v>1.1212390000000001</v>
      </c>
      <c r="L2149">
        <v>284.66640000000001</v>
      </c>
      <c r="M2149">
        <v>-0.99985749999999995</v>
      </c>
      <c r="N2149">
        <v>-1.5728539999999999E-2</v>
      </c>
      <c r="O2149">
        <v>6.1436779999999996E-3</v>
      </c>
      <c r="P2149">
        <v>-0.99600120000000003</v>
      </c>
      <c r="Q2149">
        <v>-8.9239219999999994E-2</v>
      </c>
      <c r="R2149">
        <v>-4.2865830000000001E-3</v>
      </c>
      <c r="S2149">
        <v>-2.9924620000000002</v>
      </c>
      <c r="T2149">
        <v>-0.21818670000000001</v>
      </c>
      <c r="U2149">
        <v>2.0751950000000002E-3</v>
      </c>
      <c r="V2149">
        <v>-1.040837E-2</v>
      </c>
      <c r="W2149">
        <v>-7.3562929999999999E-2</v>
      </c>
      <c r="X2149">
        <v>0.99723629999999996</v>
      </c>
      <c r="Y2149">
        <v>-5.4234319999999997E-3</v>
      </c>
      <c r="Z2149">
        <v>-5.9099269999999995E-4</v>
      </c>
      <c r="AA2149">
        <v>0.99998509999999996</v>
      </c>
      <c r="AB2149">
        <v>21</v>
      </c>
      <c r="AC2149">
        <v>-15.169600000000001</v>
      </c>
      <c r="AD2149">
        <v>-1.12123640532899</v>
      </c>
      <c r="AE2149">
        <v>9.5000000000027198E-3</v>
      </c>
      <c r="AF2149">
        <v>-8.32540079581435E-2</v>
      </c>
      <c r="AG2149">
        <v>-1.12123640532899</v>
      </c>
      <c r="AH2149">
        <v>15.086949208958</v>
      </c>
      <c r="AI2149">
        <v>94.250246781462906</v>
      </c>
      <c r="AJ2149">
        <v>90.316170936852302</v>
      </c>
      <c r="AK2149">
        <v>15.1287851045666</v>
      </c>
      <c r="AL2149">
        <v>94.218655984895406</v>
      </c>
      <c r="AM2149">
        <v>90.597986675038996</v>
      </c>
      <c r="AN2149">
        <v>1.0000000384369601</v>
      </c>
    </row>
    <row r="2150" spans="1:40" x14ac:dyDescent="0.25">
      <c r="A2150" t="str">
        <f>"20190303154507035"</f>
        <v>20190303154507035</v>
      </c>
      <c r="B2150" t="str">
        <f>"1551599107022554"</f>
        <v>1551599107022554</v>
      </c>
      <c r="C2150" t="s">
        <v>40</v>
      </c>
      <c r="D2150">
        <v>4.6430400000000001</v>
      </c>
      <c r="E2150">
        <v>0.50106890000000004</v>
      </c>
      <c r="F2150" t="s">
        <v>54</v>
      </c>
      <c r="G2150">
        <v>-479.08069999999998</v>
      </c>
      <c r="H2150" s="1">
        <v>2.58987E-6</v>
      </c>
      <c r="I2150">
        <v>284.64659999999998</v>
      </c>
      <c r="J2150">
        <v>-464.10910000000001</v>
      </c>
      <c r="K2150">
        <v>1.1212169999999999</v>
      </c>
      <c r="L2150">
        <v>284.66770000000002</v>
      </c>
      <c r="M2150">
        <v>-0.99986169999999996</v>
      </c>
      <c r="N2150">
        <v>-1.5459769999999999E-2</v>
      </c>
      <c r="O2150">
        <v>6.1377360000000004E-3</v>
      </c>
      <c r="P2150">
        <v>-0.99588390000000004</v>
      </c>
      <c r="Q2150">
        <v>-9.046556E-2</v>
      </c>
      <c r="R2150">
        <v>-5.6127449999999997E-3</v>
      </c>
      <c r="S2150">
        <v>-2.9922490000000002</v>
      </c>
      <c r="T2150">
        <v>-0.2210937</v>
      </c>
      <c r="U2150">
        <v>-3.90625E-3</v>
      </c>
      <c r="V2150">
        <v>-1.172804E-2</v>
      </c>
      <c r="W2150">
        <v>-7.505908E-2</v>
      </c>
      <c r="X2150">
        <v>0.9971101</v>
      </c>
      <c r="Y2150">
        <v>-7.408998E-3</v>
      </c>
      <c r="Z2150">
        <v>-6.8881569999999998E-4</v>
      </c>
      <c r="AA2150">
        <v>0.99997230000000004</v>
      </c>
      <c r="AB2150">
        <v>21</v>
      </c>
      <c r="AC2150">
        <v>-14.971599999999899</v>
      </c>
      <c r="AD2150">
        <v>-1.1212144101299999</v>
      </c>
      <c r="AE2150">
        <v>-2.1100000000046699E-2</v>
      </c>
      <c r="AF2150">
        <v>-0.11237208048709001</v>
      </c>
      <c r="AG2150">
        <v>-1.1212144101299999</v>
      </c>
      <c r="AH2150">
        <v>14.8876920672524</v>
      </c>
      <c r="AI2150">
        <v>94.306778458090207</v>
      </c>
      <c r="AJ2150">
        <v>90.432459487444603</v>
      </c>
      <c r="AK2150">
        <v>14.930275427040399</v>
      </c>
      <c r="AL2150">
        <v>94.304616985422697</v>
      </c>
      <c r="AM2150">
        <v>90.673883665085</v>
      </c>
      <c r="AN2150">
        <v>0.99999998196734796</v>
      </c>
    </row>
    <row r="2151" spans="1:40" x14ac:dyDescent="0.25">
      <c r="A2151" t="str">
        <f>"20190303154507057"</f>
        <v>20190303154507057</v>
      </c>
      <c r="B2151" t="str">
        <f>"1551599107052813"</f>
        <v>1551599107052813</v>
      </c>
      <c r="C2151" t="s">
        <v>40</v>
      </c>
      <c r="D2151">
        <v>4.6475200000000001</v>
      </c>
      <c r="E2151">
        <v>0.50138830000000001</v>
      </c>
      <c r="F2151" t="s">
        <v>54</v>
      </c>
      <c r="G2151">
        <v>-478.82010000000002</v>
      </c>
      <c r="H2151" s="1">
        <v>2.70362E-6</v>
      </c>
      <c r="I2151">
        <v>284.62630000000001</v>
      </c>
      <c r="J2151">
        <v>-464.31729999999999</v>
      </c>
      <c r="K2151">
        <v>1.1212089999999999</v>
      </c>
      <c r="L2151">
        <v>284.66899999999998</v>
      </c>
      <c r="M2151">
        <v>-0.99986560000000002</v>
      </c>
      <c r="N2151">
        <v>-1.5213239999999999E-2</v>
      </c>
      <c r="O2151">
        <v>6.1324319999999898E-3</v>
      </c>
      <c r="P2151">
        <v>-0.99579260000000003</v>
      </c>
      <c r="Q2151">
        <v>-9.144302E-2</v>
      </c>
      <c r="R2151">
        <v>-5.9860419999999996E-3</v>
      </c>
      <c r="S2151">
        <v>-2.9916689999999999</v>
      </c>
      <c r="T2151">
        <v>-0.2280122</v>
      </c>
      <c r="U2151">
        <v>-8.4228519999999998E-3</v>
      </c>
      <c r="V2151">
        <v>-1.209492E-2</v>
      </c>
      <c r="W2151">
        <v>-7.6283669999999998E-2</v>
      </c>
      <c r="X2151">
        <v>0.99701280000000003</v>
      </c>
      <c r="Y2151">
        <v>-8.9060939999999998E-3</v>
      </c>
      <c r="Z2151">
        <v>-7.8028449999999997E-4</v>
      </c>
      <c r="AA2151">
        <v>0.99996010000000002</v>
      </c>
      <c r="AB2151">
        <v>21</v>
      </c>
      <c r="AC2151">
        <v>-14.502800000000001</v>
      </c>
      <c r="AD2151">
        <v>-1.12120629638</v>
      </c>
      <c r="AE2151">
        <v>-4.2700000000024801E-2</v>
      </c>
      <c r="AF2151">
        <v>-0.13086477027327101</v>
      </c>
      <c r="AG2151">
        <v>-1.12120629638</v>
      </c>
      <c r="AH2151">
        <v>14.416104197639999</v>
      </c>
      <c r="AI2151">
        <v>94.447019640909105</v>
      </c>
      <c r="AJ2151">
        <v>90.520098424325198</v>
      </c>
      <c r="AK2151">
        <v>14.460231304663001</v>
      </c>
      <c r="AL2151">
        <v>94.374982483017803</v>
      </c>
      <c r="AM2151">
        <v>90.6950300718606</v>
      </c>
      <c r="AN2151">
        <v>1.0000000043811501</v>
      </c>
    </row>
    <row r="2152" spans="1:40" x14ac:dyDescent="0.25">
      <c r="A2152" t="str">
        <f>"20190303154507081"</f>
        <v>20190303154507081</v>
      </c>
      <c r="B2152" t="str">
        <f>"1551599107072330"</f>
        <v>1551599107072330</v>
      </c>
      <c r="C2152" t="s">
        <v>40</v>
      </c>
      <c r="D2152">
        <v>4.6784869999999996</v>
      </c>
      <c r="E2152">
        <v>0.50149179999999904</v>
      </c>
      <c r="F2152" t="s">
        <v>54</v>
      </c>
      <c r="G2152">
        <v>-478.79239999999999</v>
      </c>
      <c r="H2152" s="1">
        <v>2.7167199999999999E-6</v>
      </c>
      <c r="I2152">
        <v>284.63549999999998</v>
      </c>
      <c r="J2152">
        <v>-464.5333</v>
      </c>
      <c r="K2152">
        <v>1.1212009999999999</v>
      </c>
      <c r="L2152">
        <v>284.6703</v>
      </c>
      <c r="M2152">
        <v>-0.99986900000000001</v>
      </c>
      <c r="N2152">
        <v>-1.4985190000000001E-2</v>
      </c>
      <c r="O2152">
        <v>6.1289369999999897E-3</v>
      </c>
      <c r="P2152">
        <v>-0.99581439999999999</v>
      </c>
      <c r="Q2152">
        <v>-9.1265540000000006E-2</v>
      </c>
      <c r="R2152">
        <v>-4.9454939999999999E-3</v>
      </c>
      <c r="S2152">
        <v>-2.9913639999999999</v>
      </c>
      <c r="T2152">
        <v>-0.2317032</v>
      </c>
      <c r="U2152">
        <v>-6.9274899999999997E-3</v>
      </c>
      <c r="V2152">
        <v>-1.1052289999999999E-2</v>
      </c>
      <c r="W2152">
        <v>-7.6333219999999993E-2</v>
      </c>
      <c r="X2152">
        <v>0.99702109999999999</v>
      </c>
      <c r="Y2152">
        <v>-8.4033930000000003E-3</v>
      </c>
      <c r="Z2152">
        <v>-7.7032610000000003E-4</v>
      </c>
      <c r="AA2152">
        <v>0.99996439999999998</v>
      </c>
      <c r="AB2152">
        <v>21</v>
      </c>
      <c r="AC2152">
        <v>-14.259099999999901</v>
      </c>
      <c r="AD2152">
        <v>-1.12119828328</v>
      </c>
      <c r="AE2152">
        <v>-3.4800000000018302E-2</v>
      </c>
      <c r="AF2152">
        <v>-0.12145138258346</v>
      </c>
      <c r="AG2152">
        <v>-1.12119828328</v>
      </c>
      <c r="AH2152">
        <v>14.171003776542699</v>
      </c>
      <c r="AI2152">
        <v>94.5236063283009</v>
      </c>
      <c r="AJ2152">
        <v>90.4910365828447</v>
      </c>
      <c r="AK2152">
        <v>14.2158075417315</v>
      </c>
      <c r="AL2152">
        <v>94.377829837665104</v>
      </c>
      <c r="AM2152">
        <v>90.635115579890893</v>
      </c>
      <c r="AN2152">
        <v>0.99999999371751103</v>
      </c>
    </row>
    <row r="2153" spans="1:40" x14ac:dyDescent="0.25">
      <c r="A2153" t="str">
        <f>"20190303154507106"</f>
        <v>20190303154507106</v>
      </c>
      <c r="B2153" t="str">
        <f>"1551599107102587"</f>
        <v>1551599107102587</v>
      </c>
      <c r="C2153" t="s">
        <v>40</v>
      </c>
      <c r="D2153">
        <v>4.7082230000000003</v>
      </c>
      <c r="E2153">
        <v>0.50159949999999998</v>
      </c>
      <c r="F2153" t="s">
        <v>54</v>
      </c>
      <c r="G2153">
        <v>-478.89530000000002</v>
      </c>
      <c r="H2153" s="1">
        <v>2.6728960000000002E-6</v>
      </c>
      <c r="I2153">
        <v>284.65589999999997</v>
      </c>
      <c r="J2153">
        <v>-464.76400000000001</v>
      </c>
      <c r="K2153">
        <v>1.121197</v>
      </c>
      <c r="L2153">
        <v>284.67169999999999</v>
      </c>
      <c r="M2153">
        <v>-0.99987210000000004</v>
      </c>
      <c r="N2153">
        <v>-1.4773730000000001E-2</v>
      </c>
      <c r="O2153">
        <v>6.1273859999999899E-3</v>
      </c>
      <c r="P2153">
        <v>-0.99595420000000001</v>
      </c>
      <c r="Q2153">
        <v>-8.9796000000000001E-2</v>
      </c>
      <c r="R2153">
        <v>-3.427856E-3</v>
      </c>
      <c r="S2153">
        <v>-2.9911799999999999</v>
      </c>
      <c r="T2153">
        <v>-0.23351350000000001</v>
      </c>
      <c r="U2153">
        <v>-2.9907229999999998E-3</v>
      </c>
      <c r="V2153">
        <v>-9.5342369999999992E-3</v>
      </c>
      <c r="W2153">
        <v>-7.5072470000000002E-2</v>
      </c>
      <c r="X2153">
        <v>0.99713249999999998</v>
      </c>
      <c r="Y2153">
        <v>-7.0899589999999998E-3</v>
      </c>
      <c r="Z2153">
        <v>-7.1599879999999997E-4</v>
      </c>
      <c r="AA2153">
        <v>0.99997460000000005</v>
      </c>
      <c r="AB2153">
        <v>21</v>
      </c>
      <c r="AC2153">
        <v>-14.1313</v>
      </c>
      <c r="AD2153">
        <v>-1.1211943271039999</v>
      </c>
      <c r="AE2153">
        <v>-1.5800000000012901E-2</v>
      </c>
      <c r="AF2153">
        <v>-0.10175652388288101</v>
      </c>
      <c r="AG2153">
        <v>-1.1211943271039999</v>
      </c>
      <c r="AH2153">
        <v>14.0425397903364</v>
      </c>
      <c r="AI2153">
        <v>94.564846639830407</v>
      </c>
      <c r="AJ2153">
        <v>90.415175417016599</v>
      </c>
      <c r="AK2153">
        <v>14.0875957804184</v>
      </c>
      <c r="AL2153">
        <v>94.305386268863799</v>
      </c>
      <c r="AM2153">
        <v>90.547825784657903</v>
      </c>
      <c r="AN2153">
        <v>0.999999999991661</v>
      </c>
    </row>
    <row r="2154" spans="1:40" x14ac:dyDescent="0.25">
      <c r="A2154" t="str">
        <f>"20190303154507147"</f>
        <v>20190303154507147</v>
      </c>
      <c r="B2154" t="str">
        <f>"1551599107142606"</f>
        <v>1551599107142606</v>
      </c>
      <c r="C2154" t="s">
        <v>40</v>
      </c>
      <c r="D2154">
        <v>4.7034469999999997</v>
      </c>
      <c r="E2154">
        <v>0.50153270000000005</v>
      </c>
      <c r="F2154" t="s">
        <v>54</v>
      </c>
      <c r="G2154">
        <v>-479.2774</v>
      </c>
      <c r="H2154" s="1">
        <v>2.5058140000000002E-6</v>
      </c>
      <c r="I2154">
        <v>284.68310000000002</v>
      </c>
      <c r="J2154">
        <v>-465.1386</v>
      </c>
      <c r="K2154">
        <v>1.121191</v>
      </c>
      <c r="L2154">
        <v>284.67399999999998</v>
      </c>
      <c r="M2154">
        <v>-0.99987630000000005</v>
      </c>
      <c r="N2154">
        <v>-1.448694E-2</v>
      </c>
      <c r="O2154">
        <v>6.1345810000000001E-3</v>
      </c>
      <c r="P2154">
        <v>-0.99614440000000004</v>
      </c>
      <c r="Q2154">
        <v>-8.769122E-2</v>
      </c>
      <c r="R2154">
        <v>-2.6173099999999999E-3</v>
      </c>
      <c r="S2154">
        <v>-2.991333</v>
      </c>
      <c r="T2154">
        <v>-0.2310883</v>
      </c>
      <c r="U2154">
        <v>2.3498540000000002E-3</v>
      </c>
      <c r="V2154">
        <v>-8.732353E-3</v>
      </c>
      <c r="W2154">
        <v>-7.3251029999999995E-2</v>
      </c>
      <c r="X2154">
        <v>0.99727529999999998</v>
      </c>
      <c r="Y2154">
        <v>-5.3187909999999998E-3</v>
      </c>
      <c r="Z2154">
        <v>-6.2817199999999998E-4</v>
      </c>
      <c r="AA2154">
        <v>0.99998560000000003</v>
      </c>
      <c r="AB2154">
        <v>21</v>
      </c>
      <c r="AC2154">
        <v>-14.1388</v>
      </c>
      <c r="AD2154">
        <v>-1.121188494186</v>
      </c>
      <c r="AE2154">
        <v>9.0999999999894499E-3</v>
      </c>
      <c r="AF2154">
        <v>-7.7159681205647201E-2</v>
      </c>
      <c r="AG2154">
        <v>-1.121188494186</v>
      </c>
      <c r="AH2154">
        <v>14.050237876511799</v>
      </c>
      <c r="AI2154">
        <v>94.562383267131494</v>
      </c>
      <c r="AJ2154">
        <v>90.314648027892403</v>
      </c>
      <c r="AK2154">
        <v>14.0951126864054</v>
      </c>
      <c r="AL2154">
        <v>94.200737267821907</v>
      </c>
      <c r="AM2154">
        <v>90.501681116349204</v>
      </c>
      <c r="AN2154">
        <v>0.99999999568753295</v>
      </c>
    </row>
    <row r="2155" spans="1:40" x14ac:dyDescent="0.25">
      <c r="A2155" t="str">
        <f>"20190303154507169"</f>
        <v>20190303154507169</v>
      </c>
      <c r="B2155" t="str">
        <f>"1551599107163099"</f>
        <v>1551599107163099</v>
      </c>
      <c r="C2155" t="s">
        <v>40</v>
      </c>
      <c r="D2155">
        <v>4.7083849999999998</v>
      </c>
      <c r="E2155">
        <v>0.50142909999999996</v>
      </c>
      <c r="F2155" t="s">
        <v>54</v>
      </c>
      <c r="G2155">
        <v>-479.8279</v>
      </c>
      <c r="H2155" s="1">
        <v>2.2628090000000002E-6</v>
      </c>
      <c r="I2155">
        <v>284.69619999999998</v>
      </c>
      <c r="J2155">
        <v>-465.34440000000001</v>
      </c>
      <c r="K2155">
        <v>1.121175</v>
      </c>
      <c r="L2155">
        <v>284.67520000000002</v>
      </c>
      <c r="M2155">
        <v>-0.99987809999999999</v>
      </c>
      <c r="N2155">
        <v>-1.4357119999999999E-2</v>
      </c>
      <c r="O2155">
        <v>6.1538209999999899E-3</v>
      </c>
      <c r="P2155">
        <v>-0.99606510000000004</v>
      </c>
      <c r="Q2155">
        <v>-8.8592569999999995E-2</v>
      </c>
      <c r="R2155">
        <v>-2.4210379999999999E-3</v>
      </c>
      <c r="S2155">
        <v>-2.9914860000000001</v>
      </c>
      <c r="T2155">
        <v>-0.22833039999999999</v>
      </c>
      <c r="U2155">
        <v>4.5166019999999998E-3</v>
      </c>
      <c r="V2155">
        <v>-8.5557489999999996E-3</v>
      </c>
      <c r="W2155">
        <v>-7.4282749999999995E-2</v>
      </c>
      <c r="X2155">
        <v>0.99720050000000005</v>
      </c>
      <c r="Y2155">
        <v>-4.6168980000000004E-3</v>
      </c>
      <c r="Z2155">
        <v>-5.8990599999999996E-4</v>
      </c>
      <c r="AA2155">
        <v>0.99998920000000002</v>
      </c>
      <c r="AB2155">
        <v>21</v>
      </c>
      <c r="AC2155">
        <v>-14.4834999999999</v>
      </c>
      <c r="AD2155">
        <v>-1.1211727371910001</v>
      </c>
      <c r="AE2155">
        <v>2.0999999999958101E-2</v>
      </c>
      <c r="AF2155">
        <v>-6.7732564933837905E-2</v>
      </c>
      <c r="AG2155">
        <v>-1.1211727371910001</v>
      </c>
      <c r="AH2155">
        <v>14.397082599793301</v>
      </c>
      <c r="AI2155">
        <v>94.452872378605505</v>
      </c>
      <c r="AJ2155">
        <v>90.269551935138793</v>
      </c>
      <c r="AK2155">
        <v>14.4408311184725</v>
      </c>
      <c r="AL2155">
        <v>94.260012021933207</v>
      </c>
      <c r="AM2155">
        <v>90.491572437369598</v>
      </c>
      <c r="AN2155">
        <v>0.99999998249438105</v>
      </c>
    </row>
    <row r="2156" spans="1:40" x14ac:dyDescent="0.25">
      <c r="A2156" t="str">
        <f>"20190303154507191"</f>
        <v>20190303154507191</v>
      </c>
      <c r="B2156" t="str">
        <f>"1551599107182619"</f>
        <v>1551599107182619</v>
      </c>
      <c r="C2156" t="s">
        <v>40</v>
      </c>
      <c r="D2156">
        <v>4.7191549999999998</v>
      </c>
      <c r="E2156">
        <v>0.50142739999999997</v>
      </c>
      <c r="F2156" t="s">
        <v>54</v>
      </c>
      <c r="G2156">
        <v>-479.63209999999998</v>
      </c>
      <c r="H2156" s="1">
        <v>2.3494380000000001E-6</v>
      </c>
      <c r="I2156">
        <v>284.6936</v>
      </c>
      <c r="J2156">
        <v>-465.54640000000001</v>
      </c>
      <c r="K2156">
        <v>1.1211599999999999</v>
      </c>
      <c r="L2156">
        <v>284.67649999999998</v>
      </c>
      <c r="M2156">
        <v>-0.99987950000000003</v>
      </c>
      <c r="N2156">
        <v>-1.4245529999999999E-2</v>
      </c>
      <c r="O2156">
        <v>6.1946609999999997E-3</v>
      </c>
      <c r="P2156">
        <v>-0.99599110000000002</v>
      </c>
      <c r="Q2156">
        <v>-8.9420589999999994E-2</v>
      </c>
      <c r="R2156">
        <v>-2.447383E-3</v>
      </c>
      <c r="S2156">
        <v>-2.9909970000000001</v>
      </c>
      <c r="T2156">
        <v>-0.23470769999999999</v>
      </c>
      <c r="U2156">
        <v>3.8452149999999999E-3</v>
      </c>
      <c r="V2156">
        <v>-8.6250379999999998E-3</v>
      </c>
      <c r="W2156">
        <v>-7.5222720000000007E-2</v>
      </c>
      <c r="X2156">
        <v>0.99712940000000005</v>
      </c>
      <c r="Y2156">
        <v>-4.8792260000000004E-3</v>
      </c>
      <c r="Z2156">
        <v>-6.2317869999999997E-4</v>
      </c>
      <c r="AA2156">
        <v>0.99998790000000004</v>
      </c>
      <c r="AB2156">
        <v>21</v>
      </c>
      <c r="AC2156">
        <v>-14.0856999999999</v>
      </c>
      <c r="AD2156">
        <v>-1.121157650562</v>
      </c>
      <c r="AE2156">
        <v>1.71000000000276E-2</v>
      </c>
      <c r="AF2156">
        <v>-6.9723576911395801E-2</v>
      </c>
      <c r="AG2156">
        <v>-1.121157650562</v>
      </c>
      <c r="AH2156">
        <v>13.9968595453263</v>
      </c>
      <c r="AI2156">
        <v>94.579595203167102</v>
      </c>
      <c r="AJ2156">
        <v>90.285409283000803</v>
      </c>
      <c r="AK2156">
        <v>14.041863586653401</v>
      </c>
      <c r="AL2156">
        <v>94.314019609863806</v>
      </c>
      <c r="AM2156">
        <v>90.495588587850705</v>
      </c>
      <c r="AN2156">
        <v>0.99999994461452801</v>
      </c>
    </row>
    <row r="2157" spans="1:40" x14ac:dyDescent="0.25">
      <c r="A2157" t="str">
        <f>"20190303154507215"</f>
        <v>20190303154507215</v>
      </c>
      <c r="B2157" t="str">
        <f>"1551599107212874"</f>
        <v>1551599107212874</v>
      </c>
      <c r="C2157" t="s">
        <v>40</v>
      </c>
      <c r="D2157">
        <v>4.6836840000000004</v>
      </c>
      <c r="E2157">
        <v>0.50143679999999902</v>
      </c>
      <c r="F2157" t="s">
        <v>54</v>
      </c>
      <c r="G2157">
        <v>-479.4905</v>
      </c>
      <c r="H2157" s="1">
        <v>2.4123179999999998E-6</v>
      </c>
      <c r="I2157">
        <v>284.69470000000001</v>
      </c>
      <c r="J2157">
        <v>-465.7715</v>
      </c>
      <c r="K2157">
        <v>1.12113</v>
      </c>
      <c r="L2157">
        <v>284.67790000000002</v>
      </c>
      <c r="M2157">
        <v>-0.9998804</v>
      </c>
      <c r="N2157">
        <v>-1.413742E-2</v>
      </c>
      <c r="O2157">
        <v>6.2890180000000004E-3</v>
      </c>
      <c r="P2157">
        <v>-0.99598960000000003</v>
      </c>
      <c r="Q2157">
        <v>-8.9427339999999994E-2</v>
      </c>
      <c r="R2157">
        <v>-2.8179279999999999E-3</v>
      </c>
      <c r="S2157">
        <v>-2.9904790000000001</v>
      </c>
      <c r="T2157">
        <v>-0.2404462</v>
      </c>
      <c r="U2157">
        <v>3.90625E-3</v>
      </c>
      <c r="V2157">
        <v>-9.0947210000000001E-3</v>
      </c>
      <c r="W2157">
        <v>-7.533666E-2</v>
      </c>
      <c r="X2157">
        <v>0.99711669999999997</v>
      </c>
      <c r="Y2157">
        <v>-4.9508570000000003E-3</v>
      </c>
      <c r="Z2157">
        <v>-6.4982430000000001E-4</v>
      </c>
      <c r="AA2157">
        <v>0.99998750000000003</v>
      </c>
      <c r="AB2157">
        <v>20</v>
      </c>
      <c r="AC2157">
        <v>-13.7189999999999</v>
      </c>
      <c r="AD2157">
        <v>-1.1211275876819999</v>
      </c>
      <c r="AE2157">
        <v>1.6799999999989199E-2</v>
      </c>
      <c r="AF2157">
        <v>-6.90270021158262E-2</v>
      </c>
      <c r="AG2157">
        <v>-1.1211275876819999</v>
      </c>
      <c r="AH2157">
        <v>13.627823902878401</v>
      </c>
      <c r="AI2157">
        <v>94.702932152996993</v>
      </c>
      <c r="AJ2157">
        <v>90.290209361370401</v>
      </c>
      <c r="AK2157">
        <v>13.674036570184599</v>
      </c>
      <c r="AL2157">
        <v>94.320566142635897</v>
      </c>
      <c r="AM2157">
        <v>90.522581438609706</v>
      </c>
      <c r="AN2157">
        <v>1.0000000198544501</v>
      </c>
    </row>
    <row r="2158" spans="1:40" x14ac:dyDescent="0.25">
      <c r="A2158" t="str">
        <f>"20190303154507247"</f>
        <v>20190303154507247</v>
      </c>
      <c r="B2158" t="str">
        <f>"1551599107243136"</f>
        <v>1551599107243136</v>
      </c>
      <c r="C2158" t="s">
        <v>40</v>
      </c>
      <c r="D2158">
        <v>4.7032699999999998</v>
      </c>
      <c r="E2158">
        <v>0.50147039999999998</v>
      </c>
      <c r="F2158" t="s">
        <v>54</v>
      </c>
      <c r="G2158">
        <v>-479.47519999999997</v>
      </c>
      <c r="H2158" s="1">
        <v>2.4187919999999998E-6</v>
      </c>
      <c r="I2158">
        <v>284.69119999999998</v>
      </c>
      <c r="J2158">
        <v>-466.0564</v>
      </c>
      <c r="K2158">
        <v>1.121067</v>
      </c>
      <c r="L2158">
        <v>284.67989999999998</v>
      </c>
      <c r="M2158">
        <v>-0.99988060000000001</v>
      </c>
      <c r="N2158">
        <v>-1.4023010000000001E-2</v>
      </c>
      <c r="O2158">
        <v>6.5066789999999996E-3</v>
      </c>
      <c r="P2158">
        <v>-0.99581580000000003</v>
      </c>
      <c r="Q2158">
        <v>-9.1216790000000006E-2</v>
      </c>
      <c r="R2158">
        <v>-5.5662979999999999E-3</v>
      </c>
      <c r="S2158">
        <v>-2.9901119999999999</v>
      </c>
      <c r="T2158">
        <v>-0.24462639999999999</v>
      </c>
      <c r="U2158">
        <v>2.89917E-3</v>
      </c>
      <c r="V2158">
        <v>-1.206978E-2</v>
      </c>
      <c r="W2158">
        <v>-7.7240649999999994E-2</v>
      </c>
      <c r="X2158">
        <v>0.99693940000000003</v>
      </c>
      <c r="Y2158">
        <v>-5.5012849999999999E-3</v>
      </c>
      <c r="Z2158">
        <v>-7.0361890000000002E-4</v>
      </c>
      <c r="AA2158">
        <v>0.9999846</v>
      </c>
      <c r="AB2158">
        <v>20</v>
      </c>
      <c r="AC2158">
        <v>-13.4187999999999</v>
      </c>
      <c r="AD2158">
        <v>-1.121064581208</v>
      </c>
      <c r="AE2158">
        <v>1.1300000000005601E-2</v>
      </c>
      <c r="AF2158">
        <v>-7.5493721145992995E-2</v>
      </c>
      <c r="AG2158">
        <v>-1.121064581208</v>
      </c>
      <c r="AH2158">
        <v>13.325581534349199</v>
      </c>
      <c r="AI2158">
        <v>94.808821879352493</v>
      </c>
      <c r="AJ2158">
        <v>90.324595614422904</v>
      </c>
      <c r="AK2158">
        <v>13.372868365678301</v>
      </c>
      <c r="AL2158">
        <v>94.429975758488396</v>
      </c>
      <c r="AM2158">
        <v>90.693636612883907</v>
      </c>
      <c r="AN2158">
        <v>0.99999998243701504</v>
      </c>
    </row>
    <row r="2159" spans="1:40" x14ac:dyDescent="0.25">
      <c r="A2159" t="str">
        <f>"20190303154507269"</f>
        <v>20190303154507269</v>
      </c>
      <c r="B2159" t="str">
        <f>"1551599107262652"</f>
        <v>1551599107262652</v>
      </c>
      <c r="C2159" t="s">
        <v>40</v>
      </c>
      <c r="D2159">
        <v>4.704345</v>
      </c>
      <c r="E2159">
        <v>0.50148009999999998</v>
      </c>
      <c r="F2159" t="s">
        <v>54</v>
      </c>
      <c r="G2159">
        <v>-479.24919999999997</v>
      </c>
      <c r="H2159" s="1">
        <v>2.5160309999999999E-6</v>
      </c>
      <c r="I2159">
        <v>284.65690000000001</v>
      </c>
      <c r="J2159">
        <v>-466.26209999999998</v>
      </c>
      <c r="K2159">
        <v>1.121011</v>
      </c>
      <c r="L2159">
        <v>284.68150000000003</v>
      </c>
      <c r="M2159">
        <v>-0.99988010000000005</v>
      </c>
      <c r="N2159">
        <v>-1.395339E-2</v>
      </c>
      <c r="O2159">
        <v>6.7316470000000003E-3</v>
      </c>
      <c r="P2159">
        <v>-0.99558000000000002</v>
      </c>
      <c r="Q2159">
        <v>-9.3590010000000001E-2</v>
      </c>
      <c r="R2159">
        <v>-7.8475339999999998E-3</v>
      </c>
      <c r="S2159">
        <v>-2.9892880000000002</v>
      </c>
      <c r="T2159">
        <v>-0.25401580000000001</v>
      </c>
      <c r="U2159">
        <v>-5.2185060000000004E-3</v>
      </c>
      <c r="V2159">
        <v>-1.458167E-2</v>
      </c>
      <c r="W2159">
        <v>-7.9684389999999994E-2</v>
      </c>
      <c r="X2159">
        <v>0.99671350000000003</v>
      </c>
      <c r="Y2159">
        <v>-8.4256680000000007E-3</v>
      </c>
      <c r="Z2159">
        <v>-8.9345149999999905E-4</v>
      </c>
      <c r="AA2159">
        <v>0.99996410000000002</v>
      </c>
      <c r="AB2159">
        <v>20</v>
      </c>
      <c r="AC2159">
        <v>-12.9870999999999</v>
      </c>
      <c r="AD2159">
        <v>-1.121008483969</v>
      </c>
      <c r="AE2159">
        <v>-2.46000000000208E-2</v>
      </c>
      <c r="AF2159">
        <v>-0.111203979695823</v>
      </c>
      <c r="AG2159">
        <v>-1.121008483969</v>
      </c>
      <c r="AH2159">
        <v>12.8905972474238</v>
      </c>
      <c r="AI2159">
        <v>94.969940447532096</v>
      </c>
      <c r="AJ2159">
        <v>90.494264193385604</v>
      </c>
      <c r="AK2159">
        <v>12.9397265713585</v>
      </c>
      <c r="AL2159">
        <v>94.570424635207402</v>
      </c>
      <c r="AM2159">
        <v>90.838163175208393</v>
      </c>
      <c r="AN2159">
        <v>1.00000001409595</v>
      </c>
    </row>
    <row r="2160" spans="1:40" x14ac:dyDescent="0.25">
      <c r="A2160" t="str">
        <f>"20190303154507294"</f>
        <v>20190303154507294</v>
      </c>
      <c r="B2160" t="str">
        <f>"1551599107283147"</f>
        <v>1551599107283147</v>
      </c>
      <c r="C2160" t="s">
        <v>40</v>
      </c>
      <c r="D2160">
        <v>4.6219419999999998</v>
      </c>
      <c r="E2160">
        <v>0.50334880000000004</v>
      </c>
      <c r="F2160" t="s">
        <v>54</v>
      </c>
      <c r="G2160">
        <v>-479.07060000000001</v>
      </c>
      <c r="H2160" s="1">
        <v>2.5929129999999999E-6</v>
      </c>
      <c r="I2160">
        <v>284.63069999999999</v>
      </c>
      <c r="J2160">
        <v>-466.48840000000001</v>
      </c>
      <c r="K2160">
        <v>1.1209690000000001</v>
      </c>
      <c r="L2160">
        <v>284.68329999999997</v>
      </c>
      <c r="M2160">
        <v>-0.99987890000000001</v>
      </c>
      <c r="N2160">
        <v>-1.388727E-2</v>
      </c>
      <c r="O2160">
        <v>7.0342019999999998E-3</v>
      </c>
      <c r="P2160">
        <v>-0.99529509999999999</v>
      </c>
      <c r="Q2160">
        <v>-9.6443089999999995E-2</v>
      </c>
      <c r="R2160">
        <v>-9.3022539999999994E-3</v>
      </c>
      <c r="S2160">
        <v>-2.9886469999999998</v>
      </c>
      <c r="T2160">
        <v>-0.26156819999999997</v>
      </c>
      <c r="U2160">
        <v>-1.184082E-2</v>
      </c>
      <c r="V2160">
        <v>-1.6343860000000002E-2</v>
      </c>
      <c r="W2160">
        <v>-8.2605129999999999E-2</v>
      </c>
      <c r="X2160">
        <v>0.99644829999999995</v>
      </c>
      <c r="Y2160">
        <v>-1.092916E-2</v>
      </c>
      <c r="Z2160">
        <v>-1.070334E-3</v>
      </c>
      <c r="AA2160">
        <v>0.99993969999999999</v>
      </c>
      <c r="AB2160">
        <v>20</v>
      </c>
      <c r="AC2160">
        <v>-12.5822</v>
      </c>
      <c r="AD2160">
        <v>-1.120966407087</v>
      </c>
      <c r="AE2160">
        <v>-5.2599999999983903E-2</v>
      </c>
      <c r="AF2160">
        <v>-0.14000174931040299</v>
      </c>
      <c r="AG2160">
        <v>-1.120966407087</v>
      </c>
      <c r="AH2160">
        <v>12.4824436247509</v>
      </c>
      <c r="AI2160">
        <v>95.131271915618797</v>
      </c>
      <c r="AJ2160">
        <v>90.642596375185207</v>
      </c>
      <c r="AK2160">
        <v>12.5334578237896</v>
      </c>
      <c r="AL2160">
        <v>94.738324648006994</v>
      </c>
      <c r="AM2160">
        <v>90.939687725292302</v>
      </c>
      <c r="AN2160">
        <v>0.99999997191745205</v>
      </c>
    </row>
    <row r="2161" spans="1:40" x14ac:dyDescent="0.25">
      <c r="A2161" t="str">
        <f>"20190303154507322"</f>
        <v>20190303154507322</v>
      </c>
      <c r="B2161" t="str">
        <f>"1551599107312426"</f>
        <v>1551599107312426</v>
      </c>
      <c r="C2161" t="s">
        <v>40</v>
      </c>
      <c r="D2161">
        <v>4.5463550000000001</v>
      </c>
      <c r="E2161">
        <v>0.5059553</v>
      </c>
      <c r="F2161" t="s">
        <v>54</v>
      </c>
      <c r="G2161">
        <v>-478.37709999999998</v>
      </c>
      <c r="H2161" s="1">
        <v>2.9045919999999999E-6</v>
      </c>
      <c r="I2161">
        <v>284.678</v>
      </c>
      <c r="J2161">
        <v>-466.7242</v>
      </c>
      <c r="K2161">
        <v>1.120935</v>
      </c>
      <c r="L2161">
        <v>284.68540000000002</v>
      </c>
      <c r="M2161">
        <v>-0.99987709999999996</v>
      </c>
      <c r="N2161">
        <v>-1.382802E-2</v>
      </c>
      <c r="O2161">
        <v>7.3987569999999997E-3</v>
      </c>
      <c r="P2161">
        <v>-0.99517029999999995</v>
      </c>
      <c r="Q2161">
        <v>-9.7673700000000002E-2</v>
      </c>
      <c r="R2161">
        <v>-9.807596E-3</v>
      </c>
      <c r="S2161">
        <v>-2.9868769999999998</v>
      </c>
      <c r="T2161">
        <v>-0.28162690000000001</v>
      </c>
      <c r="U2161">
        <v>-1.34277299999999E-3</v>
      </c>
      <c r="V2161">
        <v>-1.7216249999999999E-2</v>
      </c>
      <c r="W2161">
        <v>-8.3895200000000003E-2</v>
      </c>
      <c r="X2161">
        <v>0.99632589999999999</v>
      </c>
      <c r="Y2161">
        <v>-7.7854969999999997E-3</v>
      </c>
      <c r="Z2161">
        <v>-1.01414E-3</v>
      </c>
      <c r="AA2161">
        <v>0.9999692</v>
      </c>
      <c r="AB2161">
        <v>20</v>
      </c>
      <c r="AC2161">
        <v>-11.652899999999899</v>
      </c>
      <c r="AD2161">
        <v>-1.120932095408</v>
      </c>
      <c r="AE2161">
        <v>-7.40000000001828E-3</v>
      </c>
      <c r="AF2161">
        <v>-9.2766624569658895E-2</v>
      </c>
      <c r="AG2161">
        <v>-1.120932095408</v>
      </c>
      <c r="AH2161">
        <v>11.545692014506299</v>
      </c>
      <c r="AI2161">
        <v>95.545095799513305</v>
      </c>
      <c r="AJ2161">
        <v>90.460346741346797</v>
      </c>
      <c r="AK2161">
        <v>11.600349068152401</v>
      </c>
      <c r="AL2161">
        <v>94.812497316492198</v>
      </c>
      <c r="AM2161">
        <v>90.989957506493298</v>
      </c>
      <c r="AN2161">
        <v>1.00000005142895</v>
      </c>
    </row>
    <row r="2162" spans="1:40" x14ac:dyDescent="0.25">
      <c r="A2162" t="str">
        <f>"20190303154507345"</f>
        <v>20190303154507345</v>
      </c>
      <c r="B2162" t="str">
        <f>"1551599107332923"</f>
        <v>1551599107332923</v>
      </c>
      <c r="C2162" t="s">
        <v>40</v>
      </c>
      <c r="D2162">
        <v>4.5838390000000002</v>
      </c>
      <c r="E2162">
        <v>0.50762759999999996</v>
      </c>
      <c r="F2162" t="s">
        <v>54</v>
      </c>
      <c r="G2162">
        <v>-477.5428</v>
      </c>
      <c r="H2162" s="1">
        <v>3.2810189999999999E-6</v>
      </c>
      <c r="I2162">
        <v>284.75170000000003</v>
      </c>
      <c r="J2162">
        <v>-466.94349999999997</v>
      </c>
      <c r="K2162">
        <v>1.1209279999999999</v>
      </c>
      <c r="L2162">
        <v>284.68740000000003</v>
      </c>
      <c r="M2162">
        <v>-0.99987479999999995</v>
      </c>
      <c r="N2162">
        <v>-1.378153E-2</v>
      </c>
      <c r="O2162">
        <v>7.7680819999999999E-3</v>
      </c>
      <c r="P2162">
        <v>-0.99512650000000002</v>
      </c>
      <c r="Q2162">
        <v>-9.8163020000000004E-2</v>
      </c>
      <c r="R2162">
        <v>-9.3357730000000003E-3</v>
      </c>
      <c r="S2162">
        <v>-2.9844059999999999</v>
      </c>
      <c r="T2162">
        <v>-0.30921749999999998</v>
      </c>
      <c r="U2162">
        <v>1.8310549999999998E-2</v>
      </c>
      <c r="V2162">
        <v>-1.711333E-2</v>
      </c>
      <c r="W2162">
        <v>-8.4431300000000001E-2</v>
      </c>
      <c r="X2162">
        <v>0.99628229999999995</v>
      </c>
      <c r="Y2162">
        <v>-1.592647E-3</v>
      </c>
      <c r="Z2162">
        <v>-7.8917389999999998E-4</v>
      </c>
      <c r="AA2162">
        <v>0.99999839999999995</v>
      </c>
      <c r="AB2162">
        <v>20</v>
      </c>
      <c r="AC2162">
        <v>-10.599299999999999</v>
      </c>
      <c r="AD2162">
        <v>-1.1209247189810001</v>
      </c>
      <c r="AE2162">
        <v>6.4300000000002897E-2</v>
      </c>
      <c r="AF2162">
        <v>-1.7846409202801401E-2</v>
      </c>
      <c r="AG2162">
        <v>-1.1209247189810001</v>
      </c>
      <c r="AH2162">
        <v>10.482250132375899</v>
      </c>
      <c r="AI2162">
        <v>96.103749001408403</v>
      </c>
      <c r="AJ2162">
        <v>90.0975480384364</v>
      </c>
      <c r="AK2162">
        <v>10.542028199432901</v>
      </c>
      <c r="AL2162">
        <v>94.843323367957694</v>
      </c>
      <c r="AM2162">
        <v>90.984083691214593</v>
      </c>
      <c r="AN2162">
        <v>0.99999996588833295</v>
      </c>
    </row>
    <row r="2163" spans="1:40" x14ac:dyDescent="0.25">
      <c r="A2163" t="str">
        <f>"20190303154507405"</f>
        <v>20190303154507405</v>
      </c>
      <c r="B2163" t="str">
        <f>"1551599107392459"</f>
        <v>1551599107392459</v>
      </c>
      <c r="C2163" t="s">
        <v>40</v>
      </c>
      <c r="D2163">
        <v>4.4591609999999999</v>
      </c>
      <c r="E2163">
        <v>0.50976409999999905</v>
      </c>
      <c r="F2163" t="s">
        <v>42</v>
      </c>
      <c r="G2163">
        <v>-467.81529999999998</v>
      </c>
      <c r="H2163">
        <v>1.025973</v>
      </c>
      <c r="I2163">
        <v>284.69749999999999</v>
      </c>
      <c r="J2163">
        <v>-467.48869999999999</v>
      </c>
      <c r="K2163">
        <v>1.1209359999999999</v>
      </c>
      <c r="L2163">
        <v>284.69279999999998</v>
      </c>
      <c r="M2163">
        <v>-0.9998686</v>
      </c>
      <c r="N2163">
        <v>-1.3691699999999999E-2</v>
      </c>
      <c r="O2163">
        <v>8.6763629999999994E-3</v>
      </c>
      <c r="P2163">
        <v>-0.9949038</v>
      </c>
      <c r="Q2163">
        <v>-0.10056229999999999</v>
      </c>
      <c r="R2163">
        <v>-7.334798E-3</v>
      </c>
      <c r="S2163">
        <v>-2.982971</v>
      </c>
      <c r="T2163">
        <v>-0.32512340000000001</v>
      </c>
      <c r="U2163">
        <v>3.3386230000000003E-2</v>
      </c>
      <c r="V2163">
        <v>-1.6012479999999999E-2</v>
      </c>
      <c r="W2163">
        <v>-8.6924039999999994E-2</v>
      </c>
      <c r="X2163">
        <v>0.99608620000000003</v>
      </c>
      <c r="Y2163">
        <v>2.5368729999999998E-3</v>
      </c>
      <c r="Z2163">
        <v>-6.6906619999999905E-4</v>
      </c>
      <c r="AA2163">
        <v>0.99999649999999995</v>
      </c>
      <c r="AB2163">
        <v>20</v>
      </c>
      <c r="AC2163">
        <v>-0.32659999999998401</v>
      </c>
      <c r="AD2163">
        <v>-9.4963000000000103E-2</v>
      </c>
      <c r="AE2163">
        <v>4.7000000000139101E-3</v>
      </c>
      <c r="AF2163">
        <v>1.7204368151076399E-3</v>
      </c>
      <c r="AG2163">
        <v>-9.4963000000000103E-2</v>
      </c>
      <c r="AH2163">
        <v>0.30117185501752403</v>
      </c>
      <c r="AI2163">
        <v>107.50040309168899</v>
      </c>
      <c r="AJ2163">
        <v>89.672702828729498</v>
      </c>
      <c r="AK2163">
        <v>0.31579331456908799</v>
      </c>
      <c r="AL2163">
        <v>94.986674070103405</v>
      </c>
      <c r="AM2163">
        <v>90.920973011535395</v>
      </c>
      <c r="AN2163">
        <v>0.999999953038054</v>
      </c>
    </row>
    <row r="2164" spans="1:40" x14ac:dyDescent="0.25">
      <c r="A2164" t="str">
        <f>"20190303154507430"</f>
        <v>20190303154507430</v>
      </c>
      <c r="B2164" t="str">
        <f>"1551599107422714"</f>
        <v>1551599107422714</v>
      </c>
      <c r="C2164" t="s">
        <v>40</v>
      </c>
      <c r="D2164">
        <v>4.5332420000000004</v>
      </c>
      <c r="E2164">
        <v>0.51142259999999995</v>
      </c>
      <c r="F2164" t="s">
        <v>42</v>
      </c>
      <c r="G2164">
        <v>-468.35399999999998</v>
      </c>
      <c r="H2164">
        <v>1.0191250000000001</v>
      </c>
      <c r="I2164">
        <v>284.70949999999999</v>
      </c>
      <c r="J2164">
        <v>-467.71339999999998</v>
      </c>
      <c r="K2164">
        <v>1.1209340000000001</v>
      </c>
      <c r="L2164">
        <v>284.6952</v>
      </c>
      <c r="M2164">
        <v>-0.99986589999999997</v>
      </c>
      <c r="N2164">
        <v>-1.3663349999999999E-2</v>
      </c>
      <c r="O2164">
        <v>9.0223400000000002E-3</v>
      </c>
      <c r="P2164">
        <v>-0.99488239999999994</v>
      </c>
      <c r="Q2164">
        <v>-0.100815</v>
      </c>
      <c r="R2164">
        <v>-6.7448669999999999E-3</v>
      </c>
      <c r="S2164">
        <v>-2.9803470000000001</v>
      </c>
      <c r="T2164">
        <v>-0.35068660000000001</v>
      </c>
      <c r="U2164">
        <v>5.673218E-2</v>
      </c>
      <c r="V2164">
        <v>-1.5764630000000002E-2</v>
      </c>
      <c r="W2164">
        <v>-8.7205779999999997E-2</v>
      </c>
      <c r="X2164">
        <v>0.9960656</v>
      </c>
      <c r="Y2164">
        <v>9.9813780000000008E-3</v>
      </c>
      <c r="Z2164">
        <v>-2.813232E-4</v>
      </c>
      <c r="AA2164">
        <v>0.99995020000000001</v>
      </c>
      <c r="AB2164">
        <v>20</v>
      </c>
      <c r="AC2164">
        <v>-0.64060000000006301</v>
      </c>
      <c r="AD2164">
        <v>-0.101809</v>
      </c>
      <c r="AE2164">
        <v>1.42999999999915E-2</v>
      </c>
      <c r="AF2164">
        <v>8.3093931202363001E-3</v>
      </c>
      <c r="AG2164">
        <v>-0.101809</v>
      </c>
      <c r="AH2164">
        <v>0.62492643999744302</v>
      </c>
      <c r="AI2164">
        <v>99.252167458081999</v>
      </c>
      <c r="AJ2164">
        <v>89.238206177643306</v>
      </c>
      <c r="AK2164">
        <v>0.63321968849910604</v>
      </c>
      <c r="AL2164">
        <v>95.002877752664602</v>
      </c>
      <c r="AM2164">
        <v>90.906738830856597</v>
      </c>
      <c r="AN2164">
        <v>1.0000000255639001</v>
      </c>
    </row>
    <row r="2165" spans="1:40" x14ac:dyDescent="0.25">
      <c r="A2165" t="str">
        <f>"20190303154507451"</f>
        <v>20190303154507451</v>
      </c>
      <c r="B2165" t="str">
        <f>"1551599107443211"</f>
        <v>1551599107443211</v>
      </c>
      <c r="C2165" t="s">
        <v>40</v>
      </c>
      <c r="D2165">
        <v>4.4736500000000001</v>
      </c>
      <c r="E2165">
        <v>0.51255410000000001</v>
      </c>
      <c r="F2165" t="s">
        <v>42</v>
      </c>
      <c r="G2165">
        <v>-468.53449999999998</v>
      </c>
      <c r="H2165">
        <v>1.0200450000000001</v>
      </c>
      <c r="I2165">
        <v>284.71530000000001</v>
      </c>
      <c r="J2165">
        <v>-467.91160000000002</v>
      </c>
      <c r="K2165">
        <v>1.120938</v>
      </c>
      <c r="L2165">
        <v>284.69729999999998</v>
      </c>
      <c r="M2165">
        <v>-0.99986359999999996</v>
      </c>
      <c r="N2165">
        <v>-1.3641510000000001E-2</v>
      </c>
      <c r="O2165">
        <v>9.3158430000000007E-3</v>
      </c>
      <c r="P2165">
        <v>-0.99484150000000005</v>
      </c>
      <c r="Q2165">
        <v>-0.10125049999999999</v>
      </c>
      <c r="R2165">
        <v>-6.2433019999999896E-3</v>
      </c>
      <c r="S2165">
        <v>-2.9788209999999999</v>
      </c>
      <c r="T2165">
        <v>-0.36615409999999998</v>
      </c>
      <c r="U2165">
        <v>7.1868899999999999E-2</v>
      </c>
      <c r="V2165">
        <v>-1.5553590000000001E-2</v>
      </c>
      <c r="W2165">
        <v>-8.7663899999999906E-2</v>
      </c>
      <c r="X2165">
        <v>0.99602869999999999</v>
      </c>
      <c r="Y2165">
        <v>1.473669E-2</v>
      </c>
      <c r="Z2165" s="1">
        <v>-1.08041E-5</v>
      </c>
      <c r="AA2165">
        <v>0.99989139999999999</v>
      </c>
      <c r="AB2165">
        <v>20</v>
      </c>
      <c r="AC2165">
        <v>-0.62289999999995804</v>
      </c>
      <c r="AD2165">
        <v>-0.100892999999999</v>
      </c>
      <c r="AE2165">
        <v>1.80000000000291E-2</v>
      </c>
      <c r="AF2165">
        <v>1.18843125229313E-2</v>
      </c>
      <c r="AG2165">
        <v>-0.100892999999999</v>
      </c>
      <c r="AH2165">
        <v>0.60712584964795602</v>
      </c>
      <c r="AI2165">
        <v>99.433490979963693</v>
      </c>
      <c r="AJ2165">
        <v>88.878594938705405</v>
      </c>
      <c r="AK2165">
        <v>0.61556675644798697</v>
      </c>
      <c r="AL2165">
        <v>95.029227022111797</v>
      </c>
      <c r="AM2165">
        <v>90.894635504661096</v>
      </c>
      <c r="AN2165">
        <v>1.0000000223743899</v>
      </c>
    </row>
    <row r="2166" spans="1:40" x14ac:dyDescent="0.25">
      <c r="A2166" t="str">
        <f>"20190303154507474"</f>
        <v>20190303154507474</v>
      </c>
      <c r="B2166" t="str">
        <f>"1551599107462731"</f>
        <v>1551599107462731</v>
      </c>
      <c r="C2166" t="s">
        <v>40</v>
      </c>
      <c r="D2166">
        <v>4.513325</v>
      </c>
      <c r="E2166">
        <v>0.51368279999999999</v>
      </c>
      <c r="F2166" t="s">
        <v>42</v>
      </c>
      <c r="G2166">
        <v>-468.71420000000001</v>
      </c>
      <c r="H2166">
        <v>1.0194719999999999</v>
      </c>
      <c r="I2166">
        <v>284.71969999999999</v>
      </c>
      <c r="J2166">
        <v>-468.10489999999999</v>
      </c>
      <c r="K2166">
        <v>1.1209420000000001</v>
      </c>
      <c r="L2166">
        <v>284.6995</v>
      </c>
      <c r="M2166">
        <v>-0.99986129999999995</v>
      </c>
      <c r="N2166">
        <v>-1.362272E-2</v>
      </c>
      <c r="O2166">
        <v>9.5953259999999995E-3</v>
      </c>
      <c r="P2166">
        <v>-0.99486039999999998</v>
      </c>
      <c r="Q2166">
        <v>-0.1010862</v>
      </c>
      <c r="R2166">
        <v>-5.895071E-3</v>
      </c>
      <c r="S2166">
        <v>-2.9777529999999999</v>
      </c>
      <c r="T2166">
        <v>-0.37646590000000002</v>
      </c>
      <c r="U2166">
        <v>8.2580570000000006E-2</v>
      </c>
      <c r="V2166">
        <v>-1.5482070000000001E-2</v>
      </c>
      <c r="W2166">
        <v>-8.751834E-2</v>
      </c>
      <c r="X2166">
        <v>0.9960426</v>
      </c>
      <c r="Y2166">
        <v>1.802981E-2</v>
      </c>
      <c r="Z2166">
        <v>1.8059390000000001E-4</v>
      </c>
      <c r="AA2166">
        <v>0.99983750000000005</v>
      </c>
      <c r="AB2166">
        <v>20</v>
      </c>
      <c r="AC2166">
        <v>-0.60930000000001805</v>
      </c>
      <c r="AD2166">
        <v>-0.10147</v>
      </c>
      <c r="AE2166">
        <v>2.0199999999988401E-2</v>
      </c>
      <c r="AF2166">
        <v>1.39652096868472E-2</v>
      </c>
      <c r="AG2166">
        <v>-0.10147</v>
      </c>
      <c r="AH2166">
        <v>0.59303655306637804</v>
      </c>
      <c r="AI2166">
        <v>99.706785151601593</v>
      </c>
      <c r="AJ2166">
        <v>88.651011112527499</v>
      </c>
      <c r="AK2166">
        <v>0.60181686687434199</v>
      </c>
      <c r="AL2166">
        <v>95.020854944370299</v>
      </c>
      <c r="AM2166">
        <v>90.890509944986405</v>
      </c>
      <c r="AN2166">
        <v>1.0000000076713</v>
      </c>
    </row>
    <row r="2167" spans="1:40" x14ac:dyDescent="0.25">
      <c r="A2167" t="str">
        <f>"20190303154507496"</f>
        <v>20190303154507496</v>
      </c>
      <c r="B2167" t="str">
        <f>"1551599107492987"</f>
        <v>1551599107492987</v>
      </c>
      <c r="C2167" t="s">
        <v>40</v>
      </c>
      <c r="D2167">
        <v>4.6708590000000001</v>
      </c>
      <c r="E2167">
        <v>0.56787860000000001</v>
      </c>
      <c r="F2167" t="s">
        <v>42</v>
      </c>
      <c r="G2167">
        <v>-468.89330000000001</v>
      </c>
      <c r="H2167">
        <v>1.0182880000000001</v>
      </c>
      <c r="I2167">
        <v>284.7242</v>
      </c>
      <c r="J2167">
        <v>-468.31310000000002</v>
      </c>
      <c r="K2167">
        <v>1.120946</v>
      </c>
      <c r="L2167">
        <v>284.70190000000002</v>
      </c>
      <c r="M2167">
        <v>-0.99985860000000004</v>
      </c>
      <c r="N2167">
        <v>-1.360492E-2</v>
      </c>
      <c r="O2167">
        <v>9.8931090000000006E-3</v>
      </c>
      <c r="P2167">
        <v>-0.99496019999999996</v>
      </c>
      <c r="Q2167">
        <v>-0.10009750000000001</v>
      </c>
      <c r="R2167">
        <v>-5.8746859999999996E-3</v>
      </c>
      <c r="S2167">
        <v>-2.9766849999999998</v>
      </c>
      <c r="T2167">
        <v>-0.387575</v>
      </c>
      <c r="U2167">
        <v>9.2742920000000006E-2</v>
      </c>
      <c r="V2167">
        <v>-1.5756989999999998E-2</v>
      </c>
      <c r="W2167">
        <v>-8.6546319999999996E-2</v>
      </c>
      <c r="X2167">
        <v>0.99612319999999999</v>
      </c>
      <c r="Y2167">
        <v>2.11206E-2</v>
      </c>
      <c r="Z2167">
        <v>3.6499980000000002E-4</v>
      </c>
      <c r="AA2167">
        <v>0.99977680000000002</v>
      </c>
      <c r="AB2167">
        <v>20</v>
      </c>
      <c r="AC2167">
        <v>-0.58019999999998995</v>
      </c>
      <c r="AD2167">
        <v>-0.102658</v>
      </c>
      <c r="AE2167">
        <v>2.22999999999728E-2</v>
      </c>
      <c r="AF2167">
        <v>1.60564705168714E-2</v>
      </c>
      <c r="AG2167">
        <v>-0.102658</v>
      </c>
      <c r="AH2167">
        <v>0.562799133227048</v>
      </c>
      <c r="AI2167">
        <v>100.333337012258</v>
      </c>
      <c r="AJ2167">
        <v>88.365813907848903</v>
      </c>
      <c r="AK2167">
        <v>0.57231052722326903</v>
      </c>
      <c r="AL2167">
        <v>94.964950260958801</v>
      </c>
      <c r="AM2167">
        <v>90.906247074780097</v>
      </c>
      <c r="AN2167">
        <v>0.99999998890882102</v>
      </c>
    </row>
    <row r="2168" spans="1:40" x14ac:dyDescent="0.25">
      <c r="A2168" t="str">
        <f>"20190303154507524"</f>
        <v>20190303154507524</v>
      </c>
      <c r="B2168" t="str">
        <f>"1551599107512507"</f>
        <v>1551599107512507</v>
      </c>
      <c r="C2168" t="s">
        <v>40</v>
      </c>
      <c r="D2168">
        <v>4.5757810000000001</v>
      </c>
      <c r="E2168">
        <v>0.56653690000000001</v>
      </c>
      <c r="F2168" t="s">
        <v>42</v>
      </c>
      <c r="G2168">
        <v>-469.03550000000001</v>
      </c>
      <c r="H2168">
        <v>0.94335650000000004</v>
      </c>
      <c r="I2168">
        <v>284.83179999999999</v>
      </c>
      <c r="J2168">
        <v>-468.55009999999999</v>
      </c>
      <c r="K2168">
        <v>1.120951</v>
      </c>
      <c r="L2168">
        <v>284.7047</v>
      </c>
      <c r="M2168">
        <v>-0.99985550000000001</v>
      </c>
      <c r="N2168">
        <v>-1.358732E-2</v>
      </c>
      <c r="O2168">
        <v>1.0232160000000001E-2</v>
      </c>
      <c r="P2168">
        <v>-0.99514150000000001</v>
      </c>
      <c r="Q2168">
        <v>-9.8254919999999996E-2</v>
      </c>
      <c r="R2168">
        <v>-6.3093300000000001E-3</v>
      </c>
      <c r="S2168">
        <v>-2.9454959999999999</v>
      </c>
      <c r="T2168">
        <v>-0.72409019999999902</v>
      </c>
      <c r="U2168">
        <v>0.53005979999999997</v>
      </c>
      <c r="V2168">
        <v>-1.652907E-2</v>
      </c>
      <c r="W2168">
        <v>-8.4719000000000003E-2</v>
      </c>
      <c r="X2168">
        <v>0.99626780000000004</v>
      </c>
      <c r="Y2168">
        <v>0.16233909999999999</v>
      </c>
      <c r="Z2168">
        <v>1.831663E-2</v>
      </c>
      <c r="AA2168">
        <v>0.98656500000000003</v>
      </c>
      <c r="AB2168">
        <v>20</v>
      </c>
      <c r="AC2168">
        <v>-0.48540000000002598</v>
      </c>
      <c r="AD2168">
        <v>-0.17759449999999999</v>
      </c>
      <c r="AE2168">
        <v>0.127099999999984</v>
      </c>
      <c r="AF2168">
        <v>0.10853023392212199</v>
      </c>
      <c r="AG2168">
        <v>-0.17759449999999999</v>
      </c>
      <c r="AH2168">
        <v>0.432495041465145</v>
      </c>
      <c r="AI2168">
        <v>111.716367645106</v>
      </c>
      <c r="AJ2168">
        <v>75.913086787340006</v>
      </c>
      <c r="AK2168">
        <v>0.47996935214384101</v>
      </c>
      <c r="AL2168">
        <v>94.859866353022397</v>
      </c>
      <c r="AM2168">
        <v>90.950506550239695</v>
      </c>
      <c r="AN2168">
        <v>1.00000002421645</v>
      </c>
    </row>
    <row r="2169" spans="1:40" x14ac:dyDescent="0.25">
      <c r="A2169" t="str">
        <f>"20190303154507560"</f>
        <v>20190303154507560</v>
      </c>
      <c r="B2169" t="str">
        <f>"1551599107552526"</f>
        <v>1551599107552526</v>
      </c>
      <c r="C2169" t="s">
        <v>40</v>
      </c>
      <c r="D2169">
        <v>4.5900470000000002</v>
      </c>
      <c r="E2169">
        <v>0.56563929999999996</v>
      </c>
      <c r="F2169" t="s">
        <v>42</v>
      </c>
      <c r="G2169">
        <v>-469.38459999999998</v>
      </c>
      <c r="H2169">
        <v>0.92282430000000004</v>
      </c>
      <c r="I2169">
        <v>284.85129999999998</v>
      </c>
      <c r="J2169">
        <v>-468.87920000000003</v>
      </c>
      <c r="K2169">
        <v>1.1209439999999999</v>
      </c>
      <c r="L2169">
        <v>284.70859999999999</v>
      </c>
      <c r="M2169">
        <v>-0.99985069999999998</v>
      </c>
      <c r="N2169">
        <v>-1.3567050000000001E-2</v>
      </c>
      <c r="O2169">
        <v>1.0708290000000001E-2</v>
      </c>
      <c r="P2169">
        <v>-0.99513640000000003</v>
      </c>
      <c r="Q2169">
        <v>-9.8039020000000004E-2</v>
      </c>
      <c r="R2169">
        <v>-9.5968129999999992E-3</v>
      </c>
      <c r="S2169">
        <v>-2.9487920000000001</v>
      </c>
      <c r="T2169">
        <v>-0.70010830000000002</v>
      </c>
      <c r="U2169">
        <v>0.51742549999999998</v>
      </c>
      <c r="V2169">
        <v>-2.0289359999999999E-2</v>
      </c>
      <c r="W2169">
        <v>-8.4522459999999994E-2</v>
      </c>
      <c r="X2169">
        <v>0.99621499999999996</v>
      </c>
      <c r="Y2169">
        <v>0.15801129999999999</v>
      </c>
      <c r="Z2169">
        <v>1.711478E-2</v>
      </c>
      <c r="AA2169">
        <v>0.98728899999999997</v>
      </c>
      <c r="AB2169">
        <v>20</v>
      </c>
      <c r="AC2169">
        <v>-0.505399999999951</v>
      </c>
      <c r="AD2169">
        <v>-0.19811969999999901</v>
      </c>
      <c r="AE2169">
        <v>0.14269999999999</v>
      </c>
      <c r="AF2169">
        <v>0.12017567140595201</v>
      </c>
      <c r="AG2169">
        <v>-0.19811969999999901</v>
      </c>
      <c r="AH2169">
        <v>0.44374449429263302</v>
      </c>
      <c r="AI2169">
        <v>113.31354201060699</v>
      </c>
      <c r="AJ2169">
        <v>74.846548960997495</v>
      </c>
      <c r="AK2169">
        <v>0.50060242083012896</v>
      </c>
      <c r="AL2169">
        <v>94.848564948457806</v>
      </c>
      <c r="AM2169">
        <v>91.166750155118706</v>
      </c>
      <c r="AN2169">
        <v>1.00000001529933</v>
      </c>
    </row>
    <row r="2170" spans="1:40" x14ac:dyDescent="0.25">
      <c r="A2170" t="str">
        <f>"20190303154507582"</f>
        <v>20190303154507582</v>
      </c>
      <c r="B2170" t="str">
        <f>"1551599107573019"</f>
        <v>1551599107573019</v>
      </c>
      <c r="C2170" t="s">
        <v>40</v>
      </c>
      <c r="D2170">
        <v>4.5628209999999996</v>
      </c>
      <c r="E2170">
        <v>0.56630669999999905</v>
      </c>
      <c r="F2170" t="s">
        <v>42</v>
      </c>
      <c r="G2170">
        <v>-469.57920000000001</v>
      </c>
      <c r="H2170">
        <v>0.95782080000000003</v>
      </c>
      <c r="I2170">
        <v>284.82749999999999</v>
      </c>
      <c r="J2170">
        <v>-469.08199999999999</v>
      </c>
      <c r="K2170">
        <v>1.1209359999999999</v>
      </c>
      <c r="L2170">
        <v>284.71120000000002</v>
      </c>
      <c r="M2170">
        <v>-0.99984770000000001</v>
      </c>
      <c r="N2170">
        <v>-1.355642E-2</v>
      </c>
      <c r="O2170">
        <v>1.100548E-2</v>
      </c>
      <c r="P2170">
        <v>-0.99501510000000004</v>
      </c>
      <c r="Q2170">
        <v>-9.9035540000000005E-2</v>
      </c>
      <c r="R2170">
        <v>-1.1700820000000001E-2</v>
      </c>
      <c r="S2170">
        <v>-2.951721</v>
      </c>
      <c r="T2170">
        <v>-0.68781749999999997</v>
      </c>
      <c r="U2170">
        <v>0.49960329999999997</v>
      </c>
      <c r="V2170">
        <v>-2.2688150000000001E-2</v>
      </c>
      <c r="W2170">
        <v>-8.5530540000000002E-2</v>
      </c>
      <c r="X2170">
        <v>0.9960772</v>
      </c>
      <c r="Y2170">
        <v>0.1520745</v>
      </c>
      <c r="Z2170">
        <v>1.6051200000000002E-2</v>
      </c>
      <c r="AA2170">
        <v>0.98823870000000003</v>
      </c>
      <c r="AB2170">
        <v>20</v>
      </c>
      <c r="AC2170">
        <v>-0.49720000000002001</v>
      </c>
      <c r="AD2170">
        <v>-0.16311519999999999</v>
      </c>
      <c r="AE2170">
        <v>0.116299999999967</v>
      </c>
      <c r="AF2170">
        <v>0.100558981472907</v>
      </c>
      <c r="AG2170">
        <v>-0.16311519999999999</v>
      </c>
      <c r="AH2170">
        <v>0.45229542442673398</v>
      </c>
      <c r="AI2170">
        <v>109.39424526775301</v>
      </c>
      <c r="AJ2170">
        <v>77.465290941007595</v>
      </c>
      <c r="AK2170">
        <v>0.49121260995954502</v>
      </c>
      <c r="AL2170">
        <v>94.906533643303703</v>
      </c>
      <c r="AM2170">
        <v>91.304829084997607</v>
      </c>
      <c r="AN2170">
        <v>1.0000000068914701</v>
      </c>
    </row>
    <row r="2171" spans="1:40" x14ac:dyDescent="0.25">
      <c r="A2171" t="str">
        <f>"20190303154507605"</f>
        <v>20190303154507605</v>
      </c>
      <c r="B2171" t="str">
        <f>"1551599107592539"</f>
        <v>1551599107592539</v>
      </c>
      <c r="C2171" t="s">
        <v>40</v>
      </c>
      <c r="D2171">
        <v>4.5636739999999998</v>
      </c>
      <c r="E2171">
        <v>0.56693380000000004</v>
      </c>
      <c r="F2171" t="s">
        <v>42</v>
      </c>
      <c r="G2171">
        <v>-469.9194</v>
      </c>
      <c r="H2171">
        <v>0.92153450000000003</v>
      </c>
      <c r="I2171">
        <v>284.8528</v>
      </c>
      <c r="J2171">
        <v>-469.28140000000002</v>
      </c>
      <c r="K2171">
        <v>1.12094</v>
      </c>
      <c r="L2171">
        <v>284.71370000000002</v>
      </c>
      <c r="M2171">
        <v>-0.99984439999999997</v>
      </c>
      <c r="N2171">
        <v>-1.355176E-2</v>
      </c>
      <c r="O2171">
        <v>1.129936E-2</v>
      </c>
      <c r="P2171">
        <v>-0.99491240000000003</v>
      </c>
      <c r="Q2171">
        <v>-9.9783230000000001E-2</v>
      </c>
      <c r="R2171">
        <v>-1.387937E-2</v>
      </c>
      <c r="S2171">
        <v>-2.950958</v>
      </c>
      <c r="T2171">
        <v>-0.70266499999999998</v>
      </c>
      <c r="U2171">
        <v>0.49850460000000002</v>
      </c>
      <c r="V2171">
        <v>-2.5158639999999999E-2</v>
      </c>
      <c r="W2171">
        <v>-8.6283520000000002E-2</v>
      </c>
      <c r="X2171">
        <v>0.99595290000000003</v>
      </c>
      <c r="Y2171">
        <v>0.15133060000000001</v>
      </c>
      <c r="Z2171">
        <v>1.6211130000000001E-2</v>
      </c>
      <c r="AA2171">
        <v>0.98835030000000001</v>
      </c>
      <c r="AB2171">
        <v>20</v>
      </c>
      <c r="AC2171">
        <v>-0.63799999999997603</v>
      </c>
      <c r="AD2171">
        <v>-0.19940550000000001</v>
      </c>
      <c r="AE2171">
        <v>0.13909999999998399</v>
      </c>
      <c r="AF2171">
        <v>0.12063211728043501</v>
      </c>
      <c r="AG2171">
        <v>-0.19940550000000001</v>
      </c>
      <c r="AH2171">
        <v>0.584979825701061</v>
      </c>
      <c r="AI2171">
        <v>108.461651761243</v>
      </c>
      <c r="AJ2171">
        <v>78.348035742795702</v>
      </c>
      <c r="AK2171">
        <v>0.62969521010331198</v>
      </c>
      <c r="AL2171">
        <v>94.949836382048204</v>
      </c>
      <c r="AM2171">
        <v>91.447033688412105</v>
      </c>
      <c r="AN2171">
        <v>0.99999999100432502</v>
      </c>
    </row>
    <row r="2172" spans="1:40" x14ac:dyDescent="0.25">
      <c r="A2172" t="str">
        <f>"20190303154507626"</f>
        <v>20190303154507626</v>
      </c>
      <c r="B2172" t="str">
        <f>"1551599107622795"</f>
        <v>1551599107622795</v>
      </c>
      <c r="C2172" t="s">
        <v>40</v>
      </c>
      <c r="D2172">
        <v>4.3983150000000002</v>
      </c>
      <c r="E2172">
        <v>0.5671098</v>
      </c>
      <c r="F2172" t="s">
        <v>42</v>
      </c>
      <c r="G2172">
        <v>-470.09809999999999</v>
      </c>
      <c r="H2172">
        <v>0.92331929999999995</v>
      </c>
      <c r="I2172">
        <v>284.85149999999999</v>
      </c>
      <c r="J2172">
        <v>-469.47969999999998</v>
      </c>
      <c r="K2172">
        <v>1.120941</v>
      </c>
      <c r="L2172">
        <v>284.71640000000002</v>
      </c>
      <c r="M2172">
        <v>-0.99984079999999997</v>
      </c>
      <c r="N2172">
        <v>-1.358151E-2</v>
      </c>
      <c r="O2172">
        <v>1.1586829999999999E-2</v>
      </c>
      <c r="P2172">
        <v>-0.99498909999999996</v>
      </c>
      <c r="Q2172">
        <v>-9.8827460000000006E-2</v>
      </c>
      <c r="R2172">
        <v>-1.516139E-2</v>
      </c>
      <c r="S2172">
        <v>-2.9506839999999999</v>
      </c>
      <c r="T2172">
        <v>-0.71399899999999905</v>
      </c>
      <c r="U2172">
        <v>0.49694820000000001</v>
      </c>
      <c r="V2172">
        <v>-2.6727130000000002E-2</v>
      </c>
      <c r="W2172">
        <v>-8.5296640000000007E-2</v>
      </c>
      <c r="X2172">
        <v>0.99599709999999997</v>
      </c>
      <c r="Y2172">
        <v>0.15045939999999999</v>
      </c>
      <c r="Z2172">
        <v>1.6278170000000002E-2</v>
      </c>
      <c r="AA2172">
        <v>0.98848219999999998</v>
      </c>
      <c r="AB2172">
        <v>20</v>
      </c>
      <c r="AC2172">
        <v>-0.61840000000000805</v>
      </c>
      <c r="AD2172">
        <v>-0.19762169999999901</v>
      </c>
      <c r="AE2172">
        <v>0.135099999999965</v>
      </c>
      <c r="AF2172">
        <v>0.116563268088635</v>
      </c>
      <c r="AG2172">
        <v>-0.19762169999999901</v>
      </c>
      <c r="AH2172">
        <v>0.56486521593746297</v>
      </c>
      <c r="AI2172">
        <v>108.913368112397</v>
      </c>
      <c r="AJ2172">
        <v>78.340339679541799</v>
      </c>
      <c r="AK2172">
        <v>0.60968356050862105</v>
      </c>
      <c r="AL2172">
        <v>94.893082845159597</v>
      </c>
      <c r="AM2172">
        <v>91.537137341472004</v>
      </c>
      <c r="AN2172">
        <v>1.0000000397408599</v>
      </c>
    </row>
    <row r="2173" spans="1:40" x14ac:dyDescent="0.25">
      <c r="A2173" t="str">
        <f>"20190303154507649"</f>
        <v>20190303154507649</v>
      </c>
      <c r="B2173" t="str">
        <f>"1551599107642315"</f>
        <v>1551599107642315</v>
      </c>
      <c r="C2173" t="s">
        <v>40</v>
      </c>
      <c r="D2173">
        <v>4.3908880000000003</v>
      </c>
      <c r="E2173">
        <v>0.56642329999999996</v>
      </c>
      <c r="F2173" t="s">
        <v>42</v>
      </c>
      <c r="G2173">
        <v>-470.27809999999999</v>
      </c>
      <c r="H2173">
        <v>0.92876460000000005</v>
      </c>
      <c r="I2173">
        <v>284.8503</v>
      </c>
      <c r="J2173">
        <v>-469.67669999999998</v>
      </c>
      <c r="K2173">
        <v>1.120965</v>
      </c>
      <c r="L2173">
        <v>284.71899999999999</v>
      </c>
      <c r="M2173">
        <v>-0.99983679999999997</v>
      </c>
      <c r="N2173">
        <v>-1.364169E-2</v>
      </c>
      <c r="O2173">
        <v>1.1859939999999999E-2</v>
      </c>
      <c r="P2173">
        <v>-0.99506950000000005</v>
      </c>
      <c r="Q2173">
        <v>-9.7959400000000002E-2</v>
      </c>
      <c r="R2173">
        <v>-1.553305E-2</v>
      </c>
      <c r="S2173">
        <v>-2.9520569999999999</v>
      </c>
      <c r="T2173">
        <v>-0.71066770000000001</v>
      </c>
      <c r="U2173">
        <v>0.4944153</v>
      </c>
      <c r="V2173">
        <v>-2.737094E-2</v>
      </c>
      <c r="W2173">
        <v>-8.4367510000000007E-2</v>
      </c>
      <c r="X2173">
        <v>0.99605869999999996</v>
      </c>
      <c r="Y2173">
        <v>0.149367</v>
      </c>
      <c r="Z2173">
        <v>1.6012080000000001E-2</v>
      </c>
      <c r="AA2173">
        <v>0.98865219999999998</v>
      </c>
      <c r="AB2173">
        <v>20</v>
      </c>
      <c r="AC2173">
        <v>-0.60140000000001204</v>
      </c>
      <c r="AD2173">
        <v>-0.19220039999999899</v>
      </c>
      <c r="AE2173">
        <v>0.13130000000000999</v>
      </c>
      <c r="AF2173">
        <v>0.11312864507749699</v>
      </c>
      <c r="AG2173">
        <v>-0.19220039999999899</v>
      </c>
      <c r="AH2173">
        <v>0.54935822870301998</v>
      </c>
      <c r="AI2173">
        <v>108.91521037630299</v>
      </c>
      <c r="AJ2173">
        <v>78.363816594478706</v>
      </c>
      <c r="AK2173">
        <v>0.59290264592169695</v>
      </c>
      <c r="AL2173">
        <v>94.839655268289704</v>
      </c>
      <c r="AM2173">
        <v>91.574048589285198</v>
      </c>
      <c r="AN2173">
        <v>0.99999998947288604</v>
      </c>
    </row>
    <row r="2174" spans="1:40" x14ac:dyDescent="0.25">
      <c r="A2174" t="str">
        <f>"20190303154507671"</f>
        <v>20190303154507671</v>
      </c>
      <c r="B2174" t="str">
        <f>"1551599107662811"</f>
        <v>1551599107662811</v>
      </c>
      <c r="C2174" t="s">
        <v>40</v>
      </c>
      <c r="D2174">
        <v>4.5016850000000002</v>
      </c>
      <c r="E2174">
        <v>0.56672959999999994</v>
      </c>
      <c r="F2174" t="s">
        <v>42</v>
      </c>
      <c r="G2174">
        <v>-470.45859999999999</v>
      </c>
      <c r="H2174">
        <v>0.93608139999999995</v>
      </c>
      <c r="I2174">
        <v>284.84789999999998</v>
      </c>
      <c r="J2174">
        <v>-469.8725</v>
      </c>
      <c r="K2174">
        <v>1.120995</v>
      </c>
      <c r="L2174">
        <v>284.7217</v>
      </c>
      <c r="M2174">
        <v>-0.99983259999999996</v>
      </c>
      <c r="N2174">
        <v>-1.3714240000000001E-2</v>
      </c>
      <c r="O2174">
        <v>1.2119629999999999E-2</v>
      </c>
      <c r="P2174">
        <v>-0.99517080000000002</v>
      </c>
      <c r="Q2174">
        <v>-9.6773339999999999E-2</v>
      </c>
      <c r="R2174">
        <v>-1.645017E-2</v>
      </c>
      <c r="S2174">
        <v>-2.953735</v>
      </c>
      <c r="T2174">
        <v>-0.69833489999999998</v>
      </c>
      <c r="U2174">
        <v>0.4870911</v>
      </c>
      <c r="V2174">
        <v>-2.8544719999999999E-2</v>
      </c>
      <c r="W2174">
        <v>-8.3108370000000001E-2</v>
      </c>
      <c r="X2174">
        <v>0.99613160000000001</v>
      </c>
      <c r="Y2174">
        <v>0.14684620000000001</v>
      </c>
      <c r="Z2174">
        <v>1.5396170000000001E-2</v>
      </c>
      <c r="AA2174">
        <v>0.98903949999999996</v>
      </c>
      <c r="AB2174">
        <v>20</v>
      </c>
      <c r="AC2174">
        <v>-0.58609999999998696</v>
      </c>
      <c r="AD2174">
        <v>-0.18491359999999901</v>
      </c>
      <c r="AE2174">
        <v>0.12619999999998299</v>
      </c>
      <c r="AF2174">
        <v>0.108742235519159</v>
      </c>
      <c r="AG2174">
        <v>-0.18491359999999901</v>
      </c>
      <c r="AH2174">
        <v>0.53654567487039895</v>
      </c>
      <c r="AI2174">
        <v>108.663424090314</v>
      </c>
      <c r="AJ2174">
        <v>78.542993735885304</v>
      </c>
      <c r="AK2174">
        <v>0.57784009420669002</v>
      </c>
      <c r="AL2174">
        <v>94.767257609645497</v>
      </c>
      <c r="AM2174">
        <v>91.641394115882406</v>
      </c>
      <c r="AN2174">
        <v>0.99999998336124696</v>
      </c>
    </row>
    <row r="2175" spans="1:40" x14ac:dyDescent="0.25">
      <c r="A2175" t="str">
        <f>"20190303154507745"</f>
        <v>20190303154507745</v>
      </c>
      <c r="B2175" t="str">
        <f>"1551599107742842"</f>
        <v>1551599107742842</v>
      </c>
      <c r="C2175" t="s">
        <v>40</v>
      </c>
      <c r="D2175">
        <v>4.464073</v>
      </c>
      <c r="E2175">
        <v>0.56690289999999999</v>
      </c>
      <c r="F2175" t="s">
        <v>42</v>
      </c>
      <c r="G2175">
        <v>-470.63690000000003</v>
      </c>
      <c r="H2175">
        <v>0.93949660000000002</v>
      </c>
      <c r="I2175">
        <v>284.84789999999998</v>
      </c>
      <c r="J2175">
        <v>-470.5258</v>
      </c>
      <c r="K2175">
        <v>1.121089</v>
      </c>
      <c r="L2175">
        <v>284.73070000000001</v>
      </c>
      <c r="M2175">
        <v>-0.99982280000000001</v>
      </c>
      <c r="N2175">
        <v>-1.376311E-2</v>
      </c>
      <c r="O2175">
        <v>1.284793E-2</v>
      </c>
      <c r="P2175">
        <v>-0.99561069999999996</v>
      </c>
      <c r="Q2175">
        <v>-9.1718289999999994E-2</v>
      </c>
      <c r="R2175">
        <v>-1.863822E-2</v>
      </c>
      <c r="S2175">
        <v>-2.9543460000000001</v>
      </c>
      <c r="T2175">
        <v>-0.70147349999999997</v>
      </c>
      <c r="U2175">
        <v>0.4866028</v>
      </c>
      <c r="V2175">
        <v>-3.1446509999999997E-2</v>
      </c>
      <c r="W2175">
        <v>-7.800443E-2</v>
      </c>
      <c r="X2175">
        <v>0.99645689999999998</v>
      </c>
      <c r="Y2175">
        <v>0.14594460000000001</v>
      </c>
      <c r="Z2175">
        <v>1.518925E-2</v>
      </c>
      <c r="AA2175">
        <v>0.98917619999999895</v>
      </c>
      <c r="AB2175">
        <v>20</v>
      </c>
      <c r="AC2175">
        <v>-0.111100000000021</v>
      </c>
      <c r="AD2175">
        <v>-0.18159239999999999</v>
      </c>
      <c r="AE2175">
        <v>0.117199999999968</v>
      </c>
      <c r="AF2175">
        <v>5.11216853509125E-2</v>
      </c>
      <c r="AG2175">
        <v>-0.18159239999999999</v>
      </c>
      <c r="AH2175">
        <v>4.9723540738531802E-2</v>
      </c>
      <c r="AI2175">
        <v>158.55900853026199</v>
      </c>
      <c r="AJ2175">
        <v>44.205687205794703</v>
      </c>
      <c r="AK2175">
        <v>0.19509396954917399</v>
      </c>
      <c r="AL2175">
        <v>94.473869649834</v>
      </c>
      <c r="AM2175">
        <v>91.807558884043402</v>
      </c>
      <c r="AN2175">
        <v>0.99999996382420597</v>
      </c>
    </row>
    <row r="2176" spans="1:40" x14ac:dyDescent="0.25">
      <c r="A2176" t="str">
        <f>"20190303154507763"</f>
        <v>20190303154507763</v>
      </c>
      <c r="B2176" t="str">
        <f>"1551599107752603"</f>
        <v>1551599107752603</v>
      </c>
      <c r="C2176" t="s">
        <v>40</v>
      </c>
      <c r="D2176">
        <v>4.5442869999999997</v>
      </c>
      <c r="E2176">
        <v>0.56690289999999999</v>
      </c>
      <c r="F2176" t="s">
        <v>42</v>
      </c>
      <c r="G2176">
        <v>-471.3383</v>
      </c>
      <c r="H2176">
        <v>0.93198610000000004</v>
      </c>
      <c r="I2176">
        <v>284.86309999999997</v>
      </c>
      <c r="J2176">
        <v>-470.68119999999999</v>
      </c>
      <c r="K2176">
        <v>1.121102</v>
      </c>
      <c r="L2176">
        <v>284.73289999999997</v>
      </c>
      <c r="M2176">
        <v>-0.99982130000000002</v>
      </c>
      <c r="N2176">
        <v>-1.374506E-2</v>
      </c>
      <c r="O2176">
        <v>1.297705E-2</v>
      </c>
      <c r="P2176">
        <v>-0.99571589999999999</v>
      </c>
      <c r="Q2176">
        <v>-9.0263319999999994E-2</v>
      </c>
      <c r="R2176">
        <v>-2.0062509999999999E-2</v>
      </c>
      <c r="S2176">
        <v>-2.9588009999999998</v>
      </c>
      <c r="T2176">
        <v>-0.68861319999999904</v>
      </c>
      <c r="U2176">
        <v>0.4808655</v>
      </c>
      <c r="V2176">
        <v>-3.2998180000000002E-2</v>
      </c>
      <c r="W2176">
        <v>-7.6566880000000004E-2</v>
      </c>
      <c r="X2176">
        <v>0.99651829999999997</v>
      </c>
      <c r="Y2176">
        <v>0.1439127</v>
      </c>
      <c r="Z2176">
        <v>1.464556E-2</v>
      </c>
      <c r="AA2176">
        <v>0.98948199999999997</v>
      </c>
      <c r="AB2176">
        <v>20</v>
      </c>
      <c r="AC2176">
        <v>-0.65710000000001401</v>
      </c>
      <c r="AD2176">
        <v>-0.1891159</v>
      </c>
      <c r="AE2176">
        <v>0.13020000000000201</v>
      </c>
      <c r="AF2176">
        <v>0.112680185475137</v>
      </c>
      <c r="AG2176">
        <v>-0.1891159</v>
      </c>
      <c r="AH2176">
        <v>0.61010769436294099</v>
      </c>
      <c r="AI2176">
        <v>106.952075180516</v>
      </c>
      <c r="AJ2176">
        <v>79.536011627572506</v>
      </c>
      <c r="AK2176">
        <v>0.64860854646881205</v>
      </c>
      <c r="AL2176">
        <v>94.391256641047505</v>
      </c>
      <c r="AM2176">
        <v>91.896569148520797</v>
      </c>
      <c r="AN2176">
        <v>1.0000000446155599</v>
      </c>
    </row>
    <row r="2177" spans="1:40" x14ac:dyDescent="0.25">
      <c r="A2177" t="str">
        <f>"20190303154507783"</f>
        <v>20190303154507783</v>
      </c>
      <c r="B2177" t="str">
        <f>"1551599107773100"</f>
        <v>1551599107773100</v>
      </c>
      <c r="C2177" t="s">
        <v>40</v>
      </c>
      <c r="D2177">
        <v>4.9115440000000001</v>
      </c>
      <c r="E2177">
        <v>0.51297740000000003</v>
      </c>
      <c r="F2177" t="s">
        <v>42</v>
      </c>
      <c r="G2177">
        <v>-471.51220000000001</v>
      </c>
      <c r="H2177">
        <v>0.92850790000000005</v>
      </c>
      <c r="I2177">
        <v>284.86619999999999</v>
      </c>
      <c r="J2177">
        <v>-470.86</v>
      </c>
      <c r="K2177">
        <v>1.121105</v>
      </c>
      <c r="L2177">
        <v>284.73540000000003</v>
      </c>
      <c r="M2177">
        <v>-0.99981989999999998</v>
      </c>
      <c r="N2177">
        <v>-1.372692E-2</v>
      </c>
      <c r="O2177">
        <v>1.310805E-2</v>
      </c>
      <c r="P2177">
        <v>-0.99567620000000001</v>
      </c>
      <c r="Q2177">
        <v>-9.0060639999999997E-2</v>
      </c>
      <c r="R2177">
        <v>-2.2764679999999999E-2</v>
      </c>
      <c r="S2177">
        <v>-2.9602659999999998</v>
      </c>
      <c r="T2177">
        <v>-0.68603709999999996</v>
      </c>
      <c r="U2177">
        <v>0.4751282</v>
      </c>
      <c r="V2177">
        <v>-3.5829180000000002E-2</v>
      </c>
      <c r="W2177">
        <v>-7.638317E-2</v>
      </c>
      <c r="X2177">
        <v>0.99643459999999995</v>
      </c>
      <c r="Y2177">
        <v>0.14192249999999901</v>
      </c>
      <c r="Z2177">
        <v>1.432216E-2</v>
      </c>
      <c r="AA2177">
        <v>0.98977420000000005</v>
      </c>
      <c r="AB2177">
        <v>20</v>
      </c>
      <c r="AC2177">
        <v>-0.65219999999999301</v>
      </c>
      <c r="AD2177">
        <v>-0.19259709999999999</v>
      </c>
      <c r="AE2177">
        <v>0.130799999999965</v>
      </c>
      <c r="AF2177">
        <v>0.112783929929507</v>
      </c>
      <c r="AG2177">
        <v>-0.19259709999999999</v>
      </c>
      <c r="AH2177">
        <v>0.60328387569909003</v>
      </c>
      <c r="AI2177">
        <v>107.422435316758</v>
      </c>
      <c r="AJ2177">
        <v>79.410789331227406</v>
      </c>
      <c r="AK2177">
        <v>0.64324590356819999</v>
      </c>
      <c r="AL2177">
        <v>94.380700046526897</v>
      </c>
      <c r="AM2177">
        <v>92.059319041839103</v>
      </c>
      <c r="AN2177">
        <v>1.00000001543794</v>
      </c>
    </row>
    <row r="2178" spans="1:40" x14ac:dyDescent="0.25">
      <c r="A2178" t="str">
        <f>"20190303154507806"</f>
        <v>20190303154507806</v>
      </c>
      <c r="B2178" t="str">
        <f>"1551599107802379"</f>
        <v>1551599107802379</v>
      </c>
      <c r="C2178" t="s">
        <v>40</v>
      </c>
      <c r="D2178">
        <v>4.382377</v>
      </c>
      <c r="E2178">
        <v>0.42379990000000001</v>
      </c>
      <c r="F2178" t="s">
        <v>42</v>
      </c>
      <c r="G2178">
        <v>-471.69889999999998</v>
      </c>
      <c r="H2178">
        <v>0.94789029999999996</v>
      </c>
      <c r="I2178">
        <v>284.74590000000001</v>
      </c>
      <c r="J2178">
        <v>-471.05419999999998</v>
      </c>
      <c r="K2178">
        <v>1.1210960000000001</v>
      </c>
      <c r="L2178">
        <v>284.73809999999997</v>
      </c>
      <c r="M2178">
        <v>-0.9998184</v>
      </c>
      <c r="N2178">
        <v>-1.3705169999999999E-2</v>
      </c>
      <c r="O2178">
        <v>1.324172E-2</v>
      </c>
      <c r="P2178">
        <v>-0.99554480000000001</v>
      </c>
      <c r="Q2178">
        <v>-9.0188699999999997E-2</v>
      </c>
      <c r="R2178">
        <v>-2.750797E-2</v>
      </c>
      <c r="S2178">
        <v>-2.958618</v>
      </c>
      <c r="T2178">
        <v>-0.61092979999999997</v>
      </c>
      <c r="U2178">
        <v>3.6071779999999998E-2</v>
      </c>
      <c r="V2178">
        <v>-4.0704120000000003E-2</v>
      </c>
      <c r="W2178">
        <v>-7.6534630000000006E-2</v>
      </c>
      <c r="X2178">
        <v>0.99623569999999995</v>
      </c>
      <c r="Y2178">
        <v>-7.9061500000000005E-4</v>
      </c>
      <c r="Z2178">
        <v>-2.6120829999999999E-3</v>
      </c>
      <c r="AA2178">
        <v>0.99999629999999995</v>
      </c>
      <c r="AB2178">
        <v>20</v>
      </c>
      <c r="AC2178">
        <v>-0.64470000000000005</v>
      </c>
      <c r="AD2178">
        <v>-0.17320569999999899</v>
      </c>
      <c r="AE2178">
        <v>7.8000000000315499E-3</v>
      </c>
      <c r="AF2178">
        <v>-6.8871914126058295E-4</v>
      </c>
      <c r="AG2178">
        <v>-0.17320569999999899</v>
      </c>
      <c r="AH2178">
        <v>0.60134855903987805</v>
      </c>
      <c r="AI2178">
        <v>106.06791392519401</v>
      </c>
      <c r="AJ2178">
        <v>90.065620316565997</v>
      </c>
      <c r="AK2178">
        <v>0.62579611560466197</v>
      </c>
      <c r="AL2178">
        <v>94.389403731613498</v>
      </c>
      <c r="AM2178">
        <v>92.3396851060171</v>
      </c>
      <c r="AN2178">
        <v>0.99999997246435002</v>
      </c>
    </row>
    <row r="2179" spans="1:40" x14ac:dyDescent="0.25">
      <c r="A2179" t="str">
        <f>"20190303154507829"</f>
        <v>20190303154507829</v>
      </c>
      <c r="B2179" t="str">
        <f>"1551599107822875"</f>
        <v>1551599107822875</v>
      </c>
      <c r="C2179" t="s">
        <v>40</v>
      </c>
      <c r="D2179">
        <v>4.2799459999999998</v>
      </c>
      <c r="E2179">
        <v>0.3524506</v>
      </c>
      <c r="F2179" t="s">
        <v>54</v>
      </c>
      <c r="G2179">
        <v>-480.21210000000002</v>
      </c>
      <c r="H2179" s="1">
        <v>2.0675370000000001E-6</v>
      </c>
      <c r="I2179">
        <v>282.60489999999999</v>
      </c>
      <c r="J2179">
        <v>-471.26429999999999</v>
      </c>
      <c r="K2179">
        <v>1.1210880000000001</v>
      </c>
      <c r="L2179">
        <v>284.74099999999999</v>
      </c>
      <c r="M2179">
        <v>-0.99981679999999995</v>
      </c>
      <c r="N2179">
        <v>-1.36773E-2</v>
      </c>
      <c r="O2179">
        <v>1.338876E-2</v>
      </c>
      <c r="P2179">
        <v>-0.99537969999999998</v>
      </c>
      <c r="Q2179">
        <v>-9.0495989999999998E-2</v>
      </c>
      <c r="R2179">
        <v>-3.209356E-2</v>
      </c>
      <c r="S2179">
        <v>-2.9615170000000002</v>
      </c>
      <c r="T2179">
        <v>-0.36254180000000003</v>
      </c>
      <c r="U2179">
        <v>-0.68981930000000002</v>
      </c>
      <c r="V2179">
        <v>-4.5433880000000003E-2</v>
      </c>
      <c r="W2179">
        <v>-7.6871610000000007E-2</v>
      </c>
      <c r="X2179">
        <v>0.99600529999999998</v>
      </c>
      <c r="Y2179">
        <v>-0.23791670000000001</v>
      </c>
      <c r="Z2179">
        <v>-1.740599E-2</v>
      </c>
      <c r="AA2179">
        <v>0.97112960000000004</v>
      </c>
      <c r="AB2179">
        <v>20</v>
      </c>
      <c r="AC2179">
        <v>-8.9478000000000293</v>
      </c>
      <c r="AD2179">
        <v>-1.12108593246299</v>
      </c>
      <c r="AE2179">
        <v>-2.1360999999999901</v>
      </c>
      <c r="AF2179">
        <v>-2.2227088334938498</v>
      </c>
      <c r="AG2179">
        <v>-1.12108593246299</v>
      </c>
      <c r="AH2179">
        <v>8.7878811744560608</v>
      </c>
      <c r="AI2179">
        <v>97.050375805003199</v>
      </c>
      <c r="AJ2179">
        <v>104.194074768954</v>
      </c>
      <c r="AK2179">
        <v>9.1336807346664592</v>
      </c>
      <c r="AL2179">
        <v>94.408768103646494</v>
      </c>
      <c r="AM2179">
        <v>92.611799594241205</v>
      </c>
      <c r="AN2179">
        <v>1.0000000197519601</v>
      </c>
    </row>
    <row r="2180" spans="1:40" x14ac:dyDescent="0.25">
      <c r="A2180" t="str">
        <f>"20190303154507852"</f>
        <v>20190303154507852</v>
      </c>
      <c r="B2180" t="str">
        <f>"1551599107842394"</f>
        <v>1551599107842394</v>
      </c>
      <c r="C2180" t="s">
        <v>40</v>
      </c>
      <c r="D2180">
        <v>4.3053839999999903</v>
      </c>
      <c r="E2180">
        <v>0.35328680000000001</v>
      </c>
      <c r="F2180" t="s">
        <v>54</v>
      </c>
      <c r="G2180">
        <v>-482.44110000000001</v>
      </c>
      <c r="H2180" s="1">
        <v>2.2276270000000002E-6</v>
      </c>
      <c r="I2180">
        <v>279.9135</v>
      </c>
      <c r="J2180">
        <v>-471.45589999999999</v>
      </c>
      <c r="K2180">
        <v>1.1210770000000001</v>
      </c>
      <c r="L2180">
        <v>284.74380000000002</v>
      </c>
      <c r="M2180">
        <v>-0.99981529999999996</v>
      </c>
      <c r="N2180">
        <v>-1.3651689999999999E-2</v>
      </c>
      <c r="O2180">
        <v>1.3529350000000001E-2</v>
      </c>
      <c r="P2180">
        <v>-0.99521870000000001</v>
      </c>
      <c r="Q2180">
        <v>-9.0631379999999997E-2</v>
      </c>
      <c r="R2180">
        <v>-3.6410949999999997E-2</v>
      </c>
      <c r="S2180">
        <v>-2.9460139999999999</v>
      </c>
      <c r="T2180">
        <v>-0.29549920000000002</v>
      </c>
      <c r="U2180">
        <v>-1.2724610000000001</v>
      </c>
      <c r="V2180">
        <v>-4.9889549999999998E-2</v>
      </c>
      <c r="W2180">
        <v>-7.7034350000000001E-2</v>
      </c>
      <c r="X2180">
        <v>0.99577950000000004</v>
      </c>
      <c r="Y2180">
        <v>-0.40686929999999999</v>
      </c>
      <c r="Z2180">
        <v>-2.3513949999999999E-2</v>
      </c>
      <c r="AA2180">
        <v>0.91318370000000004</v>
      </c>
      <c r="AB2180">
        <v>20</v>
      </c>
      <c r="AC2180">
        <v>-10.985200000000001</v>
      </c>
      <c r="AD2180">
        <v>-1.1210747723729999</v>
      </c>
      <c r="AE2180">
        <v>-4.8303000000000198</v>
      </c>
      <c r="AF2180">
        <v>-4.9354206522618602</v>
      </c>
      <c r="AG2180">
        <v>-1.1210747723729999</v>
      </c>
      <c r="AH2180">
        <v>10.8243683530347</v>
      </c>
      <c r="AI2180">
        <v>95.383434975666503</v>
      </c>
      <c r="AJ2180">
        <v>114.510832801205</v>
      </c>
      <c r="AK2180">
        <v>11.9491479153203</v>
      </c>
      <c r="AL2180">
        <v>94.418120080545606</v>
      </c>
      <c r="AM2180">
        <v>92.868177712558193</v>
      </c>
      <c r="AN2180">
        <v>1.0000000354496801</v>
      </c>
    </row>
    <row r="2181" spans="1:40" x14ac:dyDescent="0.25">
      <c r="A2181" t="str">
        <f>"20190303154507872"</f>
        <v>20190303154507872</v>
      </c>
      <c r="B2181" t="str">
        <f>"1551599107862892"</f>
        <v>1551599107862892</v>
      </c>
      <c r="C2181" t="s">
        <v>40</v>
      </c>
      <c r="D2181">
        <v>4.3117979999999996</v>
      </c>
      <c r="E2181">
        <v>0.35436830000000002</v>
      </c>
      <c r="F2181" t="s">
        <v>54</v>
      </c>
      <c r="G2181">
        <v>-482.53730000000002</v>
      </c>
      <c r="H2181" s="1">
        <v>2.2457789999999998E-6</v>
      </c>
      <c r="I2181">
        <v>279.92590000000001</v>
      </c>
      <c r="J2181">
        <v>-471.63819999999998</v>
      </c>
      <c r="K2181">
        <v>1.12107</v>
      </c>
      <c r="L2181">
        <v>284.74639999999999</v>
      </c>
      <c r="M2181">
        <v>-0.99981370000000003</v>
      </c>
      <c r="N2181">
        <v>-1.362973E-2</v>
      </c>
      <c r="O2181">
        <v>1.366998E-2</v>
      </c>
      <c r="P2181">
        <v>-0.99503799999999998</v>
      </c>
      <c r="Q2181">
        <v>-9.0839450000000002E-2</v>
      </c>
      <c r="R2181">
        <v>-4.059198E-2</v>
      </c>
      <c r="S2181">
        <v>-2.9404910000000002</v>
      </c>
      <c r="T2181">
        <v>-0.29748170000000002</v>
      </c>
      <c r="U2181">
        <v>-1.2784420000000001</v>
      </c>
      <c r="V2181">
        <v>-5.4208039999999999E-2</v>
      </c>
      <c r="W2181">
        <v>-7.7266249999999995E-2</v>
      </c>
      <c r="X2181">
        <v>0.99553570000000002</v>
      </c>
      <c r="Y2181">
        <v>-0.40914210000000001</v>
      </c>
      <c r="Z2181">
        <v>-2.3815619999999999E-2</v>
      </c>
      <c r="AA2181">
        <v>0.91215990000000002</v>
      </c>
      <c r="AB2181">
        <v>20</v>
      </c>
      <c r="AC2181">
        <v>-10.899100000000001</v>
      </c>
      <c r="AD2181">
        <v>-1.1210677542209999</v>
      </c>
      <c r="AE2181">
        <v>-4.8204999999999796</v>
      </c>
      <c r="AF2181">
        <v>-4.9254686617803998</v>
      </c>
      <c r="AG2181">
        <v>-1.1210677542209999</v>
      </c>
      <c r="AH2181">
        <v>10.7371666746368</v>
      </c>
      <c r="AI2181">
        <v>95.421201271496898</v>
      </c>
      <c r="AJ2181">
        <v>114.642379919557</v>
      </c>
      <c r="AK2181">
        <v>11.866076969523901</v>
      </c>
      <c r="AL2181">
        <v>94.431447037884297</v>
      </c>
      <c r="AM2181">
        <v>93.116741848415302</v>
      </c>
      <c r="AN2181">
        <v>0.99999995748209602</v>
      </c>
    </row>
    <row r="2182" spans="1:40" x14ac:dyDescent="0.25">
      <c r="A2182" t="str">
        <f>"20190303154507896"</f>
        <v>20190303154507896</v>
      </c>
      <c r="B2182" t="str">
        <f>"1551599107893147"</f>
        <v>1551599107893147</v>
      </c>
      <c r="C2182" t="s">
        <v>40</v>
      </c>
      <c r="D2182">
        <v>4.3446150000000001</v>
      </c>
      <c r="E2182">
        <v>0.35402119999999998</v>
      </c>
      <c r="F2182" t="s">
        <v>54</v>
      </c>
      <c r="G2182">
        <v>-482.09969999999998</v>
      </c>
      <c r="H2182" s="1">
        <v>2.1898589999999999E-6</v>
      </c>
      <c r="I2182">
        <v>280.17410000000001</v>
      </c>
      <c r="J2182">
        <v>-471.83960000000002</v>
      </c>
      <c r="K2182">
        <v>1.1210500000000001</v>
      </c>
      <c r="L2182">
        <v>284.74939999999998</v>
      </c>
      <c r="M2182">
        <v>-0.99981180000000003</v>
      </c>
      <c r="N2182">
        <v>-1.3608179999999999E-2</v>
      </c>
      <c r="O2182">
        <v>1.3833079999999999E-2</v>
      </c>
      <c r="P2182">
        <v>-0.99482700000000002</v>
      </c>
      <c r="Q2182">
        <v>-9.1070970000000001E-2</v>
      </c>
      <c r="R2182">
        <v>-4.5006440000000002E-2</v>
      </c>
      <c r="S2182">
        <v>-2.9339900000000001</v>
      </c>
      <c r="T2182">
        <v>-0.31440849999999998</v>
      </c>
      <c r="U2182">
        <v>-1.2823180000000001</v>
      </c>
      <c r="V2182">
        <v>-5.8782010000000003E-2</v>
      </c>
      <c r="W2182">
        <v>-7.7521560000000003E-2</v>
      </c>
      <c r="X2182">
        <v>0.99525629999999998</v>
      </c>
      <c r="Y2182">
        <v>-0.41079710000000003</v>
      </c>
      <c r="Z2182">
        <v>-2.5157240000000001E-2</v>
      </c>
      <c r="AA2182">
        <v>0.91137959999999996</v>
      </c>
      <c r="AB2182">
        <v>20</v>
      </c>
      <c r="AC2182">
        <v>-10.2600999999999</v>
      </c>
      <c r="AD2182">
        <v>-1.121047810141</v>
      </c>
      <c r="AE2182">
        <v>-4.5752999999999604</v>
      </c>
      <c r="AF2182">
        <v>-4.67029656417197</v>
      </c>
      <c r="AG2182">
        <v>-1.121047810141</v>
      </c>
      <c r="AH2182">
        <v>10.0952913775336</v>
      </c>
      <c r="AI2182">
        <v>95.755078543862197</v>
      </c>
      <c r="AJ2182">
        <v>114.826265170935</v>
      </c>
      <c r="AK2182">
        <v>11.1795941870554</v>
      </c>
      <c r="AL2182">
        <v>94.446118998691702</v>
      </c>
      <c r="AM2182">
        <v>93.380087180644693</v>
      </c>
      <c r="AN2182">
        <v>1.00000000982708</v>
      </c>
    </row>
    <row r="2183" spans="1:40" x14ac:dyDescent="0.25">
      <c r="A2183" t="str">
        <f>"20190303154507921"</f>
        <v>20190303154507921</v>
      </c>
      <c r="B2183" t="str">
        <f>"1551599107912667"</f>
        <v>1551599107912667</v>
      </c>
      <c r="C2183" t="s">
        <v>40</v>
      </c>
      <c r="D2183">
        <v>4.4299390000000001</v>
      </c>
      <c r="E2183">
        <v>0.35492269999999998</v>
      </c>
      <c r="F2183" t="s">
        <v>54</v>
      </c>
      <c r="G2183">
        <v>-481.83600000000001</v>
      </c>
      <c r="H2183" s="1">
        <v>2.1554609999999999E-6</v>
      </c>
      <c r="I2183">
        <v>280.31569999999999</v>
      </c>
      <c r="J2183">
        <v>-472.05549999999999</v>
      </c>
      <c r="K2183">
        <v>1.1210469999999999</v>
      </c>
      <c r="L2183">
        <v>284.7525</v>
      </c>
      <c r="M2183">
        <v>-0.99980970000000002</v>
      </c>
      <c r="N2183">
        <v>-1.3586890000000001E-2</v>
      </c>
      <c r="O2183">
        <v>1.401412E-2</v>
      </c>
      <c r="P2183">
        <v>-0.99459620000000004</v>
      </c>
      <c r="Q2183">
        <v>-9.1392929999999997E-2</v>
      </c>
      <c r="R2183">
        <v>-4.9256309999999998E-2</v>
      </c>
      <c r="S2183">
        <v>-2.9268489999999998</v>
      </c>
      <c r="T2183">
        <v>-0.32823069999999999</v>
      </c>
      <c r="U2183">
        <v>-1.2981259999999999</v>
      </c>
      <c r="V2183">
        <v>-6.3208909999999993E-2</v>
      </c>
      <c r="W2183">
        <v>-7.7867169999999999E-2</v>
      </c>
      <c r="X2183">
        <v>0.99495800000000001</v>
      </c>
      <c r="Y2183">
        <v>-0.41566360000000002</v>
      </c>
      <c r="Z2183">
        <v>-2.6476610000000001E-2</v>
      </c>
      <c r="AA2183">
        <v>0.90913299999999997</v>
      </c>
      <c r="AB2183">
        <v>20</v>
      </c>
      <c r="AC2183">
        <v>-9.7805000000000106</v>
      </c>
      <c r="AD2183">
        <v>-1.121044844539</v>
      </c>
      <c r="AE2183">
        <v>-4.4367999999999999</v>
      </c>
      <c r="AF2183">
        <v>-4.5241483812316803</v>
      </c>
      <c r="AG2183">
        <v>-1.121044844539</v>
      </c>
      <c r="AH2183">
        <v>9.6126199933926504</v>
      </c>
      <c r="AI2183">
        <v>96.023535571340204</v>
      </c>
      <c r="AJ2183">
        <v>115.20386849326199</v>
      </c>
      <c r="AK2183">
        <v>10.683029685264399</v>
      </c>
      <c r="AL2183">
        <v>94.465980886932996</v>
      </c>
      <c r="AM2183">
        <v>93.635071346080395</v>
      </c>
      <c r="AN2183">
        <v>1.0000000421155899</v>
      </c>
    </row>
    <row r="2184" spans="1:40" x14ac:dyDescent="0.25">
      <c r="A2184" t="str">
        <f>"20190303154507962"</f>
        <v>20190303154507962</v>
      </c>
      <c r="B2184" t="str">
        <f>"1551599107952684"</f>
        <v>1551599107952684</v>
      </c>
      <c r="C2184" t="s">
        <v>40</v>
      </c>
      <c r="D2184">
        <v>4.4765730000000001</v>
      </c>
      <c r="E2184">
        <v>0.35795830000000001</v>
      </c>
      <c r="F2184" t="s">
        <v>54</v>
      </c>
      <c r="G2184">
        <v>-481.9461</v>
      </c>
      <c r="H2184" s="1">
        <v>2.1771019999999999E-6</v>
      </c>
      <c r="I2184">
        <v>280.33980000000003</v>
      </c>
      <c r="J2184">
        <v>-472.41640000000001</v>
      </c>
      <c r="K2184">
        <v>1.12103</v>
      </c>
      <c r="L2184">
        <v>284.75790000000001</v>
      </c>
      <c r="M2184">
        <v>-0.99980559999999996</v>
      </c>
      <c r="N2184">
        <v>-1.3555569999999999E-2</v>
      </c>
      <c r="O2184">
        <v>1.43222E-2</v>
      </c>
      <c r="P2184">
        <v>-0.99416380000000004</v>
      </c>
      <c r="Q2184">
        <v>-9.1936439999999994E-2</v>
      </c>
      <c r="R2184">
        <v>-5.6444969999999997E-2</v>
      </c>
      <c r="S2184">
        <v>-2.9213260000000001</v>
      </c>
      <c r="T2184">
        <v>-0.33111620000000003</v>
      </c>
      <c r="U2184">
        <v>-1.303345</v>
      </c>
      <c r="V2184">
        <v>-7.0698449999999996E-2</v>
      </c>
      <c r="W2184">
        <v>-7.8446660000000001E-2</v>
      </c>
      <c r="X2184">
        <v>0.99440830000000002</v>
      </c>
      <c r="Y2184">
        <v>-0.41787170000000001</v>
      </c>
      <c r="Z2184">
        <v>-2.687602E-2</v>
      </c>
      <c r="AA2184">
        <v>0.90810849999999999</v>
      </c>
      <c r="AB2184">
        <v>19</v>
      </c>
      <c r="AC2184">
        <v>-9.5296999999999894</v>
      </c>
      <c r="AD2184">
        <v>-1.121027822898</v>
      </c>
      <c r="AE2184">
        <v>-4.4180999999999804</v>
      </c>
      <c r="AF2184">
        <v>-4.5028584099650297</v>
      </c>
      <c r="AG2184">
        <v>-1.121027822898</v>
      </c>
      <c r="AH2184">
        <v>9.3588432686947396</v>
      </c>
      <c r="AI2184">
        <v>96.160603056114397</v>
      </c>
      <c r="AJ2184">
        <v>115.693792742422</v>
      </c>
      <c r="AK2184">
        <v>10.446070293076501</v>
      </c>
      <c r="AL2184">
        <v>94.499285245408402</v>
      </c>
      <c r="AM2184">
        <v>94.066657975787095</v>
      </c>
      <c r="AN2184">
        <v>1.0000000082032201</v>
      </c>
    </row>
    <row r="2185" spans="1:40" x14ac:dyDescent="0.25">
      <c r="A2185" t="str">
        <f>"20190303154507984"</f>
        <v>20190303154507984</v>
      </c>
      <c r="B2185" t="str">
        <f>"1551599107973179"</f>
        <v>1551599107973179</v>
      </c>
      <c r="C2185" t="s">
        <v>40</v>
      </c>
      <c r="D2185">
        <v>4.4812880000000002</v>
      </c>
      <c r="E2185">
        <v>0.35849239999999999</v>
      </c>
      <c r="F2185" t="s">
        <v>42</v>
      </c>
      <c r="G2185">
        <v>-473.33819999999997</v>
      </c>
      <c r="H2185">
        <v>1.01363</v>
      </c>
      <c r="I2185">
        <v>284.34629999999999</v>
      </c>
      <c r="J2185">
        <v>-472.61189999999999</v>
      </c>
      <c r="K2185">
        <v>1.121041</v>
      </c>
      <c r="L2185">
        <v>284.76089999999999</v>
      </c>
      <c r="M2185">
        <v>-0.99980349999999996</v>
      </c>
      <c r="N2185">
        <v>-1.354142E-2</v>
      </c>
      <c r="O2185">
        <v>1.448735E-2</v>
      </c>
      <c r="P2185">
        <v>-0.9939808</v>
      </c>
      <c r="Q2185">
        <v>-9.2065910000000001E-2</v>
      </c>
      <c r="R2185">
        <v>-5.9384600000000003E-2</v>
      </c>
      <c r="S2185">
        <v>-2.9123230000000002</v>
      </c>
      <c r="T2185">
        <v>-0.33932970000000001</v>
      </c>
      <c r="U2185">
        <v>-1.3005070000000001</v>
      </c>
      <c r="V2185">
        <v>-7.379927E-2</v>
      </c>
      <c r="W2185">
        <v>-7.8592549999999997E-2</v>
      </c>
      <c r="X2185">
        <v>0.99417140000000004</v>
      </c>
      <c r="Y2185">
        <v>-0.41818689999999997</v>
      </c>
      <c r="Z2185">
        <v>-2.7577830000000001E-2</v>
      </c>
      <c r="AA2185">
        <v>0.90794229999999998</v>
      </c>
      <c r="AB2185">
        <v>19</v>
      </c>
      <c r="AC2185">
        <v>-0.72629999999997996</v>
      </c>
      <c r="AD2185">
        <v>-0.10741099999999899</v>
      </c>
      <c r="AE2185">
        <v>-0.41460000000000702</v>
      </c>
      <c r="AF2185">
        <v>-0.41818144066803398</v>
      </c>
      <c r="AG2185">
        <v>-0.10741099999999899</v>
      </c>
      <c r="AH2185">
        <v>0.70852912414539404</v>
      </c>
      <c r="AI2185">
        <v>97.438120410453294</v>
      </c>
      <c r="AJ2185">
        <v>120.549557233887</v>
      </c>
      <c r="AK2185">
        <v>0.82971462564090803</v>
      </c>
      <c r="AL2185">
        <v>94.507670291037101</v>
      </c>
      <c r="AM2185">
        <v>94.245390288302801</v>
      </c>
      <c r="AN2185">
        <v>0.99999994687299598</v>
      </c>
    </row>
    <row r="2186" spans="1:40" x14ac:dyDescent="0.25">
      <c r="A2186" t="str">
        <f>"20190303154508006"</f>
        <v>20190303154508006</v>
      </c>
      <c r="B2186" t="str">
        <f>"1551599108002460"</f>
        <v>1551599108002460</v>
      </c>
      <c r="C2186" t="s">
        <v>40</v>
      </c>
      <c r="D2186">
        <v>4.4729559999999999</v>
      </c>
      <c r="E2186">
        <v>0.35947899999999999</v>
      </c>
      <c r="F2186" t="s">
        <v>42</v>
      </c>
      <c r="G2186">
        <v>-473.54610000000002</v>
      </c>
      <c r="H2186">
        <v>1.0118419999999999</v>
      </c>
      <c r="I2186">
        <v>284.34219999999999</v>
      </c>
      <c r="J2186">
        <v>-472.8023</v>
      </c>
      <c r="K2186">
        <v>1.1210450000000001</v>
      </c>
      <c r="L2186">
        <v>284.76389999999998</v>
      </c>
      <c r="M2186">
        <v>-0.9998013</v>
      </c>
      <c r="N2186">
        <v>-1.352915E-2</v>
      </c>
      <c r="O2186">
        <v>1.464321E-2</v>
      </c>
      <c r="P2186">
        <v>-0.99389309999999997</v>
      </c>
      <c r="Q2186">
        <v>-9.1362550000000001E-2</v>
      </c>
      <c r="R2186">
        <v>-6.1881709999999999E-2</v>
      </c>
      <c r="S2186">
        <v>-2.9087519999999998</v>
      </c>
      <c r="T2186">
        <v>-0.33996340000000003</v>
      </c>
      <c r="U2186">
        <v>-1.304962</v>
      </c>
      <c r="V2186">
        <v>-7.6449349999999999E-2</v>
      </c>
      <c r="W2186">
        <v>-7.7902849999999996E-2</v>
      </c>
      <c r="X2186">
        <v>0.99402550000000001</v>
      </c>
      <c r="Y2186">
        <v>-0.41987570000000002</v>
      </c>
      <c r="Z2186">
        <v>-2.7764110000000002E-2</v>
      </c>
      <c r="AA2186">
        <v>0.90715679999999999</v>
      </c>
      <c r="AB2186">
        <v>19</v>
      </c>
      <c r="AC2186">
        <v>-0.743800000000021</v>
      </c>
      <c r="AD2186">
        <v>-0.10920299999999999</v>
      </c>
      <c r="AE2186">
        <v>-0.42169999999998697</v>
      </c>
      <c r="AF2186">
        <v>-0.42560487362986399</v>
      </c>
      <c r="AG2186">
        <v>-0.10920299999999999</v>
      </c>
      <c r="AH2186">
        <v>0.72570680934481402</v>
      </c>
      <c r="AI2186">
        <v>97.395772833548506</v>
      </c>
      <c r="AJ2186">
        <v>120.390320617729</v>
      </c>
      <c r="AK2186">
        <v>0.84836028713979905</v>
      </c>
      <c r="AL2186">
        <v>94.468031501681494</v>
      </c>
      <c r="AM2186">
        <v>94.397894543676898</v>
      </c>
      <c r="AN2186">
        <v>1.00000002590189</v>
      </c>
    </row>
    <row r="2187" spans="1:40" x14ac:dyDescent="0.25">
      <c r="A2187" t="str">
        <f>"20190303154508029"</f>
        <v>20190303154508029</v>
      </c>
      <c r="B2187" t="str">
        <f>"1551599108022956"</f>
        <v>1551599108022956</v>
      </c>
      <c r="C2187" t="s">
        <v>40</v>
      </c>
      <c r="D2187">
        <v>4.5135730000000001</v>
      </c>
      <c r="E2187">
        <v>0.35996899999999998</v>
      </c>
      <c r="F2187" t="s">
        <v>42</v>
      </c>
      <c r="G2187">
        <v>-473.74889999999999</v>
      </c>
      <c r="H2187">
        <v>1.0100690000000001</v>
      </c>
      <c r="I2187">
        <v>284.33909999999997</v>
      </c>
      <c r="J2187">
        <v>-472.9984</v>
      </c>
      <c r="K2187">
        <v>1.1210610000000001</v>
      </c>
      <c r="L2187">
        <v>284.76690000000002</v>
      </c>
      <c r="M2187">
        <v>-0.9997994</v>
      </c>
      <c r="N2187">
        <v>-1.351778E-2</v>
      </c>
      <c r="O2187">
        <v>1.478554E-2</v>
      </c>
      <c r="P2187">
        <v>-0.99379759999999995</v>
      </c>
      <c r="Q2187">
        <v>-9.0683420000000001E-2</v>
      </c>
      <c r="R2187">
        <v>-6.4369659999999995E-2</v>
      </c>
      <c r="S2187">
        <v>-2.9059140000000001</v>
      </c>
      <c r="T2187">
        <v>-0.3406652</v>
      </c>
      <c r="U2187">
        <v>-1.30426</v>
      </c>
      <c r="V2187">
        <v>-7.9074809999999995E-2</v>
      </c>
      <c r="W2187">
        <v>-7.7237959999999994E-2</v>
      </c>
      <c r="X2187">
        <v>0.99387199999999998</v>
      </c>
      <c r="Y2187">
        <v>-0.4201355</v>
      </c>
      <c r="Z2187">
        <v>-2.786692E-2</v>
      </c>
      <c r="AA2187">
        <v>0.90703339999999999</v>
      </c>
      <c r="AB2187">
        <v>19</v>
      </c>
      <c r="AC2187">
        <v>-0.75049999999998795</v>
      </c>
      <c r="AD2187">
        <v>-0.11099199999999899</v>
      </c>
      <c r="AE2187">
        <v>-0.42780000000004698</v>
      </c>
      <c r="AF2187">
        <v>-0.43172394003354198</v>
      </c>
      <c r="AG2187">
        <v>-0.11099199999999899</v>
      </c>
      <c r="AH2187">
        <v>0.73200820874362305</v>
      </c>
      <c r="AI2187">
        <v>97.440940489569698</v>
      </c>
      <c r="AJ2187">
        <v>120.531261753289</v>
      </c>
      <c r="AK2187">
        <v>0.85705355849569498</v>
      </c>
      <c r="AL2187">
        <v>94.429820914574094</v>
      </c>
      <c r="AM2187">
        <v>94.549005395134998</v>
      </c>
      <c r="AN2187">
        <v>1.00000004021274</v>
      </c>
    </row>
    <row r="2188" spans="1:40" x14ac:dyDescent="0.25">
      <c r="A2188" t="str">
        <f>"20190303154508052"</f>
        <v>20190303154508052</v>
      </c>
      <c r="B2188" t="str">
        <f>"1551599108042475"</f>
        <v>1551599108042475</v>
      </c>
      <c r="C2188" t="s">
        <v>40</v>
      </c>
      <c r="D2188">
        <v>4.5160839999999904</v>
      </c>
      <c r="E2188">
        <v>0.36043350000000002</v>
      </c>
      <c r="F2188" t="s">
        <v>54</v>
      </c>
      <c r="G2188">
        <v>-482.57240000000002</v>
      </c>
      <c r="H2188" s="1">
        <v>2.2982089999999999E-6</v>
      </c>
      <c r="I2188">
        <v>280.45440000000002</v>
      </c>
      <c r="J2188">
        <v>-473.19349999999997</v>
      </c>
      <c r="K2188">
        <v>1.1210770000000001</v>
      </c>
      <c r="L2188">
        <v>284.76990000000001</v>
      </c>
      <c r="M2188">
        <v>-0.99979790000000002</v>
      </c>
      <c r="N2188">
        <v>-1.350756E-2</v>
      </c>
      <c r="O2188">
        <v>1.4895749999999999E-2</v>
      </c>
      <c r="P2188">
        <v>-0.99366560000000004</v>
      </c>
      <c r="Q2188">
        <v>-9.0137170000000003E-2</v>
      </c>
      <c r="R2188">
        <v>-6.7112899999999906E-2</v>
      </c>
      <c r="S2188">
        <v>-2.9030149999999999</v>
      </c>
      <c r="T2188">
        <v>-0.33992280000000002</v>
      </c>
      <c r="U2188">
        <v>-1.307617</v>
      </c>
      <c r="V2188">
        <v>-8.1921800000000003E-2</v>
      </c>
      <c r="W2188">
        <v>-7.6707460000000005E-2</v>
      </c>
      <c r="X2188">
        <v>0.99368239999999997</v>
      </c>
      <c r="Y2188">
        <v>-0.42144500000000001</v>
      </c>
      <c r="Z2188">
        <v>-2.792147E-2</v>
      </c>
      <c r="AA2188">
        <v>0.90642400000000001</v>
      </c>
      <c r="AB2188">
        <v>19</v>
      </c>
      <c r="AC2188">
        <v>-9.3789000000000406</v>
      </c>
      <c r="AD2188">
        <v>-1.1210747017910001</v>
      </c>
      <c r="AE2188">
        <v>-4.3154999999999797</v>
      </c>
      <c r="AF2188">
        <v>-4.4028243474883402</v>
      </c>
      <c r="AG2188">
        <v>-1.1210747017910001</v>
      </c>
      <c r="AH2188">
        <v>9.2050310080232602</v>
      </c>
      <c r="AI2188">
        <v>96.2698480309584</v>
      </c>
      <c r="AJ2188">
        <v>115.56208367814899</v>
      </c>
      <c r="AK2188">
        <v>10.2651968602897</v>
      </c>
      <c r="AL2188">
        <v>94.399335395347293</v>
      </c>
      <c r="AM2188">
        <v>94.7129569288917</v>
      </c>
      <c r="AN2188">
        <v>0.99999996390232504</v>
      </c>
    </row>
    <row r="2189" spans="1:40" x14ac:dyDescent="0.25">
      <c r="A2189" t="str">
        <f>"20190303154508074"</f>
        <v>20190303154508074</v>
      </c>
      <c r="B2189" t="str">
        <f>"1551599108062342"</f>
        <v>1551599108062342</v>
      </c>
      <c r="C2189" t="s">
        <v>40</v>
      </c>
      <c r="D2189">
        <v>4.5165850000000001</v>
      </c>
      <c r="E2189">
        <v>0.36079230000000001</v>
      </c>
      <c r="F2189" t="s">
        <v>54</v>
      </c>
      <c r="G2189">
        <v>-482.79390000000001</v>
      </c>
      <c r="H2189" s="1">
        <v>2.33509E-6</v>
      </c>
      <c r="I2189">
        <v>280.42700000000002</v>
      </c>
      <c r="J2189">
        <v>-473.38290000000001</v>
      </c>
      <c r="K2189">
        <v>1.1211009999999999</v>
      </c>
      <c r="L2189">
        <v>284.77280000000002</v>
      </c>
      <c r="M2189">
        <v>-0.99979689999999999</v>
      </c>
      <c r="N2189">
        <v>-1.3498660000000001E-2</v>
      </c>
      <c r="O2189">
        <v>1.496577E-2</v>
      </c>
      <c r="P2189">
        <v>-0.9934598</v>
      </c>
      <c r="Q2189">
        <v>-9.0376680000000001E-2</v>
      </c>
      <c r="R2189">
        <v>-6.9781780000000002E-2</v>
      </c>
      <c r="S2189">
        <v>-2.8998110000000001</v>
      </c>
      <c r="T2189">
        <v>-0.33862379999999997</v>
      </c>
      <c r="U2189">
        <v>-1.311798</v>
      </c>
      <c r="V2189">
        <v>-8.4651899999999905E-2</v>
      </c>
      <c r="W2189">
        <v>-7.6964179999999993E-2</v>
      </c>
      <c r="X2189">
        <v>0.99343369999999998</v>
      </c>
      <c r="Y2189">
        <v>-0.42297479999999998</v>
      </c>
      <c r="Z2189">
        <v>-2.7945919999999999E-2</v>
      </c>
      <c r="AA2189">
        <v>0.90571049999999997</v>
      </c>
      <c r="AB2189">
        <v>19</v>
      </c>
      <c r="AC2189">
        <v>-9.4109999999999996</v>
      </c>
      <c r="AD2189">
        <v>-1.1210986649099901</v>
      </c>
      <c r="AE2189">
        <v>-4.3457999999999899</v>
      </c>
      <c r="AF2189">
        <v>-4.4343014707033097</v>
      </c>
      <c r="AG2189">
        <v>-1.1210986649099901</v>
      </c>
      <c r="AH2189">
        <v>9.23685935811835</v>
      </c>
      <c r="AI2189">
        <v>96.244297581656596</v>
      </c>
      <c r="AJ2189">
        <v>115.644075856905</v>
      </c>
      <c r="AK2189">
        <v>10.3072529100242</v>
      </c>
      <c r="AL2189">
        <v>94.4140879415705</v>
      </c>
      <c r="AM2189">
        <v>94.870489500494699</v>
      </c>
      <c r="AN2189">
        <v>0.99999997273618502</v>
      </c>
    </row>
    <row r="2190" spans="1:40" x14ac:dyDescent="0.25">
      <c r="A2190" t="str">
        <f>"20190303154508095"</f>
        <v>20190303154508095</v>
      </c>
      <c r="B2190" t="str">
        <f>"1551599108092571"</f>
        <v>1551599108092571</v>
      </c>
      <c r="C2190" t="s">
        <v>40</v>
      </c>
      <c r="D2190">
        <v>4.5631139999999997</v>
      </c>
      <c r="E2190">
        <v>0.36118060000000002</v>
      </c>
      <c r="F2190" t="s">
        <v>54</v>
      </c>
      <c r="G2190">
        <v>-482.93790000000001</v>
      </c>
      <c r="H2190" s="1">
        <v>2.3607659999999998E-6</v>
      </c>
      <c r="I2190">
        <v>280.42849999999999</v>
      </c>
      <c r="J2190">
        <v>-473.57029999999997</v>
      </c>
      <c r="K2190">
        <v>1.1211279999999999</v>
      </c>
      <c r="L2190">
        <v>284.77569999999997</v>
      </c>
      <c r="M2190">
        <v>-0.99979669999999998</v>
      </c>
      <c r="N2190">
        <v>-1.3490769999999999E-2</v>
      </c>
      <c r="O2190">
        <v>1.499176E-2</v>
      </c>
      <c r="P2190">
        <v>-0.99321340000000002</v>
      </c>
      <c r="Q2190">
        <v>-9.1373090000000004E-2</v>
      </c>
      <c r="R2190">
        <v>-7.1960549999999998E-2</v>
      </c>
      <c r="S2190">
        <v>-2.8963320000000001</v>
      </c>
      <c r="T2190">
        <v>-0.33983249999999998</v>
      </c>
      <c r="U2190">
        <v>-1.316864</v>
      </c>
      <c r="V2190">
        <v>-8.6846599999999996E-2</v>
      </c>
      <c r="W2190">
        <v>-7.7978629999999993E-2</v>
      </c>
      <c r="X2190">
        <v>0.99316510000000002</v>
      </c>
      <c r="Y2190">
        <v>-0.42468630000000002</v>
      </c>
      <c r="Z2190">
        <v>-2.8163819999999999E-2</v>
      </c>
      <c r="AA2190">
        <v>0.9049024</v>
      </c>
      <c r="AB2190">
        <v>19</v>
      </c>
      <c r="AC2190">
        <v>-9.3676000000000297</v>
      </c>
      <c r="AD2190">
        <v>-1.1211256392340001</v>
      </c>
      <c r="AE2190">
        <v>-4.3471999999999804</v>
      </c>
      <c r="AF2190">
        <v>-4.43489357592287</v>
      </c>
      <c r="AG2190">
        <v>-1.1211256392340001</v>
      </c>
      <c r="AH2190">
        <v>9.1930247093335709</v>
      </c>
      <c r="AI2190">
        <v>96.2682637516955</v>
      </c>
      <c r="AJ2190">
        <v>115.753563699666</v>
      </c>
      <c r="AK2190">
        <v>10.2682475152835</v>
      </c>
      <c r="AL2190">
        <v>94.472386931655095</v>
      </c>
      <c r="AM2190">
        <v>94.997475912462605</v>
      </c>
      <c r="AN2190">
        <v>0.99999995726312196</v>
      </c>
    </row>
    <row r="2191" spans="1:40" x14ac:dyDescent="0.25">
      <c r="A2191" t="str">
        <f>"20190303154508118"</f>
        <v>20190303154508118</v>
      </c>
      <c r="B2191" t="str">
        <f>"1551599108113068"</f>
        <v>1551599108113068</v>
      </c>
      <c r="C2191" t="s">
        <v>40</v>
      </c>
      <c r="D2191">
        <v>4.6338410000000003</v>
      </c>
      <c r="E2191">
        <v>0.36137130000000001</v>
      </c>
      <c r="F2191" t="s">
        <v>54</v>
      </c>
      <c r="G2191">
        <v>-483.00560000000002</v>
      </c>
      <c r="H2191" s="1">
        <v>2.3764889999999999E-6</v>
      </c>
      <c r="I2191">
        <v>280.4708</v>
      </c>
      <c r="J2191">
        <v>-473.7681</v>
      </c>
      <c r="K2191">
        <v>1.12117</v>
      </c>
      <c r="L2191">
        <v>284.77859999999998</v>
      </c>
      <c r="M2191">
        <v>-0.9997973</v>
      </c>
      <c r="N2191">
        <v>-1.3483240000000001E-2</v>
      </c>
      <c r="O2191">
        <v>1.495382E-2</v>
      </c>
      <c r="P2191">
        <v>-0.99301600000000001</v>
      </c>
      <c r="Q2191">
        <v>-9.1794089999999995E-2</v>
      </c>
      <c r="R2191">
        <v>-7.4116660000000001E-2</v>
      </c>
      <c r="S2191">
        <v>-2.8932190000000002</v>
      </c>
      <c r="T2191">
        <v>-0.3437788</v>
      </c>
      <c r="U2191">
        <v>-1.3200379999999901</v>
      </c>
      <c r="V2191">
        <v>-8.8954060000000001E-2</v>
      </c>
      <c r="W2191">
        <v>-7.8419039999999995E-2</v>
      </c>
      <c r="X2191">
        <v>0.99294389999999999</v>
      </c>
      <c r="Y2191">
        <v>-0.42576779999999997</v>
      </c>
      <c r="Z2191">
        <v>-2.8540289999999999E-2</v>
      </c>
      <c r="AA2191">
        <v>0.90438220000000002</v>
      </c>
      <c r="AB2191">
        <v>19</v>
      </c>
      <c r="AC2191">
        <v>-9.2375000000000096</v>
      </c>
      <c r="AD2191">
        <v>-1.121167623511</v>
      </c>
      <c r="AE2191">
        <v>-4.3077999999999799</v>
      </c>
      <c r="AF2191">
        <v>-4.3923210808768198</v>
      </c>
      <c r="AG2191">
        <v>-1.121167623511</v>
      </c>
      <c r="AH2191">
        <v>9.0623910886583499</v>
      </c>
      <c r="AI2191">
        <v>96.352547773310107</v>
      </c>
      <c r="AJ2191">
        <v>115.85834241193599</v>
      </c>
      <c r="AK2191">
        <v>10.132938051785301</v>
      </c>
      <c r="AL2191">
        <v>94.497697974822799</v>
      </c>
      <c r="AM2191">
        <v>95.119244577530196</v>
      </c>
      <c r="AN2191">
        <v>0.99999997958610698</v>
      </c>
    </row>
    <row r="2192" spans="1:40" x14ac:dyDescent="0.25">
      <c r="A2192" t="str">
        <f>"20190303154508146"</f>
        <v>20190303154508146</v>
      </c>
      <c r="B2192" t="str">
        <f>"1551599108142348"</f>
        <v>1551599108142348</v>
      </c>
      <c r="C2192" t="s">
        <v>40</v>
      </c>
      <c r="D2192">
        <v>4.2837969999999999</v>
      </c>
      <c r="E2192">
        <v>0.32211810000000002</v>
      </c>
      <c r="F2192" t="s">
        <v>54</v>
      </c>
      <c r="G2192">
        <v>-483.13959999999997</v>
      </c>
      <c r="H2192" s="1">
        <v>2.4013210000000001E-6</v>
      </c>
      <c r="I2192">
        <v>280.48320000000001</v>
      </c>
      <c r="J2192">
        <v>-473.995</v>
      </c>
      <c r="K2192">
        <v>1.1212310000000001</v>
      </c>
      <c r="L2192">
        <v>284.78179999999998</v>
      </c>
      <c r="M2192">
        <v>-0.99980000000000002</v>
      </c>
      <c r="N2192">
        <v>-1.347567E-2</v>
      </c>
      <c r="O2192">
        <v>1.478821E-2</v>
      </c>
      <c r="P2192">
        <v>-0.99286839999999998</v>
      </c>
      <c r="Q2192">
        <v>-9.1766410000000007E-2</v>
      </c>
      <c r="R2192">
        <v>-7.6103699999999996E-2</v>
      </c>
      <c r="S2192">
        <v>-2.8901979999999998</v>
      </c>
      <c r="T2192">
        <v>-0.34577390000000002</v>
      </c>
      <c r="U2192">
        <v>-1.324738</v>
      </c>
      <c r="V2192">
        <v>-9.0762129999999996E-2</v>
      </c>
      <c r="W2192">
        <v>-7.8415079999999998E-2</v>
      </c>
      <c r="X2192">
        <v>0.99278060000000001</v>
      </c>
      <c r="Y2192">
        <v>-0.42714760000000002</v>
      </c>
      <c r="Z2192">
        <v>-2.877598E-2</v>
      </c>
      <c r="AA2192">
        <v>0.90372390000000002</v>
      </c>
      <c r="AB2192">
        <v>19</v>
      </c>
      <c r="AC2192">
        <v>-9.1445999999999596</v>
      </c>
      <c r="AD2192">
        <v>-1.1212285986789901</v>
      </c>
      <c r="AE2192">
        <v>-4.2985999999999596</v>
      </c>
      <c r="AF2192">
        <v>-4.3794512391542</v>
      </c>
      <c r="AG2192">
        <v>-1.1212285986789901</v>
      </c>
      <c r="AH2192">
        <v>8.9695851144150502</v>
      </c>
      <c r="AI2192">
        <v>96.409119624766006</v>
      </c>
      <c r="AJ2192">
        <v>116.024208305152</v>
      </c>
      <c r="AK2192">
        <v>10.044411573176401</v>
      </c>
      <c r="AL2192">
        <v>94.497470270976706</v>
      </c>
      <c r="AM2192">
        <v>95.223582328673203</v>
      </c>
      <c r="AN2192">
        <v>1.00000000437495</v>
      </c>
    </row>
    <row r="2193" spans="1:40" x14ac:dyDescent="0.25">
      <c r="A2193" t="str">
        <f>"20190303154508168"</f>
        <v>20190303154508168</v>
      </c>
      <c r="B2193" t="str">
        <f>"1551599108162387"</f>
        <v>1551599108162387</v>
      </c>
      <c r="C2193" t="s">
        <v>40</v>
      </c>
      <c r="D2193">
        <v>4.3460530000000004</v>
      </c>
      <c r="E2193">
        <v>0.31900790000000001</v>
      </c>
      <c r="F2193" t="s">
        <v>42</v>
      </c>
      <c r="G2193">
        <v>-474.85140000000001</v>
      </c>
      <c r="H2193">
        <v>1.0097719999999999</v>
      </c>
      <c r="I2193">
        <v>284.2901</v>
      </c>
      <c r="J2193">
        <v>-474.19319999999999</v>
      </c>
      <c r="K2193">
        <v>1.1212930000000001</v>
      </c>
      <c r="L2193">
        <v>284.78449999999998</v>
      </c>
      <c r="M2193">
        <v>-0.99980389999999997</v>
      </c>
      <c r="N2193">
        <v>-1.346995E-2</v>
      </c>
      <c r="O2193">
        <v>1.452321E-2</v>
      </c>
      <c r="P2193">
        <v>-0.99268979999999996</v>
      </c>
      <c r="Q2193">
        <v>-9.1634930000000003E-2</v>
      </c>
      <c r="R2193">
        <v>-7.8549209999999994E-2</v>
      </c>
      <c r="S2193">
        <v>-2.8611759999999999</v>
      </c>
      <c r="T2193">
        <v>-0.37233759999999999</v>
      </c>
      <c r="U2193">
        <v>-1.6430359999999999</v>
      </c>
      <c r="V2193">
        <v>-9.2929419999999999E-2</v>
      </c>
      <c r="W2193">
        <v>-7.8307489999999993E-2</v>
      </c>
      <c r="X2193">
        <v>0.99258860000000004</v>
      </c>
      <c r="Y2193">
        <v>-0.50681109999999996</v>
      </c>
      <c r="Z2193">
        <v>-3.5766190000000003E-2</v>
      </c>
      <c r="AA2193">
        <v>0.86131480000000005</v>
      </c>
      <c r="AB2193">
        <v>19</v>
      </c>
      <c r="AC2193">
        <v>-0.65820000000002199</v>
      </c>
      <c r="AD2193">
        <v>-0.111521</v>
      </c>
      <c r="AE2193">
        <v>-0.49439999999998402</v>
      </c>
      <c r="AF2193">
        <v>-0.49482643947910598</v>
      </c>
      <c r="AG2193">
        <v>-0.111521</v>
      </c>
      <c r="AH2193">
        <v>0.63921819860408902</v>
      </c>
      <c r="AI2193">
        <v>97.854875015757699</v>
      </c>
      <c r="AJ2193">
        <v>127.743881727624</v>
      </c>
      <c r="AK2193">
        <v>0.81602086007358099</v>
      </c>
      <c r="AL2193">
        <v>94.491286668641294</v>
      </c>
      <c r="AM2193">
        <v>95.348628814414496</v>
      </c>
      <c r="AN2193">
        <v>1.00000003447079</v>
      </c>
    </row>
    <row r="2194" spans="1:40" x14ac:dyDescent="0.25">
      <c r="A2194" t="str">
        <f>"20190303154508185"</f>
        <v>20190303154508185</v>
      </c>
      <c r="B2194" t="str">
        <f>"1551599108182870"</f>
        <v>1551599108182870</v>
      </c>
      <c r="C2194" t="s">
        <v>40</v>
      </c>
      <c r="D2194">
        <v>4.2903549999999999</v>
      </c>
      <c r="E2194">
        <v>0.31781549999999997</v>
      </c>
      <c r="F2194" t="s">
        <v>42</v>
      </c>
      <c r="G2194">
        <v>-475.02319999999997</v>
      </c>
      <c r="H2194">
        <v>1.0148900000000001</v>
      </c>
      <c r="I2194">
        <v>284.29750000000001</v>
      </c>
      <c r="J2194">
        <v>-474.33980000000003</v>
      </c>
      <c r="K2194">
        <v>1.12134</v>
      </c>
      <c r="L2194">
        <v>284.78629999999998</v>
      </c>
      <c r="M2194">
        <v>-0.99980749999999996</v>
      </c>
      <c r="N2194">
        <v>-1.346616E-2</v>
      </c>
      <c r="O2194">
        <v>1.426502E-2</v>
      </c>
      <c r="P2194">
        <v>-0.9924868</v>
      </c>
      <c r="Q2194">
        <v>-9.109776E-2</v>
      </c>
      <c r="R2194">
        <v>-8.1678109999999998E-2</v>
      </c>
      <c r="S2194">
        <v>-2.855804</v>
      </c>
      <c r="T2194">
        <v>-0.36611840000000001</v>
      </c>
      <c r="U2194">
        <v>-1.6749270000000001</v>
      </c>
      <c r="V2194">
        <v>-9.5789310000000003E-2</v>
      </c>
      <c r="W2194">
        <v>-7.7790059999999994E-2</v>
      </c>
      <c r="X2194">
        <v>0.99235739999999995</v>
      </c>
      <c r="Y2194">
        <v>-0.51453230000000005</v>
      </c>
      <c r="Z2194">
        <v>-3.5693849999999999E-2</v>
      </c>
      <c r="AA2194">
        <v>0.85672769999999998</v>
      </c>
      <c r="AB2194">
        <v>19</v>
      </c>
      <c r="AC2194">
        <v>-0.68339999999994905</v>
      </c>
      <c r="AD2194">
        <v>-0.106449999999999</v>
      </c>
      <c r="AE2194">
        <v>-0.48879999999996898</v>
      </c>
      <c r="AF2194">
        <v>-0.49062468322540698</v>
      </c>
      <c r="AG2194">
        <v>-0.106449999999999</v>
      </c>
      <c r="AH2194">
        <v>0.665672162817186</v>
      </c>
      <c r="AI2194">
        <v>97.335196927714307</v>
      </c>
      <c r="AJ2194">
        <v>126.391569970609</v>
      </c>
      <c r="AK2194">
        <v>0.83376472139311697</v>
      </c>
      <c r="AL2194">
        <v>94.461549344312701</v>
      </c>
      <c r="AM2194">
        <v>95.513509641795494</v>
      </c>
      <c r="AN2194">
        <v>1.00000004733991</v>
      </c>
    </row>
    <row r="2195" spans="1:40" x14ac:dyDescent="0.25">
      <c r="A2195" t="str">
        <f>"20190303154508208"</f>
        <v>20190303154508208</v>
      </c>
      <c r="B2195" t="str">
        <f>"1551599108202389"</f>
        <v>1551599108202389</v>
      </c>
      <c r="C2195" t="s">
        <v>40</v>
      </c>
      <c r="D2195">
        <v>4.3730960000000003</v>
      </c>
      <c r="E2195">
        <v>0.31792150000000002</v>
      </c>
      <c r="F2195" t="s">
        <v>42</v>
      </c>
      <c r="G2195">
        <v>-475.19</v>
      </c>
      <c r="H2195">
        <v>1.0137659999999999</v>
      </c>
      <c r="I2195">
        <v>284.28149999999999</v>
      </c>
      <c r="J2195">
        <v>-474.53559999999999</v>
      </c>
      <c r="K2195">
        <v>1.12141</v>
      </c>
      <c r="L2195">
        <v>284.78859999999997</v>
      </c>
      <c r="M2195">
        <v>-0.99981399999999998</v>
      </c>
      <c r="N2195">
        <v>-1.346168E-2</v>
      </c>
      <c r="O2195">
        <v>1.3811530000000001E-2</v>
      </c>
      <c r="P2195">
        <v>-0.9922242</v>
      </c>
      <c r="Q2195">
        <v>-9.032047E-2</v>
      </c>
      <c r="R2195">
        <v>-8.5637829999999998E-2</v>
      </c>
      <c r="S2195">
        <v>-2.8502809999999998</v>
      </c>
      <c r="T2195">
        <v>-0.3605833</v>
      </c>
      <c r="U2195">
        <v>-1.693298</v>
      </c>
      <c r="V2195">
        <v>-9.9282899999999993E-2</v>
      </c>
      <c r="W2195">
        <v>-7.7039789999999997E-2</v>
      </c>
      <c r="X2195">
        <v>0.99207250000000002</v>
      </c>
      <c r="Y2195">
        <v>-0.51902999999999999</v>
      </c>
      <c r="Z2195">
        <v>-3.5468E-2</v>
      </c>
      <c r="AA2195">
        <v>0.85401990000000005</v>
      </c>
      <c r="AB2195">
        <v>19</v>
      </c>
      <c r="AC2195">
        <v>-0.65440000000000897</v>
      </c>
      <c r="AD2195">
        <v>-0.107644</v>
      </c>
      <c r="AE2195">
        <v>-0.50709999999997901</v>
      </c>
      <c r="AF2195">
        <v>-0.50751070720473801</v>
      </c>
      <c r="AG2195">
        <v>-0.107644</v>
      </c>
      <c r="AH2195">
        <v>0.63657120618557395</v>
      </c>
      <c r="AI2195">
        <v>97.532039665194503</v>
      </c>
      <c r="AJ2195">
        <v>128.56384139593101</v>
      </c>
      <c r="AK2195">
        <v>0.821204754740259</v>
      </c>
      <c r="AL2195">
        <v>94.418432703402104</v>
      </c>
      <c r="AM2195">
        <v>95.714918908252699</v>
      </c>
      <c r="AN2195">
        <v>1.0000000343659501</v>
      </c>
    </row>
    <row r="2196" spans="1:40" x14ac:dyDescent="0.25">
      <c r="A2196" t="str">
        <f>"20190303154508231"</f>
        <v>20190303154508231</v>
      </c>
      <c r="B2196" t="str">
        <f>"1551599108222886"</f>
        <v>1551599108222886</v>
      </c>
      <c r="C2196" t="s">
        <v>40</v>
      </c>
      <c r="D2196">
        <v>4.3699510000000004</v>
      </c>
      <c r="E2196">
        <v>0.31774190000000002</v>
      </c>
      <c r="F2196" t="s">
        <v>42</v>
      </c>
      <c r="G2196">
        <v>-475.3621</v>
      </c>
      <c r="H2196">
        <v>1.017752</v>
      </c>
      <c r="I2196">
        <v>284.29329999999999</v>
      </c>
      <c r="J2196">
        <v>-474.73079999999999</v>
      </c>
      <c r="K2196">
        <v>1.1214919999999999</v>
      </c>
      <c r="L2196">
        <v>284.79070000000002</v>
      </c>
      <c r="M2196">
        <v>-0.99982210000000005</v>
      </c>
      <c r="N2196">
        <v>-1.3457770000000001E-2</v>
      </c>
      <c r="O2196">
        <v>1.322693E-2</v>
      </c>
      <c r="P2196">
        <v>-0.99183129999999997</v>
      </c>
      <c r="Q2196">
        <v>-9.0111239999999995E-2</v>
      </c>
      <c r="R2196">
        <v>-9.0282989999999994E-2</v>
      </c>
      <c r="S2196">
        <v>-2.8439939999999999</v>
      </c>
      <c r="T2196">
        <v>-0.35670089999999999</v>
      </c>
      <c r="U2196">
        <v>-1.7042539999999999</v>
      </c>
      <c r="V2196">
        <v>-0.10332860000000001</v>
      </c>
      <c r="W2196">
        <v>-7.6861490000000005E-2</v>
      </c>
      <c r="X2196">
        <v>0.99167309999999997</v>
      </c>
      <c r="Y2196">
        <v>-0.52183250000000003</v>
      </c>
      <c r="Z2196">
        <v>-3.5282620000000001E-2</v>
      </c>
      <c r="AA2196">
        <v>0.85231800000000002</v>
      </c>
      <c r="AB2196">
        <v>19</v>
      </c>
      <c r="AC2196">
        <v>-0.63130000000000996</v>
      </c>
      <c r="AD2196">
        <v>-0.103739999999999</v>
      </c>
      <c r="AE2196">
        <v>-0.49740000000002699</v>
      </c>
      <c r="AF2196">
        <v>-0.497419978601923</v>
      </c>
      <c r="AG2196">
        <v>-0.103739999999999</v>
      </c>
      <c r="AH2196">
        <v>0.61442822561218002</v>
      </c>
      <c r="AI2196">
        <v>97.476049552145994</v>
      </c>
      <c r="AJ2196">
        <v>128.992441826266</v>
      </c>
      <c r="AK2196">
        <v>0.79731466005666196</v>
      </c>
      <c r="AL2196">
        <v>94.408186580734906</v>
      </c>
      <c r="AM2196">
        <v>95.948538811632005</v>
      </c>
      <c r="AN2196">
        <v>1.00000001274329</v>
      </c>
    </row>
    <row r="2197" spans="1:40" x14ac:dyDescent="0.25">
      <c r="A2197" t="str">
        <f>"20190303154508252"</f>
        <v>20190303154508252</v>
      </c>
      <c r="B2197" t="str">
        <f>"1551599108242406"</f>
        <v>1551599108242406</v>
      </c>
      <c r="C2197" t="s">
        <v>40</v>
      </c>
      <c r="D2197">
        <v>4.6454490000000002</v>
      </c>
      <c r="E2197">
        <v>0.31900309999999998</v>
      </c>
      <c r="F2197" t="s">
        <v>42</v>
      </c>
      <c r="G2197">
        <v>-475.53379999999999</v>
      </c>
      <c r="H2197">
        <v>1.0206649999999999</v>
      </c>
      <c r="I2197">
        <v>284.30430000000001</v>
      </c>
      <c r="J2197">
        <v>-474.90769999999998</v>
      </c>
      <c r="K2197">
        <v>1.1215679999999999</v>
      </c>
      <c r="L2197">
        <v>284.79230000000001</v>
      </c>
      <c r="M2197">
        <v>-0.99983049999999996</v>
      </c>
      <c r="N2197">
        <v>-1.345491E-2</v>
      </c>
      <c r="O2197">
        <v>1.2572460000000001E-2</v>
      </c>
      <c r="P2197">
        <v>-0.99132629999999999</v>
      </c>
      <c r="Q2197">
        <v>-9.1269870000000003E-2</v>
      </c>
      <c r="R2197">
        <v>-9.4563010000000003E-2</v>
      </c>
      <c r="S2197">
        <v>-2.8358759999999998</v>
      </c>
      <c r="T2197">
        <v>-0.35609200000000002</v>
      </c>
      <c r="U2197">
        <v>-1.718658</v>
      </c>
      <c r="V2197">
        <v>-0.1069392</v>
      </c>
      <c r="W2197">
        <v>-7.8052040000000003E-2</v>
      </c>
      <c r="X2197">
        <v>0.9911972</v>
      </c>
      <c r="Y2197">
        <v>-0.52550269999999899</v>
      </c>
      <c r="Z2197">
        <v>-3.5443639999999998E-2</v>
      </c>
      <c r="AA2197">
        <v>0.85005339999999996</v>
      </c>
      <c r="AB2197">
        <v>19</v>
      </c>
      <c r="AC2197">
        <v>-0.62610000000000798</v>
      </c>
      <c r="AD2197">
        <v>-0.10090300000000001</v>
      </c>
      <c r="AE2197">
        <v>-0.48799999999999899</v>
      </c>
      <c r="AF2197">
        <v>-0.48794982389790298</v>
      </c>
      <c r="AG2197">
        <v>-0.10090300000000001</v>
      </c>
      <c r="AH2197">
        <v>0.61005773380217199</v>
      </c>
      <c r="AI2197">
        <v>97.3598574161323</v>
      </c>
      <c r="AJ2197">
        <v>128.654289357317</v>
      </c>
      <c r="AK2197">
        <v>0.78768450830445802</v>
      </c>
      <c r="AL2197">
        <v>94.476605675839707</v>
      </c>
      <c r="AM2197">
        <v>96.157761593697202</v>
      </c>
      <c r="AN2197">
        <v>1.0000000013663199</v>
      </c>
    </row>
    <row r="2198" spans="1:40" x14ac:dyDescent="0.25">
      <c r="A2198" t="str">
        <f>"20190303154508275"</f>
        <v>20190303154508275</v>
      </c>
      <c r="B2198" t="str">
        <f>"1551599108273168"</f>
        <v>1551599108273168</v>
      </c>
      <c r="C2198" t="s">
        <v>40</v>
      </c>
      <c r="D2198">
        <v>4.608104</v>
      </c>
      <c r="E2198">
        <v>0.32234950000000001</v>
      </c>
      <c r="F2198" t="s">
        <v>42</v>
      </c>
      <c r="G2198">
        <v>-475.70370000000003</v>
      </c>
      <c r="H2198">
        <v>1.0203500000000001</v>
      </c>
      <c r="I2198">
        <v>284.30799999999999</v>
      </c>
      <c r="J2198">
        <v>-475.10199999999998</v>
      </c>
      <c r="K2198">
        <v>1.1216539999999999</v>
      </c>
      <c r="L2198">
        <v>284.79379999999998</v>
      </c>
      <c r="M2198">
        <v>-0.99984099999999998</v>
      </c>
      <c r="N2198">
        <v>-1.3452459999999999E-2</v>
      </c>
      <c r="O2198">
        <v>1.170627E-2</v>
      </c>
      <c r="P2198">
        <v>-0.99071909999999996</v>
      </c>
      <c r="Q2198">
        <v>-9.2042180000000001E-2</v>
      </c>
      <c r="R2198">
        <v>-0.1000216</v>
      </c>
      <c r="S2198">
        <v>-2.8289789999999999</v>
      </c>
      <c r="T2198">
        <v>-0.35974400000000001</v>
      </c>
      <c r="U2198">
        <v>-1.7207950000000001</v>
      </c>
      <c r="V2198">
        <v>-0.1115136</v>
      </c>
      <c r="W2198">
        <v>-7.8864069999999994E-2</v>
      </c>
      <c r="X2198">
        <v>0.99062870000000003</v>
      </c>
      <c r="Y2198">
        <v>-0.5260745</v>
      </c>
      <c r="Z2198">
        <v>-3.5776559999999999E-2</v>
      </c>
      <c r="AA2198">
        <v>0.84968559999999904</v>
      </c>
      <c r="AB2198">
        <v>19</v>
      </c>
      <c r="AC2198">
        <v>-0.60170000000004997</v>
      </c>
      <c r="AD2198">
        <v>-0.10130400000000001</v>
      </c>
      <c r="AE2198">
        <v>-0.48579999999998302</v>
      </c>
      <c r="AF2198">
        <v>-0.48449699259706702</v>
      </c>
      <c r="AG2198">
        <v>-0.10130400000000001</v>
      </c>
      <c r="AH2198">
        <v>0.58591695303915703</v>
      </c>
      <c r="AI2198">
        <v>97.589639925993197</v>
      </c>
      <c r="AJ2198">
        <v>129.587477079797</v>
      </c>
      <c r="AK2198">
        <v>0.76700620082910198</v>
      </c>
      <c r="AL2198">
        <v>94.523275334812496</v>
      </c>
      <c r="AM2198">
        <v>96.422663162689005</v>
      </c>
      <c r="AN2198">
        <v>1.0000000228928001</v>
      </c>
    </row>
    <row r="2199" spans="1:40" x14ac:dyDescent="0.25">
      <c r="A2199" t="str">
        <f>"20190303154508297"</f>
        <v>20190303154508297</v>
      </c>
      <c r="B2199" t="str">
        <f>"1551599108292688"</f>
        <v>1551599108292688</v>
      </c>
      <c r="C2199" t="s">
        <v>40</v>
      </c>
      <c r="D2199">
        <v>4.5854339999999896</v>
      </c>
      <c r="E2199">
        <v>0.32386300000000001</v>
      </c>
      <c r="F2199" t="s">
        <v>42</v>
      </c>
      <c r="G2199">
        <v>-475.87599999999998</v>
      </c>
      <c r="H2199">
        <v>1.023023</v>
      </c>
      <c r="I2199">
        <v>284.32499999999999</v>
      </c>
      <c r="J2199">
        <v>-475.2878</v>
      </c>
      <c r="K2199">
        <v>1.1217469999999901</v>
      </c>
      <c r="L2199">
        <v>284.79489999999998</v>
      </c>
      <c r="M2199">
        <v>-0.99985210000000002</v>
      </c>
      <c r="N2199">
        <v>-1.3450790000000001E-2</v>
      </c>
      <c r="O2199">
        <v>1.072363E-2</v>
      </c>
      <c r="P2199">
        <v>-0.99009000000000003</v>
      </c>
      <c r="Q2199">
        <v>-9.2400830000000003E-2</v>
      </c>
      <c r="R2199">
        <v>-0.105754399999999</v>
      </c>
      <c r="S2199">
        <v>-2.8220830000000001</v>
      </c>
      <c r="T2199">
        <v>-0.35957620000000001</v>
      </c>
      <c r="U2199">
        <v>-1.7098390000000001</v>
      </c>
      <c r="V2199">
        <v>-0.1162479</v>
      </c>
      <c r="W2199">
        <v>-7.9265219999999997E-2</v>
      </c>
      <c r="X2199">
        <v>0.99005220000000005</v>
      </c>
      <c r="Y2199">
        <v>-0.52375479999999996</v>
      </c>
      <c r="Z2199">
        <v>-3.5599699999999998E-2</v>
      </c>
      <c r="AA2199">
        <v>0.85112489999999996</v>
      </c>
      <c r="AB2199">
        <v>19</v>
      </c>
      <c r="AC2199">
        <v>-0.58819999999997197</v>
      </c>
      <c r="AD2199">
        <v>-9.8723999999999798E-2</v>
      </c>
      <c r="AE2199">
        <v>-0.46989999999999499</v>
      </c>
      <c r="AF2199">
        <v>-0.468131210149275</v>
      </c>
      <c r="AG2199">
        <v>-9.8723999999999798E-2</v>
      </c>
      <c r="AH2199">
        <v>0.57326876466738297</v>
      </c>
      <c r="AI2199">
        <v>97.597744114091597</v>
      </c>
      <c r="AJ2199">
        <v>129.23507180703501</v>
      </c>
      <c r="AK2199">
        <v>0.74667953945122401</v>
      </c>
      <c r="AL2199">
        <v>94.546332028283501</v>
      </c>
      <c r="AM2199">
        <v>96.696774550090296</v>
      </c>
      <c r="AN2199">
        <v>0.99999995404044795</v>
      </c>
    </row>
    <row r="2200" spans="1:40" x14ac:dyDescent="0.25">
      <c r="A2200" t="str">
        <f>"20190303154508321"</f>
        <v>20190303154508321</v>
      </c>
      <c r="B2200" t="str">
        <f>"1551599108313185"</f>
        <v>1551599108313185</v>
      </c>
      <c r="C2200" t="s">
        <v>40</v>
      </c>
      <c r="D2200">
        <v>4.628298</v>
      </c>
      <c r="E2200">
        <v>0.3250692</v>
      </c>
      <c r="F2200" t="s">
        <v>42</v>
      </c>
      <c r="G2200">
        <v>-476.04629999999997</v>
      </c>
      <c r="H2200">
        <v>1.024573</v>
      </c>
      <c r="I2200">
        <v>284.3329</v>
      </c>
      <c r="J2200">
        <v>-475.49189999999999</v>
      </c>
      <c r="K2200">
        <v>1.1218589999999999</v>
      </c>
      <c r="L2200">
        <v>284.79570000000001</v>
      </c>
      <c r="M2200">
        <v>-0.9998648</v>
      </c>
      <c r="N2200">
        <v>-1.3449620000000001E-2</v>
      </c>
      <c r="O2200">
        <v>9.4591550000000003E-3</v>
      </c>
      <c r="P2200">
        <v>-0.98931519999999995</v>
      </c>
      <c r="Q2200">
        <v>-9.2165810000000001E-2</v>
      </c>
      <c r="R2200">
        <v>-0.112965</v>
      </c>
      <c r="S2200">
        <v>-2.8133539999999999</v>
      </c>
      <c r="T2200">
        <v>-0.36042869999999999</v>
      </c>
      <c r="U2200">
        <v>-1.71386699999999</v>
      </c>
      <c r="V2200">
        <v>-0.12217889999999999</v>
      </c>
      <c r="W2200">
        <v>-7.9083009999999995E-2</v>
      </c>
      <c r="X2200">
        <v>0.98935240000000002</v>
      </c>
      <c r="Y2200">
        <v>-0.52470799999999995</v>
      </c>
      <c r="Z2200">
        <v>-3.5680440000000001E-2</v>
      </c>
      <c r="AA2200">
        <v>0.85053419999999902</v>
      </c>
      <c r="AB2200">
        <v>19</v>
      </c>
      <c r="AC2200">
        <v>-0.55439999999998602</v>
      </c>
      <c r="AD2200">
        <v>-9.72859999999999E-2</v>
      </c>
      <c r="AE2200">
        <v>-0.46280000000001498</v>
      </c>
      <c r="AF2200">
        <v>-0.45968196549925899</v>
      </c>
      <c r="AG2200">
        <v>-9.72859999999999E-2</v>
      </c>
      <c r="AH2200">
        <v>0.54019407184655899</v>
      </c>
      <c r="AI2200">
        <v>97.809748956621405</v>
      </c>
      <c r="AJ2200">
        <v>130.39635676138101</v>
      </c>
      <c r="AK2200">
        <v>0.71594811994964203</v>
      </c>
      <c r="AL2200">
        <v>94.535859130119604</v>
      </c>
      <c r="AM2200">
        <v>97.040030146677097</v>
      </c>
      <c r="AN2200">
        <v>0.99999998873081497</v>
      </c>
    </row>
    <row r="2201" spans="1:40" x14ac:dyDescent="0.25">
      <c r="A2201" t="str">
        <f>"20190303154508346"</f>
        <v>20190303154508346</v>
      </c>
      <c r="B2201" t="str">
        <f>"1551599108343440"</f>
        <v>1551599108343440</v>
      </c>
      <c r="C2201" t="s">
        <v>40</v>
      </c>
      <c r="D2201">
        <v>4.6173400000000004</v>
      </c>
      <c r="E2201">
        <v>0.32649679999999998</v>
      </c>
      <c r="F2201" t="s">
        <v>42</v>
      </c>
      <c r="G2201">
        <v>-476.36709999999999</v>
      </c>
      <c r="H2201">
        <v>1.0094000000000001</v>
      </c>
      <c r="I2201">
        <v>284.25689999999997</v>
      </c>
      <c r="J2201">
        <v>-475.69709999999998</v>
      </c>
      <c r="K2201">
        <v>1.121977</v>
      </c>
      <c r="L2201">
        <v>284.79570000000001</v>
      </c>
      <c r="M2201">
        <v>-0.99987809999999999</v>
      </c>
      <c r="N2201">
        <v>-1.344969E-2</v>
      </c>
      <c r="O2201">
        <v>7.941722E-3</v>
      </c>
      <c r="P2201">
        <v>-0.98838769999999998</v>
      </c>
      <c r="Q2201">
        <v>-9.1641340000000002E-2</v>
      </c>
      <c r="R2201">
        <v>-0.121211</v>
      </c>
      <c r="S2201">
        <v>-2.801971</v>
      </c>
      <c r="T2201">
        <v>-0.36004649999999999</v>
      </c>
      <c r="U2201">
        <v>-1.7246699999999999</v>
      </c>
      <c r="V2201">
        <v>-0.12889629999999999</v>
      </c>
      <c r="W2201">
        <v>-7.8617779999999998E-2</v>
      </c>
      <c r="X2201">
        <v>0.98853679999999999</v>
      </c>
      <c r="Y2201">
        <v>-0.52731450000000002</v>
      </c>
      <c r="Z2201">
        <v>-3.574476E-2</v>
      </c>
      <c r="AA2201">
        <v>0.84891799999999995</v>
      </c>
      <c r="AB2201">
        <v>19</v>
      </c>
      <c r="AC2201">
        <v>-0.67000000000001503</v>
      </c>
      <c r="AD2201">
        <v>-0.112576999999999</v>
      </c>
      <c r="AE2201">
        <v>-0.53880000000003703</v>
      </c>
      <c r="AF2201">
        <v>-0.53493308196543399</v>
      </c>
      <c r="AG2201">
        <v>-0.112576999999999</v>
      </c>
      <c r="AH2201">
        <v>0.65447853145177504</v>
      </c>
      <c r="AI2201">
        <v>97.586199416658701</v>
      </c>
      <c r="AJ2201">
        <v>129.26058704171899</v>
      </c>
      <c r="AK2201">
        <v>0.85274212470201705</v>
      </c>
      <c r="AL2201">
        <v>94.509120073172198</v>
      </c>
      <c r="AM2201">
        <v>97.428941255720503</v>
      </c>
      <c r="AN2201">
        <v>1.00000000822002</v>
      </c>
    </row>
    <row r="2202" spans="1:40" x14ac:dyDescent="0.25">
      <c r="A2202" t="str">
        <f>"20190303154508387"</f>
        <v>20190303154508387</v>
      </c>
      <c r="B2202" t="str">
        <f>"1551599108383456"</f>
        <v>1551599108383456</v>
      </c>
      <c r="C2202" t="s">
        <v>40</v>
      </c>
      <c r="D2202">
        <v>4.5956130000000002</v>
      </c>
      <c r="E2202">
        <v>0.32839259999999998</v>
      </c>
      <c r="F2202" t="s">
        <v>42</v>
      </c>
      <c r="G2202">
        <v>-476.53800000000001</v>
      </c>
      <c r="H2202">
        <v>1.013944</v>
      </c>
      <c r="I2202">
        <v>284.2722</v>
      </c>
      <c r="J2202">
        <v>-476.0419</v>
      </c>
      <c r="K2202">
        <v>1.1221570000000001</v>
      </c>
      <c r="L2202">
        <v>284.79480000000001</v>
      </c>
      <c r="M2202">
        <v>-0.99989729999999999</v>
      </c>
      <c r="N2202">
        <v>-1.3450739999999999E-2</v>
      </c>
      <c r="O2202">
        <v>4.9671610000000003E-3</v>
      </c>
      <c r="P2202">
        <v>-0.98596450000000002</v>
      </c>
      <c r="Q2202">
        <v>-9.2123449999999996E-2</v>
      </c>
      <c r="R2202">
        <v>-0.13924020000000001</v>
      </c>
      <c r="S2202">
        <v>-2.7890009999999998</v>
      </c>
      <c r="T2202">
        <v>-0.35827330000000002</v>
      </c>
      <c r="U2202">
        <v>-1.7369079999999999</v>
      </c>
      <c r="V2202">
        <v>-0.14394270000000001</v>
      </c>
      <c r="W2202">
        <v>-7.9215229999999998E-2</v>
      </c>
      <c r="X2202">
        <v>0.98641040000000002</v>
      </c>
      <c r="Y2202">
        <v>-0.52925929999999999</v>
      </c>
      <c r="Z2202">
        <v>-3.5500919999999998E-2</v>
      </c>
      <c r="AA2202">
        <v>0.8477171</v>
      </c>
      <c r="AB2202">
        <v>19</v>
      </c>
      <c r="AC2202">
        <v>-0.49610000000001198</v>
      </c>
      <c r="AD2202">
        <v>-0.108213</v>
      </c>
      <c r="AE2202">
        <v>-0.52260000000001094</v>
      </c>
      <c r="AF2202">
        <v>-0.51347757276664596</v>
      </c>
      <c r="AG2202">
        <v>-0.108213</v>
      </c>
      <c r="AH2202">
        <v>0.482613470676865</v>
      </c>
      <c r="AI2202">
        <v>98.730321738756203</v>
      </c>
      <c r="AJ2202">
        <v>136.774754620702</v>
      </c>
      <c r="AK2202">
        <v>0.71294111480689404</v>
      </c>
      <c r="AL2202">
        <v>94.543458498023298</v>
      </c>
      <c r="AM2202">
        <v>98.302331002742093</v>
      </c>
      <c r="AN2202">
        <v>1.0000000153877</v>
      </c>
    </row>
    <row r="2203" spans="1:40" x14ac:dyDescent="0.25">
      <c r="A2203" t="str">
        <f>"20190303154508409"</f>
        <v>20190303154508409</v>
      </c>
      <c r="B2203" t="str">
        <f>"1551599108402976"</f>
        <v>1551599108402976</v>
      </c>
      <c r="C2203" t="s">
        <v>40</v>
      </c>
      <c r="D2203">
        <v>4.6167550000000004</v>
      </c>
      <c r="E2203">
        <v>0.329258099999999</v>
      </c>
      <c r="F2203" t="s">
        <v>42</v>
      </c>
      <c r="G2203">
        <v>-476.87079999999997</v>
      </c>
      <c r="H2203">
        <v>1.0144820000000001</v>
      </c>
      <c r="I2203">
        <v>284.26240000000001</v>
      </c>
      <c r="J2203">
        <v>-476.23439999999999</v>
      </c>
      <c r="K2203">
        <v>1.122239</v>
      </c>
      <c r="L2203">
        <v>284.79349999999999</v>
      </c>
      <c r="M2203">
        <v>-0.99990480000000004</v>
      </c>
      <c r="N2203">
        <v>-1.3451680000000001E-2</v>
      </c>
      <c r="O2203">
        <v>3.0605179999999999E-3</v>
      </c>
      <c r="P2203">
        <v>-0.9844077</v>
      </c>
      <c r="Q2203">
        <v>-9.2589169999999998E-2</v>
      </c>
      <c r="R2203">
        <v>-0.14956179999999999</v>
      </c>
      <c r="S2203">
        <v>-2.7588810000000001</v>
      </c>
      <c r="T2203">
        <v>-0.35829709999999998</v>
      </c>
      <c r="U2203">
        <v>-1.7727360000000001</v>
      </c>
      <c r="V2203">
        <v>-0.15236479999999999</v>
      </c>
      <c r="W2203">
        <v>-7.974726E-2</v>
      </c>
      <c r="X2203">
        <v>0.98510169999999997</v>
      </c>
      <c r="Y2203">
        <v>-0.53948799999999997</v>
      </c>
      <c r="Z2203">
        <v>-3.6187480000000001E-2</v>
      </c>
      <c r="AA2203">
        <v>0.8412153</v>
      </c>
      <c r="AB2203">
        <v>19</v>
      </c>
      <c r="AC2203">
        <v>-0.63639999999997998</v>
      </c>
      <c r="AD2203">
        <v>-0.10775700000000001</v>
      </c>
      <c r="AE2203">
        <v>-0.53109999999998003</v>
      </c>
      <c r="AF2203">
        <v>-0.52418660927572402</v>
      </c>
      <c r="AG2203">
        <v>-0.10775700000000001</v>
      </c>
      <c r="AH2203">
        <v>0.624222031683354</v>
      </c>
      <c r="AI2203">
        <v>97.530681024939398</v>
      </c>
      <c r="AJ2203">
        <v>130.02165325141101</v>
      </c>
      <c r="AK2203">
        <v>0.82221427695697102</v>
      </c>
      <c r="AL2203">
        <v>94.574038346322993</v>
      </c>
      <c r="AM2203">
        <v>98.792218071353005</v>
      </c>
      <c r="AN2203">
        <v>1.0000000085497101</v>
      </c>
    </row>
    <row r="2204" spans="1:40" x14ac:dyDescent="0.25">
      <c r="A2204" t="str">
        <f>"20190303154508432"</f>
        <v>20190303154508432</v>
      </c>
      <c r="B2204" t="str">
        <f>"1551599108422496"</f>
        <v>1551599108422496</v>
      </c>
      <c r="C2204" t="s">
        <v>40</v>
      </c>
      <c r="D2204">
        <v>4.6396090000000001</v>
      </c>
      <c r="E2204">
        <v>0.34344930000000001</v>
      </c>
      <c r="F2204" t="s">
        <v>42</v>
      </c>
      <c r="G2204">
        <v>-477.03879999999998</v>
      </c>
      <c r="H2204">
        <v>1.0163249999999999</v>
      </c>
      <c r="I2204">
        <v>284.26679999999999</v>
      </c>
      <c r="J2204">
        <v>-476.42250000000001</v>
      </c>
      <c r="K2204">
        <v>1.122312</v>
      </c>
      <c r="L2204">
        <v>284.79169999999999</v>
      </c>
      <c r="M2204">
        <v>-0.9999091</v>
      </c>
      <c r="N2204">
        <v>-1.3453049999999999E-2</v>
      </c>
      <c r="O2204">
        <v>1.0392540000000001E-3</v>
      </c>
      <c r="P2204">
        <v>-0.98266520000000002</v>
      </c>
      <c r="Q2204">
        <v>-9.3065490000000001E-2</v>
      </c>
      <c r="R2204">
        <v>-0.1603388</v>
      </c>
      <c r="S2204">
        <v>-2.7409669999999999</v>
      </c>
      <c r="T2204">
        <v>-0.36094359999999998</v>
      </c>
      <c r="U2204">
        <v>-1.7942499999999999</v>
      </c>
      <c r="V2204">
        <v>-0.16113420000000001</v>
      </c>
      <c r="W2204">
        <v>-8.0293879999999998E-2</v>
      </c>
      <c r="X2204">
        <v>0.98366089999999995</v>
      </c>
      <c r="Y2204">
        <v>-0.54481550000000001</v>
      </c>
      <c r="Z2204">
        <v>-3.6689760000000002E-2</v>
      </c>
      <c r="AA2204">
        <v>0.83775290000000002</v>
      </c>
      <c r="AB2204">
        <v>19</v>
      </c>
      <c r="AC2204">
        <v>-0.61629999999996699</v>
      </c>
      <c r="AD2204">
        <v>-0.105987</v>
      </c>
      <c r="AE2204">
        <v>-0.52490000000000203</v>
      </c>
      <c r="AF2204">
        <v>-0.51668381804223296</v>
      </c>
      <c r="AG2204">
        <v>-0.105987</v>
      </c>
      <c r="AH2204">
        <v>0.60537737353569399</v>
      </c>
      <c r="AI2204">
        <v>97.585312115155503</v>
      </c>
      <c r="AJ2204">
        <v>130.48044075533201</v>
      </c>
      <c r="AK2204">
        <v>0.80291791385214095</v>
      </c>
      <c r="AL2204">
        <v>94.605457922000895</v>
      </c>
      <c r="AM2204">
        <v>99.303037675945802</v>
      </c>
      <c r="AN2204">
        <v>1.0000000518819501</v>
      </c>
    </row>
    <row r="2205" spans="1:40" x14ac:dyDescent="0.25">
      <c r="A2205" t="str">
        <f>"20190303154508458"</f>
        <v>20190303154508458</v>
      </c>
      <c r="B2205" t="str">
        <f>"1551599108452753"</f>
        <v>1551599108452753</v>
      </c>
      <c r="C2205" t="s">
        <v>40</v>
      </c>
      <c r="D2205">
        <v>4.6263069999999997</v>
      </c>
      <c r="E2205">
        <v>0.3454912</v>
      </c>
      <c r="F2205" t="s">
        <v>42</v>
      </c>
      <c r="G2205">
        <v>-477.21230000000003</v>
      </c>
      <c r="H2205">
        <v>1.0183329999999999</v>
      </c>
      <c r="I2205">
        <v>284.29829999999998</v>
      </c>
      <c r="J2205">
        <v>-476.63850000000002</v>
      </c>
      <c r="K2205">
        <v>1.122431</v>
      </c>
      <c r="L2205">
        <v>284.78899999999999</v>
      </c>
      <c r="M2205">
        <v>-0.99990840000000003</v>
      </c>
      <c r="N2205">
        <v>-1.3455969999999999E-2</v>
      </c>
      <c r="O2205">
        <v>-1.5140920000000001E-3</v>
      </c>
      <c r="P2205">
        <v>-0.98075800000000002</v>
      </c>
      <c r="Q2205">
        <v>-9.3074519999999994E-2</v>
      </c>
      <c r="R2205">
        <v>-0.1716134</v>
      </c>
      <c r="S2205">
        <v>-2.7393489999999998</v>
      </c>
      <c r="T2205">
        <v>-0.36060799999999998</v>
      </c>
      <c r="U2205">
        <v>-1.7125549999999901</v>
      </c>
      <c r="V2205">
        <v>-0.16988110000000001</v>
      </c>
      <c r="W2205">
        <v>-8.0389699999999994E-2</v>
      </c>
      <c r="X2205">
        <v>0.98218019999999995</v>
      </c>
      <c r="Y2205">
        <v>-0.52513209999999999</v>
      </c>
      <c r="Z2205">
        <v>-3.5286459999999999E-2</v>
      </c>
      <c r="AA2205">
        <v>0.85028890000000001</v>
      </c>
      <c r="AB2205">
        <v>19</v>
      </c>
      <c r="AC2205">
        <v>-0.57380000000000497</v>
      </c>
      <c r="AD2205">
        <v>-0.104098</v>
      </c>
      <c r="AE2205">
        <v>-0.49070000000000302</v>
      </c>
      <c r="AF2205">
        <v>-0.48069255046425002</v>
      </c>
      <c r="AG2205">
        <v>-0.104098</v>
      </c>
      <c r="AH2205">
        <v>0.56382401296916596</v>
      </c>
      <c r="AI2205">
        <v>97.997607226977095</v>
      </c>
      <c r="AJ2205">
        <v>130.44950918241699</v>
      </c>
      <c r="AK2205">
        <v>0.74819732642965298</v>
      </c>
      <c r="AL2205">
        <v>94.6109659618687</v>
      </c>
      <c r="AM2205">
        <v>99.812978119048395</v>
      </c>
      <c r="AN2205">
        <v>1.0000000186376601</v>
      </c>
    </row>
    <row r="2206" spans="1:40" x14ac:dyDescent="0.25">
      <c r="A2206" t="str">
        <f>"20190303154508480"</f>
        <v>20190303154508480</v>
      </c>
      <c r="B2206" t="str">
        <f>"1551599108472779"</f>
        <v>1551599108472779</v>
      </c>
      <c r="C2206" t="s">
        <v>40</v>
      </c>
      <c r="D2206">
        <v>4.6526909999999999</v>
      </c>
      <c r="E2206">
        <v>0.34657369999999998</v>
      </c>
      <c r="F2206" t="s">
        <v>42</v>
      </c>
      <c r="G2206">
        <v>-477.38290000000001</v>
      </c>
      <c r="H2206">
        <v>1.023064</v>
      </c>
      <c r="I2206">
        <v>284.31659999999999</v>
      </c>
      <c r="J2206">
        <v>-476.82139999999998</v>
      </c>
      <c r="K2206">
        <v>1.1225639999999999</v>
      </c>
      <c r="L2206">
        <v>284.786</v>
      </c>
      <c r="M2206">
        <v>-0.99990179999999995</v>
      </c>
      <c r="N2206">
        <v>-1.346046E-2</v>
      </c>
      <c r="O2206">
        <v>-3.9109490000000004E-3</v>
      </c>
      <c r="P2206">
        <v>-0.97880449999999997</v>
      </c>
      <c r="Q2206">
        <v>-9.2363669999999995E-2</v>
      </c>
      <c r="R2206">
        <v>-0.1827868</v>
      </c>
      <c r="S2206">
        <v>-2.7220149999999999</v>
      </c>
      <c r="T2206">
        <v>-0.36338759999999998</v>
      </c>
      <c r="U2206">
        <v>-1.727875</v>
      </c>
      <c r="V2206">
        <v>-0.17868829999999999</v>
      </c>
      <c r="W2206">
        <v>-7.977513E-2</v>
      </c>
      <c r="X2206">
        <v>0.98066629999999999</v>
      </c>
      <c r="Y2206">
        <v>-0.52884900000000001</v>
      </c>
      <c r="Z2206">
        <v>-3.5653700000000003E-2</v>
      </c>
      <c r="AA2206">
        <v>0.84796669999999996</v>
      </c>
      <c r="AB2206">
        <v>19</v>
      </c>
      <c r="AC2206">
        <v>-0.56150000000002298</v>
      </c>
      <c r="AD2206">
        <v>-9.9499999999999894E-2</v>
      </c>
      <c r="AE2206">
        <v>-0.46940000000000698</v>
      </c>
      <c r="AF2206">
        <v>-0.45872131449672199</v>
      </c>
      <c r="AG2206">
        <v>-9.9499999999999894E-2</v>
      </c>
      <c r="AH2206">
        <v>0.55310814813674503</v>
      </c>
      <c r="AI2206">
        <v>97.883501568315296</v>
      </c>
      <c r="AJ2206">
        <v>129.670680697649</v>
      </c>
      <c r="AK2206">
        <v>0.72543374467201305</v>
      </c>
      <c r="AL2206">
        <v>94.5756403871316</v>
      </c>
      <c r="AM2206">
        <v>100.32663794635999</v>
      </c>
      <c r="AN2206">
        <v>0.99999998593954798</v>
      </c>
    </row>
    <row r="2207" spans="1:40" x14ac:dyDescent="0.25">
      <c r="A2207" t="str">
        <f>"20190303154508502"</f>
        <v>20190303154508502</v>
      </c>
      <c r="B2207" t="str">
        <f>"1551599108493275"</f>
        <v>1551599108493275</v>
      </c>
      <c r="C2207" t="s">
        <v>40</v>
      </c>
      <c r="D2207">
        <v>4.6551929999999997</v>
      </c>
      <c r="E2207">
        <v>0.3470762</v>
      </c>
      <c r="F2207" t="s">
        <v>42</v>
      </c>
      <c r="G2207">
        <v>-477.54910000000001</v>
      </c>
      <c r="H2207">
        <v>1.0253289999999999</v>
      </c>
      <c r="I2207">
        <v>284.31540000000001</v>
      </c>
      <c r="J2207">
        <v>-477.00060000000002</v>
      </c>
      <c r="K2207">
        <v>1.1227309999999999</v>
      </c>
      <c r="L2207">
        <v>284.78230000000002</v>
      </c>
      <c r="M2207">
        <v>-0.99988829999999995</v>
      </c>
      <c r="N2207">
        <v>-1.3467069999999999E-2</v>
      </c>
      <c r="O2207">
        <v>-6.496819E-3</v>
      </c>
      <c r="P2207">
        <v>-0.97678520000000002</v>
      </c>
      <c r="Q2207">
        <v>-9.156388E-2</v>
      </c>
      <c r="R2207">
        <v>-0.1936668</v>
      </c>
      <c r="S2207">
        <v>-2.704132</v>
      </c>
      <c r="T2207">
        <v>-0.36131249999999998</v>
      </c>
      <c r="U2207">
        <v>-1.749725</v>
      </c>
      <c r="V2207">
        <v>-0.1870222</v>
      </c>
      <c r="W2207">
        <v>-7.9083479999999998E-2</v>
      </c>
      <c r="X2207">
        <v>0.97916720000000002</v>
      </c>
      <c r="Y2207">
        <v>-0.53402579999999999</v>
      </c>
      <c r="Z2207">
        <v>-3.5667690000000002E-2</v>
      </c>
      <c r="AA2207">
        <v>0.84471549999999995</v>
      </c>
      <c r="AB2207">
        <v>19</v>
      </c>
      <c r="AC2207">
        <v>-0.54849999999999</v>
      </c>
      <c r="AD2207">
        <v>-9.7401999999999697E-2</v>
      </c>
      <c r="AE2207">
        <v>-0.46690000000000897</v>
      </c>
      <c r="AF2207">
        <v>-0.45500650796433301</v>
      </c>
      <c r="AG2207">
        <v>-9.7401999999999697E-2</v>
      </c>
      <c r="AH2207">
        <v>0.541618549293994</v>
      </c>
      <c r="AI2207">
        <v>97.840024633291193</v>
      </c>
      <c r="AJ2207">
        <v>130.033169667848</v>
      </c>
      <c r="AK2207">
        <v>0.71405092593821895</v>
      </c>
      <c r="AL2207">
        <v>94.535886306931005</v>
      </c>
      <c r="AM2207">
        <v>100.813327805564</v>
      </c>
      <c r="AN2207">
        <v>0.99999995282879395</v>
      </c>
    </row>
    <row r="2208" spans="1:40" x14ac:dyDescent="0.25">
      <c r="A2208" t="str">
        <f>"20190303154508523"</f>
        <v>20190303154508523</v>
      </c>
      <c r="B2208" t="str">
        <f>"1551599108512795"</f>
        <v>1551599108512795</v>
      </c>
      <c r="C2208" t="s">
        <v>40</v>
      </c>
      <c r="D2208">
        <v>4.6640309999999996</v>
      </c>
      <c r="E2208">
        <v>0.35372740000000003</v>
      </c>
      <c r="F2208" t="s">
        <v>42</v>
      </c>
      <c r="G2208">
        <v>-477.85860000000002</v>
      </c>
      <c r="H2208">
        <v>1.0073719999999999</v>
      </c>
      <c r="I2208">
        <v>284.21530000000001</v>
      </c>
      <c r="J2208">
        <v>-477.17739999999998</v>
      </c>
      <c r="K2208">
        <v>1.1229150000000001</v>
      </c>
      <c r="L2208">
        <v>284.77789999999999</v>
      </c>
      <c r="M2208">
        <v>-0.99986589999999997</v>
      </c>
      <c r="N2208">
        <v>-1.347572E-2</v>
      </c>
      <c r="O2208">
        <v>-9.3077379999999994E-3</v>
      </c>
      <c r="P2208">
        <v>-0.97486099999999998</v>
      </c>
      <c r="Q2208">
        <v>-8.9069159999999994E-2</v>
      </c>
      <c r="R2208">
        <v>-0.20423649999999999</v>
      </c>
      <c r="S2208">
        <v>-2.6853940000000001</v>
      </c>
      <c r="T2208">
        <v>-0.36103069999999998</v>
      </c>
      <c r="U2208">
        <v>-1.775574</v>
      </c>
      <c r="V2208">
        <v>-0.19483909999999999</v>
      </c>
      <c r="W2208">
        <v>-7.6702160000000005E-2</v>
      </c>
      <c r="X2208">
        <v>0.97783149999999996</v>
      </c>
      <c r="Y2208">
        <v>-0.53996560000000005</v>
      </c>
      <c r="Z2208">
        <v>-3.5863180000000001E-2</v>
      </c>
      <c r="AA2208">
        <v>0.84092269999999902</v>
      </c>
      <c r="AB2208">
        <v>19</v>
      </c>
      <c r="AC2208">
        <v>-0.68120000000004599</v>
      </c>
      <c r="AD2208">
        <v>-0.11554299999999899</v>
      </c>
      <c r="AE2208">
        <v>-0.56259999999997401</v>
      </c>
      <c r="AF2208">
        <v>-0.54688103122448195</v>
      </c>
      <c r="AG2208">
        <v>-0.11554299999999899</v>
      </c>
      <c r="AH2208">
        <v>0.67486493397117298</v>
      </c>
      <c r="AI2208">
        <v>97.576846190877006</v>
      </c>
      <c r="AJ2208">
        <v>129.01979624014999</v>
      </c>
      <c r="AK2208">
        <v>0.87628290310040202</v>
      </c>
      <c r="AL2208">
        <v>94.399030806552901</v>
      </c>
      <c r="AM2208">
        <v>101.268955377617</v>
      </c>
      <c r="AN2208">
        <v>0.99999996931486201</v>
      </c>
    </row>
    <row r="2209" spans="1:40" x14ac:dyDescent="0.25">
      <c r="A2209" t="str">
        <f>"20190303154508550"</f>
        <v>20190303154508550</v>
      </c>
      <c r="B2209" t="str">
        <f>"1551599108543051"</f>
        <v>1551599108543051</v>
      </c>
      <c r="C2209" t="s">
        <v>40</v>
      </c>
      <c r="D2209">
        <v>4.6729050000000001</v>
      </c>
      <c r="E2209">
        <v>0.32549460000000002</v>
      </c>
      <c r="F2209" t="s">
        <v>42</v>
      </c>
      <c r="G2209">
        <v>-478.0256</v>
      </c>
      <c r="H2209">
        <v>1.005233</v>
      </c>
      <c r="I2209">
        <v>284.2226</v>
      </c>
      <c r="J2209">
        <v>-477.40519999999998</v>
      </c>
      <c r="K2209">
        <v>1.1231150000000001</v>
      </c>
      <c r="L2209">
        <v>284.77100000000002</v>
      </c>
      <c r="M2209">
        <v>-0.99982099999999996</v>
      </c>
      <c r="N2209">
        <v>-1.348738E-2</v>
      </c>
      <c r="O2209">
        <v>-1.3270199999999999E-2</v>
      </c>
      <c r="P2209">
        <v>-0.97281770000000001</v>
      </c>
      <c r="Q2209">
        <v>-8.4323899999999993E-2</v>
      </c>
      <c r="R2209">
        <v>-0.21567529999999999</v>
      </c>
      <c r="S2209">
        <v>-2.676361</v>
      </c>
      <c r="T2209">
        <v>-0.37130259999999998</v>
      </c>
      <c r="U2209">
        <v>-1.752075</v>
      </c>
      <c r="V2209">
        <v>-0.20241999999999999</v>
      </c>
      <c r="W2209">
        <v>-7.2079069999999995E-2</v>
      </c>
      <c r="X2209">
        <v>0.97664260000000003</v>
      </c>
      <c r="Y2209">
        <v>-0.53261199999999997</v>
      </c>
      <c r="Z2209">
        <v>-3.5955679999999997E-2</v>
      </c>
      <c r="AA2209">
        <v>0.84559549999999895</v>
      </c>
      <c r="AB2209">
        <v>19</v>
      </c>
      <c r="AC2209">
        <v>-0.62040000000001705</v>
      </c>
      <c r="AD2209">
        <v>-0.117881999999999</v>
      </c>
      <c r="AE2209">
        <v>-0.54839999999995803</v>
      </c>
      <c r="AF2209">
        <v>-0.52938874866140195</v>
      </c>
      <c r="AG2209">
        <v>-0.117881999999999</v>
      </c>
      <c r="AH2209">
        <v>0.61515574752130997</v>
      </c>
      <c r="AI2209">
        <v>98.264373096444402</v>
      </c>
      <c r="AJ2209">
        <v>130.71452235362699</v>
      </c>
      <c r="AK2209">
        <v>0.820100729692266</v>
      </c>
      <c r="AL2209">
        <v>94.133410865197703</v>
      </c>
      <c r="AM2209">
        <v>101.709396307839</v>
      </c>
      <c r="AN2209">
        <v>1.00000000843341</v>
      </c>
    </row>
    <row r="2210" spans="1:40" x14ac:dyDescent="0.25">
      <c r="A2210" t="str">
        <f>"20190303154508590"</f>
        <v>20190303154508590</v>
      </c>
      <c r="B2210" t="str">
        <f>"1551599108582599"</f>
        <v>1551599108582599</v>
      </c>
      <c r="C2210" t="s">
        <v>40</v>
      </c>
      <c r="D2210">
        <v>4.3690490000000004</v>
      </c>
      <c r="E2210">
        <v>0.26721699999999998</v>
      </c>
      <c r="F2210" t="s">
        <v>42</v>
      </c>
      <c r="G2210">
        <v>-478.18009999999998</v>
      </c>
      <c r="H2210">
        <v>1.0040830000000001</v>
      </c>
      <c r="I2210">
        <v>284.17559999999997</v>
      </c>
      <c r="J2210">
        <v>-477.72859999999997</v>
      </c>
      <c r="K2210">
        <v>1.1232839999999999</v>
      </c>
      <c r="L2210">
        <v>284.75889999999998</v>
      </c>
      <c r="M2210">
        <v>-0.99971840000000001</v>
      </c>
      <c r="N2210">
        <v>-1.3502979999999999E-2</v>
      </c>
      <c r="O2210">
        <v>-1.9516189999999999E-2</v>
      </c>
      <c r="P2210">
        <v>-0.96812359999999997</v>
      </c>
      <c r="Q2210">
        <v>-8.0910499999999996E-2</v>
      </c>
      <c r="R2210">
        <v>-0.2370449</v>
      </c>
      <c r="S2210">
        <v>-2.605194</v>
      </c>
      <c r="T2210">
        <v>-0.40014290000000002</v>
      </c>
      <c r="U2210">
        <v>-2.0022890000000002</v>
      </c>
      <c r="V2210">
        <v>-0.21776129999999999</v>
      </c>
      <c r="W2210">
        <v>-6.8863560000000004E-2</v>
      </c>
      <c r="X2210">
        <v>0.97356960000000003</v>
      </c>
      <c r="Y2210">
        <v>-0.58902880000000002</v>
      </c>
      <c r="Z2210">
        <v>-4.189536E-2</v>
      </c>
      <c r="AA2210">
        <v>0.80702529999999995</v>
      </c>
      <c r="AB2210">
        <v>19</v>
      </c>
      <c r="AC2210">
        <v>-0.45150000000001</v>
      </c>
      <c r="AD2210">
        <v>-0.119200999999999</v>
      </c>
      <c r="AE2210">
        <v>-0.58330000000000803</v>
      </c>
      <c r="AF2210">
        <v>-0.55975849269037103</v>
      </c>
      <c r="AG2210">
        <v>-0.119200999999999</v>
      </c>
      <c r="AH2210">
        <v>0.45102047462032002</v>
      </c>
      <c r="AI2210">
        <v>99.415183455455207</v>
      </c>
      <c r="AJ2210">
        <v>141.14017588075001</v>
      </c>
      <c r="AK2210">
        <v>0.72866859206825596</v>
      </c>
      <c r="AL2210">
        <v>93.948716600280306</v>
      </c>
      <c r="AM2210">
        <v>102.60799882997399</v>
      </c>
      <c r="AN2210">
        <v>0.99999996985886097</v>
      </c>
    </row>
    <row r="2211" spans="1:40" x14ac:dyDescent="0.25">
      <c r="A2211" t="str">
        <f>"20190303154508610"</f>
        <v>20190303154508610</v>
      </c>
      <c r="B2211" t="str">
        <f>"1551599108603095"</f>
        <v>1551599108603095</v>
      </c>
      <c r="C2211" t="s">
        <v>40</v>
      </c>
      <c r="D2211">
        <v>4.3461400000000001</v>
      </c>
      <c r="E2211">
        <v>0.26399339999999999</v>
      </c>
      <c r="F2211" t="s">
        <v>54</v>
      </c>
      <c r="G2211">
        <v>-483.49680000000001</v>
      </c>
      <c r="H2211" s="1">
        <v>2.1155649999999998E-6</v>
      </c>
      <c r="I2211">
        <v>278.84309999999999</v>
      </c>
      <c r="J2211">
        <v>-477.90050000000002</v>
      </c>
      <c r="K2211">
        <v>1.1233470000000001</v>
      </c>
      <c r="L2211">
        <v>284.75130000000001</v>
      </c>
      <c r="M2211">
        <v>-0.9996408</v>
      </c>
      <c r="N2211">
        <v>-1.3512069999999999E-2</v>
      </c>
      <c r="O2211">
        <v>-2.314898E-2</v>
      </c>
      <c r="P2211">
        <v>-0.96396099999999996</v>
      </c>
      <c r="Q2211">
        <v>-8.4377670000000002E-2</v>
      </c>
      <c r="R2211">
        <v>-0.2523088</v>
      </c>
      <c r="S2211">
        <v>-2.4450069999999999</v>
      </c>
      <c r="T2211">
        <v>-0.47613889999999998</v>
      </c>
      <c r="U2211">
        <v>-2.5075989999999999</v>
      </c>
      <c r="V2211">
        <v>-0.2295481</v>
      </c>
      <c r="W2211">
        <v>-7.247294E-2</v>
      </c>
      <c r="X2211">
        <v>0.9705954</v>
      </c>
      <c r="Y2211">
        <v>-0.69271759999999905</v>
      </c>
      <c r="Z2211">
        <v>-5.7275279999999998E-2</v>
      </c>
      <c r="AA2211">
        <v>0.71893109999999905</v>
      </c>
      <c r="AB2211">
        <v>19</v>
      </c>
      <c r="AC2211">
        <v>-5.5962999999999798</v>
      </c>
      <c r="AD2211">
        <v>-1.12334488443499</v>
      </c>
      <c r="AE2211">
        <v>-5.9082000000000203</v>
      </c>
      <c r="AF2211">
        <v>-5.6690343886943397</v>
      </c>
      <c r="AG2211">
        <v>-1.12334488443499</v>
      </c>
      <c r="AH2211">
        <v>5.6244100192205302</v>
      </c>
      <c r="AI2211">
        <v>98.007199166317506</v>
      </c>
      <c r="AJ2211">
        <v>135.22639459101401</v>
      </c>
      <c r="AK2211">
        <v>8.0643563099539293</v>
      </c>
      <c r="AL2211">
        <v>94.156036981439001</v>
      </c>
      <c r="AM2211">
        <v>103.30609766731899</v>
      </c>
      <c r="AN2211">
        <v>1.0000000438734999</v>
      </c>
    </row>
    <row r="2212" spans="1:40" x14ac:dyDescent="0.25">
      <c r="A2212" t="str">
        <f>"20190303154508632"</f>
        <v>20190303154508632</v>
      </c>
      <c r="B2212" t="str">
        <f>"1551599108622614"</f>
        <v>1551599108622614</v>
      </c>
      <c r="C2212" t="s">
        <v>40</v>
      </c>
      <c r="D2212">
        <v>4.6541540000000001</v>
      </c>
      <c r="E2212">
        <v>0.26922679999999999</v>
      </c>
      <c r="F2212" t="s">
        <v>54</v>
      </c>
      <c r="G2212">
        <v>-483.26569999999998</v>
      </c>
      <c r="H2212" s="1">
        <v>2.1289640000000001E-6</v>
      </c>
      <c r="I2212">
        <v>278.99689999999998</v>
      </c>
      <c r="J2212">
        <v>-478.0761</v>
      </c>
      <c r="K2212">
        <v>1.1234170000000001</v>
      </c>
      <c r="L2212">
        <v>284.74270000000001</v>
      </c>
      <c r="M2212">
        <v>-0.99954229999999999</v>
      </c>
      <c r="N2212">
        <v>-1.352298E-2</v>
      </c>
      <c r="O2212">
        <v>-2.7060850000000001E-2</v>
      </c>
      <c r="P2212">
        <v>-0.95924969999999998</v>
      </c>
      <c r="Q2212">
        <v>-8.7106030000000001E-2</v>
      </c>
      <c r="R2212">
        <v>-0.26879819999999999</v>
      </c>
      <c r="S2212">
        <v>-2.3957519999999999</v>
      </c>
      <c r="T2212">
        <v>-0.50161409999999995</v>
      </c>
      <c r="U2212">
        <v>-2.56955</v>
      </c>
      <c r="V2212">
        <v>-0.2423303</v>
      </c>
      <c r="W2212">
        <v>-7.535965E-2</v>
      </c>
      <c r="X2212">
        <v>0.96726259999999997</v>
      </c>
      <c r="Y2212">
        <v>-0.70500109999999905</v>
      </c>
      <c r="Z2212">
        <v>-6.0927960000000003E-2</v>
      </c>
      <c r="AA2212">
        <v>0.7065842</v>
      </c>
      <c r="AB2212">
        <v>19</v>
      </c>
      <c r="AC2212">
        <v>-5.18959999999998</v>
      </c>
      <c r="AD2212">
        <v>-1.1234148710359999</v>
      </c>
      <c r="AE2212">
        <v>-5.7458000000000302</v>
      </c>
      <c r="AF2212">
        <v>-5.4877134586093996</v>
      </c>
      <c r="AG2212">
        <v>-1.1234148710359999</v>
      </c>
      <c r="AH2212">
        <v>5.2330274336691902</v>
      </c>
      <c r="AI2212">
        <v>98.427191326120294</v>
      </c>
      <c r="AJ2212">
        <v>136.36088449942201</v>
      </c>
      <c r="AK2212">
        <v>7.6656138761225101</v>
      </c>
      <c r="AL2212">
        <v>94.321887238621102</v>
      </c>
      <c r="AM2212">
        <v>104.064931903869</v>
      </c>
      <c r="AN2212">
        <v>0.99999999425248598</v>
      </c>
    </row>
    <row r="2213" spans="1:40" x14ac:dyDescent="0.25">
      <c r="A2213" t="str">
        <f>"20190303154508655"</f>
        <v>20190303154508655</v>
      </c>
      <c r="B2213" t="str">
        <f>"1551599108652871"</f>
        <v>1551599108652871</v>
      </c>
      <c r="C2213" t="s">
        <v>40</v>
      </c>
      <c r="D2213">
        <v>4.3835050000000004</v>
      </c>
      <c r="E2213">
        <v>0.26749420000000002</v>
      </c>
      <c r="F2213" t="s">
        <v>54</v>
      </c>
      <c r="G2213">
        <v>-483.40480000000002</v>
      </c>
      <c r="H2213" s="1">
        <v>2.1353569999999998E-6</v>
      </c>
      <c r="I2213">
        <v>278.9452</v>
      </c>
      <c r="J2213">
        <v>-478.2704</v>
      </c>
      <c r="K2213">
        <v>1.1235139999999999</v>
      </c>
      <c r="L2213">
        <v>284.7321</v>
      </c>
      <c r="M2213">
        <v>-0.99940929999999994</v>
      </c>
      <c r="N2213">
        <v>-1.353565E-2</v>
      </c>
      <c r="O2213">
        <v>-3.1590479999999997E-2</v>
      </c>
      <c r="P2213">
        <v>-0.95404389999999994</v>
      </c>
      <c r="Q2213">
        <v>-8.8712559999999996E-2</v>
      </c>
      <c r="R2213">
        <v>-0.28623480000000001</v>
      </c>
      <c r="S2213">
        <v>-2.3621219999999998</v>
      </c>
      <c r="T2213">
        <v>-0.49799569999999999</v>
      </c>
      <c r="U2213">
        <v>-2.5699459999999998</v>
      </c>
      <c r="V2213">
        <v>-0.25551230000000003</v>
      </c>
      <c r="W2213">
        <v>-7.7139750000000007E-2</v>
      </c>
      <c r="X2213">
        <v>0.96372349999999996</v>
      </c>
      <c r="Y2213">
        <v>-0.70685359999999997</v>
      </c>
      <c r="Z2213">
        <v>-6.0537130000000001E-2</v>
      </c>
      <c r="AA2213">
        <v>0.70476470000000002</v>
      </c>
      <c r="AB2213">
        <v>19</v>
      </c>
      <c r="AC2213">
        <v>-5.1344000000000198</v>
      </c>
      <c r="AD2213">
        <v>-1.12351186464299</v>
      </c>
      <c r="AE2213">
        <v>-5.7869000000000002</v>
      </c>
      <c r="AF2213">
        <v>-5.5056800363400296</v>
      </c>
      <c r="AG2213">
        <v>-1.12351186464299</v>
      </c>
      <c r="AH2213">
        <v>5.2048902986406196</v>
      </c>
      <c r="AI2213">
        <v>98.434864506946298</v>
      </c>
      <c r="AJ2213">
        <v>136.60864019335401</v>
      </c>
      <c r="AK2213">
        <v>7.6593521001080802</v>
      </c>
      <c r="AL2213">
        <v>94.424177100992097</v>
      </c>
      <c r="AM2213">
        <v>104.849202562332</v>
      </c>
      <c r="AN2213">
        <v>1.0000000304668</v>
      </c>
    </row>
    <row r="2214" spans="1:40" x14ac:dyDescent="0.25">
      <c r="A2214" t="str">
        <f>"20190303154508700"</f>
        <v>20190303154508700</v>
      </c>
      <c r="B2214" t="str">
        <f>"1551599108693305"</f>
        <v>1551599108693305</v>
      </c>
      <c r="C2214" t="s">
        <v>40</v>
      </c>
      <c r="D2214">
        <v>4.8078000000000003</v>
      </c>
      <c r="E2214">
        <v>0.30853120000000001</v>
      </c>
      <c r="F2214" t="s">
        <v>54</v>
      </c>
      <c r="G2214">
        <v>-483.36869999999999</v>
      </c>
      <c r="H2214" s="1">
        <v>2.125844E-6</v>
      </c>
      <c r="I2214">
        <v>278.93639999999999</v>
      </c>
      <c r="J2214">
        <v>-478.6223</v>
      </c>
      <c r="K2214">
        <v>1.1237060000000001</v>
      </c>
      <c r="L2214">
        <v>284.7099</v>
      </c>
      <c r="M2214">
        <v>-0.99909499999999996</v>
      </c>
      <c r="N2214">
        <v>-1.3557059999999999E-2</v>
      </c>
      <c r="O2214">
        <v>-4.031821E-2</v>
      </c>
      <c r="P2214">
        <v>-0.94369990000000004</v>
      </c>
      <c r="Q2214">
        <v>-8.6389079999999993E-2</v>
      </c>
      <c r="R2214">
        <v>-0.31932379999999999</v>
      </c>
      <c r="S2214">
        <v>-2.3094790000000001</v>
      </c>
      <c r="T2214">
        <v>-0.50894499999999998</v>
      </c>
      <c r="U2214">
        <v>-2.6254270000000002</v>
      </c>
      <c r="V2214">
        <v>-0.2805551</v>
      </c>
      <c r="W2214">
        <v>-7.5152869999999997E-2</v>
      </c>
      <c r="X2214">
        <v>0.95689120000000005</v>
      </c>
      <c r="Y2214">
        <v>-0.71564539999999999</v>
      </c>
      <c r="Z2214">
        <v>-6.1651099999999903E-2</v>
      </c>
      <c r="AA2214">
        <v>0.69573769999999902</v>
      </c>
      <c r="AB2214">
        <v>18</v>
      </c>
      <c r="AC2214">
        <v>-4.7463999999999897</v>
      </c>
      <c r="AD2214">
        <v>-1.1237038741559999</v>
      </c>
      <c r="AE2214">
        <v>-5.7735000000000101</v>
      </c>
      <c r="AF2214">
        <v>-5.45413406820549</v>
      </c>
      <c r="AG2214">
        <v>-1.1237038741559999</v>
      </c>
      <c r="AH2214">
        <v>4.86536063739499</v>
      </c>
      <c r="AI2214">
        <v>98.740534769932694</v>
      </c>
      <c r="AJ2214">
        <v>138.26544088777601</v>
      </c>
      <c r="AK2214">
        <v>7.3947294042896203</v>
      </c>
      <c r="AL2214">
        <v>94.310006144460502</v>
      </c>
      <c r="AM2214">
        <v>106.34083937745601</v>
      </c>
      <c r="AN2214">
        <v>0.99999994332134201</v>
      </c>
    </row>
    <row r="2215" spans="1:40" x14ac:dyDescent="0.25">
      <c r="A2215" t="str">
        <f>"20190303154508723"</f>
        <v>20190303154508723</v>
      </c>
      <c r="B2215" t="str">
        <f>"1551599108712825"</f>
        <v>1551599108712825</v>
      </c>
      <c r="C2215" t="s">
        <v>40</v>
      </c>
      <c r="D2215">
        <v>4.7801309999999999</v>
      </c>
      <c r="E2215">
        <v>0.31116709999999997</v>
      </c>
      <c r="F2215" t="s">
        <v>54</v>
      </c>
      <c r="G2215">
        <v>-484.29849999999999</v>
      </c>
      <c r="H2215" s="1">
        <v>2.2646759999999999E-6</v>
      </c>
      <c r="I2215">
        <v>278.86259999999999</v>
      </c>
      <c r="J2215">
        <v>-478.81490000000002</v>
      </c>
      <c r="K2215">
        <v>1.123815</v>
      </c>
      <c r="L2215">
        <v>284.6961</v>
      </c>
      <c r="M2215">
        <v>-0.99887579999999998</v>
      </c>
      <c r="N2215">
        <v>-1.356975E-2</v>
      </c>
      <c r="O2215">
        <v>-4.5419769999999998E-2</v>
      </c>
      <c r="P2215">
        <v>-0.93760290000000002</v>
      </c>
      <c r="Q2215">
        <v>-8.4829500000000002E-2</v>
      </c>
      <c r="R2215">
        <v>-0.33720090000000003</v>
      </c>
      <c r="S2215">
        <v>-2.3260190000000001</v>
      </c>
      <c r="T2215">
        <v>-0.46047840000000001</v>
      </c>
      <c r="U2215">
        <v>-2.3961489999999999</v>
      </c>
      <c r="V2215">
        <v>-0.29379739999999999</v>
      </c>
      <c r="W2215">
        <v>-7.3783520000000005E-2</v>
      </c>
      <c r="X2215">
        <v>0.95301579999999997</v>
      </c>
      <c r="Y2215">
        <v>-0.67841079999999998</v>
      </c>
      <c r="Z2215">
        <v>-5.3486190000000003E-2</v>
      </c>
      <c r="AA2215">
        <v>0.73273319999999997</v>
      </c>
      <c r="AB2215">
        <v>18</v>
      </c>
      <c r="AC2215">
        <v>-5.4835999999999601</v>
      </c>
      <c r="AD2215">
        <v>-1.1238127353239999</v>
      </c>
      <c r="AE2215">
        <v>-5.8335000000000097</v>
      </c>
      <c r="AF2215">
        <v>-5.4706044782657299</v>
      </c>
      <c r="AG2215">
        <v>-1.1238127353239999</v>
      </c>
      <c r="AH2215">
        <v>5.6319539955046798</v>
      </c>
      <c r="AI2215">
        <v>98.145595683188006</v>
      </c>
      <c r="AJ2215">
        <v>134.16739950953399</v>
      </c>
      <c r="AK2215">
        <v>7.9315429916995699</v>
      </c>
      <c r="AL2215">
        <v>94.231329389489701</v>
      </c>
      <c r="AM2215">
        <v>107.13357671695</v>
      </c>
      <c r="AN2215">
        <v>1.0000000175599899</v>
      </c>
    </row>
    <row r="2216" spans="1:40" x14ac:dyDescent="0.25">
      <c r="A2216" t="str">
        <f>"20190303154508750"</f>
        <v>20190303154508750</v>
      </c>
      <c r="B2216" t="str">
        <f>"1551599108743081"</f>
        <v>1551599108743081</v>
      </c>
      <c r="C2216" t="s">
        <v>40</v>
      </c>
      <c r="D2216">
        <v>4.8360029999999998</v>
      </c>
      <c r="E2216">
        <v>0.3154747</v>
      </c>
      <c r="F2216" t="s">
        <v>54</v>
      </c>
      <c r="G2216">
        <v>-484.45350000000002</v>
      </c>
      <c r="H2216" s="1">
        <v>2.2467419999999999E-6</v>
      </c>
      <c r="I2216">
        <v>278.73410000000001</v>
      </c>
      <c r="J2216">
        <v>-479.04090000000002</v>
      </c>
      <c r="K2216">
        <v>1.123945</v>
      </c>
      <c r="L2216">
        <v>284.6782</v>
      </c>
      <c r="M2216">
        <v>-0.99856869999999998</v>
      </c>
      <c r="N2216">
        <v>-1.3587470000000001E-2</v>
      </c>
      <c r="O2216">
        <v>-5.1731640000000002E-2</v>
      </c>
      <c r="P2216">
        <v>-0.93026470000000006</v>
      </c>
      <c r="Q2216">
        <v>-8.4142770000000006E-2</v>
      </c>
      <c r="R2216">
        <v>-0.3571106</v>
      </c>
      <c r="S2216">
        <v>-2.2882389999999999</v>
      </c>
      <c r="T2216">
        <v>-0.45606829999999998</v>
      </c>
      <c r="U2216">
        <v>-2.4195250000000001</v>
      </c>
      <c r="V2216">
        <v>-0.30802109999999999</v>
      </c>
      <c r="W2216">
        <v>-7.3319019999999999E-2</v>
      </c>
      <c r="X2216">
        <v>0.94855009999999995</v>
      </c>
      <c r="Y2216">
        <v>-0.68337440000000005</v>
      </c>
      <c r="Z2216">
        <v>-5.2965459999999999E-2</v>
      </c>
      <c r="AA2216">
        <v>0.72814429999999997</v>
      </c>
      <c r="AB2216">
        <v>18</v>
      </c>
      <c r="AC2216">
        <v>-5.4125999999999896</v>
      </c>
      <c r="AD2216">
        <v>-1.123942753258</v>
      </c>
      <c r="AE2216">
        <v>-5.9440999999999899</v>
      </c>
      <c r="AF2216">
        <v>-5.54767467719393</v>
      </c>
      <c r="AG2216">
        <v>-1.123942753258</v>
      </c>
      <c r="AH2216">
        <v>5.6033530583084303</v>
      </c>
      <c r="AI2216">
        <v>98.112333204162695</v>
      </c>
      <c r="AJ2216">
        <v>134.71391787261899</v>
      </c>
      <c r="AK2216">
        <v>7.9647666087986799</v>
      </c>
      <c r="AL2216">
        <v>94.2046433583251</v>
      </c>
      <c r="AM2216">
        <v>107.990082531434</v>
      </c>
      <c r="AN2216">
        <v>0.99999998447449001</v>
      </c>
    </row>
    <row r="2217" spans="1:40" x14ac:dyDescent="0.25">
      <c r="A2217" t="str">
        <f>"20190303154508771"</f>
        <v>20190303154508771</v>
      </c>
      <c r="B2217" t="str">
        <f>"1551599108763211"</f>
        <v>1551599108763211</v>
      </c>
      <c r="C2217" t="s">
        <v>40</v>
      </c>
      <c r="D2217">
        <v>4.8344699999999996</v>
      </c>
      <c r="E2217">
        <v>0.32716309999999998</v>
      </c>
      <c r="F2217" t="s">
        <v>54</v>
      </c>
      <c r="G2217">
        <v>-484.54140000000001</v>
      </c>
      <c r="H2217" s="1">
        <v>2.2578560000000001E-6</v>
      </c>
      <c r="I2217">
        <v>278.72140000000002</v>
      </c>
      <c r="J2217">
        <v>-479.21039999999999</v>
      </c>
      <c r="K2217">
        <v>1.124034</v>
      </c>
      <c r="L2217">
        <v>284.6635</v>
      </c>
      <c r="M2217">
        <v>-0.99830160000000001</v>
      </c>
      <c r="N2217">
        <v>-1.360109E-2</v>
      </c>
      <c r="O2217">
        <v>-5.6646719999999998E-2</v>
      </c>
      <c r="P2217">
        <v>-0.92325230000000003</v>
      </c>
      <c r="Q2217">
        <v>-8.4398290000000001E-2</v>
      </c>
      <c r="R2217">
        <v>-0.37480940000000001</v>
      </c>
      <c r="S2217">
        <v>-2.2485659999999998</v>
      </c>
      <c r="T2217">
        <v>-0.4594548</v>
      </c>
      <c r="U2217">
        <v>-2.4350589999999999</v>
      </c>
      <c r="V2217">
        <v>-0.32140370000000001</v>
      </c>
      <c r="W2217">
        <v>-7.3775469999999996E-2</v>
      </c>
      <c r="X2217">
        <v>0.94406400000000001</v>
      </c>
      <c r="Y2217">
        <v>-0.68826140000000002</v>
      </c>
      <c r="Z2217">
        <v>-5.3506430000000001E-2</v>
      </c>
      <c r="AA2217">
        <v>0.72348679999999999</v>
      </c>
      <c r="AB2217">
        <v>18</v>
      </c>
      <c r="AC2217">
        <v>-5.3310000000000102</v>
      </c>
      <c r="AD2217">
        <v>-1.124031742144</v>
      </c>
      <c r="AE2217">
        <v>-5.9420999999999804</v>
      </c>
      <c r="AF2217">
        <v>-5.5210865145717101</v>
      </c>
      <c r="AG2217">
        <v>-1.124031742144</v>
      </c>
      <c r="AH2217">
        <v>5.5490566610029601</v>
      </c>
      <c r="AI2217">
        <v>98.171521805057793</v>
      </c>
      <c r="AJ2217">
        <v>134.85523512141799</v>
      </c>
      <c r="AK2217">
        <v>7.9080891172111896</v>
      </c>
      <c r="AL2217">
        <v>94.230866984194094</v>
      </c>
      <c r="AM2217">
        <v>108.80098435982001</v>
      </c>
      <c r="AN2217">
        <v>0.99999999722170496</v>
      </c>
    </row>
    <row r="2218" spans="1:40" x14ac:dyDescent="0.25">
      <c r="A2218" t="str">
        <f>"20190303154508790"</f>
        <v>20190303154508790</v>
      </c>
      <c r="B2218" t="str">
        <f>"1551599108782627"</f>
        <v>1551599108782627</v>
      </c>
      <c r="C2218" t="s">
        <v>40</v>
      </c>
      <c r="D2218">
        <v>4.8217559999999997</v>
      </c>
      <c r="E2218">
        <v>0.32807560000000002</v>
      </c>
      <c r="F2218" t="s">
        <v>54</v>
      </c>
      <c r="G2218">
        <v>-484.65859999999998</v>
      </c>
      <c r="H2218" s="1">
        <v>2.3199629999999998E-6</v>
      </c>
      <c r="I2218">
        <v>278.8383</v>
      </c>
      <c r="J2218">
        <v>-479.36219999999997</v>
      </c>
      <c r="K2218">
        <v>1.1241080000000001</v>
      </c>
      <c r="L2218">
        <v>284.64960000000002</v>
      </c>
      <c r="M2218">
        <v>-0.99803220000000004</v>
      </c>
      <c r="N2218">
        <v>-1.361332E-2</v>
      </c>
      <c r="O2218">
        <v>-6.1207530000000003E-2</v>
      </c>
      <c r="P2218">
        <v>-0.91622040000000005</v>
      </c>
      <c r="Q2218">
        <v>-8.4313940000000004E-2</v>
      </c>
      <c r="R2218">
        <v>-0.39170319999999997</v>
      </c>
      <c r="S2218">
        <v>-2.23645</v>
      </c>
      <c r="T2218">
        <v>-0.4614086</v>
      </c>
      <c r="U2218">
        <v>-2.391235</v>
      </c>
      <c r="V2218">
        <v>-0.33437070000000002</v>
      </c>
      <c r="W2218">
        <v>-7.3892219999999995E-2</v>
      </c>
      <c r="X2218">
        <v>0.93954040000000005</v>
      </c>
      <c r="Y2218">
        <v>-0.68028140000000004</v>
      </c>
      <c r="Z2218">
        <v>-5.2717180000000002E-2</v>
      </c>
      <c r="AA2218">
        <v>0.73105279999999995</v>
      </c>
      <c r="AB2218">
        <v>18</v>
      </c>
      <c r="AC2218">
        <v>-5.2964000000000002</v>
      </c>
      <c r="AD2218">
        <v>-1.124105680037</v>
      </c>
      <c r="AE2218">
        <v>-5.8113000000000099</v>
      </c>
      <c r="AF2218">
        <v>-5.3665054845327003</v>
      </c>
      <c r="AG2218">
        <v>-1.124105680037</v>
      </c>
      <c r="AH2218">
        <v>5.52918395519879</v>
      </c>
      <c r="AI2218">
        <v>98.300201567664203</v>
      </c>
      <c r="AJ2218">
        <v>134.144606926302</v>
      </c>
      <c r="AK2218">
        <v>7.78683953255997</v>
      </c>
      <c r="AL2218">
        <v>94.237574587232302</v>
      </c>
      <c r="AM2218">
        <v>109.590009404795</v>
      </c>
      <c r="AN2218">
        <v>0.99999999421358898</v>
      </c>
    </row>
    <row r="2219" spans="1:40" x14ac:dyDescent="0.25">
      <c r="A2219" t="str">
        <f>"20190303154508812"</f>
        <v>20190303154508812</v>
      </c>
      <c r="B2219" t="str">
        <f>"1551599108803123"</f>
        <v>1551599108803123</v>
      </c>
      <c r="C2219" t="s">
        <v>40</v>
      </c>
      <c r="D2219">
        <v>4.9125560000000004</v>
      </c>
      <c r="E2219">
        <v>0.32869660000000001</v>
      </c>
      <c r="F2219" t="s">
        <v>54</v>
      </c>
      <c r="G2219">
        <v>-484.74700000000001</v>
      </c>
      <c r="H2219" s="1">
        <v>2.2877050000000001E-6</v>
      </c>
      <c r="I2219">
        <v>278.70269999999999</v>
      </c>
      <c r="J2219">
        <v>-479.53300000000002</v>
      </c>
      <c r="K2219">
        <v>1.1242049999999999</v>
      </c>
      <c r="L2219">
        <v>284.63279999999997</v>
      </c>
      <c r="M2219">
        <v>-0.99768979999999996</v>
      </c>
      <c r="N2219">
        <v>-1.362851E-2</v>
      </c>
      <c r="O2219">
        <v>-6.6553650000000006E-2</v>
      </c>
      <c r="P2219">
        <v>-0.9086282</v>
      </c>
      <c r="Q2219">
        <v>-8.4202830000000006E-2</v>
      </c>
      <c r="R2219">
        <v>-0.40902909999999998</v>
      </c>
      <c r="S2219">
        <v>-2.1955260000000001</v>
      </c>
      <c r="T2219">
        <v>-0.45832319999999999</v>
      </c>
      <c r="U2219">
        <v>-2.4246829999999999</v>
      </c>
      <c r="V2219">
        <v>-0.347112799999999</v>
      </c>
      <c r="W2219">
        <v>-7.4005340000000003E-2</v>
      </c>
      <c r="X2219">
        <v>0.93489889999999998</v>
      </c>
      <c r="Y2219">
        <v>-0.68810269999999996</v>
      </c>
      <c r="Z2219">
        <v>-5.2717840000000002E-2</v>
      </c>
      <c r="AA2219">
        <v>0.7236958</v>
      </c>
      <c r="AB2219">
        <v>18</v>
      </c>
      <c r="AC2219">
        <v>-5.21399999999994</v>
      </c>
      <c r="AD2219">
        <v>-1.12420271229499</v>
      </c>
      <c r="AE2219">
        <v>-5.9300999999999799</v>
      </c>
      <c r="AF2219">
        <v>-5.4592512305679</v>
      </c>
      <c r="AG2219">
        <v>-1.12420271229499</v>
      </c>
      <c r="AH2219">
        <v>5.4859475084795601</v>
      </c>
      <c r="AI2219">
        <v>98.264763693750197</v>
      </c>
      <c r="AJ2219">
        <v>134.860250959686</v>
      </c>
      <c r="AK2219">
        <v>7.8206697796660398</v>
      </c>
      <c r="AL2219">
        <v>94.24407357154</v>
      </c>
      <c r="AM2219">
        <v>110.36914481423401</v>
      </c>
      <c r="AN2219">
        <v>1.00000001974678</v>
      </c>
    </row>
    <row r="2220" spans="1:40" x14ac:dyDescent="0.25">
      <c r="A2220" t="str">
        <f>"20190303154508837"</f>
        <v>20190303154508837</v>
      </c>
      <c r="B2220" t="str">
        <f>"1551599108833380"</f>
        <v>1551599108833380</v>
      </c>
      <c r="C2220" t="s">
        <v>40</v>
      </c>
      <c r="D2220">
        <v>4.5623760000000004</v>
      </c>
      <c r="E2220">
        <v>0.26271460000000002</v>
      </c>
      <c r="F2220" t="s">
        <v>54</v>
      </c>
      <c r="G2220">
        <v>-484.77719999999999</v>
      </c>
      <c r="H2220" s="1">
        <v>2.2682510000000001E-6</v>
      </c>
      <c r="I2220">
        <v>278.63249999999999</v>
      </c>
      <c r="J2220">
        <v>-479.73079999999999</v>
      </c>
      <c r="K2220">
        <v>1.1243459999999901</v>
      </c>
      <c r="L2220">
        <v>284.61189999999999</v>
      </c>
      <c r="M2220">
        <v>-0.99723450000000002</v>
      </c>
      <c r="N2220">
        <v>-1.365034E-2</v>
      </c>
      <c r="O2220">
        <v>-7.3055330000000002E-2</v>
      </c>
      <c r="P2220">
        <v>-0.9008313</v>
      </c>
      <c r="Q2220">
        <v>-8.557381E-2</v>
      </c>
      <c r="R2220">
        <v>-0.42565269999999999</v>
      </c>
      <c r="S2220">
        <v>-2.1510009999999999</v>
      </c>
      <c r="T2220">
        <v>-0.46111239999999998</v>
      </c>
      <c r="U2220">
        <v>-2.4611510000000001</v>
      </c>
      <c r="V2220">
        <v>-0.35813060000000002</v>
      </c>
      <c r="W2220">
        <v>-7.5618870000000005E-2</v>
      </c>
      <c r="X2220">
        <v>0.93060419999999999</v>
      </c>
      <c r="Y2220">
        <v>-0.69591029999999998</v>
      </c>
      <c r="Z2220">
        <v>-5.316179E-2</v>
      </c>
      <c r="AA2220">
        <v>0.71615830000000003</v>
      </c>
      <c r="AB2220">
        <v>18</v>
      </c>
      <c r="AC2220">
        <v>-5.0464000000000002</v>
      </c>
      <c r="AD2220">
        <v>-1.1243437317489999</v>
      </c>
      <c r="AE2220">
        <v>-5.9793999999999903</v>
      </c>
      <c r="AF2220">
        <v>-5.4815278953612196</v>
      </c>
      <c r="AG2220">
        <v>-1.1243437317489999</v>
      </c>
      <c r="AH2220">
        <v>5.35911763691022</v>
      </c>
      <c r="AI2220">
        <v>98.343888734042693</v>
      </c>
      <c r="AJ2220">
        <v>135.64694423337099</v>
      </c>
      <c r="AK2220">
        <v>7.7479957886532604</v>
      </c>
      <c r="AL2220">
        <v>94.336782105947705</v>
      </c>
      <c r="AM2220">
        <v>111.04855392111</v>
      </c>
      <c r="AN2220">
        <v>0.99999995860703705</v>
      </c>
    </row>
    <row r="2221" spans="1:40" x14ac:dyDescent="0.25">
      <c r="A2221" t="str">
        <f>"20190303154508855"</f>
        <v>20190303154508855</v>
      </c>
      <c r="B2221" t="str">
        <f>"1551599108852900"</f>
        <v>1551599108852900</v>
      </c>
      <c r="C2221" t="s">
        <v>40</v>
      </c>
      <c r="D2221">
        <v>4.5005430000000004</v>
      </c>
      <c r="E2221">
        <v>0.26467740000000001</v>
      </c>
      <c r="F2221" t="s">
        <v>54</v>
      </c>
      <c r="G2221">
        <v>-483.65219999999999</v>
      </c>
      <c r="H2221" s="1">
        <v>1.986564E-6</v>
      </c>
      <c r="I2221">
        <v>278.40019999999998</v>
      </c>
      <c r="J2221">
        <v>-479.88170000000002</v>
      </c>
      <c r="K2221">
        <v>1.124466</v>
      </c>
      <c r="L2221">
        <v>284.59480000000002</v>
      </c>
      <c r="M2221">
        <v>-0.99683900000000003</v>
      </c>
      <c r="N2221">
        <v>-1.3670750000000001E-2</v>
      </c>
      <c r="O2221">
        <v>-7.8263540000000006E-2</v>
      </c>
      <c r="P2221">
        <v>-0.89368300000000001</v>
      </c>
      <c r="Q2221">
        <v>-8.6127040000000002E-2</v>
      </c>
      <c r="R2221">
        <v>-0.44035550000000001</v>
      </c>
      <c r="S2221">
        <v>-1.875427</v>
      </c>
      <c r="T2221">
        <v>-0.53773329999999997</v>
      </c>
      <c r="U2221">
        <v>-2.9708559999999999</v>
      </c>
      <c r="V2221">
        <v>-0.36845919999999999</v>
      </c>
      <c r="W2221">
        <v>-7.6401720000000006E-2</v>
      </c>
      <c r="X2221">
        <v>0.92649910000000002</v>
      </c>
      <c r="Y2221">
        <v>-0.79196909999999998</v>
      </c>
      <c r="Z2221">
        <v>-7.0954229999999993E-2</v>
      </c>
      <c r="AA2221">
        <v>0.60642439999999997</v>
      </c>
      <c r="AB2221">
        <v>18</v>
      </c>
      <c r="AC2221">
        <v>-3.77049999999997</v>
      </c>
      <c r="AD2221">
        <v>-1.124464013436</v>
      </c>
      <c r="AE2221">
        <v>-6.1946000000000296</v>
      </c>
      <c r="AF2221">
        <v>-5.7424103006111098</v>
      </c>
      <c r="AG2221">
        <v>-1.124464013436</v>
      </c>
      <c r="AH2221">
        <v>4.14415106281756</v>
      </c>
      <c r="AI2221">
        <v>99.022465115926494</v>
      </c>
      <c r="AJ2221">
        <v>144.18297692576601</v>
      </c>
      <c r="AK2221">
        <v>7.1703335633378398</v>
      </c>
      <c r="AL2221">
        <v>94.381766094024698</v>
      </c>
      <c r="AM2221">
        <v>111.687208925376</v>
      </c>
      <c r="AN2221">
        <v>0.99999999359220404</v>
      </c>
    </row>
    <row r="2222" spans="1:40" x14ac:dyDescent="0.25">
      <c r="A2222" t="str">
        <f>"20190303154508900"</f>
        <v>20190303154508900</v>
      </c>
      <c r="B2222" t="str">
        <f>"1551599108892916"</f>
        <v>1551599108892916</v>
      </c>
      <c r="C2222" t="s">
        <v>40</v>
      </c>
      <c r="D2222">
        <v>4.9025089999999896</v>
      </c>
      <c r="E2222">
        <v>0.3052802</v>
      </c>
      <c r="F2222" t="s">
        <v>54</v>
      </c>
      <c r="G2222">
        <v>-483.72570000000002</v>
      </c>
      <c r="H2222" s="1">
        <v>1.9755439999999999E-6</v>
      </c>
      <c r="I2222">
        <v>278.33210000000003</v>
      </c>
      <c r="J2222">
        <v>-480.23939999999999</v>
      </c>
      <c r="K2222">
        <v>1.1248009999999999</v>
      </c>
      <c r="L2222">
        <v>284.55</v>
      </c>
      <c r="M2222">
        <v>-0.99570860000000005</v>
      </c>
      <c r="N2222">
        <v>-1.372779E-2</v>
      </c>
      <c r="O2222">
        <v>-9.1521920000000007E-2</v>
      </c>
      <c r="P2222">
        <v>-0.87888500000000003</v>
      </c>
      <c r="Q2222">
        <v>-8.9525889999999997E-2</v>
      </c>
      <c r="R2222">
        <v>-0.46855829999999998</v>
      </c>
      <c r="S2222">
        <v>-1.8333440000000001</v>
      </c>
      <c r="T2222">
        <v>-0.53630540000000004</v>
      </c>
      <c r="U2222">
        <v>-2.9869379999999999</v>
      </c>
      <c r="V2222">
        <v>-0.3854552</v>
      </c>
      <c r="W2222">
        <v>-8.0307799999999999E-2</v>
      </c>
      <c r="X2222">
        <v>0.91922519999999996</v>
      </c>
      <c r="Y2222">
        <v>-0.79172349999999903</v>
      </c>
      <c r="Z2222">
        <v>-6.8983340000000004E-2</v>
      </c>
      <c r="AA2222">
        <v>0.60697209999999902</v>
      </c>
      <c r="AB2222">
        <v>18</v>
      </c>
      <c r="AC2222">
        <v>-3.4863000000000199</v>
      </c>
      <c r="AD2222">
        <v>-1.124799024456</v>
      </c>
      <c r="AE2222">
        <v>-6.2178999999999798</v>
      </c>
      <c r="AF2222">
        <v>-5.7300361593323004</v>
      </c>
      <c r="AG2222">
        <v>-1.124799024456</v>
      </c>
      <c r="AH2222">
        <v>3.9426339428256401</v>
      </c>
      <c r="AI2222">
        <v>99.186104851730306</v>
      </c>
      <c r="AJ2222">
        <v>145.46952367018599</v>
      </c>
      <c r="AK2222">
        <v>7.0457682079240804</v>
      </c>
      <c r="AL2222">
        <v>94.606258251239893</v>
      </c>
      <c r="AM2222">
        <v>112.74958032357701</v>
      </c>
      <c r="AN2222">
        <v>1.00000001113146</v>
      </c>
    </row>
    <row r="2223" spans="1:40" x14ac:dyDescent="0.25">
      <c r="A2223" t="str">
        <f>"20190303154508924"</f>
        <v>20190303154508924</v>
      </c>
      <c r="B2223" t="str">
        <f>"1551599108913411"</f>
        <v>1551599108913411</v>
      </c>
      <c r="C2223" t="s">
        <v>40</v>
      </c>
      <c r="D2223">
        <v>4.8867029999999998</v>
      </c>
      <c r="E2223">
        <v>0.3075736</v>
      </c>
      <c r="F2223" t="s">
        <v>54</v>
      </c>
      <c r="G2223">
        <v>-484.51839999999999</v>
      </c>
      <c r="H2223" s="1">
        <v>2.1062319999999999E-6</v>
      </c>
      <c r="I2223">
        <v>278.30399999999997</v>
      </c>
      <c r="J2223">
        <v>-480.4203</v>
      </c>
      <c r="K2223">
        <v>1.1249769999999999</v>
      </c>
      <c r="L2223">
        <v>284.5247</v>
      </c>
      <c r="M2223">
        <v>-0.99501260000000002</v>
      </c>
      <c r="N2223">
        <v>-1.376169E-2</v>
      </c>
      <c r="O2223">
        <v>-9.8795759999999996E-2</v>
      </c>
      <c r="P2223">
        <v>-0.87167619999999901</v>
      </c>
      <c r="Q2223">
        <v>-9.0693880000000004E-2</v>
      </c>
      <c r="R2223">
        <v>-0.48161749999999998</v>
      </c>
      <c r="S2223">
        <v>-1.891113</v>
      </c>
      <c r="T2223">
        <v>-0.49711169999999999</v>
      </c>
      <c r="U2223">
        <v>-2.760437</v>
      </c>
      <c r="V2223">
        <v>-0.39239590000000002</v>
      </c>
      <c r="W2223">
        <v>-8.1724439999999995E-2</v>
      </c>
      <c r="X2223">
        <v>0.91615860000000005</v>
      </c>
      <c r="Y2223">
        <v>-0.75699539999999998</v>
      </c>
      <c r="Z2223">
        <v>-6.0672530000000002E-2</v>
      </c>
      <c r="AA2223">
        <v>0.65059730000000005</v>
      </c>
      <c r="AB2223">
        <v>18</v>
      </c>
      <c r="AC2223">
        <v>-4.0980999999999801</v>
      </c>
      <c r="AD2223">
        <v>-1.124974893768</v>
      </c>
      <c r="AE2223">
        <v>-6.2206999999999599</v>
      </c>
      <c r="AF2223">
        <v>-5.6563461065807497</v>
      </c>
      <c r="AG2223">
        <v>-1.124974893768</v>
      </c>
      <c r="AH2223">
        <v>4.5880467969323604</v>
      </c>
      <c r="AI2223">
        <v>98.780654575195697</v>
      </c>
      <c r="AJ2223">
        <v>140.95336435363799</v>
      </c>
      <c r="AK2223">
        <v>7.3695314097899596</v>
      </c>
      <c r="AL2223">
        <v>94.6876934812272</v>
      </c>
      <c r="AM2223">
        <v>113.185724002237</v>
      </c>
      <c r="AN2223">
        <v>1.00000000339204</v>
      </c>
    </row>
    <row r="2224" spans="1:40" x14ac:dyDescent="0.25">
      <c r="A2224" t="str">
        <f>"20190303154508946"</f>
        <v>20190303154508946</v>
      </c>
      <c r="B2224" t="str">
        <f>"1551599108942692"</f>
        <v>1551599108942692</v>
      </c>
      <c r="C2224" t="s">
        <v>40</v>
      </c>
      <c r="D2224">
        <v>4.9342420000000002</v>
      </c>
      <c r="E2224">
        <v>0.311980599999999</v>
      </c>
      <c r="F2224" t="s">
        <v>54</v>
      </c>
      <c r="G2224">
        <v>-484.60079999999999</v>
      </c>
      <c r="H2224" s="1">
        <v>2.1150449999999998E-6</v>
      </c>
      <c r="I2224">
        <v>278.2876</v>
      </c>
      <c r="J2224">
        <v>-480.59629999999999</v>
      </c>
      <c r="K2224">
        <v>1.1251469999999999</v>
      </c>
      <c r="L2224">
        <v>284.4984</v>
      </c>
      <c r="M2224">
        <v>-0.99424489999999999</v>
      </c>
      <c r="N2224">
        <v>-1.3797449999999999E-2</v>
      </c>
      <c r="O2224">
        <v>-0.10623929999999999</v>
      </c>
      <c r="P2224">
        <v>-0.86473109999999997</v>
      </c>
      <c r="Q2224">
        <v>-9.1406580000000001E-2</v>
      </c>
      <c r="R2224">
        <v>-0.49384749999999999</v>
      </c>
      <c r="S2224">
        <v>-1.8580019999999999</v>
      </c>
      <c r="T2224">
        <v>-0.49999260000000001</v>
      </c>
      <c r="U2224">
        <v>-2.7720639999999999</v>
      </c>
      <c r="V2224">
        <v>-0.39839419999999998</v>
      </c>
      <c r="W2224">
        <v>-8.2664899999999902E-2</v>
      </c>
      <c r="X2224">
        <v>0.9134816</v>
      </c>
      <c r="Y2224">
        <v>-0.75865209999999905</v>
      </c>
      <c r="Z2224">
        <v>-6.0323080000000001E-2</v>
      </c>
      <c r="AA2224">
        <v>0.64869730000000003</v>
      </c>
      <c r="AB2224">
        <v>18</v>
      </c>
      <c r="AC2224">
        <v>-4.0045000000000002</v>
      </c>
      <c r="AD2224">
        <v>-1.1251448849550001</v>
      </c>
      <c r="AE2224">
        <v>-6.2107999999999999</v>
      </c>
      <c r="AF2224">
        <v>-5.6198897777934702</v>
      </c>
      <c r="AG2224">
        <v>-1.1251448849550001</v>
      </c>
      <c r="AH2224">
        <v>4.5365614426084004</v>
      </c>
      <c r="AI2224">
        <v>98.854634434875095</v>
      </c>
      <c r="AJ2224">
        <v>141.08838055485799</v>
      </c>
      <c r="AK2224">
        <v>7.30954867616662</v>
      </c>
      <c r="AL2224">
        <v>94.741760698608999</v>
      </c>
      <c r="AM2224">
        <v>113.56332674828499</v>
      </c>
      <c r="AN2224">
        <v>1.0000000289121</v>
      </c>
    </row>
    <row r="2225" spans="1:40" x14ac:dyDescent="0.25">
      <c r="A2225" t="str">
        <f>"20190303154508969"</f>
        <v>20190303154508969</v>
      </c>
      <c r="B2225" t="str">
        <f>"1551599108963188"</f>
        <v>1551599108963188</v>
      </c>
      <c r="C2225" t="s">
        <v>40</v>
      </c>
      <c r="D2225">
        <v>4.8868879999999999</v>
      </c>
      <c r="E2225">
        <v>0.31358229999999998</v>
      </c>
      <c r="F2225" t="s">
        <v>54</v>
      </c>
      <c r="G2225">
        <v>-484.72089999999997</v>
      </c>
      <c r="H2225" s="1">
        <v>2.1342900000000002E-6</v>
      </c>
      <c r="I2225">
        <v>278.28179999999998</v>
      </c>
      <c r="J2225">
        <v>-480.7758</v>
      </c>
      <c r="K2225">
        <v>1.1252879999999901</v>
      </c>
      <c r="L2225">
        <v>284.46969999999999</v>
      </c>
      <c r="M2225">
        <v>-0.99336720000000001</v>
      </c>
      <c r="N2225">
        <v>-1.383388E-2</v>
      </c>
      <c r="O2225">
        <v>-0.11415019999999999</v>
      </c>
      <c r="P2225">
        <v>-0.85803099999999999</v>
      </c>
      <c r="Q2225">
        <v>-9.1350139999999996E-2</v>
      </c>
      <c r="R2225">
        <v>-0.505409</v>
      </c>
      <c r="S2225">
        <v>-1.8360289999999999</v>
      </c>
      <c r="T2225">
        <v>-0.50084139999999999</v>
      </c>
      <c r="U2225">
        <v>-2.767242</v>
      </c>
      <c r="V2225">
        <v>-0.40334110000000001</v>
      </c>
      <c r="W2225">
        <v>-8.2798419999999998E-2</v>
      </c>
      <c r="X2225">
        <v>0.91129599999999999</v>
      </c>
      <c r="Y2225">
        <v>-0.75656679999999998</v>
      </c>
      <c r="Z2225">
        <v>-5.9217150000000003E-2</v>
      </c>
      <c r="AA2225">
        <v>0.65122959999999996</v>
      </c>
      <c r="AB2225">
        <v>18</v>
      </c>
      <c r="AC2225">
        <v>-3.9450999999999601</v>
      </c>
      <c r="AD2225">
        <v>-1.12528586570999</v>
      </c>
      <c r="AE2225">
        <v>-6.1879000000000097</v>
      </c>
      <c r="AF2225">
        <v>-5.5661900657642303</v>
      </c>
      <c r="AG2225">
        <v>-1.12528586570999</v>
      </c>
      <c r="AH2225">
        <v>4.5194593859992596</v>
      </c>
      <c r="AI2225">
        <v>98.919528373444507</v>
      </c>
      <c r="AJ2225">
        <v>140.92518156541101</v>
      </c>
      <c r="AK2225">
        <v>7.2577030298487601</v>
      </c>
      <c r="AL2225">
        <v>94.749437234649804</v>
      </c>
      <c r="AM2225">
        <v>113.874259636734</v>
      </c>
      <c r="AN2225">
        <v>1.0000000104598501</v>
      </c>
    </row>
    <row r="2226" spans="1:40" x14ac:dyDescent="0.25">
      <c r="A2226" t="str">
        <f>"20190303154508989"</f>
        <v>20190303154508989</v>
      </c>
      <c r="B2226" t="str">
        <f>"1551599108982707"</f>
        <v>1551599108982707</v>
      </c>
      <c r="C2226" t="s">
        <v>40</v>
      </c>
      <c r="D2226">
        <v>4.9162860000000004</v>
      </c>
      <c r="E2226">
        <v>0.31562200000000001</v>
      </c>
      <c r="F2226" t="s">
        <v>54</v>
      </c>
      <c r="G2226">
        <v>-484.85890000000001</v>
      </c>
      <c r="H2226" s="1">
        <v>2.1230010000000001E-6</v>
      </c>
      <c r="I2226">
        <v>278.18060000000003</v>
      </c>
      <c r="J2226">
        <v>-480.9391</v>
      </c>
      <c r="K2226">
        <v>1.125394</v>
      </c>
      <c r="L2226">
        <v>284.44209999999998</v>
      </c>
      <c r="M2226">
        <v>-0.99248099999999995</v>
      </c>
      <c r="N2226">
        <v>-1.3865499999999999E-2</v>
      </c>
      <c r="O2226">
        <v>-0.1216115</v>
      </c>
      <c r="P2226">
        <v>-0.85158159999999905</v>
      </c>
      <c r="Q2226">
        <v>-9.2119380000000001E-2</v>
      </c>
      <c r="R2226">
        <v>-0.516065</v>
      </c>
      <c r="S2226">
        <v>-1.8053589999999999</v>
      </c>
      <c r="T2226">
        <v>-0.4975581</v>
      </c>
      <c r="U2226">
        <v>-2.7807919999999999</v>
      </c>
      <c r="V2226">
        <v>-0.40782069999999998</v>
      </c>
      <c r="W2226">
        <v>-8.3725480000000005E-2</v>
      </c>
      <c r="X2226">
        <v>0.90921529999999995</v>
      </c>
      <c r="Y2226">
        <v>-0.75828680000000004</v>
      </c>
      <c r="Z2226">
        <v>-5.8160549999999998E-2</v>
      </c>
      <c r="AA2226">
        <v>0.64932159999999906</v>
      </c>
      <c r="AB2226">
        <v>18</v>
      </c>
      <c r="AC2226">
        <v>-3.9198</v>
      </c>
      <c r="AD2226">
        <v>-1.1253918769989999</v>
      </c>
      <c r="AE2226">
        <v>-6.2614999999999501</v>
      </c>
      <c r="AF2226">
        <v>-5.6081230505144699</v>
      </c>
      <c r="AG2226">
        <v>-1.1253918769989999</v>
      </c>
      <c r="AH2226">
        <v>4.54672247236297</v>
      </c>
      <c r="AI2226">
        <v>98.859876204662299</v>
      </c>
      <c r="AJ2226">
        <v>140.96697951616301</v>
      </c>
      <c r="AK2226">
        <v>7.3068622723586003</v>
      </c>
      <c r="AL2226">
        <v>94.802738651878201</v>
      </c>
      <c r="AM2226">
        <v>114.158208977653</v>
      </c>
      <c r="AN2226">
        <v>1.0000000705519001</v>
      </c>
    </row>
    <row r="2227" spans="1:40" x14ac:dyDescent="0.25">
      <c r="A2227" t="str">
        <f>"20190303154509011"</f>
        <v>20190303154509011</v>
      </c>
      <c r="B2227" t="str">
        <f>"1551599109003203"</f>
        <v>1551599109003203</v>
      </c>
      <c r="C2227" t="s">
        <v>40</v>
      </c>
      <c r="D2227">
        <v>4.9341010000000001</v>
      </c>
      <c r="E2227">
        <v>0.32825520000000002</v>
      </c>
      <c r="F2227" t="s">
        <v>54</v>
      </c>
      <c r="G2227">
        <v>-484.97149999999999</v>
      </c>
      <c r="H2227" s="1">
        <v>2.120966E-6</v>
      </c>
      <c r="I2227">
        <v>278.11840000000001</v>
      </c>
      <c r="J2227">
        <v>-481.11219999999997</v>
      </c>
      <c r="K2227">
        <v>1.1255010000000001</v>
      </c>
      <c r="L2227">
        <v>284.41120000000001</v>
      </c>
      <c r="M2227">
        <v>-0.99144399999999999</v>
      </c>
      <c r="N2227">
        <v>-1.389805E-2</v>
      </c>
      <c r="O2227">
        <v>-0.12979089999999999</v>
      </c>
      <c r="P2227">
        <v>-0.84467239999999999</v>
      </c>
      <c r="Q2227">
        <v>-9.2871709999999996E-2</v>
      </c>
      <c r="R2227">
        <v>-0.52716609999999997</v>
      </c>
      <c r="S2227">
        <v>-1.778748</v>
      </c>
      <c r="T2227">
        <v>-0.4964343</v>
      </c>
      <c r="U2227">
        <v>-2.7895509999999999</v>
      </c>
      <c r="V2227">
        <v>-0.41219339999999999</v>
      </c>
      <c r="W2227">
        <v>-8.4630410000000003E-2</v>
      </c>
      <c r="X2227">
        <v>0.90715730000000006</v>
      </c>
      <c r="Y2227">
        <v>-0.75834760000000001</v>
      </c>
      <c r="Z2227">
        <v>-5.6987500000000003E-2</v>
      </c>
      <c r="AA2227">
        <v>0.649354599999999</v>
      </c>
      <c r="AB2227">
        <v>18</v>
      </c>
      <c r="AC2227">
        <v>-3.8593000000000099</v>
      </c>
      <c r="AD2227">
        <v>-1.1254988790339999</v>
      </c>
      <c r="AE2227">
        <v>-6.2927999999999997</v>
      </c>
      <c r="AF2227">
        <v>-5.60824262268524</v>
      </c>
      <c r="AG2227">
        <v>-1.1254988790339999</v>
      </c>
      <c r="AH2227">
        <v>4.5379870816735801</v>
      </c>
      <c r="AI2227">
        <v>98.867238454304399</v>
      </c>
      <c r="AJ2227">
        <v>141.021468087724</v>
      </c>
      <c r="AK2227">
        <v>7.3015381800718204</v>
      </c>
      <c r="AL2227">
        <v>94.854772167296204</v>
      </c>
      <c r="AM2227">
        <v>114.436059280652</v>
      </c>
      <c r="AN2227">
        <v>1.0000000361218</v>
      </c>
    </row>
    <row r="2228" spans="1:40" x14ac:dyDescent="0.25">
      <c r="A2228" t="str">
        <f>"20190303154509035"</f>
        <v>20190303154509035</v>
      </c>
      <c r="B2228" t="str">
        <f>"1551599109032483"</f>
        <v>1551599109032483</v>
      </c>
      <c r="C2228" t="s">
        <v>40</v>
      </c>
      <c r="D2228">
        <v>4.8315839999999897</v>
      </c>
      <c r="E2228">
        <v>0.32738109999999998</v>
      </c>
      <c r="F2228" t="s">
        <v>54</v>
      </c>
      <c r="G2228">
        <v>-485.29500000000002</v>
      </c>
      <c r="H2228" s="1">
        <v>2.1568280000000002E-6</v>
      </c>
      <c r="I2228">
        <v>278.0575</v>
      </c>
      <c r="J2228">
        <v>-481.29250000000002</v>
      </c>
      <c r="K2228">
        <v>1.12561</v>
      </c>
      <c r="L2228">
        <v>284.37709999999998</v>
      </c>
      <c r="M2228">
        <v>-0.99024970000000001</v>
      </c>
      <c r="N2228">
        <v>-1.3933299999999999E-2</v>
      </c>
      <c r="O2228">
        <v>-0.13860510000000001</v>
      </c>
      <c r="P2228">
        <v>-0.83692659999999997</v>
      </c>
      <c r="Q2228">
        <v>-9.2388990000000004E-2</v>
      </c>
      <c r="R2228">
        <v>-0.53946110000000003</v>
      </c>
      <c r="S2228">
        <v>-1.7959590000000001</v>
      </c>
      <c r="T2228">
        <v>-0.48324719999999999</v>
      </c>
      <c r="U2228">
        <v>-2.7280579999999999</v>
      </c>
      <c r="V2228">
        <v>-0.41735060000000002</v>
      </c>
      <c r="W2228">
        <v>-8.4314609999999998E-2</v>
      </c>
      <c r="X2228">
        <v>0.90482569999999996</v>
      </c>
      <c r="Y2228">
        <v>-0.74353359999999902</v>
      </c>
      <c r="Z2228">
        <v>-5.2867230000000001E-2</v>
      </c>
      <c r="AA2228">
        <v>0.66660549999999996</v>
      </c>
      <c r="AB2228">
        <v>18</v>
      </c>
      <c r="AC2228">
        <v>-4.0024999999999897</v>
      </c>
      <c r="AD2228">
        <v>-1.125607843172</v>
      </c>
      <c r="AE2228">
        <v>-6.3195999999999799</v>
      </c>
      <c r="AF2228">
        <v>-5.5774828018693201</v>
      </c>
      <c r="AG2228">
        <v>-1.125607843172</v>
      </c>
      <c r="AH2228">
        <v>4.7327144016382601</v>
      </c>
      <c r="AI2228">
        <v>98.748057405963905</v>
      </c>
      <c r="AJ2228">
        <v>139.68407968297899</v>
      </c>
      <c r="AK2228">
        <v>7.4009386586589496</v>
      </c>
      <c r="AL2228">
        <v>94.8366133738716</v>
      </c>
      <c r="AM2228">
        <v>114.761500588763</v>
      </c>
      <c r="AN2228">
        <v>1.00000001208015</v>
      </c>
    </row>
    <row r="2229" spans="1:40" x14ac:dyDescent="0.25">
      <c r="A2229" t="str">
        <f>"20190303154509056"</f>
        <v>20190303154509056</v>
      </c>
      <c r="B2229" t="str">
        <f>"1551599109052979"</f>
        <v>1551599109052979</v>
      </c>
      <c r="C2229" t="s">
        <v>40</v>
      </c>
      <c r="D2229">
        <v>4.8250140000000004</v>
      </c>
      <c r="E2229">
        <v>0.327011</v>
      </c>
      <c r="F2229" t="s">
        <v>54</v>
      </c>
      <c r="G2229">
        <v>-485.41640000000001</v>
      </c>
      <c r="H2229" s="1">
        <v>2.1162420000000001E-6</v>
      </c>
      <c r="I2229">
        <v>277.88170000000002</v>
      </c>
      <c r="J2229">
        <v>-481.45729999999998</v>
      </c>
      <c r="K2229">
        <v>1.12571</v>
      </c>
      <c r="L2229">
        <v>284.34410000000003</v>
      </c>
      <c r="M2229">
        <v>-0.98905030000000005</v>
      </c>
      <c r="N2229">
        <v>-1.396786E-2</v>
      </c>
      <c r="O2229">
        <v>-0.14691589999999999</v>
      </c>
      <c r="P2229">
        <v>-0.82946260000000005</v>
      </c>
      <c r="Q2229">
        <v>-9.249098E-2</v>
      </c>
      <c r="R2229">
        <v>-0.55085139999999999</v>
      </c>
      <c r="S2229">
        <v>-1.7525329999999999</v>
      </c>
      <c r="T2229">
        <v>-0.47834130000000002</v>
      </c>
      <c r="U2229">
        <v>-2.760284</v>
      </c>
      <c r="V2229">
        <v>-0.42208839999999997</v>
      </c>
      <c r="W2229">
        <v>-8.4574460000000004E-2</v>
      </c>
      <c r="X2229">
        <v>0.90260099999999999</v>
      </c>
      <c r="Y2229">
        <v>-0.74905069999999996</v>
      </c>
      <c r="Z2229">
        <v>-5.1994749999999999E-2</v>
      </c>
      <c r="AA2229">
        <v>0.66046919999999898</v>
      </c>
      <c r="AB2229">
        <v>18</v>
      </c>
      <c r="AC2229">
        <v>-3.95910000000003</v>
      </c>
      <c r="AD2229">
        <v>-1.1257078837579999</v>
      </c>
      <c r="AE2229">
        <v>-6.4623999999999997</v>
      </c>
      <c r="AF2229">
        <v>-5.6851218811280502</v>
      </c>
      <c r="AG2229">
        <v>-1.1257078837579999</v>
      </c>
      <c r="AH2229">
        <v>4.7606210802720703</v>
      </c>
      <c r="AI2229">
        <v>98.632292548221699</v>
      </c>
      <c r="AJ2229">
        <v>140.05778607792701</v>
      </c>
      <c r="AK2229">
        <v>7.50008947365074</v>
      </c>
      <c r="AL2229">
        <v>94.851555056498199</v>
      </c>
      <c r="AM2229">
        <v>115.062466405329</v>
      </c>
      <c r="AN2229">
        <v>1.0000000109499201</v>
      </c>
    </row>
    <row r="2230" spans="1:40" x14ac:dyDescent="0.25">
      <c r="A2230" t="str">
        <f>"20190303154509079"</f>
        <v>20190303154509079</v>
      </c>
      <c r="B2230" t="str">
        <f>"1551599109072499"</f>
        <v>1551599109072499</v>
      </c>
      <c r="C2230" t="s">
        <v>40</v>
      </c>
      <c r="D2230">
        <v>4.7936990000000002</v>
      </c>
      <c r="E2230">
        <v>0.32690560000000002</v>
      </c>
      <c r="F2230" t="s">
        <v>54</v>
      </c>
      <c r="G2230">
        <v>-485.46460000000002</v>
      </c>
      <c r="H2230" s="1">
        <v>2.10576E-6</v>
      </c>
      <c r="I2230">
        <v>277.8279</v>
      </c>
      <c r="J2230">
        <v>-481.63150000000002</v>
      </c>
      <c r="K2230">
        <v>1.125823</v>
      </c>
      <c r="L2230">
        <v>284.30739999999997</v>
      </c>
      <c r="M2230">
        <v>-0.98766560000000003</v>
      </c>
      <c r="N2230">
        <v>-1.4005500000000001E-2</v>
      </c>
      <c r="O2230">
        <v>-0.15595129999999999</v>
      </c>
      <c r="P2230">
        <v>-0.8219398</v>
      </c>
      <c r="Q2230">
        <v>-9.2544210000000002E-2</v>
      </c>
      <c r="R2230">
        <v>-0.56200620000000001</v>
      </c>
      <c r="S2230">
        <v>-1.7131350000000001</v>
      </c>
      <c r="T2230">
        <v>-0.48124610000000001</v>
      </c>
      <c r="U2230">
        <v>-2.7857059999999998</v>
      </c>
      <c r="V2230">
        <v>-0.42599730000000002</v>
      </c>
      <c r="W2230">
        <v>-8.4783010000000006E-2</v>
      </c>
      <c r="X2230">
        <v>0.90074310000000002</v>
      </c>
      <c r="Y2230">
        <v>-0.75242500000000001</v>
      </c>
      <c r="Z2230">
        <v>-5.1461199999999999E-2</v>
      </c>
      <c r="AA2230">
        <v>0.65666459999999904</v>
      </c>
      <c r="AB2230">
        <v>18</v>
      </c>
      <c r="AC2230">
        <v>-3.8331</v>
      </c>
      <c r="AD2230">
        <v>-1.1258208942399901</v>
      </c>
      <c r="AE2230">
        <v>-6.4794999999999696</v>
      </c>
      <c r="AF2230">
        <v>-5.6754490543128302</v>
      </c>
      <c r="AG2230">
        <v>-1.1258208942399901</v>
      </c>
      <c r="AH2230">
        <v>4.6918521351420699</v>
      </c>
      <c r="AI2230">
        <v>98.692512591506201</v>
      </c>
      <c r="AJ2230">
        <v>140.41971022256899</v>
      </c>
      <c r="AK2230">
        <v>7.4492731935434398</v>
      </c>
      <c r="AL2230">
        <v>94.863547239509302</v>
      </c>
      <c r="AM2230">
        <v>115.311332567485</v>
      </c>
      <c r="AN2230">
        <v>0.99999999529478001</v>
      </c>
    </row>
    <row r="2231" spans="1:40" x14ac:dyDescent="0.25">
      <c r="A2231" t="str">
        <f>"20190303154509101"</f>
        <v>20190303154509101</v>
      </c>
      <c r="B2231" t="str">
        <f>"1551599109092996"</f>
        <v>1551599109092996</v>
      </c>
      <c r="C2231" t="s">
        <v>40</v>
      </c>
      <c r="D2231">
        <v>4.7059610000000003</v>
      </c>
      <c r="E2231">
        <v>0.32668399999999997</v>
      </c>
      <c r="F2231" t="s">
        <v>54</v>
      </c>
      <c r="G2231">
        <v>-485.54820000000001</v>
      </c>
      <c r="H2231" s="1">
        <v>2.0887009999999998E-6</v>
      </c>
      <c r="I2231">
        <v>277.73770000000002</v>
      </c>
      <c r="J2231">
        <v>-481.8</v>
      </c>
      <c r="K2231">
        <v>1.125936</v>
      </c>
      <c r="L2231">
        <v>284.26990000000001</v>
      </c>
      <c r="M2231">
        <v>-0.98620140000000001</v>
      </c>
      <c r="N2231">
        <v>-1.4041980000000001E-2</v>
      </c>
      <c r="O2231">
        <v>-0.16495370000000001</v>
      </c>
      <c r="P2231">
        <v>-0.81463269999999899</v>
      </c>
      <c r="Q2231">
        <v>-9.2192620000000003E-2</v>
      </c>
      <c r="R2231">
        <v>-0.57260339999999998</v>
      </c>
      <c r="S2231">
        <v>-1.6748350000000001</v>
      </c>
      <c r="T2231">
        <v>-0.48141440000000002</v>
      </c>
      <c r="U2231">
        <v>-2.8092959999999998</v>
      </c>
      <c r="V2231">
        <v>-0.42941249999999997</v>
      </c>
      <c r="W2231">
        <v>-8.4577769999999997E-2</v>
      </c>
      <c r="X2231">
        <v>0.89913929999999997</v>
      </c>
      <c r="Y2231">
        <v>-0.75549270000000002</v>
      </c>
      <c r="Z2231">
        <v>-5.0637939999999999E-2</v>
      </c>
      <c r="AA2231">
        <v>0.65319719999999903</v>
      </c>
      <c r="AB2231">
        <v>18</v>
      </c>
      <c r="AC2231">
        <v>-3.74819999999999</v>
      </c>
      <c r="AD2231">
        <v>-1.1259339112989999</v>
      </c>
      <c r="AE2231">
        <v>-6.53219999999998</v>
      </c>
      <c r="AF2231">
        <v>-5.69702419767499</v>
      </c>
      <c r="AG2231">
        <v>-1.1259339112989999</v>
      </c>
      <c r="AH2231">
        <v>4.6700794598987496</v>
      </c>
      <c r="AI2231">
        <v>98.690095604114404</v>
      </c>
      <c r="AJ2231">
        <v>140.657150931801</v>
      </c>
      <c r="AK2231">
        <v>7.4520771629979601</v>
      </c>
      <c r="AL2231">
        <v>94.851745501186102</v>
      </c>
      <c r="AM2231">
        <v>115.52828843297399</v>
      </c>
      <c r="AN2231">
        <v>0.99999998756945596</v>
      </c>
    </row>
    <row r="2232" spans="1:40" x14ac:dyDescent="0.25">
      <c r="A2232" t="str">
        <f>"20190303154509124"</f>
        <v>20190303154509124</v>
      </c>
      <c r="B2232" t="str">
        <f>"1551599109112516"</f>
        <v>1551599109112516</v>
      </c>
      <c r="C2232" t="s">
        <v>40</v>
      </c>
      <c r="D2232">
        <v>4.4862469999999997</v>
      </c>
      <c r="E2232">
        <v>0.32634869999999999</v>
      </c>
      <c r="F2232" t="s">
        <v>54</v>
      </c>
      <c r="G2232">
        <v>-485.65019999999998</v>
      </c>
      <c r="H2232" s="1">
        <v>2.0627339999999998E-6</v>
      </c>
      <c r="I2232">
        <v>277.61309999999997</v>
      </c>
      <c r="J2232">
        <v>-481.97269999999997</v>
      </c>
      <c r="K2232">
        <v>1.1260460000000001</v>
      </c>
      <c r="L2232">
        <v>284.2294</v>
      </c>
      <c r="M2232">
        <v>-0.98456370000000004</v>
      </c>
      <c r="N2232">
        <v>-1.4079680000000001E-2</v>
      </c>
      <c r="O2232">
        <v>-0.17446020000000001</v>
      </c>
      <c r="P2232">
        <v>-0.80664630000000004</v>
      </c>
      <c r="Q2232">
        <v>-9.2541960000000006E-2</v>
      </c>
      <c r="R2232">
        <v>-0.58374490000000001</v>
      </c>
      <c r="S2232">
        <v>-1.6378779999999999</v>
      </c>
      <c r="T2232">
        <v>-0.47898010000000002</v>
      </c>
      <c r="U2232">
        <v>-2.8318789999999998</v>
      </c>
      <c r="V2232">
        <v>-0.43306729999999999</v>
      </c>
      <c r="W2232">
        <v>-8.5076879999999994E-2</v>
      </c>
      <c r="X2232">
        <v>0.89733750000000001</v>
      </c>
      <c r="Y2232">
        <v>-0.75795829999999997</v>
      </c>
      <c r="Z2232">
        <v>-4.9422550000000003E-2</v>
      </c>
      <c r="AA2232">
        <v>0.65042809999999995</v>
      </c>
      <c r="AB2232">
        <v>18</v>
      </c>
      <c r="AC2232">
        <v>-3.6775000000000002</v>
      </c>
      <c r="AD2232">
        <v>-1.1260439372659901</v>
      </c>
      <c r="AE2232">
        <v>-6.6163000000000203</v>
      </c>
      <c r="AF2232">
        <v>-5.7460195291331901</v>
      </c>
      <c r="AG2232">
        <v>-1.1260439372659901</v>
      </c>
      <c r="AH2232">
        <v>4.6720982069789203</v>
      </c>
      <c r="AI2232">
        <v>98.645591543257794</v>
      </c>
      <c r="AJ2232">
        <v>140.885381430846</v>
      </c>
      <c r="AK2232">
        <v>7.4908755852362896</v>
      </c>
      <c r="AL2232">
        <v>94.880445903627404</v>
      </c>
      <c r="AM2232">
        <v>115.76258960822101</v>
      </c>
      <c r="AN2232">
        <v>0.99999997537303598</v>
      </c>
    </row>
    <row r="2233" spans="1:40" x14ac:dyDescent="0.25">
      <c r="A2233" t="str">
        <f>"20190303154509191"</f>
        <v>20190303154509191</v>
      </c>
      <c r="B2233" t="str">
        <f>"1551599109182787"</f>
        <v>1551599109182787</v>
      </c>
      <c r="C2233" t="s">
        <v>40</v>
      </c>
      <c r="D2233">
        <v>4.4533779999999998</v>
      </c>
      <c r="E2233">
        <v>0.32548519999999997</v>
      </c>
      <c r="F2233" t="s">
        <v>54</v>
      </c>
      <c r="G2233">
        <v>-485.73770000000002</v>
      </c>
      <c r="H2233" s="1">
        <v>2.0371540000000002E-6</v>
      </c>
      <c r="I2233">
        <v>277.49680000000001</v>
      </c>
      <c r="J2233">
        <v>-482.47329999999999</v>
      </c>
      <c r="K2233">
        <v>1.126231</v>
      </c>
      <c r="L2233">
        <v>284.10019999999997</v>
      </c>
      <c r="M2233">
        <v>-0.97901769999999999</v>
      </c>
      <c r="N2233">
        <v>-1.4177530000000001E-2</v>
      </c>
      <c r="O2233">
        <v>-0.2032813</v>
      </c>
      <c r="P2233">
        <v>-0.78382949999999996</v>
      </c>
      <c r="Q2233">
        <v>-9.3040650000000003E-2</v>
      </c>
      <c r="R2233">
        <v>-0.61396619999999902</v>
      </c>
      <c r="S2233">
        <v>-1.597321</v>
      </c>
      <c r="T2233">
        <v>-0.47773389999999999</v>
      </c>
      <c r="U2233">
        <v>-2.8563540000000001</v>
      </c>
      <c r="V2233">
        <v>-0.44076169999999998</v>
      </c>
      <c r="W2233">
        <v>-8.5841790000000001E-2</v>
      </c>
      <c r="X2233">
        <v>0.89351009999999997</v>
      </c>
      <c r="Y2233">
        <v>-0.74874099999999999</v>
      </c>
      <c r="Z2233">
        <v>-4.3815890000000003E-2</v>
      </c>
      <c r="AA2233">
        <v>0.66141300000000003</v>
      </c>
      <c r="AB2233">
        <v>18</v>
      </c>
      <c r="AC2233">
        <v>-3.2644000000000202</v>
      </c>
      <c r="AD2233">
        <v>-1.126228962846</v>
      </c>
      <c r="AE2233">
        <v>-6.6033999999999597</v>
      </c>
      <c r="AF2233">
        <v>-5.6693133055853897</v>
      </c>
      <c r="AG2233">
        <v>-1.126228962846</v>
      </c>
      <c r="AH2233">
        <v>4.4350374516568198</v>
      </c>
      <c r="AI2233">
        <v>98.892681365921405</v>
      </c>
      <c r="AJ2233">
        <v>141.964343891536</v>
      </c>
      <c r="AK2233">
        <v>7.2855378820811403</v>
      </c>
      <c r="AL2233">
        <v>94.924432848382494</v>
      </c>
      <c r="AM2233">
        <v>116.25677113726501</v>
      </c>
      <c r="AN2233">
        <v>0.999999993949652</v>
      </c>
    </row>
    <row r="2234" spans="1:40" x14ac:dyDescent="0.25">
      <c r="A2234" t="str">
        <f>"20190303154509213"</f>
        <v>20190303154509213</v>
      </c>
      <c r="B2234" t="str">
        <f>"1551599109203284"</f>
        <v>1551599109203284</v>
      </c>
      <c r="C2234" t="s">
        <v>40</v>
      </c>
      <c r="D2234">
        <v>4.4406629999999998</v>
      </c>
      <c r="E2234">
        <v>0.31500980000000001</v>
      </c>
      <c r="F2234" t="s">
        <v>54</v>
      </c>
      <c r="G2234">
        <v>-485.99450000000002</v>
      </c>
      <c r="H2234" s="1">
        <v>1.9648109999999999E-6</v>
      </c>
      <c r="I2234">
        <v>277.16329999999999</v>
      </c>
      <c r="J2234">
        <v>-482.6377</v>
      </c>
      <c r="K2234">
        <v>1.126261</v>
      </c>
      <c r="L2234">
        <v>284.0539</v>
      </c>
      <c r="M2234">
        <v>-0.97691660000000002</v>
      </c>
      <c r="N2234">
        <v>-1.420776E-2</v>
      </c>
      <c r="O2234">
        <v>-0.21314839999999999</v>
      </c>
      <c r="P2234">
        <v>-0.77633260000000004</v>
      </c>
      <c r="Q2234">
        <v>-9.4529530000000001E-2</v>
      </c>
      <c r="R2234">
        <v>-0.6231951</v>
      </c>
      <c r="S2234">
        <v>-1.4828490000000001</v>
      </c>
      <c r="T2234">
        <v>-0.47427799999999998</v>
      </c>
      <c r="U2234">
        <v>-2.9212950000000002</v>
      </c>
      <c r="V2234">
        <v>-0.44232320000000003</v>
      </c>
      <c r="W2234">
        <v>-8.7388380000000002E-2</v>
      </c>
      <c r="X2234">
        <v>0.8925881</v>
      </c>
      <c r="Y2234">
        <v>-0.76812519999999995</v>
      </c>
      <c r="Z2234">
        <v>-4.4924730000000003E-2</v>
      </c>
      <c r="AA2234">
        <v>0.63872169999999995</v>
      </c>
      <c r="AB2234">
        <v>18</v>
      </c>
      <c r="AC2234">
        <v>-3.3568000000000202</v>
      </c>
      <c r="AD2234">
        <v>-1.1262590351890001</v>
      </c>
      <c r="AE2234">
        <v>-6.8906000000000001</v>
      </c>
      <c r="AF2234">
        <v>-5.8894897453077002</v>
      </c>
      <c r="AG2234">
        <v>-1.1262590351890001</v>
      </c>
      <c r="AH2234">
        <v>4.6481530169678997</v>
      </c>
      <c r="AI2234">
        <v>98.537076100835407</v>
      </c>
      <c r="AJ2234">
        <v>141.71849283788799</v>
      </c>
      <c r="AK2234">
        <v>7.5868224800358401</v>
      </c>
      <c r="AL2234">
        <v>95.013380037681998</v>
      </c>
      <c r="AM2234">
        <v>116.36077549279401</v>
      </c>
      <c r="AN2234">
        <v>1.00000002923943</v>
      </c>
    </row>
    <row r="2235" spans="1:40" x14ac:dyDescent="0.25">
      <c r="A2235" t="str">
        <f>"20190303154509235"</f>
        <v>20190303154509235</v>
      </c>
      <c r="B2235" t="str">
        <f>"1551599109232564"</f>
        <v>1551599109232564</v>
      </c>
      <c r="C2235" t="s">
        <v>40</v>
      </c>
      <c r="D2235">
        <v>4.6414790000000004</v>
      </c>
      <c r="E2235">
        <v>0.31682840000000001</v>
      </c>
      <c r="F2235" t="s">
        <v>54</v>
      </c>
      <c r="G2235">
        <v>-486.27420000000001</v>
      </c>
      <c r="H2235" s="1">
        <v>1.724571E-6</v>
      </c>
      <c r="I2235">
        <v>276.22770000000003</v>
      </c>
      <c r="J2235">
        <v>-482.80380000000002</v>
      </c>
      <c r="K2235">
        <v>1.126301</v>
      </c>
      <c r="L2235">
        <v>284.00510000000003</v>
      </c>
      <c r="M2235">
        <v>-0.97464410000000001</v>
      </c>
      <c r="N2235">
        <v>-1.423933E-2</v>
      </c>
      <c r="O2235">
        <v>-0.22330759999999999</v>
      </c>
      <c r="P2235">
        <v>-0.76911439999999998</v>
      </c>
      <c r="Q2235">
        <v>-9.6053739999999999E-2</v>
      </c>
      <c r="R2235">
        <v>-0.63185199999999997</v>
      </c>
      <c r="S2235">
        <v>-1.3974299999999999</v>
      </c>
      <c r="T2235">
        <v>-0.43279699999999999</v>
      </c>
      <c r="U2235">
        <v>-3.0074459999999998</v>
      </c>
      <c r="V2235">
        <v>-0.44303920000000002</v>
      </c>
      <c r="W2235">
        <v>-8.8960010000000006E-2</v>
      </c>
      <c r="X2235">
        <v>0.89207760000000003</v>
      </c>
      <c r="Y2235">
        <v>-0.78434659999999901</v>
      </c>
      <c r="Z2235">
        <v>-4.2368210000000003E-2</v>
      </c>
      <c r="AA2235">
        <v>0.61887429999999999</v>
      </c>
      <c r="AB2235">
        <v>18</v>
      </c>
      <c r="AC2235">
        <v>-3.4703999999999802</v>
      </c>
      <c r="AD2235">
        <v>-1.126299275429</v>
      </c>
      <c r="AE2235">
        <v>-7.7774000000000001</v>
      </c>
      <c r="AF2235">
        <v>-6.6889329369413</v>
      </c>
      <c r="AG2235">
        <v>-1.126299275429</v>
      </c>
      <c r="AH2235">
        <v>5.03167401785121</v>
      </c>
      <c r="AI2235">
        <v>97.663758923716202</v>
      </c>
      <c r="AJ2235">
        <v>143.048100058361</v>
      </c>
      <c r="AK2235">
        <v>8.4455975108129007</v>
      </c>
      <c r="AL2235">
        <v>95.103779906419007</v>
      </c>
      <c r="AM2235">
        <v>116.410718888372</v>
      </c>
      <c r="AN2235">
        <v>1.0000000302687899</v>
      </c>
    </row>
    <row r="2236" spans="1:40" x14ac:dyDescent="0.25">
      <c r="A2236" t="str">
        <f>"20190303154509257"</f>
        <v>20190303154509257</v>
      </c>
      <c r="B2236" t="str">
        <f>"1551599109253063"</f>
        <v>1551599109253063</v>
      </c>
      <c r="C2236" t="s">
        <v>40</v>
      </c>
      <c r="D2236">
        <v>4.7033779999999998</v>
      </c>
      <c r="E2236">
        <v>0.31874619999999998</v>
      </c>
      <c r="F2236" t="s">
        <v>54</v>
      </c>
      <c r="G2236">
        <v>-486.38189999999997</v>
      </c>
      <c r="H2236" s="1">
        <v>1.720344E-6</v>
      </c>
      <c r="I2236">
        <v>276.14940000000001</v>
      </c>
      <c r="J2236">
        <v>-482.97030000000001</v>
      </c>
      <c r="K2236">
        <v>1.1263529999999999</v>
      </c>
      <c r="L2236">
        <v>283.95409999999998</v>
      </c>
      <c r="M2236">
        <v>-0.97221139999999995</v>
      </c>
      <c r="N2236">
        <v>-1.4271300000000001E-2</v>
      </c>
      <c r="O2236">
        <v>-0.23366899999999999</v>
      </c>
      <c r="P2236">
        <v>-0.76194079999999997</v>
      </c>
      <c r="Q2236">
        <v>-9.7165150000000006E-2</v>
      </c>
      <c r="R2236">
        <v>-0.640316199999999</v>
      </c>
      <c r="S2236">
        <v>-1.372009</v>
      </c>
      <c r="T2236">
        <v>-0.43187999999999999</v>
      </c>
      <c r="U2236">
        <v>-3.012238</v>
      </c>
      <c r="V2236">
        <v>-0.44341140000000001</v>
      </c>
      <c r="W2236">
        <v>-9.0118649999999995E-2</v>
      </c>
      <c r="X2236">
        <v>0.89177629999999997</v>
      </c>
      <c r="Y2236">
        <v>-0.7825685</v>
      </c>
      <c r="Z2236">
        <v>-4.0755760000000002E-2</v>
      </c>
      <c r="AA2236">
        <v>0.62122900000000003</v>
      </c>
      <c r="AB2236">
        <v>18</v>
      </c>
      <c r="AC2236">
        <v>-3.41159999999996</v>
      </c>
      <c r="AD2236">
        <v>-1.126351279656</v>
      </c>
      <c r="AE2236">
        <v>-7.8046999999999596</v>
      </c>
      <c r="AF2236">
        <v>-6.6746114067025299</v>
      </c>
      <c r="AG2236">
        <v>-1.126351279656</v>
      </c>
      <c r="AH2236">
        <v>5.0526843336390703</v>
      </c>
      <c r="AI2236">
        <v>97.663001437675504</v>
      </c>
      <c r="AJ2236">
        <v>142.874259442945</v>
      </c>
      <c r="AK2236">
        <v>8.4468173657933399</v>
      </c>
      <c r="AL2236">
        <v>95.170432946882201</v>
      </c>
      <c r="AM2236">
        <v>116.437606738933</v>
      </c>
      <c r="AN2236">
        <v>1.00000000498473</v>
      </c>
    </row>
    <row r="2237" spans="1:40" x14ac:dyDescent="0.25">
      <c r="A2237" t="str">
        <f>"20190303154509280"</f>
        <v>20190303154509280</v>
      </c>
      <c r="B2237" t="str">
        <f>"1551599109272580"</f>
        <v>1551599109272580</v>
      </c>
      <c r="C2237" t="s">
        <v>40</v>
      </c>
      <c r="D2237">
        <v>4.6857009999999999</v>
      </c>
      <c r="E2237">
        <v>0.3204708</v>
      </c>
      <c r="F2237" t="s">
        <v>54</v>
      </c>
      <c r="G2237">
        <v>-486.52010000000001</v>
      </c>
      <c r="H2237" s="1">
        <v>1.708576E-6</v>
      </c>
      <c r="I2237">
        <v>276.01310000000001</v>
      </c>
      <c r="J2237">
        <v>-483.13040000000001</v>
      </c>
      <c r="K2237">
        <v>1.1264130000000001</v>
      </c>
      <c r="L2237">
        <v>283.90289999999999</v>
      </c>
      <c r="M2237">
        <v>-0.96971680000000005</v>
      </c>
      <c r="N2237">
        <v>-1.4301370000000001E-2</v>
      </c>
      <c r="O2237">
        <v>-0.24381349999999999</v>
      </c>
      <c r="P2237">
        <v>-0.75532699999999997</v>
      </c>
      <c r="Q2237">
        <v>-9.8903909999999998E-2</v>
      </c>
      <c r="R2237">
        <v>-0.64784200000000003</v>
      </c>
      <c r="S2237">
        <v>-1.348206</v>
      </c>
      <c r="T2237">
        <v>-0.42778680000000002</v>
      </c>
      <c r="U2237">
        <v>-3.0159910000000001</v>
      </c>
      <c r="V2237">
        <v>-0.44295859999999898</v>
      </c>
      <c r="W2237">
        <v>-9.1893849999999999E-2</v>
      </c>
      <c r="X2237">
        <v>0.89182019999999995</v>
      </c>
      <c r="Y2237">
        <v>-0.78063369999999999</v>
      </c>
      <c r="Z2237">
        <v>-3.8932540000000002E-2</v>
      </c>
      <c r="AA2237">
        <v>0.62377499999999997</v>
      </c>
      <c r="AB2237">
        <v>18</v>
      </c>
      <c r="AC2237">
        <v>-3.3896999999999999</v>
      </c>
      <c r="AD2237">
        <v>-1.1264112914240001</v>
      </c>
      <c r="AE2237">
        <v>-7.8897999999999797</v>
      </c>
      <c r="AF2237">
        <v>-6.7096633014502496</v>
      </c>
      <c r="AG2237">
        <v>-1.1264112914240001</v>
      </c>
      <c r="AH2237">
        <v>5.1230702062375597</v>
      </c>
      <c r="AI2237">
        <v>97.6001552707624</v>
      </c>
      <c r="AJ2237">
        <v>142.63695911958601</v>
      </c>
      <c r="AK2237">
        <v>8.5167031387923107</v>
      </c>
      <c r="AL2237">
        <v>95.272568097688904</v>
      </c>
      <c r="AM2237">
        <v>116.41315306067401</v>
      </c>
      <c r="AN2237">
        <v>1.0000000350549101</v>
      </c>
    </row>
    <row r="2238" spans="1:40" x14ac:dyDescent="0.25">
      <c r="A2238" t="str">
        <f>"20190303154509302"</f>
        <v>20190303154509302</v>
      </c>
      <c r="B2238" t="str">
        <f>"1551599109293076"</f>
        <v>1551599109293076</v>
      </c>
      <c r="C2238" t="s">
        <v>40</v>
      </c>
      <c r="D2238">
        <v>4.6864179999999998</v>
      </c>
      <c r="E2238">
        <v>0.34620289999999998</v>
      </c>
      <c r="F2238" t="s">
        <v>54</v>
      </c>
      <c r="G2238">
        <v>-486.62790000000001</v>
      </c>
      <c r="H2238" s="1">
        <v>1.7059E-6</v>
      </c>
      <c r="I2238">
        <v>275.94349999999997</v>
      </c>
      <c r="J2238">
        <v>-483.29430000000002</v>
      </c>
      <c r="K2238">
        <v>1.126476</v>
      </c>
      <c r="L2238">
        <v>283.84829999999999</v>
      </c>
      <c r="M2238">
        <v>-0.96699279999999999</v>
      </c>
      <c r="N2238">
        <v>-1.4331999999999999E-2</v>
      </c>
      <c r="O2238">
        <v>-0.25440109999999999</v>
      </c>
      <c r="P2238">
        <v>-0.74922259999999996</v>
      </c>
      <c r="Q2238">
        <v>-0.1007156</v>
      </c>
      <c r="R2238">
        <v>-0.65461630000000004</v>
      </c>
      <c r="S2238">
        <v>-1.3265690000000001</v>
      </c>
      <c r="T2238">
        <v>-0.42723359999999999</v>
      </c>
      <c r="U2238">
        <v>-3.0188899999999999</v>
      </c>
      <c r="V2238">
        <v>-0.44126219999999999</v>
      </c>
      <c r="W2238">
        <v>-9.3719910000000003E-2</v>
      </c>
      <c r="X2238">
        <v>0.89247089999999996</v>
      </c>
      <c r="Y2238">
        <v>-0.77789779999999997</v>
      </c>
      <c r="Z2238">
        <v>-3.7184139999999997E-2</v>
      </c>
      <c r="AA2238">
        <v>0.62728980000000001</v>
      </c>
      <c r="AB2238">
        <v>18</v>
      </c>
      <c r="AC2238">
        <v>-3.3335999999999899</v>
      </c>
      <c r="AD2238">
        <v>-1.1264742940999899</v>
      </c>
      <c r="AE2238">
        <v>-7.9048000000000203</v>
      </c>
      <c r="AF2238">
        <v>-6.6813147611447699</v>
      </c>
      <c r="AG2238">
        <v>-1.1264742940999899</v>
      </c>
      <c r="AH2238">
        <v>5.1463632273126096</v>
      </c>
      <c r="AI2238">
        <v>97.6079860906448</v>
      </c>
      <c r="AJ2238">
        <v>142.394304123175</v>
      </c>
      <c r="AK2238">
        <v>8.5084643585193795</v>
      </c>
      <c r="AL2238">
        <v>95.377647180474895</v>
      </c>
      <c r="AM2238">
        <v>116.309059956664</v>
      </c>
      <c r="AN2238">
        <v>1.00000002901302</v>
      </c>
    </row>
    <row r="2239" spans="1:40" x14ac:dyDescent="0.25">
      <c r="A2239" t="str">
        <f>"20190303154509325"</f>
        <v>20190303154509325</v>
      </c>
      <c r="B2239" t="str">
        <f>"1551599109312595"</f>
        <v>1551599109312595</v>
      </c>
      <c r="C2239" t="s">
        <v>40</v>
      </c>
      <c r="D2239">
        <v>4.6682670000000002</v>
      </c>
      <c r="E2239">
        <v>0.3521474</v>
      </c>
      <c r="F2239" t="s">
        <v>54</v>
      </c>
      <c r="G2239">
        <v>-487.3707</v>
      </c>
      <c r="H2239" s="1">
        <v>1.7240229999999999E-6</v>
      </c>
      <c r="I2239">
        <v>275.67239999999998</v>
      </c>
      <c r="J2239">
        <v>-483.45510000000002</v>
      </c>
      <c r="K2239">
        <v>1.1265289999999999</v>
      </c>
      <c r="L2239">
        <v>283.79239999999999</v>
      </c>
      <c r="M2239">
        <v>-0.96414330000000004</v>
      </c>
      <c r="N2239">
        <v>-1.4362720000000001E-2</v>
      </c>
      <c r="O2239">
        <v>-0.26499339999999999</v>
      </c>
      <c r="P2239">
        <v>-0.74338950000000004</v>
      </c>
      <c r="Q2239">
        <v>-0.1020316</v>
      </c>
      <c r="R2239">
        <v>-0.66103089999999998</v>
      </c>
      <c r="S2239">
        <v>-1.435425</v>
      </c>
      <c r="T2239">
        <v>-0.3966652</v>
      </c>
      <c r="U2239">
        <v>-2.8789669999999998</v>
      </c>
      <c r="V2239">
        <v>-0.43915979999999999</v>
      </c>
      <c r="W2239">
        <v>-9.5037250000000004E-2</v>
      </c>
      <c r="X2239">
        <v>0.8933681</v>
      </c>
      <c r="Y2239">
        <v>-0.74032379999999998</v>
      </c>
      <c r="Z2239">
        <v>-2.990073E-2</v>
      </c>
      <c r="AA2239">
        <v>0.67158509999999905</v>
      </c>
      <c r="AB2239">
        <v>18</v>
      </c>
      <c r="AC2239">
        <v>-3.91559999999998</v>
      </c>
      <c r="AD2239">
        <v>-1.126527275977</v>
      </c>
      <c r="AE2239">
        <v>-8.1199999999999992</v>
      </c>
      <c r="AF2239">
        <v>-6.6875029368701302</v>
      </c>
      <c r="AG2239">
        <v>-1.126527275977</v>
      </c>
      <c r="AH2239">
        <v>5.8364149732876296</v>
      </c>
      <c r="AI2239">
        <v>97.233074120546107</v>
      </c>
      <c r="AJ2239">
        <v>138.887672355929</v>
      </c>
      <c r="AK2239">
        <v>8.9473738591042906</v>
      </c>
      <c r="AL2239">
        <v>95.4534638601301</v>
      </c>
      <c r="AM2239">
        <v>116.177700464323</v>
      </c>
      <c r="AN2239">
        <v>0.99999998546060598</v>
      </c>
    </row>
    <row r="2240" spans="1:40" x14ac:dyDescent="0.25">
      <c r="A2240" t="str">
        <f>"20190303154509348"</f>
        <v>20190303154509348</v>
      </c>
      <c r="B2240" t="str">
        <f>"1551599109342853"</f>
        <v>1551599109342853</v>
      </c>
      <c r="C2240" t="s">
        <v>40</v>
      </c>
      <c r="D2240">
        <v>4.7570880000000004</v>
      </c>
      <c r="E2240">
        <v>0.35578979999999999</v>
      </c>
      <c r="F2240" t="s">
        <v>54</v>
      </c>
      <c r="G2240">
        <v>-487.98899999999998</v>
      </c>
      <c r="H2240" s="1">
        <v>1.6265950000000001E-6</v>
      </c>
      <c r="I2240">
        <v>274.80779999999999</v>
      </c>
      <c r="J2240">
        <v>-483.6223</v>
      </c>
      <c r="K2240">
        <v>1.1265810000000001</v>
      </c>
      <c r="L2240">
        <v>283.73200000000003</v>
      </c>
      <c r="M2240">
        <v>-0.96099659999999998</v>
      </c>
      <c r="N2240">
        <v>-1.4393710000000001E-2</v>
      </c>
      <c r="O2240">
        <v>-0.27618559999999998</v>
      </c>
      <c r="P2240">
        <v>-0.73600359999999998</v>
      </c>
      <c r="Q2240">
        <v>-0.1033309</v>
      </c>
      <c r="R2240">
        <v>-0.66904519999999901</v>
      </c>
      <c r="S2240">
        <v>-1.4432370000000001</v>
      </c>
      <c r="T2240">
        <v>-0.35859940000000001</v>
      </c>
      <c r="U2240">
        <v>-2.8600159999999999</v>
      </c>
      <c r="V2240">
        <v>-0.43847219999999998</v>
      </c>
      <c r="W2240">
        <v>-9.6353049999999996E-2</v>
      </c>
      <c r="X2240">
        <v>0.8935649</v>
      </c>
      <c r="Y2240">
        <v>-0.73004539999999996</v>
      </c>
      <c r="Z2240">
        <v>-2.571818E-2</v>
      </c>
      <c r="AA2240">
        <v>0.68291459999999904</v>
      </c>
      <c r="AB2240">
        <v>17</v>
      </c>
      <c r="AC2240">
        <v>-4.36670000000003</v>
      </c>
      <c r="AD2240">
        <v>-1.126579373405</v>
      </c>
      <c r="AE2240">
        <v>-8.9242000000000399</v>
      </c>
      <c r="AF2240">
        <v>-7.2772995967877998</v>
      </c>
      <c r="AG2240">
        <v>-1.126579373405</v>
      </c>
      <c r="AH2240">
        <v>6.5772405592422798</v>
      </c>
      <c r="AI2240">
        <v>96.551713526347797</v>
      </c>
      <c r="AJ2240">
        <v>137.89265059252199</v>
      </c>
      <c r="AK2240">
        <v>9.8736195936511102</v>
      </c>
      <c r="AL2240">
        <v>95.529201125039606</v>
      </c>
      <c r="AM2240">
        <v>116.137181862921</v>
      </c>
      <c r="AN2240">
        <v>1.0000000054645699</v>
      </c>
    </row>
    <row r="2241" spans="1:40" x14ac:dyDescent="0.25">
      <c r="A2241" t="str">
        <f>"20190303154509371"</f>
        <v>20190303154509371</v>
      </c>
      <c r="B2241" t="str">
        <f>"1551599109363348"</f>
        <v>1551599109363348</v>
      </c>
      <c r="C2241" t="s">
        <v>40</v>
      </c>
      <c r="D2241">
        <v>4.7868279999999999</v>
      </c>
      <c r="E2241">
        <v>0.357647099999999</v>
      </c>
      <c r="F2241" t="s">
        <v>54</v>
      </c>
      <c r="G2241">
        <v>-488.3039</v>
      </c>
      <c r="H2241" s="1">
        <v>1.5433279999999901E-6</v>
      </c>
      <c r="I2241">
        <v>274.3972</v>
      </c>
      <c r="J2241">
        <v>-483.77890000000002</v>
      </c>
      <c r="K2241">
        <v>1.1266160000000001</v>
      </c>
      <c r="L2241">
        <v>283.67320000000001</v>
      </c>
      <c r="M2241">
        <v>-0.95787350000000004</v>
      </c>
      <c r="N2241">
        <v>-1.44207E-2</v>
      </c>
      <c r="O2241">
        <v>-0.28682849999999999</v>
      </c>
      <c r="P2241">
        <v>-0.7285895</v>
      </c>
      <c r="Q2241">
        <v>-0.1046957</v>
      </c>
      <c r="R2241">
        <v>-0.67690220000000001</v>
      </c>
      <c r="S2241">
        <v>-1.4320679999999999</v>
      </c>
      <c r="T2241">
        <v>-0.34461029999999998</v>
      </c>
      <c r="U2241">
        <v>-2.8554379999999999</v>
      </c>
      <c r="V2241">
        <v>-0.43817489999999998</v>
      </c>
      <c r="W2241">
        <v>-9.7730789999999998E-2</v>
      </c>
      <c r="X2241">
        <v>0.893561099999999</v>
      </c>
      <c r="Y2241">
        <v>-0.72446940000000004</v>
      </c>
      <c r="Z2241">
        <v>-2.3441420000000001E-2</v>
      </c>
      <c r="AA2241">
        <v>0.68890830000000003</v>
      </c>
      <c r="AB2241">
        <v>17</v>
      </c>
      <c r="AC2241">
        <v>-4.5249999999999702</v>
      </c>
      <c r="AD2241">
        <v>-1.126614456672</v>
      </c>
      <c r="AE2241">
        <v>-9.2759999999999998</v>
      </c>
      <c r="AF2241">
        <v>-7.4987707023400798</v>
      </c>
      <c r="AG2241">
        <v>-1.126614456672</v>
      </c>
      <c r="AH2241">
        <v>6.9133480207712497</v>
      </c>
      <c r="AI2241">
        <v>96.303330236339505</v>
      </c>
      <c r="AJ2241">
        <v>137.326085397746</v>
      </c>
      <c r="AK2241">
        <v>10.2613450890493</v>
      </c>
      <c r="AL2241">
        <v>95.608514212057102</v>
      </c>
      <c r="AM2241">
        <v>116.121912511734</v>
      </c>
      <c r="AN2241">
        <v>0.99999999486862201</v>
      </c>
    </row>
    <row r="2242" spans="1:40" x14ac:dyDescent="0.25">
      <c r="A2242" t="str">
        <f>"20190303154509392"</f>
        <v>20190303154509392</v>
      </c>
      <c r="B2242" t="str">
        <f>"1551599109382868"</f>
        <v>1551599109382868</v>
      </c>
      <c r="C2242" t="s">
        <v>40</v>
      </c>
      <c r="D2242">
        <v>4.7825509999999998</v>
      </c>
      <c r="E2242">
        <v>0.35908759999999901</v>
      </c>
      <c r="F2242" t="s">
        <v>54</v>
      </c>
      <c r="G2242">
        <v>-488.3621</v>
      </c>
      <c r="H2242" s="1">
        <v>1.5436520000000001E-6</v>
      </c>
      <c r="I2242">
        <v>274.38350000000003</v>
      </c>
      <c r="J2242">
        <v>-483.9341</v>
      </c>
      <c r="K2242">
        <v>1.1266480000000001</v>
      </c>
      <c r="L2242">
        <v>283.61290000000002</v>
      </c>
      <c r="M2242">
        <v>-0.95460440000000002</v>
      </c>
      <c r="N2242">
        <v>-1.444587E-2</v>
      </c>
      <c r="O2242">
        <v>-0.29752590000000001</v>
      </c>
      <c r="P2242">
        <v>-0.72093130000000005</v>
      </c>
      <c r="Q2242">
        <v>-0.10538839999999999</v>
      </c>
      <c r="R2242">
        <v>-0.68494630000000001</v>
      </c>
      <c r="S2242">
        <v>-1.4108579999999999</v>
      </c>
      <c r="T2242">
        <v>-0.34680820000000001</v>
      </c>
      <c r="U2242">
        <v>-2.85968</v>
      </c>
      <c r="V2242">
        <v>-0.43810939999999998</v>
      </c>
      <c r="W2242">
        <v>-9.8436109999999993E-2</v>
      </c>
      <c r="X2242">
        <v>0.89351579999999997</v>
      </c>
      <c r="Y2242">
        <v>-0.72130709999999998</v>
      </c>
      <c r="Z2242">
        <v>-2.2067719999999999E-2</v>
      </c>
      <c r="AA2242">
        <v>0.69226379999999998</v>
      </c>
      <c r="AB2242">
        <v>17</v>
      </c>
      <c r="AC2242">
        <v>-4.4279999999999902</v>
      </c>
      <c r="AD2242">
        <v>-1.1266464563480001</v>
      </c>
      <c r="AE2242">
        <v>-9.2293999999999894</v>
      </c>
      <c r="AF2242">
        <v>-7.4040762731577701</v>
      </c>
      <c r="AG2242">
        <v>-1.1266464563480001</v>
      </c>
      <c r="AH2242">
        <v>6.8902388672030099</v>
      </c>
      <c r="AI2242">
        <v>96.356159653417095</v>
      </c>
      <c r="AJ2242">
        <v>137.058723576462</v>
      </c>
      <c r="AK2242">
        <v>10.1766924559728</v>
      </c>
      <c r="AL2242">
        <v>95.649121848470998</v>
      </c>
      <c r="AM2242">
        <v>116.119674844877</v>
      </c>
      <c r="AN2242">
        <v>0.99999999948496598</v>
      </c>
    </row>
    <row r="2243" spans="1:40" x14ac:dyDescent="0.25">
      <c r="A2243" t="str">
        <f>"20190303154509415"</f>
        <v>20190303154509415</v>
      </c>
      <c r="B2243" t="str">
        <f>"1551599109403364"</f>
        <v>1551599109403364</v>
      </c>
      <c r="C2243" t="s">
        <v>40</v>
      </c>
      <c r="D2243">
        <v>4.8026679999999997</v>
      </c>
      <c r="E2243">
        <v>0.36057889999999998</v>
      </c>
      <c r="F2243" t="s">
        <v>54</v>
      </c>
      <c r="G2243">
        <v>-488.41570000000002</v>
      </c>
      <c r="H2243" s="1">
        <v>1.535893E-6</v>
      </c>
      <c r="I2243">
        <v>274.34809999999999</v>
      </c>
      <c r="J2243">
        <v>-484.09199999999998</v>
      </c>
      <c r="K2243">
        <v>1.1266860000000001</v>
      </c>
      <c r="L2243">
        <v>283.54919999999998</v>
      </c>
      <c r="M2243">
        <v>-0.95108939999999997</v>
      </c>
      <c r="N2243">
        <v>-1.4471370000000001E-2</v>
      </c>
      <c r="O2243">
        <v>-0.30857699999999999</v>
      </c>
      <c r="P2243">
        <v>-0.71375480000000002</v>
      </c>
      <c r="Q2243">
        <v>-0.10392460000000001</v>
      </c>
      <c r="R2243">
        <v>-0.69264300000000001</v>
      </c>
      <c r="S2243">
        <v>-1.386719</v>
      </c>
      <c r="T2243">
        <v>-0.34860980000000003</v>
      </c>
      <c r="U2243">
        <v>-2.86673</v>
      </c>
      <c r="V2243">
        <v>-0.4372817</v>
      </c>
      <c r="W2243">
        <v>-9.6965850000000006E-2</v>
      </c>
      <c r="X2243">
        <v>0.89408180000000004</v>
      </c>
      <c r="Y2243">
        <v>-0.71870849999999997</v>
      </c>
      <c r="Z2243">
        <v>-2.066726E-2</v>
      </c>
      <c r="AA2243">
        <v>0.69500430000000002</v>
      </c>
      <c r="AB2243">
        <v>17</v>
      </c>
      <c r="AC2243">
        <v>-4.3237000000000299</v>
      </c>
      <c r="AD2243">
        <v>-1.126684464107</v>
      </c>
      <c r="AE2243">
        <v>-9.2010999999999896</v>
      </c>
      <c r="AF2243">
        <v>-7.3276508164711096</v>
      </c>
      <c r="AG2243">
        <v>-1.126684464107</v>
      </c>
      <c r="AH2243">
        <v>6.8678482685000599</v>
      </c>
      <c r="AI2243">
        <v>96.401024056461296</v>
      </c>
      <c r="AJ2243">
        <v>136.85520338299</v>
      </c>
      <c r="AK2243">
        <v>10.1059994166301</v>
      </c>
      <c r="AL2243">
        <v>95.564477394854904</v>
      </c>
      <c r="AM2243">
        <v>116.06254802888201</v>
      </c>
      <c r="AN2243">
        <v>0.99999996315617501</v>
      </c>
    </row>
    <row r="2244" spans="1:40" x14ac:dyDescent="0.25">
      <c r="A2244" t="str">
        <f>"20190303154509438"</f>
        <v>20190303154509438</v>
      </c>
      <c r="B2244" t="str">
        <f>"1551599109432644"</f>
        <v>1551599109432644</v>
      </c>
      <c r="C2244" t="s">
        <v>40</v>
      </c>
      <c r="D2244">
        <v>4.7924199999999999</v>
      </c>
      <c r="E2244">
        <v>0.36247810000000003</v>
      </c>
      <c r="F2244" t="s">
        <v>54</v>
      </c>
      <c r="G2244">
        <v>-488.56180000000001</v>
      </c>
      <c r="H2244" s="1">
        <v>1.475748E-6</v>
      </c>
      <c r="I2244">
        <v>274.1413</v>
      </c>
      <c r="J2244">
        <v>-484.25110000000001</v>
      </c>
      <c r="K2244">
        <v>1.12673</v>
      </c>
      <c r="L2244">
        <v>283.48270000000002</v>
      </c>
      <c r="M2244">
        <v>-0.94735769999999997</v>
      </c>
      <c r="N2244">
        <v>-1.449724E-2</v>
      </c>
      <c r="O2244">
        <v>-0.31984859999999998</v>
      </c>
      <c r="P2244">
        <v>-0.70682659999999997</v>
      </c>
      <c r="Q2244">
        <v>-0.10286439999999999</v>
      </c>
      <c r="R2244">
        <v>-0.69986789999999999</v>
      </c>
      <c r="S2244">
        <v>-1.3649899999999999</v>
      </c>
      <c r="T2244">
        <v>-0.34407019999999999</v>
      </c>
      <c r="U2244">
        <v>-2.8730159999999998</v>
      </c>
      <c r="V2244">
        <v>-0.43571959999999998</v>
      </c>
      <c r="W2244">
        <v>-9.5884070000000002E-2</v>
      </c>
      <c r="X2244">
        <v>0.89496069999999905</v>
      </c>
      <c r="Y2244">
        <v>-0.71547479999999997</v>
      </c>
      <c r="Z2244">
        <v>-1.8995600000000001E-2</v>
      </c>
      <c r="AA2244">
        <v>0.69838020000000001</v>
      </c>
      <c r="AB2244">
        <v>17</v>
      </c>
      <c r="AC2244">
        <v>-4.31069999999999</v>
      </c>
      <c r="AD2244">
        <v>-1.126728524252</v>
      </c>
      <c r="AE2244">
        <v>-9.3414000000000197</v>
      </c>
      <c r="AF2244">
        <v>-7.3831066362089004</v>
      </c>
      <c r="AG2244">
        <v>-1.126728524252</v>
      </c>
      <c r="AH2244">
        <v>6.9885299926043603</v>
      </c>
      <c r="AI2244">
        <v>96.324383806850904</v>
      </c>
      <c r="AJ2244">
        <v>136.572673945947</v>
      </c>
      <c r="AK2244">
        <v>10.228359214777599</v>
      </c>
      <c r="AL2244">
        <v>95.502205645297707</v>
      </c>
      <c r="AM2244">
        <v>115.959548085466</v>
      </c>
      <c r="AN2244">
        <v>0.999999989624207</v>
      </c>
    </row>
    <row r="2245" spans="1:40" x14ac:dyDescent="0.25">
      <c r="A2245" t="str">
        <f>"20190303154509459"</f>
        <v>20190303154509459</v>
      </c>
      <c r="B2245" t="str">
        <f>"1551599109453141"</f>
        <v>1551599109453141</v>
      </c>
      <c r="C2245" t="s">
        <v>40</v>
      </c>
      <c r="D2245">
        <v>4.7480760000000002</v>
      </c>
      <c r="E2245">
        <v>0.36329240000000002</v>
      </c>
      <c r="F2245" t="s">
        <v>54</v>
      </c>
      <c r="G2245">
        <v>-488.7013</v>
      </c>
      <c r="H2245" s="1">
        <v>1.430149E-6</v>
      </c>
      <c r="I2245">
        <v>273.97730000000001</v>
      </c>
      <c r="J2245">
        <v>-484.40219999999999</v>
      </c>
      <c r="K2245">
        <v>1.126762</v>
      </c>
      <c r="L2245">
        <v>283.41739999999999</v>
      </c>
      <c r="M2245">
        <v>-0.94363269999999999</v>
      </c>
      <c r="N2245">
        <v>-1.4520419999999999E-2</v>
      </c>
      <c r="O2245">
        <v>-0.33067600000000003</v>
      </c>
      <c r="P2245">
        <v>-0.70049439999999996</v>
      </c>
      <c r="Q2245">
        <v>-0.1036396</v>
      </c>
      <c r="R2245">
        <v>-0.70609250000000001</v>
      </c>
      <c r="S2245">
        <v>-1.346649</v>
      </c>
      <c r="T2245">
        <v>-0.34095510000000001</v>
      </c>
      <c r="U2245">
        <v>-2.876404</v>
      </c>
      <c r="V2245">
        <v>-0.43341079999999998</v>
      </c>
      <c r="W2245">
        <v>-9.662097E-2</v>
      </c>
      <c r="X2245">
        <v>0.89600190000000002</v>
      </c>
      <c r="Y2245">
        <v>-0.71155999999999997</v>
      </c>
      <c r="Z2245">
        <v>-1.737377E-2</v>
      </c>
      <c r="AA2245">
        <v>0.70241049999999905</v>
      </c>
      <c r="AB2245">
        <v>17</v>
      </c>
      <c r="AC2245">
        <v>-4.2991000000000099</v>
      </c>
      <c r="AD2245">
        <v>-1.1267605698509999</v>
      </c>
      <c r="AE2245">
        <v>-9.4400999999999708</v>
      </c>
      <c r="AF2245">
        <v>-7.3998528551387404</v>
      </c>
      <c r="AG2245">
        <v>-1.1267605698509999</v>
      </c>
      <c r="AH2245">
        <v>7.0954205103681396</v>
      </c>
      <c r="AI2245">
        <v>96.272020942133693</v>
      </c>
      <c r="AJ2245">
        <v>136.20315941160399</v>
      </c>
      <c r="AK2245">
        <v>10.313699815218</v>
      </c>
      <c r="AL2245">
        <v>95.544623970792699</v>
      </c>
      <c r="AM2245">
        <v>115.813814878708</v>
      </c>
      <c r="AN2245">
        <v>0.99999996910199496</v>
      </c>
    </row>
    <row r="2246" spans="1:40" x14ac:dyDescent="0.25">
      <c r="A2246" t="str">
        <f>"20190303154509482"</f>
        <v>20190303154509482</v>
      </c>
      <c r="B2246" t="str">
        <f>"1551599109472660"</f>
        <v>1551599109472660</v>
      </c>
      <c r="C2246" t="s">
        <v>40</v>
      </c>
      <c r="D2246">
        <v>4.8120729999999998</v>
      </c>
      <c r="E2246">
        <v>0.37577690000000002</v>
      </c>
      <c r="F2246" t="s">
        <v>54</v>
      </c>
      <c r="G2246">
        <v>-488.77260000000001</v>
      </c>
      <c r="H2246" s="1">
        <v>1.4130569999999999E-6</v>
      </c>
      <c r="I2246">
        <v>273.911</v>
      </c>
      <c r="J2246">
        <v>-484.5539</v>
      </c>
      <c r="K2246">
        <v>1.12676</v>
      </c>
      <c r="L2246">
        <v>283.34960000000001</v>
      </c>
      <c r="M2246">
        <v>-0.93971859999999996</v>
      </c>
      <c r="N2246">
        <v>-1.4539969999999999E-2</v>
      </c>
      <c r="O2246">
        <v>-0.3416399</v>
      </c>
      <c r="P2246">
        <v>-0.69374239999999998</v>
      </c>
      <c r="Q2246">
        <v>-0.1057993</v>
      </c>
      <c r="R2246">
        <v>-0.71241030000000005</v>
      </c>
      <c r="S2246">
        <v>-1.325623</v>
      </c>
      <c r="T2246">
        <v>-0.34177049999999998</v>
      </c>
      <c r="U2246">
        <v>-2.8834840000000002</v>
      </c>
      <c r="V2246">
        <v>-0.43117739999999999</v>
      </c>
      <c r="W2246">
        <v>-9.8737050000000007E-2</v>
      </c>
      <c r="X2246">
        <v>0.89684839999999999</v>
      </c>
      <c r="Y2246">
        <v>-0.70832499999999998</v>
      </c>
      <c r="Z2246">
        <v>-1.587939E-2</v>
      </c>
      <c r="AA2246">
        <v>0.7057078</v>
      </c>
      <c r="AB2246">
        <v>17</v>
      </c>
      <c r="AC2246">
        <v>-4.2187000000000099</v>
      </c>
      <c r="AD2246">
        <v>-1.1267585869429999</v>
      </c>
      <c r="AE2246">
        <v>-9.4385999999999992</v>
      </c>
      <c r="AF2246">
        <v>-7.3419279533950101</v>
      </c>
      <c r="AG2246">
        <v>-1.1267585869429999</v>
      </c>
      <c r="AH2246">
        <v>7.10535421169467</v>
      </c>
      <c r="AI2246">
        <v>96.293217219601402</v>
      </c>
      <c r="AJ2246">
        <v>135.93813254758601</v>
      </c>
      <c r="AK2246">
        <v>10.279083104039</v>
      </c>
      <c r="AL2246">
        <v>95.666448823940499</v>
      </c>
      <c r="AM2246">
        <v>115.676830450964</v>
      </c>
      <c r="AN2246">
        <v>1.0000000039480099</v>
      </c>
    </row>
    <row r="2247" spans="1:40" x14ac:dyDescent="0.25">
      <c r="A2247" t="str">
        <f>"20190303154509504"</f>
        <v>20190303154509504</v>
      </c>
      <c r="B2247" t="str">
        <f>"1551599109493156"</f>
        <v>1551599109493156</v>
      </c>
      <c r="C2247" t="s">
        <v>40</v>
      </c>
      <c r="D2247">
        <v>4.811369</v>
      </c>
      <c r="E2247">
        <v>0.37642809999999999</v>
      </c>
      <c r="F2247" t="s">
        <v>54</v>
      </c>
      <c r="G2247">
        <v>-489.34089999999998</v>
      </c>
      <c r="H2247" s="1">
        <v>1.309626E-6</v>
      </c>
      <c r="I2247">
        <v>273.47590000000002</v>
      </c>
      <c r="J2247">
        <v>-484.71</v>
      </c>
      <c r="K2247">
        <v>1.126744</v>
      </c>
      <c r="L2247">
        <v>283.27730000000003</v>
      </c>
      <c r="M2247">
        <v>-0.93550900000000003</v>
      </c>
      <c r="N2247">
        <v>-1.4554849999999999E-2</v>
      </c>
      <c r="O2247">
        <v>-0.35300300000000001</v>
      </c>
      <c r="P2247">
        <v>-0.68634359999999905</v>
      </c>
      <c r="Q2247">
        <v>-0.1074981</v>
      </c>
      <c r="R2247">
        <v>-0.71928910000000001</v>
      </c>
      <c r="S2247">
        <v>-1.3710329999999999</v>
      </c>
      <c r="T2247">
        <v>-0.32271559999999999</v>
      </c>
      <c r="U2247">
        <v>-2.8279420000000002</v>
      </c>
      <c r="V2247">
        <v>-0.42932100000000001</v>
      </c>
      <c r="W2247">
        <v>-0.100382</v>
      </c>
      <c r="X2247">
        <v>0.89755609999999997</v>
      </c>
      <c r="Y2247">
        <v>-0.68539209999999995</v>
      </c>
      <c r="Z2247">
        <v>-1.2399179999999999E-2</v>
      </c>
      <c r="AA2247">
        <v>0.72806870000000001</v>
      </c>
      <c r="AB2247">
        <v>17</v>
      </c>
      <c r="AC2247">
        <v>-4.6308999999999898</v>
      </c>
      <c r="AD2247">
        <v>-1.1267426903740001</v>
      </c>
      <c r="AE2247">
        <v>-9.8013999999999992</v>
      </c>
      <c r="AF2247">
        <v>-7.4548359550845902</v>
      </c>
      <c r="AG2247">
        <v>-1.1267426903740001</v>
      </c>
      <c r="AH2247">
        <v>7.7097056634941197</v>
      </c>
      <c r="AI2247">
        <v>95.997654046265495</v>
      </c>
      <c r="AJ2247">
        <v>134.037123294959</v>
      </c>
      <c r="AK2247">
        <v>10.78349153221</v>
      </c>
      <c r="AL2247">
        <v>95.761168095904097</v>
      </c>
      <c r="AM2247">
        <v>115.562824503548</v>
      </c>
      <c r="AN2247">
        <v>1.0000000098060999</v>
      </c>
    </row>
    <row r="2248" spans="1:40" x14ac:dyDescent="0.25">
      <c r="A2248" t="str">
        <f>"20190303154509526"</f>
        <v>20190303154509526</v>
      </c>
      <c r="B2248" t="str">
        <f>"1551599109523413"</f>
        <v>1551599109523413</v>
      </c>
      <c r="C2248" t="s">
        <v>40</v>
      </c>
      <c r="D2248">
        <v>4.8182710000000002</v>
      </c>
      <c r="E2248">
        <v>0.37757230000000003</v>
      </c>
      <c r="F2248" t="s">
        <v>54</v>
      </c>
      <c r="G2248">
        <v>-489.44709999999998</v>
      </c>
      <c r="H2248" s="1">
        <v>1.2508669999999999E-6</v>
      </c>
      <c r="I2248">
        <v>273.28300000000002</v>
      </c>
      <c r="J2248">
        <v>-484.85449999999997</v>
      </c>
      <c r="K2248">
        <v>1.1267240000000001</v>
      </c>
      <c r="L2248">
        <v>283.20830000000001</v>
      </c>
      <c r="M2248">
        <v>-0.93145259999999996</v>
      </c>
      <c r="N2248">
        <v>-1.456431E-2</v>
      </c>
      <c r="O2248">
        <v>-0.36357109999999998</v>
      </c>
      <c r="P2248">
        <v>-0.67912450000000002</v>
      </c>
      <c r="Q2248">
        <v>-0.1083696</v>
      </c>
      <c r="R2248">
        <v>-0.7259795</v>
      </c>
      <c r="S2248">
        <v>-1.345612</v>
      </c>
      <c r="T2248">
        <v>-0.32006240000000002</v>
      </c>
      <c r="U2248">
        <v>-2.8389890000000002</v>
      </c>
      <c r="V2248">
        <v>-0.42799989999999999</v>
      </c>
      <c r="W2248">
        <v>-0.1011939</v>
      </c>
      <c r="X2248">
        <v>0.89809570000000005</v>
      </c>
      <c r="Y2248">
        <v>-0.68365819999999999</v>
      </c>
      <c r="Z2248">
        <v>-1.113335E-2</v>
      </c>
      <c r="AA2248">
        <v>0.72971739999999996</v>
      </c>
      <c r="AB2248">
        <v>17</v>
      </c>
      <c r="AC2248">
        <v>-4.5926</v>
      </c>
      <c r="AD2248">
        <v>-1.1267227491329901</v>
      </c>
      <c r="AE2248">
        <v>-9.9252999999999894</v>
      </c>
      <c r="AF2248">
        <v>-7.4964441057801698</v>
      </c>
      <c r="AG2248">
        <v>-1.1267227491329901</v>
      </c>
      <c r="AH2248">
        <v>7.80434060476132</v>
      </c>
      <c r="AI2248">
        <v>95.944167455018601</v>
      </c>
      <c r="AJ2248">
        <v>133.84719707698099</v>
      </c>
      <c r="AK2248">
        <v>10.8799775119081</v>
      </c>
      <c r="AL2248">
        <v>95.807924666905905</v>
      </c>
      <c r="AM2248">
        <v>115.480778669903</v>
      </c>
      <c r="AN2248">
        <v>1.00000000307785</v>
      </c>
    </row>
    <row r="2249" spans="1:40" x14ac:dyDescent="0.25">
      <c r="A2249" t="str">
        <f>"20190303154509549"</f>
        <v>20190303154509549</v>
      </c>
      <c r="B2249" t="str">
        <f>"1551599109542932"</f>
        <v>1551599109542932</v>
      </c>
      <c r="C2249" t="s">
        <v>40</v>
      </c>
      <c r="D2249">
        <v>4.8319039999999998</v>
      </c>
      <c r="E2249">
        <v>0.37863210000000003</v>
      </c>
      <c r="F2249" t="s">
        <v>54</v>
      </c>
      <c r="G2249">
        <v>-489.49669999999998</v>
      </c>
      <c r="H2249" s="1">
        <v>1.2371369999999999E-6</v>
      </c>
      <c r="I2249">
        <v>273.23169999999999</v>
      </c>
      <c r="J2249">
        <v>-485.01220000000001</v>
      </c>
      <c r="K2249">
        <v>1.126679</v>
      </c>
      <c r="L2249">
        <v>283.13060000000002</v>
      </c>
      <c r="M2249">
        <v>-0.92685510000000004</v>
      </c>
      <c r="N2249">
        <v>-1.457001E-2</v>
      </c>
      <c r="O2249">
        <v>-0.37513679999999999</v>
      </c>
      <c r="P2249">
        <v>-0.67022219999999999</v>
      </c>
      <c r="Q2249">
        <v>-0.1079645</v>
      </c>
      <c r="R2249">
        <v>-0.73426579999999997</v>
      </c>
      <c r="S2249">
        <v>-1.3241270000000001</v>
      </c>
      <c r="T2249">
        <v>-0.32138410000000001</v>
      </c>
      <c r="U2249">
        <v>-2.8457029999999999</v>
      </c>
      <c r="V2249">
        <v>-0.427844</v>
      </c>
      <c r="W2249">
        <v>-0.100733</v>
      </c>
      <c r="X2249">
        <v>0.89822179999999996</v>
      </c>
      <c r="Y2249">
        <v>-0.67981000000000003</v>
      </c>
      <c r="Z2249">
        <v>-9.5839199999999992E-3</v>
      </c>
      <c r="AA2249">
        <v>0.73332559999999902</v>
      </c>
      <c r="AB2249">
        <v>17</v>
      </c>
      <c r="AC2249">
        <v>-4.4844999999999597</v>
      </c>
      <c r="AD2249">
        <v>-1.126677762863</v>
      </c>
      <c r="AE2249">
        <v>-9.8989000000000207</v>
      </c>
      <c r="AF2249">
        <v>-7.4136526681744002</v>
      </c>
      <c r="AG2249">
        <v>-1.126677762863</v>
      </c>
      <c r="AH2249">
        <v>7.7870574807346902</v>
      </c>
      <c r="AI2249">
        <v>95.982191881928401</v>
      </c>
      <c r="AJ2249">
        <v>133.59281456318601</v>
      </c>
      <c r="AK2249">
        <v>10.810638874457201</v>
      </c>
      <c r="AL2249">
        <v>95.781381347260194</v>
      </c>
      <c r="AM2249">
        <v>115.46954974689299</v>
      </c>
      <c r="AN2249">
        <v>1.0000000138101199</v>
      </c>
    </row>
    <row r="2250" spans="1:40" x14ac:dyDescent="0.25">
      <c r="A2250" t="str">
        <f>"20190303154509572"</f>
        <v>20190303154509572</v>
      </c>
      <c r="B2250" t="str">
        <f>"1551599109562451"</f>
        <v>1551599109562451</v>
      </c>
      <c r="C2250" t="s">
        <v>40</v>
      </c>
      <c r="D2250">
        <v>4.8351240000000004</v>
      </c>
      <c r="E2250">
        <v>0.37919320000000001</v>
      </c>
      <c r="F2250" t="s">
        <v>54</v>
      </c>
      <c r="G2250">
        <v>-489.55739999999997</v>
      </c>
      <c r="H2250" s="1">
        <v>1.1985390000000001E-6</v>
      </c>
      <c r="I2250">
        <v>273.10730000000001</v>
      </c>
      <c r="J2250">
        <v>-485.15890000000002</v>
      </c>
      <c r="K2250">
        <v>1.126628</v>
      </c>
      <c r="L2250">
        <v>283.05619999999999</v>
      </c>
      <c r="M2250">
        <v>-0.92242840000000004</v>
      </c>
      <c r="N2250">
        <v>-1.457137E-2</v>
      </c>
      <c r="O2250">
        <v>-0.38589370000000001</v>
      </c>
      <c r="P2250">
        <v>-0.66246619999999901</v>
      </c>
      <c r="Q2250">
        <v>-0.1077337</v>
      </c>
      <c r="R2250">
        <v>-0.74130430000000003</v>
      </c>
      <c r="S2250">
        <v>-1.2951969999999999</v>
      </c>
      <c r="T2250">
        <v>-0.32105539999999999</v>
      </c>
      <c r="U2250">
        <v>-2.8562319999999999</v>
      </c>
      <c r="V2250">
        <v>-0.4268866</v>
      </c>
      <c r="W2250">
        <v>-0.10042520000000001</v>
      </c>
      <c r="X2250">
        <v>0.8987117</v>
      </c>
      <c r="Y2250">
        <v>-0.67850880000000002</v>
      </c>
      <c r="Z2250">
        <v>-8.3289279999999993E-3</v>
      </c>
      <c r="AA2250">
        <v>0.73454509999999995</v>
      </c>
      <c r="AB2250">
        <v>17</v>
      </c>
      <c r="AC2250">
        <v>-4.3984999999999497</v>
      </c>
      <c r="AD2250">
        <v>-1.1266268014609999</v>
      </c>
      <c r="AE2250">
        <v>-9.9488999999999805</v>
      </c>
      <c r="AF2250">
        <v>-7.4011950955168704</v>
      </c>
      <c r="AG2250">
        <v>-1.1266268014609999</v>
      </c>
      <c r="AH2250">
        <v>7.8135407382480198</v>
      </c>
      <c r="AI2250">
        <v>95.976060213021299</v>
      </c>
      <c r="AJ2250">
        <v>133.44756534352001</v>
      </c>
      <c r="AK2250">
        <v>10.821201211507599</v>
      </c>
      <c r="AL2250">
        <v>95.763655583965502</v>
      </c>
      <c r="AM2250">
        <v>115.407642294241</v>
      </c>
      <c r="AN2250">
        <v>1.00000005488574</v>
      </c>
    </row>
    <row r="2251" spans="1:40" x14ac:dyDescent="0.25">
      <c r="A2251" t="str">
        <f>"20190303154509593"</f>
        <v>20190303154509593</v>
      </c>
      <c r="B2251" t="str">
        <f>"1551599109582948"</f>
        <v>1551599109582948</v>
      </c>
      <c r="C2251" t="s">
        <v>40</v>
      </c>
      <c r="D2251">
        <v>4.8675709999999999</v>
      </c>
      <c r="E2251">
        <v>0.38698149999999998</v>
      </c>
      <c r="F2251" t="s">
        <v>54</v>
      </c>
      <c r="G2251">
        <v>-489.67</v>
      </c>
      <c r="H2251" s="1">
        <v>1.1230220000000001E-6</v>
      </c>
      <c r="I2251">
        <v>272.86540000000002</v>
      </c>
      <c r="J2251">
        <v>-485.30250000000001</v>
      </c>
      <c r="K2251">
        <v>1.126563</v>
      </c>
      <c r="L2251">
        <v>282.98129999999998</v>
      </c>
      <c r="M2251">
        <v>-0.91795680000000002</v>
      </c>
      <c r="N2251">
        <v>-1.456912E-2</v>
      </c>
      <c r="O2251">
        <v>-0.39641270000000001</v>
      </c>
      <c r="P2251">
        <v>-0.6558254</v>
      </c>
      <c r="Q2251">
        <v>-0.1088575</v>
      </c>
      <c r="R2251">
        <v>-0.7470232</v>
      </c>
      <c r="S2251">
        <v>-1.2690429999999999</v>
      </c>
      <c r="T2251">
        <v>-0.31693199999999999</v>
      </c>
      <c r="U2251">
        <v>-2.8667910000000001</v>
      </c>
      <c r="V2251">
        <v>-0.42448449999999999</v>
      </c>
      <c r="W2251">
        <v>-0.10144309999999999</v>
      </c>
      <c r="X2251">
        <v>0.89973459999999905</v>
      </c>
      <c r="Y2251">
        <v>-0.67681619999999998</v>
      </c>
      <c r="Z2251">
        <v>-7.1073960000000002E-3</v>
      </c>
      <c r="AA2251">
        <v>0.73611780000000004</v>
      </c>
      <c r="AB2251">
        <v>17</v>
      </c>
      <c r="AC2251">
        <v>-4.3674999999999997</v>
      </c>
      <c r="AD2251">
        <v>-1.1265618769779999</v>
      </c>
      <c r="AE2251">
        <v>-10.1158999999999</v>
      </c>
      <c r="AF2251">
        <v>-7.4772639742799898</v>
      </c>
      <c r="AG2251">
        <v>-1.1265618769779999</v>
      </c>
      <c r="AH2251">
        <v>7.93712687953927</v>
      </c>
      <c r="AI2251">
        <v>95.898412020674996</v>
      </c>
      <c r="AJ2251">
        <v>133.29118184679101</v>
      </c>
      <c r="AK2251">
        <v>10.9625088964903</v>
      </c>
      <c r="AL2251">
        <v>95.822276227938502</v>
      </c>
      <c r="AM2251">
        <v>115.257402736372</v>
      </c>
      <c r="AN2251">
        <v>1.0000000718575</v>
      </c>
    </row>
    <row r="2252" spans="1:40" x14ac:dyDescent="0.25">
      <c r="A2252" t="str">
        <f>"20190303154509616"</f>
        <v>20190303154509616</v>
      </c>
      <c r="B2252" t="str">
        <f>"1551599109603444"</f>
        <v>1551599109603444</v>
      </c>
      <c r="C2252" t="s">
        <v>40</v>
      </c>
      <c r="D2252">
        <v>4.8444120000000002</v>
      </c>
      <c r="E2252">
        <v>0.38704929999999999</v>
      </c>
      <c r="F2252" t="s">
        <v>54</v>
      </c>
      <c r="G2252">
        <v>-490.02539999999999</v>
      </c>
      <c r="H2252" s="1">
        <v>1.0538899999999999E-6</v>
      </c>
      <c r="I2252">
        <v>272.59769999999997</v>
      </c>
      <c r="J2252">
        <v>-485.44810000000001</v>
      </c>
      <c r="K2252">
        <v>1.126512</v>
      </c>
      <c r="L2252">
        <v>282.90339999999998</v>
      </c>
      <c r="M2252">
        <v>-0.91329369999999999</v>
      </c>
      <c r="N2252">
        <v>-1.4563339999999999E-2</v>
      </c>
      <c r="O2252">
        <v>-0.40704109999999899</v>
      </c>
      <c r="P2252">
        <v>-0.64922749999999996</v>
      </c>
      <c r="Q2252">
        <v>-0.108515</v>
      </c>
      <c r="R2252">
        <v>-0.75281350000000002</v>
      </c>
      <c r="S2252">
        <v>-1.2907709999999999</v>
      </c>
      <c r="T2252">
        <v>-0.30789290000000002</v>
      </c>
      <c r="U2252">
        <v>-2.8378909999999999</v>
      </c>
      <c r="V2252">
        <v>-0.42202469999999997</v>
      </c>
      <c r="W2252">
        <v>-0.1009906</v>
      </c>
      <c r="X2252">
        <v>0.90094169999999996</v>
      </c>
      <c r="Y2252">
        <v>-0.66089469999999995</v>
      </c>
      <c r="Z2252">
        <v>-4.8226600000000003E-3</v>
      </c>
      <c r="AA2252">
        <v>0.75046309999999905</v>
      </c>
      <c r="AB2252">
        <v>17</v>
      </c>
      <c r="AC2252">
        <v>-4.5772999999999797</v>
      </c>
      <c r="AD2252">
        <v>-1.12651094611</v>
      </c>
      <c r="AE2252">
        <v>-10.3057</v>
      </c>
      <c r="AF2252">
        <v>-7.4751815159497603</v>
      </c>
      <c r="AG2252">
        <v>-1.12651094611</v>
      </c>
      <c r="AH2252">
        <v>8.2933847106229308</v>
      </c>
      <c r="AI2252">
        <v>95.761422604067903</v>
      </c>
      <c r="AJ2252">
        <v>132.02968651099499</v>
      </c>
      <c r="AK2252">
        <v>11.221746547061899</v>
      </c>
      <c r="AL2252">
        <v>95.796216776230395</v>
      </c>
      <c r="AM2252">
        <v>115.099622879937</v>
      </c>
      <c r="AN2252">
        <v>0.99999994774866796</v>
      </c>
    </row>
    <row r="2253" spans="1:40" x14ac:dyDescent="0.25">
      <c r="A2253" t="str">
        <f>"20190303154509637"</f>
        <v>20190303154509637</v>
      </c>
      <c r="B2253" t="str">
        <f>"1551599109632727"</f>
        <v>1551599109632727</v>
      </c>
      <c r="C2253" t="s">
        <v>40</v>
      </c>
      <c r="D2253">
        <v>4.8481529999999999</v>
      </c>
      <c r="E2253">
        <v>0.38879239999999998</v>
      </c>
      <c r="F2253" t="s">
        <v>54</v>
      </c>
      <c r="G2253">
        <v>-490.09969999999998</v>
      </c>
      <c r="H2253" s="1">
        <v>9.9859219999999993E-7</v>
      </c>
      <c r="I2253">
        <v>272.44119999999998</v>
      </c>
      <c r="J2253">
        <v>-485.59550000000002</v>
      </c>
      <c r="K2253">
        <v>1.126465</v>
      </c>
      <c r="L2253">
        <v>282.82229999999998</v>
      </c>
      <c r="M2253">
        <v>-0.90844559999999996</v>
      </c>
      <c r="N2253">
        <v>-1.455411E-2</v>
      </c>
      <c r="O2253">
        <v>-0.4177497</v>
      </c>
      <c r="P2253">
        <v>-0.64224239999999999</v>
      </c>
      <c r="Q2253">
        <v>-0.10413020000000001</v>
      </c>
      <c r="R2253">
        <v>-0.75939579999999995</v>
      </c>
      <c r="S2253">
        <v>-1.26651</v>
      </c>
      <c r="T2253">
        <v>-0.30672349999999998</v>
      </c>
      <c r="U2253">
        <v>-2.8486020000000001</v>
      </c>
      <c r="V2253">
        <v>-0.42039379999999998</v>
      </c>
      <c r="W2253">
        <v>-9.6505820000000006E-2</v>
      </c>
      <c r="X2253">
        <v>0.90219490000000002</v>
      </c>
      <c r="Y2253">
        <v>-0.65852270000000002</v>
      </c>
      <c r="Z2253">
        <v>-3.5510849999999998E-3</v>
      </c>
      <c r="AA2253">
        <v>0.75255240000000001</v>
      </c>
      <c r="AB2253">
        <v>17</v>
      </c>
      <c r="AC2253">
        <v>-4.50419999999996</v>
      </c>
      <c r="AD2253">
        <v>-1.1264640014078</v>
      </c>
      <c r="AE2253">
        <v>-10.3811</v>
      </c>
      <c r="AF2253">
        <v>-7.4757572569666504</v>
      </c>
      <c r="AG2253">
        <v>-1.1264640014078</v>
      </c>
      <c r="AH2253">
        <v>8.3467056748252304</v>
      </c>
      <c r="AI2253">
        <v>95.740731102118303</v>
      </c>
      <c r="AJ2253">
        <v>131.84932995809501</v>
      </c>
      <c r="AK2253">
        <v>11.2615879579088</v>
      </c>
      <c r="AL2253">
        <v>95.537995330234494</v>
      </c>
      <c r="AM2253">
        <v>114.98400480140801</v>
      </c>
      <c r="AN2253">
        <v>0.99999997897916104</v>
      </c>
    </row>
    <row r="2254" spans="1:40" x14ac:dyDescent="0.25">
      <c r="A2254" t="str">
        <f>"20190303154509660"</f>
        <v>20190303154509660</v>
      </c>
      <c r="B2254" t="str">
        <f>"1551599109653220"</f>
        <v>1551599109653220</v>
      </c>
      <c r="C2254" t="s">
        <v>40</v>
      </c>
      <c r="D2254">
        <v>4.8520089999999998</v>
      </c>
      <c r="E2254">
        <v>0.38985720000000001</v>
      </c>
      <c r="F2254" t="s">
        <v>54</v>
      </c>
      <c r="G2254">
        <v>-490.36610000000002</v>
      </c>
      <c r="H2254" s="1">
        <v>8.2010749999999999E-7</v>
      </c>
      <c r="I2254">
        <v>271.93630000000002</v>
      </c>
      <c r="J2254">
        <v>-485.73989999999998</v>
      </c>
      <c r="K2254">
        <v>1.1264259999999999</v>
      </c>
      <c r="L2254">
        <v>282.7407</v>
      </c>
      <c r="M2254">
        <v>-0.90357189999999998</v>
      </c>
      <c r="N2254">
        <v>-1.4542029999999999E-2</v>
      </c>
      <c r="O2254">
        <v>-0.42818980000000001</v>
      </c>
      <c r="P2254">
        <v>-0.63558619999999899</v>
      </c>
      <c r="Q2254">
        <v>-9.7783350000000005E-2</v>
      </c>
      <c r="R2254">
        <v>-0.76581259999999995</v>
      </c>
      <c r="S2254">
        <v>-1.250183</v>
      </c>
      <c r="T2254">
        <v>-0.29519610000000002</v>
      </c>
      <c r="U2254">
        <v>-2.852722</v>
      </c>
      <c r="V2254">
        <v>-0.41873290000000002</v>
      </c>
      <c r="W2254">
        <v>-9.0058040000000006E-2</v>
      </c>
      <c r="X2254">
        <v>0.90363289999999996</v>
      </c>
      <c r="Y2254">
        <v>-0.65402229999999995</v>
      </c>
      <c r="Z2254">
        <v>-2.4445339999999999E-3</v>
      </c>
      <c r="AA2254">
        <v>0.75647129999999996</v>
      </c>
      <c r="AB2254">
        <v>17</v>
      </c>
      <c r="AC2254">
        <v>-4.6262000000000398</v>
      </c>
      <c r="AD2254">
        <v>-1.1264251798925</v>
      </c>
      <c r="AE2254">
        <v>-10.8043999999999</v>
      </c>
      <c r="AF2254">
        <v>-7.7116487763198496</v>
      </c>
      <c r="AG2254">
        <v>-1.1264251798925</v>
      </c>
      <c r="AH2254">
        <v>8.7272064401536902</v>
      </c>
      <c r="AI2254">
        <v>95.524493252010103</v>
      </c>
      <c r="AJ2254">
        <v>131.46488077393201</v>
      </c>
      <c r="AK2254">
        <v>11.7005338674896</v>
      </c>
      <c r="AL2254">
        <v>95.166945811973207</v>
      </c>
      <c r="AM2254">
        <v>114.862453769917</v>
      </c>
      <c r="AN2254">
        <v>1.0000000550367201</v>
      </c>
    </row>
    <row r="2255" spans="1:40" x14ac:dyDescent="0.25">
      <c r="A2255" t="str">
        <f>"20190303154509683"</f>
        <v>20190303154509683</v>
      </c>
      <c r="B2255" t="str">
        <f>"1551599109672739"</f>
        <v>1551599109672739</v>
      </c>
      <c r="C2255" t="s">
        <v>40</v>
      </c>
      <c r="D2255">
        <v>4.8785699999999999</v>
      </c>
      <c r="E2255">
        <v>0.3902853</v>
      </c>
      <c r="F2255" t="s">
        <v>54</v>
      </c>
      <c r="G2255">
        <v>-490.66120000000001</v>
      </c>
      <c r="H2255" s="1">
        <v>5.9656850000000001E-7</v>
      </c>
      <c r="I2255">
        <v>271.30399999999997</v>
      </c>
      <c r="J2255">
        <v>-485.88470000000001</v>
      </c>
      <c r="K2255">
        <v>1.1263700000000001</v>
      </c>
      <c r="L2255">
        <v>282.65660000000003</v>
      </c>
      <c r="M2255">
        <v>-0.89856360000000002</v>
      </c>
      <c r="N2255">
        <v>-1.452703E-2</v>
      </c>
      <c r="O2255">
        <v>-0.43860260000000001</v>
      </c>
      <c r="P2255">
        <v>-0.62960719999999903</v>
      </c>
      <c r="Q2255">
        <v>-9.5744350000000006E-2</v>
      </c>
      <c r="R2255">
        <v>-0.7709916</v>
      </c>
      <c r="S2255">
        <v>-1.2306820000000001</v>
      </c>
      <c r="T2255">
        <v>-0.28168510000000002</v>
      </c>
      <c r="U2255">
        <v>-2.859985</v>
      </c>
      <c r="V2255">
        <v>-0.4155973</v>
      </c>
      <c r="W2255">
        <v>-8.7895479999999998E-2</v>
      </c>
      <c r="X2255">
        <v>0.90529190000000004</v>
      </c>
      <c r="Y2255">
        <v>-0.6504955</v>
      </c>
      <c r="Z2255">
        <v>-1.5913749999999999E-3</v>
      </c>
      <c r="AA2255">
        <v>0.75950839999999997</v>
      </c>
      <c r="AB2255">
        <v>17</v>
      </c>
      <c r="AC2255">
        <v>-4.7764999999999898</v>
      </c>
      <c r="AD2255">
        <v>-1.1263694034314999</v>
      </c>
      <c r="AE2255">
        <v>-11.352599999999899</v>
      </c>
      <c r="AF2255">
        <v>-8.0396645610093405</v>
      </c>
      <c r="AG2255">
        <v>-1.1263694034314999</v>
      </c>
      <c r="AH2255">
        <v>9.19534326571309</v>
      </c>
      <c r="AI2255">
        <v>95.268733956077995</v>
      </c>
      <c r="AJ2255">
        <v>131.16382312641599</v>
      </c>
      <c r="AK2255">
        <v>12.266183271940401</v>
      </c>
      <c r="AL2255">
        <v>95.0425467150705</v>
      </c>
      <c r="AM2255">
        <v>114.65869422531399</v>
      </c>
      <c r="AN2255">
        <v>1.0000000776886599</v>
      </c>
    </row>
    <row r="2256" spans="1:40" x14ac:dyDescent="0.25">
      <c r="A2256" t="str">
        <f>"20190303154509704"</f>
        <v>20190303154509704</v>
      </c>
      <c r="B2256" t="str">
        <f>"1551599109693236"</f>
        <v>1551599109693236</v>
      </c>
      <c r="C2256" t="s">
        <v>40</v>
      </c>
      <c r="D2256">
        <v>4.8845830000000001</v>
      </c>
      <c r="E2256">
        <v>0.39559080000000002</v>
      </c>
      <c r="F2256" t="s">
        <v>54</v>
      </c>
      <c r="G2256">
        <v>-490.84030000000001</v>
      </c>
      <c r="H2256" s="1">
        <v>4.6295060000000001E-7</v>
      </c>
      <c r="I2256">
        <v>270.92599999999999</v>
      </c>
      <c r="J2256">
        <v>-486.02659999999997</v>
      </c>
      <c r="K2256">
        <v>1.126293</v>
      </c>
      <c r="L2256">
        <v>282.57209999999998</v>
      </c>
      <c r="M2256">
        <v>-0.89354859999999903</v>
      </c>
      <c r="N2256">
        <v>-1.45097E-2</v>
      </c>
      <c r="O2256">
        <v>-0.44873200000000002</v>
      </c>
      <c r="P2256">
        <v>-0.62423709999999999</v>
      </c>
      <c r="Q2256">
        <v>-9.7752900000000004E-2</v>
      </c>
      <c r="R2256">
        <v>-0.7750956</v>
      </c>
      <c r="S2256">
        <v>-1.211395</v>
      </c>
      <c r="T2256">
        <v>-0.27534340000000002</v>
      </c>
      <c r="U2256">
        <v>-2.8675839999999999</v>
      </c>
      <c r="V2256">
        <v>-0.41142060000000003</v>
      </c>
      <c r="W2256">
        <v>-8.9766899999999997E-2</v>
      </c>
      <c r="X2256">
        <v>0.9070144</v>
      </c>
      <c r="Y2256">
        <v>-0.64706109999999994</v>
      </c>
      <c r="Z2256">
        <v>-6.1786730000000002E-4</v>
      </c>
      <c r="AA2256">
        <v>0.7624379</v>
      </c>
      <c r="AB2256">
        <v>17</v>
      </c>
      <c r="AC2256">
        <v>-4.8137000000000398</v>
      </c>
      <c r="AD2256">
        <v>-1.1262925370493999</v>
      </c>
      <c r="AE2256">
        <v>-11.646099999999899</v>
      </c>
      <c r="AF2256">
        <v>-8.1818061737231194</v>
      </c>
      <c r="AG2256">
        <v>-1.1262925370493999</v>
      </c>
      <c r="AH2256">
        <v>9.4527461512249609</v>
      </c>
      <c r="AI2256">
        <v>95.1478818819742</v>
      </c>
      <c r="AJ2256">
        <v>130.87776278889501</v>
      </c>
      <c r="AK2256">
        <v>12.552485687818301</v>
      </c>
      <c r="AL2256">
        <v>95.150196833988204</v>
      </c>
      <c r="AM2256">
        <v>114.398984721457</v>
      </c>
      <c r="AN2256">
        <v>1.0000000641236599</v>
      </c>
    </row>
    <row r="2257" spans="1:40" x14ac:dyDescent="0.25">
      <c r="A2257" t="str">
        <f>"20190303154509727"</f>
        <v>20190303154509727</v>
      </c>
      <c r="B2257" t="str">
        <f>"1551599109722516"</f>
        <v>1551599109722516</v>
      </c>
      <c r="C2257" t="s">
        <v>40</v>
      </c>
      <c r="D2257">
        <v>4.8746539999999996</v>
      </c>
      <c r="E2257">
        <v>0.3971867</v>
      </c>
      <c r="F2257" t="s">
        <v>54</v>
      </c>
      <c r="G2257">
        <v>-490.6703</v>
      </c>
      <c r="H2257" s="1">
        <v>7.5906920000000004E-7</v>
      </c>
      <c r="I2257">
        <v>271.7636</v>
      </c>
      <c r="J2257">
        <v>-486.16539999999998</v>
      </c>
      <c r="K2257">
        <v>1.126207</v>
      </c>
      <c r="L2257">
        <v>282.48750000000001</v>
      </c>
      <c r="M2257">
        <v>-0.88853490000000002</v>
      </c>
      <c r="N2257">
        <v>-1.4490960000000001E-2</v>
      </c>
      <c r="O2257">
        <v>-0.4585805</v>
      </c>
      <c r="P2257">
        <v>-0.61849829999999995</v>
      </c>
      <c r="Q2257">
        <v>-0.1014113</v>
      </c>
      <c r="R2257">
        <v>-0.77921499999999999</v>
      </c>
      <c r="S2257">
        <v>-1.223511</v>
      </c>
      <c r="T2257">
        <v>-0.29675079999999998</v>
      </c>
      <c r="U2257">
        <v>-2.8477779999999999</v>
      </c>
      <c r="V2257">
        <v>-0.40764899999999998</v>
      </c>
      <c r="W2257">
        <v>-9.3304929999999994E-2</v>
      </c>
      <c r="X2257">
        <v>0.90835920000000003</v>
      </c>
      <c r="Y2257">
        <v>-0.63382109999999903</v>
      </c>
      <c r="Z2257">
        <v>2.2267379999999998E-3</v>
      </c>
      <c r="AA2257">
        <v>0.77347650000000001</v>
      </c>
      <c r="AB2257">
        <v>17</v>
      </c>
      <c r="AC2257">
        <v>-4.5049000000000197</v>
      </c>
      <c r="AD2257">
        <v>-1.1262062409308</v>
      </c>
      <c r="AE2257">
        <v>-10.7239</v>
      </c>
      <c r="AF2257">
        <v>-7.3941655737021303</v>
      </c>
      <c r="AG2257">
        <v>-1.1262062409308</v>
      </c>
      <c r="AH2257">
        <v>8.8386095832424605</v>
      </c>
      <c r="AI2257">
        <v>95.581786297308298</v>
      </c>
      <c r="AJ2257">
        <v>129.91503185793101</v>
      </c>
      <c r="AK2257">
        <v>11.578559685618</v>
      </c>
      <c r="AL2257">
        <v>95.353766214412602</v>
      </c>
      <c r="AM2257">
        <v>114.169355978274</v>
      </c>
      <c r="AN2257">
        <v>0.999999976693972</v>
      </c>
    </row>
    <row r="2258" spans="1:40" x14ac:dyDescent="0.25">
      <c r="A2258" t="str">
        <f>"20190303154509750"</f>
        <v>20190303154509750</v>
      </c>
      <c r="B2258" t="str">
        <f>"1551599109743011"</f>
        <v>1551599109743011</v>
      </c>
      <c r="C2258" t="s">
        <v>40</v>
      </c>
      <c r="D2258">
        <v>4.9147540000000003</v>
      </c>
      <c r="E2258">
        <v>0.39797880000000002</v>
      </c>
      <c r="F2258" t="s">
        <v>54</v>
      </c>
      <c r="G2258">
        <v>-490.50599999999997</v>
      </c>
      <c r="H2258" s="1">
        <v>9.4771920000000003E-7</v>
      </c>
      <c r="I2258">
        <v>272.29730000000001</v>
      </c>
      <c r="J2258">
        <v>-486.30939999999998</v>
      </c>
      <c r="K2258">
        <v>1.1261030000000001</v>
      </c>
      <c r="L2258">
        <v>282.39760000000001</v>
      </c>
      <c r="M2258">
        <v>-0.88321970000000005</v>
      </c>
      <c r="N2258">
        <v>-1.4470459999999999E-2</v>
      </c>
      <c r="O2258">
        <v>-0.4687364</v>
      </c>
      <c r="P2258">
        <v>-0.61150369999999998</v>
      </c>
      <c r="Q2258">
        <v>-0.1037764</v>
      </c>
      <c r="R2258">
        <v>-0.78440699999999997</v>
      </c>
      <c r="S2258">
        <v>-1.2125549999999901</v>
      </c>
      <c r="T2258">
        <v>-0.3146062</v>
      </c>
      <c r="U2258">
        <v>-2.8466490000000002</v>
      </c>
      <c r="V2258">
        <v>-0.40507720000000003</v>
      </c>
      <c r="W2258">
        <v>-9.5571719999999999E-2</v>
      </c>
      <c r="X2258">
        <v>0.90927360000000002</v>
      </c>
      <c r="Y2258">
        <v>-0.62726740000000003</v>
      </c>
      <c r="Z2258">
        <v>4.6650390000000002E-3</v>
      </c>
      <c r="AA2258">
        <v>0.77879009999999904</v>
      </c>
      <c r="AB2258">
        <v>17</v>
      </c>
      <c r="AC2258">
        <v>-4.1965999999999797</v>
      </c>
      <c r="AD2258">
        <v>-1.1261020522808001</v>
      </c>
      <c r="AE2258">
        <v>-10.100300000000001</v>
      </c>
      <c r="AF2258">
        <v>-6.88146539978852</v>
      </c>
      <c r="AG2258">
        <v>-1.1261020522808001</v>
      </c>
      <c r="AH2258">
        <v>8.3532328411285093</v>
      </c>
      <c r="AI2258">
        <v>95.940245052281298</v>
      </c>
      <c r="AJ2258">
        <v>129.48199178268999</v>
      </c>
      <c r="AK2258">
        <v>10.8811383034471</v>
      </c>
      <c r="AL2258">
        <v>95.484226762815297</v>
      </c>
      <c r="AM2258">
        <v>114.012751928054</v>
      </c>
      <c r="AN2258">
        <v>0.99999998564027903</v>
      </c>
    </row>
    <row r="2259" spans="1:40" x14ac:dyDescent="0.25">
      <c r="A2259" t="str">
        <f>"20190303154509773"</f>
        <v>20190303154509773</v>
      </c>
      <c r="B2259" t="str">
        <f>"1551599109762532"</f>
        <v>1551599109762532</v>
      </c>
      <c r="C2259" t="s">
        <v>40</v>
      </c>
      <c r="D2259">
        <v>4.9589059999999998</v>
      </c>
      <c r="E2259">
        <v>0.39852799999999999</v>
      </c>
      <c r="F2259" t="s">
        <v>54</v>
      </c>
      <c r="G2259">
        <v>-490.53109999999998</v>
      </c>
      <c r="H2259" s="1">
        <v>9.4721729999999998E-7</v>
      </c>
      <c r="I2259">
        <v>272.29590000000002</v>
      </c>
      <c r="J2259">
        <v>-486.4477</v>
      </c>
      <c r="K2259">
        <v>1.1259999999999999</v>
      </c>
      <c r="L2259">
        <v>282.30930000000001</v>
      </c>
      <c r="M2259">
        <v>-0.87802159999999996</v>
      </c>
      <c r="N2259">
        <v>-1.4449439999999999E-2</v>
      </c>
      <c r="O2259">
        <v>-0.47840280000000002</v>
      </c>
      <c r="P2259">
        <v>-0.60447629999999997</v>
      </c>
      <c r="Q2259">
        <v>-0.10705389999999999</v>
      </c>
      <c r="R2259">
        <v>-0.78939709999999996</v>
      </c>
      <c r="S2259">
        <v>-1.1923220000000001</v>
      </c>
      <c r="T2259">
        <v>-0.3180422</v>
      </c>
      <c r="U2259">
        <v>-2.8529969999999998</v>
      </c>
      <c r="V2259">
        <v>-0.40280949999999999</v>
      </c>
      <c r="W2259">
        <v>-9.8760799999999996E-2</v>
      </c>
      <c r="X2259">
        <v>0.90993999999999997</v>
      </c>
      <c r="Y2259">
        <v>-0.62405790000000005</v>
      </c>
      <c r="Z2259">
        <v>6.1697829999999999E-3</v>
      </c>
      <c r="AA2259">
        <v>0.78135379999999999</v>
      </c>
      <c r="AB2259">
        <v>17</v>
      </c>
      <c r="AC2259">
        <v>-4.0833999999999797</v>
      </c>
      <c r="AD2259">
        <v>-1.1259990527827</v>
      </c>
      <c r="AE2259">
        <v>-10.013399999999899</v>
      </c>
      <c r="AF2259">
        <v>-6.7658313699129096</v>
      </c>
      <c r="AG2259">
        <v>-1.1259990527827</v>
      </c>
      <c r="AH2259">
        <v>8.2867824564282095</v>
      </c>
      <c r="AI2259">
        <v>96.008442479145501</v>
      </c>
      <c r="AJ2259">
        <v>129.23028350150901</v>
      </c>
      <c r="AK2259">
        <v>10.7570958661309</v>
      </c>
      <c r="AL2259">
        <v>95.667816326069001</v>
      </c>
      <c r="AM2259">
        <v>113.877869781374</v>
      </c>
      <c r="AN2259">
        <v>0.99999999625344405</v>
      </c>
    </row>
    <row r="2260" spans="1:40" x14ac:dyDescent="0.25">
      <c r="A2260" t="str">
        <f>"20190303154509794"</f>
        <v>20190303154509794</v>
      </c>
      <c r="B2260" t="str">
        <f>"1551599109783029"</f>
        <v>1551599109783029</v>
      </c>
      <c r="C2260" t="s">
        <v>40</v>
      </c>
      <c r="D2260">
        <v>4.9398070000000001</v>
      </c>
      <c r="E2260">
        <v>0.39902149999999997</v>
      </c>
      <c r="F2260" t="s">
        <v>42</v>
      </c>
      <c r="G2260">
        <v>-486.81509999999997</v>
      </c>
      <c r="H2260">
        <v>1.022243</v>
      </c>
      <c r="I2260">
        <v>281.4117</v>
      </c>
      <c r="J2260">
        <v>-486.5829</v>
      </c>
      <c r="K2260">
        <v>1.125912</v>
      </c>
      <c r="L2260">
        <v>282.22089999999997</v>
      </c>
      <c r="M2260">
        <v>-0.87285299999999999</v>
      </c>
      <c r="N2260">
        <v>-1.4426970000000001E-2</v>
      </c>
      <c r="O2260">
        <v>-0.48776999999999998</v>
      </c>
      <c r="P2260">
        <v>-0.59741009999999894</v>
      </c>
      <c r="Q2260">
        <v>-0.1094017</v>
      </c>
      <c r="R2260">
        <v>-0.79443850000000005</v>
      </c>
      <c r="S2260">
        <v>-1.1703190000000001</v>
      </c>
      <c r="T2260">
        <v>-0.33051530000000001</v>
      </c>
      <c r="U2260">
        <v>-2.859375</v>
      </c>
      <c r="V2260">
        <v>-0.40090369999999997</v>
      </c>
      <c r="W2260">
        <v>-0.10102609999999999</v>
      </c>
      <c r="X2260">
        <v>0.91053280000000003</v>
      </c>
      <c r="Y2260">
        <v>-0.62140839999999997</v>
      </c>
      <c r="Z2260">
        <v>8.1706030000000002E-3</v>
      </c>
      <c r="AA2260">
        <v>0.78344429999999998</v>
      </c>
      <c r="AB2260">
        <v>17</v>
      </c>
      <c r="AC2260">
        <v>-0.23219999999997701</v>
      </c>
      <c r="AD2260">
        <v>-0.103669</v>
      </c>
      <c r="AE2260">
        <v>-0.80919999999997505</v>
      </c>
      <c r="AF2260">
        <v>-0.58425435532688796</v>
      </c>
      <c r="AG2260">
        <v>-0.103669</v>
      </c>
      <c r="AH2260">
        <v>0.58851765270396506</v>
      </c>
      <c r="AI2260">
        <v>97.125624186538502</v>
      </c>
      <c r="AJ2260">
        <v>134.791717512991</v>
      </c>
      <c r="AK2260">
        <v>0.83573526958219402</v>
      </c>
      <c r="AL2260">
        <v>95.798260843102597</v>
      </c>
      <c r="AM2260">
        <v>113.76368851968201</v>
      </c>
      <c r="AN2260">
        <v>1.00000001471537</v>
      </c>
    </row>
    <row r="2261" spans="1:40" x14ac:dyDescent="0.25">
      <c r="A2261" t="str">
        <f>"20190303154509818"</f>
        <v>20190303154509818</v>
      </c>
      <c r="B2261" t="str">
        <f>"1551599109813285"</f>
        <v>1551599109813285</v>
      </c>
      <c r="C2261" t="s">
        <v>40</v>
      </c>
      <c r="D2261">
        <v>4.9578680000000004</v>
      </c>
      <c r="E2261">
        <v>0.3998256</v>
      </c>
      <c r="F2261" t="s">
        <v>42</v>
      </c>
      <c r="G2261">
        <v>-486.93680000000001</v>
      </c>
      <c r="H2261">
        <v>1.022996</v>
      </c>
      <c r="I2261">
        <v>281.33760000000001</v>
      </c>
      <c r="J2261">
        <v>-486.7278</v>
      </c>
      <c r="K2261">
        <v>1.1258140000000001</v>
      </c>
      <c r="L2261">
        <v>282.12430000000001</v>
      </c>
      <c r="M2261">
        <v>-0.86722160000000004</v>
      </c>
      <c r="N2261">
        <v>-1.440112E-2</v>
      </c>
      <c r="O2261">
        <v>-0.49771409999999999</v>
      </c>
      <c r="P2261">
        <v>-0.58921869999999998</v>
      </c>
      <c r="Q2261">
        <v>-0.11101080000000001</v>
      </c>
      <c r="R2261">
        <v>-0.80031109999999905</v>
      </c>
      <c r="S2261">
        <v>-1.1481319999999999</v>
      </c>
      <c r="T2261">
        <v>-0.33392070000000001</v>
      </c>
      <c r="U2261">
        <v>-2.8669129999999998</v>
      </c>
      <c r="V2261">
        <v>-0.39966030000000002</v>
      </c>
      <c r="W2261">
        <v>-0.102559999999999</v>
      </c>
      <c r="X2261">
        <v>0.91090789999999999</v>
      </c>
      <c r="Y2261">
        <v>-0.61841759999999901</v>
      </c>
      <c r="Z2261">
        <v>9.7955200000000003E-3</v>
      </c>
      <c r="AA2261">
        <v>0.78578859999999995</v>
      </c>
      <c r="AB2261">
        <v>17</v>
      </c>
      <c r="AC2261">
        <v>-0.20900000000000299</v>
      </c>
      <c r="AD2261">
        <v>-0.10281799999999899</v>
      </c>
      <c r="AE2261">
        <v>-0.78669999999999596</v>
      </c>
      <c r="AF2261">
        <v>-0.56919927857193797</v>
      </c>
      <c r="AG2261">
        <v>-0.10281799999999899</v>
      </c>
      <c r="AH2261">
        <v>0.56386385513373505</v>
      </c>
      <c r="AI2261">
        <v>97.312748907303302</v>
      </c>
      <c r="AJ2261">
        <v>135.26979519183499</v>
      </c>
      <c r="AK2261">
        <v>0.80777583956014198</v>
      </c>
      <c r="AL2261">
        <v>95.886605504283096</v>
      </c>
      <c r="AM2261">
        <v>113.68943519072999</v>
      </c>
      <c r="AN2261">
        <v>1.0000000556392401</v>
      </c>
    </row>
    <row r="2262" spans="1:40" x14ac:dyDescent="0.25">
      <c r="A2262" t="str">
        <f>"20190303154509839"</f>
        <v>20190303154509839</v>
      </c>
      <c r="B2262" t="str">
        <f>"1551599109832804"</f>
        <v>1551599109832804</v>
      </c>
      <c r="C2262" t="s">
        <v>40</v>
      </c>
      <c r="D2262">
        <v>4.952064</v>
      </c>
      <c r="E2262">
        <v>0.40045599999999998</v>
      </c>
      <c r="F2262" t="s">
        <v>42</v>
      </c>
      <c r="G2262">
        <v>-487.06310000000002</v>
      </c>
      <c r="H2262">
        <v>1.0265249999999999</v>
      </c>
      <c r="I2262">
        <v>281.26690000000002</v>
      </c>
      <c r="J2262">
        <v>-486.8546</v>
      </c>
      <c r="K2262">
        <v>1.1257330000000001</v>
      </c>
      <c r="L2262">
        <v>282.0378</v>
      </c>
      <c r="M2262">
        <v>-0.86221209999999904</v>
      </c>
      <c r="N2262">
        <v>-1.437778E-2</v>
      </c>
      <c r="O2262">
        <v>-0.50634349999999995</v>
      </c>
      <c r="P2262">
        <v>-0.58159490000000003</v>
      </c>
      <c r="Q2262">
        <v>-0.1134462</v>
      </c>
      <c r="R2262">
        <v>-0.8055291</v>
      </c>
      <c r="S2262">
        <v>-1.124298</v>
      </c>
      <c r="T2262">
        <v>-0.33293149999999999</v>
      </c>
      <c r="U2262">
        <v>-2.8745729999999998</v>
      </c>
      <c r="V2262">
        <v>-0.3989142</v>
      </c>
      <c r="W2262">
        <v>-0.10494149999999999</v>
      </c>
      <c r="X2262">
        <v>0.91096370000000004</v>
      </c>
      <c r="Y2262">
        <v>-0.61698350000000002</v>
      </c>
      <c r="Z2262">
        <v>1.0885519999999999E-2</v>
      </c>
      <c r="AA2262">
        <v>0.78690079999999996</v>
      </c>
      <c r="AB2262">
        <v>17</v>
      </c>
      <c r="AC2262">
        <v>-0.20850000000001501</v>
      </c>
      <c r="AD2262">
        <v>-9.9208000000000102E-2</v>
      </c>
      <c r="AE2262">
        <v>-0.77089999999998304</v>
      </c>
      <c r="AF2262">
        <v>-0.55066627372566401</v>
      </c>
      <c r="AG2262">
        <v>-9.9208000000000102E-2</v>
      </c>
      <c r="AH2262">
        <v>0.56150488229522799</v>
      </c>
      <c r="AI2262">
        <v>97.189591794042101</v>
      </c>
      <c r="AJ2262">
        <v>134.44164451235201</v>
      </c>
      <c r="AK2262">
        <v>0.79269370195825695</v>
      </c>
      <c r="AL2262">
        <v>96.023795773409901</v>
      </c>
      <c r="AM2262">
        <v>113.648779917133</v>
      </c>
      <c r="AN2262">
        <v>1.0000000600507799</v>
      </c>
    </row>
    <row r="2263" spans="1:40" x14ac:dyDescent="0.25">
      <c r="A2263" t="str">
        <f>"20190303154509862"</f>
        <v>20190303154509862</v>
      </c>
      <c r="B2263" t="str">
        <f>"1551599109853300"</f>
        <v>1551599109853300</v>
      </c>
      <c r="C2263" t="s">
        <v>40</v>
      </c>
      <c r="D2263">
        <v>4.9889109999999999</v>
      </c>
      <c r="E2263">
        <v>0.4007404</v>
      </c>
      <c r="F2263" t="s">
        <v>42</v>
      </c>
      <c r="G2263">
        <v>-487.18029999999999</v>
      </c>
      <c r="H2263">
        <v>1.0261530000000001</v>
      </c>
      <c r="I2263">
        <v>281.18579999999997</v>
      </c>
      <c r="J2263">
        <v>-486.98910000000001</v>
      </c>
      <c r="K2263">
        <v>1.1256630000000001</v>
      </c>
      <c r="L2263">
        <v>281.94420000000002</v>
      </c>
      <c r="M2263">
        <v>-0.85680499999999904</v>
      </c>
      <c r="N2263">
        <v>-1.4354260000000001E-2</v>
      </c>
      <c r="O2263">
        <v>-0.51544089999999998</v>
      </c>
      <c r="P2263">
        <v>-0.57376749999999999</v>
      </c>
      <c r="Q2263">
        <v>-0.11580210000000001</v>
      </c>
      <c r="R2263">
        <v>-0.81079040000000002</v>
      </c>
      <c r="S2263">
        <v>-1.101318</v>
      </c>
      <c r="T2263">
        <v>-0.33671630000000002</v>
      </c>
      <c r="U2263">
        <v>-2.8816830000000002</v>
      </c>
      <c r="V2263">
        <v>-0.39779890000000001</v>
      </c>
      <c r="W2263">
        <v>-0.10724350000000001</v>
      </c>
      <c r="X2263">
        <v>0.91118319999999997</v>
      </c>
      <c r="Y2263">
        <v>-0.6147956</v>
      </c>
      <c r="Z2263">
        <v>1.2423379999999999E-2</v>
      </c>
      <c r="AA2263">
        <v>0.78858859999999997</v>
      </c>
      <c r="AB2263">
        <v>17</v>
      </c>
      <c r="AC2263">
        <v>-0.19119999999998</v>
      </c>
      <c r="AD2263">
        <v>-9.9509999999999696E-2</v>
      </c>
      <c r="AE2263">
        <v>-0.75840000000005103</v>
      </c>
      <c r="AF2263">
        <v>-0.542523361511136</v>
      </c>
      <c r="AG2263">
        <v>-9.9509999999999696E-2</v>
      </c>
      <c r="AH2263">
        <v>0.54595111653258799</v>
      </c>
      <c r="AI2263">
        <v>97.366843915740205</v>
      </c>
      <c r="AJ2263">
        <v>134.81956834939501</v>
      </c>
      <c r="AK2263">
        <v>0.77607761179441404</v>
      </c>
      <c r="AL2263">
        <v>96.156439788856005</v>
      </c>
      <c r="AM2263">
        <v>113.58483073145</v>
      </c>
      <c r="AN2263">
        <v>0.99999997854784906</v>
      </c>
    </row>
    <row r="2264" spans="1:40" x14ac:dyDescent="0.25">
      <c r="A2264" t="str">
        <f>"20190303154509884"</f>
        <v>20190303154509884</v>
      </c>
      <c r="B2264" t="str">
        <f>"1551599109872820"</f>
        <v>1551599109872820</v>
      </c>
      <c r="C2264" t="s">
        <v>40</v>
      </c>
      <c r="D2264">
        <v>4.9868759999999996</v>
      </c>
      <c r="E2264">
        <v>0.4092635</v>
      </c>
      <c r="F2264" t="s">
        <v>54</v>
      </c>
      <c r="G2264">
        <v>-490.548</v>
      </c>
      <c r="H2264" s="1">
        <v>9.763512000000001E-7</v>
      </c>
      <c r="I2264">
        <v>272.37830000000002</v>
      </c>
      <c r="J2264">
        <v>-487.12509999999997</v>
      </c>
      <c r="K2264">
        <v>1.1256299999999999</v>
      </c>
      <c r="L2264">
        <v>281.84730000000002</v>
      </c>
      <c r="M2264">
        <v>-0.85123700000000002</v>
      </c>
      <c r="N2264">
        <v>-1.433331E-2</v>
      </c>
      <c r="O2264">
        <v>-0.52458570000000004</v>
      </c>
      <c r="P2264">
        <v>-0.56638319999999998</v>
      </c>
      <c r="Q2264">
        <v>-0.1166513</v>
      </c>
      <c r="R2264">
        <v>-0.81584449999999997</v>
      </c>
      <c r="S2264">
        <v>-1.0753779999999999</v>
      </c>
      <c r="T2264">
        <v>-0.3401401</v>
      </c>
      <c r="U2264">
        <v>-2.8905029999999998</v>
      </c>
      <c r="V2264">
        <v>-0.39621430000000002</v>
      </c>
      <c r="W2264">
        <v>-0.10804469999999999</v>
      </c>
      <c r="X2264">
        <v>0.9117788</v>
      </c>
      <c r="Y2264">
        <v>-0.61337410000000003</v>
      </c>
      <c r="Z2264">
        <v>1.390897E-2</v>
      </c>
      <c r="AA2264">
        <v>0.78967010000000004</v>
      </c>
      <c r="AB2264">
        <v>17</v>
      </c>
      <c r="AC2264">
        <v>-3.4229000000000198</v>
      </c>
      <c r="AD2264">
        <v>-1.12562902364879</v>
      </c>
      <c r="AE2264">
        <v>-9.4689999999999905</v>
      </c>
      <c r="AF2264">
        <v>-6.1880629116013504</v>
      </c>
      <c r="AG2264">
        <v>-1.12562902364879</v>
      </c>
      <c r="AH2264">
        <v>7.7845185433788497</v>
      </c>
      <c r="AI2264">
        <v>96.457958841163403</v>
      </c>
      <c r="AJ2264">
        <v>128.481861138417</v>
      </c>
      <c r="AK2264">
        <v>10.0078914986637</v>
      </c>
      <c r="AL2264">
        <v>96.202613300999701</v>
      </c>
      <c r="AM2264">
        <v>113.4873995387</v>
      </c>
      <c r="AN2264">
        <v>1.00000000442601</v>
      </c>
    </row>
    <row r="2265" spans="1:40" x14ac:dyDescent="0.25">
      <c r="A2265" t="str">
        <f>"20190303154509906"</f>
        <v>20190303154509906</v>
      </c>
      <c r="B2265" t="str">
        <f>"1551599109903077"</f>
        <v>1551599109903077</v>
      </c>
      <c r="C2265" t="s">
        <v>40</v>
      </c>
      <c r="D2265">
        <v>4.9862149999999996</v>
      </c>
      <c r="E2265">
        <v>0.41063159999999999</v>
      </c>
      <c r="F2265" t="s">
        <v>42</v>
      </c>
      <c r="G2265">
        <v>-487.49090000000001</v>
      </c>
      <c r="H2265">
        <v>1.0127360000000001</v>
      </c>
      <c r="I2265">
        <v>280.8997</v>
      </c>
      <c r="J2265">
        <v>-487.25779999999997</v>
      </c>
      <c r="K2265">
        <v>1.1256170000000001</v>
      </c>
      <c r="L2265">
        <v>281.75069999999999</v>
      </c>
      <c r="M2265">
        <v>-0.84568559999999904</v>
      </c>
      <c r="N2265">
        <v>-1.43161E-2</v>
      </c>
      <c r="O2265">
        <v>-0.53348960000000001</v>
      </c>
      <c r="P2265">
        <v>-0.55968479999999998</v>
      </c>
      <c r="Q2265">
        <v>-0.11507340000000001</v>
      </c>
      <c r="R2265">
        <v>-0.82067730000000005</v>
      </c>
      <c r="S2265">
        <v>-1.104797</v>
      </c>
      <c r="T2265">
        <v>-0.34092860000000003</v>
      </c>
      <c r="U2265">
        <v>-2.8615110000000001</v>
      </c>
      <c r="V2265">
        <v>-0.39432529999999999</v>
      </c>
      <c r="W2265">
        <v>-0.10642740000000001</v>
      </c>
      <c r="X2265">
        <v>0.91278740000000003</v>
      </c>
      <c r="Y2265">
        <v>-0.59536519999999904</v>
      </c>
      <c r="Z2265">
        <v>1.654773E-2</v>
      </c>
      <c r="AA2265">
        <v>0.80328480000000002</v>
      </c>
      <c r="AB2265">
        <v>17</v>
      </c>
      <c r="AC2265">
        <v>-0.233100000000035</v>
      </c>
      <c r="AD2265">
        <v>-0.112881</v>
      </c>
      <c r="AE2265">
        <v>-0.85099999999999898</v>
      </c>
      <c r="AF2265">
        <v>-0.58579539283472504</v>
      </c>
      <c r="AG2265">
        <v>-0.112881</v>
      </c>
      <c r="AH2265">
        <v>0.64070928662401005</v>
      </c>
      <c r="AI2265">
        <v>97.408403675090796</v>
      </c>
      <c r="AJ2265">
        <v>132.43642681850901</v>
      </c>
      <c r="AK2265">
        <v>0.87544660168032995</v>
      </c>
      <c r="AL2265">
        <v>96.109411194636905</v>
      </c>
      <c r="AM2265">
        <v>113.36440494911101</v>
      </c>
      <c r="AN2265">
        <v>1.0000000356448</v>
      </c>
    </row>
    <row r="2266" spans="1:40" x14ac:dyDescent="0.25">
      <c r="A2266" t="str">
        <f>"20190303154509929"</f>
        <v>20190303154509929</v>
      </c>
      <c r="B2266" t="str">
        <f>"1551599109922596"</f>
        <v>1551599109922596</v>
      </c>
      <c r="C2266" t="s">
        <v>40</v>
      </c>
      <c r="D2266">
        <v>4.9952300000000003</v>
      </c>
      <c r="E2266">
        <v>0.41114519999999999</v>
      </c>
      <c r="F2266" t="s">
        <v>42</v>
      </c>
      <c r="G2266">
        <v>-487.6114</v>
      </c>
      <c r="H2266">
        <v>1.0216209999999999</v>
      </c>
      <c r="I2266">
        <v>280.822</v>
      </c>
      <c r="J2266">
        <v>-487.38780000000003</v>
      </c>
      <c r="K2266">
        <v>1.1256349999999999</v>
      </c>
      <c r="L2266">
        <v>281.654</v>
      </c>
      <c r="M2266">
        <v>-0.84012180000000003</v>
      </c>
      <c r="N2266">
        <v>-1.430269E-2</v>
      </c>
      <c r="O2266">
        <v>-0.54220959999999996</v>
      </c>
      <c r="P2266">
        <v>-0.554191199999999</v>
      </c>
      <c r="Q2266">
        <v>-0.11146109999999999</v>
      </c>
      <c r="R2266">
        <v>-0.8248936</v>
      </c>
      <c r="S2266">
        <v>-1.0913999999999999</v>
      </c>
      <c r="T2266">
        <v>-0.32096619999999998</v>
      </c>
      <c r="U2266">
        <v>-2.866241</v>
      </c>
      <c r="V2266">
        <v>-0.39143990000000001</v>
      </c>
      <c r="W2266">
        <v>-0.10276979999999999</v>
      </c>
      <c r="X2266">
        <v>0.91444689999999995</v>
      </c>
      <c r="Y2266">
        <v>-0.5909375</v>
      </c>
      <c r="Z2266">
        <v>1.6227519999999999E-2</v>
      </c>
      <c r="AA2266">
        <v>0.80655410000000005</v>
      </c>
      <c r="AB2266">
        <v>17</v>
      </c>
      <c r="AC2266">
        <v>-0.22359999999997601</v>
      </c>
      <c r="AD2266">
        <v>-0.104014</v>
      </c>
      <c r="AE2266">
        <v>-0.83199999999999297</v>
      </c>
      <c r="AF2266">
        <v>-0.56950096602560696</v>
      </c>
      <c r="AG2266">
        <v>-0.104014</v>
      </c>
      <c r="AH2266">
        <v>0.62985383828479802</v>
      </c>
      <c r="AI2266">
        <v>96.983521257732093</v>
      </c>
      <c r="AJ2266">
        <v>132.11924235742899</v>
      </c>
      <c r="AK2266">
        <v>0.85549174169140496</v>
      </c>
      <c r="AL2266">
        <v>95.8986904604144</v>
      </c>
      <c r="AM2266">
        <v>113.17392339907499</v>
      </c>
      <c r="AN2266">
        <v>0.99999998001182899</v>
      </c>
    </row>
    <row r="2267" spans="1:40" x14ac:dyDescent="0.25">
      <c r="A2267" t="str">
        <f>"20190303154509951"</f>
        <v>20190303154509951</v>
      </c>
      <c r="B2267" t="str">
        <f>"1551599109943096"</f>
        <v>1551599109943096</v>
      </c>
      <c r="C2267" t="s">
        <v>40</v>
      </c>
      <c r="D2267">
        <v>5.0359489999999996</v>
      </c>
      <c r="E2267">
        <v>0.41207759999999999</v>
      </c>
      <c r="F2267" t="s">
        <v>42</v>
      </c>
      <c r="G2267">
        <v>-487.7294</v>
      </c>
      <c r="H2267">
        <v>1.028462</v>
      </c>
      <c r="I2267">
        <v>280.74160000000001</v>
      </c>
      <c r="J2267">
        <v>-487.5147</v>
      </c>
      <c r="K2267">
        <v>1.125661</v>
      </c>
      <c r="L2267">
        <v>281.55759999999998</v>
      </c>
      <c r="M2267">
        <v>-0.8345456</v>
      </c>
      <c r="N2267">
        <v>-1.429296E-2</v>
      </c>
      <c r="O2267">
        <v>-0.55075359999999995</v>
      </c>
      <c r="P2267">
        <v>-0.54872949999999998</v>
      </c>
      <c r="Q2267">
        <v>-0.1094373</v>
      </c>
      <c r="R2267">
        <v>-0.82880589999999998</v>
      </c>
      <c r="S2267">
        <v>-1.075745</v>
      </c>
      <c r="T2267">
        <v>-0.30595430000000001</v>
      </c>
      <c r="U2267">
        <v>-2.8727719999999999</v>
      </c>
      <c r="V2267">
        <v>-0.38839770000000001</v>
      </c>
      <c r="W2267">
        <v>-0.1007122</v>
      </c>
      <c r="X2267">
        <v>0.9159718</v>
      </c>
      <c r="Y2267">
        <v>-0.5872851</v>
      </c>
      <c r="Z2267">
        <v>1.610398E-2</v>
      </c>
      <c r="AA2267">
        <v>0.80921989999999999</v>
      </c>
      <c r="AB2267">
        <v>17</v>
      </c>
      <c r="AC2267">
        <v>-0.21469999999999301</v>
      </c>
      <c r="AD2267">
        <v>-9.7198999999999994E-2</v>
      </c>
      <c r="AE2267">
        <v>-0.81599999999997397</v>
      </c>
      <c r="AF2267">
        <v>-0.55542927343463999</v>
      </c>
      <c r="AG2267">
        <v>-9.7198999999999994E-2</v>
      </c>
      <c r="AH2267">
        <v>0.62042299068540296</v>
      </c>
      <c r="AI2267">
        <v>96.657688049279699</v>
      </c>
      <c r="AJ2267">
        <v>131.836268994184</v>
      </c>
      <c r="AK2267">
        <v>0.83837581713701204</v>
      </c>
      <c r="AL2267">
        <v>95.780183412517502</v>
      </c>
      <c r="AM2267">
        <v>112.97830481694101</v>
      </c>
      <c r="AN2267">
        <v>1.00000002949468</v>
      </c>
    </row>
    <row r="2268" spans="1:40" x14ac:dyDescent="0.25">
      <c r="A2268" t="str">
        <f>"20190303154509974"</f>
        <v>20190303154509974</v>
      </c>
      <c r="B2268" t="str">
        <f>"1551599109962612"</f>
        <v>1551599109962612</v>
      </c>
      <c r="C2268" t="s">
        <v>40</v>
      </c>
      <c r="D2268">
        <v>5.1005240000000001</v>
      </c>
      <c r="E2268">
        <v>0.41457670000000002</v>
      </c>
      <c r="F2268" t="s">
        <v>42</v>
      </c>
      <c r="G2268">
        <v>-487.84649999999999</v>
      </c>
      <c r="H2268">
        <v>1.032894</v>
      </c>
      <c r="I2268">
        <v>280.6601</v>
      </c>
      <c r="J2268">
        <v>-487.64879999999999</v>
      </c>
      <c r="K2268">
        <v>1.1256900000000001</v>
      </c>
      <c r="L2268">
        <v>281.45350000000002</v>
      </c>
      <c r="M2268">
        <v>-0.828489899999999</v>
      </c>
      <c r="N2268">
        <v>-1.4286729999999999E-2</v>
      </c>
      <c r="O2268">
        <v>-0.55982200000000004</v>
      </c>
      <c r="P2268">
        <v>-0.54280969999999995</v>
      </c>
      <c r="Q2268">
        <v>-0.1090178</v>
      </c>
      <c r="R2268">
        <v>-0.83275049999999995</v>
      </c>
      <c r="S2268">
        <v>-1.0630189999999999</v>
      </c>
      <c r="T2268">
        <v>-0.29727779999999998</v>
      </c>
      <c r="U2268">
        <v>-2.8766780000000001</v>
      </c>
      <c r="V2268">
        <v>-0.38498199999999999</v>
      </c>
      <c r="W2268">
        <v>-0.1002654</v>
      </c>
      <c r="X2268">
        <v>0.91746150000000004</v>
      </c>
      <c r="Y2268">
        <v>-0.58204709999999904</v>
      </c>
      <c r="Z2268">
        <v>1.6622700000000001E-2</v>
      </c>
      <c r="AA2268">
        <v>0.81298510000000002</v>
      </c>
      <c r="AB2268">
        <v>17</v>
      </c>
      <c r="AC2268">
        <v>-0.19769999999999699</v>
      </c>
      <c r="AD2268">
        <v>-9.2795999999999795E-2</v>
      </c>
      <c r="AE2268">
        <v>-0.79340000000001898</v>
      </c>
      <c r="AF2268">
        <v>-0.53975085771385201</v>
      </c>
      <c r="AG2268">
        <v>-9.2795999999999795E-2</v>
      </c>
      <c r="AH2268">
        <v>0.60028557625440804</v>
      </c>
      <c r="AI2268">
        <v>96.5574462651755</v>
      </c>
      <c r="AJ2268">
        <v>131.960509692941</v>
      </c>
      <c r="AK2268">
        <v>0.81257914019369604</v>
      </c>
      <c r="AL2268">
        <v>95.754453892588003</v>
      </c>
      <c r="AM2268">
        <v>112.76372593639</v>
      </c>
      <c r="AN2268">
        <v>0.99999994737170295</v>
      </c>
    </row>
    <row r="2269" spans="1:40" x14ac:dyDescent="0.25">
      <c r="A2269" t="str">
        <f>"20190303154509995"</f>
        <v>20190303154509995</v>
      </c>
      <c r="B2269" t="str">
        <f>"1551599109992869"</f>
        <v>1551599109992869</v>
      </c>
      <c r="C2269" t="s">
        <v>40</v>
      </c>
      <c r="D2269">
        <v>5.0383909999999998</v>
      </c>
      <c r="E2269">
        <v>0.443133</v>
      </c>
      <c r="F2269" t="s">
        <v>42</v>
      </c>
      <c r="G2269">
        <v>-487.96940000000001</v>
      </c>
      <c r="H2269">
        <v>1.036214</v>
      </c>
      <c r="I2269">
        <v>280.584</v>
      </c>
      <c r="J2269">
        <v>-487.77159999999998</v>
      </c>
      <c r="K2269">
        <v>1.1257269999999999</v>
      </c>
      <c r="L2269">
        <v>281.35599999999999</v>
      </c>
      <c r="M2269">
        <v>-0.82276389999999999</v>
      </c>
      <c r="N2269">
        <v>-1.428508E-2</v>
      </c>
      <c r="O2269">
        <v>-0.56820389999999998</v>
      </c>
      <c r="P2269">
        <v>-0.53764579999999995</v>
      </c>
      <c r="Q2269">
        <v>-0.1087931</v>
      </c>
      <c r="R2269">
        <v>-0.836122899999999</v>
      </c>
      <c r="S2269">
        <v>-1.0593870000000001</v>
      </c>
      <c r="T2269">
        <v>-0.29565829999999999</v>
      </c>
      <c r="U2269">
        <v>-2.8733520000000001</v>
      </c>
      <c r="V2269">
        <v>-0.38136690000000001</v>
      </c>
      <c r="W2269">
        <v>-0.10001309999999999</v>
      </c>
      <c r="X2269">
        <v>0.91899759999999997</v>
      </c>
      <c r="Y2269">
        <v>-0.57442959999999998</v>
      </c>
      <c r="Z2269">
        <v>1.7868129999999999E-2</v>
      </c>
      <c r="AA2269">
        <v>0.81835899999999995</v>
      </c>
      <c r="AB2269">
        <v>17</v>
      </c>
      <c r="AC2269">
        <v>-0.19780000000002901</v>
      </c>
      <c r="AD2269">
        <v>-8.9513000000000106E-2</v>
      </c>
      <c r="AE2269">
        <v>-0.77199999999999103</v>
      </c>
      <c r="AF2269">
        <v>-0.51632234488837903</v>
      </c>
      <c r="AG2269">
        <v>-8.9513000000000106E-2</v>
      </c>
      <c r="AH2269">
        <v>0.59396393953862703</v>
      </c>
      <c r="AI2269">
        <v>96.488841410605005</v>
      </c>
      <c r="AJ2269">
        <v>130.99985546917301</v>
      </c>
      <c r="AK2269">
        <v>0.792082383639657</v>
      </c>
      <c r="AL2269">
        <v>95.739925060091196</v>
      </c>
      <c r="AM2269">
        <v>112.537540341601</v>
      </c>
      <c r="AN2269">
        <v>0.999999960696489</v>
      </c>
    </row>
    <row r="2270" spans="1:40" x14ac:dyDescent="0.25">
      <c r="A2270" t="str">
        <f>"20190303154510019"</f>
        <v>20190303154510019</v>
      </c>
      <c r="B2270" t="str">
        <f>"1551599110013364"</f>
        <v>1551599110013364</v>
      </c>
      <c r="C2270" t="s">
        <v>40</v>
      </c>
      <c r="D2270">
        <v>5.1138909999999997</v>
      </c>
      <c r="E2270">
        <v>0.44406630000000002</v>
      </c>
      <c r="F2270" t="s">
        <v>42</v>
      </c>
      <c r="G2270">
        <v>-488.13409999999999</v>
      </c>
      <c r="H2270">
        <v>1.042082</v>
      </c>
      <c r="I2270">
        <v>280.54680000000002</v>
      </c>
      <c r="J2270">
        <v>-487.8997</v>
      </c>
      <c r="K2270">
        <v>1.1257699999999999</v>
      </c>
      <c r="L2270">
        <v>281.25200000000001</v>
      </c>
      <c r="M2270">
        <v>-0.81659689999999996</v>
      </c>
      <c r="N2270">
        <v>-1.428726E-2</v>
      </c>
      <c r="O2270">
        <v>-0.57703149999999903</v>
      </c>
      <c r="P2270">
        <v>-0.53193849999999998</v>
      </c>
      <c r="Q2270">
        <v>-0.10824499999999999</v>
      </c>
      <c r="R2270">
        <v>-0.83983609999999898</v>
      </c>
      <c r="S2270">
        <v>-1.2341</v>
      </c>
      <c r="T2270">
        <v>-0.28484939999999997</v>
      </c>
      <c r="U2270">
        <v>-2.7574459999999998</v>
      </c>
      <c r="V2270">
        <v>-0.37778539999999999</v>
      </c>
      <c r="W2270">
        <v>-9.9441249999999995E-2</v>
      </c>
      <c r="X2270">
        <v>0.92053770000000001</v>
      </c>
      <c r="Y2270">
        <v>-0.50895310000000005</v>
      </c>
      <c r="Z2270">
        <v>2.1836020000000001E-2</v>
      </c>
      <c r="AA2270">
        <v>0.86051730000000004</v>
      </c>
      <c r="AB2270">
        <v>17</v>
      </c>
      <c r="AC2270">
        <v>-0.234399999999993</v>
      </c>
      <c r="AD2270">
        <v>-8.3688000000000207E-2</v>
      </c>
      <c r="AE2270">
        <v>-0.70519999999998995</v>
      </c>
      <c r="AF2270">
        <v>-0.435134523486638</v>
      </c>
      <c r="AG2270">
        <v>-8.3688000000000207E-2</v>
      </c>
      <c r="AH2270">
        <v>0.590900170958508</v>
      </c>
      <c r="AI2270">
        <v>96.506069106360002</v>
      </c>
      <c r="AJ2270">
        <v>126.367656836884</v>
      </c>
      <c r="AK2270">
        <v>0.73858563952512502</v>
      </c>
      <c r="AL2270">
        <v>95.706996006474498</v>
      </c>
      <c r="AM2270">
        <v>112.313072264704</v>
      </c>
      <c r="AN2270">
        <v>1.0000000138880001</v>
      </c>
    </row>
    <row r="2271" spans="1:40" x14ac:dyDescent="0.25">
      <c r="A2271" t="str">
        <f>"20190303154510040"</f>
        <v>20190303154510040</v>
      </c>
      <c r="B2271" t="str">
        <f>"1551599110032885"</f>
        <v>1551599110032885</v>
      </c>
      <c r="C2271" t="s">
        <v>40</v>
      </c>
      <c r="D2271">
        <v>5.0093880000000004</v>
      </c>
      <c r="E2271">
        <v>0.44508429999999999</v>
      </c>
      <c r="F2271" t="s">
        <v>42</v>
      </c>
      <c r="G2271">
        <v>-488.24889999999999</v>
      </c>
      <c r="H2271">
        <v>1.0451900000000001</v>
      </c>
      <c r="I2271">
        <v>280.46170000000001</v>
      </c>
      <c r="J2271">
        <v>-488.0179</v>
      </c>
      <c r="K2271">
        <v>1.12582</v>
      </c>
      <c r="L2271">
        <v>281.15379999999999</v>
      </c>
      <c r="M2271">
        <v>-0.81071510000000002</v>
      </c>
      <c r="N2271">
        <v>-1.42925E-2</v>
      </c>
      <c r="O2271">
        <v>-0.58526650000000002</v>
      </c>
      <c r="P2271">
        <v>-0.52586639999999996</v>
      </c>
      <c r="Q2271">
        <v>-0.10561909999999999</v>
      </c>
      <c r="R2271">
        <v>-0.84398399999999996</v>
      </c>
      <c r="S2271">
        <v>-1.221222</v>
      </c>
      <c r="T2271">
        <v>-0.28169080000000002</v>
      </c>
      <c r="U2271">
        <v>-2.7623289999999998</v>
      </c>
      <c r="V2271">
        <v>-0.3754015</v>
      </c>
      <c r="W2271">
        <v>-9.6806349999999999E-2</v>
      </c>
      <c r="X2271">
        <v>0.92179299999999997</v>
      </c>
      <c r="Y2271">
        <v>-0.50419780000000003</v>
      </c>
      <c r="Z2271">
        <v>2.255132E-2</v>
      </c>
      <c r="AA2271">
        <v>0.86329369999999905</v>
      </c>
      <c r="AB2271">
        <v>17</v>
      </c>
      <c r="AC2271">
        <v>-0.23099999999999399</v>
      </c>
      <c r="AD2271">
        <v>-8.0629999999999896E-2</v>
      </c>
      <c r="AE2271">
        <v>-0.69209999999998195</v>
      </c>
      <c r="AF2271">
        <v>-0.42080400102480398</v>
      </c>
      <c r="AG2271">
        <v>-8.0629999999999896E-2</v>
      </c>
      <c r="AH2271">
        <v>0.5852515408408</v>
      </c>
      <c r="AI2271">
        <v>96.3824158516029</v>
      </c>
      <c r="AJ2271">
        <v>125.71666057420499</v>
      </c>
      <c r="AK2271">
        <v>0.72532514794057401</v>
      </c>
      <c r="AL2271">
        <v>95.555295063968998</v>
      </c>
      <c r="AM2271">
        <v>112.158679815292</v>
      </c>
      <c r="AN2271">
        <v>1.00000004522578</v>
      </c>
    </row>
    <row r="2272" spans="1:40" x14ac:dyDescent="0.25">
      <c r="A2272" t="str">
        <f>"20190303154510063"</f>
        <v>20190303154510063</v>
      </c>
      <c r="B2272" t="str">
        <f>"1551599110052405"</f>
        <v>1551599110052405</v>
      </c>
      <c r="C2272" t="s">
        <v>40</v>
      </c>
      <c r="D2272">
        <v>4.9845829999999998</v>
      </c>
      <c r="E2272">
        <v>0.44595879999999999</v>
      </c>
      <c r="F2272" t="s">
        <v>42</v>
      </c>
      <c r="G2272">
        <v>-488.35919999999999</v>
      </c>
      <c r="H2272">
        <v>1.04748</v>
      </c>
      <c r="I2272">
        <v>280.3723</v>
      </c>
      <c r="J2272">
        <v>-488.142</v>
      </c>
      <c r="K2272">
        <v>1.125882</v>
      </c>
      <c r="L2272">
        <v>281.04829999999998</v>
      </c>
      <c r="M2272">
        <v>-0.80432309999999996</v>
      </c>
      <c r="N2272">
        <v>-1.430035E-2</v>
      </c>
      <c r="O2272">
        <v>-0.594020199999999</v>
      </c>
      <c r="P2272">
        <v>-0.51911339999999995</v>
      </c>
      <c r="Q2272">
        <v>-0.1030802</v>
      </c>
      <c r="R2272">
        <v>-0.84846679999999997</v>
      </c>
      <c r="S2272">
        <v>-1.2079470000000001</v>
      </c>
      <c r="T2272">
        <v>-0.27729979999999999</v>
      </c>
      <c r="U2272">
        <v>-2.7672119999999998</v>
      </c>
      <c r="V2272">
        <v>-0.37303910000000001</v>
      </c>
      <c r="W2272">
        <v>-9.4258800000000004E-2</v>
      </c>
      <c r="X2272">
        <v>0.92301520000000004</v>
      </c>
      <c r="Y2272">
        <v>-0.49891350000000001</v>
      </c>
      <c r="Z2272">
        <v>2.316472E-2</v>
      </c>
      <c r="AA2272">
        <v>0.8663421</v>
      </c>
      <c r="AB2272">
        <v>17</v>
      </c>
      <c r="AC2272">
        <v>-0.21719999999999101</v>
      </c>
      <c r="AD2272">
        <v>-7.8401999999999999E-2</v>
      </c>
      <c r="AE2272">
        <v>-0.67599999999998694</v>
      </c>
      <c r="AF2272">
        <v>-0.40974775595399898</v>
      </c>
      <c r="AG2272">
        <v>-7.8401999999999999E-2</v>
      </c>
      <c r="AH2272">
        <v>0.56937343319749001</v>
      </c>
      <c r="AI2272">
        <v>96.377251991408798</v>
      </c>
      <c r="AJ2272">
        <v>125.740556384588</v>
      </c>
      <c r="AK2272">
        <v>0.705851403302731</v>
      </c>
      <c r="AL2272">
        <v>95.408660883148301</v>
      </c>
      <c r="AM2272">
        <v>112.00623005771899</v>
      </c>
      <c r="AN2272">
        <v>0.99999997546864405</v>
      </c>
    </row>
    <row r="2273" spans="1:40" x14ac:dyDescent="0.25">
      <c r="A2273" t="str">
        <f>"20190303154510085"</f>
        <v>20190303154510085</v>
      </c>
      <c r="B2273" t="str">
        <f>"1551599110082660"</f>
        <v>1551599110082660</v>
      </c>
      <c r="C2273" t="s">
        <v>40</v>
      </c>
      <c r="D2273">
        <v>4.9632630000000004</v>
      </c>
      <c r="E2273">
        <v>0.44654680000000002</v>
      </c>
      <c r="F2273" t="s">
        <v>42</v>
      </c>
      <c r="G2273">
        <v>-488.52850000000001</v>
      </c>
      <c r="H2273">
        <v>1.03783</v>
      </c>
      <c r="I2273">
        <v>280.14920000000001</v>
      </c>
      <c r="J2273">
        <v>-488.2638</v>
      </c>
      <c r="K2273">
        <v>1.125937</v>
      </c>
      <c r="L2273">
        <v>280.94229999999999</v>
      </c>
      <c r="M2273">
        <v>-0.79783599999999999</v>
      </c>
      <c r="N2273">
        <v>-1.430934E-2</v>
      </c>
      <c r="O2273">
        <v>-0.60270489999999999</v>
      </c>
      <c r="P2273">
        <v>-0.5117931</v>
      </c>
      <c r="Q2273">
        <v>-0.10127129999999999</v>
      </c>
      <c r="R2273">
        <v>-0.85311919999999897</v>
      </c>
      <c r="S2273">
        <v>-1.1917420000000001</v>
      </c>
      <c r="T2273">
        <v>-0.27155299999999999</v>
      </c>
      <c r="U2273">
        <v>-2.7736209999999999</v>
      </c>
      <c r="V2273">
        <v>-0.37116209999999999</v>
      </c>
      <c r="W2273">
        <v>-9.2445150000000004E-2</v>
      </c>
      <c r="X2273">
        <v>0.92395490000000002</v>
      </c>
      <c r="Y2273">
        <v>-0.4945561</v>
      </c>
      <c r="Z2273">
        <v>2.3505359999999999E-2</v>
      </c>
      <c r="AA2273">
        <v>0.86882780000000004</v>
      </c>
      <c r="AB2273">
        <v>17</v>
      </c>
      <c r="AC2273">
        <v>-0.26470000000000399</v>
      </c>
      <c r="AD2273">
        <v>-8.8107000000000102E-2</v>
      </c>
      <c r="AE2273">
        <v>-0.79309999999998104</v>
      </c>
      <c r="AF2273">
        <v>-0.46807838171475802</v>
      </c>
      <c r="AG2273">
        <v>-8.8107000000000102E-2</v>
      </c>
      <c r="AH2273">
        <v>0.68169309223685604</v>
      </c>
      <c r="AI2273">
        <v>96.0818007441855</v>
      </c>
      <c r="AJ2273">
        <v>124.475086410057</v>
      </c>
      <c r="AK2273">
        <v>0.83160428503053896</v>
      </c>
      <c r="AL2273">
        <v>95.304290298100398</v>
      </c>
      <c r="AM2273">
        <v>111.88583099049301</v>
      </c>
      <c r="AN2273">
        <v>1.0000000337344701</v>
      </c>
    </row>
    <row r="2274" spans="1:40" x14ac:dyDescent="0.25">
      <c r="A2274" t="str">
        <f>"20190303154510108"</f>
        <v>20190303154510108</v>
      </c>
      <c r="B2274" t="str">
        <f>"1551599110103156"</f>
        <v>1551599110103156</v>
      </c>
      <c r="C2274" t="s">
        <v>40</v>
      </c>
      <c r="D2274">
        <v>4.9516229999999997</v>
      </c>
      <c r="E2274">
        <v>0.44693329999999998</v>
      </c>
      <c r="F2274" t="s">
        <v>42</v>
      </c>
      <c r="G2274">
        <v>-488.6361</v>
      </c>
      <c r="H2274">
        <v>1.039906</v>
      </c>
      <c r="I2274">
        <v>280.0582</v>
      </c>
      <c r="J2274">
        <v>-488.3836</v>
      </c>
      <c r="K2274">
        <v>1.1259790000000001</v>
      </c>
      <c r="L2274">
        <v>280.83550000000002</v>
      </c>
      <c r="M2274">
        <v>-0.79124530000000004</v>
      </c>
      <c r="N2274">
        <v>-1.431811E-2</v>
      </c>
      <c r="O2274">
        <v>-0.61133149999999903</v>
      </c>
      <c r="P2274">
        <v>-0.50449189999999999</v>
      </c>
      <c r="Q2274">
        <v>-0.1003923</v>
      </c>
      <c r="R2274">
        <v>-0.85756049999999995</v>
      </c>
      <c r="S2274">
        <v>-1.1714169999999999</v>
      </c>
      <c r="T2274">
        <v>-0.27067740000000001</v>
      </c>
      <c r="U2274">
        <v>-2.781647</v>
      </c>
      <c r="V2274">
        <v>-0.36910520000000002</v>
      </c>
      <c r="W2274">
        <v>-9.1548820000000003E-2</v>
      </c>
      <c r="X2274">
        <v>0.92486760000000001</v>
      </c>
      <c r="Y2274">
        <v>-0.4914347</v>
      </c>
      <c r="Z2274">
        <v>2.437827E-2</v>
      </c>
      <c r="AA2274">
        <v>0.87057320000000005</v>
      </c>
      <c r="AB2274">
        <v>16</v>
      </c>
      <c r="AC2274">
        <v>-0.252499999999997</v>
      </c>
      <c r="AD2274">
        <v>-8.6072999999999997E-2</v>
      </c>
      <c r="AE2274">
        <v>-0.77730000000002497</v>
      </c>
      <c r="AF2274">
        <v>-0.45566690509907498</v>
      </c>
      <c r="AG2274">
        <v>-8.6072999999999997E-2</v>
      </c>
      <c r="AH2274">
        <v>0.667641377237425</v>
      </c>
      <c r="AI2274">
        <v>96.078187308932996</v>
      </c>
      <c r="AJ2274">
        <v>124.313633996318</v>
      </c>
      <c r="AK2274">
        <v>0.81288738354771894</v>
      </c>
      <c r="AL2274">
        <v>95.252716066478399</v>
      </c>
      <c r="AM2274">
        <v>111.75643658772</v>
      </c>
      <c r="AN2274">
        <v>0.99999995632009497</v>
      </c>
    </row>
    <row r="2275" spans="1:40" x14ac:dyDescent="0.25">
      <c r="A2275" t="str">
        <f>"20190303154510130"</f>
        <v>20190303154510130</v>
      </c>
      <c r="B2275" t="str">
        <f>"1551599110122693"</f>
        <v>1551599110122693</v>
      </c>
      <c r="C2275" t="s">
        <v>40</v>
      </c>
      <c r="D2275">
        <v>4.9423550000000001</v>
      </c>
      <c r="E2275">
        <v>0.44745849999999998</v>
      </c>
      <c r="F2275" t="s">
        <v>42</v>
      </c>
      <c r="G2275">
        <v>-488.74250000000001</v>
      </c>
      <c r="H2275">
        <v>1.0417529999999999</v>
      </c>
      <c r="I2275">
        <v>279.96609999999998</v>
      </c>
      <c r="J2275">
        <v>-488.50310000000002</v>
      </c>
      <c r="K2275">
        <v>1.1260139999999901</v>
      </c>
      <c r="L2275">
        <v>280.72660000000002</v>
      </c>
      <c r="M2275">
        <v>-0.78445889999999996</v>
      </c>
      <c r="N2275">
        <v>-1.4326119999999999E-2</v>
      </c>
      <c r="O2275">
        <v>-0.62001549999999905</v>
      </c>
      <c r="P2275">
        <v>-0.49724659999999898</v>
      </c>
      <c r="Q2275">
        <v>-9.9561230000000001E-2</v>
      </c>
      <c r="R2275">
        <v>-0.86187789999999997</v>
      </c>
      <c r="S2275">
        <v>-1.1504209999999999</v>
      </c>
      <c r="T2275">
        <v>-0.27010869999999998</v>
      </c>
      <c r="U2275">
        <v>-2.789917</v>
      </c>
      <c r="V2275">
        <v>-0.36679010000000001</v>
      </c>
      <c r="W2275">
        <v>-9.0686180000000005E-2</v>
      </c>
      <c r="X2275">
        <v>0.92587319999999995</v>
      </c>
      <c r="Y2275">
        <v>-0.48836990000000002</v>
      </c>
      <c r="Z2275">
        <v>2.5289249999999999E-2</v>
      </c>
      <c r="AA2275">
        <v>0.872270199999999</v>
      </c>
      <c r="AB2275">
        <v>16</v>
      </c>
      <c r="AC2275">
        <v>-0.23939999999998901</v>
      </c>
      <c r="AD2275">
        <v>-8.4260999999999697E-2</v>
      </c>
      <c r="AE2275">
        <v>-0.76050000000003504</v>
      </c>
      <c r="AF2275">
        <v>-0.44324456779206201</v>
      </c>
      <c r="AG2275">
        <v>-8.4260999999999697E-2</v>
      </c>
      <c r="AH2275">
        <v>0.65210538772773796</v>
      </c>
      <c r="AI2275">
        <v>96.099738319846793</v>
      </c>
      <c r="AJ2275">
        <v>124.204459687027</v>
      </c>
      <c r="AK2275">
        <v>0.79297358070853496</v>
      </c>
      <c r="AL2275">
        <v>95.203083367909002</v>
      </c>
      <c r="AM2275">
        <v>111.611285218421</v>
      </c>
      <c r="AN2275">
        <v>1.00000007158961</v>
      </c>
    </row>
    <row r="2276" spans="1:40" x14ac:dyDescent="0.25">
      <c r="A2276" t="str">
        <f>"20190303154510152"</f>
        <v>20190303154510152</v>
      </c>
      <c r="B2276" t="str">
        <f>"1551599110143177"</f>
        <v>1551599110143177</v>
      </c>
      <c r="C2276" t="s">
        <v>40</v>
      </c>
      <c r="D2276">
        <v>4.8926290000000003</v>
      </c>
      <c r="E2276">
        <v>0.44794650000000003</v>
      </c>
      <c r="F2276" t="s">
        <v>42</v>
      </c>
      <c r="G2276">
        <v>-488.84800000000001</v>
      </c>
      <c r="H2276">
        <v>1.043309</v>
      </c>
      <c r="I2276">
        <v>279.87310000000002</v>
      </c>
      <c r="J2276">
        <v>-488.61720000000003</v>
      </c>
      <c r="K2276">
        <v>1.1260349999999999</v>
      </c>
      <c r="L2276">
        <v>280.62020000000001</v>
      </c>
      <c r="M2276">
        <v>-0.77778910000000001</v>
      </c>
      <c r="N2276">
        <v>-1.4332920000000001E-2</v>
      </c>
      <c r="O2276">
        <v>-0.62836219999999998</v>
      </c>
      <c r="P2276">
        <v>-0.48998789999999998</v>
      </c>
      <c r="Q2276">
        <v>-9.8157090000000002E-2</v>
      </c>
      <c r="R2276">
        <v>-0.86618530000000005</v>
      </c>
      <c r="S2276">
        <v>-1.1306149999999999</v>
      </c>
      <c r="T2276">
        <v>-0.27115650000000002</v>
      </c>
      <c r="U2276">
        <v>-2.7972109999999999</v>
      </c>
      <c r="V2276">
        <v>-0.36481639999999999</v>
      </c>
      <c r="W2276">
        <v>-8.9249079999999995E-2</v>
      </c>
      <c r="X2276">
        <v>0.92679210000000001</v>
      </c>
      <c r="Y2276">
        <v>-0.48516619999999999</v>
      </c>
      <c r="Z2276">
        <v>2.640319E-2</v>
      </c>
      <c r="AA2276">
        <v>0.8740232</v>
      </c>
      <c r="AB2276">
        <v>16</v>
      </c>
      <c r="AC2276">
        <v>-0.23079999999998699</v>
      </c>
      <c r="AD2276">
        <v>-8.2725999999999994E-2</v>
      </c>
      <c r="AE2276">
        <v>-0.747099999999989</v>
      </c>
      <c r="AF2276">
        <v>-0.43127774445058997</v>
      </c>
      <c r="AG2276">
        <v>-8.2725999999999994E-2</v>
      </c>
      <c r="AH2276">
        <v>0.64184561234389403</v>
      </c>
      <c r="AI2276">
        <v>96.106293405310097</v>
      </c>
      <c r="AJ2276">
        <v>123.898486638856</v>
      </c>
      <c r="AK2276">
        <v>0.77769523209255798</v>
      </c>
      <c r="AL2276">
        <v>95.120408694858796</v>
      </c>
      <c r="AM2276">
        <v>111.486259846004</v>
      </c>
      <c r="AN2276">
        <v>1.0000000003061</v>
      </c>
    </row>
    <row r="2277" spans="1:40" x14ac:dyDescent="0.25">
      <c r="A2277" t="str">
        <f>"20190303154510176"</f>
        <v>20190303154510176</v>
      </c>
      <c r="B2277" t="str">
        <f>"1551599110172452"</f>
        <v>1551599110172452</v>
      </c>
      <c r="C2277" t="s">
        <v>40</v>
      </c>
      <c r="D2277">
        <v>4.9099370000000002</v>
      </c>
      <c r="E2277">
        <v>0.45451409999999998</v>
      </c>
      <c r="F2277" t="s">
        <v>42</v>
      </c>
      <c r="G2277">
        <v>-488.95060000000001</v>
      </c>
      <c r="H2277">
        <v>1.0450889999999999</v>
      </c>
      <c r="I2277">
        <v>279.77780000000001</v>
      </c>
      <c r="J2277">
        <v>-488.74079999999998</v>
      </c>
      <c r="K2277">
        <v>1.1260570000000001</v>
      </c>
      <c r="L2277">
        <v>280.50229999999999</v>
      </c>
      <c r="M2277">
        <v>-0.77033750000000001</v>
      </c>
      <c r="N2277">
        <v>-1.434008E-2</v>
      </c>
      <c r="O2277">
        <v>-0.63747509999999996</v>
      </c>
      <c r="P2277">
        <v>-0.48240280000000002</v>
      </c>
      <c r="Q2277">
        <v>-9.582106E-2</v>
      </c>
      <c r="R2277">
        <v>-0.87069269999999999</v>
      </c>
      <c r="S2277">
        <v>-1.110107</v>
      </c>
      <c r="T2277">
        <v>-0.26951649999999999</v>
      </c>
      <c r="U2277">
        <v>-2.8049620000000002</v>
      </c>
      <c r="V2277">
        <v>-0.36223119999999998</v>
      </c>
      <c r="W2277">
        <v>-8.6864179999999999E-2</v>
      </c>
      <c r="X2277">
        <v>0.92803190000000002</v>
      </c>
      <c r="Y2277">
        <v>-0.48125089999999998</v>
      </c>
      <c r="Z2277">
        <v>2.7242430000000002E-2</v>
      </c>
      <c r="AA2277">
        <v>0.87615940000000003</v>
      </c>
      <c r="AB2277">
        <v>16</v>
      </c>
      <c r="AC2277">
        <v>-0.20980000000002899</v>
      </c>
      <c r="AD2277">
        <v>-8.0967999999999901E-2</v>
      </c>
      <c r="AE2277">
        <v>-0.72449999999997705</v>
      </c>
      <c r="AF2277">
        <v>-0.41957596408697501</v>
      </c>
      <c r="AG2277">
        <v>-8.0967999999999901E-2</v>
      </c>
      <c r="AH2277">
        <v>0.61642831572841605</v>
      </c>
      <c r="AI2277">
        <v>96.197115418303696</v>
      </c>
      <c r="AJ2277">
        <v>124.24141701616399</v>
      </c>
      <c r="AK2277">
        <v>0.75005578132248696</v>
      </c>
      <c r="AL2277">
        <v>94.983230999434596</v>
      </c>
      <c r="AM2277">
        <v>111.321791843996</v>
      </c>
      <c r="AN2277">
        <v>1.00000001771906</v>
      </c>
    </row>
    <row r="2278" spans="1:40" x14ac:dyDescent="0.25">
      <c r="A2278" t="str">
        <f>"20190303154510198"</f>
        <v>20190303154510198</v>
      </c>
      <c r="B2278" t="str">
        <f>"1551599110192948"</f>
        <v>1551599110192948</v>
      </c>
      <c r="C2278" t="s">
        <v>40</v>
      </c>
      <c r="D2278">
        <v>4.8715099999999998</v>
      </c>
      <c r="E2278">
        <v>0.4544918</v>
      </c>
      <c r="F2278" t="s">
        <v>42</v>
      </c>
      <c r="G2278">
        <v>-489.0838</v>
      </c>
      <c r="H2278">
        <v>1.039698</v>
      </c>
      <c r="I2278">
        <v>279.65629999999999</v>
      </c>
      <c r="J2278">
        <v>-488.85309999999998</v>
      </c>
      <c r="K2278">
        <v>1.1260749999999999</v>
      </c>
      <c r="L2278">
        <v>280.39269999999999</v>
      </c>
      <c r="M2278">
        <v>-0.76336169999999903</v>
      </c>
      <c r="N2278">
        <v>-1.4346579999999999E-2</v>
      </c>
      <c r="O2278">
        <v>-0.64581199999999905</v>
      </c>
      <c r="P2278">
        <v>-0.4754834</v>
      </c>
      <c r="Q2278">
        <v>-9.3465619999999999E-2</v>
      </c>
      <c r="R2278">
        <v>-0.87474580000000002</v>
      </c>
      <c r="S2278">
        <v>-1.130371</v>
      </c>
      <c r="T2278">
        <v>-0.28461170000000002</v>
      </c>
      <c r="U2278">
        <v>-2.7880250000000002</v>
      </c>
      <c r="V2278">
        <v>-0.35972500000000002</v>
      </c>
      <c r="W2278">
        <v>-8.4459839999999994E-2</v>
      </c>
      <c r="X2278">
        <v>0.9292279</v>
      </c>
      <c r="Y2278">
        <v>-0.46439330000000001</v>
      </c>
      <c r="Z2278">
        <v>3.12377E-2</v>
      </c>
      <c r="AA2278">
        <v>0.88507800000000003</v>
      </c>
      <c r="AB2278">
        <v>16</v>
      </c>
      <c r="AC2278">
        <v>-0.23070000000001301</v>
      </c>
      <c r="AD2278">
        <v>-8.6376999999999898E-2</v>
      </c>
      <c r="AE2278">
        <v>-0.73640000000000305</v>
      </c>
      <c r="AF2278">
        <v>-0.40808048860650897</v>
      </c>
      <c r="AG2278">
        <v>-8.6376999999999898E-2</v>
      </c>
      <c r="AH2278">
        <v>0.64368595723623001</v>
      </c>
      <c r="AI2278">
        <v>96.465994601943194</v>
      </c>
      <c r="AJ2278">
        <v>122.373655557351</v>
      </c>
      <c r="AK2278">
        <v>0.76702169646852103</v>
      </c>
      <c r="AL2278">
        <v>94.844964212028003</v>
      </c>
      <c r="AM2278">
        <v>111.16254021525199</v>
      </c>
      <c r="AN2278">
        <v>1.0000000151681101</v>
      </c>
    </row>
    <row r="2279" spans="1:40" x14ac:dyDescent="0.25">
      <c r="A2279" t="str">
        <f>"20190303154510220"</f>
        <v>20190303154510220</v>
      </c>
      <c r="B2279" t="str">
        <f>"1551599110212469"</f>
        <v>1551599110212469</v>
      </c>
      <c r="C2279" t="s">
        <v>40</v>
      </c>
      <c r="D2279">
        <v>4.8833270000000004</v>
      </c>
      <c r="E2279">
        <v>0.45516980000000001</v>
      </c>
      <c r="F2279" t="s">
        <v>42</v>
      </c>
      <c r="G2279">
        <v>-489.19389999999999</v>
      </c>
      <c r="H2279">
        <v>1.0395160000000001</v>
      </c>
      <c r="I2279">
        <v>279.53199999999998</v>
      </c>
      <c r="J2279">
        <v>-488.96280000000002</v>
      </c>
      <c r="K2279">
        <v>1.126088</v>
      </c>
      <c r="L2279">
        <v>280.28320000000002</v>
      </c>
      <c r="M2279">
        <v>-0.75635819999999998</v>
      </c>
      <c r="N2279">
        <v>-1.435288E-2</v>
      </c>
      <c r="O2279">
        <v>-0.65400040000000004</v>
      </c>
      <c r="P2279">
        <v>-0.46776859999999998</v>
      </c>
      <c r="Q2279">
        <v>-9.0778020000000001E-2</v>
      </c>
      <c r="R2279">
        <v>-0.8791774</v>
      </c>
      <c r="S2279">
        <v>-1.1072390000000001</v>
      </c>
      <c r="T2279">
        <v>-0.2813119</v>
      </c>
      <c r="U2279">
        <v>-2.7976679999999998</v>
      </c>
      <c r="V2279">
        <v>-0.35813420000000001</v>
      </c>
      <c r="W2279">
        <v>-8.1738669999999999E-2</v>
      </c>
      <c r="X2279">
        <v>0.9300853</v>
      </c>
      <c r="Y2279">
        <v>-0.46224720000000002</v>
      </c>
      <c r="Z2279">
        <v>3.1664640000000001E-2</v>
      </c>
      <c r="AA2279">
        <v>0.88618560000000002</v>
      </c>
      <c r="AB2279">
        <v>16</v>
      </c>
      <c r="AC2279">
        <v>-0.231099999999969</v>
      </c>
      <c r="AD2279">
        <v>-8.6572000000000093E-2</v>
      </c>
      <c r="AE2279">
        <v>-0.75120000000003895</v>
      </c>
      <c r="AF2279">
        <v>-0.41207989653690202</v>
      </c>
      <c r="AG2279">
        <v>-8.6572000000000093E-2</v>
      </c>
      <c r="AH2279">
        <v>0.65816247319806997</v>
      </c>
      <c r="AI2279">
        <v>96.361450560994598</v>
      </c>
      <c r="AJ2279">
        <v>122.05095583216701</v>
      </c>
      <c r="AK2279">
        <v>0.781333727315073</v>
      </c>
      <c r="AL2279">
        <v>94.688511598451697</v>
      </c>
      <c r="AM2279">
        <v>111.05946099670101</v>
      </c>
      <c r="AN2279">
        <v>0.999999990329549</v>
      </c>
    </row>
    <row r="2280" spans="1:40" x14ac:dyDescent="0.25">
      <c r="A2280" t="str">
        <f>"20190303154510241"</f>
        <v>20190303154510241</v>
      </c>
      <c r="B2280" t="str">
        <f>"1551599110232964"</f>
        <v>1551599110232964</v>
      </c>
      <c r="C2280" t="s">
        <v>40</v>
      </c>
      <c r="D2280">
        <v>4.8875970000000004</v>
      </c>
      <c r="E2280">
        <v>0.45633200000000002</v>
      </c>
      <c r="F2280" t="s">
        <v>42</v>
      </c>
      <c r="G2280">
        <v>-489.30239999999998</v>
      </c>
      <c r="H2280">
        <v>1.030392</v>
      </c>
      <c r="I2280">
        <v>279.40609999999998</v>
      </c>
      <c r="J2280">
        <v>-489.07040000000001</v>
      </c>
      <c r="K2280">
        <v>1.1261019999999999</v>
      </c>
      <c r="L2280">
        <v>280.17320000000001</v>
      </c>
      <c r="M2280">
        <v>-0.74928649999999997</v>
      </c>
      <c r="N2280">
        <v>-1.435851E-2</v>
      </c>
      <c r="O2280">
        <v>-0.66209059999999997</v>
      </c>
      <c r="P2280">
        <v>-0.46026230000000001</v>
      </c>
      <c r="Q2280">
        <v>-8.8829610000000003E-2</v>
      </c>
      <c r="R2280">
        <v>-0.88332819999999901</v>
      </c>
      <c r="S2280">
        <v>-1.0860289999999999</v>
      </c>
      <c r="T2280">
        <v>-0.30590869999999998</v>
      </c>
      <c r="U2280">
        <v>-2.8029169999999999</v>
      </c>
      <c r="V2280">
        <v>-0.35623549999999998</v>
      </c>
      <c r="W2280">
        <v>-7.975285E-2</v>
      </c>
      <c r="X2280">
        <v>0.93098650000000005</v>
      </c>
      <c r="Y2280">
        <v>-0.45912009999999998</v>
      </c>
      <c r="Z2280">
        <v>3.6568330000000003E-2</v>
      </c>
      <c r="AA2280">
        <v>0.88762129999999995</v>
      </c>
      <c r="AB2280">
        <v>16</v>
      </c>
      <c r="AC2280">
        <v>-0.23199999999997001</v>
      </c>
      <c r="AD2280">
        <v>-9.5709999999999906E-2</v>
      </c>
      <c r="AE2280">
        <v>-0.76710000000002698</v>
      </c>
      <c r="AF2280">
        <v>-0.415292830386011</v>
      </c>
      <c r="AG2280">
        <v>-9.5709999999999906E-2</v>
      </c>
      <c r="AH2280">
        <v>0.67220688626504899</v>
      </c>
      <c r="AI2280">
        <v>96.906565057713493</v>
      </c>
      <c r="AJ2280">
        <v>121.707983047659</v>
      </c>
      <c r="AK2280">
        <v>0.79592125050923002</v>
      </c>
      <c r="AL2280">
        <v>94.574359436236506</v>
      </c>
      <c r="AM2280">
        <v>110.93900151749401</v>
      </c>
      <c r="AN2280">
        <v>1.0000000558627999</v>
      </c>
    </row>
    <row r="2281" spans="1:40" x14ac:dyDescent="0.25">
      <c r="A2281" t="str">
        <f>"20190303154510265"</f>
        <v>20190303154510265</v>
      </c>
      <c r="B2281" t="str">
        <f>"1551599110252485"</f>
        <v>1551599110252485</v>
      </c>
      <c r="C2281" t="s">
        <v>40</v>
      </c>
      <c r="D2281">
        <v>4.8732540000000002</v>
      </c>
      <c r="E2281">
        <v>0.45736379999999999</v>
      </c>
      <c r="F2281" t="s">
        <v>42</v>
      </c>
      <c r="G2281">
        <v>-489.41629999999998</v>
      </c>
      <c r="H2281">
        <v>1.0294110000000001</v>
      </c>
      <c r="I2281">
        <v>279.26549999999997</v>
      </c>
      <c r="J2281">
        <v>-489.18259999999998</v>
      </c>
      <c r="K2281">
        <v>1.126109</v>
      </c>
      <c r="L2281">
        <v>280.05579999999998</v>
      </c>
      <c r="M2281">
        <v>-0.74169180000000001</v>
      </c>
      <c r="N2281">
        <v>-1.436401E-2</v>
      </c>
      <c r="O2281">
        <v>-0.67058719999999905</v>
      </c>
      <c r="P2281">
        <v>-0.45201989999999997</v>
      </c>
      <c r="Q2281">
        <v>-8.7202329999999995E-2</v>
      </c>
      <c r="R2281">
        <v>-0.88773539999999995</v>
      </c>
      <c r="S2281">
        <v>-1.0700989999999999</v>
      </c>
      <c r="T2281">
        <v>-0.29916409999999999</v>
      </c>
      <c r="U2281">
        <v>-2.8085629999999999</v>
      </c>
      <c r="V2281">
        <v>-0.3544313</v>
      </c>
      <c r="W2281">
        <v>-7.8089069999999997E-2</v>
      </c>
      <c r="X2281">
        <v>0.93181570000000002</v>
      </c>
      <c r="Y2281">
        <v>-0.4540167</v>
      </c>
      <c r="Z2281">
        <v>3.6689279999999998E-2</v>
      </c>
      <c r="AA2281">
        <v>0.89023750000000001</v>
      </c>
      <c r="AB2281">
        <v>16</v>
      </c>
      <c r="AC2281">
        <v>-0.23369999999999799</v>
      </c>
      <c r="AD2281">
        <v>-9.6697999999999895E-2</v>
      </c>
      <c r="AE2281">
        <v>-0.790300000000002</v>
      </c>
      <c r="AF2281">
        <v>-0.423654544806227</v>
      </c>
      <c r="AG2281">
        <v>-9.6697999999999895E-2</v>
      </c>
      <c r="AH2281">
        <v>0.69381901131681301</v>
      </c>
      <c r="AI2281">
        <v>96.7833927530572</v>
      </c>
      <c r="AJ2281">
        <v>121.408759723853</v>
      </c>
      <c r="AK2281">
        <v>0.818668734595142</v>
      </c>
      <c r="AL2281">
        <v>94.478733956767101</v>
      </c>
      <c r="AM2281">
        <v>110.825128569562</v>
      </c>
      <c r="AN2281">
        <v>0.99999997401982199</v>
      </c>
    </row>
    <row r="2282" spans="1:40" x14ac:dyDescent="0.25">
      <c r="A2282" t="str">
        <f>"20190303154510286"</f>
        <v>20190303154510286</v>
      </c>
      <c r="B2282" t="str">
        <f>"1551599110282745"</f>
        <v>1551599110282745</v>
      </c>
      <c r="C2282" t="s">
        <v>40</v>
      </c>
      <c r="D2282">
        <v>4.9247569999999996</v>
      </c>
      <c r="E2282">
        <v>0.45844889999999999</v>
      </c>
      <c r="F2282" t="s">
        <v>42</v>
      </c>
      <c r="G2282">
        <v>-489.51519999999999</v>
      </c>
      <c r="H2282">
        <v>1.031987</v>
      </c>
      <c r="I2282">
        <v>279.1662</v>
      </c>
      <c r="J2282">
        <v>-489.28919999999999</v>
      </c>
      <c r="K2282">
        <v>1.126109</v>
      </c>
      <c r="L2282">
        <v>279.94159999999999</v>
      </c>
      <c r="M2282">
        <v>-0.73426999999999998</v>
      </c>
      <c r="N2282">
        <v>-1.436861E-2</v>
      </c>
      <c r="O2282">
        <v>-0.67870549999999996</v>
      </c>
      <c r="P2282">
        <v>-0.44442700000000002</v>
      </c>
      <c r="Q2282">
        <v>-8.6627739999999995E-2</v>
      </c>
      <c r="R2282">
        <v>-0.89161679999999999</v>
      </c>
      <c r="S2282">
        <v>-1.051239</v>
      </c>
      <c r="T2282">
        <v>-0.29767250000000001</v>
      </c>
      <c r="U2282">
        <v>-2.8148499999999999</v>
      </c>
      <c r="V2282">
        <v>-0.352184</v>
      </c>
      <c r="W2282">
        <v>-7.7468190000000006E-2</v>
      </c>
      <c r="X2282">
        <v>0.93271919999999997</v>
      </c>
      <c r="Y2282">
        <v>-0.45012799999999997</v>
      </c>
      <c r="Z2282">
        <v>3.753256E-2</v>
      </c>
      <c r="AA2282">
        <v>0.89217489999999999</v>
      </c>
      <c r="AB2282">
        <v>16</v>
      </c>
      <c r="AC2282">
        <v>-0.22599999999999901</v>
      </c>
      <c r="AD2282">
        <v>-9.4121999999999997E-2</v>
      </c>
      <c r="AE2282">
        <v>-0.77539999999998999</v>
      </c>
      <c r="AF2282">
        <v>-0.41043448114193498</v>
      </c>
      <c r="AG2282">
        <v>-9.4121999999999997E-2</v>
      </c>
      <c r="AH2282">
        <v>0.68300900409186804</v>
      </c>
      <c r="AI2282">
        <v>96.736490553194301</v>
      </c>
      <c r="AJ2282">
        <v>121.002543494039</v>
      </c>
      <c r="AK2282">
        <v>0.80238190025997902</v>
      </c>
      <c r="AL2282">
        <v>94.443051951274001</v>
      </c>
      <c r="AM2282">
        <v>110.685957406274</v>
      </c>
      <c r="AN2282">
        <v>0.99999999818325802</v>
      </c>
    </row>
    <row r="2283" spans="1:40" x14ac:dyDescent="0.25">
      <c r="A2283" t="str">
        <f>"20190303154510309"</f>
        <v>20190303154510309</v>
      </c>
      <c r="B2283" t="str">
        <f>"1551599110303241"</f>
        <v>1551599110303241</v>
      </c>
      <c r="C2283" t="s">
        <v>40</v>
      </c>
      <c r="D2283">
        <v>4.8638519999999996</v>
      </c>
      <c r="E2283">
        <v>0.4587715</v>
      </c>
      <c r="F2283" t="s">
        <v>42</v>
      </c>
      <c r="G2283">
        <v>-489.62290000000002</v>
      </c>
      <c r="H2283">
        <v>1.02946</v>
      </c>
      <c r="I2283">
        <v>279.0317</v>
      </c>
      <c r="J2283">
        <v>-489.39499999999998</v>
      </c>
      <c r="K2283">
        <v>1.126104</v>
      </c>
      <c r="L2283">
        <v>279.82580000000002</v>
      </c>
      <c r="M2283">
        <v>-0.72670019999999902</v>
      </c>
      <c r="N2283">
        <v>-1.437256E-2</v>
      </c>
      <c r="O2283">
        <v>-0.68680430000000003</v>
      </c>
      <c r="P2283">
        <v>-0.43643870000000001</v>
      </c>
      <c r="Q2283">
        <v>-8.6731119999999995E-2</v>
      </c>
      <c r="R2283">
        <v>-0.89554389999999995</v>
      </c>
      <c r="S2283">
        <v>-1.0346679999999999</v>
      </c>
      <c r="T2283">
        <v>-0.29962309999999998</v>
      </c>
      <c r="U2283">
        <v>-2.819855</v>
      </c>
      <c r="V2283">
        <v>-0.35017530000000002</v>
      </c>
      <c r="W2283">
        <v>-7.7528360000000004E-2</v>
      </c>
      <c r="X2283">
        <v>0.93347020000000003</v>
      </c>
      <c r="Y2283">
        <v>-0.44538810000000001</v>
      </c>
      <c r="Z2283">
        <v>3.8994760000000003E-2</v>
      </c>
      <c r="AA2283">
        <v>0.89448799999999995</v>
      </c>
      <c r="AB2283">
        <v>16</v>
      </c>
      <c r="AC2283">
        <v>-0.22790000000003299</v>
      </c>
      <c r="AD2283">
        <v>-9.6643999999999897E-2</v>
      </c>
      <c r="AE2283">
        <v>-0.79410000000001402</v>
      </c>
      <c r="AF2283">
        <v>-0.41491552063222498</v>
      </c>
      <c r="AG2283">
        <v>-9.6643999999999897E-2</v>
      </c>
      <c r="AH2283">
        <v>0.70148041062254995</v>
      </c>
      <c r="AI2283">
        <v>96.762621579425598</v>
      </c>
      <c r="AJ2283">
        <v>120.603701007552</v>
      </c>
      <c r="AK2283">
        <v>0.82071293305557902</v>
      </c>
      <c r="AL2283">
        <v>94.4465098262677</v>
      </c>
      <c r="AM2283">
        <v>110.56271627334399</v>
      </c>
      <c r="AN2283">
        <v>1.0000000008112</v>
      </c>
    </row>
    <row r="2284" spans="1:40" x14ac:dyDescent="0.25">
      <c r="A2284" t="str">
        <f>"20190303154510330"</f>
        <v>20190303154510330</v>
      </c>
      <c r="B2284" t="str">
        <f>"1551599110322765"</f>
        <v>1551599110322765</v>
      </c>
      <c r="C2284" t="s">
        <v>40</v>
      </c>
      <c r="D2284">
        <v>4.8738440000000001</v>
      </c>
      <c r="E2284">
        <v>0.45960129999999999</v>
      </c>
      <c r="F2284" t="s">
        <v>42</v>
      </c>
      <c r="G2284">
        <v>-489.72750000000002</v>
      </c>
      <c r="H2284">
        <v>1.028249</v>
      </c>
      <c r="I2284">
        <v>278.89699999999999</v>
      </c>
      <c r="J2284">
        <v>-489.49619999999999</v>
      </c>
      <c r="K2284">
        <v>1.1260939999999999</v>
      </c>
      <c r="L2284">
        <v>279.7124</v>
      </c>
      <c r="M2284">
        <v>-0.71924880000000002</v>
      </c>
      <c r="N2284">
        <v>-1.437605E-2</v>
      </c>
      <c r="O2284">
        <v>-0.69460409999999995</v>
      </c>
      <c r="P2284">
        <v>-0.42872490000000002</v>
      </c>
      <c r="Q2284">
        <v>-8.7274729999999995E-2</v>
      </c>
      <c r="R2284">
        <v>-0.89920979999999995</v>
      </c>
      <c r="S2284">
        <v>-1.0119020000000001</v>
      </c>
      <c r="T2284">
        <v>-0.2978557</v>
      </c>
      <c r="U2284">
        <v>-2.8279109999999998</v>
      </c>
      <c r="V2284">
        <v>-0.34808739999999999</v>
      </c>
      <c r="W2284">
        <v>-7.8028570000000005E-2</v>
      </c>
      <c r="X2284">
        <v>0.93420910000000001</v>
      </c>
      <c r="Y2284">
        <v>-0.4429439</v>
      </c>
      <c r="Z2284">
        <v>3.9667220000000003E-2</v>
      </c>
      <c r="AA2284">
        <v>0.89567140000000001</v>
      </c>
      <c r="AB2284">
        <v>16</v>
      </c>
      <c r="AC2284">
        <v>-0.23130000000003201</v>
      </c>
      <c r="AD2284">
        <v>-9.7845000000000099E-2</v>
      </c>
      <c r="AE2284">
        <v>-0.815400000000011</v>
      </c>
      <c r="AF2284">
        <v>-0.42025680796060999</v>
      </c>
      <c r="AG2284">
        <v>-9.7845000000000099E-2</v>
      </c>
      <c r="AH2284">
        <v>0.72318036816285503</v>
      </c>
      <c r="AI2284">
        <v>96.672141685690093</v>
      </c>
      <c r="AJ2284">
        <v>120.16186004196599</v>
      </c>
      <c r="AK2284">
        <v>0.84212782495201</v>
      </c>
      <c r="AL2284">
        <v>94.475256974668497</v>
      </c>
      <c r="AM2284">
        <v>110.435452265086</v>
      </c>
      <c r="AN2284">
        <v>0.99999996914890699</v>
      </c>
    </row>
    <row r="2285" spans="1:40" x14ac:dyDescent="0.25">
      <c r="A2285" t="str">
        <f>"20190303154510353"</f>
        <v>20190303154510353</v>
      </c>
      <c r="B2285" t="str">
        <f>"1551599110343257"</f>
        <v>1551599110343257</v>
      </c>
      <c r="C2285" t="s">
        <v>40</v>
      </c>
      <c r="D2285">
        <v>4.8788080000000003</v>
      </c>
      <c r="E2285">
        <v>0.46042379999999999</v>
      </c>
      <c r="F2285" t="s">
        <v>42</v>
      </c>
      <c r="G2285">
        <v>-489.82900000000001</v>
      </c>
      <c r="H2285">
        <v>1.025245</v>
      </c>
      <c r="I2285">
        <v>278.7629</v>
      </c>
      <c r="J2285">
        <v>-489.60410000000002</v>
      </c>
      <c r="K2285">
        <v>1.1260889999999999</v>
      </c>
      <c r="L2285">
        <v>279.58870000000002</v>
      </c>
      <c r="M2285">
        <v>-0.71106789999999997</v>
      </c>
      <c r="N2285">
        <v>-1.438039E-2</v>
      </c>
      <c r="O2285">
        <v>-0.7029765</v>
      </c>
      <c r="P2285">
        <v>-0.42029169999999999</v>
      </c>
      <c r="Q2285">
        <v>-8.7616029999999998E-2</v>
      </c>
      <c r="R2285">
        <v>-0.90314919999999999</v>
      </c>
      <c r="S2285">
        <v>-0.99337770000000003</v>
      </c>
      <c r="T2285">
        <v>-0.30096970000000001</v>
      </c>
      <c r="U2285">
        <v>-2.833405</v>
      </c>
      <c r="V2285">
        <v>-0.34586749999999999</v>
      </c>
      <c r="W2285">
        <v>-7.8326469999999995E-2</v>
      </c>
      <c r="X2285">
        <v>0.93500830000000001</v>
      </c>
      <c r="Y2285">
        <v>-0.43823289999999998</v>
      </c>
      <c r="Z2285">
        <v>4.137942E-2</v>
      </c>
      <c r="AA2285">
        <v>0.897908499999999</v>
      </c>
      <c r="AB2285">
        <v>16</v>
      </c>
      <c r="AC2285">
        <v>-0.224899999999991</v>
      </c>
      <c r="AD2285">
        <v>-0.100843999999999</v>
      </c>
      <c r="AE2285">
        <v>-0.82580000000001497</v>
      </c>
      <c r="AF2285">
        <v>-0.42326860813787398</v>
      </c>
      <c r="AG2285">
        <v>-0.100843999999999</v>
      </c>
      <c r="AH2285">
        <v>0.73037397863986797</v>
      </c>
      <c r="AI2285">
        <v>96.812331455455805</v>
      </c>
      <c r="AJ2285">
        <v>120.09328360990401</v>
      </c>
      <c r="AK2285">
        <v>0.85015997062035498</v>
      </c>
      <c r="AL2285">
        <v>94.492377908035806</v>
      </c>
      <c r="AM2285">
        <v>110.29986133674301</v>
      </c>
      <c r="AN2285">
        <v>0.99999994226389799</v>
      </c>
    </row>
    <row r="2286" spans="1:40" x14ac:dyDescent="0.25">
      <c r="A2286" t="str">
        <f>"20190303154510377"</f>
        <v>20190303154510377</v>
      </c>
      <c r="B2286" t="str">
        <f>"1551599110372537"</f>
        <v>1551599110372537</v>
      </c>
      <c r="C2286" t="s">
        <v>40</v>
      </c>
      <c r="D2286">
        <v>4.8759690000000004</v>
      </c>
      <c r="E2286">
        <v>0.4611074</v>
      </c>
      <c r="F2286" t="s">
        <v>41</v>
      </c>
      <c r="G2286">
        <v>-493.226</v>
      </c>
      <c r="H2286" s="1">
        <v>-4.6648239999999996E-6</v>
      </c>
      <c r="I2286">
        <v>269.01299999999998</v>
      </c>
      <c r="J2286">
        <v>-489.70609999999999</v>
      </c>
      <c r="K2286">
        <v>1.126088</v>
      </c>
      <c r="L2286">
        <v>279.46910000000003</v>
      </c>
      <c r="M2286">
        <v>-0.70310010000000001</v>
      </c>
      <c r="N2286">
        <v>-1.438568E-2</v>
      </c>
      <c r="O2286">
        <v>-0.7109453</v>
      </c>
      <c r="P2286">
        <v>-0.41177069999999999</v>
      </c>
      <c r="Q2286">
        <v>-8.7794750000000005E-2</v>
      </c>
      <c r="R2286">
        <v>-0.90704830000000003</v>
      </c>
      <c r="S2286">
        <v>-0.97256469999999995</v>
      </c>
      <c r="T2286">
        <v>-0.30238090000000001</v>
      </c>
      <c r="U2286">
        <v>-2.8398129999999999</v>
      </c>
      <c r="V2286">
        <v>-0.34411920000000001</v>
      </c>
      <c r="W2286">
        <v>-7.8475149999999994E-2</v>
      </c>
      <c r="X2286">
        <v>0.93564080000000005</v>
      </c>
      <c r="Y2286">
        <v>-0.434639</v>
      </c>
      <c r="Z2286">
        <v>4.2703909999999998E-2</v>
      </c>
      <c r="AA2286">
        <v>0.89959169999999999</v>
      </c>
      <c r="AB2286">
        <v>16</v>
      </c>
      <c r="AC2286">
        <v>-3.5198999999999998</v>
      </c>
      <c r="AD2286">
        <v>-1.1260926648239999</v>
      </c>
      <c r="AE2286">
        <v>-10.456099999999999</v>
      </c>
      <c r="AF2286">
        <v>-4.7997267465892897</v>
      </c>
      <c r="AG2286">
        <v>-1.1260926648239999</v>
      </c>
      <c r="AH2286">
        <v>9.8074087574174396</v>
      </c>
      <c r="AI2286">
        <v>95.888228855095903</v>
      </c>
      <c r="AJ2286">
        <v>116.07703588969299</v>
      </c>
      <c r="AK2286">
        <v>10.976826866939399</v>
      </c>
      <c r="AL2286">
        <v>94.500922507448607</v>
      </c>
      <c r="AM2286">
        <v>110.193010421419</v>
      </c>
      <c r="AN2286">
        <v>1.0000000398004001</v>
      </c>
    </row>
    <row r="2287" spans="1:40" x14ac:dyDescent="0.25">
      <c r="A2287" t="str">
        <f>"20190303154510398"</f>
        <v>20190303154510398</v>
      </c>
      <c r="B2287" t="str">
        <f>"1551599110393033"</f>
        <v>1551599110393033</v>
      </c>
      <c r="C2287" t="s">
        <v>40</v>
      </c>
      <c r="D2287">
        <v>4.8659520000000001</v>
      </c>
      <c r="E2287">
        <v>0.46846870000000002</v>
      </c>
      <c r="F2287" t="s">
        <v>41</v>
      </c>
      <c r="G2287">
        <v>-493.22550000000001</v>
      </c>
      <c r="H2287" s="1">
        <v>-4.6380420000000002E-6</v>
      </c>
      <c r="I2287">
        <v>268.93459999999999</v>
      </c>
      <c r="J2287">
        <v>-489.80590000000001</v>
      </c>
      <c r="K2287">
        <v>1.1261049999999999</v>
      </c>
      <c r="L2287">
        <v>279.34910000000002</v>
      </c>
      <c r="M2287">
        <v>-0.69505819999999996</v>
      </c>
      <c r="N2287">
        <v>-1.4392490000000001E-2</v>
      </c>
      <c r="O2287">
        <v>-0.71880940000000004</v>
      </c>
      <c r="P2287">
        <v>-0.40235300000000002</v>
      </c>
      <c r="Q2287">
        <v>-8.7544810000000001E-2</v>
      </c>
      <c r="R2287">
        <v>-0.91128929999999997</v>
      </c>
      <c r="S2287">
        <v>-0.9508972</v>
      </c>
      <c r="T2287">
        <v>-0.3042608</v>
      </c>
      <c r="U2287">
        <v>-2.8463129999999999</v>
      </c>
      <c r="V2287">
        <v>-0.34330369999999999</v>
      </c>
      <c r="W2287">
        <v>-7.8216259999999996E-2</v>
      </c>
      <c r="X2287">
        <v>0.93596199999999996</v>
      </c>
      <c r="Y2287">
        <v>-0.43131069999999999</v>
      </c>
      <c r="Z2287">
        <v>4.4101479999999998E-2</v>
      </c>
      <c r="AA2287">
        <v>0.90112499999999995</v>
      </c>
      <c r="AB2287">
        <v>16</v>
      </c>
      <c r="AC2287">
        <v>-3.4196</v>
      </c>
      <c r="AD2287">
        <v>-1.1261096380419999</v>
      </c>
      <c r="AE2287">
        <v>-10.4145</v>
      </c>
      <c r="AF2287">
        <v>-4.7312050020304302</v>
      </c>
      <c r="AG2287">
        <v>-1.1261096380419999</v>
      </c>
      <c r="AH2287">
        <v>9.7608668430119199</v>
      </c>
      <c r="AI2287">
        <v>95.927042320718897</v>
      </c>
      <c r="AJ2287">
        <v>115.860004488694</v>
      </c>
      <c r="AK2287">
        <v>10.9053631399939</v>
      </c>
      <c r="AL2287">
        <v>94.486043470104605</v>
      </c>
      <c r="AM2287">
        <v>110.142650800125</v>
      </c>
      <c r="AN2287">
        <v>1.00000003960303</v>
      </c>
    </row>
    <row r="2288" spans="1:40" x14ac:dyDescent="0.25">
      <c r="A2288" t="str">
        <f>"20190303154510421"</f>
        <v>20190303154510421</v>
      </c>
      <c r="B2288" t="str">
        <f>"1551599110412553"</f>
        <v>1551599110412553</v>
      </c>
      <c r="C2288" t="s">
        <v>40</v>
      </c>
      <c r="D2288">
        <v>4.851763</v>
      </c>
      <c r="E2288">
        <v>0.46908450000000002</v>
      </c>
      <c r="F2288" t="s">
        <v>41</v>
      </c>
      <c r="G2288">
        <v>-493.29020000000003</v>
      </c>
      <c r="H2288" s="1">
        <v>-4.7476839999999999E-6</v>
      </c>
      <c r="I2288">
        <v>269.22309999999999</v>
      </c>
      <c r="J2288">
        <v>-489.90429999999998</v>
      </c>
      <c r="K2288">
        <v>1.126131</v>
      </c>
      <c r="L2288">
        <v>279.22789999999998</v>
      </c>
      <c r="M2288">
        <v>-0.68686539999999996</v>
      </c>
      <c r="N2288">
        <v>-1.44005E-2</v>
      </c>
      <c r="O2288">
        <v>-0.72664209999999996</v>
      </c>
      <c r="P2288">
        <v>-0.39400360000000001</v>
      </c>
      <c r="Q2288">
        <v>-8.6958510000000003E-2</v>
      </c>
      <c r="R2288">
        <v>-0.91498639999999998</v>
      </c>
      <c r="S2288">
        <v>-0.9743347</v>
      </c>
      <c r="T2288">
        <v>-0.31490020000000002</v>
      </c>
      <c r="U2288">
        <v>-2.831604</v>
      </c>
      <c r="V2288">
        <v>-0.34129579999999998</v>
      </c>
      <c r="W2288">
        <v>-7.7605629999999995E-2</v>
      </c>
      <c r="X2288">
        <v>0.93674679999999999</v>
      </c>
      <c r="Y2288">
        <v>-0.41299819999999998</v>
      </c>
      <c r="Z2288">
        <v>4.79814E-2</v>
      </c>
      <c r="AA2288">
        <v>0.90946700000000003</v>
      </c>
      <c r="AB2288">
        <v>16</v>
      </c>
      <c r="AC2288">
        <v>-3.3859000000000399</v>
      </c>
      <c r="AD2288">
        <v>-1.1261357476839999</v>
      </c>
      <c r="AE2288">
        <v>-10.0047999999999</v>
      </c>
      <c r="AF2288">
        <v>-4.3624792920350197</v>
      </c>
      <c r="AG2288">
        <v>-1.1261357476839999</v>
      </c>
      <c r="AH2288">
        <v>9.4886961873888005</v>
      </c>
      <c r="AI2288">
        <v>96.154498679187299</v>
      </c>
      <c r="AJ2288">
        <v>114.690862082938</v>
      </c>
      <c r="AK2288">
        <v>10.504035540315501</v>
      </c>
      <c r="AL2288">
        <v>94.450950399735504</v>
      </c>
      <c r="AM2288">
        <v>110.018784922584</v>
      </c>
      <c r="AN2288">
        <v>1.0000000121077799</v>
      </c>
    </row>
    <row r="2289" spans="1:40" x14ac:dyDescent="0.25">
      <c r="A2289" t="str">
        <f>"20190303154510444"</f>
        <v>20190303154510444</v>
      </c>
      <c r="B2289" t="str">
        <f>"1551599110433050"</f>
        <v>1551599110433050</v>
      </c>
      <c r="C2289" t="s">
        <v>40</v>
      </c>
      <c r="D2289">
        <v>4.8722120000000002</v>
      </c>
      <c r="E2289">
        <v>0.47000459999999999</v>
      </c>
      <c r="F2289" t="s">
        <v>41</v>
      </c>
      <c r="G2289">
        <v>-493.36239999999998</v>
      </c>
      <c r="H2289" s="1">
        <v>-4.6586349999999997E-6</v>
      </c>
      <c r="I2289">
        <v>268.9237</v>
      </c>
      <c r="J2289">
        <v>-490.00330000000002</v>
      </c>
      <c r="K2289">
        <v>1.126163</v>
      </c>
      <c r="L2289">
        <v>279.1028</v>
      </c>
      <c r="M2289">
        <v>-0.67832809999999999</v>
      </c>
      <c r="N2289">
        <v>-1.4410839999999999E-2</v>
      </c>
      <c r="O2289">
        <v>-0.73461790000000005</v>
      </c>
      <c r="P2289">
        <v>-0.38517600000000002</v>
      </c>
      <c r="Q2289">
        <v>-8.7275409999999998E-2</v>
      </c>
      <c r="R2289">
        <v>-0.91870700000000005</v>
      </c>
      <c r="S2289">
        <v>-0.95275880000000002</v>
      </c>
      <c r="T2289">
        <v>-0.31026730000000002</v>
      </c>
      <c r="U2289">
        <v>-2.838959</v>
      </c>
      <c r="V2289">
        <v>-0.339341</v>
      </c>
      <c r="W2289">
        <v>-7.7905070000000007E-2</v>
      </c>
      <c r="X2289">
        <v>0.93743189999999998</v>
      </c>
      <c r="Y2289">
        <v>-0.40929870000000002</v>
      </c>
      <c r="Z2289">
        <v>4.8180599999999997E-2</v>
      </c>
      <c r="AA2289">
        <v>0.91112740000000003</v>
      </c>
      <c r="AB2289">
        <v>16</v>
      </c>
      <c r="AC2289">
        <v>-3.35909999999995</v>
      </c>
      <c r="AD2289">
        <v>-1.126167658635</v>
      </c>
      <c r="AE2289">
        <v>-10.1791</v>
      </c>
      <c r="AF2289">
        <v>-4.3891273573818603</v>
      </c>
      <c r="AG2289">
        <v>-1.126167658635</v>
      </c>
      <c r="AH2289">
        <v>9.6508067636323194</v>
      </c>
      <c r="AI2289">
        <v>96.063343992061107</v>
      </c>
      <c r="AJ2289">
        <v>114.45574768497301</v>
      </c>
      <c r="AK2289">
        <v>10.6616492037416</v>
      </c>
      <c r="AL2289">
        <v>94.468159019910999</v>
      </c>
      <c r="AM2289">
        <v>109.899750855889</v>
      </c>
      <c r="AN2289">
        <v>1.0000000406751499</v>
      </c>
    </row>
    <row r="2290" spans="1:40" x14ac:dyDescent="0.25">
      <c r="A2290" t="str">
        <f>"20190303154510467"</f>
        <v>20190303154510467</v>
      </c>
      <c r="B2290" t="str">
        <f>"1551599110463306"</f>
        <v>1551599110463306</v>
      </c>
      <c r="C2290" t="s">
        <v>40</v>
      </c>
      <c r="D2290">
        <v>4.8509659999999997</v>
      </c>
      <c r="E2290">
        <v>0.4754082</v>
      </c>
      <c r="F2290" t="s">
        <v>41</v>
      </c>
      <c r="G2290">
        <v>-493.35750000000002</v>
      </c>
      <c r="H2290" s="1">
        <v>-4.6390720000000003E-6</v>
      </c>
      <c r="I2290">
        <v>268.86880000000002</v>
      </c>
      <c r="J2290">
        <v>-490.09930000000003</v>
      </c>
      <c r="K2290">
        <v>1.126198</v>
      </c>
      <c r="L2290">
        <v>278.97840000000002</v>
      </c>
      <c r="M2290">
        <v>-0.66974690000000003</v>
      </c>
      <c r="N2290">
        <v>-1.442294E-2</v>
      </c>
      <c r="O2290">
        <v>-0.74244949999999998</v>
      </c>
      <c r="P2290">
        <v>-0.37660519999999997</v>
      </c>
      <c r="Q2290">
        <v>-8.7917330000000002E-2</v>
      </c>
      <c r="R2290">
        <v>-0.92219260000000003</v>
      </c>
      <c r="S2290">
        <v>-0.9324036</v>
      </c>
      <c r="T2290">
        <v>-0.3130482</v>
      </c>
      <c r="U2290">
        <v>-2.8448180000000001</v>
      </c>
      <c r="V2290">
        <v>-0.33712419999999998</v>
      </c>
      <c r="W2290">
        <v>-7.8526949999999998E-2</v>
      </c>
      <c r="X2290">
        <v>0.93817950000000006</v>
      </c>
      <c r="Y2290">
        <v>-0.40516859999999999</v>
      </c>
      <c r="Z2290">
        <v>4.9835110000000002E-2</v>
      </c>
      <c r="AA2290">
        <v>0.91288270000000005</v>
      </c>
      <c r="AB2290">
        <v>16</v>
      </c>
      <c r="AC2290">
        <v>-3.25819999999998</v>
      </c>
      <c r="AD2290">
        <v>-1.1262026390719999</v>
      </c>
      <c r="AE2290">
        <v>-10.1096</v>
      </c>
      <c r="AF2290">
        <v>-4.30389180665561</v>
      </c>
      <c r="AG2290">
        <v>-1.1262026390719999</v>
      </c>
      <c r="AH2290">
        <v>9.5813294383307692</v>
      </c>
      <c r="AI2290">
        <v>96.119916178406598</v>
      </c>
      <c r="AJ2290">
        <v>114.18941024593001</v>
      </c>
      <c r="AK2290">
        <v>10.563791500852</v>
      </c>
      <c r="AL2290">
        <v>94.503899835492405</v>
      </c>
      <c r="AM2290">
        <v>109.76532660449</v>
      </c>
      <c r="AN2290">
        <v>0.99999999116109595</v>
      </c>
    </row>
    <row r="2291" spans="1:40" x14ac:dyDescent="0.25">
      <c r="A2291" t="str">
        <f>"20190303154510488"</f>
        <v>20190303154510488</v>
      </c>
      <c r="B2291" t="str">
        <f>"1551599110483334"</f>
        <v>1551599110483334</v>
      </c>
      <c r="C2291" t="s">
        <v>40</v>
      </c>
      <c r="D2291">
        <v>4.8314389999999996</v>
      </c>
      <c r="E2291">
        <v>0.47556019999999999</v>
      </c>
      <c r="F2291" t="s">
        <v>41</v>
      </c>
      <c r="G2291">
        <v>-493.43130000000002</v>
      </c>
      <c r="H2291" s="1">
        <v>-4.6894039999999996E-6</v>
      </c>
      <c r="I2291">
        <v>268.97820000000002</v>
      </c>
      <c r="J2291">
        <v>-490.18889999999999</v>
      </c>
      <c r="K2291">
        <v>1.1262160000000001</v>
      </c>
      <c r="L2291">
        <v>278.85930000000002</v>
      </c>
      <c r="M2291">
        <v>-0.66146000000000005</v>
      </c>
      <c r="N2291">
        <v>-1.443504E-2</v>
      </c>
      <c r="O2291">
        <v>-0.74984169999999895</v>
      </c>
      <c r="P2291">
        <v>-0.36826940000000002</v>
      </c>
      <c r="Q2291">
        <v>-8.8356400000000002E-2</v>
      </c>
      <c r="R2291">
        <v>-0.92551139999999998</v>
      </c>
      <c r="S2291">
        <v>-0.94519039999999999</v>
      </c>
      <c r="T2291">
        <v>-0.31946540000000001</v>
      </c>
      <c r="U2291">
        <v>-2.8367</v>
      </c>
      <c r="V2291">
        <v>-0.33513330000000002</v>
      </c>
      <c r="W2291">
        <v>-7.8945199999999993E-2</v>
      </c>
      <c r="X2291">
        <v>0.93885750000000001</v>
      </c>
      <c r="Y2291">
        <v>-0.39056020000000002</v>
      </c>
      <c r="Z2291">
        <v>5.2728829999999997E-2</v>
      </c>
      <c r="AA2291">
        <v>0.9190661</v>
      </c>
      <c r="AB2291">
        <v>16</v>
      </c>
      <c r="AC2291">
        <v>-3.2424000000000301</v>
      </c>
      <c r="AD2291">
        <v>-1.1262206894040001</v>
      </c>
      <c r="AE2291">
        <v>-9.8811</v>
      </c>
      <c r="AF2291">
        <v>-4.0575064565748198</v>
      </c>
      <c r="AG2291">
        <v>-1.1262206894040001</v>
      </c>
      <c r="AH2291">
        <v>9.4442113945417105</v>
      </c>
      <c r="AI2291">
        <v>96.252722681131402</v>
      </c>
      <c r="AJ2291">
        <v>113.249759427721</v>
      </c>
      <c r="AK2291">
        <v>10.340447792585101</v>
      </c>
      <c r="AL2291">
        <v>94.527938204949905</v>
      </c>
      <c r="AM2291">
        <v>109.644462833703</v>
      </c>
      <c r="AN2291">
        <v>1.00000003933908</v>
      </c>
    </row>
    <row r="2292" spans="1:40" x14ac:dyDescent="0.25">
      <c r="A2292" t="str">
        <f>"20190303154510502"</f>
        <v>20190303154510502</v>
      </c>
      <c r="B2292" t="str">
        <f>"1551599110493093"</f>
        <v>1551599110493093</v>
      </c>
      <c r="C2292" t="s">
        <v>40</v>
      </c>
      <c r="D2292">
        <v>4.8159960000000002</v>
      </c>
      <c r="E2292">
        <v>0.475767</v>
      </c>
      <c r="F2292" t="s">
        <v>41</v>
      </c>
      <c r="G2292">
        <v>-493.4144</v>
      </c>
      <c r="H2292" s="1">
        <v>-4.6594769999999996E-6</v>
      </c>
      <c r="I2292">
        <v>268.89909999999998</v>
      </c>
      <c r="J2292">
        <v>-490.24779999999998</v>
      </c>
      <c r="K2292">
        <v>1.126234</v>
      </c>
      <c r="L2292">
        <v>278.77949999999998</v>
      </c>
      <c r="M2292">
        <v>-0.65586919999999904</v>
      </c>
      <c r="N2292">
        <v>-1.444318E-2</v>
      </c>
      <c r="O2292">
        <v>-0.75473639999999997</v>
      </c>
      <c r="P2292">
        <v>-0.36239929999999998</v>
      </c>
      <c r="Q2292">
        <v>-8.8372339999999994E-2</v>
      </c>
      <c r="R2292">
        <v>-0.92782419999999999</v>
      </c>
      <c r="S2292">
        <v>-0.9210815</v>
      </c>
      <c r="T2292">
        <v>-0.32160640000000001</v>
      </c>
      <c r="U2292">
        <v>-2.8442379999999998</v>
      </c>
      <c r="V2292">
        <v>-0.33410010000000001</v>
      </c>
      <c r="W2292">
        <v>-7.8950309999999996E-2</v>
      </c>
      <c r="X2292">
        <v>0.93922519999999998</v>
      </c>
      <c r="Y2292">
        <v>-0.39149499999999998</v>
      </c>
      <c r="Z2292">
        <v>5.3713480000000001E-2</v>
      </c>
      <c r="AA2292">
        <v>0.91861119999999996</v>
      </c>
      <c r="AB2292">
        <v>16</v>
      </c>
      <c r="AC2292">
        <v>-3.1666000000000101</v>
      </c>
      <c r="AD2292">
        <v>-1.126238659477</v>
      </c>
      <c r="AE2292">
        <v>-9.8803999999999998</v>
      </c>
      <c r="AF2292">
        <v>-4.04308947960339</v>
      </c>
      <c r="AG2292">
        <v>-1.126238659477</v>
      </c>
      <c r="AH2292">
        <v>9.4239271184558309</v>
      </c>
      <c r="AI2292">
        <v>96.267537112738395</v>
      </c>
      <c r="AJ2292">
        <v>113.220486333661</v>
      </c>
      <c r="AK2292">
        <v>10.316268142702899</v>
      </c>
      <c r="AL2292">
        <v>94.528232071183098</v>
      </c>
      <c r="AM2292">
        <v>109.58143100266599</v>
      </c>
      <c r="AN2292">
        <v>1.0000000022920701</v>
      </c>
    </row>
    <row r="2293" spans="1:40" x14ac:dyDescent="0.25">
      <c r="A2293" t="str">
        <f>"20190303154510522"</f>
        <v>20190303154510522</v>
      </c>
      <c r="B2293" t="str">
        <f>"1551599110512613"</f>
        <v>1551599110512613</v>
      </c>
      <c r="C2293" t="s">
        <v>40</v>
      </c>
      <c r="D2293">
        <v>4.8408150000000001</v>
      </c>
      <c r="E2293">
        <v>0.4760257</v>
      </c>
      <c r="F2293" t="s">
        <v>41</v>
      </c>
      <c r="G2293">
        <v>-493.39870000000002</v>
      </c>
      <c r="H2293" s="1">
        <v>-4.6409300000000003E-6</v>
      </c>
      <c r="I2293">
        <v>268.8528</v>
      </c>
      <c r="J2293">
        <v>-490.32429999999999</v>
      </c>
      <c r="K2293">
        <v>1.1262639999999999</v>
      </c>
      <c r="L2293">
        <v>278.67380000000003</v>
      </c>
      <c r="M2293">
        <v>-0.64840640000000005</v>
      </c>
      <c r="N2293">
        <v>-1.445396E-2</v>
      </c>
      <c r="O2293">
        <v>-0.76115699999999997</v>
      </c>
      <c r="P2293">
        <v>-0.35545769999999999</v>
      </c>
      <c r="Q2293">
        <v>-8.8554949999999993E-2</v>
      </c>
      <c r="R2293">
        <v>-0.93048779999999998</v>
      </c>
      <c r="S2293">
        <v>-0.90441890000000003</v>
      </c>
      <c r="T2293">
        <v>-0.32327209999999901</v>
      </c>
      <c r="U2293">
        <v>-2.849335</v>
      </c>
      <c r="V2293">
        <v>-0.33185369999999997</v>
      </c>
      <c r="W2293">
        <v>-7.9101640000000001E-2</v>
      </c>
      <c r="X2293">
        <v>0.94000859999999997</v>
      </c>
      <c r="Y2293">
        <v>-0.38781529999999997</v>
      </c>
      <c r="Z2293">
        <v>5.4998329999999998E-2</v>
      </c>
      <c r="AA2293">
        <v>0.92009479999999999</v>
      </c>
      <c r="AB2293">
        <v>16</v>
      </c>
      <c r="AC2293">
        <v>-3.0744000000000198</v>
      </c>
      <c r="AD2293">
        <v>-1.12626864093</v>
      </c>
      <c r="AE2293">
        <v>-9.8210000000000193</v>
      </c>
      <c r="AF2293">
        <v>-3.9806407483623598</v>
      </c>
      <c r="AG2293">
        <v>-1.12626864093</v>
      </c>
      <c r="AH2293">
        <v>9.3576907719669808</v>
      </c>
      <c r="AI2293">
        <v>96.319941421536598</v>
      </c>
      <c r="AJ2293">
        <v>113.044274374729</v>
      </c>
      <c r="AK2293">
        <v>10.231341964904701</v>
      </c>
      <c r="AL2293">
        <v>94.536929590615102</v>
      </c>
      <c r="AM2293">
        <v>109.444693727067</v>
      </c>
      <c r="AN2293">
        <v>1.0000000578641599</v>
      </c>
    </row>
    <row r="2294" spans="1:40" x14ac:dyDescent="0.25">
      <c r="A2294" t="str">
        <f>"20190303154510543"</f>
        <v>20190303154510543</v>
      </c>
      <c r="B2294" t="str">
        <f>"1551599110533110"</f>
        <v>1551599110533110</v>
      </c>
      <c r="C2294" t="s">
        <v>40</v>
      </c>
      <c r="D2294">
        <v>4.7838969999999996</v>
      </c>
      <c r="E2294">
        <v>0.44597419999999999</v>
      </c>
      <c r="F2294" t="s">
        <v>41</v>
      </c>
      <c r="G2294">
        <v>-493.40339999999998</v>
      </c>
      <c r="H2294" s="1">
        <v>-4.603949E-6</v>
      </c>
      <c r="I2294">
        <v>268.74169999999998</v>
      </c>
      <c r="J2294">
        <v>-490.4135</v>
      </c>
      <c r="K2294">
        <v>1.126296</v>
      </c>
      <c r="L2294">
        <v>278.54719999999998</v>
      </c>
      <c r="M2294">
        <v>-0.63937129999999998</v>
      </c>
      <c r="N2294">
        <v>-1.4467839999999999E-2</v>
      </c>
      <c r="O2294">
        <v>-0.7687619</v>
      </c>
      <c r="P2294">
        <v>-0.34715099999999999</v>
      </c>
      <c r="Q2294">
        <v>-8.8381029999999999E-2</v>
      </c>
      <c r="R2294">
        <v>-0.9336352</v>
      </c>
      <c r="S2294">
        <v>-0.88513180000000002</v>
      </c>
      <c r="T2294">
        <v>-0.32377</v>
      </c>
      <c r="U2294">
        <v>-2.855194</v>
      </c>
      <c r="V2294">
        <v>-0.32913890000000001</v>
      </c>
      <c r="W2294">
        <v>-7.8889379999999995E-2</v>
      </c>
      <c r="X2294">
        <v>0.94098040000000005</v>
      </c>
      <c r="Y2294">
        <v>-0.3831599</v>
      </c>
      <c r="Z2294">
        <v>5.6230130000000003E-2</v>
      </c>
      <c r="AA2294">
        <v>0.92196889999999998</v>
      </c>
      <c r="AB2294">
        <v>16</v>
      </c>
      <c r="AC2294">
        <v>-2.9898999999999698</v>
      </c>
      <c r="AD2294">
        <v>-1.126300603949</v>
      </c>
      <c r="AE2294">
        <v>-9.8054999999999897</v>
      </c>
      <c r="AF2294">
        <v>-3.9238832193756501</v>
      </c>
      <c r="AG2294">
        <v>-1.126300603949</v>
      </c>
      <c r="AH2294">
        <v>9.3380178800384108</v>
      </c>
      <c r="AI2294">
        <v>96.345012512499494</v>
      </c>
      <c r="AJ2294">
        <v>112.792396773172</v>
      </c>
      <c r="AK2294">
        <v>10.191368431063101</v>
      </c>
      <c r="AL2294">
        <v>94.524729984296002</v>
      </c>
      <c r="AM2294">
        <v>109.278966572939</v>
      </c>
      <c r="AN2294">
        <v>1.0000000314770701</v>
      </c>
    </row>
    <row r="2295" spans="1:40" x14ac:dyDescent="0.25">
      <c r="A2295" t="str">
        <f>"20190303154510568"</f>
        <v>20190303154510568</v>
      </c>
      <c r="B2295" t="str">
        <f>"1551599110562390"</f>
        <v>1551599110562390</v>
      </c>
      <c r="C2295" t="s">
        <v>40</v>
      </c>
      <c r="D2295">
        <v>4.7448509999999997</v>
      </c>
      <c r="E2295">
        <v>0.42592279999999999</v>
      </c>
      <c r="F2295" t="s">
        <v>42</v>
      </c>
      <c r="G2295">
        <v>-490.61380000000003</v>
      </c>
      <c r="H2295">
        <v>1.0126329999999999</v>
      </c>
      <c r="I2295">
        <v>277.61669999999998</v>
      </c>
      <c r="J2295">
        <v>-490.5052</v>
      </c>
      <c r="K2295">
        <v>1.1263339999999999</v>
      </c>
      <c r="L2295">
        <v>278.41359999999997</v>
      </c>
      <c r="M2295">
        <v>-0.62973489999999999</v>
      </c>
      <c r="N2295">
        <v>-1.4483909999999999E-2</v>
      </c>
      <c r="O2295">
        <v>-0.77667519999999901</v>
      </c>
      <c r="P2295">
        <v>-0.33812779999999998</v>
      </c>
      <c r="Q2295">
        <v>-8.8842920000000006E-2</v>
      </c>
      <c r="R2295">
        <v>-0.93689750000000005</v>
      </c>
      <c r="S2295">
        <v>-0.63275150000000002</v>
      </c>
      <c r="T2295">
        <v>-0.3595139</v>
      </c>
      <c r="U2295">
        <v>-2.9439090000000001</v>
      </c>
      <c r="V2295">
        <v>-0.3264455</v>
      </c>
      <c r="W2295">
        <v>-7.9314380000000004E-2</v>
      </c>
      <c r="X2295">
        <v>0.94188240000000001</v>
      </c>
      <c r="Y2295">
        <v>-0.45223679999999999</v>
      </c>
      <c r="Z2295">
        <v>6.0961550000000003E-2</v>
      </c>
      <c r="AA2295">
        <v>0.889812099999999</v>
      </c>
      <c r="AB2295">
        <v>16</v>
      </c>
      <c r="AC2295">
        <v>-0.108600000000024</v>
      </c>
      <c r="AD2295">
        <v>-0.113701</v>
      </c>
      <c r="AE2295">
        <v>-0.79689999999999295</v>
      </c>
      <c r="AF2295">
        <v>-0.4093512147801</v>
      </c>
      <c r="AG2295">
        <v>-0.113701</v>
      </c>
      <c r="AH2295">
        <v>0.67392455381636696</v>
      </c>
      <c r="AI2295">
        <v>98.205371398190707</v>
      </c>
      <c r="AJ2295">
        <v>121.27508177112099</v>
      </c>
      <c r="AK2295">
        <v>0.79666218604847405</v>
      </c>
      <c r="AL2295">
        <v>94.549157624342797</v>
      </c>
      <c r="AM2295">
        <v>109.115722224235</v>
      </c>
      <c r="AN2295">
        <v>0.99999994538739501</v>
      </c>
    </row>
    <row r="2296" spans="1:40" x14ac:dyDescent="0.25">
      <c r="A2296" t="str">
        <f>"20190303154510590"</f>
        <v>20190303154510590</v>
      </c>
      <c r="B2296" t="str">
        <f>"1551599110582885"</f>
        <v>1551599110582885</v>
      </c>
      <c r="C2296" t="s">
        <v>40</v>
      </c>
      <c r="D2296">
        <v>4.7199869999999997</v>
      </c>
      <c r="E2296">
        <v>0.42038599999999998</v>
      </c>
      <c r="F2296" t="s">
        <v>42</v>
      </c>
      <c r="G2296">
        <v>-490.64589999999998</v>
      </c>
      <c r="H2296">
        <v>1.021695</v>
      </c>
      <c r="I2296">
        <v>277.48469999999998</v>
      </c>
      <c r="J2296">
        <v>-490.59059999999999</v>
      </c>
      <c r="K2296">
        <v>1.1263609999999999</v>
      </c>
      <c r="L2296">
        <v>278.28559999999999</v>
      </c>
      <c r="M2296">
        <v>-0.62040609999999996</v>
      </c>
      <c r="N2296">
        <v>-1.450066E-2</v>
      </c>
      <c r="O2296">
        <v>-0.78414669999999997</v>
      </c>
      <c r="P2296">
        <v>-0.32965290000000003</v>
      </c>
      <c r="Q2296">
        <v>-8.910556E-2</v>
      </c>
      <c r="R2296">
        <v>-0.9398881</v>
      </c>
      <c r="S2296">
        <v>-0.45516970000000001</v>
      </c>
      <c r="T2296">
        <v>-0.33858120000000003</v>
      </c>
      <c r="U2296">
        <v>-3.0057369999999999</v>
      </c>
      <c r="V2296">
        <v>-0.32367079999999998</v>
      </c>
      <c r="W2296">
        <v>-7.953847E-2</v>
      </c>
      <c r="X2296">
        <v>0.94282069999999996</v>
      </c>
      <c r="Y2296">
        <v>-0.49554510000000002</v>
      </c>
      <c r="Z2296">
        <v>5.4962329999999997E-2</v>
      </c>
      <c r="AA2296">
        <v>0.86684150000000004</v>
      </c>
      <c r="AB2296">
        <v>16</v>
      </c>
      <c r="AC2296">
        <v>-5.5299999999988303E-2</v>
      </c>
      <c r="AD2296">
        <v>-0.104666</v>
      </c>
      <c r="AE2296">
        <v>-0.80090000000001205</v>
      </c>
      <c r="AF2296">
        <v>-0.44598687866659897</v>
      </c>
      <c r="AG2296">
        <v>-0.104666</v>
      </c>
      <c r="AH2296">
        <v>0.65133009347682902</v>
      </c>
      <c r="AI2296">
        <v>97.552857294271405</v>
      </c>
      <c r="AJ2296">
        <v>124.40071003693301</v>
      </c>
      <c r="AK2296">
        <v>0.79629778234484005</v>
      </c>
      <c r="AL2296">
        <v>94.562037415871799</v>
      </c>
      <c r="AM2296">
        <v>108.94737085983</v>
      </c>
      <c r="AN2296">
        <v>1.00000001366553</v>
      </c>
    </row>
    <row r="2297" spans="1:40" x14ac:dyDescent="0.25">
      <c r="A2297" t="str">
        <f>"20190303154510612"</f>
        <v>20190303154510612</v>
      </c>
      <c r="B2297" t="str">
        <f>"1551599110602406"</f>
        <v>1551599110602406</v>
      </c>
      <c r="C2297" t="s">
        <v>40</v>
      </c>
      <c r="D2297">
        <v>4.7065449999999904</v>
      </c>
      <c r="E2297">
        <v>0.41784529999999998</v>
      </c>
      <c r="F2297" t="s">
        <v>42</v>
      </c>
      <c r="G2297">
        <v>-490.70819999999998</v>
      </c>
      <c r="H2297">
        <v>1.0249060000000001</v>
      </c>
      <c r="I2297">
        <v>277.36739999999998</v>
      </c>
      <c r="J2297">
        <v>-490.67090000000002</v>
      </c>
      <c r="K2297">
        <v>1.126395</v>
      </c>
      <c r="L2297">
        <v>278.16199999999998</v>
      </c>
      <c r="M2297">
        <v>-0.61130399999999996</v>
      </c>
      <c r="N2297">
        <v>-1.451757E-2</v>
      </c>
      <c r="O2297">
        <v>-0.79126280000000004</v>
      </c>
      <c r="P2297">
        <v>-0.32178370000000001</v>
      </c>
      <c r="Q2297">
        <v>-8.9049379999999997E-2</v>
      </c>
      <c r="R2297">
        <v>-0.94261660000000003</v>
      </c>
      <c r="S2297">
        <v>-0.38674930000000002</v>
      </c>
      <c r="T2297">
        <v>-0.33409630000000001</v>
      </c>
      <c r="U2297">
        <v>-3.0245669999999998</v>
      </c>
      <c r="V2297">
        <v>-0.32065909999999997</v>
      </c>
      <c r="W2297">
        <v>-7.9440330000000003E-2</v>
      </c>
      <c r="X2297">
        <v>0.94385750000000002</v>
      </c>
      <c r="Y2297">
        <v>-0.50549880000000003</v>
      </c>
      <c r="Z2297">
        <v>5.434605E-2</v>
      </c>
      <c r="AA2297">
        <v>0.86111399999999905</v>
      </c>
      <c r="AB2297">
        <v>16</v>
      </c>
      <c r="AC2297">
        <v>-3.7299999999959199E-2</v>
      </c>
      <c r="AD2297">
        <v>-0.101489</v>
      </c>
      <c r="AE2297">
        <v>-0.79460000000005904</v>
      </c>
      <c r="AF2297">
        <v>-0.44896807404052702</v>
      </c>
      <c r="AG2297">
        <v>-0.101489</v>
      </c>
      <c r="AH2297">
        <v>0.64117108350720498</v>
      </c>
      <c r="AI2297">
        <v>97.387732529180496</v>
      </c>
      <c r="AJ2297">
        <v>125.000914298997</v>
      </c>
      <c r="AK2297">
        <v>0.78928620091476598</v>
      </c>
      <c r="AL2297">
        <v>94.556396610399005</v>
      </c>
      <c r="AM2297">
        <v>108.764295382081</v>
      </c>
      <c r="AN2297">
        <v>1.0000000023747799</v>
      </c>
    </row>
    <row r="2298" spans="1:40" x14ac:dyDescent="0.25">
      <c r="A2298" t="str">
        <f>"20190303154510633"</f>
        <v>20190303154510633</v>
      </c>
      <c r="B2298" t="str">
        <f>"1551599110622901"</f>
        <v>1551599110622901</v>
      </c>
      <c r="C2298" t="s">
        <v>40</v>
      </c>
      <c r="D2298">
        <v>4.711951</v>
      </c>
      <c r="E2298">
        <v>0.41678320000000002</v>
      </c>
      <c r="F2298" t="s">
        <v>42</v>
      </c>
      <c r="G2298">
        <v>-490.77350000000001</v>
      </c>
      <c r="H2298">
        <v>1.0277480000000001</v>
      </c>
      <c r="I2298">
        <v>277.25189999999998</v>
      </c>
      <c r="J2298">
        <v>-490.7516</v>
      </c>
      <c r="K2298">
        <v>1.126436</v>
      </c>
      <c r="L2298">
        <v>278.0342</v>
      </c>
      <c r="M2298">
        <v>-0.60179199999999999</v>
      </c>
      <c r="N2298">
        <v>-1.453573E-2</v>
      </c>
      <c r="O2298">
        <v>-0.79852080000000003</v>
      </c>
      <c r="P2298">
        <v>-0.31401259999999998</v>
      </c>
      <c r="Q2298">
        <v>-8.918922E-2</v>
      </c>
      <c r="R2298">
        <v>-0.94522039999999996</v>
      </c>
      <c r="S2298">
        <v>-0.34219359999999999</v>
      </c>
      <c r="T2298">
        <v>-0.32891989999999999</v>
      </c>
      <c r="U2298">
        <v>-3.034729</v>
      </c>
      <c r="V2298">
        <v>-0.31712109999999999</v>
      </c>
      <c r="W2298">
        <v>-7.9530569999999995E-2</v>
      </c>
      <c r="X2298">
        <v>0.94504449999999995</v>
      </c>
      <c r="Y2298">
        <v>-0.50801090000000004</v>
      </c>
      <c r="Z2298">
        <v>5.4047390000000001E-2</v>
      </c>
      <c r="AA2298">
        <v>0.85965340000000001</v>
      </c>
      <c r="AB2298">
        <v>16</v>
      </c>
      <c r="AC2298">
        <v>-2.1900000000016399E-2</v>
      </c>
      <c r="AD2298">
        <v>-9.8688000000000095E-2</v>
      </c>
      <c r="AE2298">
        <v>-0.78230000000001998</v>
      </c>
      <c r="AF2298">
        <v>-0.44624604586320799</v>
      </c>
      <c r="AG2298">
        <v>-9.8688000000000095E-2</v>
      </c>
      <c r="AH2298">
        <v>0.62794400914520099</v>
      </c>
      <c r="AI2298">
        <v>97.300223192937906</v>
      </c>
      <c r="AJ2298">
        <v>125.399361405633</v>
      </c>
      <c r="AK2298">
        <v>0.77665213153244905</v>
      </c>
      <c r="AL2298">
        <v>94.561583378978995</v>
      </c>
      <c r="AM2298">
        <v>108.549799979512</v>
      </c>
      <c r="AN2298">
        <v>1.00000000530499</v>
      </c>
    </row>
    <row r="2299" spans="1:40" x14ac:dyDescent="0.25">
      <c r="A2299" t="str">
        <f>"20190303154510657"</f>
        <v>20190303154510657</v>
      </c>
      <c r="B2299" t="str">
        <f>"1551599110653157"</f>
        <v>1551599110653157</v>
      </c>
      <c r="C2299" t="s">
        <v>40</v>
      </c>
      <c r="D2299">
        <v>4.753946</v>
      </c>
      <c r="E2299">
        <v>0.41579880000000002</v>
      </c>
      <c r="F2299" t="s">
        <v>42</v>
      </c>
      <c r="G2299">
        <v>-490.84289999999999</v>
      </c>
      <c r="H2299">
        <v>1.0306379999999999</v>
      </c>
      <c r="I2299">
        <v>277.13839999999999</v>
      </c>
      <c r="J2299">
        <v>-490.83330000000001</v>
      </c>
      <c r="K2299">
        <v>1.126485</v>
      </c>
      <c r="L2299">
        <v>277.90120000000002</v>
      </c>
      <c r="M2299">
        <v>-0.59177369999999996</v>
      </c>
      <c r="N2299">
        <v>-1.4555709999999999E-2</v>
      </c>
      <c r="O2299">
        <v>-0.80597289999999999</v>
      </c>
      <c r="P2299">
        <v>-0.30574839999999998</v>
      </c>
      <c r="Q2299">
        <v>-9.0345410000000001E-2</v>
      </c>
      <c r="R2299">
        <v>-0.94781660000000001</v>
      </c>
      <c r="S2299">
        <v>-0.30896000000000001</v>
      </c>
      <c r="T2299">
        <v>-0.32501829999999998</v>
      </c>
      <c r="U2299">
        <v>-3.040527</v>
      </c>
      <c r="V2299">
        <v>-0.31348589999999998</v>
      </c>
      <c r="W2299">
        <v>-8.0636050000000001E-2</v>
      </c>
      <c r="X2299">
        <v>0.94616299999999998</v>
      </c>
      <c r="Y2299">
        <v>-0.50674859999999999</v>
      </c>
      <c r="Z2299">
        <v>5.4243649999999997E-2</v>
      </c>
      <c r="AA2299">
        <v>0.86038570000000003</v>
      </c>
      <c r="AB2299">
        <v>16</v>
      </c>
      <c r="AC2299">
        <v>-9.5999999999776195E-3</v>
      </c>
      <c r="AD2299">
        <v>-9.5847000000000002E-2</v>
      </c>
      <c r="AE2299">
        <v>-0.76280000000002701</v>
      </c>
      <c r="AF2299">
        <v>-0.43681903714570403</v>
      </c>
      <c r="AG2299">
        <v>-9.5847000000000002E-2</v>
      </c>
      <c r="AH2299">
        <v>0.610899263695869</v>
      </c>
      <c r="AI2299">
        <v>97.273053026916799</v>
      </c>
      <c r="AJ2299">
        <v>125.566385512774</v>
      </c>
      <c r="AK2299">
        <v>0.75709671047103</v>
      </c>
      <c r="AL2299">
        <v>94.625126824608998</v>
      </c>
      <c r="AM2299">
        <v>108.33123947743999</v>
      </c>
      <c r="AN2299">
        <v>1.0000000023136999</v>
      </c>
    </row>
    <row r="2300" spans="1:40" x14ac:dyDescent="0.25">
      <c r="A2300" t="str">
        <f>"20190303154510670"</f>
        <v>20190303154510670</v>
      </c>
      <c r="B2300" t="str">
        <f>"1551599110662917"</f>
        <v>1551599110662917</v>
      </c>
      <c r="C2300" t="s">
        <v>40</v>
      </c>
      <c r="D2300">
        <v>4.7487399999999997</v>
      </c>
      <c r="E2300">
        <v>0.41574339999999999</v>
      </c>
      <c r="F2300" t="s">
        <v>42</v>
      </c>
      <c r="G2300">
        <v>-490.91250000000002</v>
      </c>
      <c r="H2300">
        <v>1.0335190000000001</v>
      </c>
      <c r="I2300">
        <v>277.02499999999998</v>
      </c>
      <c r="J2300">
        <v>-490.8809</v>
      </c>
      <c r="K2300">
        <v>1.1265069999999999</v>
      </c>
      <c r="L2300">
        <v>277.82150000000001</v>
      </c>
      <c r="M2300">
        <v>-0.58571879999999998</v>
      </c>
      <c r="N2300">
        <v>-1.45681E-2</v>
      </c>
      <c r="O2300">
        <v>-0.81038339999999998</v>
      </c>
      <c r="P2300">
        <v>-0.30033599999999999</v>
      </c>
      <c r="Q2300">
        <v>-9.0719389999999997E-2</v>
      </c>
      <c r="R2300">
        <v>-0.94950950000000001</v>
      </c>
      <c r="S2300">
        <v>-0.27563480000000001</v>
      </c>
      <c r="T2300">
        <v>-0.32317089999999998</v>
      </c>
      <c r="U2300">
        <v>-3.045471</v>
      </c>
      <c r="V2300">
        <v>-0.31176749999999998</v>
      </c>
      <c r="W2300">
        <v>-8.0985650000000006E-2</v>
      </c>
      <c r="X2300">
        <v>0.94670080000000001</v>
      </c>
      <c r="Y2300">
        <v>-0.50975779999999904</v>
      </c>
      <c r="Z2300">
        <v>5.427307E-2</v>
      </c>
      <c r="AA2300">
        <v>0.85860429999999999</v>
      </c>
      <c r="AB2300">
        <v>16</v>
      </c>
      <c r="AC2300">
        <v>-3.1600000000025802E-2</v>
      </c>
      <c r="AD2300">
        <v>-9.2987999999999807E-2</v>
      </c>
      <c r="AE2300">
        <v>-0.79650000000003696</v>
      </c>
      <c r="AF2300">
        <v>-0.43504356480199702</v>
      </c>
      <c r="AG2300">
        <v>-9.2987999999999807E-2</v>
      </c>
      <c r="AH2300">
        <v>0.65513439261915996</v>
      </c>
      <c r="AI2300">
        <v>96.743424988449107</v>
      </c>
      <c r="AJ2300">
        <v>123.586244001542</v>
      </c>
      <c r="AK2300">
        <v>0.79190324144563595</v>
      </c>
      <c r="AL2300">
        <v>94.645223039554097</v>
      </c>
      <c r="AM2300">
        <v>108.227747492479</v>
      </c>
      <c r="AN2300">
        <v>1.0000000271414</v>
      </c>
    </row>
    <row r="2301" spans="1:40" x14ac:dyDescent="0.25">
      <c r="A2301" t="str">
        <f>"20190303154510685"</f>
        <v>20190303154510685</v>
      </c>
      <c r="B2301" t="str">
        <f>"1551599110672677"</f>
        <v>1551599110672677</v>
      </c>
      <c r="C2301" t="s">
        <v>40</v>
      </c>
      <c r="D2301">
        <v>4.8707039999999999</v>
      </c>
      <c r="E2301">
        <v>0.41588920000000001</v>
      </c>
      <c r="F2301" t="s">
        <v>42</v>
      </c>
      <c r="G2301">
        <v>-490.95859999999999</v>
      </c>
      <c r="H2301">
        <v>1.02888</v>
      </c>
      <c r="I2301">
        <v>276.90159999999997</v>
      </c>
      <c r="J2301">
        <v>-490.93150000000003</v>
      </c>
      <c r="K2301">
        <v>1.12653</v>
      </c>
      <c r="L2301">
        <v>277.73540000000003</v>
      </c>
      <c r="M2301">
        <v>-0.579129</v>
      </c>
      <c r="N2301">
        <v>-1.4581429999999999E-2</v>
      </c>
      <c r="O2301">
        <v>-0.81510550000000004</v>
      </c>
      <c r="P2301">
        <v>-0.2947071</v>
      </c>
      <c r="Q2301">
        <v>-9.1095809999999999E-2</v>
      </c>
      <c r="R2301">
        <v>-0.95123559999999996</v>
      </c>
      <c r="S2301">
        <v>-0.25753779999999998</v>
      </c>
      <c r="T2301">
        <v>-0.32335079999999999</v>
      </c>
      <c r="U2301">
        <v>-3.04718</v>
      </c>
      <c r="V2301">
        <v>-0.30967099999999997</v>
      </c>
      <c r="W2301">
        <v>-8.1330269999999996E-2</v>
      </c>
      <c r="X2301">
        <v>0.94735910000000001</v>
      </c>
      <c r="Y2301">
        <v>-0.50789669999999998</v>
      </c>
      <c r="Z2301">
        <v>5.5019230000000002E-2</v>
      </c>
      <c r="AA2301">
        <v>0.85965910000000001</v>
      </c>
      <c r="AB2301">
        <v>16</v>
      </c>
      <c r="AC2301">
        <v>-2.70999999999617E-2</v>
      </c>
      <c r="AD2301">
        <v>-9.7650000000000001E-2</v>
      </c>
      <c r="AE2301">
        <v>-0.83380000000005305</v>
      </c>
      <c r="AF2301">
        <v>-0.45460866111368198</v>
      </c>
      <c r="AG2301">
        <v>-9.7650000000000001E-2</v>
      </c>
      <c r="AH2301">
        <v>0.68600413858506704</v>
      </c>
      <c r="AI2301">
        <v>96.766870544450697</v>
      </c>
      <c r="AJ2301">
        <v>123.532071766887</v>
      </c>
      <c r="AK2301">
        <v>0.82873773620815405</v>
      </c>
      <c r="AL2301">
        <v>94.665033775144707</v>
      </c>
      <c r="AM2301">
        <v>108.101437981142</v>
      </c>
      <c r="AN2301">
        <v>1.0000000027060401</v>
      </c>
    </row>
    <row r="2302" spans="1:40" x14ac:dyDescent="0.25">
      <c r="A2302" t="str">
        <f>"20190303154510701"</f>
        <v>20190303154510701</v>
      </c>
      <c r="B2302" t="str">
        <f>"1551599110693173"</f>
        <v>1551599110693173</v>
      </c>
      <c r="C2302" t="s">
        <v>40</v>
      </c>
      <c r="D2302">
        <v>4.7198989999999998</v>
      </c>
      <c r="E2302">
        <v>0.41585050000000001</v>
      </c>
      <c r="F2302" t="s">
        <v>42</v>
      </c>
      <c r="G2302">
        <v>-491.00700000000001</v>
      </c>
      <c r="H2302">
        <v>1.0250440000000001</v>
      </c>
      <c r="I2302">
        <v>276.77960000000002</v>
      </c>
      <c r="J2302">
        <v>-490.988</v>
      </c>
      <c r="K2302">
        <v>1.126547</v>
      </c>
      <c r="L2302">
        <v>277.63740000000001</v>
      </c>
      <c r="M2302">
        <v>-0.57157290000000005</v>
      </c>
      <c r="N2302">
        <v>-1.4596420000000001E-2</v>
      </c>
      <c r="O2302">
        <v>-0.82042150000000003</v>
      </c>
      <c r="P2302">
        <v>-0.29032329999999901</v>
      </c>
      <c r="Q2302">
        <v>-9.175548E-2</v>
      </c>
      <c r="R2302">
        <v>-0.95251940000000002</v>
      </c>
      <c r="S2302">
        <v>-0.24096679999999901</v>
      </c>
      <c r="T2302">
        <v>-0.32364999999999999</v>
      </c>
      <c r="U2302">
        <v>-3.0481259999999999</v>
      </c>
      <c r="V2302">
        <v>-0.30523359999999999</v>
      </c>
      <c r="W2302">
        <v>-8.1915619999999995E-2</v>
      </c>
      <c r="X2302">
        <v>0.94874780000000003</v>
      </c>
      <c r="Y2302">
        <v>-0.50461449999999997</v>
      </c>
      <c r="Z2302">
        <v>5.5946009999999997E-2</v>
      </c>
      <c r="AA2302">
        <v>0.86153019999999902</v>
      </c>
      <c r="AB2302">
        <v>16</v>
      </c>
      <c r="AC2302">
        <v>-1.8999999999891701E-2</v>
      </c>
      <c r="AD2302">
        <v>-0.101502999999999</v>
      </c>
      <c r="AE2302">
        <v>-0.85779999999999701</v>
      </c>
      <c r="AF2302">
        <v>-0.46820525647142502</v>
      </c>
      <c r="AG2302">
        <v>-0.101502999999999</v>
      </c>
      <c r="AH2302">
        <v>0.70482947745630598</v>
      </c>
      <c r="AI2302">
        <v>96.840290713193497</v>
      </c>
      <c r="AJ2302">
        <v>123.595356758317</v>
      </c>
      <c r="AK2302">
        <v>0.85223448269112001</v>
      </c>
      <c r="AL2302">
        <v>94.698683901834102</v>
      </c>
      <c r="AM2302">
        <v>107.834156169639</v>
      </c>
      <c r="AN2302">
        <v>1.00000005368689</v>
      </c>
    </row>
    <row r="2303" spans="1:40" x14ac:dyDescent="0.25">
      <c r="A2303" t="str">
        <f>"20190303154510722"</f>
        <v>20190303154510722</v>
      </c>
      <c r="B2303" t="str">
        <f>"1551599110712693"</f>
        <v>1551599110712693</v>
      </c>
      <c r="C2303" t="s">
        <v>40</v>
      </c>
      <c r="D2303">
        <v>4.7150939999999997</v>
      </c>
      <c r="E2303">
        <v>0.41585660000000002</v>
      </c>
      <c r="F2303" t="s">
        <v>42</v>
      </c>
      <c r="G2303">
        <v>-491.0607</v>
      </c>
      <c r="H2303">
        <v>1.0227459999999999</v>
      </c>
      <c r="I2303">
        <v>276.66030000000001</v>
      </c>
      <c r="J2303">
        <v>-491.05509999999998</v>
      </c>
      <c r="K2303">
        <v>1.1265639999999999</v>
      </c>
      <c r="L2303">
        <v>277.51760000000002</v>
      </c>
      <c r="M2303">
        <v>-0.5622566</v>
      </c>
      <c r="N2303">
        <v>-1.461383E-2</v>
      </c>
      <c r="O2303">
        <v>-0.82683390000000001</v>
      </c>
      <c r="P2303">
        <v>-0.2839198</v>
      </c>
      <c r="Q2303">
        <v>-9.1474150000000004E-2</v>
      </c>
      <c r="R2303">
        <v>-0.95447470000000001</v>
      </c>
      <c r="S2303">
        <v>-0.22628780000000001</v>
      </c>
      <c r="T2303">
        <v>-0.32382230000000001</v>
      </c>
      <c r="U2303">
        <v>-3.049347</v>
      </c>
      <c r="V2303">
        <v>-0.3008923</v>
      </c>
      <c r="W2303">
        <v>-8.1556160000000003E-2</v>
      </c>
      <c r="X2303">
        <v>0.95016440000000002</v>
      </c>
      <c r="Y2303">
        <v>-0.49901220000000002</v>
      </c>
      <c r="Z2303">
        <v>5.7081710000000001E-2</v>
      </c>
      <c r="AA2303">
        <v>0.86471299999999995</v>
      </c>
      <c r="AB2303">
        <v>16</v>
      </c>
      <c r="AC2303">
        <v>-5.6000000000153696E-3</v>
      </c>
      <c r="AD2303">
        <v>-0.10381799999999899</v>
      </c>
      <c r="AE2303">
        <v>-0.85730000000000905</v>
      </c>
      <c r="AF2303">
        <v>-0.47054303462237101</v>
      </c>
      <c r="AG2303">
        <v>-0.10381799999999899</v>
      </c>
      <c r="AH2303">
        <v>0.70177817531744902</v>
      </c>
      <c r="AI2303">
        <v>97.004935740840693</v>
      </c>
      <c r="AJ2303">
        <v>123.84189607104101</v>
      </c>
      <c r="AK2303">
        <v>0.85128228685173402</v>
      </c>
      <c r="AL2303">
        <v>94.678019539357095</v>
      </c>
      <c r="AM2303">
        <v>107.571637298577</v>
      </c>
      <c r="AN2303">
        <v>0.99999998523029698</v>
      </c>
    </row>
    <row r="2304" spans="1:40" x14ac:dyDescent="0.25">
      <c r="A2304" t="str">
        <f>"20190303154510745"</f>
        <v>20190303154510745</v>
      </c>
      <c r="B2304" t="str">
        <f>"1551599110742950"</f>
        <v>1551599110742950</v>
      </c>
      <c r="C2304" t="s">
        <v>40</v>
      </c>
      <c r="D2304">
        <v>4.695303</v>
      </c>
      <c r="E2304">
        <v>0.41618509999999997</v>
      </c>
      <c r="F2304" t="s">
        <v>42</v>
      </c>
      <c r="G2304">
        <v>-491.12079999999997</v>
      </c>
      <c r="H2304">
        <v>1.0234939999999999</v>
      </c>
      <c r="I2304">
        <v>276.5437</v>
      </c>
      <c r="J2304">
        <v>-491.13139999999999</v>
      </c>
      <c r="K2304">
        <v>1.1265810000000001</v>
      </c>
      <c r="L2304">
        <v>277.37670000000003</v>
      </c>
      <c r="M2304">
        <v>-0.55121249999999999</v>
      </c>
      <c r="N2304">
        <v>-1.4632050000000001E-2</v>
      </c>
      <c r="O2304">
        <v>-0.83423670000000005</v>
      </c>
      <c r="P2304">
        <v>-0.27514499999999997</v>
      </c>
      <c r="Q2304">
        <v>-9.1642660000000001E-2</v>
      </c>
      <c r="R2304">
        <v>-0.95702529999999997</v>
      </c>
      <c r="S2304">
        <v>-0.20581050000000001</v>
      </c>
      <c r="T2304">
        <v>-0.32287310000000002</v>
      </c>
      <c r="U2304">
        <v>-3.0509029999999999</v>
      </c>
      <c r="V2304">
        <v>-0.29697069999999998</v>
      </c>
      <c r="W2304">
        <v>-8.1647399999999995E-2</v>
      </c>
      <c r="X2304">
        <v>0.95138959999999995</v>
      </c>
      <c r="Y2304">
        <v>-0.49331190000000003</v>
      </c>
      <c r="Z2304">
        <v>5.8107440000000003E-2</v>
      </c>
      <c r="AA2304">
        <v>0.86790959999999995</v>
      </c>
      <c r="AB2304">
        <v>16</v>
      </c>
      <c r="AC2304">
        <v>1.06000000000108E-2</v>
      </c>
      <c r="AD2304">
        <v>-0.103086999999999</v>
      </c>
      <c r="AE2304">
        <v>-0.83300000000002605</v>
      </c>
      <c r="AF2304">
        <v>-0.46099399147789299</v>
      </c>
      <c r="AG2304">
        <v>-0.103086999999999</v>
      </c>
      <c r="AH2304">
        <v>0.67875653748610798</v>
      </c>
      <c r="AI2304">
        <v>97.161046310591502</v>
      </c>
      <c r="AJ2304">
        <v>124.183339104936</v>
      </c>
      <c r="AK2304">
        <v>0.82695394486503904</v>
      </c>
      <c r="AL2304">
        <v>94.6832644756782</v>
      </c>
      <c r="AM2304">
        <v>107.33544810249801</v>
      </c>
      <c r="AN2304">
        <v>1.0000000327867</v>
      </c>
    </row>
    <row r="2305" spans="1:40" x14ac:dyDescent="0.25">
      <c r="A2305" t="str">
        <f>"20190303154510769"</f>
        <v>20190303154510769</v>
      </c>
      <c r="B2305" t="str">
        <f>"1551599110763446"</f>
        <v>1551599110763446</v>
      </c>
      <c r="C2305" t="s">
        <v>40</v>
      </c>
      <c r="D2305">
        <v>4.6985590000000004</v>
      </c>
      <c r="E2305">
        <v>0.41647119999999999</v>
      </c>
      <c r="F2305" t="s">
        <v>42</v>
      </c>
      <c r="G2305">
        <v>-491.18770000000001</v>
      </c>
      <c r="H2305">
        <v>1.026219</v>
      </c>
      <c r="I2305">
        <v>276.42970000000003</v>
      </c>
      <c r="J2305">
        <v>-491.20389999999998</v>
      </c>
      <c r="K2305">
        <v>1.1265810000000001</v>
      </c>
      <c r="L2305">
        <v>277.23860000000002</v>
      </c>
      <c r="M2305">
        <v>-0.54030279999999997</v>
      </c>
      <c r="N2305">
        <v>-1.4646940000000001E-2</v>
      </c>
      <c r="O2305">
        <v>-0.84134339999999996</v>
      </c>
      <c r="P2305">
        <v>-0.26613120000000001</v>
      </c>
      <c r="Q2305">
        <v>-9.1939199999999999E-2</v>
      </c>
      <c r="R2305">
        <v>-0.95954269999999997</v>
      </c>
      <c r="S2305">
        <v>-0.18075559999999999</v>
      </c>
      <c r="T2305">
        <v>-0.32335009999999997</v>
      </c>
      <c r="U2305">
        <v>-3.0518190000000001</v>
      </c>
      <c r="V2305">
        <v>-0.29351470000000002</v>
      </c>
      <c r="W2305">
        <v>-8.1869460000000005E-2</v>
      </c>
      <c r="X2305">
        <v>0.95244240000000002</v>
      </c>
      <c r="Y2305">
        <v>-0.4891122</v>
      </c>
      <c r="Z2305">
        <v>5.9369079999999998E-2</v>
      </c>
      <c r="AA2305">
        <v>0.87019799999999903</v>
      </c>
      <c r="AB2305">
        <v>16</v>
      </c>
      <c r="AC2305">
        <v>1.6199999999969301E-2</v>
      </c>
      <c r="AD2305">
        <v>-0.10036200000000001</v>
      </c>
      <c r="AE2305">
        <v>-0.80889999999999396</v>
      </c>
      <c r="AF2305">
        <v>-0.44389837439120999</v>
      </c>
      <c r="AG2305">
        <v>-0.10036200000000001</v>
      </c>
      <c r="AH2305">
        <v>0.66169966125921198</v>
      </c>
      <c r="AI2305">
        <v>97.1789493986617</v>
      </c>
      <c r="AJ2305">
        <v>123.85551489629</v>
      </c>
      <c r="AK2305">
        <v>0.80309696770795702</v>
      </c>
      <c r="AL2305">
        <v>94.696030437789801</v>
      </c>
      <c r="AM2305">
        <v>107.127757125747</v>
      </c>
      <c r="AN2305">
        <v>1.0000000064572701</v>
      </c>
    </row>
    <row r="2306" spans="1:40" x14ac:dyDescent="0.25">
      <c r="A2306" t="str">
        <f>"20190303154510791"</f>
        <v>20190303154510791</v>
      </c>
      <c r="B2306" t="str">
        <f>"1551599110782966"</f>
        <v>1551599110782966</v>
      </c>
      <c r="C2306" t="s">
        <v>40</v>
      </c>
      <c r="D2306">
        <v>4.7216149999999999</v>
      </c>
      <c r="E2306">
        <v>0.4167979</v>
      </c>
      <c r="F2306" t="s">
        <v>42</v>
      </c>
      <c r="G2306">
        <v>-491.25060000000002</v>
      </c>
      <c r="H2306">
        <v>1.0284390000000001</v>
      </c>
      <c r="I2306">
        <v>276.3141</v>
      </c>
      <c r="J2306">
        <v>-491.27249999999998</v>
      </c>
      <c r="K2306">
        <v>1.126574</v>
      </c>
      <c r="L2306">
        <v>277.1035</v>
      </c>
      <c r="M2306">
        <v>-0.529559</v>
      </c>
      <c r="N2306">
        <v>-1.4658590000000001E-2</v>
      </c>
      <c r="O2306">
        <v>-0.84814639999999997</v>
      </c>
      <c r="P2306">
        <v>-0.25620680000000001</v>
      </c>
      <c r="Q2306">
        <v>-9.1699039999999996E-2</v>
      </c>
      <c r="R2306">
        <v>-0.96226239999999996</v>
      </c>
      <c r="S2306">
        <v>-0.15420529999999999</v>
      </c>
      <c r="T2306">
        <v>-0.32404860000000002</v>
      </c>
      <c r="U2306">
        <v>-3.0527039999999999</v>
      </c>
      <c r="V2306">
        <v>-0.29125839999999997</v>
      </c>
      <c r="W2306">
        <v>-8.1571389999999994E-2</v>
      </c>
      <c r="X2306">
        <v>0.95316029999999996</v>
      </c>
      <c r="Y2306">
        <v>-0.48559170000000001</v>
      </c>
      <c r="Z2306">
        <v>6.0619850000000003E-2</v>
      </c>
      <c r="AA2306">
        <v>0.87208140000000001</v>
      </c>
      <c r="AB2306">
        <v>16</v>
      </c>
      <c r="AC2306">
        <v>2.1899999999959601E-2</v>
      </c>
      <c r="AD2306">
        <v>-9.8135E-2</v>
      </c>
      <c r="AE2306">
        <v>-0.78939999999999999</v>
      </c>
      <c r="AF2306">
        <v>-0.430014682365018</v>
      </c>
      <c r="AG2306">
        <v>-9.8135E-2</v>
      </c>
      <c r="AH2306">
        <v>0.64799346607294295</v>
      </c>
      <c r="AI2306">
        <v>97.1919783587702</v>
      </c>
      <c r="AJ2306">
        <v>123.568633668578</v>
      </c>
      <c r="AK2306">
        <v>0.78386136360182601</v>
      </c>
      <c r="AL2306">
        <v>94.678895225363803</v>
      </c>
      <c r="AM2306">
        <v>106.99164658942099</v>
      </c>
      <c r="AN2306">
        <v>0.99999995236658901</v>
      </c>
    </row>
    <row r="2307" spans="1:40" x14ac:dyDescent="0.25">
      <c r="A2307" t="str">
        <f>"20190303154510813"</f>
        <v>20190303154510813</v>
      </c>
      <c r="B2307" t="str">
        <f>"1551599110803461"</f>
        <v>1551599110803461</v>
      </c>
      <c r="C2307" t="s">
        <v>40</v>
      </c>
      <c r="D2307">
        <v>4.7442510000000002</v>
      </c>
      <c r="E2307">
        <v>0.41711569999999998</v>
      </c>
      <c r="F2307" t="s">
        <v>42</v>
      </c>
      <c r="G2307">
        <v>-491.30950000000001</v>
      </c>
      <c r="H2307">
        <v>1.0307440000000001</v>
      </c>
      <c r="I2307">
        <v>276.197</v>
      </c>
      <c r="J2307">
        <v>-491.3356</v>
      </c>
      <c r="K2307">
        <v>1.126568</v>
      </c>
      <c r="L2307">
        <v>276.97519999999997</v>
      </c>
      <c r="M2307">
        <v>-0.51930940000000003</v>
      </c>
      <c r="N2307">
        <v>-1.4669130000000001E-2</v>
      </c>
      <c r="O2307">
        <v>-0.85446049999999996</v>
      </c>
      <c r="P2307">
        <v>-0.24607319999999999</v>
      </c>
      <c r="Q2307">
        <v>-9.1201859999999996E-2</v>
      </c>
      <c r="R2307">
        <v>-0.964951</v>
      </c>
      <c r="S2307">
        <v>-0.125</v>
      </c>
      <c r="T2307">
        <v>-0.32284190000000001</v>
      </c>
      <c r="U2307">
        <v>-3.0535890000000001</v>
      </c>
      <c r="V2307">
        <v>-0.28984189999999999</v>
      </c>
      <c r="W2307">
        <v>-8.1030610000000003E-2</v>
      </c>
      <c r="X2307">
        <v>0.95363810000000004</v>
      </c>
      <c r="Y2307">
        <v>-0.48341610000000002</v>
      </c>
      <c r="Z2307">
        <v>6.1313640000000003E-2</v>
      </c>
      <c r="AA2307">
        <v>0.87324080000000004</v>
      </c>
      <c r="AB2307">
        <v>15</v>
      </c>
      <c r="AC2307">
        <v>2.6099999999985302E-2</v>
      </c>
      <c r="AD2307">
        <v>-9.5823999999999895E-2</v>
      </c>
      <c r="AE2307">
        <v>-0.77819999999996903</v>
      </c>
      <c r="AF2307">
        <v>-0.42011113342059497</v>
      </c>
      <c r="AG2307">
        <v>-9.5823999999999895E-2</v>
      </c>
      <c r="AH2307">
        <v>0.64173790809303599</v>
      </c>
      <c r="AI2307">
        <v>97.121074043307701</v>
      </c>
      <c r="AJ2307">
        <v>123.21060178787</v>
      </c>
      <c r="AK2307">
        <v>0.77298327671662004</v>
      </c>
      <c r="AL2307">
        <v>94.647807882041704</v>
      </c>
      <c r="AM2307">
        <v>106.90574730761401</v>
      </c>
      <c r="AN2307">
        <v>0.99999995626209504</v>
      </c>
    </row>
    <row r="2308" spans="1:40" x14ac:dyDescent="0.25">
      <c r="A2308" t="str">
        <f>"20190303154510835"</f>
        <v>20190303154510835</v>
      </c>
      <c r="B2308" t="str">
        <f>"1551599110832742"</f>
        <v>1551599110832742</v>
      </c>
      <c r="C2308" t="s">
        <v>40</v>
      </c>
      <c r="D2308">
        <v>4.7269379999999996</v>
      </c>
      <c r="E2308">
        <v>0.41776750000000001</v>
      </c>
      <c r="F2308" t="s">
        <v>42</v>
      </c>
      <c r="G2308">
        <v>-491.36360000000002</v>
      </c>
      <c r="H2308">
        <v>1.031704</v>
      </c>
      <c r="I2308">
        <v>276.07819999999998</v>
      </c>
      <c r="J2308">
        <v>-491.40210000000002</v>
      </c>
      <c r="K2308">
        <v>1.126563</v>
      </c>
      <c r="L2308">
        <v>276.83580000000001</v>
      </c>
      <c r="M2308">
        <v>-0.50805459999999902</v>
      </c>
      <c r="N2308">
        <v>-1.4521030000000001E-2</v>
      </c>
      <c r="O2308">
        <v>-0.86120269999999999</v>
      </c>
      <c r="P2308">
        <v>-0.23373150000000001</v>
      </c>
      <c r="Q2308">
        <v>-9.0357160000000006E-2</v>
      </c>
      <c r="R2308">
        <v>-0.9680938</v>
      </c>
      <c r="S2308">
        <v>-9.5153810000000005E-2</v>
      </c>
      <c r="T2308">
        <v>-0.32296730000000001</v>
      </c>
      <c r="U2308">
        <v>-3.054138</v>
      </c>
      <c r="V2308">
        <v>-0.28954980000000002</v>
      </c>
      <c r="W2308">
        <v>-8.0343780000000004E-2</v>
      </c>
      <c r="X2308">
        <v>0.95378499999999999</v>
      </c>
      <c r="Y2308">
        <v>-0.48047610000000002</v>
      </c>
      <c r="Z2308">
        <v>6.2567059999999994E-2</v>
      </c>
      <c r="AA2308">
        <v>0.87477309999999997</v>
      </c>
      <c r="AB2308">
        <v>15</v>
      </c>
      <c r="AC2308">
        <v>3.8499999999999E-2</v>
      </c>
      <c r="AD2308">
        <v>-9.4858999999999805E-2</v>
      </c>
      <c r="AE2308">
        <v>-0.75760000000002403</v>
      </c>
      <c r="AF2308">
        <v>-0.411665200490822</v>
      </c>
      <c r="AG2308">
        <v>-9.4858999999999805E-2</v>
      </c>
      <c r="AH2308">
        <v>0.62320847256160405</v>
      </c>
      <c r="AI2308">
        <v>97.238037393205801</v>
      </c>
      <c r="AJ2308">
        <v>123.447066560507</v>
      </c>
      <c r="AK2308">
        <v>0.75289791303251496</v>
      </c>
      <c r="AL2308">
        <v>94.608326404900794</v>
      </c>
      <c r="AM2308">
        <v>106.887227022961</v>
      </c>
      <c r="AN2308">
        <v>1.00000001794486</v>
      </c>
    </row>
    <row r="2309" spans="1:40" x14ac:dyDescent="0.25">
      <c r="A2309" t="str">
        <f>"20190303154510858"</f>
        <v>20190303154510858</v>
      </c>
      <c r="B2309" t="str">
        <f>"1551599110853238"</f>
        <v>1551599110853238</v>
      </c>
      <c r="C2309" t="s">
        <v>40</v>
      </c>
      <c r="D2309">
        <v>4.7500640000000001</v>
      </c>
      <c r="E2309">
        <v>0.41830010000000001</v>
      </c>
      <c r="F2309" t="s">
        <v>42</v>
      </c>
      <c r="G2309">
        <v>-491.42</v>
      </c>
      <c r="H2309">
        <v>1.034327</v>
      </c>
      <c r="I2309">
        <v>275.95830000000001</v>
      </c>
      <c r="J2309">
        <v>-491.46510000000001</v>
      </c>
      <c r="K2309">
        <v>1.126563</v>
      </c>
      <c r="L2309">
        <v>276.69900000000001</v>
      </c>
      <c r="M2309">
        <v>-0.49695309999999998</v>
      </c>
      <c r="N2309">
        <v>-1.4235609999999999E-2</v>
      </c>
      <c r="O2309">
        <v>-0.86766069999999995</v>
      </c>
      <c r="P2309">
        <v>-0.2209306</v>
      </c>
      <c r="Q2309">
        <v>-8.9378600000000002E-2</v>
      </c>
      <c r="R2309">
        <v>-0.97118530000000003</v>
      </c>
      <c r="S2309">
        <v>-6.1126710000000001E-2</v>
      </c>
      <c r="T2309">
        <v>-0.32092300000000001</v>
      </c>
      <c r="U2309">
        <v>-3.054138</v>
      </c>
      <c r="V2309">
        <v>-0.28993150000000001</v>
      </c>
      <c r="W2309">
        <v>-7.9689499999999996E-2</v>
      </c>
      <c r="X2309">
        <v>0.95372389999999996</v>
      </c>
      <c r="Y2309">
        <v>-0.47897489999999998</v>
      </c>
      <c r="Z2309">
        <v>6.3360509999999995E-2</v>
      </c>
      <c r="AA2309">
        <v>0.87553899999999996</v>
      </c>
      <c r="AB2309">
        <v>15</v>
      </c>
      <c r="AC2309">
        <v>4.50999999999908E-2</v>
      </c>
      <c r="AD2309">
        <v>-9.2235999999999901E-2</v>
      </c>
      <c r="AE2309">
        <v>-0.74070000000000302</v>
      </c>
      <c r="AF2309">
        <v>-0.401069652107925</v>
      </c>
      <c r="AG2309">
        <v>-9.2235999999999901E-2</v>
      </c>
      <c r="AH2309">
        <v>0.61088870553978802</v>
      </c>
      <c r="AI2309">
        <v>97.193579483681503</v>
      </c>
      <c r="AJ2309">
        <v>123.286289520677</v>
      </c>
      <c r="AK2309">
        <v>0.73657949747060603</v>
      </c>
      <c r="AL2309">
        <v>94.570718487300098</v>
      </c>
      <c r="AM2309">
        <v>106.909240706172</v>
      </c>
      <c r="AN2309">
        <v>0.99999998426685399</v>
      </c>
    </row>
    <row r="2310" spans="1:40" x14ac:dyDescent="0.25">
      <c r="A2310" t="str">
        <f>"20190303154510880"</f>
        <v>20190303154510880</v>
      </c>
      <c r="B2310" t="str">
        <f>"1551599110872757"</f>
        <v>1551599110872757</v>
      </c>
      <c r="C2310" t="s">
        <v>40</v>
      </c>
      <c r="D2310">
        <v>4.7851419999999996</v>
      </c>
      <c r="E2310">
        <v>0.4187554</v>
      </c>
      <c r="F2310" t="s">
        <v>42</v>
      </c>
      <c r="G2310">
        <v>-491.47239999999999</v>
      </c>
      <c r="H2310">
        <v>1.0362830000000001</v>
      </c>
      <c r="I2310">
        <v>275.82889999999998</v>
      </c>
      <c r="J2310">
        <v>-491.5258</v>
      </c>
      <c r="K2310">
        <v>1.1265590000000001</v>
      </c>
      <c r="L2310">
        <v>276.56279999999998</v>
      </c>
      <c r="M2310">
        <v>-0.48596830000000002</v>
      </c>
      <c r="N2310">
        <v>-1.405962E-2</v>
      </c>
      <c r="O2310">
        <v>-0.87386350000000002</v>
      </c>
      <c r="P2310">
        <v>-0.2101915</v>
      </c>
      <c r="Q2310">
        <v>-8.8141199999999906E-2</v>
      </c>
      <c r="R2310">
        <v>-0.97367919999999997</v>
      </c>
      <c r="S2310">
        <v>-2.5512699999999999E-2</v>
      </c>
      <c r="T2310">
        <v>-0.31690220000000002</v>
      </c>
      <c r="U2310">
        <v>-3.0541079999999998</v>
      </c>
      <c r="V2310">
        <v>-0.28850150000000002</v>
      </c>
      <c r="W2310">
        <v>-7.8599600000000006E-2</v>
      </c>
      <c r="X2310">
        <v>0.95424790000000004</v>
      </c>
      <c r="Y2310">
        <v>-0.47812969999999999</v>
      </c>
      <c r="Z2310">
        <v>6.3495209999999996E-2</v>
      </c>
      <c r="AA2310">
        <v>0.87599110000000002</v>
      </c>
      <c r="AB2310">
        <v>16</v>
      </c>
      <c r="AC2310">
        <v>5.3400000000010502E-2</v>
      </c>
      <c r="AD2310">
        <v>-9.0275999999999995E-2</v>
      </c>
      <c r="AE2310">
        <v>-0.73390000000000499</v>
      </c>
      <c r="AF2310">
        <v>-0.39737519548523997</v>
      </c>
      <c r="AG2310">
        <v>-9.0275999999999995E-2</v>
      </c>
      <c r="AH2310">
        <v>0.60631259207948396</v>
      </c>
      <c r="AI2310">
        <v>97.098546471855897</v>
      </c>
      <c r="AJ2310">
        <v>123.240696265219</v>
      </c>
      <c r="AK2310">
        <v>0.730528412505</v>
      </c>
      <c r="AL2310">
        <v>94.508075087783595</v>
      </c>
      <c r="AM2310">
        <v>106.821847190334</v>
      </c>
      <c r="AN2310">
        <v>1.0000000336384001</v>
      </c>
    </row>
    <row r="2311" spans="1:40" x14ac:dyDescent="0.25">
      <c r="A2311" t="str">
        <f>"20190303154510914"</f>
        <v>20190303154510914</v>
      </c>
      <c r="B2311" t="str">
        <f>"1551599110903030"</f>
        <v>1551599110903030</v>
      </c>
      <c r="C2311" t="s">
        <v>40</v>
      </c>
      <c r="D2311">
        <v>4.7903849999999997</v>
      </c>
      <c r="E2311">
        <v>0.43091819999999997</v>
      </c>
      <c r="F2311" t="s">
        <v>42</v>
      </c>
      <c r="G2311">
        <v>-491.52460000000002</v>
      </c>
      <c r="H2311">
        <v>1.0362559999999901</v>
      </c>
      <c r="I2311">
        <v>275.68209999999999</v>
      </c>
      <c r="J2311">
        <v>-491.61509999999998</v>
      </c>
      <c r="K2311">
        <v>1.12649</v>
      </c>
      <c r="L2311">
        <v>276.35270000000003</v>
      </c>
      <c r="M2311">
        <v>-0.46902929999999998</v>
      </c>
      <c r="N2311">
        <v>-1.4032950000000001E-2</v>
      </c>
      <c r="O2311">
        <v>-0.883071099999999</v>
      </c>
      <c r="P2311">
        <v>-0.19797429999999999</v>
      </c>
      <c r="Q2311">
        <v>-8.6971889999999996E-2</v>
      </c>
      <c r="R2311">
        <v>-0.97634120000000002</v>
      </c>
      <c r="S2311">
        <v>4.9438479999999998E-3</v>
      </c>
      <c r="T2311">
        <v>-0.31300289999999997</v>
      </c>
      <c r="U2311">
        <v>-3.053833</v>
      </c>
      <c r="V2311">
        <v>-0.28214699999999998</v>
      </c>
      <c r="W2311">
        <v>-7.7264189999999996E-2</v>
      </c>
      <c r="X2311">
        <v>0.95625479999999996</v>
      </c>
      <c r="Y2311">
        <v>-0.46994350000000001</v>
      </c>
      <c r="Z2311">
        <v>6.4162849999999993E-2</v>
      </c>
      <c r="AA2311">
        <v>0.88036139999999996</v>
      </c>
      <c r="AB2311">
        <v>16</v>
      </c>
      <c r="AC2311">
        <v>9.0499999999963096E-2</v>
      </c>
      <c r="AD2311">
        <v>-9.0234000000000106E-2</v>
      </c>
      <c r="AE2311">
        <v>-0.67060000000003495</v>
      </c>
      <c r="AF2311">
        <v>-0.387595695930749</v>
      </c>
      <c r="AG2311">
        <v>-9.0234000000000106E-2</v>
      </c>
      <c r="AH2311">
        <v>0.54018895758196805</v>
      </c>
      <c r="AI2311">
        <v>97.7289278705247</v>
      </c>
      <c r="AJ2311">
        <v>125.660148108825</v>
      </c>
      <c r="AK2311">
        <v>0.67095209080346097</v>
      </c>
      <c r="AL2311">
        <v>94.4313286275368</v>
      </c>
      <c r="AM2311">
        <v>106.43891627441501</v>
      </c>
      <c r="AN2311">
        <v>0.99999996359419696</v>
      </c>
    </row>
    <row r="2312" spans="1:40" x14ac:dyDescent="0.25">
      <c r="A2312" t="str">
        <f>"20190303154510937"</f>
        <v>20190303154510937</v>
      </c>
      <c r="B2312" t="str">
        <f>"1551599110933269"</f>
        <v>1551599110933269</v>
      </c>
      <c r="C2312" t="s">
        <v>40</v>
      </c>
      <c r="D2312">
        <v>4.7786609999999996</v>
      </c>
      <c r="E2312">
        <v>0.43235499999999999</v>
      </c>
      <c r="F2312" t="s">
        <v>41</v>
      </c>
      <c r="G2312">
        <v>-491.78190000000001</v>
      </c>
      <c r="H2312" s="1">
        <v>-3.381135E-6</v>
      </c>
      <c r="I2312">
        <v>266.36540000000002</v>
      </c>
      <c r="J2312">
        <v>-491.6721</v>
      </c>
      <c r="K2312">
        <v>1.1264419999999999</v>
      </c>
      <c r="L2312">
        <v>276.2131</v>
      </c>
      <c r="M2312">
        <v>-0.45768779999999998</v>
      </c>
      <c r="N2312">
        <v>-1.3991460000000001E-2</v>
      </c>
      <c r="O2312">
        <v>-0.88900309999999905</v>
      </c>
      <c r="P2312">
        <v>-0.19097890000000001</v>
      </c>
      <c r="Q2312">
        <v>-8.5106660000000001E-2</v>
      </c>
      <c r="R2312">
        <v>-0.97789780000000004</v>
      </c>
      <c r="S2312">
        <v>-5.0628659999999999E-2</v>
      </c>
      <c r="T2312">
        <v>-0.34198840000000003</v>
      </c>
      <c r="U2312">
        <v>-3.0319820000000002</v>
      </c>
      <c r="V2312">
        <v>-0.27686680000000002</v>
      </c>
      <c r="W2312">
        <v>-7.5301409999999999E-2</v>
      </c>
      <c r="X2312">
        <v>0.95795330000000001</v>
      </c>
      <c r="Y2312">
        <v>-0.4423049</v>
      </c>
      <c r="Z2312">
        <v>7.3855580000000004E-2</v>
      </c>
      <c r="AA2312">
        <v>0.89381860000000002</v>
      </c>
      <c r="AB2312">
        <v>15</v>
      </c>
      <c r="AC2312">
        <v>-0.109800000000006</v>
      </c>
      <c r="AD2312">
        <v>-1.1264453811349999</v>
      </c>
      <c r="AE2312">
        <v>-9.8476999999999695</v>
      </c>
      <c r="AF2312">
        <v>-4.3530409739226403</v>
      </c>
      <c r="AG2312">
        <v>-1.1264453811349999</v>
      </c>
      <c r="AH2312">
        <v>8.6920350615327404</v>
      </c>
      <c r="AI2312">
        <v>96.6097233793231</v>
      </c>
      <c r="AJ2312">
        <v>116.60207666705099</v>
      </c>
      <c r="AK2312">
        <v>9.7861799711758906</v>
      </c>
      <c r="AL2312">
        <v>94.318540686013407</v>
      </c>
      <c r="AM2312">
        <v>106.120303834588</v>
      </c>
      <c r="AN2312">
        <v>1.0000000261355499</v>
      </c>
    </row>
    <row r="2313" spans="1:40" x14ac:dyDescent="0.25">
      <c r="A2313" t="str">
        <f>"20190303154510957"</f>
        <v>20190303154510957</v>
      </c>
      <c r="B2313" t="str">
        <f>"1551599110952790"</f>
        <v>1551599110952790</v>
      </c>
      <c r="C2313" t="s">
        <v>40</v>
      </c>
      <c r="D2313">
        <v>4.7794089999999896</v>
      </c>
      <c r="E2313">
        <v>0.43318240000000002</v>
      </c>
      <c r="F2313" t="s">
        <v>41</v>
      </c>
      <c r="G2313">
        <v>-491.80399999999997</v>
      </c>
      <c r="H2313" s="1">
        <v>-3.314722E-6</v>
      </c>
      <c r="I2313">
        <v>266.19690000000003</v>
      </c>
      <c r="J2313">
        <v>-491.72430000000003</v>
      </c>
      <c r="K2313">
        <v>1.1264209999999999</v>
      </c>
      <c r="L2313">
        <v>276.08080000000001</v>
      </c>
      <c r="M2313">
        <v>-0.44696079999999999</v>
      </c>
      <c r="N2313">
        <v>-1.3914960000000001E-2</v>
      </c>
      <c r="O2313">
        <v>-0.8944455</v>
      </c>
      <c r="P2313">
        <v>-0.18283959999999999</v>
      </c>
      <c r="Q2313">
        <v>-8.3778430000000001E-2</v>
      </c>
      <c r="R2313">
        <v>-0.97956699999999997</v>
      </c>
      <c r="S2313">
        <v>-3.9916989999999999E-2</v>
      </c>
      <c r="T2313">
        <v>-0.34080270000000001</v>
      </c>
      <c r="U2313">
        <v>-3.0303650000000002</v>
      </c>
      <c r="V2313">
        <v>-0.27338309999999999</v>
      </c>
      <c r="W2313">
        <v>-7.3972309999999999E-2</v>
      </c>
      <c r="X2313">
        <v>0.95905669999999998</v>
      </c>
      <c r="Y2313">
        <v>-0.43467600000000001</v>
      </c>
      <c r="Z2313">
        <v>7.4777549999999998E-2</v>
      </c>
      <c r="AA2313">
        <v>0.89747710000000003</v>
      </c>
      <c r="AB2313">
        <v>15</v>
      </c>
      <c r="AC2313">
        <v>-7.9700000000002505E-2</v>
      </c>
      <c r="AD2313">
        <v>-1.1264243147220001</v>
      </c>
      <c r="AE2313">
        <v>-9.8838999999999793</v>
      </c>
      <c r="AF2313">
        <v>-4.2911185930720999</v>
      </c>
      <c r="AG2313">
        <v>-1.1264243147220001</v>
      </c>
      <c r="AH2313">
        <v>8.7632792262178292</v>
      </c>
      <c r="AI2313">
        <v>96.585185066616603</v>
      </c>
      <c r="AJ2313">
        <v>116.089624452271</v>
      </c>
      <c r="AK2313">
        <v>9.8223008156575506</v>
      </c>
      <c r="AL2313">
        <v>94.242176025859706</v>
      </c>
      <c r="AM2313">
        <v>105.910421800336</v>
      </c>
      <c r="AN2313">
        <v>0.99999998791361799</v>
      </c>
    </row>
    <row r="2314" spans="1:40" x14ac:dyDescent="0.25">
      <c r="A2314" t="str">
        <f>"20190303154510984"</f>
        <v>20190303154510984</v>
      </c>
      <c r="B2314" t="str">
        <f>"1551599110973285"</f>
        <v>1551599110973285</v>
      </c>
      <c r="C2314" t="s">
        <v>40</v>
      </c>
      <c r="D2314">
        <v>4.7515260000000001</v>
      </c>
      <c r="E2314">
        <v>0.43347859999999999</v>
      </c>
      <c r="F2314" t="s">
        <v>41</v>
      </c>
      <c r="G2314">
        <v>-491.79430000000002</v>
      </c>
      <c r="H2314" s="1">
        <v>-3.2299499999999999E-6</v>
      </c>
      <c r="I2314">
        <v>266.00529999999998</v>
      </c>
      <c r="J2314">
        <v>-491.78550000000001</v>
      </c>
      <c r="K2314">
        <v>1.126417</v>
      </c>
      <c r="L2314">
        <v>275.91930000000002</v>
      </c>
      <c r="M2314">
        <v>-0.43397019999999997</v>
      </c>
      <c r="N2314">
        <v>-1.3838120000000001E-2</v>
      </c>
      <c r="O2314">
        <v>-0.90082110000000004</v>
      </c>
      <c r="P2314">
        <v>-0.1721126</v>
      </c>
      <c r="Q2314">
        <v>-8.5578829999999995E-2</v>
      </c>
      <c r="R2314">
        <v>-0.98135300000000003</v>
      </c>
      <c r="S2314">
        <v>-2.105713E-2</v>
      </c>
      <c r="T2314">
        <v>-0.33871400000000002</v>
      </c>
      <c r="U2314">
        <v>-3.0296940000000001</v>
      </c>
      <c r="V2314">
        <v>-0.26990530000000001</v>
      </c>
      <c r="W2314">
        <v>-7.5794440000000005E-2</v>
      </c>
      <c r="X2314">
        <v>0.95989910000000001</v>
      </c>
      <c r="Y2314">
        <v>-0.4272377</v>
      </c>
      <c r="Z2314">
        <v>7.5565699999999902E-2</v>
      </c>
      <c r="AA2314">
        <v>0.900976</v>
      </c>
      <c r="AB2314">
        <v>15</v>
      </c>
      <c r="AC2314">
        <v>-8.8000000000079091E-3</v>
      </c>
      <c r="AD2314">
        <v>-1.1264202299499999</v>
      </c>
      <c r="AE2314">
        <v>-9.9140000000000406</v>
      </c>
      <c r="AF2314">
        <v>-4.24012689755709</v>
      </c>
      <c r="AG2314">
        <v>-1.1264202299499999</v>
      </c>
      <c r="AH2314">
        <v>8.8215338088540705</v>
      </c>
      <c r="AI2314">
        <v>96.565050770072205</v>
      </c>
      <c r="AJ2314">
        <v>115.671565569511</v>
      </c>
      <c r="AK2314">
        <v>9.8522564614702901</v>
      </c>
      <c r="AL2314">
        <v>94.346870406662404</v>
      </c>
      <c r="AM2314">
        <v>105.70496923762499</v>
      </c>
      <c r="AN2314">
        <v>0.99999997514190597</v>
      </c>
    </row>
    <row r="2315" spans="1:40" x14ac:dyDescent="0.25">
      <c r="A2315" t="str">
        <f>"20190303154511005"</f>
        <v>20190303154511005</v>
      </c>
      <c r="B2315" t="str">
        <f>"1551599110992805"</f>
        <v>1551599110992805</v>
      </c>
      <c r="C2315" t="s">
        <v>40</v>
      </c>
      <c r="D2315">
        <v>4.7744090000000003</v>
      </c>
      <c r="E2315">
        <v>0.43968649999999998</v>
      </c>
      <c r="F2315" t="s">
        <v>41</v>
      </c>
      <c r="G2315">
        <v>-491.75560000000002</v>
      </c>
      <c r="H2315" s="1">
        <v>-3.249955E-6</v>
      </c>
      <c r="I2315">
        <v>266.07600000000002</v>
      </c>
      <c r="J2315">
        <v>-491.83420000000001</v>
      </c>
      <c r="K2315">
        <v>1.1264099999999999</v>
      </c>
      <c r="L2315">
        <v>275.78530000000001</v>
      </c>
      <c r="M2315">
        <v>-0.42326269999999999</v>
      </c>
      <c r="N2315">
        <v>-1.380665E-2</v>
      </c>
      <c r="O2315">
        <v>-0.90590199999999999</v>
      </c>
      <c r="P2315">
        <v>-0.1652285</v>
      </c>
      <c r="Q2315">
        <v>-8.7849869999999997E-2</v>
      </c>
      <c r="R2315">
        <v>-0.98233499999999996</v>
      </c>
      <c r="S2315">
        <v>9.2163090000000007E-3</v>
      </c>
      <c r="T2315">
        <v>-0.34655279999999999</v>
      </c>
      <c r="U2315">
        <v>-3.028381</v>
      </c>
      <c r="V2315">
        <v>-0.2651443</v>
      </c>
      <c r="W2315">
        <v>-7.8020699999999998E-2</v>
      </c>
      <c r="X2315">
        <v>0.96104699999999998</v>
      </c>
      <c r="Y2315">
        <v>-0.42551800000000001</v>
      </c>
      <c r="Z2315">
        <v>7.8549770000000005E-2</v>
      </c>
      <c r="AA2315">
        <v>0.90153439999999996</v>
      </c>
      <c r="AB2315">
        <v>15</v>
      </c>
      <c r="AC2315">
        <v>7.8599999999994397E-2</v>
      </c>
      <c r="AD2315">
        <v>-1.1264132499549999</v>
      </c>
      <c r="AE2315">
        <v>-9.7093000000000398</v>
      </c>
      <c r="AF2315">
        <v>-4.1256616715215202</v>
      </c>
      <c r="AG2315">
        <v>-1.1264132499549999</v>
      </c>
      <c r="AH2315">
        <v>8.6468670990107004</v>
      </c>
      <c r="AI2315">
        <v>96.705558072549096</v>
      </c>
      <c r="AJ2315">
        <v>115.507112272158</v>
      </c>
      <c r="AK2315">
        <v>9.6466679047995498</v>
      </c>
      <c r="AL2315">
        <v>94.4748043924711</v>
      </c>
      <c r="AM2315">
        <v>105.423706258805</v>
      </c>
      <c r="AN2315">
        <v>1.0000000328299801</v>
      </c>
    </row>
    <row r="2316" spans="1:40" x14ac:dyDescent="0.25">
      <c r="A2316" t="str">
        <f>"20190303154511025"</f>
        <v>20190303154511025</v>
      </c>
      <c r="B2316" t="str">
        <f>"1551599111013303"</f>
        <v>1551599111013303</v>
      </c>
      <c r="C2316" t="s">
        <v>40</v>
      </c>
      <c r="D2316">
        <v>4.7870269999999904</v>
      </c>
      <c r="E2316">
        <v>0.44089299999999998</v>
      </c>
      <c r="F2316" t="s">
        <v>41</v>
      </c>
      <c r="G2316">
        <v>-491.89179999999999</v>
      </c>
      <c r="H2316" s="1">
        <v>-3.3107229999999999E-6</v>
      </c>
      <c r="I2316">
        <v>266.13310000000001</v>
      </c>
      <c r="J2316">
        <v>-491.88049999999998</v>
      </c>
      <c r="K2316">
        <v>1.12639</v>
      </c>
      <c r="L2316">
        <v>275.65339999999998</v>
      </c>
      <c r="M2316">
        <v>-0.41271459999999999</v>
      </c>
      <c r="N2316">
        <v>-1.378412E-2</v>
      </c>
      <c r="O2316">
        <v>-0.91075609999999996</v>
      </c>
      <c r="P2316">
        <v>-0.1591206</v>
      </c>
      <c r="Q2316">
        <v>-8.8649039999999998E-2</v>
      </c>
      <c r="R2316">
        <v>-0.98327129999999996</v>
      </c>
      <c r="S2316">
        <v>-1.800537E-2</v>
      </c>
      <c r="T2316">
        <v>-0.35236260000000003</v>
      </c>
      <c r="U2316">
        <v>-3.0193789999999998</v>
      </c>
      <c r="V2316">
        <v>-0.25992140000000002</v>
      </c>
      <c r="W2316">
        <v>-7.8748970000000001E-2</v>
      </c>
      <c r="X2316">
        <v>0.96241339999999997</v>
      </c>
      <c r="Y2316">
        <v>-0.40683000000000002</v>
      </c>
      <c r="Z2316">
        <v>8.1754419999999994E-2</v>
      </c>
      <c r="AA2316">
        <v>0.90983820000000004</v>
      </c>
      <c r="AB2316">
        <v>15</v>
      </c>
      <c r="AC2316">
        <v>-1.1300000000005601E-2</v>
      </c>
      <c r="AD2316">
        <v>-1.126393310723</v>
      </c>
      <c r="AE2316">
        <v>-9.5202999999999598</v>
      </c>
      <c r="AF2316">
        <v>-3.8651417979504399</v>
      </c>
      <c r="AG2316">
        <v>-1.126393310723</v>
      </c>
      <c r="AH2316">
        <v>8.5563835470311194</v>
      </c>
      <c r="AI2316">
        <v>96.841137157302896</v>
      </c>
      <c r="AJ2316">
        <v>114.309936190454</v>
      </c>
      <c r="AK2316">
        <v>9.4562033825743192</v>
      </c>
      <c r="AL2316">
        <v>94.516659923471806</v>
      </c>
      <c r="AM2316">
        <v>105.113447138965</v>
      </c>
      <c r="AN2316">
        <v>1.00000004347678</v>
      </c>
    </row>
    <row r="2317" spans="1:40" x14ac:dyDescent="0.25">
      <c r="A2317" t="str">
        <f>"20190303154511048"</f>
        <v>20190303154511048</v>
      </c>
      <c r="B2317" t="str">
        <f>"1551599111043560"</f>
        <v>1551599111043560</v>
      </c>
      <c r="C2317" t="s">
        <v>40</v>
      </c>
      <c r="D2317">
        <v>4.8547269999999996</v>
      </c>
      <c r="E2317">
        <v>0.46366760000000001</v>
      </c>
      <c r="F2317" t="s">
        <v>41</v>
      </c>
      <c r="G2317">
        <v>-491.90870000000001</v>
      </c>
      <c r="H2317" s="1">
        <v>-3.3248599999999999E-6</v>
      </c>
      <c r="I2317">
        <v>266.15559999999999</v>
      </c>
      <c r="J2317">
        <v>-491.92860000000002</v>
      </c>
      <c r="K2317">
        <v>1.126358</v>
      </c>
      <c r="L2317">
        <v>275.51089999999999</v>
      </c>
      <c r="M2317">
        <v>-0.40129730000000002</v>
      </c>
      <c r="N2317">
        <v>-1.3755399999999999E-2</v>
      </c>
      <c r="O2317">
        <v>-0.91584460000000001</v>
      </c>
      <c r="P2317">
        <v>-0.15140780000000001</v>
      </c>
      <c r="Q2317">
        <v>-8.9154209999999998E-2</v>
      </c>
      <c r="R2317">
        <v>-0.9844427</v>
      </c>
      <c r="S2317">
        <v>-8.9721680000000009E-3</v>
      </c>
      <c r="T2317">
        <v>-0.35784080000000001</v>
      </c>
      <c r="U2317">
        <v>-3.017334</v>
      </c>
      <c r="V2317">
        <v>-0.25541740000000002</v>
      </c>
      <c r="W2317">
        <v>-7.9190250000000004E-2</v>
      </c>
      <c r="X2317">
        <v>0.9635823</v>
      </c>
      <c r="Y2317">
        <v>-0.3981246</v>
      </c>
      <c r="Z2317">
        <v>8.4425189999999997E-2</v>
      </c>
      <c r="AA2317">
        <v>0.91343810000000003</v>
      </c>
      <c r="AB2317">
        <v>15</v>
      </c>
      <c r="AC2317">
        <v>1.9900000000006898E-2</v>
      </c>
      <c r="AD2317">
        <v>-1.12636132486</v>
      </c>
      <c r="AE2317">
        <v>-9.3552999999999997</v>
      </c>
      <c r="AF2317">
        <v>-3.71893040456674</v>
      </c>
      <c r="AG2317">
        <v>-1.12636132486</v>
      </c>
      <c r="AH2317">
        <v>8.4385031395566408</v>
      </c>
      <c r="AI2317">
        <v>96.963794575920403</v>
      </c>
      <c r="AJ2317">
        <v>113.783554186619</v>
      </c>
      <c r="AK2317">
        <v>9.2901812912589907</v>
      </c>
      <c r="AL2317">
        <v>94.5420228255214</v>
      </c>
      <c r="AM2317">
        <v>104.84601006931599</v>
      </c>
      <c r="AN2317">
        <v>0.99999999639555603</v>
      </c>
    </row>
    <row r="2318" spans="1:40" x14ac:dyDescent="0.25">
      <c r="A2318" t="str">
        <f>"20190303154511072"</f>
        <v>20190303154511072</v>
      </c>
      <c r="B2318" t="str">
        <f>"1551599111063078"</f>
        <v>1551599111063078</v>
      </c>
      <c r="C2318" t="s">
        <v>40</v>
      </c>
      <c r="D2318">
        <v>4.8885249999999996</v>
      </c>
      <c r="E2318">
        <v>0.4755296</v>
      </c>
      <c r="F2318" t="s">
        <v>41</v>
      </c>
      <c r="G2318">
        <v>-492.47680000000003</v>
      </c>
      <c r="H2318" s="1">
        <v>-3.2422309999999999E-6</v>
      </c>
      <c r="I2318">
        <v>265.61070000000001</v>
      </c>
      <c r="J2318">
        <v>-491.9794</v>
      </c>
      <c r="K2318">
        <v>1.1263080000000001</v>
      </c>
      <c r="L2318">
        <v>275.35340000000002</v>
      </c>
      <c r="M2318">
        <v>-0.3886946</v>
      </c>
      <c r="N2318">
        <v>-1.37211E-2</v>
      </c>
      <c r="O2318">
        <v>-0.92126459999999999</v>
      </c>
      <c r="P2318">
        <v>-0.14225019999999999</v>
      </c>
      <c r="Q2318">
        <v>-8.9879420000000002E-2</v>
      </c>
      <c r="R2318">
        <v>-0.9857418</v>
      </c>
      <c r="S2318">
        <v>-0.16561890000000001</v>
      </c>
      <c r="T2318">
        <v>-0.34030149999999998</v>
      </c>
      <c r="U2318">
        <v>-2.9910890000000001</v>
      </c>
      <c r="V2318">
        <v>-0.25113170000000001</v>
      </c>
      <c r="W2318">
        <v>-7.9849439999999994E-2</v>
      </c>
      <c r="X2318">
        <v>0.96465380000000001</v>
      </c>
      <c r="Y2318">
        <v>-0.3370243</v>
      </c>
      <c r="Z2318">
        <v>8.2914180000000004E-2</v>
      </c>
      <c r="AA2318">
        <v>0.9378379</v>
      </c>
      <c r="AB2318">
        <v>15</v>
      </c>
      <c r="AC2318">
        <v>-0.49740000000002699</v>
      </c>
      <c r="AD2318">
        <v>-1.126311242231</v>
      </c>
      <c r="AE2318">
        <v>-9.7427000000000099</v>
      </c>
      <c r="AF2318">
        <v>-3.28521916162628</v>
      </c>
      <c r="AG2318">
        <v>-1.126311242231</v>
      </c>
      <c r="AH2318">
        <v>9.0491786553249103</v>
      </c>
      <c r="AI2318">
        <v>96.672944307517497</v>
      </c>
      <c r="AJ2318">
        <v>109.952952066074</v>
      </c>
      <c r="AK2318">
        <v>9.6927228522371607</v>
      </c>
      <c r="AL2318">
        <v>94.579911557237807</v>
      </c>
      <c r="AM2318">
        <v>104.592112964154</v>
      </c>
      <c r="AN2318">
        <v>1.0000000088338199</v>
      </c>
    </row>
    <row r="2319" spans="1:40" x14ac:dyDescent="0.25">
      <c r="A2319" t="str">
        <f>"20190303154511092"</f>
        <v>20190303154511092</v>
      </c>
      <c r="B2319" t="str">
        <f>"1551599111083577"</f>
        <v>1551599111083577</v>
      </c>
      <c r="C2319" t="s">
        <v>40</v>
      </c>
      <c r="D2319">
        <v>4.8928459999999996</v>
      </c>
      <c r="E2319">
        <v>0.48125899999999999</v>
      </c>
      <c r="F2319" t="s">
        <v>41</v>
      </c>
      <c r="G2319">
        <v>-492.78190000000001</v>
      </c>
      <c r="H2319" s="1">
        <v>-3.0783939999999999E-6</v>
      </c>
      <c r="I2319">
        <v>265.03949999999998</v>
      </c>
      <c r="J2319">
        <v>-492.01859999999999</v>
      </c>
      <c r="K2319">
        <v>1.126255</v>
      </c>
      <c r="L2319">
        <v>275.22730000000001</v>
      </c>
      <c r="M2319">
        <v>-0.37863469999999999</v>
      </c>
      <c r="N2319">
        <v>-1.3695229999999999E-2</v>
      </c>
      <c r="O2319">
        <v>-0.92544510000000002</v>
      </c>
      <c r="P2319">
        <v>-0.13629769999999999</v>
      </c>
      <c r="Q2319">
        <v>-9.1723559999999996E-2</v>
      </c>
      <c r="R2319">
        <v>-0.98641279999999998</v>
      </c>
      <c r="S2319">
        <v>-0.23187260000000001</v>
      </c>
      <c r="T2319">
        <v>-0.32545359999999901</v>
      </c>
      <c r="U2319">
        <v>-2.9802550000000001</v>
      </c>
      <c r="V2319">
        <v>-0.2463689</v>
      </c>
      <c r="W2319">
        <v>-8.1614430000000002E-2</v>
      </c>
      <c r="X2319">
        <v>0.96573359999999997</v>
      </c>
      <c r="Y2319">
        <v>-0.3056873</v>
      </c>
      <c r="Z2319">
        <v>8.0362349999999999E-2</v>
      </c>
      <c r="AA2319">
        <v>0.94873450000000004</v>
      </c>
      <c r="AB2319">
        <v>15</v>
      </c>
      <c r="AC2319">
        <v>-0.76330000000001497</v>
      </c>
      <c r="AD2319">
        <v>-1.1262580783939999</v>
      </c>
      <c r="AE2319">
        <v>-10.187799999999999</v>
      </c>
      <c r="AF2319">
        <v>-3.1135185933170999</v>
      </c>
      <c r="AG2319">
        <v>-1.1262580783939999</v>
      </c>
      <c r="AH2319">
        <v>9.6014838305919206</v>
      </c>
      <c r="AI2319">
        <v>96.366754091863996</v>
      </c>
      <c r="AJ2319">
        <v>107.96656869115699</v>
      </c>
      <c r="AK2319">
        <v>10.156325469341599</v>
      </c>
      <c r="AL2319">
        <v>94.681369411746999</v>
      </c>
      <c r="AM2319">
        <v>104.311502920515</v>
      </c>
      <c r="AN2319">
        <v>0.99999996812019598</v>
      </c>
    </row>
    <row r="2320" spans="1:40" x14ac:dyDescent="0.25">
      <c r="A2320" t="str">
        <f>"20190303154511115"</f>
        <v>20190303154511115</v>
      </c>
      <c r="B2320" t="str">
        <f>"1551599111112854"</f>
        <v>1551599111112854</v>
      </c>
      <c r="C2320" t="s">
        <v>40</v>
      </c>
      <c r="D2320">
        <v>4.8757479999999997</v>
      </c>
      <c r="E2320">
        <v>0.48558299999999999</v>
      </c>
      <c r="F2320" t="s">
        <v>41</v>
      </c>
      <c r="G2320">
        <v>-492.91719999999998</v>
      </c>
      <c r="H2320" s="1">
        <v>-3.060041E-6</v>
      </c>
      <c r="I2320">
        <v>264.9128</v>
      </c>
      <c r="J2320">
        <v>-492.06279999999998</v>
      </c>
      <c r="K2320">
        <v>1.1261950000000001</v>
      </c>
      <c r="L2320">
        <v>275.07929999999999</v>
      </c>
      <c r="M2320">
        <v>-0.3669019</v>
      </c>
      <c r="N2320">
        <v>-1.3665429999999999E-2</v>
      </c>
      <c r="O2320">
        <v>-0.93015930000000002</v>
      </c>
      <c r="P2320">
        <v>-0.12934519999999999</v>
      </c>
      <c r="Q2320">
        <v>-9.3484449999999997E-2</v>
      </c>
      <c r="R2320">
        <v>-0.98718320000000004</v>
      </c>
      <c r="S2320">
        <v>-0.25921630000000001</v>
      </c>
      <c r="T2320">
        <v>-0.32487949999999999</v>
      </c>
      <c r="U2320">
        <v>-2.975311</v>
      </c>
      <c r="V2320">
        <v>-0.2408932</v>
      </c>
      <c r="W2320">
        <v>-8.3280759999999995E-2</v>
      </c>
      <c r="X2320">
        <v>0.9669719</v>
      </c>
      <c r="Y2320">
        <v>-0.28483019999999998</v>
      </c>
      <c r="Z2320">
        <v>8.1478060000000005E-2</v>
      </c>
      <c r="AA2320">
        <v>0.95510890000000004</v>
      </c>
      <c r="AB2320">
        <v>15</v>
      </c>
      <c r="AC2320">
        <v>-0.85439999999999805</v>
      </c>
      <c r="AD2320">
        <v>-1.126198060041</v>
      </c>
      <c r="AE2320">
        <v>-10.1664999999999</v>
      </c>
      <c r="AF2320">
        <v>-2.90031339003438</v>
      </c>
      <c r="AG2320">
        <v>-1.126198060041</v>
      </c>
      <c r="AH2320">
        <v>9.6532316735695201</v>
      </c>
      <c r="AI2320">
        <v>96.375292009001797</v>
      </c>
      <c r="AJ2320">
        <v>106.722895163383</v>
      </c>
      <c r="AK2320">
        <v>10.1422394753061</v>
      </c>
      <c r="AL2320">
        <v>94.777169411051602</v>
      </c>
      <c r="AM2320">
        <v>103.988843996113</v>
      </c>
      <c r="AN2320">
        <v>0.99999993709101098</v>
      </c>
    </row>
    <row r="2321" spans="1:40" x14ac:dyDescent="0.25">
      <c r="A2321" t="str">
        <f>"20190303154511138"</f>
        <v>20190303154511138</v>
      </c>
      <c r="B2321" t="str">
        <f>"1551599111133350"</f>
        <v>1551599111133350</v>
      </c>
      <c r="C2321" t="s">
        <v>40</v>
      </c>
      <c r="D2321">
        <v>4.8969420000000001</v>
      </c>
      <c r="E2321">
        <v>0.48741099999999998</v>
      </c>
      <c r="F2321" t="s">
        <v>41</v>
      </c>
      <c r="G2321">
        <v>-493.00259999999997</v>
      </c>
      <c r="H2321" s="1">
        <v>-3.0490329999999998E-6</v>
      </c>
      <c r="I2321">
        <v>264.83420000000001</v>
      </c>
      <c r="J2321">
        <v>-492.1046</v>
      </c>
      <c r="K2321">
        <v>1.1261209999999999</v>
      </c>
      <c r="L2321">
        <v>274.93279999999999</v>
      </c>
      <c r="M2321">
        <v>-0.3553692</v>
      </c>
      <c r="N2321">
        <v>-1.363145E-2</v>
      </c>
      <c r="O2321">
        <v>-0.93462679999999998</v>
      </c>
      <c r="P2321">
        <v>-0.1238479</v>
      </c>
      <c r="Q2321">
        <v>-9.3149640000000006E-2</v>
      </c>
      <c r="R2321">
        <v>-0.98791989999999996</v>
      </c>
      <c r="S2321">
        <v>-0.272644</v>
      </c>
      <c r="T2321">
        <v>-0.32672430000000002</v>
      </c>
      <c r="U2321">
        <v>-2.972229</v>
      </c>
      <c r="V2321">
        <v>-0.23434920000000001</v>
      </c>
      <c r="W2321">
        <v>-8.2830269999999998E-2</v>
      </c>
      <c r="X2321">
        <v>0.96861739999999996</v>
      </c>
      <c r="Y2321">
        <v>-0.26859919999999998</v>
      </c>
      <c r="Z2321">
        <v>8.3108290000000001E-2</v>
      </c>
      <c r="AA2321">
        <v>0.95966010000000002</v>
      </c>
      <c r="AB2321">
        <v>15</v>
      </c>
      <c r="AC2321">
        <v>-0.89799999999996705</v>
      </c>
      <c r="AD2321">
        <v>-1.126124049033</v>
      </c>
      <c r="AE2321">
        <v>-10.0985999999999</v>
      </c>
      <c r="AF2321">
        <v>-2.71618049165822</v>
      </c>
      <c r="AG2321">
        <v>-1.126124049033</v>
      </c>
      <c r="AH2321">
        <v>9.6395205381933007</v>
      </c>
      <c r="AI2321">
        <v>96.415674297200695</v>
      </c>
      <c r="AJ2321">
        <v>105.73653460371401</v>
      </c>
      <c r="AK2321">
        <v>10.078003177382101</v>
      </c>
      <c r="AL2321">
        <v>94.751268281366194</v>
      </c>
      <c r="AM2321">
        <v>103.600893486394</v>
      </c>
      <c r="AN2321">
        <v>1.00000003437583</v>
      </c>
    </row>
    <row r="2322" spans="1:40" x14ac:dyDescent="0.25">
      <c r="A2322" t="str">
        <f>"20190303154511159"</f>
        <v>20190303154511159</v>
      </c>
      <c r="B2322" t="str">
        <f>"1551599111152870"</f>
        <v>1551599111152870</v>
      </c>
      <c r="C2322" t="s">
        <v>40</v>
      </c>
      <c r="D2322">
        <v>4.9029889999999998</v>
      </c>
      <c r="E2322">
        <v>0.48860170000000003</v>
      </c>
      <c r="F2322" t="s">
        <v>41</v>
      </c>
      <c r="G2322">
        <v>-493.04820000000001</v>
      </c>
      <c r="H2322" s="1">
        <v>-2.9440519999999998E-6</v>
      </c>
      <c r="I2322">
        <v>264.56119999999999</v>
      </c>
      <c r="J2322">
        <v>-492.1422</v>
      </c>
      <c r="K2322">
        <v>1.1258539999999999</v>
      </c>
      <c r="L2322">
        <v>274.79680000000002</v>
      </c>
      <c r="M2322">
        <v>-0.34543879999999999</v>
      </c>
      <c r="N2322">
        <v>-1.446329E-2</v>
      </c>
      <c r="O2322">
        <v>-0.93832990000000005</v>
      </c>
      <c r="P2322">
        <v>-0.120113</v>
      </c>
      <c r="Q2322">
        <v>-9.18292E-2</v>
      </c>
      <c r="R2322">
        <v>-0.98850439999999995</v>
      </c>
      <c r="S2322">
        <v>-0.2704163</v>
      </c>
      <c r="T2322">
        <v>-0.32272679999999998</v>
      </c>
      <c r="U2322">
        <v>-2.972321</v>
      </c>
      <c r="V2322">
        <v>-0.22791800000000001</v>
      </c>
      <c r="W2322">
        <v>-8.0310790000000007E-2</v>
      </c>
      <c r="X2322">
        <v>0.97036259999999996</v>
      </c>
      <c r="Y2322">
        <v>-0.25908160000000002</v>
      </c>
      <c r="Z2322">
        <v>8.1850480000000003E-2</v>
      </c>
      <c r="AA2322">
        <v>0.96238100000000004</v>
      </c>
      <c r="AB2322">
        <v>15</v>
      </c>
      <c r="AC2322">
        <v>-0.90600000000000602</v>
      </c>
      <c r="AD2322">
        <v>-1.1258569440520001</v>
      </c>
      <c r="AE2322">
        <v>-10.2356</v>
      </c>
      <c r="AF2322">
        <v>-2.6540660289667999</v>
      </c>
      <c r="AG2322">
        <v>-1.1258569440520001</v>
      </c>
      <c r="AH2322">
        <v>9.8007193106380299</v>
      </c>
      <c r="AI2322">
        <v>96.3271765923852</v>
      </c>
      <c r="AJ2322">
        <v>105.152458843717</v>
      </c>
      <c r="AK2322">
        <v>10.2159541576153</v>
      </c>
      <c r="AL2322">
        <v>94.606430141693394</v>
      </c>
      <c r="AM2322">
        <v>103.217992404669</v>
      </c>
      <c r="AN2322">
        <v>1.0000000065965899</v>
      </c>
    </row>
    <row r="2323" spans="1:40" x14ac:dyDescent="0.25">
      <c r="A2323" t="str">
        <f>"20190303154511185"</f>
        <v>20190303154511185</v>
      </c>
      <c r="B2323" t="str">
        <f>"1551599111173366"</f>
        <v>1551599111173366</v>
      </c>
      <c r="C2323" t="s">
        <v>40</v>
      </c>
      <c r="D2323">
        <v>4.9097549999999996</v>
      </c>
      <c r="E2323">
        <v>0.48955490000000002</v>
      </c>
      <c r="F2323" t="s">
        <v>41</v>
      </c>
      <c r="G2323">
        <v>-493.10050000000001</v>
      </c>
      <c r="H2323" s="1">
        <v>-2.8029950000000002E-6</v>
      </c>
      <c r="I2323">
        <v>264.2</v>
      </c>
      <c r="J2323">
        <v>-492.18220000000002</v>
      </c>
      <c r="K2323">
        <v>1.125362</v>
      </c>
      <c r="L2323">
        <v>274.64819999999997</v>
      </c>
      <c r="M2323">
        <v>-0.33543659999999997</v>
      </c>
      <c r="N2323">
        <v>-1.6076670000000001E-2</v>
      </c>
      <c r="O2323">
        <v>-0.94192589999999998</v>
      </c>
      <c r="P2323">
        <v>-0.1168365</v>
      </c>
      <c r="Q2323">
        <v>-9.0603310000000006E-2</v>
      </c>
      <c r="R2323">
        <v>-0.98901030000000001</v>
      </c>
      <c r="S2323">
        <v>-0.26885989999999999</v>
      </c>
      <c r="T2323">
        <v>-0.3158492</v>
      </c>
      <c r="U2323">
        <v>-2.972839</v>
      </c>
      <c r="V2323">
        <v>-0.22106000000000001</v>
      </c>
      <c r="W2323">
        <v>-7.6927430000000005E-2</v>
      </c>
      <c r="X2323">
        <v>0.97222149999999996</v>
      </c>
      <c r="Y2323">
        <v>-0.2492828</v>
      </c>
      <c r="Z2323">
        <v>7.8921119999999997E-2</v>
      </c>
      <c r="AA2323">
        <v>0.9652096</v>
      </c>
      <c r="AB2323">
        <v>15</v>
      </c>
      <c r="AC2323">
        <v>-0.91829999999998801</v>
      </c>
      <c r="AD2323">
        <v>-1.1253648029950001</v>
      </c>
      <c r="AE2323">
        <v>-10.4481999999999</v>
      </c>
      <c r="AF2323">
        <v>-2.6100311339386799</v>
      </c>
      <c r="AG2323">
        <v>-1.1253648029950001</v>
      </c>
      <c r="AH2323">
        <v>10.0352419482639</v>
      </c>
      <c r="AI2323">
        <v>96.194099127944398</v>
      </c>
      <c r="AJ2323">
        <v>104.578859324907</v>
      </c>
      <c r="AK2323">
        <v>10.429994698951001</v>
      </c>
      <c r="AL2323">
        <v>94.411975944039099</v>
      </c>
      <c r="AM2323">
        <v>102.809901609734</v>
      </c>
      <c r="AN2323">
        <v>0.99999999907432702</v>
      </c>
    </row>
    <row r="2324" spans="1:40" x14ac:dyDescent="0.25">
      <c r="A2324" t="str">
        <f>"20190303154511206"</f>
        <v>20190303154511206</v>
      </c>
      <c r="B2324" t="str">
        <f>"1551599111202646"</f>
        <v>1551599111202646</v>
      </c>
      <c r="C2324" t="s">
        <v>40</v>
      </c>
      <c r="D2324">
        <v>4.9342139999999999</v>
      </c>
      <c r="E2324">
        <v>0.49061519999999997</v>
      </c>
      <c r="F2324" t="s">
        <v>41</v>
      </c>
      <c r="G2324">
        <v>-493.14580000000001</v>
      </c>
      <c r="H2324" s="1">
        <v>-2.6868930000000001E-6</v>
      </c>
      <c r="I2324">
        <v>263.90120000000002</v>
      </c>
      <c r="J2324">
        <v>-492.21820000000002</v>
      </c>
      <c r="K2324">
        <v>1.124951</v>
      </c>
      <c r="L2324">
        <v>274.5129</v>
      </c>
      <c r="M2324">
        <v>-0.3270904</v>
      </c>
      <c r="N2324">
        <v>-1.7793710000000001E-2</v>
      </c>
      <c r="O2324">
        <v>-0.94482560000000004</v>
      </c>
      <c r="P2324">
        <v>-0.1144133</v>
      </c>
      <c r="Q2324">
        <v>-9.2625819999999998E-2</v>
      </c>
      <c r="R2324">
        <v>-0.98910589999999998</v>
      </c>
      <c r="S2324">
        <v>-0.26660159999999899</v>
      </c>
      <c r="T2324">
        <v>-0.31134630000000002</v>
      </c>
      <c r="U2324">
        <v>-2.9732970000000001</v>
      </c>
      <c r="V2324">
        <v>-0.2149356</v>
      </c>
      <c r="W2324">
        <v>-7.6798489999999997E-2</v>
      </c>
      <c r="X2324">
        <v>0.97360400000000002</v>
      </c>
      <c r="Y2324">
        <v>-0.24142359999999999</v>
      </c>
      <c r="Z2324">
        <v>7.6433669999999995E-2</v>
      </c>
      <c r="AA2324">
        <v>0.96740510000000002</v>
      </c>
      <c r="AB2324">
        <v>15</v>
      </c>
      <c r="AC2324">
        <v>-0.92759999999998399</v>
      </c>
      <c r="AD2324">
        <v>-1.1249536868929999</v>
      </c>
      <c r="AE2324">
        <v>-10.6116999999999</v>
      </c>
      <c r="AF2324">
        <v>-2.56635294701463</v>
      </c>
      <c r="AG2324">
        <v>-1.1249536868929999</v>
      </c>
      <c r="AH2324">
        <v>10.2172957200643</v>
      </c>
      <c r="AI2324">
        <v>96.095279187661902</v>
      </c>
      <c r="AJ2324">
        <v>104.09971330760099</v>
      </c>
      <c r="AK2324">
        <v>10.5945655917337</v>
      </c>
      <c r="AL2324">
        <v>94.404566149630398</v>
      </c>
      <c r="AM2324">
        <v>102.44910247068</v>
      </c>
      <c r="AN2324">
        <v>1.0000000345148099</v>
      </c>
    </row>
    <row r="2325" spans="1:40" x14ac:dyDescent="0.25">
      <c r="A2325" t="str">
        <f>"20190303154511228"</f>
        <v>20190303154511228</v>
      </c>
      <c r="B2325" t="str">
        <f>"1551599111223142"</f>
        <v>1551599111223142</v>
      </c>
      <c r="C2325" t="s">
        <v>40</v>
      </c>
      <c r="D2325">
        <v>4.9640899999999997</v>
      </c>
      <c r="E2325">
        <v>0.4911471</v>
      </c>
      <c r="F2325" t="s">
        <v>41</v>
      </c>
      <c r="G2325">
        <v>-493.17340000000002</v>
      </c>
      <c r="H2325" s="1">
        <v>-2.7103289999999999E-6</v>
      </c>
      <c r="I2325">
        <v>263.93880000000001</v>
      </c>
      <c r="J2325">
        <v>-492.2518</v>
      </c>
      <c r="K2325">
        <v>1.124698</v>
      </c>
      <c r="L2325">
        <v>274.3852</v>
      </c>
      <c r="M2325">
        <v>-0.31982460000000001</v>
      </c>
      <c r="N2325">
        <v>-1.9487330000000001E-2</v>
      </c>
      <c r="O2325">
        <v>-0.94727640000000002</v>
      </c>
      <c r="P2325">
        <v>-0.1128456</v>
      </c>
      <c r="Q2325">
        <v>-9.5069840000000003E-2</v>
      </c>
      <c r="R2325">
        <v>-0.98905399999999999</v>
      </c>
      <c r="S2325">
        <v>-0.2684937</v>
      </c>
      <c r="T2325">
        <v>-0.3162237</v>
      </c>
      <c r="U2325">
        <v>-2.9723820000000001</v>
      </c>
      <c r="V2325">
        <v>-0.20904039999999999</v>
      </c>
      <c r="W2325">
        <v>-7.7251899999999901E-2</v>
      </c>
      <c r="X2325">
        <v>0.97485089999999996</v>
      </c>
      <c r="Y2325">
        <v>-0.23331579999999999</v>
      </c>
      <c r="Z2325">
        <v>7.6744950000000006E-2</v>
      </c>
      <c r="AA2325">
        <v>0.9693678</v>
      </c>
      <c r="AB2325">
        <v>14</v>
      </c>
      <c r="AC2325">
        <v>-0.92160000000001197</v>
      </c>
      <c r="AD2325">
        <v>-1.1247007103290001</v>
      </c>
      <c r="AE2325">
        <v>-10.446399999999899</v>
      </c>
      <c r="AF2325">
        <v>-2.44040484041119</v>
      </c>
      <c r="AG2325">
        <v>-1.1247007103290001</v>
      </c>
      <c r="AH2325">
        <v>10.076414486488799</v>
      </c>
      <c r="AI2325">
        <v>96.191290510208006</v>
      </c>
      <c r="AJ2325">
        <v>103.614307391406</v>
      </c>
      <c r="AK2325">
        <v>10.428550061079401</v>
      </c>
      <c r="AL2325">
        <v>94.430622140698006</v>
      </c>
      <c r="AM2325">
        <v>102.102836264454</v>
      </c>
      <c r="AN2325">
        <v>1.0000000110582801</v>
      </c>
    </row>
    <row r="2326" spans="1:40" x14ac:dyDescent="0.25">
      <c r="A2326" t="str">
        <f>"20190303154511249"</f>
        <v>20190303154511249</v>
      </c>
      <c r="B2326" t="str">
        <f>"1551599111242662"</f>
        <v>1551599111242662</v>
      </c>
      <c r="C2326" t="s">
        <v>40</v>
      </c>
      <c r="D2326">
        <v>4.9455710000000002</v>
      </c>
      <c r="E2326">
        <v>0.49165189999999998</v>
      </c>
      <c r="F2326" t="s">
        <v>41</v>
      </c>
      <c r="G2326">
        <v>-493.17919999999998</v>
      </c>
      <c r="H2326" s="1">
        <v>-2.774642E-6</v>
      </c>
      <c r="I2326">
        <v>264.08510000000001</v>
      </c>
      <c r="J2326">
        <v>-492.28370000000001</v>
      </c>
      <c r="K2326">
        <v>1.1246</v>
      </c>
      <c r="L2326">
        <v>274.262</v>
      </c>
      <c r="M2326">
        <v>-0.31292799999999998</v>
      </c>
      <c r="N2326">
        <v>-2.1108129999999999E-2</v>
      </c>
      <c r="O2326">
        <v>-0.94954229999999995</v>
      </c>
      <c r="P2326">
        <v>-0.1118441</v>
      </c>
      <c r="Q2326">
        <v>-9.7418030000000003E-2</v>
      </c>
      <c r="R2326">
        <v>-0.98893929999999997</v>
      </c>
      <c r="S2326">
        <v>-0.267547599999999</v>
      </c>
      <c r="T2326">
        <v>-0.32446540000000001</v>
      </c>
      <c r="U2326">
        <v>-2.9714969999999998</v>
      </c>
      <c r="V2326">
        <v>-0.20294290000000001</v>
      </c>
      <c r="W2326">
        <v>-7.7799199999999999E-2</v>
      </c>
      <c r="X2326">
        <v>0.97609500000000005</v>
      </c>
      <c r="Y2326">
        <v>-0.22651479999999999</v>
      </c>
      <c r="Z2326">
        <v>7.8108510000000006E-2</v>
      </c>
      <c r="AA2326">
        <v>0.97087080000000003</v>
      </c>
      <c r="AB2326">
        <v>14</v>
      </c>
      <c r="AC2326">
        <v>-0.89549999999996899</v>
      </c>
      <c r="AD2326">
        <v>-1.124602774642</v>
      </c>
      <c r="AE2326">
        <v>-10.1768999999999</v>
      </c>
      <c r="AF2326">
        <v>-2.3068879558049802</v>
      </c>
      <c r="AG2326">
        <v>-1.124602774642</v>
      </c>
      <c r="AH2326">
        <v>9.8267626357933509</v>
      </c>
      <c r="AI2326">
        <v>96.3573338697922</v>
      </c>
      <c r="AJ2326">
        <v>103.21128242544501</v>
      </c>
      <c r="AK2326">
        <v>10.1563638838707</v>
      </c>
      <c r="AL2326">
        <v>94.462074864344004</v>
      </c>
      <c r="AM2326">
        <v>101.74520886311799</v>
      </c>
      <c r="AN2326">
        <v>0.99999999260302497</v>
      </c>
    </row>
    <row r="2327" spans="1:40" x14ac:dyDescent="0.25">
      <c r="A2327" t="str">
        <f>"20190303154511272"</f>
        <v>20190303154511272</v>
      </c>
      <c r="B2327" t="str">
        <f>"1551599111263162"</f>
        <v>1551599111263162</v>
      </c>
      <c r="C2327" t="s">
        <v>40</v>
      </c>
      <c r="D2327">
        <v>4.9985460000000002</v>
      </c>
      <c r="E2327">
        <v>0.49193680000000001</v>
      </c>
      <c r="F2327" t="s">
        <v>41</v>
      </c>
      <c r="G2327">
        <v>-493.19130000000001</v>
      </c>
      <c r="H2327" s="1">
        <v>-2.8329839999999998E-6</v>
      </c>
      <c r="I2327">
        <v>264.21350000000001</v>
      </c>
      <c r="J2327">
        <v>-492.315</v>
      </c>
      <c r="K2327">
        <v>1.124779</v>
      </c>
      <c r="L2327">
        <v>274.13740000000001</v>
      </c>
      <c r="M2327">
        <v>-0.3052224</v>
      </c>
      <c r="N2327">
        <v>-2.2462820000000001E-2</v>
      </c>
      <c r="O2327">
        <v>-0.95201610000000003</v>
      </c>
      <c r="P2327">
        <v>-0.1109062</v>
      </c>
      <c r="Q2327">
        <v>-9.9739099999999997E-2</v>
      </c>
      <c r="R2327">
        <v>-0.98881350000000001</v>
      </c>
      <c r="S2327">
        <v>-0.26831050000000001</v>
      </c>
      <c r="T2327">
        <v>-0.33244620000000003</v>
      </c>
      <c r="U2327">
        <v>-2.970459</v>
      </c>
      <c r="V2327">
        <v>-0.1958906</v>
      </c>
      <c r="W2327">
        <v>-7.8760289999999997E-2</v>
      </c>
      <c r="X2327">
        <v>0.97745780000000004</v>
      </c>
      <c r="Y2327">
        <v>-0.2183398</v>
      </c>
      <c r="Z2327">
        <v>7.9728590000000002E-2</v>
      </c>
      <c r="AA2327">
        <v>0.97261050000000004</v>
      </c>
      <c r="AB2327">
        <v>14</v>
      </c>
      <c r="AC2327">
        <v>-0.87630000000001396</v>
      </c>
      <c r="AD2327">
        <v>-1.124781832984</v>
      </c>
      <c r="AE2327">
        <v>-9.9238999999999997</v>
      </c>
      <c r="AF2327">
        <v>-2.1676681726464202</v>
      </c>
      <c r="AG2327">
        <v>-1.124781832984</v>
      </c>
      <c r="AH2327">
        <v>9.5953222394772304</v>
      </c>
      <c r="AI2327">
        <v>96.522901631964899</v>
      </c>
      <c r="AJ2327">
        <v>102.729937695174</v>
      </c>
      <c r="AK2327">
        <v>9.9012185289448809</v>
      </c>
      <c r="AL2327">
        <v>94.517310590660202</v>
      </c>
      <c r="AM2327">
        <v>101.332421652528</v>
      </c>
      <c r="AN2327">
        <v>1.0000000306150401</v>
      </c>
    </row>
    <row r="2328" spans="1:40" x14ac:dyDescent="0.25">
      <c r="A2328" t="str">
        <f>"20190303154511293"</f>
        <v>20190303154511293</v>
      </c>
      <c r="B2328" t="str">
        <f>"1551599111282678"</f>
        <v>1551599111282678</v>
      </c>
      <c r="C2328" t="s">
        <v>40</v>
      </c>
      <c r="D2328">
        <v>4.9705240000000002</v>
      </c>
      <c r="E2328">
        <v>0.49216749999999998</v>
      </c>
      <c r="F2328" t="s">
        <v>41</v>
      </c>
      <c r="G2328">
        <v>-493.19159999999999</v>
      </c>
      <c r="H2328" s="1">
        <v>-2.9271619999999999E-6</v>
      </c>
      <c r="I2328">
        <v>264.43290000000002</v>
      </c>
      <c r="J2328">
        <v>-492.34309999999999</v>
      </c>
      <c r="K2328">
        <v>1.1252089999999999</v>
      </c>
      <c r="L2328">
        <v>274.0197</v>
      </c>
      <c r="M2328">
        <v>-0.2966625</v>
      </c>
      <c r="N2328">
        <v>-2.286579E-2</v>
      </c>
      <c r="O2328">
        <v>-0.95470880000000002</v>
      </c>
      <c r="P2328">
        <v>-0.1086039</v>
      </c>
      <c r="Q2328">
        <v>-0.1012015</v>
      </c>
      <c r="R2328">
        <v>-0.98892060000000004</v>
      </c>
      <c r="S2328">
        <v>-0.2681885</v>
      </c>
      <c r="T2328">
        <v>-0.3441341</v>
      </c>
      <c r="U2328">
        <v>-2.969147</v>
      </c>
      <c r="V2328">
        <v>-0.18924240000000001</v>
      </c>
      <c r="W2328">
        <v>-8.0030400000000002E-2</v>
      </c>
      <c r="X2328">
        <v>0.97866359999999997</v>
      </c>
      <c r="Y2328">
        <v>-0.2095998</v>
      </c>
      <c r="Z2328">
        <v>8.3482589999999995E-2</v>
      </c>
      <c r="AA2328">
        <v>0.97421690000000005</v>
      </c>
      <c r="AB2328">
        <v>13</v>
      </c>
      <c r="AC2328">
        <v>-0.84850000000000103</v>
      </c>
      <c r="AD2328">
        <v>-1.12521192716199</v>
      </c>
      <c r="AE2328">
        <v>-9.5867999999999807</v>
      </c>
      <c r="AF2328">
        <v>-2.0070708054764799</v>
      </c>
      <c r="AG2328">
        <v>-1.12521192716199</v>
      </c>
      <c r="AH2328">
        <v>9.2799319894137895</v>
      </c>
      <c r="AI2328">
        <v>96.758713490751603</v>
      </c>
      <c r="AJ2328">
        <v>102.204001970444</v>
      </c>
      <c r="AK2328">
        <v>9.5609399552224499</v>
      </c>
      <c r="AL2328">
        <v>94.590313146705398</v>
      </c>
      <c r="AM2328">
        <v>100.944110072265</v>
      </c>
      <c r="AN2328">
        <v>0.99999999642343995</v>
      </c>
    </row>
    <row r="2329" spans="1:40" x14ac:dyDescent="0.25">
      <c r="A2329" t="str">
        <f>"20190303154511316"</f>
        <v>20190303154511316</v>
      </c>
      <c r="B2329" t="str">
        <f>"1551599111312934"</f>
        <v>1551599111312934</v>
      </c>
      <c r="C2329" t="s">
        <v>40</v>
      </c>
      <c r="D2329">
        <v>4.9736760000000002</v>
      </c>
      <c r="E2329">
        <v>0.49245470000000002</v>
      </c>
      <c r="F2329" t="s">
        <v>41</v>
      </c>
      <c r="G2329">
        <v>-493.17970000000003</v>
      </c>
      <c r="H2329" s="1">
        <v>-2.984707E-6</v>
      </c>
      <c r="I2329">
        <v>264.57440000000003</v>
      </c>
      <c r="J2329">
        <v>-492.37119999999999</v>
      </c>
      <c r="K2329">
        <v>1.125831</v>
      </c>
      <c r="L2329">
        <v>273.89150000000001</v>
      </c>
      <c r="M2329">
        <v>-0.28678690000000001</v>
      </c>
      <c r="N2329">
        <v>-2.221689E-2</v>
      </c>
      <c r="O2329">
        <v>-0.95773699999999995</v>
      </c>
      <c r="P2329">
        <v>-0.1055198</v>
      </c>
      <c r="Q2329">
        <v>-0.1024871</v>
      </c>
      <c r="R2329">
        <v>-0.98912219999999995</v>
      </c>
      <c r="S2329">
        <v>-0.26293949999999999</v>
      </c>
      <c r="T2329">
        <v>-0.35364069999999997</v>
      </c>
      <c r="U2329">
        <v>-2.9685359999999998</v>
      </c>
      <c r="V2329">
        <v>-0.18194379999999999</v>
      </c>
      <c r="W2329">
        <v>-8.2320850000000001E-2</v>
      </c>
      <c r="X2329">
        <v>0.97985699999999998</v>
      </c>
      <c r="Y2329">
        <v>-0.2012311</v>
      </c>
      <c r="Z2329">
        <v>8.7660849999999998E-2</v>
      </c>
      <c r="AA2329">
        <v>0.97561350000000002</v>
      </c>
      <c r="AB2329">
        <v>13</v>
      </c>
      <c r="AC2329">
        <v>-0.80850000000003697</v>
      </c>
      <c r="AD2329">
        <v>-1.125833984707</v>
      </c>
      <c r="AE2329">
        <v>-9.3170999999999804</v>
      </c>
      <c r="AF2329">
        <v>-1.8710446895767801</v>
      </c>
      <c r="AG2329">
        <v>-1.125833984707</v>
      </c>
      <c r="AH2329">
        <v>9.0266423603344403</v>
      </c>
      <c r="AI2329">
        <v>96.962905611104205</v>
      </c>
      <c r="AJ2329">
        <v>101.71044945483</v>
      </c>
      <c r="AK2329">
        <v>9.2870115049405904</v>
      </c>
      <c r="AL2329">
        <v>94.721980784139106</v>
      </c>
      <c r="AM2329">
        <v>100.51910876869999</v>
      </c>
      <c r="AN2329">
        <v>1.00000000457608</v>
      </c>
    </row>
    <row r="2330" spans="1:40" x14ac:dyDescent="0.25">
      <c r="A2330" t="str">
        <f>"20190303154511339"</f>
        <v>20190303154511339</v>
      </c>
      <c r="B2330" t="str">
        <f>"1551599111333430"</f>
        <v>1551599111333430</v>
      </c>
      <c r="C2330" t="s">
        <v>40</v>
      </c>
      <c r="D2330">
        <v>4.9318070000000001</v>
      </c>
      <c r="E2330">
        <v>0.4928324</v>
      </c>
      <c r="F2330" t="s">
        <v>41</v>
      </c>
      <c r="G2330">
        <v>-493.16160000000002</v>
      </c>
      <c r="H2330" s="1">
        <v>-3.0347060000000001E-6</v>
      </c>
      <c r="I2330">
        <v>264.7022</v>
      </c>
      <c r="J2330">
        <v>-492.39659999999998</v>
      </c>
      <c r="K2330">
        <v>1.1262219999999901</v>
      </c>
      <c r="L2330">
        <v>273.76400000000001</v>
      </c>
      <c r="M2330">
        <v>-0.27730339999999998</v>
      </c>
      <c r="N2330">
        <v>-2.1236089999999999E-2</v>
      </c>
      <c r="O2330">
        <v>-0.96054779999999995</v>
      </c>
      <c r="P2330">
        <v>-0.1030961</v>
      </c>
      <c r="Q2330">
        <v>-0.10187980000000001</v>
      </c>
      <c r="R2330">
        <v>-0.98944030000000005</v>
      </c>
      <c r="S2330">
        <v>-0.25527949999999999</v>
      </c>
      <c r="T2330">
        <v>-0.36363069999999997</v>
      </c>
      <c r="U2330">
        <v>-2.968048</v>
      </c>
      <c r="V2330">
        <v>-0.17452129999999999</v>
      </c>
      <c r="W2330">
        <v>-8.2907549999999997E-2</v>
      </c>
      <c r="X2330">
        <v>0.98115680000000005</v>
      </c>
      <c r="Y2330">
        <v>-0.19407669999999999</v>
      </c>
      <c r="Z2330">
        <v>9.2285030000000004E-2</v>
      </c>
      <c r="AA2330">
        <v>0.9766359</v>
      </c>
      <c r="AB2330">
        <v>13</v>
      </c>
      <c r="AC2330">
        <v>-0.76500000000004298</v>
      </c>
      <c r="AD2330">
        <v>-1.1262250347060001</v>
      </c>
      <c r="AE2330">
        <v>-9.0617999999999999</v>
      </c>
      <c r="AF2330">
        <v>-1.7515858677191301</v>
      </c>
      <c r="AG2330">
        <v>-1.1262250347060001</v>
      </c>
      <c r="AH2330">
        <v>8.7837243659365107</v>
      </c>
      <c r="AI2330">
        <v>97.166846315181004</v>
      </c>
      <c r="AJ2330">
        <v>101.27757120139999</v>
      </c>
      <c r="AK2330">
        <v>9.0271950027424701</v>
      </c>
      <c r="AL2330">
        <v>94.755711516102195</v>
      </c>
      <c r="AM2330">
        <v>100.085886386345</v>
      </c>
      <c r="AN2330">
        <v>1.00000000609346</v>
      </c>
    </row>
    <row r="2331" spans="1:40" x14ac:dyDescent="0.25">
      <c r="A2331" t="str">
        <f>"20190303154511360"</f>
        <v>20190303154511360</v>
      </c>
      <c r="B2331" t="str">
        <f>"1551599111352953"</f>
        <v>1551599111352953</v>
      </c>
      <c r="C2331" t="s">
        <v>40</v>
      </c>
      <c r="D2331">
        <v>5.0281140000000004</v>
      </c>
      <c r="E2331">
        <v>0.49316090000000001</v>
      </c>
      <c r="F2331" t="s">
        <v>41</v>
      </c>
      <c r="G2331">
        <v>-493.17320000000001</v>
      </c>
      <c r="H2331" s="1">
        <v>-2.97907E-6</v>
      </c>
      <c r="I2331">
        <v>264.56529999999998</v>
      </c>
      <c r="J2331">
        <v>-492.41890000000001</v>
      </c>
      <c r="K2331">
        <v>1.1261540000000001</v>
      </c>
      <c r="L2331">
        <v>273.64159999999998</v>
      </c>
      <c r="M2331">
        <v>-0.26864539999999998</v>
      </c>
      <c r="N2331">
        <v>-2.0486899999999999E-2</v>
      </c>
      <c r="O2331">
        <v>-0.96302129999999997</v>
      </c>
      <c r="P2331">
        <v>-0.101188399999999</v>
      </c>
      <c r="Q2331">
        <v>-9.9786070000000004E-2</v>
      </c>
      <c r="R2331">
        <v>-0.98985029999999996</v>
      </c>
      <c r="S2331">
        <v>-0.25061040000000001</v>
      </c>
      <c r="T2331">
        <v>-0.36344019999999999</v>
      </c>
      <c r="U2331">
        <v>-2.9684750000000002</v>
      </c>
      <c r="V2331">
        <v>-0.16762859999999999</v>
      </c>
      <c r="W2331">
        <v>-8.1507330000000003E-2</v>
      </c>
      <c r="X2331">
        <v>0.98247499999999999</v>
      </c>
      <c r="Y2331">
        <v>-0.18680720000000001</v>
      </c>
      <c r="Z2331">
        <v>9.3470830000000005E-2</v>
      </c>
      <c r="AA2331">
        <v>0.97793980000000003</v>
      </c>
      <c r="AB2331">
        <v>13</v>
      </c>
      <c r="AC2331">
        <v>-0.75429999999999997</v>
      </c>
      <c r="AD2331">
        <v>-1.1261569790699999</v>
      </c>
      <c r="AE2331">
        <v>-9.0762999999999998</v>
      </c>
      <c r="AF2331">
        <v>-1.68647337209146</v>
      </c>
      <c r="AG2331">
        <v>-1.1261569790699999</v>
      </c>
      <c r="AH2331">
        <v>8.8104793578354492</v>
      </c>
      <c r="AI2331">
        <v>97.155530396448995</v>
      </c>
      <c r="AJ2331">
        <v>100.836292510517</v>
      </c>
      <c r="AK2331">
        <v>9.0408499872039805</v>
      </c>
      <c r="AL2331">
        <v>94.675212563745205</v>
      </c>
      <c r="AM2331">
        <v>99.682494578920696</v>
      </c>
      <c r="AN2331">
        <v>0.99999995900334304</v>
      </c>
    </row>
    <row r="2332" spans="1:40" x14ac:dyDescent="0.25">
      <c r="A2332" t="str">
        <f>"20190303154511384"</f>
        <v>20190303154511384</v>
      </c>
      <c r="B2332" t="str">
        <f>"1551599111373449"</f>
        <v>1551599111373449</v>
      </c>
      <c r="C2332" t="s">
        <v>40</v>
      </c>
      <c r="D2332">
        <v>5.0115449999999999</v>
      </c>
      <c r="E2332">
        <v>0.49327769999999999</v>
      </c>
      <c r="F2332" t="s">
        <v>41</v>
      </c>
      <c r="G2332">
        <v>-493.19729999999998</v>
      </c>
      <c r="H2332" s="1">
        <v>-2.8755880000000001E-6</v>
      </c>
      <c r="I2332">
        <v>264.3091</v>
      </c>
      <c r="J2332">
        <v>-492.44110000000001</v>
      </c>
      <c r="K2332">
        <v>1.1255470000000001</v>
      </c>
      <c r="L2332">
        <v>273.51400000000001</v>
      </c>
      <c r="M2332">
        <v>-0.25966299999999998</v>
      </c>
      <c r="N2332">
        <v>-1.9847E-2</v>
      </c>
      <c r="O2332">
        <v>-0.96549549999999995</v>
      </c>
      <c r="P2332">
        <v>-9.8465709999999998E-2</v>
      </c>
      <c r="Q2332">
        <v>-9.7284029999999994E-2</v>
      </c>
      <c r="R2332">
        <v>-0.99037410000000003</v>
      </c>
      <c r="S2332">
        <v>-0.24765010000000001</v>
      </c>
      <c r="T2332">
        <v>-0.35830640000000002</v>
      </c>
      <c r="U2332">
        <v>-2.9692989999999999</v>
      </c>
      <c r="V2332">
        <v>-0.1613617</v>
      </c>
      <c r="W2332">
        <v>-7.9351630000000006E-2</v>
      </c>
      <c r="X2332">
        <v>0.98370000000000002</v>
      </c>
      <c r="Y2332">
        <v>-0.1786595</v>
      </c>
      <c r="Z2332">
        <v>9.3006450000000004E-2</v>
      </c>
      <c r="AA2332">
        <v>0.97950519999999996</v>
      </c>
      <c r="AB2332">
        <v>13</v>
      </c>
      <c r="AC2332">
        <v>-0.756199999999978</v>
      </c>
      <c r="AD2332">
        <v>-1.12554987558799</v>
      </c>
      <c r="AE2332">
        <v>-9.2049000000000092</v>
      </c>
      <c r="AF2332">
        <v>-1.6360926000559299</v>
      </c>
      <c r="AG2332">
        <v>-1.12554987558799</v>
      </c>
      <c r="AH2332">
        <v>8.9524770588457905</v>
      </c>
      <c r="AI2332">
        <v>97.050346152822499</v>
      </c>
      <c r="AJ2332">
        <v>100.356688574686</v>
      </c>
      <c r="AK2332">
        <v>9.1700876226759203</v>
      </c>
      <c r="AL2332">
        <v>94.551298461040602</v>
      </c>
      <c r="AM2332">
        <v>99.315578413675198</v>
      </c>
      <c r="AN2332">
        <v>0.99999998470527296</v>
      </c>
    </row>
    <row r="2333" spans="1:40" x14ac:dyDescent="0.25">
      <c r="A2333" t="str">
        <f>"20190303154511409"</f>
        <v>20190303154511409</v>
      </c>
      <c r="B2333" t="str">
        <f>"1551599111402726"</f>
        <v>1551599111402726</v>
      </c>
      <c r="C2333" t="s">
        <v>40</v>
      </c>
      <c r="D2333">
        <v>5.004696</v>
      </c>
      <c r="E2333">
        <v>0.49357210000000001</v>
      </c>
      <c r="F2333" t="s">
        <v>41</v>
      </c>
      <c r="G2333">
        <v>-493.2072</v>
      </c>
      <c r="H2333" s="1">
        <v>-2.7667020000000002E-6</v>
      </c>
      <c r="I2333">
        <v>264.04919999999998</v>
      </c>
      <c r="J2333">
        <v>-492.4658</v>
      </c>
      <c r="K2333">
        <v>1.124525</v>
      </c>
      <c r="L2333">
        <v>273.37029999999999</v>
      </c>
      <c r="M2333">
        <v>-0.2492781</v>
      </c>
      <c r="N2333">
        <v>-1.9095899999999999E-2</v>
      </c>
      <c r="O2333">
        <v>-0.96824359999999998</v>
      </c>
      <c r="P2333">
        <v>-9.1802140000000004E-2</v>
      </c>
      <c r="Q2333">
        <v>-9.7209359999999995E-2</v>
      </c>
      <c r="R2333">
        <v>-0.99102120000000005</v>
      </c>
      <c r="S2333">
        <v>-0.240448</v>
      </c>
      <c r="T2333">
        <v>-0.35325109999999998</v>
      </c>
      <c r="U2333">
        <v>-2.97052</v>
      </c>
      <c r="V2333">
        <v>-0.15758629999999901</v>
      </c>
      <c r="W2333">
        <v>-7.9617660000000007E-2</v>
      </c>
      <c r="X2333">
        <v>0.98429040000000001</v>
      </c>
      <c r="Y2333">
        <v>-0.1704975</v>
      </c>
      <c r="Z2333">
        <v>9.2692579999999997E-2</v>
      </c>
      <c r="AA2333">
        <v>0.98098859999999999</v>
      </c>
      <c r="AB2333">
        <v>13</v>
      </c>
      <c r="AC2333">
        <v>-0.74139999999999795</v>
      </c>
      <c r="AD2333">
        <v>-1.1245277667019999</v>
      </c>
      <c r="AE2333">
        <v>-9.3210999999999995</v>
      </c>
      <c r="AF2333">
        <v>-1.5830865793503299</v>
      </c>
      <c r="AG2333">
        <v>-1.1245277667019999</v>
      </c>
      <c r="AH2333">
        <v>9.0802599384253302</v>
      </c>
      <c r="AI2333">
        <v>96.955870696822103</v>
      </c>
      <c r="AJ2333">
        <v>99.889758449823901</v>
      </c>
      <c r="AK2333">
        <v>9.2855719460448398</v>
      </c>
      <c r="AL2333">
        <v>94.566589154137603</v>
      </c>
      <c r="AM2333">
        <v>99.095943248292201</v>
      </c>
      <c r="AN2333">
        <v>1.0000000026318601</v>
      </c>
    </row>
    <row r="2334" spans="1:40" x14ac:dyDescent="0.25">
      <c r="A2334" t="str">
        <f>"20190303154511431"</f>
        <v>20190303154511431</v>
      </c>
      <c r="B2334" t="str">
        <f>"1551599111423222"</f>
        <v>1551599111423222</v>
      </c>
      <c r="C2334" t="s">
        <v>40</v>
      </c>
      <c r="D2334">
        <v>4.9775460000000002</v>
      </c>
      <c r="E2334">
        <v>0.49378349999999999</v>
      </c>
      <c r="F2334" t="s">
        <v>41</v>
      </c>
      <c r="G2334">
        <v>-493.1728</v>
      </c>
      <c r="H2334" s="1">
        <v>-2.71809E-6</v>
      </c>
      <c r="I2334">
        <v>263.9572</v>
      </c>
      <c r="J2334">
        <v>-492.48660000000001</v>
      </c>
      <c r="K2334">
        <v>1.123769</v>
      </c>
      <c r="L2334">
        <v>273.24970000000002</v>
      </c>
      <c r="M2334">
        <v>-0.2406808</v>
      </c>
      <c r="N2334">
        <v>-1.8457109999999999E-2</v>
      </c>
      <c r="O2334">
        <v>-0.97042910000000004</v>
      </c>
      <c r="P2334">
        <v>-9.0446990000000005E-2</v>
      </c>
      <c r="Q2334">
        <v>-9.8724519999999996E-2</v>
      </c>
      <c r="R2334">
        <v>-0.9909964</v>
      </c>
      <c r="S2334">
        <v>-0.22317500000000001</v>
      </c>
      <c r="T2334">
        <v>-0.35500660000000001</v>
      </c>
      <c r="U2334">
        <v>-2.9716490000000002</v>
      </c>
      <c r="V2334">
        <v>-0.1502887</v>
      </c>
      <c r="W2334">
        <v>-8.1441020000000003E-2</v>
      </c>
      <c r="X2334">
        <v>0.98528199999999999</v>
      </c>
      <c r="Y2334">
        <v>-0.1674744</v>
      </c>
      <c r="Z2334">
        <v>9.4245659999999995E-2</v>
      </c>
      <c r="AA2334">
        <v>0.98136129999999999</v>
      </c>
      <c r="AB2334">
        <v>13</v>
      </c>
      <c r="AC2334">
        <v>-0.68619999999998504</v>
      </c>
      <c r="AD2334">
        <v>-1.12377171809</v>
      </c>
      <c r="AE2334">
        <v>-9.2925000000000093</v>
      </c>
      <c r="AF2334">
        <v>-1.54836329792602</v>
      </c>
      <c r="AG2334">
        <v>-1.12377171809</v>
      </c>
      <c r="AH2334">
        <v>9.0527525861211497</v>
      </c>
      <c r="AI2334">
        <v>96.975982159323394</v>
      </c>
      <c r="AJ2334">
        <v>99.705829308863798</v>
      </c>
      <c r="AK2334">
        <v>9.2527088553712993</v>
      </c>
      <c r="AL2334">
        <v>94.671400526417301</v>
      </c>
      <c r="AM2334">
        <v>98.672687916062003</v>
      </c>
      <c r="AN2334">
        <v>0.99999997630516402</v>
      </c>
    </row>
    <row r="2335" spans="1:40" x14ac:dyDescent="0.25">
      <c r="A2335" t="str">
        <f>"20190303154511453"</f>
        <v>20190303154511453</v>
      </c>
      <c r="B2335" t="str">
        <f>"1551599111442744"</f>
        <v>1551599111442744</v>
      </c>
      <c r="C2335" t="s">
        <v>40</v>
      </c>
      <c r="D2335">
        <v>4.9941630000000004</v>
      </c>
      <c r="E2335">
        <v>0.49385119999999999</v>
      </c>
      <c r="F2335" t="s">
        <v>41</v>
      </c>
      <c r="G2335">
        <v>-493.17570000000001</v>
      </c>
      <c r="H2335" s="1">
        <v>-2.72722E-6</v>
      </c>
      <c r="I2335">
        <v>263.97669999999999</v>
      </c>
      <c r="J2335">
        <v>-492.50819999999999</v>
      </c>
      <c r="K2335">
        <v>1.1232869999999999</v>
      </c>
      <c r="L2335">
        <v>273.12349999999998</v>
      </c>
      <c r="M2335">
        <v>-0.23225170000000001</v>
      </c>
      <c r="N2335">
        <v>-1.7843919999999999E-2</v>
      </c>
      <c r="O2335">
        <v>-0.97249189999999996</v>
      </c>
      <c r="P2335">
        <v>-8.7867829999999994E-2</v>
      </c>
      <c r="Q2335">
        <v>-9.8689760000000001E-2</v>
      </c>
      <c r="R2335">
        <v>-0.99123139999999998</v>
      </c>
      <c r="S2335">
        <v>-0.22079470000000001</v>
      </c>
      <c r="T2335">
        <v>-0.36007020000000001</v>
      </c>
      <c r="U2335">
        <v>-2.9711910000000001</v>
      </c>
      <c r="V2335">
        <v>-0.1443902</v>
      </c>
      <c r="W2335">
        <v>-8.1811880000000003E-2</v>
      </c>
      <c r="X2335">
        <v>0.98613300000000004</v>
      </c>
      <c r="Y2335">
        <v>-0.1597182</v>
      </c>
      <c r="Z2335">
        <v>9.6892220000000001E-2</v>
      </c>
      <c r="AA2335">
        <v>0.98239609999999999</v>
      </c>
      <c r="AB2335">
        <v>13</v>
      </c>
      <c r="AC2335">
        <v>-0.66750000000001797</v>
      </c>
      <c r="AD2335">
        <v>-1.12328972722</v>
      </c>
      <c r="AE2335">
        <v>-9.1467999999999794</v>
      </c>
      <c r="AF2335">
        <v>-1.4536494900521399</v>
      </c>
      <c r="AG2335">
        <v>-1.12328972722</v>
      </c>
      <c r="AH2335">
        <v>8.9178765055428197</v>
      </c>
      <c r="AI2335">
        <v>97.086570392674801</v>
      </c>
      <c r="AJ2335">
        <v>99.258017827522806</v>
      </c>
      <c r="AK2335">
        <v>9.1051303131432206</v>
      </c>
      <c r="AL2335">
        <v>94.692720255841806</v>
      </c>
      <c r="AM2335">
        <v>98.330090227442696</v>
      </c>
      <c r="AN2335">
        <v>1.00000000362708</v>
      </c>
    </row>
    <row r="2336" spans="1:40" x14ac:dyDescent="0.25">
      <c r="A2336" t="str">
        <f>"20190303154511473"</f>
        <v>20190303154511473</v>
      </c>
      <c r="B2336" t="str">
        <f>"1551599111463238"</f>
        <v>1551599111463238</v>
      </c>
      <c r="C2336" t="s">
        <v>40</v>
      </c>
      <c r="D2336">
        <v>5.0603369999999996</v>
      </c>
      <c r="E2336">
        <v>0.49401119999999998</v>
      </c>
      <c r="F2336" t="s">
        <v>41</v>
      </c>
      <c r="G2336">
        <v>-493.16930000000002</v>
      </c>
      <c r="H2336" s="1">
        <v>-2.6912839999999999E-6</v>
      </c>
      <c r="I2336">
        <v>263.89690000000002</v>
      </c>
      <c r="J2336">
        <v>-492.52780000000001</v>
      </c>
      <c r="K2336">
        <v>1.12312099999999</v>
      </c>
      <c r="L2336">
        <v>273.0061</v>
      </c>
      <c r="M2336">
        <v>-0.2250963</v>
      </c>
      <c r="N2336">
        <v>-1.7354310000000001E-2</v>
      </c>
      <c r="O2336">
        <v>-0.97418210000000005</v>
      </c>
      <c r="P2336">
        <v>-8.4304909999999997E-2</v>
      </c>
      <c r="Q2336">
        <v>-9.8581950000000002E-2</v>
      </c>
      <c r="R2336">
        <v>-0.99155159999999998</v>
      </c>
      <c r="S2336">
        <v>-0.2129211</v>
      </c>
      <c r="T2336">
        <v>-0.36178090000000002</v>
      </c>
      <c r="U2336">
        <v>-2.9716490000000002</v>
      </c>
      <c r="V2336">
        <v>-0.1407146</v>
      </c>
      <c r="W2336">
        <v>-8.211388E-2</v>
      </c>
      <c r="X2336">
        <v>0.98663909999999999</v>
      </c>
      <c r="Y2336">
        <v>-0.15507839999999901</v>
      </c>
      <c r="Z2336">
        <v>9.8242309999999999E-2</v>
      </c>
      <c r="AA2336">
        <v>0.98300520000000002</v>
      </c>
      <c r="AB2336">
        <v>13</v>
      </c>
      <c r="AC2336">
        <v>-0.64150000000000695</v>
      </c>
      <c r="AD2336">
        <v>-1.1231236912839999</v>
      </c>
      <c r="AE2336">
        <v>-9.10919999999998</v>
      </c>
      <c r="AF2336">
        <v>-1.40447868500222</v>
      </c>
      <c r="AG2336">
        <v>-1.1231236912839999</v>
      </c>
      <c r="AH2336">
        <v>8.8853690297318497</v>
      </c>
      <c r="AI2336">
        <v>97.116632169834006</v>
      </c>
      <c r="AJ2336">
        <v>98.982225144071506</v>
      </c>
      <c r="AK2336">
        <v>9.0655253569259209</v>
      </c>
      <c r="AL2336">
        <v>94.710082010239105</v>
      </c>
      <c r="AM2336">
        <v>98.116793860639703</v>
      </c>
      <c r="AN2336">
        <v>1.00000000079531</v>
      </c>
    </row>
    <row r="2337" spans="1:40" x14ac:dyDescent="0.25">
      <c r="A2337" t="str">
        <f>"20190303154511495"</f>
        <v>20190303154511495</v>
      </c>
      <c r="B2337" t="str">
        <f>"1551599111482758"</f>
        <v>1551599111482758</v>
      </c>
      <c r="C2337" t="s">
        <v>40</v>
      </c>
      <c r="D2337">
        <v>5.0625819999999999</v>
      </c>
      <c r="E2337">
        <v>0.49402279999999998</v>
      </c>
      <c r="F2337" t="s">
        <v>41</v>
      </c>
      <c r="G2337">
        <v>-493.15780000000001</v>
      </c>
      <c r="H2337" s="1">
        <v>-2.658452E-6</v>
      </c>
      <c r="I2337">
        <v>263.82749999999999</v>
      </c>
      <c r="J2337">
        <v>-492.54750000000001</v>
      </c>
      <c r="K2337">
        <v>1.123119</v>
      </c>
      <c r="L2337">
        <v>272.8845</v>
      </c>
      <c r="M2337">
        <v>-0.21826999999999999</v>
      </c>
      <c r="N2337">
        <v>-1.6913419999999998E-2</v>
      </c>
      <c r="O2337">
        <v>-0.97574190000000005</v>
      </c>
      <c r="P2337">
        <v>-8.0257800000000004E-2</v>
      </c>
      <c r="Q2337">
        <v>-0.1003647</v>
      </c>
      <c r="R2337">
        <v>-0.99170849999999999</v>
      </c>
      <c r="S2337">
        <v>-0.20397950000000001</v>
      </c>
      <c r="T2337">
        <v>-0.36367290000000002</v>
      </c>
      <c r="U2337">
        <v>-2.9720759999999999</v>
      </c>
      <c r="V2337">
        <v>-0.13778199999999999</v>
      </c>
      <c r="W2337">
        <v>-8.4321209999999994E-2</v>
      </c>
      <c r="X2337">
        <v>0.98686680000000004</v>
      </c>
      <c r="Y2337">
        <v>-0.15113009999999999</v>
      </c>
      <c r="Z2337">
        <v>9.9576090000000006E-2</v>
      </c>
      <c r="AA2337">
        <v>0.98348579999999997</v>
      </c>
      <c r="AB2337">
        <v>13</v>
      </c>
      <c r="AC2337">
        <v>-0.61029999999999496</v>
      </c>
      <c r="AD2337">
        <v>-1.1231216584520001</v>
      </c>
      <c r="AE2337">
        <v>-9.0570000000000093</v>
      </c>
      <c r="AF2337">
        <v>-1.3607434462933701</v>
      </c>
      <c r="AG2337">
        <v>-1.1231216584520001</v>
      </c>
      <c r="AH2337">
        <v>8.8365183298942593</v>
      </c>
      <c r="AI2337">
        <v>97.159952682414897</v>
      </c>
      <c r="AJ2337">
        <v>98.754263903159497</v>
      </c>
      <c r="AK2337">
        <v>9.0109423026047395</v>
      </c>
      <c r="AL2337">
        <v>94.836992870765101</v>
      </c>
      <c r="AM2337">
        <v>97.948008116472494</v>
      </c>
      <c r="AN2337">
        <v>1.0000000134610501</v>
      </c>
    </row>
    <row r="2338" spans="1:40" x14ac:dyDescent="0.25">
      <c r="A2338" t="str">
        <f>"20190303154511518"</f>
        <v>20190303154511518</v>
      </c>
      <c r="B2338" t="str">
        <f>"1551599111513014"</f>
        <v>1551599111513014</v>
      </c>
      <c r="C2338" t="s">
        <v>40</v>
      </c>
      <c r="D2338">
        <v>5.0756579999999998</v>
      </c>
      <c r="E2338">
        <v>0.46807729999999997</v>
      </c>
      <c r="F2338" t="s">
        <v>41</v>
      </c>
      <c r="G2338">
        <v>-493.13200000000001</v>
      </c>
      <c r="H2338" s="1">
        <v>-2.661469E-6</v>
      </c>
      <c r="I2338">
        <v>263.85050000000001</v>
      </c>
      <c r="J2338">
        <v>-492.5684</v>
      </c>
      <c r="K2338">
        <v>1.123181</v>
      </c>
      <c r="L2338">
        <v>272.75080000000003</v>
      </c>
      <c r="M2338">
        <v>-0.2111751</v>
      </c>
      <c r="N2338">
        <v>-1.6471909999999999E-2</v>
      </c>
      <c r="O2338">
        <v>-0.9773096</v>
      </c>
      <c r="P2338">
        <v>-7.6948299999999997E-2</v>
      </c>
      <c r="Q2338">
        <v>-0.1029303</v>
      </c>
      <c r="R2338">
        <v>-0.99170820000000004</v>
      </c>
      <c r="S2338">
        <v>-0.1922913</v>
      </c>
      <c r="T2338">
        <v>-0.3695003</v>
      </c>
      <c r="U2338">
        <v>-2.972137</v>
      </c>
      <c r="V2338">
        <v>-0.133824</v>
      </c>
      <c r="W2338">
        <v>-8.7322629999999998E-2</v>
      </c>
      <c r="X2338">
        <v>0.98715039999999998</v>
      </c>
      <c r="Y2338">
        <v>-0.14782129999999999</v>
      </c>
      <c r="Z2338">
        <v>0.10216939999999999</v>
      </c>
      <c r="AA2338">
        <v>0.9837226</v>
      </c>
      <c r="AB2338">
        <v>13</v>
      </c>
      <c r="AC2338">
        <v>-0.56359999999995103</v>
      </c>
      <c r="AD2338">
        <v>-1.1231836614690001</v>
      </c>
      <c r="AE2338">
        <v>-8.9003000000000103</v>
      </c>
      <c r="AF2338">
        <v>-1.3081405934244199</v>
      </c>
      <c r="AG2338">
        <v>-1.1231836614690001</v>
      </c>
      <c r="AH2338">
        <v>8.6808672645125196</v>
      </c>
      <c r="AI2338">
        <v>97.290904416550703</v>
      </c>
      <c r="AJ2338">
        <v>98.569559461168495</v>
      </c>
      <c r="AK2338">
        <v>8.8504367018605805</v>
      </c>
      <c r="AL2338">
        <v>95.009598488183698</v>
      </c>
      <c r="AM2338">
        <v>97.720292566597294</v>
      </c>
      <c r="AN2338">
        <v>1.00000000845313</v>
      </c>
    </row>
    <row r="2339" spans="1:40" x14ac:dyDescent="0.25">
      <c r="A2339" t="str">
        <f>"20190303154511539"</f>
        <v>20190303154511539</v>
      </c>
      <c r="B2339" t="str">
        <f>"1551599111533511"</f>
        <v>1551599111533511</v>
      </c>
      <c r="C2339" t="s">
        <v>40</v>
      </c>
      <c r="D2339">
        <v>5.0421500000000004</v>
      </c>
      <c r="E2339">
        <v>0.46664460000000002</v>
      </c>
      <c r="F2339" t="s">
        <v>41</v>
      </c>
      <c r="G2339">
        <v>-492.49509999999998</v>
      </c>
      <c r="H2339" s="1">
        <v>-2.4211610000000002E-6</v>
      </c>
      <c r="I2339">
        <v>263.68540000000002</v>
      </c>
      <c r="J2339">
        <v>-492.5856</v>
      </c>
      <c r="K2339">
        <v>1.1231899999999999</v>
      </c>
      <c r="L2339">
        <v>272.63560000000001</v>
      </c>
      <c r="M2339">
        <v>-0.20524010000000001</v>
      </c>
      <c r="N2339">
        <v>-1.612121E-2</v>
      </c>
      <c r="O2339">
        <v>-0.97857879999999997</v>
      </c>
      <c r="P2339">
        <v>-7.4887980000000007E-2</v>
      </c>
      <c r="Q2339">
        <v>-0.103266899999999</v>
      </c>
      <c r="R2339">
        <v>-0.99183080000000001</v>
      </c>
      <c r="S2339">
        <v>2.4139399999999998E-2</v>
      </c>
      <c r="T2339">
        <v>-0.37026920000000002</v>
      </c>
      <c r="U2339">
        <v>-2.9885250000000001</v>
      </c>
      <c r="V2339">
        <v>-0.12987360000000001</v>
      </c>
      <c r="W2339">
        <v>-8.7983850000000002E-2</v>
      </c>
      <c r="X2339">
        <v>0.98761920000000003</v>
      </c>
      <c r="Y2339">
        <v>-0.21286250000000001</v>
      </c>
      <c r="Z2339">
        <v>0.10159940000000001</v>
      </c>
      <c r="AA2339">
        <v>0.97178549999999997</v>
      </c>
      <c r="AB2339">
        <v>13</v>
      </c>
      <c r="AC2339">
        <v>9.0500000000019995E-2</v>
      </c>
      <c r="AD2339">
        <v>-1.1231924211609901</v>
      </c>
      <c r="AE2339">
        <v>-8.9501999999999899</v>
      </c>
      <c r="AF2339">
        <v>-1.8958969882329</v>
      </c>
      <c r="AG2339">
        <v>-1.1231924211609901</v>
      </c>
      <c r="AH2339">
        <v>8.6055268770225499</v>
      </c>
      <c r="AI2339">
        <v>97.263933088911102</v>
      </c>
      <c r="AJ2339">
        <v>102.424443983674</v>
      </c>
      <c r="AK2339">
        <v>8.8831908364113001</v>
      </c>
      <c r="AL2339">
        <v>95.0476300431704</v>
      </c>
      <c r="AM2339">
        <v>97.491506756543401</v>
      </c>
      <c r="AN2339">
        <v>0.99999999702321096</v>
      </c>
    </row>
    <row r="2340" spans="1:40" x14ac:dyDescent="0.25">
      <c r="A2340" t="str">
        <f>"20190303154511563"</f>
        <v>20190303154511563</v>
      </c>
      <c r="B2340" t="str">
        <f>"1551599111553034"</f>
        <v>1551599111553034</v>
      </c>
      <c r="C2340" t="s">
        <v>40</v>
      </c>
      <c r="D2340">
        <v>5.0292289999999999</v>
      </c>
      <c r="E2340">
        <v>0.46629019999999999</v>
      </c>
      <c r="F2340" t="s">
        <v>41</v>
      </c>
      <c r="G2340">
        <v>-492.45940000000002</v>
      </c>
      <c r="H2340" s="1">
        <v>-2.3681280000000002E-6</v>
      </c>
      <c r="I2340">
        <v>263.58390000000003</v>
      </c>
      <c r="J2340">
        <v>-492.60489999999999</v>
      </c>
      <c r="K2340">
        <v>1.123119</v>
      </c>
      <c r="L2340">
        <v>272.5018</v>
      </c>
      <c r="M2340">
        <v>-0.1984852</v>
      </c>
      <c r="N2340">
        <v>-1.5760610000000001E-2</v>
      </c>
      <c r="O2340">
        <v>-0.97997730000000005</v>
      </c>
      <c r="P2340">
        <v>-7.1444800000000003E-2</v>
      </c>
      <c r="Q2340">
        <v>-0.1026405</v>
      </c>
      <c r="R2340">
        <v>-0.99214979999999997</v>
      </c>
      <c r="S2340">
        <v>4.1687009999999997E-2</v>
      </c>
      <c r="T2340">
        <v>-0.37092409999999998</v>
      </c>
      <c r="U2340">
        <v>-2.9892270000000001</v>
      </c>
      <c r="V2340">
        <v>-0.12652049999999901</v>
      </c>
      <c r="W2340">
        <v>-8.7670789999999998E-2</v>
      </c>
      <c r="X2340">
        <v>0.98808220000000002</v>
      </c>
      <c r="Y2340">
        <v>-0.2118303</v>
      </c>
      <c r="Z2340">
        <v>0.1023934</v>
      </c>
      <c r="AA2340">
        <v>0.97192769999999995</v>
      </c>
      <c r="AB2340">
        <v>13</v>
      </c>
      <c r="AC2340">
        <v>0.14549999999996999</v>
      </c>
      <c r="AD2340">
        <v>-1.1231213681279999</v>
      </c>
      <c r="AE2340">
        <v>-8.9178999999999693</v>
      </c>
      <c r="AF2340">
        <v>-1.88303645848374</v>
      </c>
      <c r="AG2340">
        <v>-1.1231213681279999</v>
      </c>
      <c r="AH2340">
        <v>8.5755607482420899</v>
      </c>
      <c r="AI2340">
        <v>97.289691323599996</v>
      </c>
      <c r="AJ2340">
        <v>102.384557739158</v>
      </c>
      <c r="AK2340">
        <v>8.8514106253362304</v>
      </c>
      <c r="AL2340">
        <v>95.029623332099902</v>
      </c>
      <c r="AM2340">
        <v>97.296819458058906</v>
      </c>
      <c r="AN2340">
        <v>1.00000001914815</v>
      </c>
    </row>
    <row r="2341" spans="1:40" x14ac:dyDescent="0.25">
      <c r="A2341" t="str">
        <f>"20190303154511585"</f>
        <v>20190303154511585</v>
      </c>
      <c r="B2341" t="str">
        <f>"1551599111573530"</f>
        <v>1551599111573530</v>
      </c>
      <c r="C2341" t="s">
        <v>40</v>
      </c>
      <c r="D2341">
        <v>5.031428</v>
      </c>
      <c r="E2341">
        <v>0.46605980000000002</v>
      </c>
      <c r="F2341" t="s">
        <v>41</v>
      </c>
      <c r="G2341">
        <v>-492.43610000000001</v>
      </c>
      <c r="H2341" s="1">
        <v>-2.2214149999999998E-6</v>
      </c>
      <c r="I2341">
        <v>263.25630000000001</v>
      </c>
      <c r="J2341">
        <v>-492.62200000000001</v>
      </c>
      <c r="K2341">
        <v>1.1230180000000001</v>
      </c>
      <c r="L2341">
        <v>272.37939999999998</v>
      </c>
      <c r="M2341">
        <v>-0.1924643</v>
      </c>
      <c r="N2341">
        <v>-1.548137E-2</v>
      </c>
      <c r="O2341">
        <v>-0.981182</v>
      </c>
      <c r="P2341">
        <v>-6.7791560000000001E-2</v>
      </c>
      <c r="Q2341">
        <v>-0.1022682</v>
      </c>
      <c r="R2341">
        <v>-0.9924444</v>
      </c>
      <c r="S2341">
        <v>5.4565429999999998E-2</v>
      </c>
      <c r="T2341">
        <v>-0.36323309999999998</v>
      </c>
      <c r="U2341">
        <v>-2.9901119999999999</v>
      </c>
      <c r="V2341">
        <v>-0.124124499999999</v>
      </c>
      <c r="W2341">
        <v>-8.7525339999999993E-2</v>
      </c>
      <c r="X2341">
        <v>0.98839889999999997</v>
      </c>
      <c r="Y2341">
        <v>-0.21002580000000001</v>
      </c>
      <c r="Z2341">
        <v>0.1004505</v>
      </c>
      <c r="AA2341">
        <v>0.97252190000000005</v>
      </c>
      <c r="AB2341">
        <v>13</v>
      </c>
      <c r="AC2341">
        <v>0.185899999999946</v>
      </c>
      <c r="AD2341">
        <v>-1.123020221415</v>
      </c>
      <c r="AE2341">
        <v>-9.12309999999996</v>
      </c>
      <c r="AF2341">
        <v>-1.9095814956352599</v>
      </c>
      <c r="AG2341">
        <v>-1.123020221415</v>
      </c>
      <c r="AH2341">
        <v>8.7836685458874797</v>
      </c>
      <c r="AI2341">
        <v>97.121342298275493</v>
      </c>
      <c r="AJ2341">
        <v>102.265323923428</v>
      </c>
      <c r="AK2341">
        <v>9.0587255742843205</v>
      </c>
      <c r="AL2341">
        <v>95.021257693675494</v>
      </c>
      <c r="AM2341">
        <v>97.157812270401095</v>
      </c>
      <c r="AN2341">
        <v>0.999999981081787</v>
      </c>
    </row>
    <row r="2342" spans="1:40" x14ac:dyDescent="0.25">
      <c r="A2342" t="str">
        <f>"20190303154511609"</f>
        <v>20190303154511609</v>
      </c>
      <c r="B2342" t="str">
        <f>"1551599111602806"</f>
        <v>1551599111602806</v>
      </c>
      <c r="C2342" t="s">
        <v>40</v>
      </c>
      <c r="D2342">
        <v>5.0330810000000001</v>
      </c>
      <c r="E2342">
        <v>0.46600350000000001</v>
      </c>
      <c r="F2342" t="s">
        <v>41</v>
      </c>
      <c r="G2342">
        <v>-492.41079999999999</v>
      </c>
      <c r="H2342" s="1">
        <v>-2.1045509999999999E-6</v>
      </c>
      <c r="I2342">
        <v>262.99970000000002</v>
      </c>
      <c r="J2342">
        <v>-492.64030000000002</v>
      </c>
      <c r="K2342">
        <v>1.1229100000000001</v>
      </c>
      <c r="L2342">
        <v>272.2448</v>
      </c>
      <c r="M2342">
        <v>-0.18601889999999999</v>
      </c>
      <c r="N2342">
        <v>-1.522128E-2</v>
      </c>
      <c r="O2342">
        <v>-0.98242839999999998</v>
      </c>
      <c r="P2342">
        <v>-6.3822359999999995E-2</v>
      </c>
      <c r="Q2342">
        <v>-0.10248119999999999</v>
      </c>
      <c r="R2342">
        <v>-0.9926857</v>
      </c>
      <c r="S2342">
        <v>6.7352289999999995E-2</v>
      </c>
      <c r="T2342">
        <v>-0.35805479999999901</v>
      </c>
      <c r="U2342">
        <v>-2.99057</v>
      </c>
      <c r="V2342">
        <v>-0.12160990000000001</v>
      </c>
      <c r="W2342">
        <v>-8.7944910000000001E-2</v>
      </c>
      <c r="X2342">
        <v>0.98867419999999995</v>
      </c>
      <c r="Y2342">
        <v>-0.20777370000000001</v>
      </c>
      <c r="Z2342">
        <v>9.9300239999999998E-2</v>
      </c>
      <c r="AA2342">
        <v>0.97312359999999998</v>
      </c>
      <c r="AB2342">
        <v>13</v>
      </c>
      <c r="AC2342">
        <v>0.22950000000002899</v>
      </c>
      <c r="AD2342">
        <v>-1.122912104551</v>
      </c>
      <c r="AE2342">
        <v>-9.2450999999999794</v>
      </c>
      <c r="AF2342">
        <v>-1.9171896634716199</v>
      </c>
      <c r="AG2342">
        <v>-1.122912104551</v>
      </c>
      <c r="AH2342">
        <v>8.9096442137335394</v>
      </c>
      <c r="AI2342">
        <v>97.024183954313401</v>
      </c>
      <c r="AJ2342">
        <v>102.143813724955</v>
      </c>
      <c r="AK2342">
        <v>9.1825000852483001</v>
      </c>
      <c r="AL2342">
        <v>95.045390377917897</v>
      </c>
      <c r="AM2342">
        <v>97.012329849568701</v>
      </c>
      <c r="AN2342">
        <v>0.99999997435927801</v>
      </c>
    </row>
    <row r="2343" spans="1:40" x14ac:dyDescent="0.25">
      <c r="A2343" t="str">
        <f>"20190303154511632"</f>
        <v>20190303154511632</v>
      </c>
      <c r="B2343" t="str">
        <f>"1551599111623303"</f>
        <v>1551599111623303</v>
      </c>
      <c r="C2343" t="s">
        <v>40</v>
      </c>
      <c r="D2343">
        <v>5.0357949999999896</v>
      </c>
      <c r="E2343">
        <v>0.4659587</v>
      </c>
      <c r="F2343" t="s">
        <v>41</v>
      </c>
      <c r="G2343">
        <v>-492.38869999999997</v>
      </c>
      <c r="H2343" s="1">
        <v>-2.0145259999999998E-6</v>
      </c>
      <c r="I2343">
        <v>262.80349999999999</v>
      </c>
      <c r="J2343">
        <v>-492.65730000000002</v>
      </c>
      <c r="K2343">
        <v>1.1228370000000001</v>
      </c>
      <c r="L2343">
        <v>272.11489999999998</v>
      </c>
      <c r="M2343">
        <v>-0.17998049999999999</v>
      </c>
      <c r="N2343">
        <v>-1.500362E-2</v>
      </c>
      <c r="O2343">
        <v>-0.98355590000000004</v>
      </c>
      <c r="P2343">
        <v>-6.0306230000000002E-2</v>
      </c>
      <c r="Q2343">
        <v>-0.1035416</v>
      </c>
      <c r="R2343">
        <v>-0.99279539999999999</v>
      </c>
      <c r="S2343">
        <v>7.9681399999999999E-2</v>
      </c>
      <c r="T2343">
        <v>-0.35568119999999998</v>
      </c>
      <c r="U2343">
        <v>-2.9905089999999999</v>
      </c>
      <c r="V2343">
        <v>-0.119035</v>
      </c>
      <c r="W2343">
        <v>-8.9181099999999999E-2</v>
      </c>
      <c r="X2343">
        <v>0.9888768</v>
      </c>
      <c r="Y2343">
        <v>-0.20578279999999999</v>
      </c>
      <c r="Z2343">
        <v>9.8983000000000002E-2</v>
      </c>
      <c r="AA2343">
        <v>0.97357890000000002</v>
      </c>
      <c r="AB2343">
        <v>13</v>
      </c>
      <c r="AC2343">
        <v>0.26860000000004802</v>
      </c>
      <c r="AD2343">
        <v>-1.1228390145260001</v>
      </c>
      <c r="AE2343">
        <v>-9.3113999999999901</v>
      </c>
      <c r="AF2343">
        <v>-1.9124846465686201</v>
      </c>
      <c r="AG2343">
        <v>-1.1228390145260001</v>
      </c>
      <c r="AH2343">
        <v>8.9804839510975292</v>
      </c>
      <c r="AI2343">
        <v>96.972011900222</v>
      </c>
      <c r="AJ2343">
        <v>102.022119073204</v>
      </c>
      <c r="AK2343">
        <v>9.2502679405421908</v>
      </c>
      <c r="AL2343">
        <v>95.116498326873597</v>
      </c>
      <c r="AM2343">
        <v>96.863893712933503</v>
      </c>
      <c r="AN2343">
        <v>0.99999996270022395</v>
      </c>
    </row>
    <row r="2344" spans="1:40" x14ac:dyDescent="0.25">
      <c r="A2344" t="str">
        <f>"20190303154511651"</f>
        <v>20190303154511651</v>
      </c>
      <c r="B2344" t="str">
        <f>"1551599111642825"</f>
        <v>1551599111642825</v>
      </c>
      <c r="C2344" t="s">
        <v>40</v>
      </c>
      <c r="D2344">
        <v>5.0450900000000001</v>
      </c>
      <c r="E2344">
        <v>0.46620610000000001</v>
      </c>
      <c r="F2344" t="s">
        <v>41</v>
      </c>
      <c r="G2344">
        <v>-492.37130000000002</v>
      </c>
      <c r="H2344" s="1">
        <v>-1.9712529999999998E-6</v>
      </c>
      <c r="I2344">
        <v>262.71339999999998</v>
      </c>
      <c r="J2344">
        <v>-492.67140000000001</v>
      </c>
      <c r="K2344">
        <v>1.122792</v>
      </c>
      <c r="L2344">
        <v>272.00479999999999</v>
      </c>
      <c r="M2344">
        <v>-0.1749947</v>
      </c>
      <c r="N2344">
        <v>-1.484045E-2</v>
      </c>
      <c r="O2344">
        <v>-0.98445760000000004</v>
      </c>
      <c r="P2344">
        <v>-5.7568660000000001E-2</v>
      </c>
      <c r="Q2344">
        <v>-0.10443719999999999</v>
      </c>
      <c r="R2344">
        <v>-0.99286379999999996</v>
      </c>
      <c r="S2344">
        <v>9.0972899999999995E-2</v>
      </c>
      <c r="T2344">
        <v>-0.35710190000000003</v>
      </c>
      <c r="U2344">
        <v>-2.9899900000000001</v>
      </c>
      <c r="V2344">
        <v>-0.1167444</v>
      </c>
      <c r="W2344">
        <v>-9.0211520000000003E-2</v>
      </c>
      <c r="X2344">
        <v>0.98905639999999995</v>
      </c>
      <c r="Y2344">
        <v>-0.2045035</v>
      </c>
      <c r="Z2344">
        <v>9.9780129999999995E-2</v>
      </c>
      <c r="AA2344">
        <v>0.97376700000000005</v>
      </c>
      <c r="AB2344">
        <v>13</v>
      </c>
      <c r="AC2344">
        <v>0.30009999999998599</v>
      </c>
      <c r="AD2344">
        <v>-1.122793971253</v>
      </c>
      <c r="AE2344">
        <v>-9.2914000000000101</v>
      </c>
      <c r="AF2344">
        <v>-1.8939644832968601</v>
      </c>
      <c r="AG2344">
        <v>-1.122793971253</v>
      </c>
      <c r="AH2344">
        <v>8.9647005801711899</v>
      </c>
      <c r="AI2344">
        <v>96.986262209953296</v>
      </c>
      <c r="AJ2344">
        <v>101.929405730222</v>
      </c>
      <c r="AK2344">
        <v>9.2311225892625792</v>
      </c>
      <c r="AL2344">
        <v>95.175775960949395</v>
      </c>
      <c r="AM2344">
        <v>96.731824203170603</v>
      </c>
      <c r="AN2344">
        <v>0.99999996782651401</v>
      </c>
    </row>
    <row r="2345" spans="1:40" x14ac:dyDescent="0.25">
      <c r="A2345" t="str">
        <f>"20190303154511675"</f>
        <v>20190303154511675</v>
      </c>
      <c r="B2345" t="str">
        <f>"1551599111663318"</f>
        <v>1551599111663318</v>
      </c>
      <c r="C2345" t="s">
        <v>40</v>
      </c>
      <c r="D2345">
        <v>5.033671</v>
      </c>
      <c r="E2345">
        <v>0.46667110000000001</v>
      </c>
      <c r="F2345" t="s">
        <v>41</v>
      </c>
      <c r="G2345">
        <v>-492.3664</v>
      </c>
      <c r="H2345" s="1">
        <v>-1.927064E-6</v>
      </c>
      <c r="I2345">
        <v>262.61340000000001</v>
      </c>
      <c r="J2345">
        <v>-492.68720000000002</v>
      </c>
      <c r="K2345">
        <v>1.122757</v>
      </c>
      <c r="L2345">
        <v>271.87700000000001</v>
      </c>
      <c r="M2345">
        <v>-0.16934660000000001</v>
      </c>
      <c r="N2345">
        <v>-1.4673540000000001E-2</v>
      </c>
      <c r="O2345">
        <v>-0.98544719999999997</v>
      </c>
      <c r="P2345">
        <v>-5.4584679999999997E-2</v>
      </c>
      <c r="Q2345">
        <v>-0.1048917</v>
      </c>
      <c r="R2345">
        <v>-0.99298450000000005</v>
      </c>
      <c r="S2345">
        <v>9.7076419999999997E-2</v>
      </c>
      <c r="T2345">
        <v>-0.35742560000000001</v>
      </c>
      <c r="U2345">
        <v>-2.9895939999999999</v>
      </c>
      <c r="V2345">
        <v>-0.1140463</v>
      </c>
      <c r="W2345">
        <v>-9.0806040000000005E-2</v>
      </c>
      <c r="X2345">
        <v>0.9893168</v>
      </c>
      <c r="Y2345">
        <v>-0.20088420000000001</v>
      </c>
      <c r="Z2345">
        <v>0.1002791</v>
      </c>
      <c r="AA2345">
        <v>0.97446889999999997</v>
      </c>
      <c r="AB2345">
        <v>13</v>
      </c>
      <c r="AC2345">
        <v>0.32080000000001901</v>
      </c>
      <c r="AD2345">
        <v>-1.1227589270639999</v>
      </c>
      <c r="AE2345">
        <v>-9.2635999999999896</v>
      </c>
      <c r="AF2345">
        <v>-1.8578354099557499</v>
      </c>
      <c r="AG2345">
        <v>-1.1227589270639999</v>
      </c>
      <c r="AH2345">
        <v>8.9442098895917095</v>
      </c>
      <c r="AI2345">
        <v>97.006840273979805</v>
      </c>
      <c r="AJ2345">
        <v>101.734262104235</v>
      </c>
      <c r="AK2345">
        <v>9.2038595473777995</v>
      </c>
      <c r="AL2345">
        <v>95.209979597273005</v>
      </c>
      <c r="AM2345">
        <v>96.575906966447604</v>
      </c>
      <c r="AN2345">
        <v>1.0000000131032001</v>
      </c>
    </row>
    <row r="2346" spans="1:40" x14ac:dyDescent="0.25">
      <c r="A2346" t="str">
        <f>"20190303154511696"</f>
        <v>20190303154511696</v>
      </c>
      <c r="B2346" t="str">
        <f>"1551599111692598"</f>
        <v>1551599111692598</v>
      </c>
      <c r="C2346" t="s">
        <v>40</v>
      </c>
      <c r="D2346">
        <v>5.0377640000000001</v>
      </c>
      <c r="E2346">
        <v>0.46727750000000001</v>
      </c>
      <c r="F2346" t="s">
        <v>41</v>
      </c>
      <c r="G2346">
        <v>-492.36360000000002</v>
      </c>
      <c r="H2346" s="1">
        <v>-1.869688E-6</v>
      </c>
      <c r="I2346">
        <v>262.48140000000001</v>
      </c>
      <c r="J2346">
        <v>-492.70190000000002</v>
      </c>
      <c r="K2346">
        <v>1.1227370000000001</v>
      </c>
      <c r="L2346">
        <v>271.7534</v>
      </c>
      <c r="M2346">
        <v>-0.1640057</v>
      </c>
      <c r="N2346">
        <v>-1.4534170000000001E-2</v>
      </c>
      <c r="O2346">
        <v>-0.98635240000000002</v>
      </c>
      <c r="P2346">
        <v>-5.1711649999999998E-2</v>
      </c>
      <c r="Q2346">
        <v>-0.1054852</v>
      </c>
      <c r="R2346">
        <v>-0.99307540000000005</v>
      </c>
      <c r="S2346">
        <v>0.10293579999999999</v>
      </c>
      <c r="T2346">
        <v>-0.35719440000000002</v>
      </c>
      <c r="U2346">
        <v>-2.9891049999999999</v>
      </c>
      <c r="V2346">
        <v>-0.1115445</v>
      </c>
      <c r="W2346">
        <v>-9.1518619999999995E-2</v>
      </c>
      <c r="X2346">
        <v>0.98953630000000004</v>
      </c>
      <c r="Y2346">
        <v>-0.197495</v>
      </c>
      <c r="Z2346">
        <v>0.1005597</v>
      </c>
      <c r="AA2346">
        <v>0.97513249999999996</v>
      </c>
      <c r="AB2346">
        <v>13</v>
      </c>
      <c r="AC2346">
        <v>0.33830000000000299</v>
      </c>
      <c r="AD2346">
        <v>-1.1227388696879901</v>
      </c>
      <c r="AE2346">
        <v>-9.2719999999999896</v>
      </c>
      <c r="AF2346">
        <v>-1.8277753106238099</v>
      </c>
      <c r="AG2346">
        <v>-1.1227388696879901</v>
      </c>
      <c r="AH2346">
        <v>8.9597375076230499</v>
      </c>
      <c r="AI2346">
        <v>96.999776510830401</v>
      </c>
      <c r="AJ2346">
        <v>101.530061991132</v>
      </c>
      <c r="AK2346">
        <v>9.2129366306917397</v>
      </c>
      <c r="AL2346">
        <v>95.250978413817194</v>
      </c>
      <c r="AM2346">
        <v>96.431460844376204</v>
      </c>
      <c r="AN2346">
        <v>0.99999996115232104</v>
      </c>
    </row>
    <row r="2347" spans="1:40" x14ac:dyDescent="0.25">
      <c r="A2347" t="str">
        <f>"20190303154511718"</f>
        <v>20190303154511718</v>
      </c>
      <c r="B2347" t="str">
        <f>"1551599111713094"</f>
        <v>1551599111713094</v>
      </c>
      <c r="C2347" t="s">
        <v>40</v>
      </c>
      <c r="D2347">
        <v>5.0571849999999996</v>
      </c>
      <c r="E2347">
        <v>0.46762550000000003</v>
      </c>
      <c r="F2347" t="s">
        <v>41</v>
      </c>
      <c r="G2347">
        <v>-492.36669999999998</v>
      </c>
      <c r="H2347" s="1">
        <v>-1.8176679999999999E-6</v>
      </c>
      <c r="I2347">
        <v>262.35829999999999</v>
      </c>
      <c r="J2347">
        <v>-492.71660000000003</v>
      </c>
      <c r="K2347">
        <v>1.1227119999999999</v>
      </c>
      <c r="L2347">
        <v>271.62599999999998</v>
      </c>
      <c r="M2347">
        <v>-0.1586108</v>
      </c>
      <c r="N2347">
        <v>-1.4410620000000001E-2</v>
      </c>
      <c r="O2347">
        <v>-0.987236</v>
      </c>
      <c r="P2347">
        <v>-4.858527E-2</v>
      </c>
      <c r="Q2347">
        <v>-0.1053921</v>
      </c>
      <c r="R2347">
        <v>-0.99324310000000005</v>
      </c>
      <c r="S2347">
        <v>0.106628399999999</v>
      </c>
      <c r="T2347">
        <v>-0.35713200000000001</v>
      </c>
      <c r="U2347">
        <v>-2.9884949999999999</v>
      </c>
      <c r="V2347">
        <v>-0.10925609999999999</v>
      </c>
      <c r="W2347">
        <v>-9.1532409999999995E-2</v>
      </c>
      <c r="X2347">
        <v>0.98979030000000001</v>
      </c>
      <c r="Y2347">
        <v>-0.19334979999999999</v>
      </c>
      <c r="Z2347">
        <v>0.1008894</v>
      </c>
      <c r="AA2347">
        <v>0.97592889999999999</v>
      </c>
      <c r="AB2347">
        <v>13</v>
      </c>
      <c r="AC2347">
        <v>0.34990000000004701</v>
      </c>
      <c r="AD2347">
        <v>-1.122713817668</v>
      </c>
      <c r="AE2347">
        <v>-9.2676999999999907</v>
      </c>
      <c r="AF2347">
        <v>-1.78935732657025</v>
      </c>
      <c r="AG2347">
        <v>-1.122713817668</v>
      </c>
      <c r="AH2347">
        <v>8.9634967333972408</v>
      </c>
      <c r="AI2347">
        <v>97.002590240742094</v>
      </c>
      <c r="AJ2347">
        <v>101.289390034861</v>
      </c>
      <c r="AK2347">
        <v>9.2090477058247604</v>
      </c>
      <c r="AL2347">
        <v>95.251771870996606</v>
      </c>
      <c r="AM2347">
        <v>96.298983939882902</v>
      </c>
      <c r="AN2347">
        <v>0.99999995772085304</v>
      </c>
    </row>
    <row r="2348" spans="1:40" x14ac:dyDescent="0.25">
      <c r="A2348" t="str">
        <f>"20190303154511741"</f>
        <v>20190303154511741</v>
      </c>
      <c r="B2348" t="str">
        <f>"1551599111732614"</f>
        <v>1551599111732614</v>
      </c>
      <c r="C2348" t="s">
        <v>40</v>
      </c>
      <c r="D2348">
        <v>5.0988530000000001</v>
      </c>
      <c r="E2348">
        <v>0.4677133</v>
      </c>
      <c r="F2348" t="s">
        <v>41</v>
      </c>
      <c r="G2348">
        <v>-492.36149999999998</v>
      </c>
      <c r="H2348" s="1">
        <v>-1.757665E-6</v>
      </c>
      <c r="I2348">
        <v>262.22160000000002</v>
      </c>
      <c r="J2348">
        <v>-492.72989999999999</v>
      </c>
      <c r="K2348">
        <v>1.122708</v>
      </c>
      <c r="L2348">
        <v>271.50479999999999</v>
      </c>
      <c r="M2348">
        <v>-0.15355969999999999</v>
      </c>
      <c r="N2348">
        <v>-1.4309489999999999E-2</v>
      </c>
      <c r="O2348">
        <v>-0.98803589999999997</v>
      </c>
      <c r="P2348">
        <v>-4.534241E-2</v>
      </c>
      <c r="Q2348">
        <v>-0.1065922</v>
      </c>
      <c r="R2348">
        <v>-0.9932685</v>
      </c>
      <c r="S2348">
        <v>0.11282349999999999</v>
      </c>
      <c r="T2348">
        <v>-0.3567208</v>
      </c>
      <c r="U2348">
        <v>-2.9880680000000002</v>
      </c>
      <c r="V2348">
        <v>-0.1074037</v>
      </c>
      <c r="W2348">
        <v>-9.2824589999999998E-2</v>
      </c>
      <c r="X2348">
        <v>0.9898728</v>
      </c>
      <c r="Y2348">
        <v>-0.19036159999999999</v>
      </c>
      <c r="Z2348">
        <v>0.1010465</v>
      </c>
      <c r="AA2348">
        <v>0.97649989999999998</v>
      </c>
      <c r="AB2348">
        <v>13</v>
      </c>
      <c r="AC2348">
        <v>0.368400000000008</v>
      </c>
      <c r="AD2348">
        <v>-1.122709757665</v>
      </c>
      <c r="AE2348">
        <v>-9.2831999999999599</v>
      </c>
      <c r="AF2348">
        <v>-1.76394115234187</v>
      </c>
      <c r="AG2348">
        <v>-1.122709757665</v>
      </c>
      <c r="AH2348">
        <v>8.9852792995937207</v>
      </c>
      <c r="AI2348">
        <v>96.990123361999906</v>
      </c>
      <c r="AJ2348">
        <v>101.10675071028</v>
      </c>
      <c r="AK2348">
        <v>9.2253568863534401</v>
      </c>
      <c r="AL2348">
        <v>95.326124353056898</v>
      </c>
      <c r="AM2348">
        <v>96.192511612266301</v>
      </c>
      <c r="AN2348">
        <v>1.0000000597310901</v>
      </c>
    </row>
    <row r="2349" spans="1:40" x14ac:dyDescent="0.25">
      <c r="A2349" t="str">
        <f>"20190303154511763"</f>
        <v>20190303154511763</v>
      </c>
      <c r="B2349" t="str">
        <f>"1551599111753114"</f>
        <v>1551599111753114</v>
      </c>
      <c r="C2349" t="s">
        <v>40</v>
      </c>
      <c r="D2349">
        <v>5.0391919999999999</v>
      </c>
      <c r="E2349">
        <v>0.46796700000000002</v>
      </c>
      <c r="F2349" t="s">
        <v>41</v>
      </c>
      <c r="G2349">
        <v>-492.3492</v>
      </c>
      <c r="H2349" s="1">
        <v>-1.7378220000000001E-6</v>
      </c>
      <c r="I2349">
        <v>262.18299999999999</v>
      </c>
      <c r="J2349">
        <v>-492.74259999999998</v>
      </c>
      <c r="K2349">
        <v>1.1227119999999999</v>
      </c>
      <c r="L2349">
        <v>271.38470000000001</v>
      </c>
      <c r="M2349">
        <v>-0.14862</v>
      </c>
      <c r="N2349">
        <v>-1.422346E-2</v>
      </c>
      <c r="O2349">
        <v>-0.98879209999999995</v>
      </c>
      <c r="P2349">
        <v>-4.1949760000000003E-2</v>
      </c>
      <c r="Q2349">
        <v>-0.1079297</v>
      </c>
      <c r="R2349">
        <v>-0.99327310000000002</v>
      </c>
      <c r="S2349">
        <v>0.1220093</v>
      </c>
      <c r="T2349">
        <v>-0.35978779999999999</v>
      </c>
      <c r="U2349">
        <v>-2.9873050000000001</v>
      </c>
      <c r="V2349">
        <v>-0.1058106</v>
      </c>
      <c r="W2349">
        <v>-9.424333E-2</v>
      </c>
      <c r="X2349">
        <v>0.98991019999999996</v>
      </c>
      <c r="Y2349">
        <v>-0.1884595</v>
      </c>
      <c r="Z2349">
        <v>0.1022887</v>
      </c>
      <c r="AA2349">
        <v>0.97673949999999998</v>
      </c>
      <c r="AB2349">
        <v>13</v>
      </c>
      <c r="AC2349">
        <v>0.39339999999998498</v>
      </c>
      <c r="AD2349">
        <v>-1.122713737822</v>
      </c>
      <c r="AE2349">
        <v>-9.2017000000000095</v>
      </c>
      <c r="AF2349">
        <v>-1.7310030339892599</v>
      </c>
      <c r="AG2349">
        <v>-1.122713737822</v>
      </c>
      <c r="AH2349">
        <v>8.9086363077008297</v>
      </c>
      <c r="AI2349">
        <v>97.052320501276</v>
      </c>
      <c r="AJ2349">
        <v>100.995906945104</v>
      </c>
      <c r="AK2349">
        <v>9.1444331975065403</v>
      </c>
      <c r="AL2349">
        <v>95.407770712870203</v>
      </c>
      <c r="AM2349">
        <v>96.101128384089094</v>
      </c>
      <c r="AN2349">
        <v>0.99999994619294197</v>
      </c>
    </row>
    <row r="2350" spans="1:40" x14ac:dyDescent="0.25">
      <c r="A2350" t="str">
        <f>"20190303154511786"</f>
        <v>20190303154511786</v>
      </c>
      <c r="B2350" t="str">
        <f>"1551599111783367"</f>
        <v>1551599111783367</v>
      </c>
      <c r="C2350" t="s">
        <v>40</v>
      </c>
      <c r="D2350">
        <v>5.0141989999999996</v>
      </c>
      <c r="E2350">
        <v>0.46844170000000002</v>
      </c>
      <c r="F2350" t="s">
        <v>41</v>
      </c>
      <c r="G2350">
        <v>-492.33819999999997</v>
      </c>
      <c r="H2350" s="1">
        <v>-1.6946770000000001E-6</v>
      </c>
      <c r="I2350">
        <v>262.08920000000001</v>
      </c>
      <c r="J2350">
        <v>-492.75580000000002</v>
      </c>
      <c r="K2350">
        <v>1.122717</v>
      </c>
      <c r="L2350">
        <v>271.25319999999999</v>
      </c>
      <c r="M2350">
        <v>-0.1432657</v>
      </c>
      <c r="N2350">
        <v>-1.4143879999999999E-2</v>
      </c>
      <c r="O2350">
        <v>-0.9895832</v>
      </c>
      <c r="P2350">
        <v>-3.8311999999999999E-2</v>
      </c>
      <c r="Q2350">
        <v>-0.109305399999999</v>
      </c>
      <c r="R2350">
        <v>-0.99326970000000003</v>
      </c>
      <c r="S2350">
        <v>0.1299438</v>
      </c>
      <c r="T2350">
        <v>-0.36072169999999998</v>
      </c>
      <c r="U2350">
        <v>-2.9865719999999998</v>
      </c>
      <c r="V2350">
        <v>-0.1040489</v>
      </c>
      <c r="W2350">
        <v>-9.5695580000000002E-2</v>
      </c>
      <c r="X2350">
        <v>0.98995770000000005</v>
      </c>
      <c r="Y2350">
        <v>-0.18574479999999999</v>
      </c>
      <c r="Z2350">
        <v>0.10285999999999999</v>
      </c>
      <c r="AA2350">
        <v>0.97719940000000005</v>
      </c>
      <c r="AB2350">
        <v>13</v>
      </c>
      <c r="AC2350">
        <v>0.41760000000004899</v>
      </c>
      <c r="AD2350">
        <v>-1.122718694677</v>
      </c>
      <c r="AE2350">
        <v>-9.1639999999999802</v>
      </c>
      <c r="AF2350">
        <v>-1.7008334039406201</v>
      </c>
      <c r="AG2350">
        <v>-1.122718694677</v>
      </c>
      <c r="AH2350">
        <v>8.8766540967948906</v>
      </c>
      <c r="AI2350">
        <v>97.081021406665897</v>
      </c>
      <c r="AJ2350">
        <v>100.846834119186</v>
      </c>
      <c r="AK2350">
        <v>9.1075968009943793</v>
      </c>
      <c r="AL2350">
        <v>95.491355835513502</v>
      </c>
      <c r="AM2350">
        <v>96.000008758205595</v>
      </c>
      <c r="AN2350">
        <v>1.0000000327060099</v>
      </c>
    </row>
    <row r="2351" spans="1:40" x14ac:dyDescent="0.25">
      <c r="A2351" t="str">
        <f>"20190303154511810"</f>
        <v>20190303154511810</v>
      </c>
      <c r="B2351" t="str">
        <f>"1551599111802886"</f>
        <v>1551599111802886</v>
      </c>
      <c r="C2351" t="s">
        <v>40</v>
      </c>
      <c r="D2351">
        <v>5.0105690000000003</v>
      </c>
      <c r="E2351">
        <v>0.46878039999999999</v>
      </c>
      <c r="F2351" t="s">
        <v>41</v>
      </c>
      <c r="G2351">
        <v>-492.32679999999999</v>
      </c>
      <c r="H2351" s="1">
        <v>-1.61905E-6</v>
      </c>
      <c r="I2351">
        <v>261.92</v>
      </c>
      <c r="J2351">
        <v>-492.76839999999999</v>
      </c>
      <c r="K2351">
        <v>1.122735</v>
      </c>
      <c r="L2351">
        <v>271.12099999999998</v>
      </c>
      <c r="M2351">
        <v>-0.13790259999999999</v>
      </c>
      <c r="N2351">
        <v>-1.407687E-2</v>
      </c>
      <c r="O2351">
        <v>-0.99034580000000005</v>
      </c>
      <c r="P2351">
        <v>-3.4533689999999999E-2</v>
      </c>
      <c r="Q2351">
        <v>-0.10961070000000001</v>
      </c>
      <c r="R2351">
        <v>-0.9933748</v>
      </c>
      <c r="S2351">
        <v>0.1372681</v>
      </c>
      <c r="T2351">
        <v>-0.35920829999999998</v>
      </c>
      <c r="U2351">
        <v>-2.9861149999999999</v>
      </c>
      <c r="V2351">
        <v>-0.10244060000000001</v>
      </c>
      <c r="W2351">
        <v>-9.6066239999999997E-2</v>
      </c>
      <c r="X2351">
        <v>0.99008949999999996</v>
      </c>
      <c r="Y2351">
        <v>-0.18282599999999999</v>
      </c>
      <c r="Z2351">
        <v>0.102621699999999</v>
      </c>
      <c r="AA2351">
        <v>0.9777747</v>
      </c>
      <c r="AB2351">
        <v>13</v>
      </c>
      <c r="AC2351">
        <v>0.441599999999993</v>
      </c>
      <c r="AD2351">
        <v>-1.1227366190500001</v>
      </c>
      <c r="AE2351">
        <v>-9.2009999999999597</v>
      </c>
      <c r="AF2351">
        <v>-1.68136997845449</v>
      </c>
      <c r="AG2351">
        <v>-1.1227366190500001</v>
      </c>
      <c r="AH2351">
        <v>8.9196646090710292</v>
      </c>
      <c r="AI2351">
        <v>97.051308138675196</v>
      </c>
      <c r="AJ2351">
        <v>100.67507699925</v>
      </c>
      <c r="AK2351">
        <v>9.1459258283958391</v>
      </c>
      <c r="AL2351">
        <v>95.512691519288794</v>
      </c>
      <c r="AM2351">
        <v>95.907145865847795</v>
      </c>
      <c r="AN2351">
        <v>1.0000000085031699</v>
      </c>
    </row>
    <row r="2352" spans="1:40" x14ac:dyDescent="0.25">
      <c r="A2352" t="str">
        <f>"20190303154511833"</f>
        <v>20190303154511833</v>
      </c>
      <c r="B2352" t="str">
        <f>"1551599111823383"</f>
        <v>1551599111823383</v>
      </c>
      <c r="C2352" t="s">
        <v>40</v>
      </c>
      <c r="D2352">
        <v>4.9913679999999996</v>
      </c>
      <c r="E2352">
        <v>0.46919949999999999</v>
      </c>
      <c r="F2352" t="s">
        <v>41</v>
      </c>
      <c r="G2352">
        <v>-492.30880000000002</v>
      </c>
      <c r="H2352" s="1">
        <v>-1.529165E-6</v>
      </c>
      <c r="I2352">
        <v>261.7217</v>
      </c>
      <c r="J2352">
        <v>-492.77940000000001</v>
      </c>
      <c r="K2352">
        <v>1.1227529999999999</v>
      </c>
      <c r="L2352">
        <v>270.99930000000001</v>
      </c>
      <c r="M2352">
        <v>-0.132966</v>
      </c>
      <c r="N2352">
        <v>-1.402544E-2</v>
      </c>
      <c r="O2352">
        <v>-0.9910215</v>
      </c>
      <c r="P2352">
        <v>-3.0830960000000001E-2</v>
      </c>
      <c r="Q2352">
        <v>-0.1096046</v>
      </c>
      <c r="R2352">
        <v>-0.99349719999999997</v>
      </c>
      <c r="S2352">
        <v>0.14599609999999999</v>
      </c>
      <c r="T2352">
        <v>-0.35663820000000002</v>
      </c>
      <c r="U2352">
        <v>-2.9857179999999999</v>
      </c>
      <c r="V2352">
        <v>-0.1011923</v>
      </c>
      <c r="W2352">
        <v>-9.6111810000000006E-2</v>
      </c>
      <c r="X2352">
        <v>0.99021349999999997</v>
      </c>
      <c r="Y2352">
        <v>-0.18079229999999999</v>
      </c>
      <c r="Z2352">
        <v>0.101997</v>
      </c>
      <c r="AA2352">
        <v>0.97821809999999998</v>
      </c>
      <c r="AB2352">
        <v>13</v>
      </c>
      <c r="AC2352">
        <v>0.47059999999999003</v>
      </c>
      <c r="AD2352">
        <v>-1.1227545291650001</v>
      </c>
      <c r="AE2352">
        <v>-9.2775999999999996</v>
      </c>
      <c r="AF2352">
        <v>-1.67566936269369</v>
      </c>
      <c r="AG2352">
        <v>-1.1227545291650001</v>
      </c>
      <c r="AH2352">
        <v>9.0011381882212493</v>
      </c>
      <c r="AI2352">
        <v>96.991157914728902</v>
      </c>
      <c r="AJ2352">
        <v>100.545575990391</v>
      </c>
      <c r="AK2352">
        <v>9.2243663321274205</v>
      </c>
      <c r="AL2352">
        <v>95.515314293290899</v>
      </c>
      <c r="AM2352">
        <v>95.834937841538903</v>
      </c>
      <c r="AN2352">
        <v>1.0000000685915</v>
      </c>
    </row>
    <row r="2353" spans="1:40" x14ac:dyDescent="0.25">
      <c r="A2353" t="str">
        <f>"20190303154511853"</f>
        <v>20190303154511853</v>
      </c>
      <c r="B2353" t="str">
        <f>"1551599111842904"</f>
        <v>1551599111842904</v>
      </c>
      <c r="C2353" t="s">
        <v>40</v>
      </c>
      <c r="D2353">
        <v>4.9770379999999896</v>
      </c>
      <c r="E2353">
        <v>0.4769967</v>
      </c>
      <c r="F2353" t="s">
        <v>41</v>
      </c>
      <c r="G2353">
        <v>-492.29149999999998</v>
      </c>
      <c r="H2353" s="1">
        <v>-1.4353940000000001E-6</v>
      </c>
      <c r="I2353">
        <v>261.5138</v>
      </c>
      <c r="J2353">
        <v>-492.78949999999998</v>
      </c>
      <c r="K2353">
        <v>1.1227819999999999</v>
      </c>
      <c r="L2353">
        <v>270.88130000000001</v>
      </c>
      <c r="M2353">
        <v>-0.12816849999999999</v>
      </c>
      <c r="N2353">
        <v>-1.398342E-2</v>
      </c>
      <c r="O2353">
        <v>-0.99165400000000004</v>
      </c>
      <c r="P2353">
        <v>-2.7660730000000001E-2</v>
      </c>
      <c r="Q2353">
        <v>-0.1099176</v>
      </c>
      <c r="R2353">
        <v>-0.99355610000000005</v>
      </c>
      <c r="S2353">
        <v>0.15356449999999999</v>
      </c>
      <c r="T2353">
        <v>-0.35336859999999998</v>
      </c>
      <c r="U2353">
        <v>-2.9854129999999999</v>
      </c>
      <c r="V2353">
        <v>-9.9549349999999995E-2</v>
      </c>
      <c r="W2353">
        <v>-9.6465259999999997E-2</v>
      </c>
      <c r="X2353">
        <v>0.99034560000000005</v>
      </c>
      <c r="Y2353">
        <v>-0.17852029999999999</v>
      </c>
      <c r="Z2353">
        <v>0.10112790000000001</v>
      </c>
      <c r="AA2353">
        <v>0.97872550000000003</v>
      </c>
      <c r="AB2353">
        <v>13</v>
      </c>
      <c r="AC2353">
        <v>0.49799999999999001</v>
      </c>
      <c r="AD2353">
        <v>-1.1227834353940001</v>
      </c>
      <c r="AE2353">
        <v>-9.3674999999999997</v>
      </c>
      <c r="AF2353">
        <v>-1.67069348116065</v>
      </c>
      <c r="AG2353">
        <v>-1.1227834353940001</v>
      </c>
      <c r="AH2353">
        <v>9.0960827139986904</v>
      </c>
      <c r="AI2353">
        <v>96.922123457909194</v>
      </c>
      <c r="AJ2353">
        <v>100.407616324161</v>
      </c>
      <c r="AK2353">
        <v>9.3161462038062499</v>
      </c>
      <c r="AL2353">
        <v>95.535660328598397</v>
      </c>
      <c r="AM2353">
        <v>95.740079567526905</v>
      </c>
      <c r="AN2353">
        <v>1.00000001345582</v>
      </c>
    </row>
    <row r="2354" spans="1:40" x14ac:dyDescent="0.25">
      <c r="A2354" t="str">
        <f>"20190303154511876"</f>
        <v>20190303154511876</v>
      </c>
      <c r="B2354" t="str">
        <f>"1551599111873159"</f>
        <v>1551599111873159</v>
      </c>
      <c r="C2354" t="s">
        <v>40</v>
      </c>
      <c r="D2354">
        <v>5.0201460000000004</v>
      </c>
      <c r="E2354">
        <v>0.47906700000000002</v>
      </c>
      <c r="F2354" t="s">
        <v>41</v>
      </c>
      <c r="G2354">
        <v>-492.42020000000002</v>
      </c>
      <c r="H2354" s="1">
        <v>-7.4678510000000004E-7</v>
      </c>
      <c r="I2354">
        <v>259.8288</v>
      </c>
      <c r="J2354">
        <v>-492.79930000000002</v>
      </c>
      <c r="K2354">
        <v>1.122808</v>
      </c>
      <c r="L2354">
        <v>270.75920000000002</v>
      </c>
      <c r="M2354">
        <v>-0.1231811</v>
      </c>
      <c r="N2354">
        <v>-1.39332E-2</v>
      </c>
      <c r="O2354">
        <v>-0.99228640000000001</v>
      </c>
      <c r="P2354">
        <v>-2.4916899999999999E-2</v>
      </c>
      <c r="Q2354">
        <v>-0.10957649999999999</v>
      </c>
      <c r="R2354">
        <v>-0.9936661</v>
      </c>
      <c r="S2354">
        <v>9.9853520000000001E-2</v>
      </c>
      <c r="T2354">
        <v>-0.30360769999999998</v>
      </c>
      <c r="U2354">
        <v>-2.9886780000000002</v>
      </c>
      <c r="V2354">
        <v>-9.730693E-2</v>
      </c>
      <c r="W2354">
        <v>-9.6168589999999998E-2</v>
      </c>
      <c r="X2354">
        <v>0.99059719999999996</v>
      </c>
      <c r="Y2354">
        <v>-0.1560095</v>
      </c>
      <c r="Z2354">
        <v>8.5365499999999997E-2</v>
      </c>
      <c r="AA2354">
        <v>0.98405980000000004</v>
      </c>
      <c r="AB2354">
        <v>13</v>
      </c>
      <c r="AC2354">
        <v>0.379099999999993</v>
      </c>
      <c r="AD2354">
        <v>-1.1228087467851</v>
      </c>
      <c r="AE2354">
        <v>-10.930400000000001</v>
      </c>
      <c r="AF2354">
        <v>-1.7047941184861499</v>
      </c>
      <c r="AG2354">
        <v>-1.1228087467851</v>
      </c>
      <c r="AH2354">
        <v>10.687794315856999</v>
      </c>
      <c r="AI2354">
        <v>95.922890813256998</v>
      </c>
      <c r="AJ2354">
        <v>99.062817277553506</v>
      </c>
      <c r="AK2354">
        <v>10.880991214331001</v>
      </c>
      <c r="AL2354">
        <v>95.518583484988099</v>
      </c>
      <c r="AM2354">
        <v>95.610198689542898</v>
      </c>
      <c r="AN2354">
        <v>0.99999992448822295</v>
      </c>
    </row>
    <row r="2355" spans="1:40" x14ac:dyDescent="0.25">
      <c r="A2355" t="str">
        <f>"20190303154511898"</f>
        <v>20190303154511898</v>
      </c>
      <c r="B2355" t="str">
        <f>"1551599111892679"</f>
        <v>1551599111892679</v>
      </c>
      <c r="C2355" t="s">
        <v>40</v>
      </c>
      <c r="D2355">
        <v>5.0673680000000001</v>
      </c>
      <c r="E2355">
        <v>0.50064330000000001</v>
      </c>
      <c r="F2355" t="s">
        <v>41</v>
      </c>
      <c r="G2355">
        <v>-492.45229999999998</v>
      </c>
      <c r="H2355" s="1">
        <v>-4.6716999999999997E-6</v>
      </c>
      <c r="I2355">
        <v>259.43650000000002</v>
      </c>
      <c r="J2355">
        <v>-492.80840000000001</v>
      </c>
      <c r="K2355">
        <v>1.1228209999999901</v>
      </c>
      <c r="L2355">
        <v>270.63619999999997</v>
      </c>
      <c r="M2355">
        <v>-0.1181193</v>
      </c>
      <c r="N2355">
        <v>-1.383436E-2</v>
      </c>
      <c r="O2355">
        <v>-0.99290310000000004</v>
      </c>
      <c r="P2355">
        <v>-2.174123E-2</v>
      </c>
      <c r="Q2355">
        <v>-0.10835</v>
      </c>
      <c r="R2355">
        <v>-0.99387499999999995</v>
      </c>
      <c r="S2355">
        <v>9.1583250000000005E-2</v>
      </c>
      <c r="T2355">
        <v>-0.2963749</v>
      </c>
      <c r="U2355">
        <v>-2.9887079999999999</v>
      </c>
      <c r="V2355">
        <v>-9.5436270000000004E-2</v>
      </c>
      <c r="W2355">
        <v>-9.5035980000000006E-2</v>
      </c>
      <c r="X2355">
        <v>0.99088849999999995</v>
      </c>
      <c r="Y2355">
        <v>-0.14826310000000001</v>
      </c>
      <c r="Z2355">
        <v>8.3276139999999998E-2</v>
      </c>
      <c r="AA2355">
        <v>0.98543550000000002</v>
      </c>
      <c r="AB2355">
        <v>13</v>
      </c>
      <c r="AC2355">
        <v>0.35610000000002601</v>
      </c>
      <c r="AD2355">
        <v>-1.12282567169999</v>
      </c>
      <c r="AE2355">
        <v>-11.199699999999901</v>
      </c>
      <c r="AF2355">
        <v>-1.65996629491037</v>
      </c>
      <c r="AG2355">
        <v>-1.12282567169999</v>
      </c>
      <c r="AH2355">
        <v>10.969074662481599</v>
      </c>
      <c r="AI2355">
        <v>95.779253700942604</v>
      </c>
      <c r="AJ2355">
        <v>98.605360427974404</v>
      </c>
      <c r="AK2355">
        <v>11.1506423375679</v>
      </c>
      <c r="AL2355">
        <v>95.453390852149298</v>
      </c>
      <c r="AM2355">
        <v>95.501407043993893</v>
      </c>
      <c r="AN2355">
        <v>0.99999996927916102</v>
      </c>
    </row>
    <row r="2356" spans="1:40" x14ac:dyDescent="0.25">
      <c r="A2356" t="str">
        <f>"20190303154511920"</f>
        <v>20190303154511920</v>
      </c>
      <c r="B2356" t="str">
        <f>"1551599111913175"</f>
        <v>1551599111913175</v>
      </c>
      <c r="C2356" t="s">
        <v>40</v>
      </c>
      <c r="D2356">
        <v>5.0540240000000001</v>
      </c>
      <c r="E2356">
        <v>0.50598370000000004</v>
      </c>
      <c r="F2356" t="s">
        <v>41</v>
      </c>
      <c r="G2356">
        <v>-493.20359999999999</v>
      </c>
      <c r="H2356" s="1">
        <v>-2.8707330000000002E-6</v>
      </c>
      <c r="I2356">
        <v>254.29390000000001</v>
      </c>
      <c r="J2356">
        <v>-492.81709999999998</v>
      </c>
      <c r="K2356">
        <v>1.122814</v>
      </c>
      <c r="L2356">
        <v>270.51209999999998</v>
      </c>
      <c r="M2356">
        <v>-0.1129739</v>
      </c>
      <c r="N2356">
        <v>-1.363932E-2</v>
      </c>
      <c r="O2356">
        <v>-0.99350450000000001</v>
      </c>
      <c r="P2356">
        <v>-1.8550529999999999E-2</v>
      </c>
      <c r="Q2356">
        <v>-0.107835</v>
      </c>
      <c r="R2356">
        <v>-0.99399610000000005</v>
      </c>
      <c r="S2356">
        <v>-7.2418209999999997E-2</v>
      </c>
      <c r="T2356">
        <v>-0.20574400000000001</v>
      </c>
      <c r="U2356">
        <v>-2.9945369999999998</v>
      </c>
      <c r="V2356">
        <v>-9.3484739999999997E-2</v>
      </c>
      <c r="W2356">
        <v>-9.4712009999999999E-2</v>
      </c>
      <c r="X2356">
        <v>0.99110560000000003</v>
      </c>
      <c r="Y2356">
        <v>-8.8914950000000006E-2</v>
      </c>
      <c r="Z2356">
        <v>5.414683E-2</v>
      </c>
      <c r="AA2356">
        <v>0.99456639999999996</v>
      </c>
      <c r="AB2356">
        <v>13</v>
      </c>
      <c r="AC2356">
        <v>-0.386500000000012</v>
      </c>
      <c r="AD2356">
        <v>-1.122816870733</v>
      </c>
      <c r="AE2356">
        <v>-16.2181999999999</v>
      </c>
      <c r="AF2356">
        <v>-1.4414731677141299</v>
      </c>
      <c r="AG2356">
        <v>-1.122816870733</v>
      </c>
      <c r="AH2356">
        <v>16.0809861606648</v>
      </c>
      <c r="AI2356">
        <v>93.978161420338196</v>
      </c>
      <c r="AJ2356">
        <v>95.122209728277198</v>
      </c>
      <c r="AK2356">
        <v>16.184457930926701</v>
      </c>
      <c r="AL2356">
        <v>95.434744266923403</v>
      </c>
      <c r="AM2356">
        <v>95.388407088982504</v>
      </c>
      <c r="AN2356">
        <v>1.00000003590123</v>
      </c>
    </row>
    <row r="2357" spans="1:40" x14ac:dyDescent="0.25">
      <c r="A2357" t="str">
        <f>"20190303154511943"</f>
        <v>20190303154511943</v>
      </c>
      <c r="B2357" t="str">
        <f>"1551599111932694"</f>
        <v>1551599111932694</v>
      </c>
      <c r="C2357" t="s">
        <v>40</v>
      </c>
      <c r="D2357">
        <v>5.0264499999999996</v>
      </c>
      <c r="E2357">
        <v>0.50831389999999999</v>
      </c>
      <c r="F2357" t="s">
        <v>41</v>
      </c>
      <c r="G2357">
        <v>-493.42250000000001</v>
      </c>
      <c r="H2357" s="1">
        <v>-2.5482320000000001E-6</v>
      </c>
      <c r="I2357">
        <v>253.40639999999999</v>
      </c>
      <c r="J2357">
        <v>-492.82479999999998</v>
      </c>
      <c r="K2357">
        <v>1.122789</v>
      </c>
      <c r="L2357">
        <v>270.39060000000001</v>
      </c>
      <c r="M2357">
        <v>-0.10789219999999999</v>
      </c>
      <c r="N2357">
        <v>-1.33334E-2</v>
      </c>
      <c r="O2357">
        <v>-0.99407350000000005</v>
      </c>
      <c r="P2357">
        <v>-1.6489009999999998E-2</v>
      </c>
      <c r="Q2357">
        <v>-0.1076599</v>
      </c>
      <c r="R2357">
        <v>-0.99405149999999998</v>
      </c>
      <c r="S2357">
        <v>-0.1059875</v>
      </c>
      <c r="T2357">
        <v>-0.196577</v>
      </c>
      <c r="U2357">
        <v>-2.9947810000000001</v>
      </c>
      <c r="V2357">
        <v>-9.0467649999999997E-2</v>
      </c>
      <c r="W2357">
        <v>-9.4832379999999994E-2</v>
      </c>
      <c r="X2357">
        <v>0.99137399999999998</v>
      </c>
      <c r="Y2357">
        <v>-7.2680839999999997E-2</v>
      </c>
      <c r="Z2357">
        <v>5.1534169999999997E-2</v>
      </c>
      <c r="AA2357">
        <v>0.99602290000000004</v>
      </c>
      <c r="AB2357">
        <v>13</v>
      </c>
      <c r="AC2357">
        <v>-0.59770000000003098</v>
      </c>
      <c r="AD2357">
        <v>-1.1227915482319999</v>
      </c>
      <c r="AE2357">
        <v>-16.984200000000001</v>
      </c>
      <c r="AF2357">
        <v>-1.23303265166599</v>
      </c>
      <c r="AG2357">
        <v>-1.1227915482319999</v>
      </c>
      <c r="AH2357">
        <v>16.8758708211166</v>
      </c>
      <c r="AI2357">
        <v>93.796323649666803</v>
      </c>
      <c r="AJ2357">
        <v>94.178880735285105</v>
      </c>
      <c r="AK2357">
        <v>16.958067294119001</v>
      </c>
      <c r="AL2357">
        <v>95.441672382095902</v>
      </c>
      <c r="AM2357">
        <v>95.214074405493903</v>
      </c>
      <c r="AN2357">
        <v>0.99999999193449296</v>
      </c>
    </row>
    <row r="2358" spans="1:40" x14ac:dyDescent="0.25">
      <c r="A2358" t="str">
        <f>"20190303154511975"</f>
        <v>20190303154511975</v>
      </c>
      <c r="B2358" t="str">
        <f>"1551599111972711"</f>
        <v>1551599111972711</v>
      </c>
      <c r="C2358" t="s">
        <v>40</v>
      </c>
      <c r="D2358">
        <v>5.0227349999999999</v>
      </c>
      <c r="E2358">
        <v>0.5110422</v>
      </c>
      <c r="F2358" t="s">
        <v>41</v>
      </c>
      <c r="G2358">
        <v>-493.5324</v>
      </c>
      <c r="H2358" s="1">
        <v>-2.1641530000000001E-6</v>
      </c>
      <c r="I2358">
        <v>252.44290000000001</v>
      </c>
      <c r="J2358">
        <v>-492.83539999999999</v>
      </c>
      <c r="K2358">
        <v>1.122717</v>
      </c>
      <c r="L2358">
        <v>270.20679999999999</v>
      </c>
      <c r="M2358">
        <v>-0.10014969999999999</v>
      </c>
      <c r="N2358">
        <v>-1.272418E-2</v>
      </c>
      <c r="O2358">
        <v>-0.99489110000000003</v>
      </c>
      <c r="P2358">
        <v>-1.3038370000000001E-2</v>
      </c>
      <c r="Q2358">
        <v>-0.1070813</v>
      </c>
      <c r="R2358">
        <v>-0.99416479999999996</v>
      </c>
      <c r="S2358">
        <v>-0.118103</v>
      </c>
      <c r="T2358">
        <v>-0.1874101</v>
      </c>
      <c r="U2358">
        <v>-2.9957280000000002</v>
      </c>
      <c r="V2358">
        <v>-8.6190459999999997E-2</v>
      </c>
      <c r="W2358">
        <v>-9.4844390000000001E-2</v>
      </c>
      <c r="X2358">
        <v>0.99175389999999997</v>
      </c>
      <c r="Y2358">
        <v>-6.0903579999999999E-2</v>
      </c>
      <c r="Z2358">
        <v>4.920563E-2</v>
      </c>
      <c r="AA2358">
        <v>0.99693010000000004</v>
      </c>
      <c r="AB2358">
        <v>13</v>
      </c>
      <c r="AC2358">
        <v>-0.69700000000000195</v>
      </c>
      <c r="AD2358">
        <v>-1.1227191641530001</v>
      </c>
      <c r="AE2358">
        <v>-17.7638999999999</v>
      </c>
      <c r="AF2358">
        <v>-1.0813849770928901</v>
      </c>
      <c r="AG2358">
        <v>-1.1227191641530001</v>
      </c>
      <c r="AH2358">
        <v>17.673894997021499</v>
      </c>
      <c r="AI2358">
        <v>93.628015291517698</v>
      </c>
      <c r="AJ2358">
        <v>93.501302397040703</v>
      </c>
      <c r="AK2358">
        <v>17.742504224488201</v>
      </c>
      <c r="AL2358">
        <v>95.442363434428003</v>
      </c>
      <c r="AM2358">
        <v>94.966930575665799</v>
      </c>
      <c r="AN2358">
        <v>1.0000000259373401</v>
      </c>
    </row>
    <row r="2359" spans="1:40" x14ac:dyDescent="0.25">
      <c r="A2359" t="str">
        <f>"20190303154511998"</f>
        <v>20190303154511998</v>
      </c>
      <c r="B2359" t="str">
        <f>"1551599111993207"</f>
        <v>1551599111993207</v>
      </c>
      <c r="C2359" t="s">
        <v>40</v>
      </c>
      <c r="D2359">
        <v>5.0679629999999998</v>
      </c>
      <c r="E2359">
        <v>0.51190979999999997</v>
      </c>
      <c r="F2359" t="s">
        <v>41</v>
      </c>
      <c r="G2359">
        <v>-493.65359999999998</v>
      </c>
      <c r="H2359" s="1">
        <v>-1.6992089999999901E-6</v>
      </c>
      <c r="I2359">
        <v>251.28389999999999</v>
      </c>
      <c r="J2359">
        <v>-492.84190000000001</v>
      </c>
      <c r="K2359">
        <v>1.1226640000000001</v>
      </c>
      <c r="L2359">
        <v>270.0795</v>
      </c>
      <c r="M2359">
        <v>-9.4767550000000006E-2</v>
      </c>
      <c r="N2359">
        <v>-1.226114E-2</v>
      </c>
      <c r="O2359">
        <v>-0.99542399999999998</v>
      </c>
      <c r="P2359">
        <v>-9.7187669999999997E-3</v>
      </c>
      <c r="Q2359">
        <v>-0.1054114</v>
      </c>
      <c r="R2359">
        <v>-0.99438119999999997</v>
      </c>
      <c r="S2359">
        <v>-0.12957759999999999</v>
      </c>
      <c r="T2359">
        <v>-0.17780199999999999</v>
      </c>
      <c r="U2359">
        <v>-2.9967649999999999</v>
      </c>
      <c r="V2359">
        <v>-8.4156610000000007E-2</v>
      </c>
      <c r="W2359">
        <v>-9.3625520000000004E-2</v>
      </c>
      <c r="X2359">
        <v>0.99204429999999999</v>
      </c>
      <c r="Y2359">
        <v>-5.1706080000000001E-2</v>
      </c>
      <c r="Z2359">
        <v>4.6541880000000001E-2</v>
      </c>
      <c r="AA2359">
        <v>0.9975773</v>
      </c>
      <c r="AB2359">
        <v>13</v>
      </c>
      <c r="AC2359">
        <v>-0.811699999999973</v>
      </c>
      <c r="AD2359">
        <v>-1.1226656992089901</v>
      </c>
      <c r="AE2359">
        <v>-18.7956</v>
      </c>
      <c r="AF2359">
        <v>-0.96984670331404099</v>
      </c>
      <c r="AG2359">
        <v>-1.1226656992089901</v>
      </c>
      <c r="AH2359">
        <v>18.7212573903996</v>
      </c>
      <c r="AI2359">
        <v>93.427186215473199</v>
      </c>
      <c r="AJ2359">
        <v>92.965532280556403</v>
      </c>
      <c r="AK2359">
        <v>18.779948327343799</v>
      </c>
      <c r="AL2359">
        <v>95.372215395072502</v>
      </c>
      <c r="AM2359">
        <v>94.848877923564402</v>
      </c>
      <c r="AN2359">
        <v>0.99999998308222604</v>
      </c>
    </row>
    <row r="2360" spans="1:40" x14ac:dyDescent="0.25">
      <c r="A2360" t="str">
        <f>"20190303154512022"</f>
        <v>20190303154512022</v>
      </c>
      <c r="B2360" t="str">
        <f>"1551599112012726"</f>
        <v>1551599112012726</v>
      </c>
      <c r="C2360" t="s">
        <v>40</v>
      </c>
      <c r="D2360">
        <v>5.0728419999999996</v>
      </c>
      <c r="E2360">
        <v>0.51264299999999996</v>
      </c>
      <c r="F2360" t="s">
        <v>41</v>
      </c>
      <c r="G2360">
        <v>-493.68009999999998</v>
      </c>
      <c r="H2360" s="1">
        <v>-1.2147359999999999E-6</v>
      </c>
      <c r="I2360">
        <v>250.13820000000001</v>
      </c>
      <c r="J2360">
        <v>-492.84800000000001</v>
      </c>
      <c r="K2360">
        <v>1.1226050000000001</v>
      </c>
      <c r="L2360">
        <v>269.94540000000001</v>
      </c>
      <c r="M2360">
        <v>-8.9090760000000005E-2</v>
      </c>
      <c r="N2360">
        <v>-1.172962E-2</v>
      </c>
      <c r="O2360">
        <v>-0.99595460000000002</v>
      </c>
      <c r="P2360">
        <v>-5.8203589999999998E-3</v>
      </c>
      <c r="Q2360">
        <v>-0.1037773</v>
      </c>
      <c r="R2360">
        <v>-0.99458400000000002</v>
      </c>
      <c r="S2360">
        <v>-0.12600710000000001</v>
      </c>
      <c r="T2360">
        <v>-0.16877339999999999</v>
      </c>
      <c r="U2360">
        <v>-2.997833</v>
      </c>
      <c r="V2360">
        <v>-8.2406320000000005E-2</v>
      </c>
      <c r="W2360">
        <v>-9.2512259999999999E-2</v>
      </c>
      <c r="X2360">
        <v>0.9922957</v>
      </c>
      <c r="Y2360">
        <v>-4.7211820000000002E-2</v>
      </c>
      <c r="Z2360">
        <v>4.4125659999999997E-2</v>
      </c>
      <c r="AA2360">
        <v>0.99790979999999996</v>
      </c>
      <c r="AB2360">
        <v>13</v>
      </c>
      <c r="AC2360">
        <v>-0.83209999999996798</v>
      </c>
      <c r="AD2360">
        <v>-1.1226062147360001</v>
      </c>
      <c r="AE2360">
        <v>-19.807199999999899</v>
      </c>
      <c r="AF2360">
        <v>-0.93297724978929397</v>
      </c>
      <c r="AG2360">
        <v>-1.1226062147360001</v>
      </c>
      <c r="AH2360">
        <v>19.739267917007599</v>
      </c>
      <c r="AI2360">
        <v>93.251381571496097</v>
      </c>
      <c r="AJ2360">
        <v>92.706073291637097</v>
      </c>
      <c r="AK2360">
        <v>19.7931652133102</v>
      </c>
      <c r="AL2360">
        <v>95.308151943405505</v>
      </c>
      <c r="AM2360">
        <v>94.747299382203096</v>
      </c>
      <c r="AN2360">
        <v>1.0000000380323599</v>
      </c>
    </row>
    <row r="2361" spans="1:40" x14ac:dyDescent="0.25">
      <c r="A2361" t="str">
        <f>"20190303154512043"</f>
        <v>20190303154512043</v>
      </c>
      <c r="B2361" t="str">
        <f>"1551599112033223"</f>
        <v>1551599112033223</v>
      </c>
      <c r="C2361" t="s">
        <v>40</v>
      </c>
      <c r="D2361">
        <v>5.1010749999999998</v>
      </c>
      <c r="E2361">
        <v>0.51330410000000004</v>
      </c>
      <c r="F2361" t="s">
        <v>41</v>
      </c>
      <c r="G2361">
        <v>-493.67619999999999</v>
      </c>
      <c r="H2361" s="1">
        <v>-4.8319079999999996E-6</v>
      </c>
      <c r="I2361">
        <v>249.26939999999999</v>
      </c>
      <c r="J2361">
        <v>-492.85289999999998</v>
      </c>
      <c r="K2361">
        <v>1.1225480000000001</v>
      </c>
      <c r="L2361">
        <v>269.82209999999998</v>
      </c>
      <c r="M2361">
        <v>-8.3865750000000003E-2</v>
      </c>
      <c r="N2361">
        <v>-1.1195E-2</v>
      </c>
      <c r="O2361">
        <v>-0.99641420000000003</v>
      </c>
      <c r="P2361">
        <v>-1.801546E-3</v>
      </c>
      <c r="Q2361">
        <v>-0.1024288</v>
      </c>
      <c r="R2361">
        <v>-0.99473860000000003</v>
      </c>
      <c r="S2361">
        <v>-0.12011719999999999</v>
      </c>
      <c r="T2361">
        <v>-0.16281080000000001</v>
      </c>
      <c r="U2361">
        <v>-2.9986269999999999</v>
      </c>
      <c r="V2361">
        <v>-8.1221020000000005E-2</v>
      </c>
      <c r="W2361">
        <v>-9.1691729999999999E-2</v>
      </c>
      <c r="X2361">
        <v>0.9924695</v>
      </c>
      <c r="Y2361">
        <v>-4.3940029999999998E-2</v>
      </c>
      <c r="Z2361">
        <v>4.2718220000000001E-2</v>
      </c>
      <c r="AA2361">
        <v>0.99812040000000002</v>
      </c>
      <c r="AB2361">
        <v>13</v>
      </c>
      <c r="AC2361">
        <v>-0.82330000000001702</v>
      </c>
      <c r="AD2361">
        <v>-1.12255283190799</v>
      </c>
      <c r="AE2361">
        <v>-20.552699999999898</v>
      </c>
      <c r="AF2361">
        <v>-0.90069377306248799</v>
      </c>
      <c r="AG2361">
        <v>-1.12255283190799</v>
      </c>
      <c r="AH2361">
        <v>20.488314133066801</v>
      </c>
      <c r="AI2361">
        <v>93.133074848519698</v>
      </c>
      <c r="AJ2361">
        <v>92.517178594825893</v>
      </c>
      <c r="AK2361">
        <v>20.538802062157401</v>
      </c>
      <c r="AL2361">
        <v>95.260938730054804</v>
      </c>
      <c r="AM2361">
        <v>94.678505722734897</v>
      </c>
      <c r="AN2361">
        <v>0.99999996793524104</v>
      </c>
    </row>
    <row r="2362" spans="1:40" x14ac:dyDescent="0.25">
      <c r="A2362" t="str">
        <f>"20190303154512065"</f>
        <v>20190303154512065</v>
      </c>
      <c r="B2362" t="str">
        <f>"1551599112052743"</f>
        <v>1551599112052743</v>
      </c>
      <c r="C2362" t="s">
        <v>40</v>
      </c>
      <c r="D2362">
        <v>5.0897880000000004</v>
      </c>
      <c r="E2362">
        <v>0.51366800000000001</v>
      </c>
      <c r="F2362" t="s">
        <v>41</v>
      </c>
      <c r="G2362">
        <v>-493.65800000000002</v>
      </c>
      <c r="H2362" s="1">
        <v>-4.5633120000000003E-6</v>
      </c>
      <c r="I2362">
        <v>248.4896</v>
      </c>
      <c r="J2362">
        <v>-492.85719999999998</v>
      </c>
      <c r="K2362">
        <v>1.1224970000000001</v>
      </c>
      <c r="L2362">
        <v>269.70030000000003</v>
      </c>
      <c r="M2362">
        <v>-7.8716430000000004E-2</v>
      </c>
      <c r="N2362">
        <v>-1.065694E-2</v>
      </c>
      <c r="O2362">
        <v>-0.99684010000000001</v>
      </c>
      <c r="P2362">
        <v>1.9734689999999998E-3</v>
      </c>
      <c r="Q2362">
        <v>-0.1023462</v>
      </c>
      <c r="R2362">
        <v>-0.99474669999999998</v>
      </c>
      <c r="S2362">
        <v>-0.1131897</v>
      </c>
      <c r="T2362">
        <v>-0.157833</v>
      </c>
      <c r="U2362">
        <v>-2.99939</v>
      </c>
      <c r="V2362">
        <v>-7.9852290000000006E-2</v>
      </c>
      <c r="W2362">
        <v>-9.2141769999999998E-2</v>
      </c>
      <c r="X2362">
        <v>0.9925389</v>
      </c>
      <c r="Y2362">
        <v>-4.1090109999999999E-2</v>
      </c>
      <c r="Z2362">
        <v>4.1634520000000001E-2</v>
      </c>
      <c r="AA2362">
        <v>0.99828760000000005</v>
      </c>
      <c r="AB2362">
        <v>13</v>
      </c>
      <c r="AC2362">
        <v>-0.80080000000003704</v>
      </c>
      <c r="AD2362">
        <v>-1.1225015633119999</v>
      </c>
      <c r="AE2362">
        <v>-21.210699999999999</v>
      </c>
      <c r="AF2362">
        <v>-0.86898022677394304</v>
      </c>
      <c r="AG2362">
        <v>-1.1225015633119999</v>
      </c>
      <c r="AH2362">
        <v>21.148769734586899</v>
      </c>
      <c r="AI2362">
        <v>93.035648913849002</v>
      </c>
      <c r="AJ2362">
        <v>92.352898486208105</v>
      </c>
      <c r="AK2362">
        <v>21.196358123053599</v>
      </c>
      <c r="AL2362">
        <v>95.286833675925493</v>
      </c>
      <c r="AM2362">
        <v>94.599684904062997</v>
      </c>
      <c r="AN2362">
        <v>0.99999998100509302</v>
      </c>
    </row>
    <row r="2363" spans="1:40" x14ac:dyDescent="0.25">
      <c r="A2363" t="str">
        <f>"20190303154512089"</f>
        <v>20190303154512089</v>
      </c>
      <c r="B2363" t="str">
        <f>"1551599112082716"</f>
        <v>1551599112082716</v>
      </c>
      <c r="C2363" t="s">
        <v>40</v>
      </c>
      <c r="D2363">
        <v>5.0874759999999997</v>
      </c>
      <c r="E2363">
        <v>0.51424879999999995</v>
      </c>
      <c r="F2363" t="s">
        <v>41</v>
      </c>
      <c r="G2363">
        <v>-493.60590000000002</v>
      </c>
      <c r="H2363" s="1">
        <v>-4.4592940000000001E-6</v>
      </c>
      <c r="I2363">
        <v>248.21109999999999</v>
      </c>
      <c r="J2363">
        <v>-492.86130000000003</v>
      </c>
      <c r="K2363">
        <v>1.1224510000000001</v>
      </c>
      <c r="L2363">
        <v>269.55939999999998</v>
      </c>
      <c r="M2363">
        <v>-7.2773190000000001E-2</v>
      </c>
      <c r="N2363">
        <v>-1.005353E-2</v>
      </c>
      <c r="O2363">
        <v>-0.99729789999999996</v>
      </c>
      <c r="P2363">
        <v>6.6155240000000002E-3</v>
      </c>
      <c r="Q2363">
        <v>-0.102794899999999</v>
      </c>
      <c r="R2363">
        <v>-0.99468060000000003</v>
      </c>
      <c r="S2363">
        <v>-0.104522699999999</v>
      </c>
      <c r="T2363">
        <v>-0.15670479999999901</v>
      </c>
      <c r="U2363">
        <v>-2.9999690000000001</v>
      </c>
      <c r="V2363">
        <v>-7.8551540000000003E-2</v>
      </c>
      <c r="W2363">
        <v>-9.3190519999999999E-2</v>
      </c>
      <c r="X2363">
        <v>0.9925448</v>
      </c>
      <c r="Y2363">
        <v>-3.8023649999999999E-2</v>
      </c>
      <c r="Z2363">
        <v>4.1892749999999999E-2</v>
      </c>
      <c r="AA2363">
        <v>0.99839829999999996</v>
      </c>
      <c r="AB2363">
        <v>13</v>
      </c>
      <c r="AC2363">
        <v>-0.74459999999999105</v>
      </c>
      <c r="AD2363">
        <v>-1.1224554592939999</v>
      </c>
      <c r="AE2363">
        <v>-21.348299999999899</v>
      </c>
      <c r="AF2363">
        <v>-0.80880362313108201</v>
      </c>
      <c r="AG2363">
        <v>-1.1224554592939999</v>
      </c>
      <c r="AH2363">
        <v>21.2871032355722</v>
      </c>
      <c r="AI2363">
        <v>93.016202470364803</v>
      </c>
      <c r="AJ2363">
        <v>92.175906849360302</v>
      </c>
      <c r="AK2363">
        <v>21.3320142912196</v>
      </c>
      <c r="AL2363">
        <v>95.347182199502996</v>
      </c>
      <c r="AM2363">
        <v>94.525045509325295</v>
      </c>
      <c r="AN2363">
        <v>0.99999999873064105</v>
      </c>
    </row>
    <row r="2364" spans="1:40" x14ac:dyDescent="0.25">
      <c r="A2364" t="str">
        <f>"20190303154512111"</f>
        <v>20190303154512111</v>
      </c>
      <c r="B2364" t="str">
        <f>"1551599112103212"</f>
        <v>1551599112103212</v>
      </c>
      <c r="C2364" t="s">
        <v>40</v>
      </c>
      <c r="D2364">
        <v>5.0740319999999999</v>
      </c>
      <c r="E2364">
        <v>0.51469809999999905</v>
      </c>
      <c r="F2364" t="s">
        <v>41</v>
      </c>
      <c r="G2364">
        <v>-493.5421</v>
      </c>
      <c r="H2364" s="1">
        <v>-4.4213609999999997E-6</v>
      </c>
      <c r="I2364">
        <v>248.1328</v>
      </c>
      <c r="J2364">
        <v>-492.86439999999999</v>
      </c>
      <c r="K2364">
        <v>1.122428</v>
      </c>
      <c r="L2364">
        <v>269.43209999999999</v>
      </c>
      <c r="M2364">
        <v>-6.7414020000000005E-2</v>
      </c>
      <c r="N2364">
        <v>-9.53034E-3</v>
      </c>
      <c r="O2364">
        <v>-0.99767969999999895</v>
      </c>
      <c r="P2364">
        <v>1.0731030000000001E-2</v>
      </c>
      <c r="Q2364">
        <v>-0.1025422</v>
      </c>
      <c r="R2364">
        <v>-0.99467090000000002</v>
      </c>
      <c r="S2364">
        <v>-9.5336909999999997E-2</v>
      </c>
      <c r="T2364">
        <v>-0.15718219999999999</v>
      </c>
      <c r="U2364">
        <v>-3.0004580000000001</v>
      </c>
      <c r="V2364">
        <v>-7.7318059999999994E-2</v>
      </c>
      <c r="W2364">
        <v>-9.3457499999999999E-2</v>
      </c>
      <c r="X2364">
        <v>0.99261650000000001</v>
      </c>
      <c r="Y2364">
        <v>-3.5715570000000002E-2</v>
      </c>
      <c r="Z2364">
        <v>4.2596719999999998E-2</v>
      </c>
      <c r="AA2364">
        <v>0.9984537</v>
      </c>
      <c r="AB2364">
        <v>13</v>
      </c>
      <c r="AC2364">
        <v>-0.67770000000001496</v>
      </c>
      <c r="AD2364">
        <v>-1.122432421361</v>
      </c>
      <c r="AE2364">
        <v>-21.299299999999899</v>
      </c>
      <c r="AF2364">
        <v>-0.757676303127092</v>
      </c>
      <c r="AG2364">
        <v>-1.122432421361</v>
      </c>
      <c r="AH2364">
        <v>21.2376110293511</v>
      </c>
      <c r="AI2364">
        <v>93.023413889234803</v>
      </c>
      <c r="AJ2364">
        <v>92.043226540593807</v>
      </c>
      <c r="AK2364">
        <v>21.2807436466599</v>
      </c>
      <c r="AL2364">
        <v>95.362546332562701</v>
      </c>
      <c r="AM2364">
        <v>94.453957339729598</v>
      </c>
      <c r="AN2364">
        <v>0.99999995139033004</v>
      </c>
    </row>
    <row r="2365" spans="1:40" x14ac:dyDescent="0.25">
      <c r="A2365" t="str">
        <f>"20190303154512133"</f>
        <v>20190303154512133</v>
      </c>
      <c r="B2365" t="str">
        <f>"1551599112122732"</f>
        <v>1551599112122732</v>
      </c>
      <c r="C2365" t="s">
        <v>40</v>
      </c>
      <c r="D2365">
        <v>5.1053620000000004</v>
      </c>
      <c r="E2365">
        <v>0.51521059999999996</v>
      </c>
      <c r="F2365" t="s">
        <v>41</v>
      </c>
      <c r="G2365">
        <v>-493.48570000000001</v>
      </c>
      <c r="H2365" s="1">
        <v>-4.3191099999999997E-6</v>
      </c>
      <c r="I2365">
        <v>247.86179999999999</v>
      </c>
      <c r="J2365">
        <v>-492.86689999999999</v>
      </c>
      <c r="K2365">
        <v>1.1224149999999999</v>
      </c>
      <c r="L2365">
        <v>269.29950000000002</v>
      </c>
      <c r="M2365">
        <v>-6.1838120000000003E-2</v>
      </c>
      <c r="N2365">
        <v>-8.9996999999999994E-3</v>
      </c>
      <c r="O2365">
        <v>-0.99804570000000004</v>
      </c>
      <c r="P2365">
        <v>1.493855E-2</v>
      </c>
      <c r="Q2365">
        <v>-0.10154489999999999</v>
      </c>
      <c r="R2365">
        <v>-0.99471900000000002</v>
      </c>
      <c r="S2365">
        <v>-8.6425779999999994E-2</v>
      </c>
      <c r="T2365">
        <v>-0.156157399999999</v>
      </c>
      <c r="U2365">
        <v>-3.0009459999999999</v>
      </c>
      <c r="V2365">
        <v>-7.5970019999999999E-2</v>
      </c>
      <c r="W2365">
        <v>-9.2986810000000003E-2</v>
      </c>
      <c r="X2365">
        <v>0.9927648</v>
      </c>
      <c r="Y2365">
        <v>-3.309985E-2</v>
      </c>
      <c r="Z2365">
        <v>4.2810109999999998E-2</v>
      </c>
      <c r="AA2365">
        <v>0.99853479999999994</v>
      </c>
      <c r="AB2365">
        <v>13</v>
      </c>
      <c r="AC2365">
        <v>-0.618800000000021</v>
      </c>
      <c r="AD2365">
        <v>-1.12241931911</v>
      </c>
      <c r="AE2365">
        <v>-21.4377</v>
      </c>
      <c r="AF2365">
        <v>-0.70617080124360099</v>
      </c>
      <c r="AG2365">
        <v>-1.12241931911</v>
      </c>
      <c r="AH2365">
        <v>21.3763860739836</v>
      </c>
      <c r="AI2365">
        <v>93.004058755657795</v>
      </c>
      <c r="AJ2365">
        <v>91.892083047462194</v>
      </c>
      <c r="AK2365">
        <v>21.417478467654401</v>
      </c>
      <c r="AL2365">
        <v>95.335459731210406</v>
      </c>
      <c r="AM2365">
        <v>94.375955750603097</v>
      </c>
      <c r="AN2365">
        <v>0.99999996944590697</v>
      </c>
    </row>
    <row r="2366" spans="1:40" x14ac:dyDescent="0.25">
      <c r="A2366" t="str">
        <f>"20190303154512154"</f>
        <v>20190303154512154</v>
      </c>
      <c r="B2366" t="str">
        <f>"1551599112143228"</f>
        <v>1551599112143228</v>
      </c>
      <c r="C2366" t="s">
        <v>40</v>
      </c>
      <c r="D2366">
        <v>5.056908</v>
      </c>
      <c r="E2366">
        <v>0.51563910000000002</v>
      </c>
      <c r="F2366" t="s">
        <v>41</v>
      </c>
      <c r="G2366">
        <v>-493.44080000000002</v>
      </c>
      <c r="H2366" s="1">
        <v>-4.0824400000000003E-6</v>
      </c>
      <c r="I2366">
        <v>247.18969999999999</v>
      </c>
      <c r="J2366">
        <v>-492.86869999999999</v>
      </c>
      <c r="K2366">
        <v>1.122412</v>
      </c>
      <c r="L2366">
        <v>269.1721</v>
      </c>
      <c r="M2366">
        <v>-5.6478489999999999E-2</v>
      </c>
      <c r="N2366">
        <v>-8.4940689999999999E-3</v>
      </c>
      <c r="O2366">
        <v>-0.99836780000000003</v>
      </c>
      <c r="P2366">
        <v>1.8934779999999998E-2</v>
      </c>
      <c r="Q2366">
        <v>-0.1002975</v>
      </c>
      <c r="R2366">
        <v>-0.99477729999999998</v>
      </c>
      <c r="S2366">
        <v>-7.7911380000000002E-2</v>
      </c>
      <c r="T2366">
        <v>-0.15237609999999999</v>
      </c>
      <c r="U2366">
        <v>-3.0015559999999999</v>
      </c>
      <c r="V2366">
        <v>-7.4629780000000007E-2</v>
      </c>
      <c r="W2366">
        <v>-9.2241180000000006E-2</v>
      </c>
      <c r="X2366">
        <v>0.99293600000000004</v>
      </c>
      <c r="Y2366">
        <v>-3.0569989999999998E-2</v>
      </c>
      <c r="Z2366">
        <v>4.2079999999999999E-2</v>
      </c>
      <c r="AA2366">
        <v>0.99864640000000005</v>
      </c>
      <c r="AB2366">
        <v>13</v>
      </c>
      <c r="AC2366">
        <v>-0.57210000000003403</v>
      </c>
      <c r="AD2366">
        <v>-1.12241608244</v>
      </c>
      <c r="AE2366">
        <v>-21.982399999999998</v>
      </c>
      <c r="AF2366">
        <v>-0.668648593309359</v>
      </c>
      <c r="AG2366">
        <v>-1.12241608244</v>
      </c>
      <c r="AH2366">
        <v>21.922506566333499</v>
      </c>
      <c r="AI2366">
        <v>92.929582216709093</v>
      </c>
      <c r="AJ2366">
        <v>91.747011407228698</v>
      </c>
      <c r="AK2366">
        <v>21.961402572567899</v>
      </c>
      <c r="AL2366">
        <v>95.292553869705699</v>
      </c>
      <c r="AM2366">
        <v>94.298310019963694</v>
      </c>
      <c r="AN2366">
        <v>0.99999996972331995</v>
      </c>
    </row>
    <row r="2367" spans="1:40" x14ac:dyDescent="0.25">
      <c r="A2367" t="str">
        <f>"20190303154512178"</f>
        <v>20190303154512178</v>
      </c>
      <c r="B2367" t="str">
        <f>"1551599112172508"</f>
        <v>1551599112172508</v>
      </c>
      <c r="C2367" t="s">
        <v>40</v>
      </c>
      <c r="D2367">
        <v>5.1649900000000004</v>
      </c>
      <c r="E2367">
        <v>0.51554759999999999</v>
      </c>
      <c r="F2367" t="s">
        <v>41</v>
      </c>
      <c r="G2367">
        <v>-493.39600000000002</v>
      </c>
      <c r="H2367" s="1">
        <v>-3.7853629999999998E-6</v>
      </c>
      <c r="I2367">
        <v>246.34010000000001</v>
      </c>
      <c r="J2367">
        <v>-492.8698</v>
      </c>
      <c r="K2367">
        <v>1.1224099999999999</v>
      </c>
      <c r="L2367">
        <v>269.0308</v>
      </c>
      <c r="M2367">
        <v>-5.0520130000000003E-2</v>
      </c>
      <c r="N2367">
        <v>-7.9347949999999997E-3</v>
      </c>
      <c r="O2367">
        <v>-0.99869169999999996</v>
      </c>
      <c r="P2367">
        <v>2.3239360000000001E-2</v>
      </c>
      <c r="Q2367">
        <v>-9.8889569999999996E-2</v>
      </c>
      <c r="R2367">
        <v>-0.99482740000000003</v>
      </c>
      <c r="S2367">
        <v>-6.9335939999999999E-2</v>
      </c>
      <c r="T2367">
        <v>-0.14758550000000001</v>
      </c>
      <c r="U2367">
        <v>-3.002167</v>
      </c>
      <c r="V2367">
        <v>-7.3002460000000005E-2</v>
      </c>
      <c r="W2367">
        <v>-9.1387830000000003E-2</v>
      </c>
      <c r="X2367">
        <v>0.99313589999999996</v>
      </c>
      <c r="Y2367">
        <v>-2.7461880000000001E-2</v>
      </c>
      <c r="Z2367">
        <v>4.1068470000000003E-2</v>
      </c>
      <c r="AA2367">
        <v>0.99877890000000003</v>
      </c>
      <c r="AB2367">
        <v>14</v>
      </c>
      <c r="AC2367">
        <v>-0.52619999999996003</v>
      </c>
      <c r="AD2367">
        <v>-1.1224137853630001</v>
      </c>
      <c r="AE2367">
        <v>-22.6907</v>
      </c>
      <c r="AF2367">
        <v>-0.61933037156066195</v>
      </c>
      <c r="AG2367">
        <v>-1.1224137853630001</v>
      </c>
      <c r="AH2367">
        <v>22.632957609898401</v>
      </c>
      <c r="AI2367">
        <v>92.838026142235805</v>
      </c>
      <c r="AJ2367">
        <v>91.567455920636604</v>
      </c>
      <c r="AK2367">
        <v>22.669233621500499</v>
      </c>
      <c r="AL2367">
        <v>95.243452931107299</v>
      </c>
      <c r="AM2367">
        <v>94.204080918463205</v>
      </c>
      <c r="AN2367">
        <v>1.0000000052534801</v>
      </c>
    </row>
    <row r="2368" spans="1:40" x14ac:dyDescent="0.25">
      <c r="A2368" t="str">
        <f>"20190303154512199"</f>
        <v>20190303154512199</v>
      </c>
      <c r="B2368" t="str">
        <f>"1551599112193004"</f>
        <v>1551599112193004</v>
      </c>
      <c r="C2368" t="s">
        <v>40</v>
      </c>
      <c r="D2368">
        <v>5.1846629999999996</v>
      </c>
      <c r="E2368">
        <v>0.51612990000000003</v>
      </c>
      <c r="F2368" t="s">
        <v>41</v>
      </c>
      <c r="G2368">
        <v>-493.27710000000002</v>
      </c>
      <c r="H2368" s="1">
        <v>-4.0249339999999999E-6</v>
      </c>
      <c r="I2368">
        <v>247.1061</v>
      </c>
      <c r="J2368">
        <v>-492.87009999999998</v>
      </c>
      <c r="K2368">
        <v>1.122403</v>
      </c>
      <c r="L2368">
        <v>268.89510000000001</v>
      </c>
      <c r="M2368">
        <v>-4.4798730000000002E-2</v>
      </c>
      <c r="N2368">
        <v>-7.4060870000000004E-3</v>
      </c>
      <c r="O2368">
        <v>-0.99896859999999998</v>
      </c>
      <c r="P2368">
        <v>2.6982369999999999E-2</v>
      </c>
      <c r="Q2368">
        <v>-9.7492679999999998E-2</v>
      </c>
      <c r="R2368">
        <v>-0.9948707</v>
      </c>
      <c r="S2368">
        <v>-5.5755619999999999E-2</v>
      </c>
      <c r="T2368">
        <v>-0.15366649999999901</v>
      </c>
      <c r="U2368">
        <v>-3.0016479999999999</v>
      </c>
      <c r="V2368">
        <v>-7.1050790000000003E-2</v>
      </c>
      <c r="W2368">
        <v>-9.0512919999999997E-2</v>
      </c>
      <c r="X2368">
        <v>0.9933575</v>
      </c>
      <c r="Y2368">
        <v>-2.6251090000000001E-2</v>
      </c>
      <c r="Z2368">
        <v>4.3642220000000002E-2</v>
      </c>
      <c r="AA2368">
        <v>0.99870230000000004</v>
      </c>
      <c r="AB2368">
        <v>14</v>
      </c>
      <c r="AC2368">
        <v>-0.407000000000039</v>
      </c>
      <c r="AD2368">
        <v>-1.1224070249339999</v>
      </c>
      <c r="AE2368">
        <v>-21.789000000000001</v>
      </c>
      <c r="AF2368">
        <v>-0.56804810222917101</v>
      </c>
      <c r="AG2368">
        <v>-1.1224070249339999</v>
      </c>
      <c r="AH2368">
        <v>21.7277216071369</v>
      </c>
      <c r="AI2368">
        <v>92.956138990101095</v>
      </c>
      <c r="AJ2368">
        <v>91.497595889371894</v>
      </c>
      <c r="AK2368">
        <v>21.764107204599799</v>
      </c>
      <c r="AL2368">
        <v>95.193115872057902</v>
      </c>
      <c r="AM2368">
        <v>94.091164996138801</v>
      </c>
      <c r="AN2368">
        <v>0.99999996312639905</v>
      </c>
    </row>
    <row r="2369" spans="1:40" x14ac:dyDescent="0.25">
      <c r="A2369" t="str">
        <f>"20190303154512225"</f>
        <v>20190303154512225</v>
      </c>
      <c r="B2369" t="str">
        <f>"1551599112212524"</f>
        <v>1551599112212524</v>
      </c>
      <c r="C2369" t="s">
        <v>40</v>
      </c>
      <c r="D2369">
        <v>5.2159050000000002</v>
      </c>
      <c r="E2369">
        <v>0.51501070000000004</v>
      </c>
      <c r="F2369" t="s">
        <v>41</v>
      </c>
      <c r="G2369">
        <v>-493.09690000000001</v>
      </c>
      <c r="H2369" s="1">
        <v>-3.0164730000000001E-6</v>
      </c>
      <c r="I2369">
        <v>254.69980000000001</v>
      </c>
      <c r="J2369">
        <v>-492.86959999999999</v>
      </c>
      <c r="K2369">
        <v>1.1223959999999999</v>
      </c>
      <c r="L2369">
        <v>268.7439</v>
      </c>
      <c r="M2369">
        <v>-3.8434759999999998E-2</v>
      </c>
      <c r="N2369">
        <v>-6.8416019999999996E-3</v>
      </c>
      <c r="O2369">
        <v>-0.99923779999999995</v>
      </c>
      <c r="P2369">
        <v>2.9845259999999998E-2</v>
      </c>
      <c r="Q2369">
        <v>-9.7365759999999996E-2</v>
      </c>
      <c r="R2369">
        <v>-0.99480100000000005</v>
      </c>
      <c r="S2369">
        <v>-4.7821040000000002E-2</v>
      </c>
      <c r="T2369">
        <v>-0.23669789999999999</v>
      </c>
      <c r="U2369">
        <v>-2.9935610000000001</v>
      </c>
      <c r="V2369">
        <v>-6.7570530000000004E-2</v>
      </c>
      <c r="W2369">
        <v>-9.0935650000000007E-2</v>
      </c>
      <c r="X2369">
        <v>0.99356169999999999</v>
      </c>
      <c r="Y2369">
        <v>-2.2504719999999999E-2</v>
      </c>
      <c r="Z2369">
        <v>7.1900729999999996E-2</v>
      </c>
      <c r="AA2369">
        <v>0.99715790000000004</v>
      </c>
      <c r="AB2369">
        <v>14</v>
      </c>
      <c r="AC2369">
        <v>-0.22730000000001299</v>
      </c>
      <c r="AD2369">
        <v>-1.122399016473</v>
      </c>
      <c r="AE2369">
        <v>-14.044099999999901</v>
      </c>
      <c r="AF2369">
        <v>-0.31067831666830997</v>
      </c>
      <c r="AG2369">
        <v>-1.122399016473</v>
      </c>
      <c r="AH2369">
        <v>13.953360132969999</v>
      </c>
      <c r="AI2369">
        <v>94.5977977211232</v>
      </c>
      <c r="AJ2369">
        <v>91.275507511014993</v>
      </c>
      <c r="AK2369">
        <v>14.0018770016374</v>
      </c>
      <c r="AL2369">
        <v>95.217436831010005</v>
      </c>
      <c r="AM2369">
        <v>93.8906028119534</v>
      </c>
      <c r="AN2369">
        <v>0.99999996033614502</v>
      </c>
    </row>
    <row r="2370" spans="1:40" x14ac:dyDescent="0.25">
      <c r="A2370" t="str">
        <f>"20190303154512245"</f>
        <v>20190303154512245</v>
      </c>
      <c r="B2370" t="str">
        <f>"1551599112233020"</f>
        <v>1551599112233020</v>
      </c>
      <c r="C2370" t="s">
        <v>40</v>
      </c>
      <c r="D2370">
        <v>5.1652559999999896</v>
      </c>
      <c r="E2370">
        <v>0.51050569999999995</v>
      </c>
      <c r="F2370" t="s">
        <v>41</v>
      </c>
      <c r="G2370">
        <v>-493.04790000000003</v>
      </c>
      <c r="H2370" s="1">
        <v>-1.6083360000000001E-6</v>
      </c>
      <c r="I2370">
        <v>251.4478</v>
      </c>
      <c r="J2370">
        <v>-492.86829999999998</v>
      </c>
      <c r="K2370">
        <v>1.1223829999999999</v>
      </c>
      <c r="L2370">
        <v>268.6103</v>
      </c>
      <c r="M2370">
        <v>-3.2837980000000003E-2</v>
      </c>
      <c r="N2370">
        <v>-6.3724469999999998E-3</v>
      </c>
      <c r="O2370">
        <v>-0.99944060000000001</v>
      </c>
      <c r="P2370">
        <v>3.1148700000000001E-2</v>
      </c>
      <c r="Q2370">
        <v>-9.7980220000000007E-2</v>
      </c>
      <c r="R2370">
        <v>-0.99470130000000001</v>
      </c>
      <c r="S2370">
        <v>-3.091431E-2</v>
      </c>
      <c r="T2370">
        <v>-0.19452040000000001</v>
      </c>
      <c r="U2370">
        <v>-2.9975589999999999</v>
      </c>
      <c r="V2370">
        <v>-6.329224E-2</v>
      </c>
      <c r="W2370">
        <v>-9.1998259999999998E-2</v>
      </c>
      <c r="X2370">
        <v>0.99374560000000001</v>
      </c>
      <c r="Y2370">
        <v>-2.2542300000000001E-2</v>
      </c>
      <c r="Z2370">
        <v>5.8335150000000002E-2</v>
      </c>
      <c r="AA2370">
        <v>0.99804250000000005</v>
      </c>
      <c r="AB2370">
        <v>14</v>
      </c>
      <c r="AC2370">
        <v>-0.17960000000005</v>
      </c>
      <c r="AD2370">
        <v>-1.1223846083359901</v>
      </c>
      <c r="AE2370">
        <v>-17.162499999999898</v>
      </c>
      <c r="AF2370">
        <v>-0.38245449651735203</v>
      </c>
      <c r="AG2370">
        <v>-1.1223846083359901</v>
      </c>
      <c r="AH2370">
        <v>17.086075216577399</v>
      </c>
      <c r="AI2370">
        <v>93.757422561071706</v>
      </c>
      <c r="AJ2370">
        <v>91.282293887813594</v>
      </c>
      <c r="AK2370">
        <v>17.127170956041599</v>
      </c>
      <c r="AL2370">
        <v>95.278576235494398</v>
      </c>
      <c r="AM2370">
        <v>93.644279452727503</v>
      </c>
      <c r="AN2370">
        <v>0.99999995250330098</v>
      </c>
    </row>
    <row r="2371" spans="1:40" x14ac:dyDescent="0.25">
      <c r="A2371" t="str">
        <f>"20190303154512267"</f>
        <v>20190303154512267</v>
      </c>
      <c r="B2371" t="str">
        <f>"1551599112263276"</f>
        <v>1551599112263276</v>
      </c>
      <c r="C2371" t="s">
        <v>40</v>
      </c>
      <c r="D2371">
        <v>5.0895609999999998</v>
      </c>
      <c r="E2371">
        <v>0.50789399999999996</v>
      </c>
      <c r="F2371" t="s">
        <v>41</v>
      </c>
      <c r="G2371">
        <v>-492.81040000000002</v>
      </c>
      <c r="H2371" s="1">
        <v>-4.6011330000000002E-6</v>
      </c>
      <c r="I2371">
        <v>249.04249999999999</v>
      </c>
      <c r="J2371">
        <v>-492.86619999999999</v>
      </c>
      <c r="K2371">
        <v>1.1223700000000001</v>
      </c>
      <c r="L2371">
        <v>268.4708</v>
      </c>
      <c r="M2371">
        <v>-2.702444E-2</v>
      </c>
      <c r="N2371">
        <v>-5.917673E-3</v>
      </c>
      <c r="O2371">
        <v>-0.99961739999999999</v>
      </c>
      <c r="P2371">
        <v>3.180666E-2</v>
      </c>
      <c r="Q2371">
        <v>-9.756927E-2</v>
      </c>
      <c r="R2371">
        <v>-0.99472059999999995</v>
      </c>
      <c r="S2371">
        <v>8.8806149999999997E-3</v>
      </c>
      <c r="T2371">
        <v>-0.17200299999999999</v>
      </c>
      <c r="U2371">
        <v>-2.9987180000000002</v>
      </c>
      <c r="V2371">
        <v>-5.8164680000000003E-2</v>
      </c>
      <c r="W2371">
        <v>-9.2014559999999995E-2</v>
      </c>
      <c r="X2371">
        <v>0.99405739999999998</v>
      </c>
      <c r="Y2371">
        <v>-2.997565E-2</v>
      </c>
      <c r="Z2371">
        <v>5.1311179999999998E-2</v>
      </c>
      <c r="AA2371">
        <v>0.99823269999999997</v>
      </c>
      <c r="AB2371">
        <v>14</v>
      </c>
      <c r="AC2371">
        <v>5.57999999999765E-2</v>
      </c>
      <c r="AD2371">
        <v>-1.122374601133</v>
      </c>
      <c r="AE2371">
        <v>-19.4283</v>
      </c>
      <c r="AF2371">
        <v>-0.57889568495716104</v>
      </c>
      <c r="AG2371">
        <v>-1.122374601133</v>
      </c>
      <c r="AH2371">
        <v>19.355101172138099</v>
      </c>
      <c r="AI2371">
        <v>93.317303425004496</v>
      </c>
      <c r="AJ2371">
        <v>91.713160483740396</v>
      </c>
      <c r="AK2371">
        <v>19.396257018895</v>
      </c>
      <c r="AL2371">
        <v>95.279514085317004</v>
      </c>
      <c r="AM2371">
        <v>93.348695166230698</v>
      </c>
      <c r="AN2371">
        <v>0.99999996187312701</v>
      </c>
    </row>
    <row r="2372" spans="1:40" x14ac:dyDescent="0.25">
      <c r="A2372" t="str">
        <f>"20190303154512289"</f>
        <v>20190303154512289</v>
      </c>
      <c r="B2372" t="str">
        <f>"1551599112283305"</f>
        <v>1551599112283305</v>
      </c>
      <c r="C2372" t="s">
        <v>40</v>
      </c>
      <c r="D2372">
        <v>5.1200850000000004</v>
      </c>
      <c r="E2372">
        <v>0.50703729999999902</v>
      </c>
      <c r="F2372" t="s">
        <v>41</v>
      </c>
      <c r="G2372">
        <v>-492.64030000000002</v>
      </c>
      <c r="H2372" s="1">
        <v>-3.8054259999999999E-6</v>
      </c>
      <c r="I2372">
        <v>246.82210000000001</v>
      </c>
      <c r="J2372">
        <v>-492.86340000000001</v>
      </c>
      <c r="K2372">
        <v>1.122366</v>
      </c>
      <c r="L2372">
        <v>268.32839999999999</v>
      </c>
      <c r="M2372">
        <v>-2.115057E-2</v>
      </c>
      <c r="N2372">
        <v>-5.4956060000000001E-3</v>
      </c>
      <c r="O2372">
        <v>-0.99976120000000002</v>
      </c>
      <c r="P2372">
        <v>3.2174250000000001E-2</v>
      </c>
      <c r="Q2372">
        <v>-9.6167249999999996E-2</v>
      </c>
      <c r="R2372">
        <v>-0.99484499999999998</v>
      </c>
      <c r="S2372">
        <v>3.1311039999999998E-2</v>
      </c>
      <c r="T2372">
        <v>-0.155517299999999</v>
      </c>
      <c r="U2372">
        <v>-2.9996640000000001</v>
      </c>
      <c r="V2372">
        <v>-5.2694480000000002E-2</v>
      </c>
      <c r="W2372">
        <v>-9.1003219999999996E-2</v>
      </c>
      <c r="X2372">
        <v>0.99445550000000005</v>
      </c>
      <c r="Y2372">
        <v>-3.1568859999999997E-2</v>
      </c>
      <c r="Z2372">
        <v>4.6254080000000003E-2</v>
      </c>
      <c r="AA2372">
        <v>0.9984307</v>
      </c>
      <c r="AB2372">
        <v>14</v>
      </c>
      <c r="AC2372">
        <v>0.223099999999988</v>
      </c>
      <c r="AD2372">
        <v>-1.1223698054260001</v>
      </c>
      <c r="AE2372">
        <v>-21.5062999999999</v>
      </c>
      <c r="AF2372">
        <v>-0.676086284161594</v>
      </c>
      <c r="AG2372">
        <v>-1.1223698054260001</v>
      </c>
      <c r="AH2372">
        <v>21.438387232505999</v>
      </c>
      <c r="AI2372">
        <v>92.9953993104604</v>
      </c>
      <c r="AJ2372">
        <v>91.806295229988095</v>
      </c>
      <c r="AK2372">
        <v>21.4783903906843</v>
      </c>
      <c r="AL2372">
        <v>95.221324124909998</v>
      </c>
      <c r="AM2372">
        <v>93.033167757148703</v>
      </c>
      <c r="AN2372">
        <v>1.00000001787654</v>
      </c>
    </row>
    <row r="2373" spans="1:40" x14ac:dyDescent="0.25">
      <c r="A2373" t="str">
        <f>"20190303154512312"</f>
        <v>20190303154512312</v>
      </c>
      <c r="B2373" t="str">
        <f>"1551599112302825"</f>
        <v>1551599112302825</v>
      </c>
      <c r="C2373" t="s">
        <v>40</v>
      </c>
      <c r="D2373">
        <v>5.1460119999999998</v>
      </c>
      <c r="E2373">
        <v>0.50671120000000003</v>
      </c>
      <c r="F2373" t="s">
        <v>41</v>
      </c>
      <c r="G2373">
        <v>-492.56709999999998</v>
      </c>
      <c r="H2373" s="1">
        <v>-3.3280600000000001E-6</v>
      </c>
      <c r="I2373">
        <v>245.75470000000001</v>
      </c>
      <c r="J2373">
        <v>-492.8596</v>
      </c>
      <c r="K2373">
        <v>1.1223609999999999</v>
      </c>
      <c r="L2373">
        <v>268.17860000000002</v>
      </c>
      <c r="M2373">
        <v>-1.5054049999999999E-2</v>
      </c>
      <c r="N2373">
        <v>-5.0987289999999998E-3</v>
      </c>
      <c r="O2373">
        <v>-0.99987369999999998</v>
      </c>
      <c r="P2373">
        <v>3.3786829999999997E-2</v>
      </c>
      <c r="Q2373">
        <v>-9.3757869999999993E-2</v>
      </c>
      <c r="R2373">
        <v>-0.99502170000000001</v>
      </c>
      <c r="S2373">
        <v>3.9367680000000002E-2</v>
      </c>
      <c r="T2373">
        <v>-0.14915129999999999</v>
      </c>
      <c r="U2373">
        <v>-2.9998170000000002</v>
      </c>
      <c r="V2373">
        <v>-4.8255439999999997E-2</v>
      </c>
      <c r="W2373">
        <v>-8.8963429999999996E-2</v>
      </c>
      <c r="X2373">
        <v>0.99486529999999995</v>
      </c>
      <c r="Y2373">
        <v>-2.8156730000000001E-2</v>
      </c>
      <c r="Z2373">
        <v>4.4544800000000002E-2</v>
      </c>
      <c r="AA2373">
        <v>0.99861049999999996</v>
      </c>
      <c r="AB2373">
        <v>15</v>
      </c>
      <c r="AC2373">
        <v>0.29250000000001802</v>
      </c>
      <c r="AD2373">
        <v>-1.12236432806</v>
      </c>
      <c r="AE2373">
        <v>-22.4239</v>
      </c>
      <c r="AF2373">
        <v>-0.62846756690255401</v>
      </c>
      <c r="AG2373">
        <v>-1.12236432806</v>
      </c>
      <c r="AH2373">
        <v>22.360946021174499</v>
      </c>
      <c r="AI2373">
        <v>92.872306788428503</v>
      </c>
      <c r="AJ2373">
        <v>91.609907839462494</v>
      </c>
      <c r="AK2373">
        <v>22.397914637962</v>
      </c>
      <c r="AL2373">
        <v>95.1039766790188</v>
      </c>
      <c r="AM2373">
        <v>92.776926529344195</v>
      </c>
      <c r="AN2373">
        <v>1.0000000222555201</v>
      </c>
    </row>
    <row r="2374" spans="1:40" x14ac:dyDescent="0.25">
      <c r="A2374" t="str">
        <f>"20190303154512334"</f>
        <v>20190303154512334</v>
      </c>
      <c r="B2374" t="str">
        <f>"1551599112323321"</f>
        <v>1551599112323321</v>
      </c>
      <c r="C2374" t="s">
        <v>40</v>
      </c>
      <c r="D2374">
        <v>5.1387980000000004</v>
      </c>
      <c r="E2374">
        <v>0.50640819999999998</v>
      </c>
      <c r="F2374" t="s">
        <v>41</v>
      </c>
      <c r="G2374">
        <v>-492.47719999999998</v>
      </c>
      <c r="H2374" s="1">
        <v>-2.4524410000000001E-6</v>
      </c>
      <c r="I2374">
        <v>243.76939999999999</v>
      </c>
      <c r="J2374">
        <v>-492.85520000000002</v>
      </c>
      <c r="K2374">
        <v>1.122344</v>
      </c>
      <c r="L2374">
        <v>268.03629999999998</v>
      </c>
      <c r="M2374">
        <v>-9.3630789999999998E-3</v>
      </c>
      <c r="N2374">
        <v>-4.7652609999999998E-3</v>
      </c>
      <c r="O2374">
        <v>-0.99994490000000003</v>
      </c>
      <c r="P2374">
        <v>3.5606659999999998E-2</v>
      </c>
      <c r="Q2374">
        <v>-9.1772679999999995E-2</v>
      </c>
      <c r="R2374">
        <v>-0.99514320000000001</v>
      </c>
      <c r="S2374">
        <v>4.6997070000000002E-2</v>
      </c>
      <c r="T2374">
        <v>-0.13796269999999999</v>
      </c>
      <c r="U2374">
        <v>-3.0004270000000002</v>
      </c>
      <c r="V2374">
        <v>-4.4425319999999997E-2</v>
      </c>
      <c r="W2374">
        <v>-8.7286550000000004E-2</v>
      </c>
      <c r="X2374">
        <v>0.99519219999999997</v>
      </c>
      <c r="Y2374">
        <v>-2.5006589999999999E-2</v>
      </c>
      <c r="Z2374">
        <v>4.1158380000000001E-2</v>
      </c>
      <c r="AA2374">
        <v>0.9988397</v>
      </c>
      <c r="AB2374">
        <v>15</v>
      </c>
      <c r="AC2374">
        <v>0.37800000000004202</v>
      </c>
      <c r="AD2374">
        <v>-1.1223464524410001</v>
      </c>
      <c r="AE2374">
        <v>-24.2669</v>
      </c>
      <c r="AF2374">
        <v>-0.60390740382555796</v>
      </c>
      <c r="AG2374">
        <v>-1.1223464524410001</v>
      </c>
      <c r="AH2374">
        <v>24.210521491981901</v>
      </c>
      <c r="AI2374">
        <v>92.653381732554607</v>
      </c>
      <c r="AJ2374">
        <v>91.428889988443501</v>
      </c>
      <c r="AK2374">
        <v>24.244044972434299</v>
      </c>
      <c r="AL2374">
        <v>95.007523210083804</v>
      </c>
      <c r="AM2374">
        <v>92.555983265484599</v>
      </c>
      <c r="AN2374">
        <v>1.0000000329044201</v>
      </c>
    </row>
    <row r="2375" spans="1:40" x14ac:dyDescent="0.25">
      <c r="A2375" t="str">
        <f>"20190303154512356"</f>
        <v>20190303154512356</v>
      </c>
      <c r="B2375" t="str">
        <f>"1551599112352601"</f>
        <v>1551599112352601</v>
      </c>
      <c r="C2375" t="s">
        <v>40</v>
      </c>
      <c r="D2375">
        <v>5.1659160000000002</v>
      </c>
      <c r="E2375">
        <v>0.50602550000000002</v>
      </c>
      <c r="F2375" t="s">
        <v>41</v>
      </c>
      <c r="G2375">
        <v>-492.38339999999999</v>
      </c>
      <c r="H2375" s="1">
        <v>-1.8005799999999901E-6</v>
      </c>
      <c r="I2375">
        <v>242.3081</v>
      </c>
      <c r="J2375">
        <v>-492.84969999999998</v>
      </c>
      <c r="K2375">
        <v>1.122296</v>
      </c>
      <c r="L2375">
        <v>267.88389999999998</v>
      </c>
      <c r="M2375">
        <v>-3.4097039999999999E-3</v>
      </c>
      <c r="N2375">
        <v>-4.450987E-3</v>
      </c>
      <c r="O2375">
        <v>-0.9999844</v>
      </c>
      <c r="P2375">
        <v>3.6819480000000002E-2</v>
      </c>
      <c r="Q2375">
        <v>-9.0274709999999994E-2</v>
      </c>
      <c r="R2375">
        <v>-0.99523620000000002</v>
      </c>
      <c r="S2375">
        <v>5.502319E-2</v>
      </c>
      <c r="T2375">
        <v>-0.1308974</v>
      </c>
      <c r="U2375">
        <v>-3.0006409999999999</v>
      </c>
      <c r="V2375">
        <v>-3.9725839999999998E-2</v>
      </c>
      <c r="W2375">
        <v>-8.6070960000000002E-2</v>
      </c>
      <c r="X2375">
        <v>0.99549670000000001</v>
      </c>
      <c r="Y2375">
        <v>-2.1726760000000001E-2</v>
      </c>
      <c r="Z2375">
        <v>3.9125199999999902E-2</v>
      </c>
      <c r="AA2375">
        <v>0.9989981</v>
      </c>
      <c r="AB2375">
        <v>15</v>
      </c>
      <c r="AC2375">
        <v>0.466299999999989</v>
      </c>
      <c r="AD2375">
        <v>-1.1222978005799999</v>
      </c>
      <c r="AE2375">
        <v>-25.575799999999902</v>
      </c>
      <c r="AF2375">
        <v>-0.55244064449388997</v>
      </c>
      <c r="AG2375">
        <v>-1.1222978005799999</v>
      </c>
      <c r="AH2375">
        <v>25.524927834561101</v>
      </c>
      <c r="AI2375">
        <v>92.517010494853196</v>
      </c>
      <c r="AJ2375">
        <v>91.239869379987894</v>
      </c>
      <c r="AK2375">
        <v>25.555560725181198</v>
      </c>
      <c r="AL2375">
        <v>94.937611990272899</v>
      </c>
      <c r="AM2375">
        <v>92.285206888868899</v>
      </c>
      <c r="AN2375">
        <v>1.00000001611495</v>
      </c>
    </row>
    <row r="2376" spans="1:40" x14ac:dyDescent="0.25">
      <c r="A2376" t="str">
        <f>"20190303154512378"</f>
        <v>20190303154512378</v>
      </c>
      <c r="B2376" t="str">
        <f>"1551599112373098"</f>
        <v>1551599112373098</v>
      </c>
      <c r="C2376" t="s">
        <v>40</v>
      </c>
      <c r="D2376">
        <v>5.1495410000000001</v>
      </c>
      <c r="E2376">
        <v>0.50585619999999998</v>
      </c>
      <c r="F2376" t="s">
        <v>41</v>
      </c>
      <c r="G2376">
        <v>-492.29790000000003</v>
      </c>
      <c r="H2376" s="1">
        <v>-1.30701E-6</v>
      </c>
      <c r="I2376">
        <v>241.2106</v>
      </c>
      <c r="J2376">
        <v>-492.84359999999998</v>
      </c>
      <c r="K2376">
        <v>1.122231</v>
      </c>
      <c r="L2376">
        <v>267.73250000000002</v>
      </c>
      <c r="M2376">
        <v>2.3349410000000001E-3</v>
      </c>
      <c r="N2376">
        <v>-4.1774309999999997E-3</v>
      </c>
      <c r="O2376">
        <v>-0.99998869999999895</v>
      </c>
      <c r="P2376">
        <v>3.7413269999999998E-2</v>
      </c>
      <c r="Q2376">
        <v>-8.8235899999999895E-2</v>
      </c>
      <c r="R2376">
        <v>-0.99539679999999997</v>
      </c>
      <c r="S2376">
        <v>6.2072750000000003E-2</v>
      </c>
      <c r="T2376">
        <v>-0.12625249999999999</v>
      </c>
      <c r="U2376">
        <v>-3.00061</v>
      </c>
      <c r="V2376">
        <v>-3.4621609999999997E-2</v>
      </c>
      <c r="W2376">
        <v>-8.4270120000000004E-2</v>
      </c>
      <c r="X2376">
        <v>0.99584130000000004</v>
      </c>
      <c r="Y2376">
        <v>-1.8331170000000001E-2</v>
      </c>
      <c r="Z2376">
        <v>3.7856220000000003E-2</v>
      </c>
      <c r="AA2376">
        <v>0.99911499999999998</v>
      </c>
      <c r="AB2376">
        <v>15</v>
      </c>
      <c r="AC2376">
        <v>0.545699999999953</v>
      </c>
      <c r="AD2376">
        <v>-1.12223230701</v>
      </c>
      <c r="AE2376">
        <v>-26.521899999999999</v>
      </c>
      <c r="AF2376">
        <v>-0.482906667172191</v>
      </c>
      <c r="AG2376">
        <v>-1.12223230701</v>
      </c>
      <c r="AH2376">
        <v>26.475719144188599</v>
      </c>
      <c r="AI2376">
        <v>92.426753126742099</v>
      </c>
      <c r="AJ2376">
        <v>91.044936536230693</v>
      </c>
      <c r="AK2376">
        <v>26.503892325506701</v>
      </c>
      <c r="AL2376">
        <v>94.834055229582503</v>
      </c>
      <c r="AM2376">
        <v>91.991154111003993</v>
      </c>
      <c r="AN2376">
        <v>1.0000000018947399</v>
      </c>
    </row>
    <row r="2377" spans="1:40" x14ac:dyDescent="0.25">
      <c r="A2377" t="str">
        <f>"20190303154512401"</f>
        <v>20190303154512401</v>
      </c>
      <c r="B2377" t="str">
        <f>"1551599112392617"</f>
        <v>1551599112392617</v>
      </c>
      <c r="C2377" t="s">
        <v>40</v>
      </c>
      <c r="D2377">
        <v>5.1759769999999996</v>
      </c>
      <c r="E2377">
        <v>0.50575530000000002</v>
      </c>
      <c r="F2377" t="s">
        <v>41</v>
      </c>
      <c r="G2377">
        <v>-492.23779999999999</v>
      </c>
      <c r="H2377" s="1">
        <v>-6.3223230000000002E-7</v>
      </c>
      <c r="I2377">
        <v>239.67490000000001</v>
      </c>
      <c r="J2377">
        <v>-492.83670000000001</v>
      </c>
      <c r="K2377">
        <v>1.12215</v>
      </c>
      <c r="L2377">
        <v>267.57929999999999</v>
      </c>
      <c r="M2377">
        <v>7.9422060000000003E-3</v>
      </c>
      <c r="N2377">
        <v>-3.9370259999999997E-3</v>
      </c>
      <c r="O2377">
        <v>-0.99996079999999998</v>
      </c>
      <c r="P2377">
        <v>3.9076979999999997E-2</v>
      </c>
      <c r="Q2377">
        <v>-8.7108630000000006E-2</v>
      </c>
      <c r="R2377">
        <v>-0.99543219999999999</v>
      </c>
      <c r="S2377">
        <v>6.4788819999999997E-2</v>
      </c>
      <c r="T2377">
        <v>-0.12002409999999999</v>
      </c>
      <c r="U2377">
        <v>-3.0007929999999998</v>
      </c>
      <c r="V2377">
        <v>-3.072138E-2</v>
      </c>
      <c r="W2377">
        <v>-8.335439E-2</v>
      </c>
      <c r="X2377">
        <v>0.99604630000000005</v>
      </c>
      <c r="Y2377">
        <v>-1.3629240000000001E-2</v>
      </c>
      <c r="Z2377">
        <v>3.602325E-2</v>
      </c>
      <c r="AA2377">
        <v>0.99925799999999998</v>
      </c>
      <c r="AB2377">
        <v>15</v>
      </c>
      <c r="AC2377">
        <v>0.59890000000001398</v>
      </c>
      <c r="AD2377">
        <v>-1.1221506322323</v>
      </c>
      <c r="AE2377">
        <v>-27.9043999999999</v>
      </c>
      <c r="AF2377">
        <v>-0.37664809445973702</v>
      </c>
      <c r="AG2377">
        <v>-1.1221506322323</v>
      </c>
      <c r="AH2377">
        <v>27.863237534416001</v>
      </c>
      <c r="AI2377">
        <v>92.306045879562902</v>
      </c>
      <c r="AJ2377">
        <v>90.774462473614506</v>
      </c>
      <c r="AK2377">
        <v>27.888368394866099</v>
      </c>
      <c r="AL2377">
        <v>94.781402543159203</v>
      </c>
      <c r="AM2377">
        <v>91.766632299897097</v>
      </c>
      <c r="AN2377">
        <v>0.99999999463253297</v>
      </c>
    </row>
    <row r="2378" spans="1:40" x14ac:dyDescent="0.25">
      <c r="A2378" t="str">
        <f>"20190303154512427"</f>
        <v>20190303154512427</v>
      </c>
      <c r="B2378" t="str">
        <f>"1551599112422873"</f>
        <v>1551599112422873</v>
      </c>
      <c r="C2378" t="s">
        <v>40</v>
      </c>
      <c r="D2378">
        <v>5.1509019999999897</v>
      </c>
      <c r="E2378">
        <v>0.50564880000000001</v>
      </c>
      <c r="F2378" t="s">
        <v>41</v>
      </c>
      <c r="G2378">
        <v>-492.15539999999999</v>
      </c>
      <c r="H2378" s="1">
        <v>-4.3704440000000001E-6</v>
      </c>
      <c r="I2378">
        <v>238.70599999999999</v>
      </c>
      <c r="J2378">
        <v>-492.82810000000001</v>
      </c>
      <c r="K2378">
        <v>1.1220239999999999</v>
      </c>
      <c r="L2378">
        <v>267.40600000000001</v>
      </c>
      <c r="M2378">
        <v>1.397605E-2</v>
      </c>
      <c r="N2378">
        <v>-3.7092409999999998E-3</v>
      </c>
      <c r="O2378">
        <v>-0.99989550000000005</v>
      </c>
      <c r="P2378">
        <v>4.1410669999999997E-2</v>
      </c>
      <c r="Q2378">
        <v>-8.8489810000000002E-2</v>
      </c>
      <c r="R2378">
        <v>-0.99521590000000004</v>
      </c>
      <c r="S2378">
        <v>7.0800779999999994E-2</v>
      </c>
      <c r="T2378">
        <v>-0.1166239</v>
      </c>
      <c r="U2378">
        <v>-3.0007630000000001</v>
      </c>
      <c r="V2378">
        <v>-2.7062800000000001E-2</v>
      </c>
      <c r="W2378">
        <v>-8.4935650000000001E-2</v>
      </c>
      <c r="X2378">
        <v>0.99601879999999998</v>
      </c>
      <c r="Y2378">
        <v>-9.5978220000000006E-3</v>
      </c>
      <c r="Z2378">
        <v>3.5117349999999999E-2</v>
      </c>
      <c r="AA2378">
        <v>0.99933709999999998</v>
      </c>
      <c r="AB2378">
        <v>15</v>
      </c>
      <c r="AC2378">
        <v>0.67270000000001995</v>
      </c>
      <c r="AD2378">
        <v>-1.1220283704439999</v>
      </c>
      <c r="AE2378">
        <v>-28.7</v>
      </c>
      <c r="AF2378">
        <v>-0.27110478663513599</v>
      </c>
      <c r="AG2378">
        <v>-1.1220283704439999</v>
      </c>
      <c r="AH2378">
        <v>28.662813711777599</v>
      </c>
      <c r="AI2378">
        <v>92.241643545406504</v>
      </c>
      <c r="AJ2378">
        <v>90.5419110996516</v>
      </c>
      <c r="AK2378">
        <v>28.686047747040401</v>
      </c>
      <c r="AL2378">
        <v>94.872324724977901</v>
      </c>
      <c r="AM2378">
        <v>91.556399148007202</v>
      </c>
      <c r="AN2378">
        <v>0.99999995486909998</v>
      </c>
    </row>
    <row r="2379" spans="1:40" x14ac:dyDescent="0.25">
      <c r="A2379" t="str">
        <f>"20190303154512448"</f>
        <v>20190303154512448</v>
      </c>
      <c r="B2379" t="str">
        <f>"1551599112443369"</f>
        <v>1551599112443369</v>
      </c>
      <c r="C2379" t="s">
        <v>40</v>
      </c>
      <c r="D2379">
        <v>5.1700720000000002</v>
      </c>
      <c r="E2379">
        <v>0.50556020000000002</v>
      </c>
      <c r="F2379" t="s">
        <v>41</v>
      </c>
      <c r="G2379">
        <v>-492.09870000000001</v>
      </c>
      <c r="H2379" s="1">
        <v>-5.8141140000000001E-7</v>
      </c>
      <c r="I2379">
        <v>239.64269999999999</v>
      </c>
      <c r="J2379">
        <v>-492.81990000000002</v>
      </c>
      <c r="K2379">
        <v>1.121893</v>
      </c>
      <c r="L2379">
        <v>267.25040000000001</v>
      </c>
      <c r="M2379">
        <v>1.912146E-2</v>
      </c>
      <c r="N2379">
        <v>-3.5387880000000002E-3</v>
      </c>
      <c r="O2379">
        <v>-0.99981089999999995</v>
      </c>
      <c r="P2379">
        <v>4.245906E-2</v>
      </c>
      <c r="Q2379">
        <v>-9.1237799999999994E-2</v>
      </c>
      <c r="R2379">
        <v>-0.99492349999999996</v>
      </c>
      <c r="S2379">
        <v>7.8826899999999894E-2</v>
      </c>
      <c r="T2379">
        <v>-0.1212579</v>
      </c>
      <c r="U2379">
        <v>-3.000397</v>
      </c>
      <c r="V2379">
        <v>-2.2999869999999999E-2</v>
      </c>
      <c r="W2379">
        <v>-8.7827000000000002E-2</v>
      </c>
      <c r="X2379">
        <v>0.99587020000000004</v>
      </c>
      <c r="Y2379">
        <v>-7.1249429999999999E-3</v>
      </c>
      <c r="Z2379">
        <v>3.6827190000000003E-2</v>
      </c>
      <c r="AA2379">
        <v>0.99929619999999997</v>
      </c>
      <c r="AB2379">
        <v>16</v>
      </c>
      <c r="AC2379">
        <v>0.72120000000001006</v>
      </c>
      <c r="AD2379">
        <v>-1.1218935814113999</v>
      </c>
      <c r="AE2379">
        <v>-27.607700000000001</v>
      </c>
      <c r="AF2379">
        <v>-0.19284705685381601</v>
      </c>
      <c r="AG2379">
        <v>-1.1218935814113999</v>
      </c>
      <c r="AH2379">
        <v>27.570944231872001</v>
      </c>
      <c r="AI2379">
        <v>92.330089048713603</v>
      </c>
      <c r="AJ2379">
        <v>90.400753132316694</v>
      </c>
      <c r="AK2379">
        <v>27.594434240120702</v>
      </c>
      <c r="AL2379">
        <v>95.038608181440395</v>
      </c>
      <c r="AM2379">
        <v>91.323025084428593</v>
      </c>
      <c r="AN2379">
        <v>1.00000001559852</v>
      </c>
    </row>
    <row r="2380" spans="1:40" x14ac:dyDescent="0.25">
      <c r="A2380" t="str">
        <f>"20190303154512469"</f>
        <v>20190303154512469</v>
      </c>
      <c r="B2380" t="str">
        <f>"1551599112462890"</f>
        <v>1551599112462890</v>
      </c>
      <c r="C2380" t="s">
        <v>40</v>
      </c>
      <c r="D2380">
        <v>5.11869</v>
      </c>
      <c r="E2380">
        <v>0.5054575</v>
      </c>
      <c r="F2380" t="s">
        <v>41</v>
      </c>
      <c r="G2380">
        <v>-492.10230000000001</v>
      </c>
      <c r="H2380" s="1">
        <v>-1.2502589999999901E-6</v>
      </c>
      <c r="I2380">
        <v>241.1996</v>
      </c>
      <c r="J2380">
        <v>-492.81130000000002</v>
      </c>
      <c r="K2380">
        <v>1.1217729999999999</v>
      </c>
      <c r="L2380">
        <v>267.09609999999998</v>
      </c>
      <c r="M2380">
        <v>2.3980680000000001E-2</v>
      </c>
      <c r="N2380">
        <v>-3.3994160000000002E-3</v>
      </c>
      <c r="O2380">
        <v>-0.99970669999999995</v>
      </c>
      <c r="P2380">
        <v>4.5485789999999998E-2</v>
      </c>
      <c r="Q2380">
        <v>-9.321459E-2</v>
      </c>
      <c r="R2380">
        <v>-0.99460660000000001</v>
      </c>
      <c r="S2380">
        <v>8.2641599999999996E-2</v>
      </c>
      <c r="T2380">
        <v>-0.12919310000000001</v>
      </c>
      <c r="U2380">
        <v>-2.999908</v>
      </c>
      <c r="V2380">
        <v>-2.120559E-2</v>
      </c>
      <c r="W2380">
        <v>-8.9929209999999996E-2</v>
      </c>
      <c r="X2380">
        <v>0.99572240000000001</v>
      </c>
      <c r="Y2380">
        <v>-3.536066E-3</v>
      </c>
      <c r="Z2380">
        <v>3.9603579999999999E-2</v>
      </c>
      <c r="AA2380">
        <v>0.99920920000000002</v>
      </c>
      <c r="AB2380">
        <v>16</v>
      </c>
      <c r="AC2380">
        <v>0.70900000000000296</v>
      </c>
      <c r="AD2380">
        <v>-1.121774250259</v>
      </c>
      <c r="AE2380">
        <v>-25.8964999999999</v>
      </c>
      <c r="AF2380">
        <v>-8.7612598388256899E-2</v>
      </c>
      <c r="AG2380">
        <v>-1.121774250259</v>
      </c>
      <c r="AH2380">
        <v>25.857571871666501</v>
      </c>
      <c r="AI2380">
        <v>92.484080316278707</v>
      </c>
      <c r="AJ2380">
        <v>90.194133189881299</v>
      </c>
      <c r="AK2380">
        <v>25.882041583583302</v>
      </c>
      <c r="AL2380">
        <v>95.159534510975107</v>
      </c>
      <c r="AM2380">
        <v>91.220025956149598</v>
      </c>
      <c r="AN2380">
        <v>1.0000000188601099</v>
      </c>
    </row>
    <row r="2381" spans="1:40" x14ac:dyDescent="0.25">
      <c r="A2381" t="str">
        <f>"20190303154512491"</f>
        <v>20190303154512491</v>
      </c>
      <c r="B2381" t="str">
        <f>"1551599112482923"</f>
        <v>1551599112482923</v>
      </c>
      <c r="C2381" t="s">
        <v>40</v>
      </c>
      <c r="D2381">
        <v>5.1673299999999998</v>
      </c>
      <c r="E2381">
        <v>0.50545209999999996</v>
      </c>
      <c r="F2381" t="s">
        <v>41</v>
      </c>
      <c r="G2381">
        <v>-492.04930000000002</v>
      </c>
      <c r="H2381" s="1">
        <v>-1.7742920000000001E-6</v>
      </c>
      <c r="I2381">
        <v>242.45400000000001</v>
      </c>
      <c r="J2381">
        <v>-492.8023</v>
      </c>
      <c r="K2381">
        <v>1.1216520000000001</v>
      </c>
      <c r="L2381">
        <v>266.9425</v>
      </c>
      <c r="M2381">
        <v>2.8567530000000001E-2</v>
      </c>
      <c r="N2381">
        <v>-3.2871630000000001E-3</v>
      </c>
      <c r="O2381">
        <v>-0.99958650000000004</v>
      </c>
      <c r="P2381">
        <v>4.6620059999999998E-2</v>
      </c>
      <c r="Q2381">
        <v>-9.5797569999999999E-2</v>
      </c>
      <c r="R2381">
        <v>-0.99430850000000004</v>
      </c>
      <c r="S2381">
        <v>9.2742920000000006E-2</v>
      </c>
      <c r="T2381">
        <v>-0.1365345</v>
      </c>
      <c r="U2381">
        <v>-2.9992679999999998</v>
      </c>
      <c r="V2381">
        <v>-1.7790139999999999E-2</v>
      </c>
      <c r="W2381">
        <v>-9.2604430000000001E-2</v>
      </c>
      <c r="X2381">
        <v>0.99554399999999998</v>
      </c>
      <c r="Y2381">
        <v>-2.3127600000000001E-3</v>
      </c>
      <c r="Z2381">
        <v>4.2154230000000001E-2</v>
      </c>
      <c r="AA2381">
        <v>0.99910840000000001</v>
      </c>
      <c r="AB2381">
        <v>16</v>
      </c>
      <c r="AC2381">
        <v>0.75299999999998501</v>
      </c>
      <c r="AD2381">
        <v>-1.1216537742919901</v>
      </c>
      <c r="AE2381">
        <v>-24.488499999999899</v>
      </c>
      <c r="AF2381">
        <v>-5.3001871156896203E-2</v>
      </c>
      <c r="AG2381">
        <v>-1.1216537742919901</v>
      </c>
      <c r="AH2381">
        <v>24.4487731071988</v>
      </c>
      <c r="AI2381">
        <v>92.626751245722104</v>
      </c>
      <c r="AJ2381">
        <v>90.124209863332695</v>
      </c>
      <c r="AK2381">
        <v>24.474546427564601</v>
      </c>
      <c r="AL2381">
        <v>95.3134560639093</v>
      </c>
      <c r="AM2381">
        <v>91.023753307260506</v>
      </c>
      <c r="AN2381">
        <v>0.999999962736421</v>
      </c>
    </row>
    <row r="2382" spans="1:40" x14ac:dyDescent="0.25">
      <c r="A2382" t="str">
        <f>"20190303154512513"</f>
        <v>20190303154512513</v>
      </c>
      <c r="B2382" t="str">
        <f>"1551599112503396"</f>
        <v>1551599112503396</v>
      </c>
      <c r="C2382" t="s">
        <v>40</v>
      </c>
      <c r="D2382">
        <v>5.1822990000000004</v>
      </c>
      <c r="E2382">
        <v>0.50535289999999999</v>
      </c>
      <c r="F2382" t="s">
        <v>41</v>
      </c>
      <c r="G2382">
        <v>-492.05610000000001</v>
      </c>
      <c r="H2382" s="1">
        <v>-2.2701589999999998E-6</v>
      </c>
      <c r="I2382">
        <v>243.60570000000001</v>
      </c>
      <c r="J2382">
        <v>-492.79219999999998</v>
      </c>
      <c r="K2382">
        <v>1.1215170000000001</v>
      </c>
      <c r="L2382">
        <v>266.77789999999999</v>
      </c>
      <c r="M2382">
        <v>3.3163409999999997E-2</v>
      </c>
      <c r="N2382">
        <v>-3.191386E-3</v>
      </c>
      <c r="O2382">
        <v>-0.99944480000000002</v>
      </c>
      <c r="P2382">
        <v>4.8760730000000002E-2</v>
      </c>
      <c r="Q2382">
        <v>-9.7796309999999997E-2</v>
      </c>
      <c r="R2382">
        <v>-0.99401130000000004</v>
      </c>
      <c r="S2382">
        <v>9.5886230000000003E-2</v>
      </c>
      <c r="T2382">
        <v>-0.14413090000000001</v>
      </c>
      <c r="U2382">
        <v>-2.9987490000000001</v>
      </c>
      <c r="V2382">
        <v>-1.538028E-2</v>
      </c>
      <c r="W2382">
        <v>-9.4684099999999993E-2</v>
      </c>
      <c r="X2382">
        <v>0.99538859999999996</v>
      </c>
      <c r="Y2382">
        <v>1.237101E-3</v>
      </c>
      <c r="Z2382">
        <v>4.4770190000000001E-2</v>
      </c>
      <c r="AA2382">
        <v>0.99899660000000001</v>
      </c>
      <c r="AB2382">
        <v>16</v>
      </c>
      <c r="AC2382">
        <v>0.73609999999996401</v>
      </c>
      <c r="AD2382">
        <v>-1.121519270159</v>
      </c>
      <c r="AE2382">
        <v>-23.172199999999901</v>
      </c>
      <c r="AF2382">
        <v>3.2701494489336701E-2</v>
      </c>
      <c r="AG2382">
        <v>-1.121519270159</v>
      </c>
      <c r="AH2382">
        <v>23.129738834402499</v>
      </c>
      <c r="AI2382">
        <v>92.775991928744503</v>
      </c>
      <c r="AJ2382">
        <v>89.918993621890806</v>
      </c>
      <c r="AK2382">
        <v>23.1569361835443</v>
      </c>
      <c r="AL2382">
        <v>95.433137854777101</v>
      </c>
      <c r="AM2382">
        <v>90.885237193771701</v>
      </c>
      <c r="AN2382">
        <v>1.00000004840782</v>
      </c>
    </row>
    <row r="2383" spans="1:40" x14ac:dyDescent="0.25">
      <c r="A2383" t="str">
        <f>"20190303154512535"</f>
        <v>20190303154512535</v>
      </c>
      <c r="B2383" t="str">
        <f>"1551599112532676"</f>
        <v>1551599112532676</v>
      </c>
      <c r="C2383" t="s">
        <v>40</v>
      </c>
      <c r="D2383">
        <v>5.1524179999999999</v>
      </c>
      <c r="E2383">
        <v>0.50533839999999997</v>
      </c>
      <c r="F2383" t="s">
        <v>41</v>
      </c>
      <c r="G2383">
        <v>-492.02539999999999</v>
      </c>
      <c r="H2383" s="1">
        <v>-2.6466100000000001E-6</v>
      </c>
      <c r="I2383">
        <v>244.50219999999999</v>
      </c>
      <c r="J2383">
        <v>-492.78190000000001</v>
      </c>
      <c r="K2383">
        <v>1.1213690000000001</v>
      </c>
      <c r="L2383">
        <v>266.61599999999999</v>
      </c>
      <c r="M2383">
        <v>3.7349540000000001E-2</v>
      </c>
      <c r="N2383">
        <v>-3.1160440000000001E-3</v>
      </c>
      <c r="O2383">
        <v>-0.99929730000000005</v>
      </c>
      <c r="P2383">
        <v>5.1171630000000003E-2</v>
      </c>
      <c r="Q2383">
        <v>-9.9140030000000004E-2</v>
      </c>
      <c r="R2383">
        <v>-0.99375690000000005</v>
      </c>
      <c r="S2383">
        <v>0.10321039999999999</v>
      </c>
      <c r="T2383">
        <v>-0.15094949999999999</v>
      </c>
      <c r="U2383">
        <v>-2.9981689999999999</v>
      </c>
      <c r="V2383">
        <v>-1.365452E-2</v>
      </c>
      <c r="W2383">
        <v>-9.6091720000000005E-2</v>
      </c>
      <c r="X2383">
        <v>0.99527880000000002</v>
      </c>
      <c r="Y2383">
        <v>2.9854730000000002E-3</v>
      </c>
      <c r="Z2383">
        <v>4.7105660000000001E-2</v>
      </c>
      <c r="AA2383">
        <v>0.99888549999999998</v>
      </c>
      <c r="AB2383">
        <v>16</v>
      </c>
      <c r="AC2383">
        <v>0.75650000000001605</v>
      </c>
      <c r="AD2383">
        <v>-1.1213716466099899</v>
      </c>
      <c r="AE2383">
        <v>-22.113800000000001</v>
      </c>
      <c r="AF2383">
        <v>6.9792940277042997E-2</v>
      </c>
      <c r="AG2383">
        <v>-1.1213716466099899</v>
      </c>
      <c r="AH2383">
        <v>22.069940619591101</v>
      </c>
      <c r="AI2383">
        <v>92.908677400858593</v>
      </c>
      <c r="AJ2383">
        <v>89.818811130642104</v>
      </c>
      <c r="AK2383">
        <v>22.098520863999202</v>
      </c>
      <c r="AL2383">
        <v>95.514158374454695</v>
      </c>
      <c r="AM2383">
        <v>90.786008190548699</v>
      </c>
      <c r="AN2383">
        <v>0.99999997714921396</v>
      </c>
    </row>
    <row r="2384" spans="1:40" x14ac:dyDescent="0.25">
      <c r="A2384" t="str">
        <f>"20190303154512558"</f>
        <v>20190303154512558</v>
      </c>
      <c r="B2384" t="str">
        <f>"1551599112553172"</f>
        <v>1551599112553172</v>
      </c>
      <c r="C2384" t="s">
        <v>40</v>
      </c>
      <c r="D2384">
        <v>5.1815509999999998</v>
      </c>
      <c r="E2384">
        <v>0.5053453</v>
      </c>
      <c r="F2384" t="s">
        <v>41</v>
      </c>
      <c r="G2384">
        <v>-491.97789999999998</v>
      </c>
      <c r="H2384" s="1">
        <v>-2.779943E-6</v>
      </c>
      <c r="I2384">
        <v>244.8425</v>
      </c>
      <c r="J2384">
        <v>-492.77089999999998</v>
      </c>
      <c r="K2384">
        <v>1.1211960000000001</v>
      </c>
      <c r="L2384">
        <v>266.44869999999997</v>
      </c>
      <c r="M2384">
        <v>4.1305069999999999E-2</v>
      </c>
      <c r="N2384">
        <v>-3.0546280000000002E-3</v>
      </c>
      <c r="O2384">
        <v>-0.99914199999999997</v>
      </c>
      <c r="P2384">
        <v>5.32807E-2</v>
      </c>
      <c r="Q2384">
        <v>-0.10010239999999999</v>
      </c>
      <c r="R2384">
        <v>-0.99354980000000004</v>
      </c>
      <c r="S2384">
        <v>0.1106873</v>
      </c>
      <c r="T2384">
        <v>-0.15438659999999901</v>
      </c>
      <c r="U2384">
        <v>-2.9977109999999998</v>
      </c>
      <c r="V2384">
        <v>-1.186414E-2</v>
      </c>
      <c r="W2384">
        <v>-9.7104040000000003E-2</v>
      </c>
      <c r="X2384">
        <v>0.99520350000000002</v>
      </c>
      <c r="Y2384">
        <v>4.4525809999999997E-3</v>
      </c>
      <c r="Z2384">
        <v>4.8301370000000003E-2</v>
      </c>
      <c r="AA2384">
        <v>0.99882289999999996</v>
      </c>
      <c r="AB2384">
        <v>17</v>
      </c>
      <c r="AC2384">
        <v>0.79300000000000603</v>
      </c>
      <c r="AD2384">
        <v>-1.1211987799430001</v>
      </c>
      <c r="AE2384">
        <v>-21.606199999999902</v>
      </c>
      <c r="AF2384">
        <v>9.9857917411035099E-2</v>
      </c>
      <c r="AG2384">
        <v>-1.1211987799430001</v>
      </c>
      <c r="AH2384">
        <v>21.562529718824599</v>
      </c>
      <c r="AI2384">
        <v>92.976527777149201</v>
      </c>
      <c r="AJ2384">
        <v>89.734660246673798</v>
      </c>
      <c r="AK2384">
        <v>21.591890750534301</v>
      </c>
      <c r="AL2384">
        <v>95.572432549081498</v>
      </c>
      <c r="AM2384">
        <v>90.683009002717597</v>
      </c>
      <c r="AN2384">
        <v>0.99999997940725505</v>
      </c>
    </row>
    <row r="2385" spans="1:40" x14ac:dyDescent="0.25">
      <c r="A2385" t="str">
        <f>"20190303154512582"</f>
        <v>20190303154512582</v>
      </c>
      <c r="B2385" t="str">
        <f>"1551599112572693"</f>
        <v>1551599112572693</v>
      </c>
      <c r="C2385" t="s">
        <v>40</v>
      </c>
      <c r="D2385">
        <v>5.1608559999999999</v>
      </c>
      <c r="E2385">
        <v>0.50549440000000001</v>
      </c>
      <c r="F2385" t="s">
        <v>41</v>
      </c>
      <c r="G2385">
        <v>-491.93310000000002</v>
      </c>
      <c r="H2385" s="1">
        <v>-2.8149599999999999E-6</v>
      </c>
      <c r="I2385">
        <v>244.95189999999999</v>
      </c>
      <c r="J2385">
        <v>-492.75889999999998</v>
      </c>
      <c r="K2385">
        <v>1.1209849999999999</v>
      </c>
      <c r="L2385">
        <v>266.26819999999998</v>
      </c>
      <c r="M2385">
        <v>4.5117020000000001E-2</v>
      </c>
      <c r="N2385">
        <v>-3.0060210000000002E-3</v>
      </c>
      <c r="O2385">
        <v>-0.99897740000000002</v>
      </c>
      <c r="P2385">
        <v>5.528259E-2</v>
      </c>
      <c r="Q2385">
        <v>-0.101119</v>
      </c>
      <c r="R2385">
        <v>-0.99333749999999998</v>
      </c>
      <c r="S2385">
        <v>0.1168213</v>
      </c>
      <c r="T2385">
        <v>-0.1563359</v>
      </c>
      <c r="U2385">
        <v>-2.9974370000000001</v>
      </c>
      <c r="V2385">
        <v>-1.0121E-2</v>
      </c>
      <c r="W2385">
        <v>-9.8158339999999997E-2</v>
      </c>
      <c r="X2385">
        <v>0.99511930000000004</v>
      </c>
      <c r="Y2385">
        <v>6.2247719999999999E-3</v>
      </c>
      <c r="Z2385">
        <v>4.8986559999999998E-2</v>
      </c>
      <c r="AA2385">
        <v>0.99878</v>
      </c>
      <c r="AB2385">
        <v>17</v>
      </c>
      <c r="AC2385">
        <v>0.82579999999995801</v>
      </c>
      <c r="AD2385">
        <v>-1.1209878149600001</v>
      </c>
      <c r="AE2385">
        <v>-21.316299999999899</v>
      </c>
      <c r="AF2385">
        <v>0.13639634253162</v>
      </c>
      <c r="AG2385">
        <v>-1.1209878149600001</v>
      </c>
      <c r="AH2385">
        <v>21.273108183537001</v>
      </c>
      <c r="AI2385">
        <v>93.016353031763401</v>
      </c>
      <c r="AJ2385">
        <v>89.632642883512204</v>
      </c>
      <c r="AK2385">
        <v>21.303059626072798</v>
      </c>
      <c r="AL2385">
        <v>95.633129585295407</v>
      </c>
      <c r="AM2385">
        <v>90.582714646068297</v>
      </c>
      <c r="AN2385">
        <v>0.99999995779252204</v>
      </c>
    </row>
    <row r="2386" spans="1:40" x14ac:dyDescent="0.25">
      <c r="A2386" t="str">
        <f>"20190303154512601"</f>
        <v>20190303154512601</v>
      </c>
      <c r="B2386" t="str">
        <f>"1551599112592720"</f>
        <v>1551599112592720</v>
      </c>
      <c r="C2386" t="s">
        <v>40</v>
      </c>
      <c r="D2386">
        <v>5.1633139999999997</v>
      </c>
      <c r="E2386">
        <v>0.50563599999999997</v>
      </c>
      <c r="F2386" t="s">
        <v>41</v>
      </c>
      <c r="G2386">
        <v>-491.89789999999999</v>
      </c>
      <c r="H2386" s="1">
        <v>-2.833061E-6</v>
      </c>
      <c r="I2386">
        <v>245.01589999999999</v>
      </c>
      <c r="J2386">
        <v>-492.74889999999999</v>
      </c>
      <c r="K2386">
        <v>1.1207929999999999</v>
      </c>
      <c r="L2386">
        <v>266.12020000000001</v>
      </c>
      <c r="M2386">
        <v>4.7854679999999997E-2</v>
      </c>
      <c r="N2386">
        <v>-2.9779139999999999E-3</v>
      </c>
      <c r="O2386">
        <v>-0.99884980000000001</v>
      </c>
      <c r="P2386">
        <v>5.5714140000000002E-2</v>
      </c>
      <c r="Q2386">
        <v>-0.10232819999999999</v>
      </c>
      <c r="R2386">
        <v>-0.99318930000000005</v>
      </c>
      <c r="S2386">
        <v>0.12142940000000001</v>
      </c>
      <c r="T2386">
        <v>-0.15809699999999999</v>
      </c>
      <c r="U2386">
        <v>-2.9972840000000001</v>
      </c>
      <c r="V2386">
        <v>-7.8736799999999992E-3</v>
      </c>
      <c r="W2386">
        <v>-9.9385500000000002E-2</v>
      </c>
      <c r="X2386">
        <v>0.99501779999999995</v>
      </c>
      <c r="Y2386">
        <v>7.4313510000000001E-3</v>
      </c>
      <c r="Z2386">
        <v>4.9589759999999997E-2</v>
      </c>
      <c r="AA2386">
        <v>0.99874200000000002</v>
      </c>
      <c r="AB2386">
        <v>17</v>
      </c>
      <c r="AC2386">
        <v>0.85099999999999898</v>
      </c>
      <c r="AD2386">
        <v>-1.1207958330609999</v>
      </c>
      <c r="AE2386">
        <v>-21.104299999999999</v>
      </c>
      <c r="AF2386">
        <v>0.15947002394950899</v>
      </c>
      <c r="AG2386">
        <v>-1.1207958330609999</v>
      </c>
      <c r="AH2386">
        <v>21.061539689105</v>
      </c>
      <c r="AI2386">
        <v>93.046050826032399</v>
      </c>
      <c r="AJ2386">
        <v>89.566186287119905</v>
      </c>
      <c r="AK2386">
        <v>21.091943202647101</v>
      </c>
      <c r="AL2386">
        <v>95.703786245069907</v>
      </c>
      <c r="AM2386">
        <v>90.453378037507605</v>
      </c>
      <c r="AN2386">
        <v>0.999999947381914</v>
      </c>
    </row>
    <row r="2387" spans="1:40" x14ac:dyDescent="0.25">
      <c r="A2387" t="str">
        <f>"20190303154512625"</f>
        <v>20190303154512625</v>
      </c>
      <c r="B2387" t="str">
        <f>"1551599112613216"</f>
        <v>1551599112613216</v>
      </c>
      <c r="C2387" t="s">
        <v>40</v>
      </c>
      <c r="D2387">
        <v>5.169645</v>
      </c>
      <c r="E2387">
        <v>0.51108560000000003</v>
      </c>
      <c r="F2387" t="s">
        <v>41</v>
      </c>
      <c r="G2387">
        <v>-491.90210000000002</v>
      </c>
      <c r="H2387" s="1">
        <v>-2.9328839999999999E-6</v>
      </c>
      <c r="I2387">
        <v>245.24600000000001</v>
      </c>
      <c r="J2387">
        <v>-492.7364</v>
      </c>
      <c r="K2387">
        <v>1.1205750000000001</v>
      </c>
      <c r="L2387">
        <v>265.93680000000001</v>
      </c>
      <c r="M2387">
        <v>5.0819070000000001E-2</v>
      </c>
      <c r="N2387">
        <v>-2.9540909999999998E-3</v>
      </c>
      <c r="O2387">
        <v>-0.99870369999999997</v>
      </c>
      <c r="P2387">
        <v>5.605019E-2</v>
      </c>
      <c r="Q2387">
        <v>-0.103442699999999</v>
      </c>
      <c r="R2387">
        <v>-0.99305500000000002</v>
      </c>
      <c r="S2387">
        <v>0.121582</v>
      </c>
      <c r="T2387">
        <v>-0.16092629999999999</v>
      </c>
      <c r="U2387">
        <v>-2.9971619999999999</v>
      </c>
      <c r="V2387">
        <v>-5.3109580000000002E-3</v>
      </c>
      <c r="W2387">
        <v>-0.1005149</v>
      </c>
      <c r="X2387">
        <v>0.99492139999999996</v>
      </c>
      <c r="Y2387">
        <v>1.034851E-2</v>
      </c>
      <c r="Z2387">
        <v>5.054148E-2</v>
      </c>
      <c r="AA2387">
        <v>0.99866840000000001</v>
      </c>
      <c r="AB2387">
        <v>17</v>
      </c>
      <c r="AC2387">
        <v>0.83429999999998405</v>
      </c>
      <c r="AD2387">
        <v>-1.120577932884</v>
      </c>
      <c r="AE2387">
        <v>-20.690799999999999</v>
      </c>
      <c r="AF2387">
        <v>0.217632321880012</v>
      </c>
      <c r="AG2387">
        <v>-1.120577932884</v>
      </c>
      <c r="AH2387">
        <v>20.646004357975698</v>
      </c>
      <c r="AI2387">
        <v>93.106552448016203</v>
      </c>
      <c r="AJ2387">
        <v>89.396059814022394</v>
      </c>
      <c r="AK2387">
        <v>20.6775374423732</v>
      </c>
      <c r="AL2387">
        <v>95.768821344037804</v>
      </c>
      <c r="AM2387">
        <v>90.305845857093701</v>
      </c>
      <c r="AN2387">
        <v>1.0000000217874201</v>
      </c>
    </row>
    <row r="2388" spans="1:40" x14ac:dyDescent="0.25">
      <c r="A2388" t="str">
        <f>"20190303154512649"</f>
        <v>20190303154512649</v>
      </c>
      <c r="B2388" t="str">
        <f>"1551599112643472"</f>
        <v>1551599112643472</v>
      </c>
      <c r="C2388" t="s">
        <v>40</v>
      </c>
      <c r="D2388">
        <v>5.1455599999999997</v>
      </c>
      <c r="E2388">
        <v>0.51111879999999998</v>
      </c>
      <c r="F2388" t="s">
        <v>41</v>
      </c>
      <c r="G2388">
        <v>-492.05309999999997</v>
      </c>
      <c r="H2388" s="1">
        <v>-6.7787619999999901E-7</v>
      </c>
      <c r="I2388">
        <v>239.89580000000001</v>
      </c>
      <c r="J2388">
        <v>-492.72370000000001</v>
      </c>
      <c r="K2388">
        <v>1.1203719999999999</v>
      </c>
      <c r="L2388">
        <v>265.74950000000001</v>
      </c>
      <c r="M2388">
        <v>5.3402539999999998E-2</v>
      </c>
      <c r="N2388">
        <v>-2.93875E-3</v>
      </c>
      <c r="O2388">
        <v>-0.99856889999999998</v>
      </c>
      <c r="P2388">
        <v>5.5659050000000002E-2</v>
      </c>
      <c r="Q2388">
        <v>-0.10482909999999999</v>
      </c>
      <c r="R2388">
        <v>-0.99293169999999997</v>
      </c>
      <c r="S2388">
        <v>7.8796389999999994E-2</v>
      </c>
      <c r="T2388">
        <v>-0.12922639999999999</v>
      </c>
      <c r="U2388">
        <v>-3.003082</v>
      </c>
      <c r="V2388">
        <v>-2.3986350000000001E-3</v>
      </c>
      <c r="W2388">
        <v>-0.1019099</v>
      </c>
      <c r="X2388">
        <v>0.99479070000000003</v>
      </c>
      <c r="Y2388">
        <v>2.721148E-2</v>
      </c>
      <c r="Z2388">
        <v>3.9950050000000001E-2</v>
      </c>
      <c r="AA2388">
        <v>0.99883109999999997</v>
      </c>
      <c r="AB2388">
        <v>17</v>
      </c>
      <c r="AC2388">
        <v>0.67060000000003495</v>
      </c>
      <c r="AD2388">
        <v>-1.1203726778762</v>
      </c>
      <c r="AE2388">
        <v>-25.8537</v>
      </c>
      <c r="AF2388">
        <v>0.70968406055611499</v>
      </c>
      <c r="AG2388">
        <v>-1.1203726778762</v>
      </c>
      <c r="AH2388">
        <v>25.804194156116701</v>
      </c>
      <c r="AI2388">
        <v>92.485181886543003</v>
      </c>
      <c r="AJ2388">
        <v>88.424610600553194</v>
      </c>
      <c r="AK2388">
        <v>25.838253084326499</v>
      </c>
      <c r="AL2388">
        <v>95.849161889715504</v>
      </c>
      <c r="AM2388">
        <v>90.138151066105607</v>
      </c>
      <c r="AN2388">
        <v>0.99999995898717997</v>
      </c>
    </row>
    <row r="2389" spans="1:40" x14ac:dyDescent="0.25">
      <c r="A2389" t="str">
        <f>"20190303154512670"</f>
        <v>20190303154512670</v>
      </c>
      <c r="B2389" t="str">
        <f>"1551599112662992"</f>
        <v>1551599112662992</v>
      </c>
      <c r="C2389" t="s">
        <v>40</v>
      </c>
      <c r="D2389">
        <v>5.1639860000000004</v>
      </c>
      <c r="E2389">
        <v>0.51150419999999996</v>
      </c>
      <c r="F2389" t="s">
        <v>41</v>
      </c>
      <c r="G2389">
        <v>-492.08280000000002</v>
      </c>
      <c r="H2389" s="1">
        <v>-1.1384289999999999E-6</v>
      </c>
      <c r="I2389">
        <v>240.95099999999999</v>
      </c>
      <c r="J2389">
        <v>-492.7124</v>
      </c>
      <c r="K2389">
        <v>1.1202000000000001</v>
      </c>
      <c r="L2389">
        <v>265.58190000000002</v>
      </c>
      <c r="M2389">
        <v>5.5312790000000001E-2</v>
      </c>
      <c r="N2389">
        <v>-2.935446E-3</v>
      </c>
      <c r="O2389">
        <v>-0.99846489999999999</v>
      </c>
      <c r="P2389">
        <v>5.4601329999999997E-2</v>
      </c>
      <c r="Q2389">
        <v>-0.1049916</v>
      </c>
      <c r="R2389">
        <v>-0.99297310000000005</v>
      </c>
      <c r="S2389">
        <v>7.76062E-2</v>
      </c>
      <c r="T2389">
        <v>-0.13565749999999999</v>
      </c>
      <c r="U2389">
        <v>-3.0026549999999999</v>
      </c>
      <c r="V2389">
        <v>5.2018660000000005E-4</v>
      </c>
      <c r="W2389">
        <v>-0.10207140000000001</v>
      </c>
      <c r="X2389">
        <v>0.99477700000000002</v>
      </c>
      <c r="Y2389">
        <v>2.9517709999999999E-2</v>
      </c>
      <c r="Z2389">
        <v>4.2081699999999903E-2</v>
      </c>
      <c r="AA2389">
        <v>0.99867799999999995</v>
      </c>
      <c r="AB2389">
        <v>17</v>
      </c>
      <c r="AC2389">
        <v>0.62959999999998195</v>
      </c>
      <c r="AD2389">
        <v>-1.1202011384289901</v>
      </c>
      <c r="AE2389">
        <v>-24.6309</v>
      </c>
      <c r="AF2389">
        <v>0.73225975115698805</v>
      </c>
      <c r="AG2389">
        <v>-1.1202011384289901</v>
      </c>
      <c r="AH2389">
        <v>24.5772147631601</v>
      </c>
      <c r="AI2389">
        <v>92.608513566052594</v>
      </c>
      <c r="AJ2389">
        <v>88.293419913734098</v>
      </c>
      <c r="AK2389">
        <v>24.613625097660801</v>
      </c>
      <c r="AL2389">
        <v>95.858463067076599</v>
      </c>
      <c r="AM2389">
        <v>89.970039019777602</v>
      </c>
      <c r="AN2389">
        <v>1.0000000605105199</v>
      </c>
    </row>
    <row r="2390" spans="1:40" x14ac:dyDescent="0.25">
      <c r="A2390" t="str">
        <f>"20190303154512692"</f>
        <v>20190303154512692</v>
      </c>
      <c r="B2390" t="str">
        <f>"1551599112683488"</f>
        <v>1551599112683488</v>
      </c>
      <c r="C2390" t="s">
        <v>40</v>
      </c>
      <c r="D2390">
        <v>5.1765049999999997</v>
      </c>
      <c r="E2390">
        <v>0.51188769999999995</v>
      </c>
      <c r="F2390" t="s">
        <v>41</v>
      </c>
      <c r="G2390">
        <v>-492.11450000000002</v>
      </c>
      <c r="H2390" s="1">
        <v>-9.25873E-7</v>
      </c>
      <c r="I2390">
        <v>240.4359</v>
      </c>
      <c r="J2390">
        <v>-492.70119999999997</v>
      </c>
      <c r="K2390">
        <v>1.120017</v>
      </c>
      <c r="L2390">
        <v>265.41539999999998</v>
      </c>
      <c r="M2390">
        <v>5.6802770000000002E-2</v>
      </c>
      <c r="N2390">
        <v>-2.945469E-3</v>
      </c>
      <c r="O2390">
        <v>-0.99838119999999997</v>
      </c>
      <c r="P2390">
        <v>5.318937E-2</v>
      </c>
      <c r="Q2390">
        <v>-0.1044798</v>
      </c>
      <c r="R2390">
        <v>-0.99310390000000004</v>
      </c>
      <c r="S2390">
        <v>7.1411130000000003E-2</v>
      </c>
      <c r="T2390">
        <v>-0.13378370000000001</v>
      </c>
      <c r="U2390">
        <v>-3.0031430000000001</v>
      </c>
      <c r="V2390">
        <v>3.375706E-3</v>
      </c>
      <c r="W2390">
        <v>-0.10154779999999999</v>
      </c>
      <c r="X2390">
        <v>0.99482490000000001</v>
      </c>
      <c r="Y2390">
        <v>3.3071389999999999E-2</v>
      </c>
      <c r="Z2390">
        <v>4.1436849999999997E-2</v>
      </c>
      <c r="AA2390">
        <v>0.99859359999999997</v>
      </c>
      <c r="AB2390">
        <v>18</v>
      </c>
      <c r="AC2390">
        <v>0.58669999999995004</v>
      </c>
      <c r="AD2390">
        <v>-1.1200179258730001</v>
      </c>
      <c r="AE2390">
        <v>-24.979499999999899</v>
      </c>
      <c r="AF2390">
        <v>0.83148735229220805</v>
      </c>
      <c r="AG2390">
        <v>-1.1200179258730001</v>
      </c>
      <c r="AH2390">
        <v>24.922418161468901</v>
      </c>
      <c r="AI2390">
        <v>92.571722279269196</v>
      </c>
      <c r="AJ2390">
        <v>88.089148038105805</v>
      </c>
      <c r="AK2390">
        <v>24.961425007126799</v>
      </c>
      <c r="AL2390">
        <v>95.828306851509694</v>
      </c>
      <c r="AM2390">
        <v>89.805580897358197</v>
      </c>
      <c r="AN2390">
        <v>0.99999996636792299</v>
      </c>
    </row>
    <row r="2391" spans="1:40" x14ac:dyDescent="0.25">
      <c r="A2391" t="str">
        <f>"20190303154512713"</f>
        <v>20190303154512713</v>
      </c>
      <c r="B2391" t="str">
        <f>"1551599112703012"</f>
        <v>1551599112703012</v>
      </c>
      <c r="C2391" t="s">
        <v>40</v>
      </c>
      <c r="D2391">
        <v>5.1526550000000002</v>
      </c>
      <c r="E2391">
        <v>0.5121194</v>
      </c>
      <c r="F2391" t="s">
        <v>41</v>
      </c>
      <c r="G2391">
        <v>-492.15910000000002</v>
      </c>
      <c r="H2391" s="1">
        <v>-7.3307359999999997E-7</v>
      </c>
      <c r="I2391">
        <v>239.9588</v>
      </c>
      <c r="J2391">
        <v>-492.68990000000002</v>
      </c>
      <c r="K2391">
        <v>1.11981</v>
      </c>
      <c r="L2391">
        <v>265.24200000000002</v>
      </c>
      <c r="M2391">
        <v>5.791632E-2</v>
      </c>
      <c r="N2391">
        <v>-2.97095E-3</v>
      </c>
      <c r="O2391">
        <v>-0.99831709999999996</v>
      </c>
      <c r="P2391">
        <v>5.1549970000000001E-2</v>
      </c>
      <c r="Q2391">
        <v>-0.10413360000000001</v>
      </c>
      <c r="R2391">
        <v>-0.99322659999999996</v>
      </c>
      <c r="S2391">
        <v>6.3964839999999995E-2</v>
      </c>
      <c r="T2391">
        <v>-0.1321483</v>
      </c>
      <c r="U2391">
        <v>-3.003571</v>
      </c>
      <c r="V2391">
        <v>6.0765089999999999E-3</v>
      </c>
      <c r="W2391">
        <v>-0.1011774</v>
      </c>
      <c r="X2391">
        <v>0.99484989999999995</v>
      </c>
      <c r="Y2391">
        <v>3.6662970000000003E-2</v>
      </c>
      <c r="Z2391">
        <v>4.0857770000000002E-2</v>
      </c>
      <c r="AA2391">
        <v>0.99849209999999999</v>
      </c>
      <c r="AB2391">
        <v>18</v>
      </c>
      <c r="AC2391">
        <v>0.53079999999999905</v>
      </c>
      <c r="AD2391">
        <v>-1.1198107330736</v>
      </c>
      <c r="AE2391">
        <v>-25.283200000000001</v>
      </c>
      <c r="AF2391">
        <v>0.93257863246787998</v>
      </c>
      <c r="AG2391">
        <v>-1.1198107330736</v>
      </c>
      <c r="AH2391">
        <v>25.2220469624902</v>
      </c>
      <c r="AI2391">
        <v>92.540420071905601</v>
      </c>
      <c r="AJ2391">
        <v>87.882468070780504</v>
      </c>
      <c r="AK2391">
        <v>25.264111541111099</v>
      </c>
      <c r="AL2391">
        <v>95.806974095899605</v>
      </c>
      <c r="AM2391">
        <v>89.650043699696795</v>
      </c>
      <c r="AN2391">
        <v>1.00000005688119</v>
      </c>
    </row>
    <row r="2392" spans="1:40" x14ac:dyDescent="0.25">
      <c r="A2392" t="str">
        <f>"20190303154512737"</f>
        <v>20190303154512737</v>
      </c>
      <c r="B2392" t="str">
        <f>"1551599112733264"</f>
        <v>1551599112733264</v>
      </c>
      <c r="C2392" t="s">
        <v>40</v>
      </c>
      <c r="D2392">
        <v>5.1913090000000004</v>
      </c>
      <c r="E2392">
        <v>0.51285209999999903</v>
      </c>
      <c r="F2392" t="s">
        <v>41</v>
      </c>
      <c r="G2392">
        <v>-492.18889999999999</v>
      </c>
      <c r="H2392" s="1">
        <v>-4.5789310000000001E-6</v>
      </c>
      <c r="I2392">
        <v>239.30119999999999</v>
      </c>
      <c r="J2392">
        <v>-492.678</v>
      </c>
      <c r="K2392">
        <v>1.11957</v>
      </c>
      <c r="L2392">
        <v>265.0557</v>
      </c>
      <c r="M2392">
        <v>5.862904E-2</v>
      </c>
      <c r="N2392">
        <v>-3.013791E-3</v>
      </c>
      <c r="O2392">
        <v>-0.99827529999999998</v>
      </c>
      <c r="P2392">
        <v>4.9538430000000001E-2</v>
      </c>
      <c r="Q2392">
        <v>-0.103353</v>
      </c>
      <c r="R2392">
        <v>-0.99341040000000003</v>
      </c>
      <c r="S2392">
        <v>5.8013919999999997E-2</v>
      </c>
      <c r="T2392">
        <v>-0.12967049999999999</v>
      </c>
      <c r="U2392">
        <v>-3.0038450000000001</v>
      </c>
      <c r="V2392">
        <v>8.7450589999999995E-3</v>
      </c>
      <c r="W2392">
        <v>-0.1003589</v>
      </c>
      <c r="X2392">
        <v>0.99491289999999999</v>
      </c>
      <c r="Y2392">
        <v>3.9354689999999998E-2</v>
      </c>
      <c r="Z2392">
        <v>3.9986599999999997E-2</v>
      </c>
      <c r="AA2392">
        <v>0.99842489999999995</v>
      </c>
      <c r="AB2392">
        <v>18</v>
      </c>
      <c r="AC2392">
        <v>0.48910000000006398</v>
      </c>
      <c r="AD2392">
        <v>-1.1195745789309901</v>
      </c>
      <c r="AE2392">
        <v>-25.7545</v>
      </c>
      <c r="AF2392">
        <v>1.0197833696577201</v>
      </c>
      <c r="AG2392">
        <v>-1.1195745789309901</v>
      </c>
      <c r="AH2392">
        <v>25.690342973252701</v>
      </c>
      <c r="AI2392">
        <v>92.493386424871105</v>
      </c>
      <c r="AJ2392">
        <v>87.726825875506407</v>
      </c>
      <c r="AK2392">
        <v>25.734939818118399</v>
      </c>
      <c r="AL2392">
        <v>95.759837719144699</v>
      </c>
      <c r="AM2392">
        <v>89.4963960472965</v>
      </c>
      <c r="AN2392">
        <v>1.0000000317262601</v>
      </c>
    </row>
    <row r="2393" spans="1:40" x14ac:dyDescent="0.25">
      <c r="A2393" t="str">
        <f>"20190303154512758"</f>
        <v>20190303154512758</v>
      </c>
      <c r="B2393" t="str">
        <f>"1551599112752785"</f>
        <v>1551599112752785</v>
      </c>
      <c r="C2393" t="s">
        <v>40</v>
      </c>
      <c r="D2393">
        <v>5.1975669999999896</v>
      </c>
      <c r="E2393">
        <v>0.51315279999999996</v>
      </c>
      <c r="F2393" t="s">
        <v>41</v>
      </c>
      <c r="G2393">
        <v>-492.27120000000002</v>
      </c>
      <c r="H2393" s="1">
        <v>-4.3576469999999998E-6</v>
      </c>
      <c r="I2393">
        <v>238.608</v>
      </c>
      <c r="J2393">
        <v>-492.6669</v>
      </c>
      <c r="K2393">
        <v>1.1193340000000001</v>
      </c>
      <c r="L2393">
        <v>264.87619999999998</v>
      </c>
      <c r="M2393">
        <v>5.885725E-2</v>
      </c>
      <c r="N2393">
        <v>-3.067368E-3</v>
      </c>
      <c r="O2393">
        <v>-0.99826199999999998</v>
      </c>
      <c r="P2393">
        <v>4.7295629999999998E-2</v>
      </c>
      <c r="Q2393">
        <v>-0.1030879</v>
      </c>
      <c r="R2393">
        <v>-0.99354759999999998</v>
      </c>
      <c r="S2393">
        <v>4.6203609999999999E-2</v>
      </c>
      <c r="T2393">
        <v>-0.12717999999999999</v>
      </c>
      <c r="U2393">
        <v>-3.0043639999999998</v>
      </c>
      <c r="V2393">
        <v>1.116021E-2</v>
      </c>
      <c r="W2393">
        <v>-0.1000482</v>
      </c>
      <c r="X2393">
        <v>0.99492000000000003</v>
      </c>
      <c r="Y2393">
        <v>4.350892E-2</v>
      </c>
      <c r="Z2393">
        <v>3.9098010000000002E-2</v>
      </c>
      <c r="AA2393">
        <v>0.9982877</v>
      </c>
      <c r="AB2393">
        <v>18</v>
      </c>
      <c r="AC2393">
        <v>0.39569999999997602</v>
      </c>
      <c r="AD2393">
        <v>-1.119338357647</v>
      </c>
      <c r="AE2393">
        <v>-26.268199999999901</v>
      </c>
      <c r="AF2393">
        <v>1.14898098957452</v>
      </c>
      <c r="AG2393">
        <v>-1.119338357647</v>
      </c>
      <c r="AH2393">
        <v>26.198391605705002</v>
      </c>
      <c r="AI2393">
        <v>92.444154050079902</v>
      </c>
      <c r="AJ2393">
        <v>87.488792309172197</v>
      </c>
      <c r="AK2393">
        <v>26.247453179293</v>
      </c>
      <c r="AL2393">
        <v>95.741946056163101</v>
      </c>
      <c r="AM2393">
        <v>89.357329117385802</v>
      </c>
      <c r="AN2393">
        <v>0.99999999950524199</v>
      </c>
    </row>
    <row r="2394" spans="1:40" x14ac:dyDescent="0.25">
      <c r="A2394" t="str">
        <f>"20190303154512780"</f>
        <v>20190303154512780</v>
      </c>
      <c r="B2394" t="str">
        <f>"1551599112773281"</f>
        <v>1551599112773281</v>
      </c>
      <c r="C2394" t="s">
        <v>40</v>
      </c>
      <c r="D2394">
        <v>5.184761</v>
      </c>
      <c r="E2394">
        <v>0.51351579999999997</v>
      </c>
      <c r="F2394" t="s">
        <v>41</v>
      </c>
      <c r="G2394">
        <v>-492.33760000000001</v>
      </c>
      <c r="H2394" s="1">
        <v>-4.1293980000000002E-6</v>
      </c>
      <c r="I2394">
        <v>237.90270000000001</v>
      </c>
      <c r="J2394">
        <v>-492.65640000000002</v>
      </c>
      <c r="K2394">
        <v>1.119102</v>
      </c>
      <c r="L2394">
        <v>264.69779999999997</v>
      </c>
      <c r="M2394">
        <v>5.8657069999999999E-2</v>
      </c>
      <c r="N2394">
        <v>-3.1278819999999998E-3</v>
      </c>
      <c r="O2394">
        <v>-0.99827330000000003</v>
      </c>
      <c r="P2394">
        <v>4.423738E-2</v>
      </c>
      <c r="Q2394">
        <v>-0.1033797</v>
      </c>
      <c r="R2394">
        <v>-0.99365789999999998</v>
      </c>
      <c r="S2394">
        <v>3.668213E-2</v>
      </c>
      <c r="T2394">
        <v>-0.12469180000000001</v>
      </c>
      <c r="U2394">
        <v>-3.004791</v>
      </c>
      <c r="V2394">
        <v>1.3962749999999999E-2</v>
      </c>
      <c r="W2394">
        <v>-0.10029100000000001</v>
      </c>
      <c r="X2394">
        <v>0.99486019999999997</v>
      </c>
      <c r="Y2394">
        <v>4.6472689999999997E-2</v>
      </c>
      <c r="Z2394">
        <v>3.8206740000000003E-2</v>
      </c>
      <c r="AA2394">
        <v>0.99818859999999998</v>
      </c>
      <c r="AB2394">
        <v>18</v>
      </c>
      <c r="AC2394">
        <v>0.31880000000001002</v>
      </c>
      <c r="AD2394">
        <v>-1.119106129398</v>
      </c>
      <c r="AE2394">
        <v>-26.795099999999898</v>
      </c>
      <c r="AF2394">
        <v>1.25129626902695</v>
      </c>
      <c r="AG2394">
        <v>-1.119106129398</v>
      </c>
      <c r="AH2394">
        <v>26.7210594053211</v>
      </c>
      <c r="AI2394">
        <v>92.395584015557105</v>
      </c>
      <c r="AJ2394">
        <v>87.318906496932698</v>
      </c>
      <c r="AK2394">
        <v>26.773740056712999</v>
      </c>
      <c r="AL2394">
        <v>95.755927616454997</v>
      </c>
      <c r="AM2394">
        <v>89.195913030102005</v>
      </c>
      <c r="AN2394">
        <v>1.0000000303062999</v>
      </c>
    </row>
    <row r="2395" spans="1:40" x14ac:dyDescent="0.25">
      <c r="A2395" t="str">
        <f>"20190303154512803"</f>
        <v>20190303154512803</v>
      </c>
      <c r="B2395" t="str">
        <f>"1551599112792800"</f>
        <v>1551599112792800</v>
      </c>
      <c r="C2395" t="s">
        <v>40</v>
      </c>
      <c r="D2395">
        <v>5.1744349999999999</v>
      </c>
      <c r="E2395">
        <v>0.51367489999999905</v>
      </c>
      <c r="F2395" t="s">
        <v>41</v>
      </c>
      <c r="G2395">
        <v>-492.43669999999997</v>
      </c>
      <c r="H2395" s="1">
        <v>-4.117231E-6</v>
      </c>
      <c r="I2395">
        <v>237.81530000000001</v>
      </c>
      <c r="J2395">
        <v>-492.64589999999998</v>
      </c>
      <c r="K2395">
        <v>1.118873</v>
      </c>
      <c r="L2395">
        <v>264.5093</v>
      </c>
      <c r="M2395">
        <v>5.799381E-2</v>
      </c>
      <c r="N2395">
        <v>-3.1941690000000002E-3</v>
      </c>
      <c r="O2395">
        <v>-0.99831179999999997</v>
      </c>
      <c r="P2395">
        <v>4.1098370000000002E-2</v>
      </c>
      <c r="Q2395">
        <v>-0.1043843</v>
      </c>
      <c r="R2395">
        <v>-0.99368749999999995</v>
      </c>
      <c r="S2395">
        <v>2.4566649999999999E-2</v>
      </c>
      <c r="T2395">
        <v>-0.1250995</v>
      </c>
      <c r="U2395">
        <v>-3.0050659999999998</v>
      </c>
      <c r="V2395">
        <v>1.6380289999999999E-2</v>
      </c>
      <c r="W2395">
        <v>-0.1012431</v>
      </c>
      <c r="X2395">
        <v>0.99472680000000002</v>
      </c>
      <c r="Y2395">
        <v>4.9833519999999999E-2</v>
      </c>
      <c r="Z2395">
        <v>3.827117E-2</v>
      </c>
      <c r="AA2395">
        <v>0.99802400000000002</v>
      </c>
      <c r="AB2395">
        <v>18</v>
      </c>
      <c r="AC2395">
        <v>0.20920000000000899</v>
      </c>
      <c r="AD2395">
        <v>-1.1188771172309999</v>
      </c>
      <c r="AE2395">
        <v>-26.6939999999999</v>
      </c>
      <c r="AF2395">
        <v>1.33689821082232</v>
      </c>
      <c r="AG2395">
        <v>-1.1188771172309999</v>
      </c>
      <c r="AH2395">
        <v>26.614449349020202</v>
      </c>
      <c r="AI2395">
        <v>92.404281391535605</v>
      </c>
      <c r="AJ2395">
        <v>87.124332897580004</v>
      </c>
      <c r="AK2395">
        <v>26.671484716474399</v>
      </c>
      <c r="AL2395">
        <v>95.810758522284004</v>
      </c>
      <c r="AM2395">
        <v>89.056588536434703</v>
      </c>
      <c r="AN2395">
        <v>0.99999994291816496</v>
      </c>
    </row>
    <row r="2396" spans="1:40" x14ac:dyDescent="0.25">
      <c r="A2396" t="str">
        <f>"20190303154512825"</f>
        <v>20190303154512825</v>
      </c>
      <c r="B2396" t="str">
        <f>"1551599112823056"</f>
        <v>1551599112823056</v>
      </c>
      <c r="C2396" t="s">
        <v>40</v>
      </c>
      <c r="D2396">
        <v>5.1444470000000004</v>
      </c>
      <c r="E2396">
        <v>0.51368670000000005</v>
      </c>
      <c r="F2396" t="s">
        <v>41</v>
      </c>
      <c r="G2396">
        <v>-492.52800000000002</v>
      </c>
      <c r="H2396" s="1">
        <v>-4.3165759999999996E-6</v>
      </c>
      <c r="I2396">
        <v>238.3535</v>
      </c>
      <c r="J2396">
        <v>-492.63600000000002</v>
      </c>
      <c r="K2396">
        <v>1.118676</v>
      </c>
      <c r="L2396">
        <v>264.32089999999999</v>
      </c>
      <c r="M2396">
        <v>5.6927989999999998E-2</v>
      </c>
      <c r="N2396">
        <v>-3.2586540000000002E-3</v>
      </c>
      <c r="O2396">
        <v>-0.99837299999999995</v>
      </c>
      <c r="P2396">
        <v>3.825833E-2</v>
      </c>
      <c r="Q2396">
        <v>-0.10593</v>
      </c>
      <c r="R2396">
        <v>-0.99363749999999995</v>
      </c>
      <c r="S2396">
        <v>1.3549800000000001E-2</v>
      </c>
      <c r="T2396">
        <v>-0.12854640000000001</v>
      </c>
      <c r="U2396">
        <v>-3.0050050000000001</v>
      </c>
      <c r="V2396">
        <v>1.8101019999999999E-2</v>
      </c>
      <c r="W2396">
        <v>-0.10273740000000001</v>
      </c>
      <c r="X2396">
        <v>0.99454379999999998</v>
      </c>
      <c r="Y2396">
        <v>5.2425520000000003E-2</v>
      </c>
      <c r="Z2396">
        <v>3.9349330000000002E-2</v>
      </c>
      <c r="AA2396">
        <v>0.99784930000000005</v>
      </c>
      <c r="AB2396">
        <v>19</v>
      </c>
      <c r="AC2396">
        <v>0.107999999999947</v>
      </c>
      <c r="AD2396">
        <v>-1.118680316576</v>
      </c>
      <c r="AE2396">
        <v>-25.967400000000001</v>
      </c>
      <c r="AF2396">
        <v>1.3679161628382299</v>
      </c>
      <c r="AG2396">
        <v>-1.118680316576</v>
      </c>
      <c r="AH2396">
        <v>25.883399915582899</v>
      </c>
      <c r="AI2396">
        <v>92.471338339789398</v>
      </c>
      <c r="AJ2396">
        <v>86.974780115529697</v>
      </c>
      <c r="AK2396">
        <v>25.943651082090302</v>
      </c>
      <c r="AL2396">
        <v>95.896824108812694</v>
      </c>
      <c r="AM2396">
        <v>88.957313334462398</v>
      </c>
      <c r="AN2396">
        <v>0.99999999520112004</v>
      </c>
    </row>
    <row r="2397" spans="1:40" x14ac:dyDescent="0.25">
      <c r="A2397" t="str">
        <f>"20190303154512850"</f>
        <v>20190303154512850</v>
      </c>
      <c r="B2397" t="str">
        <f>"1551599112842576"</f>
        <v>1551599112842576</v>
      </c>
      <c r="C2397" t="s">
        <v>40</v>
      </c>
      <c r="D2397">
        <v>5.1963350000000004</v>
      </c>
      <c r="E2397">
        <v>0.51380509999999902</v>
      </c>
      <c r="F2397" t="s">
        <v>41</v>
      </c>
      <c r="G2397">
        <v>-492.59559999999999</v>
      </c>
      <c r="H2397" s="1">
        <v>-4.6496240000000002E-6</v>
      </c>
      <c r="I2397">
        <v>239.29689999999999</v>
      </c>
      <c r="J2397">
        <v>-492.62599999999998</v>
      </c>
      <c r="K2397">
        <v>1.1185320000000001</v>
      </c>
      <c r="L2397">
        <v>264.11509999999998</v>
      </c>
      <c r="M2397">
        <v>5.5442279999999997E-2</v>
      </c>
      <c r="N2397">
        <v>-3.3241159999999998E-3</v>
      </c>
      <c r="O2397">
        <v>-0.99845649999999997</v>
      </c>
      <c r="P2397">
        <v>3.5482060000000003E-2</v>
      </c>
      <c r="Q2397">
        <v>-0.10537630000000001</v>
      </c>
      <c r="R2397">
        <v>-0.9937994</v>
      </c>
      <c r="S2397">
        <v>4.8522950000000004E-3</v>
      </c>
      <c r="T2397">
        <v>-0.1343231</v>
      </c>
      <c r="U2397">
        <v>-3.0047000000000001</v>
      </c>
      <c r="V2397">
        <v>1.9369669999999999E-2</v>
      </c>
      <c r="W2397">
        <v>-0.1021285</v>
      </c>
      <c r="X2397">
        <v>0.99458259999999998</v>
      </c>
      <c r="Y2397">
        <v>5.3827130000000001E-2</v>
      </c>
      <c r="Z2397">
        <v>4.1203440000000001E-2</v>
      </c>
      <c r="AA2397">
        <v>0.99769980000000003</v>
      </c>
      <c r="AB2397">
        <v>19</v>
      </c>
      <c r="AC2397">
        <v>3.03999999999859E-2</v>
      </c>
      <c r="AD2397">
        <v>-1.1185366496239999</v>
      </c>
      <c r="AE2397">
        <v>-24.818199999999901</v>
      </c>
      <c r="AF2397">
        <v>1.3429040152495999</v>
      </c>
      <c r="AG2397">
        <v>-1.1185366496239999</v>
      </c>
      <c r="AH2397">
        <v>24.7314766866516</v>
      </c>
      <c r="AI2397">
        <v>92.5857618091202</v>
      </c>
      <c r="AJ2397">
        <v>86.891926555126005</v>
      </c>
      <c r="AK2397">
        <v>24.793153380179699</v>
      </c>
      <c r="AL2397">
        <v>95.861752307751104</v>
      </c>
      <c r="AM2397">
        <v>88.884295719405898</v>
      </c>
      <c r="AN2397">
        <v>0.99999998142545898</v>
      </c>
    </row>
    <row r="2398" spans="1:40" x14ac:dyDescent="0.25">
      <c r="A2398" t="str">
        <f>"20190303154512871"</f>
        <v>20190303154512871</v>
      </c>
      <c r="B2398" t="str">
        <f>"1551599112863072"</f>
        <v>1551599112863072</v>
      </c>
      <c r="C2398" t="s">
        <v>40</v>
      </c>
      <c r="D2398">
        <v>5.1810900000000002</v>
      </c>
      <c r="E2398">
        <v>0.51381460000000001</v>
      </c>
      <c r="F2398" t="s">
        <v>41</v>
      </c>
      <c r="G2398">
        <v>-492.66800000000001</v>
      </c>
      <c r="H2398" s="1">
        <v>-4.4734850000000003E-6</v>
      </c>
      <c r="I2398">
        <v>238.74160000000001</v>
      </c>
      <c r="J2398">
        <v>-492.61720000000003</v>
      </c>
      <c r="K2398">
        <v>1.118468</v>
      </c>
      <c r="L2398">
        <v>263.92630000000003</v>
      </c>
      <c r="M2398">
        <v>5.3871490000000001E-2</v>
      </c>
      <c r="N2398">
        <v>-3.3817140000000001E-3</v>
      </c>
      <c r="O2398">
        <v>-0.99854200000000004</v>
      </c>
      <c r="P2398">
        <v>3.3677890000000002E-2</v>
      </c>
      <c r="Q2398">
        <v>-0.10292270000000001</v>
      </c>
      <c r="R2398">
        <v>-0.99411879999999997</v>
      </c>
      <c r="S2398">
        <v>-4.9743649999999997E-3</v>
      </c>
      <c r="T2398">
        <v>-0.132463</v>
      </c>
      <c r="U2398">
        <v>-3.0048520000000001</v>
      </c>
      <c r="V2398">
        <v>1.9614389999999999E-2</v>
      </c>
      <c r="W2398">
        <v>-9.9620890000000004E-2</v>
      </c>
      <c r="X2398">
        <v>0.9948321</v>
      </c>
      <c r="Y2398">
        <v>5.5518909999999998E-2</v>
      </c>
      <c r="Z2398">
        <v>4.0531520000000001E-2</v>
      </c>
      <c r="AA2398">
        <v>0.99763460000000004</v>
      </c>
      <c r="AB2398">
        <v>19</v>
      </c>
      <c r="AC2398">
        <v>-5.0799999999980999E-2</v>
      </c>
      <c r="AD2398">
        <v>-1.118472473485</v>
      </c>
      <c r="AE2398">
        <v>-25.184699999999999</v>
      </c>
      <c r="AF2398">
        <v>1.4047010010096499</v>
      </c>
      <c r="AG2398">
        <v>-1.118472473485</v>
      </c>
      <c r="AH2398">
        <v>25.095894704694501</v>
      </c>
      <c r="AI2398">
        <v>92.547883605116795</v>
      </c>
      <c r="AJ2398">
        <v>86.796306905918996</v>
      </c>
      <c r="AK2398">
        <v>25.1600496145237</v>
      </c>
      <c r="AL2398">
        <v>95.717340197533602</v>
      </c>
      <c r="AM2398">
        <v>88.870486610817295</v>
      </c>
      <c r="AN2398">
        <v>0.999999976604936</v>
      </c>
    </row>
    <row r="2399" spans="1:40" x14ac:dyDescent="0.25">
      <c r="A2399" t="str">
        <f>"20190303154512893"</f>
        <v>20190303154512893</v>
      </c>
      <c r="B2399" t="str">
        <f>"1551599112882592"</f>
        <v>1551599112882592</v>
      </c>
      <c r="C2399" t="s">
        <v>40</v>
      </c>
      <c r="D2399">
        <v>5.176755</v>
      </c>
      <c r="E2399">
        <v>0.51383270000000003</v>
      </c>
      <c r="F2399" t="s">
        <v>41</v>
      </c>
      <c r="G2399">
        <v>-492.70639999999997</v>
      </c>
      <c r="H2399" s="1">
        <v>-3.9089960000000001E-6</v>
      </c>
      <c r="I2399">
        <v>237.06280000000001</v>
      </c>
      <c r="J2399">
        <v>-492.60930000000002</v>
      </c>
      <c r="K2399">
        <v>1.1184480000000001</v>
      </c>
      <c r="L2399">
        <v>263.745</v>
      </c>
      <c r="M2399">
        <v>5.2229560000000001E-2</v>
      </c>
      <c r="N2399">
        <v>-3.4355229999999998E-3</v>
      </c>
      <c r="O2399">
        <v>-0.99862919999999999</v>
      </c>
      <c r="P2399">
        <v>3.2760549999999999E-2</v>
      </c>
      <c r="Q2399">
        <v>-9.9529129999999993E-2</v>
      </c>
      <c r="R2399">
        <v>-0.99449520000000002</v>
      </c>
      <c r="S2399">
        <v>-9.9792479999999996E-3</v>
      </c>
      <c r="T2399">
        <v>-0.12511989999999901</v>
      </c>
      <c r="U2399">
        <v>-3.0051269999999999</v>
      </c>
      <c r="V2399">
        <v>1.8919430000000001E-2</v>
      </c>
      <c r="W2399">
        <v>-9.6171649999999997E-2</v>
      </c>
      <c r="X2399">
        <v>0.99518499999999999</v>
      </c>
      <c r="Y2399">
        <v>5.5539030000000003E-2</v>
      </c>
      <c r="Z2399">
        <v>3.8048989999999998E-2</v>
      </c>
      <c r="AA2399">
        <v>0.99773129999999999</v>
      </c>
      <c r="AB2399">
        <v>19</v>
      </c>
      <c r="AC2399">
        <v>-9.7099999999954806E-2</v>
      </c>
      <c r="AD2399">
        <v>-1.1184519089960001</v>
      </c>
      <c r="AE2399">
        <v>-26.682199999999899</v>
      </c>
      <c r="AF2399">
        <v>1.4879608205589501</v>
      </c>
      <c r="AG2399">
        <v>-1.1184519089960001</v>
      </c>
      <c r="AH2399">
        <v>26.593982533159402</v>
      </c>
      <c r="AI2399">
        <v>92.404488958138401</v>
      </c>
      <c r="AJ2399">
        <v>86.797580851834397</v>
      </c>
      <c r="AK2399">
        <v>26.659048539853</v>
      </c>
      <c r="AL2399">
        <v>95.518758889293295</v>
      </c>
      <c r="AM2399">
        <v>88.910882975816193</v>
      </c>
      <c r="AN2399">
        <v>1.00000005766012</v>
      </c>
    </row>
    <row r="2400" spans="1:40" x14ac:dyDescent="0.25">
      <c r="A2400" t="str">
        <f>"20190303154512914"</f>
        <v>20190303154512914</v>
      </c>
      <c r="B2400" t="str">
        <f>"1551599112903088"</f>
        <v>1551599112903088</v>
      </c>
      <c r="C2400" t="s">
        <v>40</v>
      </c>
      <c r="D2400">
        <v>5.1641839999999997</v>
      </c>
      <c r="E2400">
        <v>0.51390100000000005</v>
      </c>
      <c r="F2400" t="s">
        <v>41</v>
      </c>
      <c r="G2400">
        <v>-492.72879999999998</v>
      </c>
      <c r="H2400" s="1">
        <v>-2.694069E-6</v>
      </c>
      <c r="I2400">
        <v>234.17660000000001</v>
      </c>
      <c r="J2400">
        <v>-492.60169999999999</v>
      </c>
      <c r="K2400">
        <v>1.1184459999999901</v>
      </c>
      <c r="L2400">
        <v>263.56040000000002</v>
      </c>
      <c r="M2400">
        <v>5.0467819999999997E-2</v>
      </c>
      <c r="N2400">
        <v>-3.4886919999999998E-3</v>
      </c>
      <c r="O2400">
        <v>-0.99871980000000005</v>
      </c>
      <c r="P2400">
        <v>3.1844770000000001E-2</v>
      </c>
      <c r="Q2400">
        <v>-9.7880990000000001E-2</v>
      </c>
      <c r="R2400">
        <v>-0.99468869999999998</v>
      </c>
      <c r="S2400">
        <v>-1.2146000000000001E-2</v>
      </c>
      <c r="T2400">
        <v>-0.11369</v>
      </c>
      <c r="U2400">
        <v>-3.0056150000000001</v>
      </c>
      <c r="V2400">
        <v>1.809471E-2</v>
      </c>
      <c r="W2400">
        <v>-9.4467239999999994E-2</v>
      </c>
      <c r="X2400">
        <v>0.99536349999999996</v>
      </c>
      <c r="Y2400">
        <v>5.449731E-2</v>
      </c>
      <c r="Z2400">
        <v>3.4211579999999998E-2</v>
      </c>
      <c r="AA2400">
        <v>0.99792769999999997</v>
      </c>
      <c r="AB2400">
        <v>19</v>
      </c>
      <c r="AC2400">
        <v>-0.127099999999984</v>
      </c>
      <c r="AD2400">
        <v>-1.1184486940689999</v>
      </c>
      <c r="AE2400">
        <v>-29.383800000000001</v>
      </c>
      <c r="AF2400">
        <v>1.6075540597681801</v>
      </c>
      <c r="AG2400">
        <v>-1.1184486940689999</v>
      </c>
      <c r="AH2400">
        <v>29.2974947457176</v>
      </c>
      <c r="AI2400">
        <v>92.182957176018306</v>
      </c>
      <c r="AJ2400">
        <v>86.859328921180506</v>
      </c>
      <c r="AK2400">
        <v>29.362873767935099</v>
      </c>
      <c r="AL2400">
        <v>95.420657079136106</v>
      </c>
      <c r="AM2400">
        <v>88.958534917019094</v>
      </c>
      <c r="AN2400">
        <v>0.99999998754772501</v>
      </c>
    </row>
    <row r="2401" spans="1:40" x14ac:dyDescent="0.25">
      <c r="A2401" t="str">
        <f>"20190303154513125"</f>
        <v>20190303154513125</v>
      </c>
      <c r="B2401" t="str">
        <f>"1551599113122689"</f>
        <v>1551599113122689</v>
      </c>
      <c r="C2401" t="s">
        <v>40</v>
      </c>
      <c r="D2401">
        <v>5.0457340000000004</v>
      </c>
      <c r="E2401">
        <v>0.53288230000000003</v>
      </c>
      <c r="F2401" t="s">
        <v>41</v>
      </c>
      <c r="G2401">
        <v>-492.76490000000001</v>
      </c>
      <c r="H2401" s="1">
        <v>-2.0245319999999999E-6</v>
      </c>
      <c r="I2401">
        <v>232.59350000000001</v>
      </c>
      <c r="J2401">
        <v>-492.54349999999999</v>
      </c>
      <c r="K2401">
        <v>1.118485</v>
      </c>
      <c r="L2401">
        <v>261.64890000000003</v>
      </c>
      <c r="M2401">
        <v>3.1307460000000002E-2</v>
      </c>
      <c r="N2401">
        <v>-4.0018889999999998E-3</v>
      </c>
      <c r="O2401">
        <v>-0.99950209999999995</v>
      </c>
      <c r="P2401">
        <v>1.019858E-2</v>
      </c>
      <c r="Q2401">
        <v>-0.1130519</v>
      </c>
      <c r="R2401">
        <v>-0.99353709999999995</v>
      </c>
      <c r="S2401">
        <v>-1.5838620000000001E-2</v>
      </c>
      <c r="T2401">
        <v>-0.10856440000000001</v>
      </c>
      <c r="U2401">
        <v>-3.0058590000000001</v>
      </c>
      <c r="V2401">
        <v>2.0593899999999998E-2</v>
      </c>
      <c r="W2401">
        <v>-0.1091362</v>
      </c>
      <c r="X2401">
        <v>0.99381350000000002</v>
      </c>
      <c r="Y2401">
        <v>3.6568219999999999E-2</v>
      </c>
      <c r="Z2401">
        <v>3.2055300000000002E-2</v>
      </c>
      <c r="AA2401">
        <v>0.99881690000000001</v>
      </c>
      <c r="AB2401">
        <v>21</v>
      </c>
      <c r="AC2401">
        <v>-0.221400000000016</v>
      </c>
      <c r="AD2401">
        <v>-1.118487024532</v>
      </c>
      <c r="AE2401">
        <v>-29.055399999999999</v>
      </c>
      <c r="AF2401">
        <v>1.1292759082423101</v>
      </c>
      <c r="AG2401">
        <v>-1.118487024532</v>
      </c>
      <c r="AH2401">
        <v>28.9912667332326</v>
      </c>
      <c r="AI2401">
        <v>92.2077106898073</v>
      </c>
      <c r="AJ2401">
        <v>87.769326544383205</v>
      </c>
      <c r="AK2401">
        <v>29.034803669018</v>
      </c>
      <c r="AL2401">
        <v>96.265523402735496</v>
      </c>
      <c r="AM2401">
        <v>88.812881183571605</v>
      </c>
      <c r="AN2401">
        <v>1.0000000458249401</v>
      </c>
    </row>
    <row r="2402" spans="1:40" x14ac:dyDescent="0.25">
      <c r="A2402" t="str">
        <f>"20190303154513149"</f>
        <v>20190303154513149</v>
      </c>
      <c r="B2402" t="str">
        <f>"1551599113143185"</f>
        <v>1551599113143185</v>
      </c>
      <c r="C2402" t="s">
        <v>40</v>
      </c>
      <c r="D2402">
        <v>5.1026470000000002</v>
      </c>
      <c r="E2402">
        <v>0.52692510000000004</v>
      </c>
      <c r="F2402" t="s">
        <v>45</v>
      </c>
      <c r="G2402">
        <v>0</v>
      </c>
      <c r="H2402">
        <v>0</v>
      </c>
      <c r="I2402">
        <v>0</v>
      </c>
      <c r="J2402">
        <v>-492.53919999999999</v>
      </c>
      <c r="K2402">
        <v>1.118503</v>
      </c>
      <c r="L2402">
        <v>261.43810000000002</v>
      </c>
      <c r="M2402">
        <v>2.9218540000000001E-2</v>
      </c>
      <c r="N2402">
        <v>-4.0994170000000002E-3</v>
      </c>
      <c r="O2402">
        <v>-0.99956480000000003</v>
      </c>
      <c r="P2402">
        <v>1.0129910000000001E-2</v>
      </c>
      <c r="Q2402">
        <v>-0.1113784</v>
      </c>
      <c r="R2402">
        <v>-0.99372669999999996</v>
      </c>
      <c r="S2402">
        <v>-0.2376404</v>
      </c>
      <c r="T2402">
        <v>1.7869469999999998E-2</v>
      </c>
      <c r="U2402">
        <v>-3.0239560000000001</v>
      </c>
      <c r="V2402">
        <v>1.8597720000000002E-2</v>
      </c>
      <c r="W2402">
        <v>-0.1073588</v>
      </c>
      <c r="X2402">
        <v>0.9940464</v>
      </c>
      <c r="Y2402">
        <v>0.1074364</v>
      </c>
      <c r="Z2402">
        <v>-9.9832459999999994E-3</v>
      </c>
      <c r="AA2402">
        <v>0.99416179999999998</v>
      </c>
      <c r="AB2402">
        <v>21</v>
      </c>
      <c r="AC2402">
        <v>-0.2376404</v>
      </c>
      <c r="AD2402">
        <v>1.7869469999999998E-2</v>
      </c>
      <c r="AE2402">
        <v>-3.0239560000000001</v>
      </c>
      <c r="AF2402">
        <v>0.32588393488402501</v>
      </c>
      <c r="AG2402">
        <v>1.7869469999999998E-2</v>
      </c>
      <c r="AH2402">
        <v>3.0156166712566801</v>
      </c>
      <c r="AI2402">
        <v>89.662454780677606</v>
      </c>
      <c r="AJ2402">
        <v>83.832241518555193</v>
      </c>
      <c r="AK2402">
        <v>3.0332265930745801</v>
      </c>
      <c r="AL2402">
        <v>96.163084121147094</v>
      </c>
      <c r="AM2402">
        <v>88.928172202849893</v>
      </c>
      <c r="AN2402">
        <v>1.00000001623979</v>
      </c>
    </row>
    <row r="2403" spans="1:40" x14ac:dyDescent="0.25">
      <c r="A2403" t="str">
        <f>"20190303154513171"</f>
        <v>20190303154513171</v>
      </c>
      <c r="B2403" t="str">
        <f>"1551599113163680"</f>
        <v>1551599113163680</v>
      </c>
      <c r="C2403" t="s">
        <v>40</v>
      </c>
      <c r="D2403">
        <v>5.0692550000000001</v>
      </c>
      <c r="E2403">
        <v>0.52331249999999996</v>
      </c>
      <c r="F2403" t="s">
        <v>49</v>
      </c>
      <c r="G2403">
        <v>-500.86860000000001</v>
      </c>
      <c r="H2403">
        <v>0.49361650000000001</v>
      </c>
      <c r="I2403">
        <v>128.82060000000001</v>
      </c>
      <c r="J2403">
        <v>-492.53559999999999</v>
      </c>
      <c r="K2403">
        <v>1.118527</v>
      </c>
      <c r="L2403">
        <v>261.23160000000001</v>
      </c>
      <c r="M2403">
        <v>2.7180389999999999E-2</v>
      </c>
      <c r="N2403">
        <v>-4.2326600000000001E-3</v>
      </c>
      <c r="O2403">
        <v>-0.99962169999999895</v>
      </c>
      <c r="P2403">
        <v>9.7977189999999999E-3</v>
      </c>
      <c r="Q2403">
        <v>-0.109752</v>
      </c>
      <c r="R2403">
        <v>-0.99391079999999998</v>
      </c>
      <c r="S2403">
        <v>-0.1896362</v>
      </c>
      <c r="T2403">
        <v>-1.4225959999999999E-2</v>
      </c>
      <c r="U2403">
        <v>-3.0192869999999998</v>
      </c>
      <c r="V2403">
        <v>1.6913620000000001E-2</v>
      </c>
      <c r="W2403">
        <v>-0.1055943</v>
      </c>
      <c r="X2403">
        <v>0.99426539999999997</v>
      </c>
      <c r="Y2403">
        <v>8.9787099999999995E-2</v>
      </c>
      <c r="Z2403">
        <v>4.5862430000000003E-4</v>
      </c>
      <c r="AA2403">
        <v>0.99596090000000004</v>
      </c>
      <c r="AB2403">
        <v>21</v>
      </c>
      <c r="AC2403">
        <v>-8.3330000000000197</v>
      </c>
      <c r="AD2403">
        <v>-0.62491049999999904</v>
      </c>
      <c r="AE2403">
        <v>-132.411</v>
      </c>
      <c r="AF2403">
        <v>11.928671073726401</v>
      </c>
      <c r="AG2403">
        <v>-0.62491049999999904</v>
      </c>
      <c r="AH2403">
        <v>132.132651589754</v>
      </c>
      <c r="AI2403">
        <v>90.269876139970094</v>
      </c>
      <c r="AJ2403">
        <v>84.841435781974496</v>
      </c>
      <c r="AK2403">
        <v>132.67147893521599</v>
      </c>
      <c r="AL2403">
        <v>96.061408062776707</v>
      </c>
      <c r="AM2403">
        <v>89.0254256246306</v>
      </c>
      <c r="AN2403">
        <v>0.99999995618557602</v>
      </c>
    </row>
    <row r="2404" spans="1:40" x14ac:dyDescent="0.25">
      <c r="A2404" t="str">
        <f>"20190303154513193"</f>
        <v>20190303154513193</v>
      </c>
      <c r="B2404" t="str">
        <f>"1551599113183201"</f>
        <v>1551599113183201</v>
      </c>
      <c r="C2404" t="s">
        <v>40</v>
      </c>
      <c r="D2404">
        <v>5.1484579999999998</v>
      </c>
      <c r="E2404">
        <v>0.52100550000000001</v>
      </c>
      <c r="F2404" t="s">
        <v>60</v>
      </c>
      <c r="G2404">
        <v>-498.0462</v>
      </c>
      <c r="H2404" s="1">
        <v>-2.7391810000000001E-6</v>
      </c>
      <c r="I2404">
        <v>158.0752</v>
      </c>
      <c r="J2404">
        <v>-492.53210000000001</v>
      </c>
      <c r="K2404">
        <v>1.118573</v>
      </c>
      <c r="L2404">
        <v>261.0145</v>
      </c>
      <c r="M2404">
        <v>2.5042620000000002E-2</v>
      </c>
      <c r="N2404">
        <v>-4.4288610000000001E-3</v>
      </c>
      <c r="O2404">
        <v>-0.99967680000000003</v>
      </c>
      <c r="P2404">
        <v>9.6250329999999999E-3</v>
      </c>
      <c r="Q2404">
        <v>-0.1088221</v>
      </c>
      <c r="R2404">
        <v>-0.99401499999999998</v>
      </c>
      <c r="S2404">
        <v>-0.16113279999999999</v>
      </c>
      <c r="T2404">
        <v>-3.2706499999999999E-2</v>
      </c>
      <c r="U2404">
        <v>-3.0163570000000002</v>
      </c>
      <c r="V2404">
        <v>1.4965630000000001E-2</v>
      </c>
      <c r="W2404">
        <v>-0.10446320000000001</v>
      </c>
      <c r="X2404">
        <v>0.99441619999999997</v>
      </c>
      <c r="Y2404">
        <v>7.8330360000000002E-2</v>
      </c>
      <c r="Z2404">
        <v>6.3812740000000001E-3</v>
      </c>
      <c r="AA2404">
        <v>0.99690710000000005</v>
      </c>
      <c r="AB2404">
        <v>21</v>
      </c>
      <c r="AC2404">
        <v>-5.5140999999999796</v>
      </c>
      <c r="AD2404">
        <v>-1.1185757391810001</v>
      </c>
      <c r="AE2404">
        <v>-102.9393</v>
      </c>
      <c r="AF2404">
        <v>8.0893126963692392</v>
      </c>
      <c r="AG2404">
        <v>-1.1185757391810001</v>
      </c>
      <c r="AH2404">
        <v>102.756828590198</v>
      </c>
      <c r="AI2404">
        <v>90.621754184010896</v>
      </c>
      <c r="AJ2404">
        <v>85.498794773986603</v>
      </c>
      <c r="AK2404">
        <v>103.08081302308</v>
      </c>
      <c r="AL2404">
        <v>95.996239777838298</v>
      </c>
      <c r="AM2404">
        <v>89.137782842905906</v>
      </c>
      <c r="AN2404">
        <v>1.00000005452898</v>
      </c>
    </row>
    <row r="2405" spans="1:40" x14ac:dyDescent="0.25">
      <c r="A2405" t="str">
        <f>"20190303154513215"</f>
        <v>20190303154513215</v>
      </c>
      <c r="B2405" t="str">
        <f>"1551599113213457"</f>
        <v>1551599113213457</v>
      </c>
      <c r="C2405" t="s">
        <v>40</v>
      </c>
      <c r="D2405">
        <v>5.1128090000000004</v>
      </c>
      <c r="E2405">
        <v>0.51838549999999906</v>
      </c>
      <c r="F2405" t="s">
        <v>41</v>
      </c>
      <c r="G2405">
        <v>-495.71359999999999</v>
      </c>
      <c r="H2405" s="1">
        <v>-3.4505400000000001E-6</v>
      </c>
      <c r="I2405">
        <v>194.1481</v>
      </c>
      <c r="J2405">
        <v>-492.5292</v>
      </c>
      <c r="K2405">
        <v>1.1186179999999999</v>
      </c>
      <c r="L2405">
        <v>260.80799999999999</v>
      </c>
      <c r="M2405">
        <v>2.30128E-2</v>
      </c>
      <c r="N2405">
        <v>-4.6727909999999999E-3</v>
      </c>
      <c r="O2405">
        <v>-0.99972430000000001</v>
      </c>
      <c r="P2405">
        <v>8.8769169999999998E-3</v>
      </c>
      <c r="Q2405">
        <v>-0.1089657</v>
      </c>
      <c r="R2405">
        <v>-0.9940059</v>
      </c>
      <c r="S2405">
        <v>-0.1434021</v>
      </c>
      <c r="T2405">
        <v>-5.0418379999999999E-2</v>
      </c>
      <c r="U2405">
        <v>-3.013916</v>
      </c>
      <c r="V2405">
        <v>1.3693820000000001E-2</v>
      </c>
      <c r="W2405">
        <v>-0.1043607</v>
      </c>
      <c r="X2405">
        <v>0.99444520000000003</v>
      </c>
      <c r="Y2405">
        <v>7.0493730000000004E-2</v>
      </c>
      <c r="Z2405">
        <v>1.201442E-2</v>
      </c>
      <c r="AA2405">
        <v>0.99743990000000005</v>
      </c>
      <c r="AB2405">
        <v>21</v>
      </c>
      <c r="AC2405">
        <v>-3.1843999999999801</v>
      </c>
      <c r="AD2405">
        <v>-1.1186214505399901</v>
      </c>
      <c r="AE2405">
        <v>-66.659899999999993</v>
      </c>
      <c r="AF2405">
        <v>4.7162791830496298</v>
      </c>
      <c r="AG2405">
        <v>-1.1186214505399901</v>
      </c>
      <c r="AH2405">
        <v>66.5502652771344</v>
      </c>
      <c r="AI2405">
        <v>90.9605665347827</v>
      </c>
      <c r="AJ2405">
        <v>85.946344126728405</v>
      </c>
      <c r="AK2405">
        <v>66.726549526699202</v>
      </c>
      <c r="AL2405">
        <v>95.990335215928894</v>
      </c>
      <c r="AM2405">
        <v>89.211069142032301</v>
      </c>
      <c r="AN2405">
        <v>0.99999996610686004</v>
      </c>
    </row>
    <row r="2406" spans="1:40" x14ac:dyDescent="0.25">
      <c r="A2406" t="str">
        <f>"20190303154513239"</f>
        <v>20190303154513239</v>
      </c>
      <c r="B2406" t="str">
        <f>"1551599113232977"</f>
        <v>1551599113232977</v>
      </c>
      <c r="C2406" t="s">
        <v>40</v>
      </c>
      <c r="D2406">
        <v>5.0906549999999999</v>
      </c>
      <c r="E2406">
        <v>0.51725180000000004</v>
      </c>
      <c r="F2406" t="s">
        <v>54</v>
      </c>
      <c r="G2406">
        <v>-494.43389999999999</v>
      </c>
      <c r="H2406" s="1">
        <v>2.5340070000000002E-6</v>
      </c>
      <c r="I2406">
        <v>214.8811</v>
      </c>
      <c r="J2406">
        <v>-492.52659999999997</v>
      </c>
      <c r="K2406">
        <v>1.1186720000000001</v>
      </c>
      <c r="L2406">
        <v>260.57909999999998</v>
      </c>
      <c r="M2406">
        <v>2.0769269999999999E-2</v>
      </c>
      <c r="N2406">
        <v>-5.0058790000000004E-3</v>
      </c>
      <c r="O2406">
        <v>-0.99977179999999999</v>
      </c>
      <c r="P2406">
        <v>8.4930890000000005E-3</v>
      </c>
      <c r="Q2406">
        <v>-0.1100336</v>
      </c>
      <c r="R2406">
        <v>-0.99389159999999999</v>
      </c>
      <c r="S2406">
        <v>-0.1248779</v>
      </c>
      <c r="T2406">
        <v>-7.3341370000000003E-2</v>
      </c>
      <c r="U2406">
        <v>-3.0111690000000002</v>
      </c>
      <c r="V2406">
        <v>1.184089E-2</v>
      </c>
      <c r="W2406">
        <v>-0.10509259999999999</v>
      </c>
      <c r="X2406">
        <v>0.99439200000000005</v>
      </c>
      <c r="Y2406">
        <v>6.216642E-2</v>
      </c>
      <c r="Z2406">
        <v>1.9300500000000002E-2</v>
      </c>
      <c r="AA2406">
        <v>0.99787910000000002</v>
      </c>
      <c r="AB2406">
        <v>21</v>
      </c>
      <c r="AC2406">
        <v>-1.90730000000002</v>
      </c>
      <c r="AD2406">
        <v>-1.1186694659930001</v>
      </c>
      <c r="AE2406">
        <v>-45.697999999999901</v>
      </c>
      <c r="AF2406">
        <v>2.8543070604780301</v>
      </c>
      <c r="AG2406">
        <v>-1.1186694659930001</v>
      </c>
      <c r="AH2406">
        <v>45.621237705620302</v>
      </c>
      <c r="AI2406">
        <v>91.401917078239805</v>
      </c>
      <c r="AJ2406">
        <v>86.419937986831201</v>
      </c>
      <c r="AK2406">
        <v>45.724127328603601</v>
      </c>
      <c r="AL2406">
        <v>96.032501330899706</v>
      </c>
      <c r="AM2406">
        <v>89.317773111790004</v>
      </c>
      <c r="AN2406">
        <v>1.00000005545737</v>
      </c>
    </row>
    <row r="2407" spans="1:40" x14ac:dyDescent="0.25">
      <c r="A2407" t="str">
        <f>"20190303154513262"</f>
        <v>20190303154513262</v>
      </c>
      <c r="B2407" t="str">
        <f>"1551599113253473"</f>
        <v>1551599113253473</v>
      </c>
      <c r="C2407" t="s">
        <v>40</v>
      </c>
      <c r="D2407">
        <v>5.1238519999999896</v>
      </c>
      <c r="E2407">
        <v>0.51665749999999999</v>
      </c>
      <c r="F2407" t="s">
        <v>54</v>
      </c>
      <c r="G2407">
        <v>-493.9957</v>
      </c>
      <c r="H2407" s="1">
        <v>3.769319E-6</v>
      </c>
      <c r="I2407">
        <v>222.72</v>
      </c>
      <c r="J2407">
        <v>-492.52460000000002</v>
      </c>
      <c r="K2407">
        <v>1.118743</v>
      </c>
      <c r="L2407">
        <v>260.37090000000001</v>
      </c>
      <c r="M2407">
        <v>1.8743280000000001E-2</v>
      </c>
      <c r="N2407">
        <v>-5.364181E-3</v>
      </c>
      <c r="O2407">
        <v>-0.99981019999999998</v>
      </c>
      <c r="P2407">
        <v>7.5285789999999997E-3</v>
      </c>
      <c r="Q2407">
        <v>-0.1109098</v>
      </c>
      <c r="R2407">
        <v>-0.99380219999999997</v>
      </c>
      <c r="S2407">
        <v>-0.1167908</v>
      </c>
      <c r="T2407">
        <v>-8.8928699999999902E-2</v>
      </c>
      <c r="U2407">
        <v>-3.0096129999999999</v>
      </c>
      <c r="V2407">
        <v>1.078808E-2</v>
      </c>
      <c r="W2407">
        <v>-0.1056098</v>
      </c>
      <c r="X2407">
        <v>0.99434909999999999</v>
      </c>
      <c r="Y2407">
        <v>5.7482680000000001E-2</v>
      </c>
      <c r="Z2407">
        <v>2.4127820000000001E-2</v>
      </c>
      <c r="AA2407">
        <v>0.99805489999999997</v>
      </c>
      <c r="AB2407">
        <v>21</v>
      </c>
      <c r="AC2407">
        <v>-1.4710999999999701</v>
      </c>
      <c r="AD2407">
        <v>-1.118739230681</v>
      </c>
      <c r="AE2407">
        <v>-37.6509</v>
      </c>
      <c r="AF2407">
        <v>2.17463585446334</v>
      </c>
      <c r="AG2407">
        <v>-1.118739230681</v>
      </c>
      <c r="AH2407">
        <v>37.583580405111398</v>
      </c>
      <c r="AI2407">
        <v>91.702157630916801</v>
      </c>
      <c r="AJ2407">
        <v>86.688482423520995</v>
      </c>
      <c r="AK2407">
        <v>37.663060611602702</v>
      </c>
      <c r="AL2407">
        <v>96.062301041198893</v>
      </c>
      <c r="AM2407">
        <v>89.378400199400502</v>
      </c>
      <c r="AN2407">
        <v>0.99999997259846696</v>
      </c>
    </row>
    <row r="2408" spans="1:40" x14ac:dyDescent="0.25">
      <c r="A2408" t="str">
        <f>"20190303154513283"</f>
        <v>20190303154513283</v>
      </c>
      <c r="B2408" t="str">
        <f>"1551599113272993"</f>
        <v>1551599113272993</v>
      </c>
      <c r="C2408" t="s">
        <v>40</v>
      </c>
      <c r="D2408">
        <v>5.1187559999999896</v>
      </c>
      <c r="E2408">
        <v>0.51623160000000001</v>
      </c>
      <c r="F2408" t="s">
        <v>54</v>
      </c>
      <c r="G2408">
        <v>-493.7912</v>
      </c>
      <c r="H2408" s="1">
        <v>4.9931149999999999E-6</v>
      </c>
      <c r="I2408">
        <v>227.06700000000001</v>
      </c>
      <c r="J2408">
        <v>-492.52289999999999</v>
      </c>
      <c r="K2408">
        <v>1.118824</v>
      </c>
      <c r="L2408">
        <v>260.15980000000002</v>
      </c>
      <c r="M2408">
        <v>1.67058E-2</v>
      </c>
      <c r="N2408">
        <v>-5.7745130000000002E-3</v>
      </c>
      <c r="O2408">
        <v>-0.99984399999999996</v>
      </c>
      <c r="P2408">
        <v>5.8135929999999997E-3</v>
      </c>
      <c r="Q2408">
        <v>-0.1107645</v>
      </c>
      <c r="R2408">
        <v>-0.99383010000000005</v>
      </c>
      <c r="S2408">
        <v>-0.1144104</v>
      </c>
      <c r="T2408">
        <v>-0.1010542</v>
      </c>
      <c r="U2408">
        <v>-3.0083009999999999</v>
      </c>
      <c r="V2408">
        <v>1.04811E-2</v>
      </c>
      <c r="W2408">
        <v>-0.1050553</v>
      </c>
      <c r="X2408">
        <v>0.99441120000000005</v>
      </c>
      <c r="Y2408">
        <v>5.4671940000000002E-2</v>
      </c>
      <c r="Z2408">
        <v>2.775495E-2</v>
      </c>
      <c r="AA2408">
        <v>0.99811859999999997</v>
      </c>
      <c r="AB2408">
        <v>21</v>
      </c>
      <c r="AC2408">
        <v>-1.26830000000001</v>
      </c>
      <c r="AD2408">
        <v>-1.1188190068849999</v>
      </c>
      <c r="AE2408">
        <v>-33.092799999999997</v>
      </c>
      <c r="AF2408">
        <v>1.8188978097511901</v>
      </c>
      <c r="AG2408">
        <v>-1.1188190068849999</v>
      </c>
      <c r="AH2408">
        <v>33.029295709615901</v>
      </c>
      <c r="AI2408">
        <v>91.937135968239303</v>
      </c>
      <c r="AJ2408">
        <v>86.847949416624203</v>
      </c>
      <c r="AK2408">
        <v>33.098255547471602</v>
      </c>
      <c r="AL2408">
        <v>96.030352322623898</v>
      </c>
      <c r="AM2408">
        <v>89.3961245021857</v>
      </c>
      <c r="AN2408">
        <v>1.00000005210036</v>
      </c>
    </row>
    <row r="2409" spans="1:40" x14ac:dyDescent="0.25">
      <c r="A2409" t="str">
        <f>"20190303154513306"</f>
        <v>20190303154513306</v>
      </c>
      <c r="B2409" t="str">
        <f>"1551599113293492"</f>
        <v>1551599113293492</v>
      </c>
      <c r="C2409" t="s">
        <v>40</v>
      </c>
      <c r="D2409">
        <v>5.0922599999999996</v>
      </c>
      <c r="E2409">
        <v>0.51586739999999998</v>
      </c>
      <c r="F2409" t="s">
        <v>54</v>
      </c>
      <c r="G2409">
        <v>-493.721</v>
      </c>
      <c r="H2409" s="1">
        <v>5.5082510000000004E-6</v>
      </c>
      <c r="I2409">
        <v>229.05869999999999</v>
      </c>
      <c r="J2409">
        <v>-492.52190000000002</v>
      </c>
      <c r="K2409">
        <v>1.1189100000000001</v>
      </c>
      <c r="L2409">
        <v>259.94670000000002</v>
      </c>
      <c r="M2409">
        <v>1.4659200000000001E-2</v>
      </c>
      <c r="N2409">
        <v>-6.2076099999999997E-3</v>
      </c>
      <c r="O2409">
        <v>-0.99987329999999996</v>
      </c>
      <c r="P2409">
        <v>3.2269909999999998E-3</v>
      </c>
      <c r="Q2409">
        <v>-0.1091564</v>
      </c>
      <c r="R2409">
        <v>-0.99401949999999994</v>
      </c>
      <c r="S2409">
        <v>-0.11584469999999999</v>
      </c>
      <c r="T2409">
        <v>-0.10817889999999999</v>
      </c>
      <c r="U2409">
        <v>-3.0071720000000002</v>
      </c>
      <c r="V2409">
        <v>1.104369E-2</v>
      </c>
      <c r="W2409">
        <v>-0.103016899999999</v>
      </c>
      <c r="X2409">
        <v>0.99461829999999996</v>
      </c>
      <c r="Y2409">
        <v>5.3114809999999998E-2</v>
      </c>
      <c r="Z2409">
        <v>2.9699860000000002E-2</v>
      </c>
      <c r="AA2409">
        <v>0.99814669999999905</v>
      </c>
      <c r="AB2409">
        <v>21</v>
      </c>
      <c r="AC2409">
        <v>-1.1990999999999801</v>
      </c>
      <c r="AD2409">
        <v>-1.1189044917489901</v>
      </c>
      <c r="AE2409">
        <v>-30.888000000000002</v>
      </c>
      <c r="AF2409">
        <v>1.649611838485</v>
      </c>
      <c r="AG2409">
        <v>-1.1189044917489901</v>
      </c>
      <c r="AH2409">
        <v>30.826712175613601</v>
      </c>
      <c r="AI2409">
        <v>92.075761468468997</v>
      </c>
      <c r="AJ2409">
        <v>86.936886018588197</v>
      </c>
      <c r="AK2409">
        <v>30.891088521407799</v>
      </c>
      <c r="AL2409">
        <v>95.912923652005702</v>
      </c>
      <c r="AM2409">
        <v>89.363845582052903</v>
      </c>
      <c r="AN2409">
        <v>1.0000000037346499</v>
      </c>
    </row>
    <row r="2410" spans="1:40" x14ac:dyDescent="0.25">
      <c r="A2410" t="str">
        <f>"20190303154513328"</f>
        <v>20190303154513328</v>
      </c>
      <c r="B2410" t="str">
        <f>"1551599113322769"</f>
        <v>1551599113322769</v>
      </c>
      <c r="C2410" t="s">
        <v>40</v>
      </c>
      <c r="D2410">
        <v>5.138312</v>
      </c>
      <c r="E2410">
        <v>0.51568879999999995</v>
      </c>
      <c r="F2410" t="s">
        <v>54</v>
      </c>
      <c r="G2410">
        <v>-493.7423</v>
      </c>
      <c r="H2410" s="1">
        <v>5.5883100000000002E-6</v>
      </c>
      <c r="I2410">
        <v>229.44649999999999</v>
      </c>
      <c r="J2410">
        <v>-492.52109999999999</v>
      </c>
      <c r="K2410">
        <v>1.118984</v>
      </c>
      <c r="L2410">
        <v>259.73599999999999</v>
      </c>
      <c r="M2410">
        <v>1.2644570000000001E-2</v>
      </c>
      <c r="N2410">
        <v>-6.6433359999999997E-3</v>
      </c>
      <c r="O2410">
        <v>-0.99989799999999995</v>
      </c>
      <c r="P2410">
        <v>2.106547E-4</v>
      </c>
      <c r="Q2410">
        <v>-0.1069792</v>
      </c>
      <c r="R2410">
        <v>-0.99426170000000003</v>
      </c>
      <c r="S2410">
        <v>-0.1203003</v>
      </c>
      <c r="T2410">
        <v>-0.1102872</v>
      </c>
      <c r="U2410">
        <v>-3.0063170000000001</v>
      </c>
      <c r="V2410">
        <v>1.206893E-2</v>
      </c>
      <c r="W2410">
        <v>-0.10040780000000001</v>
      </c>
      <c r="X2410">
        <v>0.99487320000000001</v>
      </c>
      <c r="Y2410">
        <v>5.2589839999999999E-2</v>
      </c>
      <c r="Z2410">
        <v>2.9974730000000002E-2</v>
      </c>
      <c r="AA2410">
        <v>0.9981662</v>
      </c>
      <c r="AB2410">
        <v>21</v>
      </c>
      <c r="AC2410">
        <v>-1.2212000000000101</v>
      </c>
      <c r="AD2410">
        <v>-1.1189784116899999</v>
      </c>
      <c r="AE2410">
        <v>-30.2895</v>
      </c>
      <c r="AF2410">
        <v>1.60192580421079</v>
      </c>
      <c r="AG2410">
        <v>-1.1189784116899999</v>
      </c>
      <c r="AH2410">
        <v>30.2304458612209</v>
      </c>
      <c r="AI2410">
        <v>92.116865299696201</v>
      </c>
      <c r="AJ2410">
        <v>86.966706234283606</v>
      </c>
      <c r="AK2410">
        <v>30.293532906153999</v>
      </c>
      <c r="AL2410">
        <v>95.762653689352405</v>
      </c>
      <c r="AM2410">
        <v>89.304971895961501</v>
      </c>
      <c r="AN2410">
        <v>1.00000003472521</v>
      </c>
    </row>
    <row r="2411" spans="1:40" x14ac:dyDescent="0.25">
      <c r="A2411" t="str">
        <f>"20190303154513350"</f>
        <v>20190303154513350</v>
      </c>
      <c r="B2411" t="str">
        <f>"1551599113343265"</f>
        <v>1551599113343265</v>
      </c>
      <c r="C2411" t="s">
        <v>40</v>
      </c>
      <c r="D2411">
        <v>5.1651360000000004</v>
      </c>
      <c r="E2411">
        <v>0.51547290000000001</v>
      </c>
      <c r="F2411" t="s">
        <v>54</v>
      </c>
      <c r="G2411">
        <v>-493.81169999999997</v>
      </c>
      <c r="H2411" s="1">
        <v>5.5535329999999997E-6</v>
      </c>
      <c r="I2411">
        <v>229.37260000000001</v>
      </c>
      <c r="J2411">
        <v>-492.52080000000001</v>
      </c>
      <c r="K2411">
        <v>1.1190439999999999</v>
      </c>
      <c r="L2411">
        <v>259.52269999999999</v>
      </c>
      <c r="M2411">
        <v>1.061312E-2</v>
      </c>
      <c r="N2411">
        <v>-7.0942959999999999E-3</v>
      </c>
      <c r="O2411">
        <v>-0.9999188</v>
      </c>
      <c r="P2411">
        <v>-1.739862E-3</v>
      </c>
      <c r="Q2411">
        <v>-0.10640090000000001</v>
      </c>
      <c r="R2411">
        <v>-0.99432189999999998</v>
      </c>
      <c r="S2411">
        <v>-0.12774659999999999</v>
      </c>
      <c r="T2411">
        <v>-0.1107587</v>
      </c>
      <c r="U2411">
        <v>-3.0054319999999999</v>
      </c>
      <c r="V2411">
        <v>1.200347E-2</v>
      </c>
      <c r="W2411">
        <v>-9.9380079999999996E-2</v>
      </c>
      <c r="X2411">
        <v>0.99497709999999995</v>
      </c>
      <c r="Y2411">
        <v>5.3041310000000001E-2</v>
      </c>
      <c r="Z2411">
        <v>2.96902E-2</v>
      </c>
      <c r="AA2411">
        <v>0.9981508</v>
      </c>
      <c r="AB2411">
        <v>21</v>
      </c>
      <c r="AC2411">
        <v>-1.29089999999996</v>
      </c>
      <c r="AD2411">
        <v>-1.119038446467</v>
      </c>
      <c r="AE2411">
        <v>-30.150099999999899</v>
      </c>
      <c r="AF2411">
        <v>1.6086099700394301</v>
      </c>
      <c r="AG2411">
        <v>-1.119038446467</v>
      </c>
      <c r="AH2411">
        <v>30.093321334319999</v>
      </c>
      <c r="AI2411">
        <v>92.126563977254705</v>
      </c>
      <c r="AJ2411">
        <v>86.940220465196404</v>
      </c>
      <c r="AK2411">
        <v>30.1570532713496</v>
      </c>
      <c r="AL2411">
        <v>95.703474104353106</v>
      </c>
      <c r="AM2411">
        <v>89.308813430903498</v>
      </c>
      <c r="AN2411">
        <v>0.99999995655862695</v>
      </c>
    </row>
    <row r="2412" spans="1:40" x14ac:dyDescent="0.25">
      <c r="A2412" t="str">
        <f>"20190303154513372"</f>
        <v>20190303154513372</v>
      </c>
      <c r="B2412" t="str">
        <f>"1551599113362784"</f>
        <v>1551599113362784</v>
      </c>
      <c r="C2412" t="s">
        <v>40</v>
      </c>
      <c r="D2412">
        <v>5.1531840000000004</v>
      </c>
      <c r="E2412">
        <v>0.51542679999999996</v>
      </c>
      <c r="F2412" t="s">
        <v>41</v>
      </c>
      <c r="G2412">
        <v>-493.80309999999997</v>
      </c>
      <c r="H2412" s="1">
        <v>-1.269288E-6</v>
      </c>
      <c r="I2412">
        <v>230.1891</v>
      </c>
      <c r="J2412">
        <v>-492.52089999999998</v>
      </c>
      <c r="K2412">
        <v>1.1190979999999999</v>
      </c>
      <c r="L2412">
        <v>259.31169999999997</v>
      </c>
      <c r="M2412">
        <v>8.6099100000000001E-3</v>
      </c>
      <c r="N2412">
        <v>-7.54834199999999E-3</v>
      </c>
      <c r="O2412">
        <v>-0.99993449999999995</v>
      </c>
      <c r="P2412">
        <v>-3.8043529999999999E-3</v>
      </c>
      <c r="Q2412">
        <v>-0.1078852</v>
      </c>
      <c r="R2412">
        <v>-0.99415609999999999</v>
      </c>
      <c r="S2412">
        <v>-0.13134770000000001</v>
      </c>
      <c r="T2412">
        <v>-0.1146213</v>
      </c>
      <c r="U2412">
        <v>-3.004578</v>
      </c>
      <c r="V2412">
        <v>1.2071210000000001E-2</v>
      </c>
      <c r="W2412">
        <v>-0.10041410000000001</v>
      </c>
      <c r="X2412">
        <v>0.99487250000000005</v>
      </c>
      <c r="Y2412">
        <v>5.2245100000000003E-2</v>
      </c>
      <c r="Z2412">
        <v>3.0529489999999999E-2</v>
      </c>
      <c r="AA2412">
        <v>0.99816749999999999</v>
      </c>
      <c r="AB2412">
        <v>21</v>
      </c>
      <c r="AC2412">
        <v>-1.28219999999998</v>
      </c>
      <c r="AD2412">
        <v>-1.119099269288</v>
      </c>
      <c r="AE2412">
        <v>-29.122599999999899</v>
      </c>
      <c r="AF2412">
        <v>1.53064671252616</v>
      </c>
      <c r="AG2412">
        <v>-1.119099269288</v>
      </c>
      <c r="AH2412">
        <v>29.067640913643299</v>
      </c>
      <c r="AI2412">
        <v>92.201741475688806</v>
      </c>
      <c r="AJ2412">
        <v>86.985697209104103</v>
      </c>
      <c r="AK2412">
        <v>29.129418305513699</v>
      </c>
      <c r="AL2412">
        <v>95.763016696227496</v>
      </c>
      <c r="AM2412">
        <v>89.304840118649594</v>
      </c>
      <c r="AN2412">
        <v>0.99999999842296206</v>
      </c>
    </row>
    <row r="2413" spans="1:40" x14ac:dyDescent="0.25">
      <c r="A2413" t="str">
        <f>"20190303154513394"</f>
        <v>20190303154513394</v>
      </c>
      <c r="B2413" t="str">
        <f>"1551599113383280"</f>
        <v>1551599113383280</v>
      </c>
      <c r="C2413" t="s">
        <v>40</v>
      </c>
      <c r="D2413">
        <v>5.1459609999999998</v>
      </c>
      <c r="E2413">
        <v>0.51481670000000002</v>
      </c>
      <c r="F2413" t="s">
        <v>41</v>
      </c>
      <c r="G2413">
        <v>-493.7527</v>
      </c>
      <c r="H2413" s="1">
        <v>-2.204938E-6</v>
      </c>
      <c r="I2413">
        <v>232.4014</v>
      </c>
      <c r="J2413">
        <v>-492.52140000000003</v>
      </c>
      <c r="K2413">
        <v>1.1191329999999999</v>
      </c>
      <c r="L2413">
        <v>259.1037</v>
      </c>
      <c r="M2413">
        <v>6.6390659999999999E-3</v>
      </c>
      <c r="N2413">
        <v>-7.99248199999999E-3</v>
      </c>
      <c r="O2413">
        <v>-0.99994620000000001</v>
      </c>
      <c r="P2413">
        <v>-5.462916E-3</v>
      </c>
      <c r="Q2413">
        <v>-0.11130180000000001</v>
      </c>
      <c r="R2413">
        <v>-0.99377170000000004</v>
      </c>
      <c r="S2413">
        <v>-0.13748170000000001</v>
      </c>
      <c r="T2413">
        <v>-0.12490610000000001</v>
      </c>
      <c r="U2413">
        <v>-3.0035400000000001</v>
      </c>
      <c r="V2413">
        <v>1.1758269999999999E-2</v>
      </c>
      <c r="W2413">
        <v>-0.10339089999999999</v>
      </c>
      <c r="X2413">
        <v>0.99457130000000005</v>
      </c>
      <c r="Y2413">
        <v>5.232063E-2</v>
      </c>
      <c r="Z2413">
        <v>3.3510730000000002E-2</v>
      </c>
      <c r="AA2413">
        <v>0.99806790000000001</v>
      </c>
      <c r="AB2413">
        <v>21</v>
      </c>
      <c r="AC2413">
        <v>-1.2312999999999701</v>
      </c>
      <c r="AD2413">
        <v>-1.1191352049379999</v>
      </c>
      <c r="AE2413">
        <v>-26.702300000000001</v>
      </c>
      <c r="AF2413">
        <v>1.40609215278154</v>
      </c>
      <c r="AG2413">
        <v>-1.1191352049379999</v>
      </c>
      <c r="AH2413">
        <v>26.646828580822799</v>
      </c>
      <c r="AI2413">
        <v>92.401604135728405</v>
      </c>
      <c r="AJ2413">
        <v>86.979434298974397</v>
      </c>
      <c r="AK2413">
        <v>26.7073591387243</v>
      </c>
      <c r="AL2413">
        <v>95.934467316652004</v>
      </c>
      <c r="AM2413">
        <v>89.322655037116107</v>
      </c>
      <c r="AN2413">
        <v>1.0000000029499401</v>
      </c>
    </row>
    <row r="2414" spans="1:40" x14ac:dyDescent="0.25">
      <c r="A2414" t="str">
        <f>"20190303154513418"</f>
        <v>20190303154513418</v>
      </c>
      <c r="B2414" t="str">
        <f>"1551599113413546"</f>
        <v>1551599113413546</v>
      </c>
      <c r="C2414" t="s">
        <v>40</v>
      </c>
      <c r="D2414">
        <v>5.1938069999999996</v>
      </c>
      <c r="E2414">
        <v>0.51418850000000005</v>
      </c>
      <c r="F2414" t="s">
        <v>41</v>
      </c>
      <c r="G2414">
        <v>-493.60939999999999</v>
      </c>
      <c r="H2414" s="1">
        <v>-3.4448480000000001E-6</v>
      </c>
      <c r="I2414">
        <v>235.38050000000001</v>
      </c>
      <c r="J2414">
        <v>-492.52249999999998</v>
      </c>
      <c r="K2414">
        <v>1.119173</v>
      </c>
      <c r="L2414">
        <v>258.8768</v>
      </c>
      <c r="M2414">
        <v>4.4894469999999997E-3</v>
      </c>
      <c r="N2414">
        <v>-8.4579019999999998E-3</v>
      </c>
      <c r="O2414">
        <v>-0.99995429999999996</v>
      </c>
      <c r="P2414">
        <v>-7.3506219999999898E-3</v>
      </c>
      <c r="Q2414">
        <v>-0.1143315</v>
      </c>
      <c r="R2414">
        <v>-0.99341579999999996</v>
      </c>
      <c r="S2414">
        <v>-0.13769529999999999</v>
      </c>
      <c r="T2414">
        <v>-0.14162620000000001</v>
      </c>
      <c r="U2414">
        <v>-3.002167</v>
      </c>
      <c r="V2414">
        <v>1.1499530000000001E-2</v>
      </c>
      <c r="W2414">
        <v>-0.10595980000000001</v>
      </c>
      <c r="X2414">
        <v>0.99430390000000002</v>
      </c>
      <c r="Y2414">
        <v>5.0255590000000003E-2</v>
      </c>
      <c r="Z2414">
        <v>3.8616039999999997E-2</v>
      </c>
      <c r="AA2414">
        <v>0.99798960000000003</v>
      </c>
      <c r="AB2414">
        <v>21</v>
      </c>
      <c r="AC2414">
        <v>-1.08690000000001</v>
      </c>
      <c r="AD2414">
        <v>-1.1191764448479999</v>
      </c>
      <c r="AE2414">
        <v>-23.496299999999898</v>
      </c>
      <c r="AF2414">
        <v>1.1896847915992399</v>
      </c>
      <c r="AG2414">
        <v>-1.1191764448479999</v>
      </c>
      <c r="AH2414">
        <v>23.438120342519301</v>
      </c>
      <c r="AI2414">
        <v>92.730302484588606</v>
      </c>
      <c r="AJ2414">
        <v>87.094243608270801</v>
      </c>
      <c r="AK2414">
        <v>23.494965226798801</v>
      </c>
      <c r="AL2414">
        <v>96.082467661696896</v>
      </c>
      <c r="AM2414">
        <v>89.337380492003007</v>
      </c>
      <c r="AN2414">
        <v>0.99999998198073503</v>
      </c>
    </row>
    <row r="2415" spans="1:40" x14ac:dyDescent="0.25">
      <c r="A2415" t="str">
        <f>"20190303154513442"</f>
        <v>20190303154513442</v>
      </c>
      <c r="B2415" t="str">
        <f>"1551599113433056"</f>
        <v>1551599113433056</v>
      </c>
      <c r="C2415" t="s">
        <v>40</v>
      </c>
      <c r="D2415">
        <v>5.201695</v>
      </c>
      <c r="E2415">
        <v>0.51406379999999996</v>
      </c>
      <c r="F2415" t="s">
        <v>41</v>
      </c>
      <c r="G2415">
        <v>-493.49930000000001</v>
      </c>
      <c r="H2415" s="1">
        <v>-4.2513670000000002E-6</v>
      </c>
      <c r="I2415">
        <v>237.65559999999999</v>
      </c>
      <c r="J2415">
        <v>-492.524</v>
      </c>
      <c r="K2415">
        <v>1.119213</v>
      </c>
      <c r="L2415">
        <v>258.64859999999999</v>
      </c>
      <c r="M2415">
        <v>2.3240549999999998E-3</v>
      </c>
      <c r="N2415">
        <v>-8.9039779999999999E-3</v>
      </c>
      <c r="O2415">
        <v>-0.99995789999999996</v>
      </c>
      <c r="P2415">
        <v>-8.9665179999999997E-3</v>
      </c>
      <c r="Q2415">
        <v>-0.11594</v>
      </c>
      <c r="R2415">
        <v>-0.99321599999999999</v>
      </c>
      <c r="S2415">
        <v>-0.13812260000000001</v>
      </c>
      <c r="T2415">
        <v>-0.15825049999999999</v>
      </c>
      <c r="U2415">
        <v>-3.0006560000000002</v>
      </c>
      <c r="V2415">
        <v>1.095985E-2</v>
      </c>
      <c r="W2415">
        <v>-0.10712480000000001</v>
      </c>
      <c r="X2415">
        <v>0.99418510000000004</v>
      </c>
      <c r="Y2415">
        <v>4.8246480000000001E-2</v>
      </c>
      <c r="Z2415">
        <v>4.3712590000000003E-2</v>
      </c>
      <c r="AA2415">
        <v>0.9978785</v>
      </c>
      <c r="AB2415">
        <v>21</v>
      </c>
      <c r="AC2415">
        <v>-0.97530000000000405</v>
      </c>
      <c r="AD2415">
        <v>-1.119217251367</v>
      </c>
      <c r="AE2415">
        <v>-20.992999999999899</v>
      </c>
      <c r="AF2415">
        <v>1.02119182676964</v>
      </c>
      <c r="AG2415">
        <v>-1.119217251367</v>
      </c>
      <c r="AH2415">
        <v>20.931310281558101</v>
      </c>
      <c r="AI2415">
        <v>93.057116236824001</v>
      </c>
      <c r="AJ2415">
        <v>87.206881727344197</v>
      </c>
      <c r="AK2415">
        <v>20.986072288679502</v>
      </c>
      <c r="AL2415">
        <v>96.149599691072396</v>
      </c>
      <c r="AM2415">
        <v>89.368399593714301</v>
      </c>
      <c r="AN2415">
        <v>0.999999927074533</v>
      </c>
    </row>
    <row r="2416" spans="1:40" x14ac:dyDescent="0.25">
      <c r="A2416" t="str">
        <f>"20190303154513463"</f>
        <v>20190303154513463</v>
      </c>
      <c r="B2416" t="str">
        <f>"1551599113453552"</f>
        <v>1551599113453552</v>
      </c>
      <c r="C2416" t="s">
        <v>40</v>
      </c>
      <c r="D2416">
        <v>5.1890830000000001</v>
      </c>
      <c r="E2416">
        <v>0.51396540000000002</v>
      </c>
      <c r="F2416" t="s">
        <v>41</v>
      </c>
      <c r="G2416">
        <v>-493.48410000000001</v>
      </c>
      <c r="H2416" s="1">
        <v>-4.507682E-6</v>
      </c>
      <c r="I2416">
        <v>238.41669999999999</v>
      </c>
      <c r="J2416">
        <v>-492.5258</v>
      </c>
      <c r="K2416">
        <v>1.119256</v>
      </c>
      <c r="L2416">
        <v>258.43990000000002</v>
      </c>
      <c r="M2416">
        <v>3.4136980000000001E-4</v>
      </c>
      <c r="N2416">
        <v>-9.3068119999999994E-3</v>
      </c>
      <c r="O2416">
        <v>-0.99995679999999998</v>
      </c>
      <c r="P2416">
        <v>-9.7540679999999994E-3</v>
      </c>
      <c r="Q2416">
        <v>-0.1154072</v>
      </c>
      <c r="R2416">
        <v>-0.99327049999999995</v>
      </c>
      <c r="S2416">
        <v>-0.1423645</v>
      </c>
      <c r="T2416">
        <v>-0.16595079999999901</v>
      </c>
      <c r="U2416">
        <v>-2.9998629999999999</v>
      </c>
      <c r="V2416">
        <v>9.7814779999999997E-3</v>
      </c>
      <c r="W2416">
        <v>-0.1061873</v>
      </c>
      <c r="X2416">
        <v>0.99429800000000002</v>
      </c>
      <c r="Y2416">
        <v>4.7680420000000001E-2</v>
      </c>
      <c r="Z2416">
        <v>4.5877559999999998E-2</v>
      </c>
      <c r="AA2416">
        <v>0.99780849999999999</v>
      </c>
      <c r="AB2416">
        <v>21</v>
      </c>
      <c r="AC2416">
        <v>-0.95830000000000803</v>
      </c>
      <c r="AD2416">
        <v>-1.1192605076819999</v>
      </c>
      <c r="AE2416">
        <v>-20.023199999999999</v>
      </c>
      <c r="AF2416">
        <v>0.96213612791438896</v>
      </c>
      <c r="AG2416">
        <v>-1.1192605076819999</v>
      </c>
      <c r="AH2416">
        <v>19.9606450468148</v>
      </c>
      <c r="AI2416">
        <v>93.205692083338405</v>
      </c>
      <c r="AJ2416">
        <v>87.240384505056795</v>
      </c>
      <c r="AK2416">
        <v>20.015139287490001</v>
      </c>
      <c r="AL2416">
        <v>96.095576502933596</v>
      </c>
      <c r="AM2416">
        <v>89.436366835147595</v>
      </c>
      <c r="AN2416">
        <v>0.99999996639857602</v>
      </c>
    </row>
    <row r="2417" spans="1:40" x14ac:dyDescent="0.25">
      <c r="A2417" t="str">
        <f>"20190303154513484"</f>
        <v>20190303154513484</v>
      </c>
      <c r="B2417" t="str">
        <f>"1551599113473073"</f>
        <v>1551599113473073</v>
      </c>
      <c r="C2417" t="s">
        <v>40</v>
      </c>
      <c r="D2417">
        <v>5.2518729999999998</v>
      </c>
      <c r="E2417">
        <v>0.51388809999999996</v>
      </c>
      <c r="F2417" t="s">
        <v>41</v>
      </c>
      <c r="G2417">
        <v>-493.48430000000002</v>
      </c>
      <c r="H2417" s="1">
        <v>-4.5207889999999999E-6</v>
      </c>
      <c r="I2417">
        <v>238.45509999999999</v>
      </c>
      <c r="J2417">
        <v>-492.52800000000002</v>
      </c>
      <c r="K2417">
        <v>1.119302</v>
      </c>
      <c r="L2417">
        <v>258.23750000000001</v>
      </c>
      <c r="M2417">
        <v>-1.5807359999999999E-3</v>
      </c>
      <c r="N2417">
        <v>-9.6924100000000003E-3</v>
      </c>
      <c r="O2417">
        <v>-0.99995199999999995</v>
      </c>
      <c r="P2417">
        <v>-1.023779E-2</v>
      </c>
      <c r="Q2417">
        <v>-0.11496530000000001</v>
      </c>
      <c r="R2417">
        <v>-0.99331720000000001</v>
      </c>
      <c r="S2417">
        <v>-0.14385990000000001</v>
      </c>
      <c r="T2417">
        <v>-0.16798289999999999</v>
      </c>
      <c r="U2417">
        <v>-2.99939</v>
      </c>
      <c r="V2417">
        <v>8.3596899999999995E-3</v>
      </c>
      <c r="W2417">
        <v>-0.10535700000000001</v>
      </c>
      <c r="X2417">
        <v>0.99439929999999999</v>
      </c>
      <c r="Y2417">
        <v>4.6263100000000001E-2</v>
      </c>
      <c r="Z2417">
        <v>4.6176519999999999E-2</v>
      </c>
      <c r="AA2417">
        <v>0.99786140000000001</v>
      </c>
      <c r="AB2417">
        <v>21</v>
      </c>
      <c r="AC2417">
        <v>-0.95629999999999804</v>
      </c>
      <c r="AD2417">
        <v>-1.1193065207889901</v>
      </c>
      <c r="AE2417">
        <v>-19.782399999999999</v>
      </c>
      <c r="AF2417">
        <v>0.92208152053339298</v>
      </c>
      <c r="AG2417">
        <v>-1.1193065207889901</v>
      </c>
      <c r="AH2417">
        <v>19.7208996897043</v>
      </c>
      <c r="AI2417">
        <v>93.244935412558505</v>
      </c>
      <c r="AJ2417">
        <v>87.322995848308196</v>
      </c>
      <c r="AK2417">
        <v>19.774148932112599</v>
      </c>
      <c r="AL2417">
        <v>96.047735393266706</v>
      </c>
      <c r="AM2417">
        <v>89.518338687639101</v>
      </c>
      <c r="AN2417">
        <v>0.99999997485319203</v>
      </c>
    </row>
    <row r="2418" spans="1:40" x14ac:dyDescent="0.25">
      <c r="A2418" t="str">
        <f>"20190303154513506"</f>
        <v>20190303154513506</v>
      </c>
      <c r="B2418" t="str">
        <f>"1551599113503329"</f>
        <v>1551599113503329</v>
      </c>
      <c r="C2418" t="s">
        <v>40</v>
      </c>
      <c r="D2418">
        <v>5.2019190000000002</v>
      </c>
      <c r="E2418">
        <v>0.51369189999999998</v>
      </c>
      <c r="F2418" t="s">
        <v>41</v>
      </c>
      <c r="G2418">
        <v>-493.4819</v>
      </c>
      <c r="H2418" s="1">
        <v>-4.4949010000000002E-6</v>
      </c>
      <c r="I2418">
        <v>238.38030000000001</v>
      </c>
      <c r="J2418">
        <v>-492.53070000000002</v>
      </c>
      <c r="K2418">
        <v>1.1193500000000001</v>
      </c>
      <c r="L2418">
        <v>258.03129999999999</v>
      </c>
      <c r="M2418">
        <v>-3.5397599999999999E-3</v>
      </c>
      <c r="N2418">
        <v>-1.008799E-2</v>
      </c>
      <c r="O2418">
        <v>-0.99994289999999997</v>
      </c>
      <c r="P2418">
        <v>-1.0097180000000001E-2</v>
      </c>
      <c r="Q2418">
        <v>-0.1154979</v>
      </c>
      <c r="R2418">
        <v>-0.99325649999999999</v>
      </c>
      <c r="S2418">
        <v>-0.14407349999999999</v>
      </c>
      <c r="T2418">
        <v>-0.16905390000000001</v>
      </c>
      <c r="U2418">
        <v>-2.9991300000000001</v>
      </c>
      <c r="V2418">
        <v>6.274908E-3</v>
      </c>
      <c r="W2418">
        <v>-0.1054904</v>
      </c>
      <c r="X2418">
        <v>0.99440050000000002</v>
      </c>
      <c r="Y2418">
        <v>4.4380959999999997E-2</v>
      </c>
      <c r="Z2418">
        <v>4.6143730000000001E-2</v>
      </c>
      <c r="AA2418">
        <v>0.99794850000000002</v>
      </c>
      <c r="AB2418">
        <v>21</v>
      </c>
      <c r="AC2418">
        <v>-0.95119999999997096</v>
      </c>
      <c r="AD2418">
        <v>-1.1193544949009999</v>
      </c>
      <c r="AE2418">
        <v>-19.6509999999999</v>
      </c>
      <c r="AF2418">
        <v>0.87878600455257105</v>
      </c>
      <c r="AG2418">
        <v>-1.1193544949009999</v>
      </c>
      <c r="AH2418">
        <v>19.590827546528899</v>
      </c>
      <c r="AI2418">
        <v>93.266856204290306</v>
      </c>
      <c r="AJ2418">
        <v>87.431604221448396</v>
      </c>
      <c r="AK2418">
        <v>19.6424474871359</v>
      </c>
      <c r="AL2418">
        <v>96.055421470880205</v>
      </c>
      <c r="AM2418">
        <v>89.638454552926206</v>
      </c>
      <c r="AN2418">
        <v>0.99999997668140905</v>
      </c>
    </row>
    <row r="2419" spans="1:40" x14ac:dyDescent="0.25">
      <c r="A2419" t="str">
        <f>"20190303154513528"</f>
        <v>20190303154513528</v>
      </c>
      <c r="B2419" t="str">
        <f>"1551599113522849"</f>
        <v>1551599113522849</v>
      </c>
      <c r="C2419" t="s">
        <v>40</v>
      </c>
      <c r="D2419">
        <v>5.1887089999999896</v>
      </c>
      <c r="E2419">
        <v>0.51353110000000002</v>
      </c>
      <c r="F2419" t="s">
        <v>41</v>
      </c>
      <c r="G2419">
        <v>-493.44319999999999</v>
      </c>
      <c r="H2419" s="1">
        <v>-4.6039110000000002E-6</v>
      </c>
      <c r="I2419">
        <v>238.7208</v>
      </c>
      <c r="J2419">
        <v>-492.53390000000002</v>
      </c>
      <c r="K2419">
        <v>1.1194059999999999</v>
      </c>
      <c r="L2419">
        <v>257.81700000000001</v>
      </c>
      <c r="M2419">
        <v>-5.5733079999999999E-3</v>
      </c>
      <c r="N2419">
        <v>-1.0514030000000001E-2</v>
      </c>
      <c r="O2419">
        <v>-0.99992919999999996</v>
      </c>
      <c r="P2419">
        <v>-9.8669399999999994E-3</v>
      </c>
      <c r="Q2419">
        <v>-0.1176381</v>
      </c>
      <c r="R2419">
        <v>-0.99300739999999998</v>
      </c>
      <c r="S2419">
        <v>-0.14169309999999999</v>
      </c>
      <c r="T2419">
        <v>-0.17382590000000001</v>
      </c>
      <c r="U2419">
        <v>-2.9987490000000001</v>
      </c>
      <c r="V2419">
        <v>4.0238979999999997E-3</v>
      </c>
      <c r="W2419">
        <v>-0.1072027</v>
      </c>
      <c r="X2419">
        <v>0.99422900000000003</v>
      </c>
      <c r="Y2419">
        <v>4.1562149999999999E-2</v>
      </c>
      <c r="Z2419">
        <v>4.7312269999999997E-2</v>
      </c>
      <c r="AA2419">
        <v>0.99801510000000004</v>
      </c>
      <c r="AB2419">
        <v>21</v>
      </c>
      <c r="AC2419">
        <v>-0.90929999999997302</v>
      </c>
      <c r="AD2419">
        <v>-1.1194106039109999</v>
      </c>
      <c r="AE2419">
        <v>-19.0962</v>
      </c>
      <c r="AF2419">
        <v>0.80010783748344005</v>
      </c>
      <c r="AG2419">
        <v>-1.1194106039109999</v>
      </c>
      <c r="AH2419">
        <v>19.035707971709702</v>
      </c>
      <c r="AI2419">
        <v>93.362487952973495</v>
      </c>
      <c r="AJ2419">
        <v>87.593163632080106</v>
      </c>
      <c r="AK2419">
        <v>19.085372163936501</v>
      </c>
      <c r="AL2419">
        <v>96.154088695941695</v>
      </c>
      <c r="AM2419">
        <v>89.768110652810606</v>
      </c>
      <c r="AN2419">
        <v>0.99999995754170101</v>
      </c>
    </row>
    <row r="2420" spans="1:40" x14ac:dyDescent="0.25">
      <c r="A2420" t="str">
        <f>"20190303154513550"</f>
        <v>20190303154513550</v>
      </c>
      <c r="B2420" t="str">
        <f>"1551599113543345"</f>
        <v>1551599113543345</v>
      </c>
      <c r="C2420" t="s">
        <v>40</v>
      </c>
      <c r="D2420">
        <v>5.1063879999999999</v>
      </c>
      <c r="E2420">
        <v>0.51347200000000004</v>
      </c>
      <c r="F2420" t="s">
        <v>41</v>
      </c>
      <c r="G2420">
        <v>-493.39069999999998</v>
      </c>
      <c r="H2420" s="1">
        <v>-4.8262649999999999E-6</v>
      </c>
      <c r="I2420">
        <v>239.4016</v>
      </c>
      <c r="J2420">
        <v>-492.53739999999999</v>
      </c>
      <c r="K2420">
        <v>1.119469</v>
      </c>
      <c r="L2420">
        <v>257.60840000000002</v>
      </c>
      <c r="M2420">
        <v>-7.5485300000000003E-3</v>
      </c>
      <c r="N2420">
        <v>-1.093625E-2</v>
      </c>
      <c r="O2420">
        <v>-0.99991169999999996</v>
      </c>
      <c r="P2420">
        <v>-1.0377310000000001E-2</v>
      </c>
      <c r="Q2420">
        <v>-0.119106</v>
      </c>
      <c r="R2420">
        <v>-0.99282749999999997</v>
      </c>
      <c r="S2420">
        <v>-0.139495799999999</v>
      </c>
      <c r="T2420">
        <v>-0.1822481</v>
      </c>
      <c r="U2420">
        <v>-2.998154</v>
      </c>
      <c r="V2420">
        <v>2.5739000000000001E-3</v>
      </c>
      <c r="W2420">
        <v>-0.10824830000000001</v>
      </c>
      <c r="X2420">
        <v>0.99412049999999996</v>
      </c>
      <c r="Y2420">
        <v>3.8862170000000001E-2</v>
      </c>
      <c r="Z2420">
        <v>4.9698800000000001E-2</v>
      </c>
      <c r="AA2420">
        <v>0.99800789999999995</v>
      </c>
      <c r="AB2420">
        <v>21</v>
      </c>
      <c r="AC2420">
        <v>-0.85329999999998996</v>
      </c>
      <c r="AD2420">
        <v>-1.1194738262649999</v>
      </c>
      <c r="AE2420">
        <v>-18.206800000000001</v>
      </c>
      <c r="AF2420">
        <v>0.71314269230430705</v>
      </c>
      <c r="AG2420">
        <v>-1.1194738262649999</v>
      </c>
      <c r="AH2420">
        <v>18.144276865412699</v>
      </c>
      <c r="AI2420">
        <v>93.527868584679496</v>
      </c>
      <c r="AJ2420">
        <v>87.749205109107507</v>
      </c>
      <c r="AK2420">
        <v>18.192761668202799</v>
      </c>
      <c r="AL2420">
        <v>96.214347920577296</v>
      </c>
      <c r="AM2420">
        <v>89.851654525424706</v>
      </c>
      <c r="AN2420">
        <v>0.99999994396717296</v>
      </c>
    </row>
    <row r="2421" spans="1:40" x14ac:dyDescent="0.25">
      <c r="A2421" t="str">
        <f>"20190303154513573"</f>
        <v>20190303154513573</v>
      </c>
      <c r="B2421" t="str">
        <f>"1551599113562865"</f>
        <v>1551599113562865</v>
      </c>
      <c r="C2421" t="s">
        <v>40</v>
      </c>
      <c r="D2421">
        <v>5.0580210000000001</v>
      </c>
      <c r="E2421">
        <v>0.4884735</v>
      </c>
      <c r="F2421" t="s">
        <v>41</v>
      </c>
      <c r="G2421">
        <v>-493.38290000000001</v>
      </c>
      <c r="H2421" s="1">
        <v>-9.2174420000000004E-7</v>
      </c>
      <c r="I2421">
        <v>239.6396</v>
      </c>
      <c r="J2421">
        <v>-492.54149999999998</v>
      </c>
      <c r="K2421">
        <v>1.119537</v>
      </c>
      <c r="L2421">
        <v>257.39019999999999</v>
      </c>
      <c r="M2421">
        <v>-9.6077109999999997E-3</v>
      </c>
      <c r="N2421">
        <v>-1.136388E-2</v>
      </c>
      <c r="O2421">
        <v>-0.99988940000000004</v>
      </c>
      <c r="P2421">
        <v>-1.039963E-2</v>
      </c>
      <c r="Q2421">
        <v>-0.11939429999999999</v>
      </c>
      <c r="R2421">
        <v>-0.99279269999999997</v>
      </c>
      <c r="S2421">
        <v>-0.14105219999999999</v>
      </c>
      <c r="T2421">
        <v>-0.18676200000000001</v>
      </c>
      <c r="U2421">
        <v>-2.997757</v>
      </c>
      <c r="V2421">
        <v>5.5529929999999998E-4</v>
      </c>
      <c r="W2421">
        <v>-0.10810599999999999</v>
      </c>
      <c r="X2421">
        <v>0.9941392</v>
      </c>
      <c r="Y2421">
        <v>3.732448E-2</v>
      </c>
      <c r="Z2421">
        <v>5.0776479999999999E-2</v>
      </c>
      <c r="AA2421">
        <v>0.99801240000000002</v>
      </c>
      <c r="AB2421">
        <v>21</v>
      </c>
      <c r="AC2421">
        <v>-0.84140000000002102</v>
      </c>
      <c r="AD2421">
        <v>-1.1195379217442001</v>
      </c>
      <c r="AE2421">
        <v>-17.750599999999899</v>
      </c>
      <c r="AF2421">
        <v>0.668155650676722</v>
      </c>
      <c r="AG2421">
        <v>-1.1195379217442001</v>
      </c>
      <c r="AH2421">
        <v>17.687663415979699</v>
      </c>
      <c r="AI2421">
        <v>93.619121807333897</v>
      </c>
      <c r="AJ2421">
        <v>87.836667048060207</v>
      </c>
      <c r="AK2421">
        <v>17.735648684182401</v>
      </c>
      <c r="AL2421">
        <v>96.206146363599501</v>
      </c>
      <c r="AM2421">
        <v>89.967996128763801</v>
      </c>
      <c r="AN2421">
        <v>0.999999982284976</v>
      </c>
    </row>
    <row r="2422" spans="1:40" x14ac:dyDescent="0.25">
      <c r="A2422" t="str">
        <f>"20190303154513595"</f>
        <v>20190303154513595</v>
      </c>
      <c r="B2422" t="str">
        <f>"1551599113583361"</f>
        <v>1551599113583361</v>
      </c>
      <c r="C2422" t="s">
        <v>40</v>
      </c>
      <c r="D2422">
        <v>5.0682850000000004</v>
      </c>
      <c r="E2422">
        <v>0.48114380000000001</v>
      </c>
      <c r="F2422" t="s">
        <v>41</v>
      </c>
      <c r="G2422">
        <v>-492.17559999999997</v>
      </c>
      <c r="H2422" s="1">
        <v>-4.3720029999999997E-6</v>
      </c>
      <c r="I2422">
        <v>238.70009999999999</v>
      </c>
      <c r="J2422">
        <v>-492.54570000000001</v>
      </c>
      <c r="K2422">
        <v>1.1195949999999999</v>
      </c>
      <c r="L2422">
        <v>257.18369999999999</v>
      </c>
      <c r="M2422">
        <v>-1.1536329999999999E-2</v>
      </c>
      <c r="N2422">
        <v>-1.173664E-2</v>
      </c>
      <c r="O2422">
        <v>-0.99986470000000005</v>
      </c>
      <c r="P2422">
        <v>-1.0776569999999999E-2</v>
      </c>
      <c r="Q2422">
        <v>-0.1191453</v>
      </c>
      <c r="R2422">
        <v>-0.99281870000000005</v>
      </c>
      <c r="S2422">
        <v>5.8746340000000001E-2</v>
      </c>
      <c r="T2422">
        <v>-0.17974870000000001</v>
      </c>
      <c r="U2422">
        <v>-3.0008089999999998</v>
      </c>
      <c r="V2422">
        <v>-9.783165999999999E-4</v>
      </c>
      <c r="W2422">
        <v>-0.1074817</v>
      </c>
      <c r="X2422">
        <v>0.99420660000000005</v>
      </c>
      <c r="Y2422">
        <v>-3.1071029999999999E-2</v>
      </c>
      <c r="Z2422">
        <v>4.8045699999999997E-2</v>
      </c>
      <c r="AA2422">
        <v>0.99836179999999997</v>
      </c>
      <c r="AB2422">
        <v>21</v>
      </c>
      <c r="AC2422">
        <v>0.37010000000003601</v>
      </c>
      <c r="AD2422">
        <v>-1.119599372003</v>
      </c>
      <c r="AE2422">
        <v>-18.483599999999999</v>
      </c>
      <c r="AF2422">
        <v>-0.58119137950722699</v>
      </c>
      <c r="AG2422">
        <v>-1.119599372003</v>
      </c>
      <c r="AH2422">
        <v>18.410577905753399</v>
      </c>
      <c r="AI2422">
        <v>93.478304373919201</v>
      </c>
      <c r="AJ2422">
        <v>91.808132159689805</v>
      </c>
      <c r="AK2422">
        <v>18.4537439290031</v>
      </c>
      <c r="AL2422">
        <v>96.170166742339802</v>
      </c>
      <c r="AM2422">
        <v>90.056380026159104</v>
      </c>
      <c r="AN2422">
        <v>1.0000000182108999</v>
      </c>
    </row>
    <row r="2423" spans="1:40" x14ac:dyDescent="0.25">
      <c r="A2423" t="str">
        <f>"20190303154513618"</f>
        <v>20190303154513618</v>
      </c>
      <c r="B2423" t="str">
        <f>"1551599113613617"</f>
        <v>1551599113613617</v>
      </c>
      <c r="C2423" t="s">
        <v>40</v>
      </c>
      <c r="D2423">
        <v>5.1123940000000001</v>
      </c>
      <c r="E2423">
        <v>0.47789340000000002</v>
      </c>
      <c r="F2423" t="s">
        <v>41</v>
      </c>
      <c r="G2423">
        <v>-491.87740000000002</v>
      </c>
      <c r="H2423" s="1">
        <v>-6.4938249999999897E-7</v>
      </c>
      <c r="I2423">
        <v>239.9384</v>
      </c>
      <c r="J2423">
        <v>-492.55059999999997</v>
      </c>
      <c r="K2423">
        <v>1.1196469999999901</v>
      </c>
      <c r="L2423">
        <v>256.96730000000002</v>
      </c>
      <c r="M2423">
        <v>-1.35162999999999E-2</v>
      </c>
      <c r="N2423">
        <v>-1.208702E-2</v>
      </c>
      <c r="O2423">
        <v>-0.9998359</v>
      </c>
      <c r="P2423">
        <v>-1.143605E-2</v>
      </c>
      <c r="Q2423">
        <v>-0.1198188</v>
      </c>
      <c r="R2423">
        <v>-0.99273040000000001</v>
      </c>
      <c r="S2423">
        <v>0.1162415</v>
      </c>
      <c r="T2423">
        <v>-0.1947372</v>
      </c>
      <c r="U2423">
        <v>-2.9995569999999998</v>
      </c>
      <c r="V2423">
        <v>-2.2786220000000001E-3</v>
      </c>
      <c r="W2423">
        <v>-0.10780430000000001</v>
      </c>
      <c r="X2423">
        <v>0.99416950000000004</v>
      </c>
      <c r="Y2423">
        <v>-5.214945E-2</v>
      </c>
      <c r="Z2423">
        <v>5.2638919999999999E-2</v>
      </c>
      <c r="AA2423">
        <v>0.997251</v>
      </c>
      <c r="AB2423">
        <v>21</v>
      </c>
      <c r="AC2423">
        <v>0.67319999999995095</v>
      </c>
      <c r="AD2423">
        <v>-1.1196476493824901</v>
      </c>
      <c r="AE2423">
        <v>-17.0289</v>
      </c>
      <c r="AF2423">
        <v>-0.89944070677379495</v>
      </c>
      <c r="AG2423">
        <v>-1.1196476493824901</v>
      </c>
      <c r="AH2423">
        <v>16.9451042516482</v>
      </c>
      <c r="AI2423">
        <v>93.775024289427805</v>
      </c>
      <c r="AJ2423">
        <v>93.038390260884697</v>
      </c>
      <c r="AK2423">
        <v>17.0058567129973</v>
      </c>
      <c r="AL2423">
        <v>96.188758641419</v>
      </c>
      <c r="AM2423">
        <v>90.131320861377503</v>
      </c>
      <c r="AN2423">
        <v>0.99999997697347898</v>
      </c>
    </row>
    <row r="2424" spans="1:40" x14ac:dyDescent="0.25">
      <c r="A2424" t="str">
        <f>"20190303154513633"</f>
        <v>20190303154513633</v>
      </c>
      <c r="B2424" t="str">
        <f>"1551599113623377"</f>
        <v>1551599113623377</v>
      </c>
      <c r="C2424" t="s">
        <v>40</v>
      </c>
      <c r="D2424">
        <v>5.0894599999999999</v>
      </c>
      <c r="E2424">
        <v>0.47706660000000001</v>
      </c>
      <c r="F2424" t="s">
        <v>41</v>
      </c>
      <c r="G2424">
        <v>-491.7706</v>
      </c>
      <c r="H2424" s="1">
        <v>-7.6361040000000001E-7</v>
      </c>
      <c r="I2424">
        <v>240.27090000000001</v>
      </c>
      <c r="J2424">
        <v>-492.55380000000002</v>
      </c>
      <c r="K2424">
        <v>1.119688</v>
      </c>
      <c r="L2424">
        <v>256.83139999999997</v>
      </c>
      <c r="M2424">
        <v>-1.472709E-2</v>
      </c>
      <c r="N2424">
        <v>-1.2284160000000001E-2</v>
      </c>
      <c r="O2424">
        <v>-0.99981640000000005</v>
      </c>
      <c r="P2424">
        <v>-1.205522E-2</v>
      </c>
      <c r="Q2424">
        <v>-0.1208161</v>
      </c>
      <c r="R2424">
        <v>-0.99260219999999999</v>
      </c>
      <c r="S2424">
        <v>0.14010619999999999</v>
      </c>
      <c r="T2424">
        <v>-0.20113120000000001</v>
      </c>
      <c r="U2424">
        <v>-2.9993129999999999</v>
      </c>
      <c r="V2424">
        <v>-2.8562470000000001E-3</v>
      </c>
      <c r="W2424">
        <v>-0.1086056</v>
      </c>
      <c r="X2424">
        <v>0.99408079999999999</v>
      </c>
      <c r="Y2424">
        <v>-6.1269669999999998E-2</v>
      </c>
      <c r="Z2424">
        <v>5.4532909999999997E-2</v>
      </c>
      <c r="AA2424">
        <v>0.99663040000000003</v>
      </c>
      <c r="AB2424">
        <v>21</v>
      </c>
      <c r="AC2424">
        <v>0.78320000000002199</v>
      </c>
      <c r="AD2424">
        <v>-1.1196887636104</v>
      </c>
      <c r="AE2424">
        <v>-16.560499999999902</v>
      </c>
      <c r="AF2424">
        <v>-1.0223581887638999</v>
      </c>
      <c r="AG2424">
        <v>-1.1196887636104</v>
      </c>
      <c r="AH2424">
        <v>16.472036660200601</v>
      </c>
      <c r="AI2424">
        <v>93.881260109010796</v>
      </c>
      <c r="AJ2424">
        <v>93.551580593629495</v>
      </c>
      <c r="AK2424">
        <v>16.541671950817999</v>
      </c>
      <c r="AL2424">
        <v>96.234940851379804</v>
      </c>
      <c r="AM2424">
        <v>90.1646248956867</v>
      </c>
      <c r="AN2424">
        <v>0.99999998571346205</v>
      </c>
    </row>
    <row r="2425" spans="1:40" x14ac:dyDescent="0.25">
      <c r="A2425" t="str">
        <f>"20190303154513652"</f>
        <v>20190303154513652</v>
      </c>
      <c r="B2425" t="str">
        <f>"1551599113642898"</f>
        <v>1551599113642898</v>
      </c>
      <c r="C2425" t="s">
        <v>40</v>
      </c>
      <c r="D2425">
        <v>5.1072879999999996</v>
      </c>
      <c r="E2425">
        <v>0.47580109999999998</v>
      </c>
      <c r="F2425" t="s">
        <v>41</v>
      </c>
      <c r="G2425">
        <v>-491.78649999999999</v>
      </c>
      <c r="H2425" s="1">
        <v>-1.0370439999999999E-6</v>
      </c>
      <c r="I2425">
        <v>240.89840000000001</v>
      </c>
      <c r="J2425">
        <v>-492.55860000000001</v>
      </c>
      <c r="K2425">
        <v>1.1197440000000001</v>
      </c>
      <c r="L2425">
        <v>256.64260000000002</v>
      </c>
      <c r="M2425">
        <v>-1.6360960000000001E-2</v>
      </c>
      <c r="N2425">
        <v>-1.2535269999999999E-2</v>
      </c>
      <c r="O2425">
        <v>-0.99978769999999995</v>
      </c>
      <c r="P2425">
        <v>-1.272237E-2</v>
      </c>
      <c r="Q2425">
        <v>-0.1220038</v>
      </c>
      <c r="R2425">
        <v>-0.99244829999999995</v>
      </c>
      <c r="S2425">
        <v>0.14440919999999999</v>
      </c>
      <c r="T2425">
        <v>-0.21072070000000001</v>
      </c>
      <c r="U2425">
        <v>-2.9985050000000002</v>
      </c>
      <c r="V2425">
        <v>-3.7996150000000001E-3</v>
      </c>
      <c r="W2425">
        <v>-0.1095433</v>
      </c>
      <c r="X2425">
        <v>0.99397469999999999</v>
      </c>
      <c r="Y2425">
        <v>-6.4328620000000003E-2</v>
      </c>
      <c r="Z2425">
        <v>5.7460450000000003E-2</v>
      </c>
      <c r="AA2425">
        <v>0.99627310000000002</v>
      </c>
      <c r="AB2425">
        <v>21</v>
      </c>
      <c r="AC2425">
        <v>0.77210000000002299</v>
      </c>
      <c r="AD2425">
        <v>-1.1197450370440001</v>
      </c>
      <c r="AE2425">
        <v>-15.744199999999999</v>
      </c>
      <c r="AF2425">
        <v>-1.0244376803508399</v>
      </c>
      <c r="AG2425">
        <v>-1.1197450370440001</v>
      </c>
      <c r="AH2425">
        <v>15.6504854698654</v>
      </c>
      <c r="AI2425">
        <v>94.083657325502799</v>
      </c>
      <c r="AJ2425">
        <v>93.745081253973495</v>
      </c>
      <c r="AK2425">
        <v>15.723898910619299</v>
      </c>
      <c r="AL2425">
        <v>96.288989885571198</v>
      </c>
      <c r="AM2425">
        <v>90.219020507146098</v>
      </c>
      <c r="AN2425">
        <v>0.99999993794456199</v>
      </c>
    </row>
    <row r="2426" spans="1:40" x14ac:dyDescent="0.25">
      <c r="A2426" t="str">
        <f>"20190303154513675"</f>
        <v>20190303154513675</v>
      </c>
      <c r="B2426" t="str">
        <f>"1551599113663393"</f>
        <v>1551599113663393</v>
      </c>
      <c r="C2426" t="s">
        <v>40</v>
      </c>
      <c r="D2426">
        <v>5.0781980000000004</v>
      </c>
      <c r="E2426">
        <v>0.47489130000000002</v>
      </c>
      <c r="F2426" t="s">
        <v>41</v>
      </c>
      <c r="G2426">
        <v>-491.78890000000001</v>
      </c>
      <c r="H2426" s="1">
        <v>-1.321132E-6</v>
      </c>
      <c r="I2426">
        <v>241.5592</v>
      </c>
      <c r="J2426">
        <v>-492.56420000000003</v>
      </c>
      <c r="K2426">
        <v>1.119829</v>
      </c>
      <c r="L2426">
        <v>256.43099999999998</v>
      </c>
      <c r="M2426">
        <v>-1.8114950000000001E-2</v>
      </c>
      <c r="N2426">
        <v>-1.278522E-2</v>
      </c>
      <c r="O2426">
        <v>-0.99975420000000004</v>
      </c>
      <c r="P2426">
        <v>-1.3543039999999999E-2</v>
      </c>
      <c r="Q2426">
        <v>-0.12245549999999999</v>
      </c>
      <c r="R2426">
        <v>-0.99238179999999998</v>
      </c>
      <c r="S2426">
        <v>0.15295410000000001</v>
      </c>
      <c r="T2426">
        <v>-0.22251940000000001</v>
      </c>
      <c r="U2426">
        <v>-2.9974370000000001</v>
      </c>
      <c r="V2426">
        <v>-4.7024099999999997E-3</v>
      </c>
      <c r="W2426">
        <v>-0.1097456</v>
      </c>
      <c r="X2426">
        <v>0.99394859999999896</v>
      </c>
      <c r="Y2426">
        <v>-6.8912899999999902E-2</v>
      </c>
      <c r="Z2426">
        <v>6.1116719999999999E-2</v>
      </c>
      <c r="AA2426">
        <v>0.99574879999999999</v>
      </c>
      <c r="AB2426">
        <v>21</v>
      </c>
      <c r="AC2426">
        <v>0.77530000000001498</v>
      </c>
      <c r="AD2426">
        <v>-1.119830321132</v>
      </c>
      <c r="AE2426">
        <v>-14.871799999999901</v>
      </c>
      <c r="AF2426">
        <v>-1.03872316516408</v>
      </c>
      <c r="AG2426">
        <v>-1.119830321132</v>
      </c>
      <c r="AH2426">
        <v>14.771785712876</v>
      </c>
      <c r="AI2426">
        <v>94.324590292666002</v>
      </c>
      <c r="AJ2426">
        <v>94.022306599538794</v>
      </c>
      <c r="AK2426">
        <v>14.8505427142951</v>
      </c>
      <c r="AL2426">
        <v>96.300650645910395</v>
      </c>
      <c r="AM2426">
        <v>90.271066568620199</v>
      </c>
      <c r="AN2426">
        <v>1.0000000144105601</v>
      </c>
    </row>
    <row r="2427" spans="1:40" x14ac:dyDescent="0.25">
      <c r="A2427" t="str">
        <f>"20190303154513696"</f>
        <v>20190303154513696</v>
      </c>
      <c r="B2427" t="str">
        <f>"1551599113693649"</f>
        <v>1551599113693649</v>
      </c>
      <c r="C2427" t="s">
        <v>40</v>
      </c>
      <c r="D2427">
        <v>5.069928</v>
      </c>
      <c r="E2427">
        <v>0.47415400000000002</v>
      </c>
      <c r="F2427" t="s">
        <v>41</v>
      </c>
      <c r="G2427">
        <v>-491.80220000000003</v>
      </c>
      <c r="H2427" s="1">
        <v>-1.4862299999999901E-6</v>
      </c>
      <c r="I2427">
        <v>241.9358</v>
      </c>
      <c r="J2427">
        <v>-492.56959999999998</v>
      </c>
      <c r="K2427">
        <v>1.1199209999999999</v>
      </c>
      <c r="L2427">
        <v>256.23689999999999</v>
      </c>
      <c r="M2427">
        <v>-1.9633370000000001E-2</v>
      </c>
      <c r="N2427">
        <v>-1.298616E-2</v>
      </c>
      <c r="O2427">
        <v>-0.99972300000000003</v>
      </c>
      <c r="P2427">
        <v>-1.4127829999999999E-2</v>
      </c>
      <c r="Q2427">
        <v>-0.1224427</v>
      </c>
      <c r="R2427">
        <v>-0.99237520000000001</v>
      </c>
      <c r="S2427">
        <v>0.1575317</v>
      </c>
      <c r="T2427">
        <v>-0.23150409999999999</v>
      </c>
      <c r="U2427">
        <v>-2.996613</v>
      </c>
      <c r="V2427">
        <v>-5.6044700000000003E-3</v>
      </c>
      <c r="W2427">
        <v>-0.1095319</v>
      </c>
      <c r="X2427">
        <v>0.9939675</v>
      </c>
      <c r="Y2427">
        <v>-7.1945819999999994E-2</v>
      </c>
      <c r="Z2427">
        <v>6.3890119999999995E-2</v>
      </c>
      <c r="AA2427">
        <v>0.99536009999999997</v>
      </c>
      <c r="AB2427">
        <v>21</v>
      </c>
      <c r="AC2427">
        <v>0.76739999999995201</v>
      </c>
      <c r="AD2427">
        <v>-1.1199224862299999</v>
      </c>
      <c r="AE2427">
        <v>-14.3010999999999</v>
      </c>
      <c r="AF2427">
        <v>-1.041684713467</v>
      </c>
      <c r="AG2427">
        <v>-1.1199224862299999</v>
      </c>
      <c r="AH2427">
        <v>14.1964652770091</v>
      </c>
      <c r="AI2427">
        <v>94.498530650196201</v>
      </c>
      <c r="AJ2427">
        <v>94.196633903423205</v>
      </c>
      <c r="AK2427">
        <v>14.2786189730926</v>
      </c>
      <c r="AL2427">
        <v>96.288332246913996</v>
      </c>
      <c r="AM2427">
        <v>90.323057921393499</v>
      </c>
      <c r="AN2427">
        <v>1.00000001912892</v>
      </c>
    </row>
    <row r="2428" spans="1:40" x14ac:dyDescent="0.25">
      <c r="A2428" t="str">
        <f>"20190303154513718"</f>
        <v>20190303154513718</v>
      </c>
      <c r="B2428" t="str">
        <f>"1551599113713170"</f>
        <v>1551599113713170</v>
      </c>
      <c r="C2428" t="s">
        <v>40</v>
      </c>
      <c r="D2428">
        <v>5.0718269999999999</v>
      </c>
      <c r="E2428">
        <v>0.47377580000000002</v>
      </c>
      <c r="F2428" t="s">
        <v>41</v>
      </c>
      <c r="G2428">
        <v>-491.80709999999999</v>
      </c>
      <c r="H2428" s="1">
        <v>-1.5671640000000001E-6</v>
      </c>
      <c r="I2428">
        <v>242.12139999999999</v>
      </c>
      <c r="J2428">
        <v>-492.57560000000001</v>
      </c>
      <c r="K2428">
        <v>1.1200190000000001</v>
      </c>
      <c r="L2428">
        <v>256.02670000000001</v>
      </c>
      <c r="M2428">
        <v>-2.115769E-2</v>
      </c>
      <c r="N2428">
        <v>-1.317638E-2</v>
      </c>
      <c r="O2428">
        <v>-0.99968939999999995</v>
      </c>
      <c r="P2428">
        <v>-1.537238E-2</v>
      </c>
      <c r="Q2428">
        <v>-0.12171179999999999</v>
      </c>
      <c r="R2428">
        <v>-0.99244670000000001</v>
      </c>
      <c r="S2428">
        <v>0.1618347</v>
      </c>
      <c r="T2428">
        <v>-0.237705</v>
      </c>
      <c r="U2428">
        <v>-2.9960330000000002</v>
      </c>
      <c r="V2428">
        <v>-5.849155E-3</v>
      </c>
      <c r="W2428">
        <v>-0.1086115</v>
      </c>
      <c r="X2428">
        <v>0.99406709999999998</v>
      </c>
      <c r="Y2428">
        <v>-7.4891949999999999E-2</v>
      </c>
      <c r="Z2428">
        <v>6.5747100000000003E-2</v>
      </c>
      <c r="AA2428">
        <v>0.99502190000000001</v>
      </c>
      <c r="AB2428">
        <v>21</v>
      </c>
      <c r="AC2428">
        <v>0.76850000000001695</v>
      </c>
      <c r="AD2428">
        <v>-1.120020567164</v>
      </c>
      <c r="AE2428">
        <v>-13.9053</v>
      </c>
      <c r="AF2428">
        <v>-1.05572908308326</v>
      </c>
      <c r="AG2428">
        <v>-1.120020567164</v>
      </c>
      <c r="AH2428">
        <v>13.7966893550542</v>
      </c>
      <c r="AI2428">
        <v>94.627646444363293</v>
      </c>
      <c r="AJ2428">
        <v>94.375772372553001</v>
      </c>
      <c r="AK2428">
        <v>13.8822781677794</v>
      </c>
      <c r="AL2428">
        <v>96.235280599995306</v>
      </c>
      <c r="AM2428">
        <v>90.3371281753803</v>
      </c>
      <c r="AN2428">
        <v>1.00000003492443</v>
      </c>
    </row>
    <row r="2429" spans="1:40" x14ac:dyDescent="0.25">
      <c r="A2429" t="str">
        <f>"20190303154513741"</f>
        <v>20190303154513741</v>
      </c>
      <c r="B2429" t="str">
        <f>"1551599113733665"</f>
        <v>1551599113733665</v>
      </c>
      <c r="C2429" t="s">
        <v>40</v>
      </c>
      <c r="D2429">
        <v>5.0959709999999996</v>
      </c>
      <c r="E2429">
        <v>0.47351009999999999</v>
      </c>
      <c r="F2429" t="s">
        <v>41</v>
      </c>
      <c r="G2429">
        <v>-491.81939999999997</v>
      </c>
      <c r="H2429" s="1">
        <v>-1.4960890000000001E-6</v>
      </c>
      <c r="I2429">
        <v>241.94810000000001</v>
      </c>
      <c r="J2429">
        <v>-492.58179999999999</v>
      </c>
      <c r="K2429">
        <v>1.1201289999999999</v>
      </c>
      <c r="L2429">
        <v>255.81530000000001</v>
      </c>
      <c r="M2429">
        <v>-2.2537479999999999E-2</v>
      </c>
      <c r="N2429">
        <v>-1.3342110000000001E-2</v>
      </c>
      <c r="O2429">
        <v>-0.99965700000000002</v>
      </c>
      <c r="P2429">
        <v>-1.6392070000000002E-2</v>
      </c>
      <c r="Q2429">
        <v>-0.12205290000000001</v>
      </c>
      <c r="R2429">
        <v>-0.99238850000000001</v>
      </c>
      <c r="S2429">
        <v>0.16091920000000001</v>
      </c>
      <c r="T2429">
        <v>-0.2383527</v>
      </c>
      <c r="U2429">
        <v>-2.9960939999999998</v>
      </c>
      <c r="V2429">
        <v>-6.1708850000000001E-3</v>
      </c>
      <c r="W2429">
        <v>-0.1087892</v>
      </c>
      <c r="X2429">
        <v>0.99404570000000003</v>
      </c>
      <c r="Y2429">
        <v>-7.5962470000000004E-2</v>
      </c>
      <c r="Z2429">
        <v>6.5787250000000005E-2</v>
      </c>
      <c r="AA2429">
        <v>0.99493810000000005</v>
      </c>
      <c r="AB2429">
        <v>21</v>
      </c>
      <c r="AC2429">
        <v>0.76240000000001296</v>
      </c>
      <c r="AD2429">
        <v>-1.1201304960889999</v>
      </c>
      <c r="AE2429">
        <v>-13.867199999999899</v>
      </c>
      <c r="AF2429">
        <v>-1.06781967472076</v>
      </c>
      <c r="AG2429">
        <v>-1.1201304960889999</v>
      </c>
      <c r="AH2429">
        <v>13.757003337995201</v>
      </c>
      <c r="AI2429">
        <v>94.641002199177507</v>
      </c>
      <c r="AJ2429">
        <v>94.438403550369003</v>
      </c>
      <c r="AK2429">
        <v>13.843773763956101</v>
      </c>
      <c r="AL2429">
        <v>96.245522894057601</v>
      </c>
      <c r="AM2429">
        <v>90.355678943768794</v>
      </c>
      <c r="AN2429">
        <v>1.0000000117734</v>
      </c>
    </row>
    <row r="2430" spans="1:40" x14ac:dyDescent="0.25">
      <c r="A2430" t="str">
        <f>"20190303154513762"</f>
        <v>20190303154513762</v>
      </c>
      <c r="B2430" t="str">
        <f>"1551599113753185"</f>
        <v>1551599113753185</v>
      </c>
      <c r="C2430" t="s">
        <v>40</v>
      </c>
      <c r="D2430">
        <v>5.0974339999999998</v>
      </c>
      <c r="E2430">
        <v>0.4731397</v>
      </c>
      <c r="F2430" t="s">
        <v>41</v>
      </c>
      <c r="G2430">
        <v>-491.83819999999997</v>
      </c>
      <c r="H2430" s="1">
        <v>-1.4963399999999901E-6</v>
      </c>
      <c r="I2430">
        <v>241.93700000000001</v>
      </c>
      <c r="J2430">
        <v>-492.58769999999998</v>
      </c>
      <c r="K2430">
        <v>1.120231</v>
      </c>
      <c r="L2430">
        <v>255.61590000000001</v>
      </c>
      <c r="M2430">
        <v>-2.366447E-2</v>
      </c>
      <c r="N2430">
        <v>-1.3476159999999999E-2</v>
      </c>
      <c r="O2430">
        <v>-0.9996294</v>
      </c>
      <c r="P2430">
        <v>-1.8043070000000001E-2</v>
      </c>
      <c r="Q2430">
        <v>-0.1233374</v>
      </c>
      <c r="R2430">
        <v>-0.992201</v>
      </c>
      <c r="S2430">
        <v>0.16052249999999901</v>
      </c>
      <c r="T2430">
        <v>-0.24180450000000001</v>
      </c>
      <c r="U2430">
        <v>-2.9959259999999999</v>
      </c>
      <c r="V2430">
        <v>-5.6080050000000001E-3</v>
      </c>
      <c r="W2430">
        <v>-0.109944899999999</v>
      </c>
      <c r="X2430">
        <v>0.99392190000000002</v>
      </c>
      <c r="Y2430">
        <v>-7.6952839999999995E-2</v>
      </c>
      <c r="Z2430">
        <v>6.6790909999999995E-2</v>
      </c>
      <c r="AA2430">
        <v>0.99479510000000004</v>
      </c>
      <c r="AB2430">
        <v>21</v>
      </c>
      <c r="AC2430">
        <v>0.74950000000001105</v>
      </c>
      <c r="AD2430">
        <v>-1.1202324963400001</v>
      </c>
      <c r="AE2430">
        <v>-13.678900000000001</v>
      </c>
      <c r="AF2430">
        <v>-1.06589596601887</v>
      </c>
      <c r="AG2430">
        <v>-1.1202324963400001</v>
      </c>
      <c r="AH2430">
        <v>13.566614567801601</v>
      </c>
      <c r="AI2430">
        <v>94.705923823659205</v>
      </c>
      <c r="AJ2430">
        <v>94.492361866838493</v>
      </c>
      <c r="AK2430">
        <v>13.6544529691789</v>
      </c>
      <c r="AL2430">
        <v>96.312139072040907</v>
      </c>
      <c r="AM2430">
        <v>90.323276515294907</v>
      </c>
      <c r="AN2430">
        <v>1.0000000370278399</v>
      </c>
    </row>
    <row r="2431" spans="1:40" x14ac:dyDescent="0.25">
      <c r="A2431" t="str">
        <f>"20190303154513785"</f>
        <v>20190303154513785</v>
      </c>
      <c r="B2431" t="str">
        <f>"1551599113783441"</f>
        <v>1551599113783441</v>
      </c>
      <c r="C2431" t="s">
        <v>40</v>
      </c>
      <c r="D2431">
        <v>5.1322679999999998</v>
      </c>
      <c r="E2431">
        <v>0.47256120000000001</v>
      </c>
      <c r="F2431" t="s">
        <v>41</v>
      </c>
      <c r="G2431">
        <v>-491.8682</v>
      </c>
      <c r="H2431" s="1">
        <v>-1.541248E-6</v>
      </c>
      <c r="I2431">
        <v>242.0231</v>
      </c>
      <c r="J2431">
        <v>-492.59399999999999</v>
      </c>
      <c r="K2431">
        <v>1.1203479999999999</v>
      </c>
      <c r="L2431">
        <v>255.40469999999999</v>
      </c>
      <c r="M2431">
        <v>-2.4674399999999999E-2</v>
      </c>
      <c r="N2431">
        <v>-1.359875E-2</v>
      </c>
      <c r="O2431">
        <v>-0.99960309999999997</v>
      </c>
      <c r="P2431">
        <v>-1.9741160000000001E-2</v>
      </c>
      <c r="Q2431">
        <v>-0.12532199999999999</v>
      </c>
      <c r="R2431">
        <v>-0.99192009999999997</v>
      </c>
      <c r="S2431">
        <v>0.1585693</v>
      </c>
      <c r="T2431">
        <v>-0.24689249999999999</v>
      </c>
      <c r="U2431">
        <v>-2.9957729999999998</v>
      </c>
      <c r="V2431">
        <v>-4.8761660000000004E-3</v>
      </c>
      <c r="W2431">
        <v>-0.1118132</v>
      </c>
      <c r="X2431">
        <v>0.99371730000000003</v>
      </c>
      <c r="Y2431">
        <v>-7.7308950000000001E-2</v>
      </c>
      <c r="Z2431">
        <v>6.8348480000000003E-2</v>
      </c>
      <c r="AA2431">
        <v>0.99466160000000003</v>
      </c>
      <c r="AB2431">
        <v>21</v>
      </c>
      <c r="AC2431">
        <v>0.72579999999999201</v>
      </c>
      <c r="AD2431">
        <v>-1.12034954124799</v>
      </c>
      <c r="AE2431">
        <v>-13.381599999999899</v>
      </c>
      <c r="AF2431">
        <v>-1.0484647259691</v>
      </c>
      <c r="AG2431">
        <v>-1.12034954124799</v>
      </c>
      <c r="AH2431">
        <v>13.266892403532401</v>
      </c>
      <c r="AI2431">
        <v>94.812072563943005</v>
      </c>
      <c r="AJ2431">
        <v>94.518617229826802</v>
      </c>
      <c r="AK2431">
        <v>13.355332097072001</v>
      </c>
      <c r="AL2431">
        <v>96.419849044735599</v>
      </c>
      <c r="AM2431">
        <v>90.281147857290705</v>
      </c>
      <c r="AN2431">
        <v>1.0000000205041899</v>
      </c>
    </row>
    <row r="2432" spans="1:40" x14ac:dyDescent="0.25">
      <c r="A2432" t="str">
        <f>"20190303154513807"</f>
        <v>20190303154513807</v>
      </c>
      <c r="B2432" t="str">
        <f>"1551599113802961"</f>
        <v>1551599113802961</v>
      </c>
      <c r="C2432" t="s">
        <v>40</v>
      </c>
      <c r="D2432">
        <v>5.0862569999999998</v>
      </c>
      <c r="E2432">
        <v>0.47217320000000002</v>
      </c>
      <c r="F2432" t="s">
        <v>41</v>
      </c>
      <c r="G2432">
        <v>-491.89609999999999</v>
      </c>
      <c r="H2432" s="1">
        <v>-1.621536E-6</v>
      </c>
      <c r="I2432">
        <v>242.19290000000001</v>
      </c>
      <c r="J2432">
        <v>-492.6003</v>
      </c>
      <c r="K2432">
        <v>1.1204590000000001</v>
      </c>
      <c r="L2432">
        <v>255.197</v>
      </c>
      <c r="M2432">
        <v>-2.551811E-2</v>
      </c>
      <c r="N2432">
        <v>-1.37029E-2</v>
      </c>
      <c r="O2432">
        <v>-0.99958040000000004</v>
      </c>
      <c r="P2432">
        <v>-2.1125979999999999E-2</v>
      </c>
      <c r="Q2432">
        <v>-0.12656689999999901</v>
      </c>
      <c r="R2432">
        <v>-0.99173319999999998</v>
      </c>
      <c r="S2432">
        <v>0.1582336</v>
      </c>
      <c r="T2432">
        <v>-0.25401810000000002</v>
      </c>
      <c r="U2432">
        <v>-2.995514</v>
      </c>
      <c r="V2432">
        <v>-4.2975189999999996E-3</v>
      </c>
      <c r="W2432">
        <v>-0.1129584</v>
      </c>
      <c r="X2432">
        <v>0.99359039999999998</v>
      </c>
      <c r="Y2432">
        <v>-7.8033399999999906E-2</v>
      </c>
      <c r="Z2432">
        <v>7.0596720000000002E-2</v>
      </c>
      <c r="AA2432">
        <v>0.994448</v>
      </c>
      <c r="AB2432">
        <v>21</v>
      </c>
      <c r="AC2432">
        <v>0.70420000000001404</v>
      </c>
      <c r="AD2432">
        <v>-1.120460621536</v>
      </c>
      <c r="AE2432">
        <v>-13.0040999999999</v>
      </c>
      <c r="AF2432">
        <v>-1.0282306970325299</v>
      </c>
      <c r="AG2432">
        <v>-1.120460621536</v>
      </c>
      <c r="AH2432">
        <v>12.8865045038315</v>
      </c>
      <c r="AI2432">
        <v>94.953612212060904</v>
      </c>
      <c r="AJ2432">
        <v>94.562038372366999</v>
      </c>
      <c r="AK2432">
        <v>12.9759272770004</v>
      </c>
      <c r="AL2432">
        <v>96.4858828098006</v>
      </c>
      <c r="AM2432">
        <v>90.247816570720801</v>
      </c>
      <c r="AN2432">
        <v>0.99999997588613698</v>
      </c>
    </row>
    <row r="2433" spans="1:40" x14ac:dyDescent="0.25">
      <c r="A2433" t="str">
        <f>"20190303154513825"</f>
        <v>20190303154513825</v>
      </c>
      <c r="B2433" t="str">
        <f>"1551599113823457"</f>
        <v>1551599113823457</v>
      </c>
      <c r="C2433" t="s">
        <v>40</v>
      </c>
      <c r="D2433">
        <v>5.052473</v>
      </c>
      <c r="E2433">
        <v>0.47210210000000002</v>
      </c>
      <c r="F2433" t="s">
        <v>41</v>
      </c>
      <c r="G2433">
        <v>-491.91989999999998</v>
      </c>
      <c r="H2433" s="1">
        <v>-1.634025E-6</v>
      </c>
      <c r="I2433">
        <v>242.2073</v>
      </c>
      <c r="J2433">
        <v>-492.60509999999999</v>
      </c>
      <c r="K2433">
        <v>1.120539</v>
      </c>
      <c r="L2433">
        <v>255.03579999999999</v>
      </c>
      <c r="M2433">
        <v>-2.6082020000000001E-2</v>
      </c>
      <c r="N2433">
        <v>-1.377404E-2</v>
      </c>
      <c r="O2433">
        <v>-0.99956509999999998</v>
      </c>
      <c r="P2433">
        <v>-2.2101740000000002E-2</v>
      </c>
      <c r="Q2433">
        <v>-0.12670680000000001</v>
      </c>
      <c r="R2433">
        <v>-0.99169439999999998</v>
      </c>
      <c r="S2433">
        <v>0.1568909</v>
      </c>
      <c r="T2433">
        <v>-0.25837500000000002</v>
      </c>
      <c r="U2433">
        <v>-2.9953919999999998</v>
      </c>
      <c r="V2433">
        <v>-3.8611359999999998E-3</v>
      </c>
      <c r="W2433">
        <v>-0.1130289</v>
      </c>
      <c r="X2433">
        <v>0.99358420000000003</v>
      </c>
      <c r="Y2433">
        <v>-7.814712E-2</v>
      </c>
      <c r="Z2433">
        <v>7.1964180000000003E-2</v>
      </c>
      <c r="AA2433">
        <v>0.99434109999999998</v>
      </c>
      <c r="AB2433">
        <v>21</v>
      </c>
      <c r="AC2433">
        <v>0.68520000000000802</v>
      </c>
      <c r="AD2433">
        <v>-1.1205406340249999</v>
      </c>
      <c r="AE2433">
        <v>-12.828499999999901</v>
      </c>
      <c r="AF2433">
        <v>-1.01189332018057</v>
      </c>
      <c r="AG2433">
        <v>-1.1205406340249999</v>
      </c>
      <c r="AH2433">
        <v>12.709568458545</v>
      </c>
      <c r="AI2433">
        <v>95.022649466051803</v>
      </c>
      <c r="AJ2433">
        <v>94.552096190012804</v>
      </c>
      <c r="AK2433">
        <v>12.798932369786501</v>
      </c>
      <c r="AL2433">
        <v>96.489948031022095</v>
      </c>
      <c r="AM2433">
        <v>90.222654188055003</v>
      </c>
      <c r="AN2433">
        <v>1.0000000015480299</v>
      </c>
    </row>
    <row r="2434" spans="1:40" x14ac:dyDescent="0.25">
      <c r="A2434" t="str">
        <f>"20190303154513842"</f>
        <v>20190303154513842</v>
      </c>
      <c r="B2434" t="str">
        <f>"1551599113833217"</f>
        <v>1551599113833217</v>
      </c>
      <c r="C2434" t="s">
        <v>40</v>
      </c>
      <c r="D2434">
        <v>5.0635949999999896</v>
      </c>
      <c r="E2434">
        <v>0.47199550000000001</v>
      </c>
      <c r="F2434" t="s">
        <v>41</v>
      </c>
      <c r="G2434">
        <v>-491.92840000000001</v>
      </c>
      <c r="H2434" s="1">
        <v>-1.493924E-6</v>
      </c>
      <c r="I2434">
        <v>241.87549999999999</v>
      </c>
      <c r="J2434">
        <v>-492.6096</v>
      </c>
      <c r="K2434">
        <v>1.120611</v>
      </c>
      <c r="L2434">
        <v>254.88329999999999</v>
      </c>
      <c r="M2434">
        <v>-2.6541459999999999E-2</v>
      </c>
      <c r="N2434">
        <v>-1.383416E-2</v>
      </c>
      <c r="O2434">
        <v>-0.99955210000000005</v>
      </c>
      <c r="P2434">
        <v>-2.3363439999999999E-2</v>
      </c>
      <c r="Q2434">
        <v>-0.12758149999999999</v>
      </c>
      <c r="R2434">
        <v>-0.99155309999999997</v>
      </c>
      <c r="S2434">
        <v>0.15405269999999999</v>
      </c>
      <c r="T2434">
        <v>-0.25509349999999997</v>
      </c>
      <c r="U2434">
        <v>-2.995987</v>
      </c>
      <c r="V2434">
        <v>-3.0369500000000001E-3</v>
      </c>
      <c r="W2434">
        <v>-0.1138464</v>
      </c>
      <c r="X2434">
        <v>0.99349370000000004</v>
      </c>
      <c r="Y2434">
        <v>-7.7660549999999995E-2</v>
      </c>
      <c r="Z2434">
        <v>7.0807809999999999E-2</v>
      </c>
      <c r="AA2434">
        <v>0.99446219999999996</v>
      </c>
      <c r="AB2434">
        <v>21</v>
      </c>
      <c r="AC2434">
        <v>0.68119999999998904</v>
      </c>
      <c r="AD2434">
        <v>-1.1206124939239901</v>
      </c>
      <c r="AE2434">
        <v>-13.0078</v>
      </c>
      <c r="AF2434">
        <v>-1.01869918254315</v>
      </c>
      <c r="AG2434">
        <v>-1.1206124939239901</v>
      </c>
      <c r="AH2434">
        <v>12.889732825154001</v>
      </c>
      <c r="AI2434">
        <v>94.953341019868702</v>
      </c>
      <c r="AJ2434">
        <v>94.518797783622006</v>
      </c>
      <c r="AK2434">
        <v>12.978394842579901</v>
      </c>
      <c r="AL2434">
        <v>96.537091787247903</v>
      </c>
      <c r="AM2434">
        <v>90.175143411190504</v>
      </c>
      <c r="AN2434">
        <v>0.99999997889897596</v>
      </c>
    </row>
    <row r="2435" spans="1:40" x14ac:dyDescent="0.25">
      <c r="A2435" t="str">
        <f>"20190303154513865"</f>
        <v>20190303154513865</v>
      </c>
      <c r="B2435" t="str">
        <f>"1551599113852737"</f>
        <v>1551599113852737</v>
      </c>
      <c r="C2435" t="s">
        <v>40</v>
      </c>
      <c r="D2435">
        <v>5.065042</v>
      </c>
      <c r="E2435">
        <v>0.47197329999999998</v>
      </c>
      <c r="F2435" t="s">
        <v>41</v>
      </c>
      <c r="G2435">
        <v>-491.94709999999998</v>
      </c>
      <c r="H2435" s="1">
        <v>-1.462599E-6</v>
      </c>
      <c r="I2435">
        <v>241.79079999999999</v>
      </c>
      <c r="J2435">
        <v>-492.61599999999999</v>
      </c>
      <c r="K2435">
        <v>1.120698</v>
      </c>
      <c r="L2435">
        <v>254.6688</v>
      </c>
      <c r="M2435">
        <v>-2.704821E-2</v>
      </c>
      <c r="N2435">
        <v>-1.390633E-2</v>
      </c>
      <c r="O2435">
        <v>-0.99953729999999996</v>
      </c>
      <c r="P2435">
        <v>-2.3674239999999999E-2</v>
      </c>
      <c r="Q2435">
        <v>-0.1269951</v>
      </c>
      <c r="R2435">
        <v>-0.99162050000000002</v>
      </c>
      <c r="S2435">
        <v>0.15161129999999901</v>
      </c>
      <c r="T2435">
        <v>-0.25644729999999999</v>
      </c>
      <c r="U2435">
        <v>-2.9961549999999999</v>
      </c>
      <c r="V2435">
        <v>-3.212E-3</v>
      </c>
      <c r="W2435">
        <v>-0.1131876</v>
      </c>
      <c r="X2435">
        <v>0.99356840000000002</v>
      </c>
      <c r="Y2435">
        <v>-7.7353270000000002E-2</v>
      </c>
      <c r="Z2435">
        <v>7.1178320000000003E-2</v>
      </c>
      <c r="AA2435">
        <v>0.99445969999999995</v>
      </c>
      <c r="AB2435">
        <v>21</v>
      </c>
      <c r="AC2435">
        <v>0.66890000000000704</v>
      </c>
      <c r="AD2435">
        <v>-1.1206994625990001</v>
      </c>
      <c r="AE2435">
        <v>-12.878</v>
      </c>
      <c r="AF2435">
        <v>-1.0093919947133601</v>
      </c>
      <c r="AG2435">
        <v>-1.1206994625990001</v>
      </c>
      <c r="AH2435">
        <v>12.758827491707899</v>
      </c>
      <c r="AI2435">
        <v>95.004260007025394</v>
      </c>
      <c r="AJ2435">
        <v>94.523432376022498</v>
      </c>
      <c r="AK2435">
        <v>12.8476658754663</v>
      </c>
      <c r="AL2435">
        <v>96.499099886656893</v>
      </c>
      <c r="AM2435">
        <v>90.185224693831003</v>
      </c>
      <c r="AN2435">
        <v>0.99999995760815896</v>
      </c>
    </row>
    <row r="2436" spans="1:40" x14ac:dyDescent="0.25">
      <c r="A2436" t="str">
        <f>"20190303154513887"</f>
        <v>20190303154513887</v>
      </c>
      <c r="B2436" t="str">
        <f>"1551599113882994"</f>
        <v>1551599113882994</v>
      </c>
      <c r="C2436" t="s">
        <v>40</v>
      </c>
      <c r="D2436">
        <v>5.1332100000000001</v>
      </c>
      <c r="E2436">
        <v>0.4714914</v>
      </c>
      <c r="F2436" t="s">
        <v>41</v>
      </c>
      <c r="G2436">
        <v>-491.94529999999997</v>
      </c>
      <c r="H2436" s="1">
        <v>-1.2663390000000001E-6</v>
      </c>
      <c r="I2436">
        <v>241.33439999999999</v>
      </c>
      <c r="J2436">
        <v>-492.62200000000001</v>
      </c>
      <c r="K2436">
        <v>1.1207739999999999</v>
      </c>
      <c r="L2436">
        <v>254.46780000000001</v>
      </c>
      <c r="M2436">
        <v>-2.7419889999999999E-2</v>
      </c>
      <c r="N2436">
        <v>-1.3964300000000001E-2</v>
      </c>
      <c r="O2436">
        <v>-0.99952669999999999</v>
      </c>
      <c r="P2436">
        <v>-2.2958989999999999E-2</v>
      </c>
      <c r="Q2436">
        <v>-0.125806</v>
      </c>
      <c r="R2436">
        <v>-0.9917897</v>
      </c>
      <c r="S2436">
        <v>0.15072629999999901</v>
      </c>
      <c r="T2436">
        <v>-0.2518591</v>
      </c>
      <c r="U2436">
        <v>-2.9966889999999999</v>
      </c>
      <c r="V2436">
        <v>-4.2847509999999998E-3</v>
      </c>
      <c r="W2436">
        <v>-0.111939</v>
      </c>
      <c r="X2436">
        <v>0.99370590000000003</v>
      </c>
      <c r="Y2436">
        <v>-7.7428269999999993E-2</v>
      </c>
      <c r="Z2436">
        <v>6.9592130000000002E-2</v>
      </c>
      <c r="AA2436">
        <v>0.99456610000000001</v>
      </c>
      <c r="AB2436">
        <v>21</v>
      </c>
      <c r="AC2436">
        <v>0.67669999999998198</v>
      </c>
      <c r="AD2436">
        <v>-1.120775266339</v>
      </c>
      <c r="AE2436">
        <v>-13.1334</v>
      </c>
      <c r="AF2436">
        <v>-1.0291221520437299</v>
      </c>
      <c r="AG2436">
        <v>-1.120775266339</v>
      </c>
      <c r="AH2436">
        <v>13.0153701407542</v>
      </c>
      <c r="AI2436">
        <v>94.9064554641878</v>
      </c>
      <c r="AJ2436">
        <v>94.520957295177396</v>
      </c>
      <c r="AK2436">
        <v>13.1040104358284</v>
      </c>
      <c r="AL2436">
        <v>96.427102151775799</v>
      </c>
      <c r="AM2436">
        <v>90.247051594556098</v>
      </c>
      <c r="AN2436">
        <v>1.00000005725346</v>
      </c>
    </row>
    <row r="2437" spans="1:40" x14ac:dyDescent="0.25">
      <c r="A2437" t="str">
        <f>"20190303154513908"</f>
        <v>20190303154513908</v>
      </c>
      <c r="B2437" t="str">
        <f>"1551599113903489"</f>
        <v>1551599113903489</v>
      </c>
      <c r="C2437" t="s">
        <v>40</v>
      </c>
      <c r="D2437">
        <v>5.0996759999999997</v>
      </c>
      <c r="E2437">
        <v>0.4711709</v>
      </c>
      <c r="F2437" t="s">
        <v>41</v>
      </c>
      <c r="G2437">
        <v>-491.9144</v>
      </c>
      <c r="H2437" s="1">
        <v>-1.084686E-6</v>
      </c>
      <c r="I2437">
        <v>240.93020000000001</v>
      </c>
      <c r="J2437">
        <v>-492.6277</v>
      </c>
      <c r="K2437">
        <v>1.1208340000000001</v>
      </c>
      <c r="L2437">
        <v>254.27629999999999</v>
      </c>
      <c r="M2437">
        <v>-2.7705509999999999E-2</v>
      </c>
      <c r="N2437">
        <v>-1.4012E-2</v>
      </c>
      <c r="O2437">
        <v>-0.99951789999999996</v>
      </c>
      <c r="P2437">
        <v>-2.1680870000000001E-2</v>
      </c>
      <c r="Q2437">
        <v>-0.1240079</v>
      </c>
      <c r="R2437">
        <v>-0.99204429999999999</v>
      </c>
      <c r="S2437">
        <v>0.1566467</v>
      </c>
      <c r="T2437">
        <v>-0.24811759999999999</v>
      </c>
      <c r="U2437">
        <v>-2.9969790000000001</v>
      </c>
      <c r="V2437">
        <v>-5.8401399999999997E-3</v>
      </c>
      <c r="W2437">
        <v>-0.1100908</v>
      </c>
      <c r="X2437">
        <v>0.99390440000000002</v>
      </c>
      <c r="Y2437">
        <v>-7.9671359999999997E-2</v>
      </c>
      <c r="Z2437">
        <v>6.829006E-2</v>
      </c>
      <c r="AA2437">
        <v>0.99447920000000001</v>
      </c>
      <c r="AB2437">
        <v>20</v>
      </c>
      <c r="AC2437">
        <v>0.71330000000000304</v>
      </c>
      <c r="AD2437">
        <v>-1.120835084686</v>
      </c>
      <c r="AE2437">
        <v>-13.3460999999999</v>
      </c>
      <c r="AF2437">
        <v>-1.07526072223124</v>
      </c>
      <c r="AG2437">
        <v>-1.120835084686</v>
      </c>
      <c r="AH2437">
        <v>13.2281787597611</v>
      </c>
      <c r="AI2437">
        <v>94.827307132503293</v>
      </c>
      <c r="AJ2437">
        <v>94.647105955323497</v>
      </c>
      <c r="AK2437">
        <v>13.3190529020659</v>
      </c>
      <c r="AL2437">
        <v>96.320549664275504</v>
      </c>
      <c r="AM2437">
        <v>90.336663689959195</v>
      </c>
      <c r="AN2437">
        <v>1.0000000239096001</v>
      </c>
    </row>
    <row r="2438" spans="1:40" x14ac:dyDescent="0.25">
      <c r="A2438" t="str">
        <f>"20190303154513930"</f>
        <v>20190303154513930</v>
      </c>
      <c r="B2438" t="str">
        <f>"1551599113923011"</f>
        <v>1551599113923011</v>
      </c>
      <c r="C2438" t="s">
        <v>40</v>
      </c>
      <c r="D2438">
        <v>5.0804039999999997</v>
      </c>
      <c r="E2438">
        <v>0.4708582</v>
      </c>
      <c r="F2438" t="s">
        <v>41</v>
      </c>
      <c r="G2438">
        <v>-491.87459999999999</v>
      </c>
      <c r="H2438" s="1">
        <v>-8.7948290000000002E-7</v>
      </c>
      <c r="I2438">
        <v>240.47649999999999</v>
      </c>
      <c r="J2438">
        <v>-492.6336</v>
      </c>
      <c r="K2438">
        <v>1.1208800000000001</v>
      </c>
      <c r="L2438">
        <v>254.0745</v>
      </c>
      <c r="M2438">
        <v>-2.79569E-2</v>
      </c>
      <c r="N2438">
        <v>-1.4055130000000001E-2</v>
      </c>
      <c r="O2438">
        <v>-0.99951029999999996</v>
      </c>
      <c r="P2438">
        <v>-2.0257839999999999E-2</v>
      </c>
      <c r="Q2438">
        <v>-0.123042899999999</v>
      </c>
      <c r="R2438">
        <v>-0.99219469999999998</v>
      </c>
      <c r="S2438">
        <v>0.1635742</v>
      </c>
      <c r="T2438">
        <v>-0.2434373</v>
      </c>
      <c r="U2438">
        <v>-2.9972080000000001</v>
      </c>
      <c r="V2438">
        <v>-7.5082600000000001E-3</v>
      </c>
      <c r="W2438">
        <v>-0.1090817</v>
      </c>
      <c r="X2438">
        <v>0.99400440000000001</v>
      </c>
      <c r="Y2438">
        <v>-8.2214809999999999E-2</v>
      </c>
      <c r="Z2438">
        <v>6.6682899999999906E-2</v>
      </c>
      <c r="AA2438">
        <v>0.99438119999999997</v>
      </c>
      <c r="AB2438">
        <v>20</v>
      </c>
      <c r="AC2438">
        <v>0.759000000000014</v>
      </c>
      <c r="AD2438">
        <v>-1.1208808794828999</v>
      </c>
      <c r="AE2438">
        <v>-13.598000000000001</v>
      </c>
      <c r="AF2438">
        <v>-1.1312362440983901</v>
      </c>
      <c r="AG2438">
        <v>-1.1208808794828999</v>
      </c>
      <c r="AH2438">
        <v>13.4801536880895</v>
      </c>
      <c r="AI2438">
        <v>94.736662322527494</v>
      </c>
      <c r="AJ2438">
        <v>94.796944731505803</v>
      </c>
      <c r="AK2438">
        <v>13.573894534748201</v>
      </c>
      <c r="AL2438">
        <v>96.262382509830999</v>
      </c>
      <c r="AM2438">
        <v>90.432778193017498</v>
      </c>
      <c r="AN2438">
        <v>0.99999996923123802</v>
      </c>
    </row>
    <row r="2439" spans="1:40" x14ac:dyDescent="0.25">
      <c r="A2439" t="str">
        <f>"20190303154513954"</f>
        <v>20190303154513954</v>
      </c>
      <c r="B2439" t="str">
        <f>"1551599113943505"</f>
        <v>1551599113943505</v>
      </c>
      <c r="C2439" t="s">
        <v>40</v>
      </c>
      <c r="D2439">
        <v>5.082751</v>
      </c>
      <c r="E2439">
        <v>0.47079349999999998</v>
      </c>
      <c r="F2439" t="s">
        <v>41</v>
      </c>
      <c r="G2439">
        <v>-491.84269999999998</v>
      </c>
      <c r="H2439" s="1">
        <v>-7.2849959999999896E-7</v>
      </c>
      <c r="I2439">
        <v>240.14429999999999</v>
      </c>
      <c r="J2439">
        <v>-492.6397</v>
      </c>
      <c r="K2439">
        <v>1.120903</v>
      </c>
      <c r="L2439">
        <v>253.86689999999999</v>
      </c>
      <c r="M2439">
        <v>-2.8183570000000002E-2</v>
      </c>
      <c r="N2439">
        <v>-1.4092840000000001E-2</v>
      </c>
      <c r="O2439">
        <v>-0.99950360000000005</v>
      </c>
      <c r="P2439">
        <v>-1.9118240000000002E-2</v>
      </c>
      <c r="Q2439">
        <v>-0.1242814</v>
      </c>
      <c r="R2439">
        <v>-0.99206300000000003</v>
      </c>
      <c r="S2439">
        <v>0.17016600000000001</v>
      </c>
      <c r="T2439">
        <v>-0.2411653</v>
      </c>
      <c r="U2439">
        <v>-2.9971619999999999</v>
      </c>
      <c r="V2439">
        <v>-8.8645419999999996E-3</v>
      </c>
      <c r="W2439">
        <v>-0.11028499999999999</v>
      </c>
      <c r="X2439">
        <v>0.99386050000000004</v>
      </c>
      <c r="Y2439">
        <v>-8.4623299999999999E-2</v>
      </c>
      <c r="Z2439">
        <v>6.5883040000000004E-2</v>
      </c>
      <c r="AA2439">
        <v>0.99423249999999996</v>
      </c>
      <c r="AB2439">
        <v>20</v>
      </c>
      <c r="AC2439">
        <v>0.79700000000002502</v>
      </c>
      <c r="AD2439">
        <v>-1.1209037284996</v>
      </c>
      <c r="AE2439">
        <v>-13.7226</v>
      </c>
      <c r="AF2439">
        <v>-1.17565579350059</v>
      </c>
      <c r="AG2439">
        <v>-1.1209037284996</v>
      </c>
      <c r="AH2439">
        <v>13.604219455420001</v>
      </c>
      <c r="AI2439">
        <v>94.692767140804904</v>
      </c>
      <c r="AJ2439">
        <v>94.939142415384694</v>
      </c>
      <c r="AK2439">
        <v>13.700853210825301</v>
      </c>
      <c r="AL2439">
        <v>96.331744651186995</v>
      </c>
      <c r="AM2439">
        <v>90.511024812892003</v>
      </c>
      <c r="AN2439">
        <v>1.00000002739505</v>
      </c>
    </row>
    <row r="2440" spans="1:40" x14ac:dyDescent="0.25">
      <c r="A2440" t="str">
        <f>"20190303154513974"</f>
        <v>20190303154513974</v>
      </c>
      <c r="B2440" t="str">
        <f>"1551599113963029"</f>
        <v>1551599113963029</v>
      </c>
      <c r="C2440" t="s">
        <v>40</v>
      </c>
      <c r="D2440">
        <v>5.1381420000000002</v>
      </c>
      <c r="E2440">
        <v>0.47051709999999902</v>
      </c>
      <c r="F2440" t="s">
        <v>41</v>
      </c>
      <c r="G2440">
        <v>-491.8442</v>
      </c>
      <c r="H2440" s="1">
        <v>-7.5635469999999997E-7</v>
      </c>
      <c r="I2440">
        <v>240.20840000000001</v>
      </c>
      <c r="J2440">
        <v>-492.64550000000003</v>
      </c>
      <c r="K2440">
        <v>1.1209039999999999</v>
      </c>
      <c r="L2440">
        <v>253.66990000000001</v>
      </c>
      <c r="M2440">
        <v>-2.838396E-2</v>
      </c>
      <c r="N2440">
        <v>-1.4123159999999999E-2</v>
      </c>
      <c r="O2440">
        <v>-0.99949739999999998</v>
      </c>
      <c r="P2440">
        <v>-1.811041E-2</v>
      </c>
      <c r="Q2440">
        <v>-0.1248084</v>
      </c>
      <c r="R2440">
        <v>-0.9920158</v>
      </c>
      <c r="S2440">
        <v>0.17452999999999999</v>
      </c>
      <c r="T2440">
        <v>-0.24591769999999999</v>
      </c>
      <c r="U2440">
        <v>-2.9965670000000002</v>
      </c>
      <c r="V2440">
        <v>-1.007007E-2</v>
      </c>
      <c r="W2440">
        <v>-0.1107827</v>
      </c>
      <c r="X2440">
        <v>0.99379360000000005</v>
      </c>
      <c r="Y2440">
        <v>-8.6269090000000007E-2</v>
      </c>
      <c r="Z2440">
        <v>6.7425299999999994E-2</v>
      </c>
      <c r="AA2440">
        <v>0.99398770000000003</v>
      </c>
      <c r="AB2440">
        <v>20</v>
      </c>
      <c r="AC2440">
        <v>0.80130000000002599</v>
      </c>
      <c r="AD2440">
        <v>-1.1209047563546899</v>
      </c>
      <c r="AE2440">
        <v>-13.461499999999999</v>
      </c>
      <c r="AF2440">
        <v>-1.17498786885573</v>
      </c>
      <c r="AG2440">
        <v>-1.1209047563546899</v>
      </c>
      <c r="AH2440">
        <v>13.341154994410401</v>
      </c>
      <c r="AI2440">
        <v>94.784197223716106</v>
      </c>
      <c r="AJ2440">
        <v>95.033191298435995</v>
      </c>
      <c r="AK2440">
        <v>13.4396220389436</v>
      </c>
      <c r="AL2440">
        <v>96.360436964999295</v>
      </c>
      <c r="AM2440">
        <v>90.580555926678798</v>
      </c>
      <c r="AN2440">
        <v>0.99999996616502695</v>
      </c>
    </row>
    <row r="2441" spans="1:40" x14ac:dyDescent="0.25">
      <c r="A2441" t="str">
        <f>"20190303154513998"</f>
        <v>20190303154513998</v>
      </c>
      <c r="B2441" t="str">
        <f>"1551599113993281"</f>
        <v>1551599113993281</v>
      </c>
      <c r="C2441" t="s">
        <v>40</v>
      </c>
      <c r="D2441">
        <v>5.0441830000000003</v>
      </c>
      <c r="E2441">
        <v>0.47029149999999997</v>
      </c>
      <c r="F2441" t="s">
        <v>41</v>
      </c>
      <c r="G2441">
        <v>-491.8383</v>
      </c>
      <c r="H2441" s="1">
        <v>-7.4844719999999896E-7</v>
      </c>
      <c r="I2441">
        <v>240.1936</v>
      </c>
      <c r="J2441">
        <v>-492.65159999999997</v>
      </c>
      <c r="K2441">
        <v>1.120897</v>
      </c>
      <c r="L2441">
        <v>253.46379999999999</v>
      </c>
      <c r="M2441">
        <v>-2.859039E-2</v>
      </c>
      <c r="N2441">
        <v>-1.4150019999999999E-2</v>
      </c>
      <c r="O2441">
        <v>-0.99949120000000002</v>
      </c>
      <c r="P2441">
        <v>-1.735012E-2</v>
      </c>
      <c r="Q2441">
        <v>-0.12516910000000001</v>
      </c>
      <c r="R2441">
        <v>-0.99198379999999997</v>
      </c>
      <c r="S2441">
        <v>0.17947389999999999</v>
      </c>
      <c r="T2441">
        <v>-0.2492028</v>
      </c>
      <c r="U2441">
        <v>-2.9960939999999998</v>
      </c>
      <c r="V2441">
        <v>-1.103779E-2</v>
      </c>
      <c r="W2441">
        <v>-0.11111699999999999</v>
      </c>
      <c r="X2441">
        <v>0.99374600000000002</v>
      </c>
      <c r="Y2441">
        <v>-8.8111880000000004E-2</v>
      </c>
      <c r="Z2441">
        <v>6.8482370000000001E-2</v>
      </c>
      <c r="AA2441">
        <v>0.99375369999999996</v>
      </c>
      <c r="AB2441">
        <v>20</v>
      </c>
      <c r="AC2441">
        <v>0.81329999999996905</v>
      </c>
      <c r="AD2441">
        <v>-1.12089774844719</v>
      </c>
      <c r="AE2441">
        <v>-13.2701999999999</v>
      </c>
      <c r="AF2441">
        <v>-1.1839897650789</v>
      </c>
      <c r="AG2441">
        <v>-1.12089774844719</v>
      </c>
      <c r="AH2441">
        <v>13.148062586310701</v>
      </c>
      <c r="AI2441">
        <v>94.853250125038699</v>
      </c>
      <c r="AJ2441">
        <v>95.145635403947097</v>
      </c>
      <c r="AK2441">
        <v>13.248765727411399</v>
      </c>
      <c r="AL2441">
        <v>96.3797099338545</v>
      </c>
      <c r="AM2441">
        <v>90.636372651235405</v>
      </c>
      <c r="AN2441">
        <v>0.99999996650654099</v>
      </c>
    </row>
    <row r="2442" spans="1:40" x14ac:dyDescent="0.25">
      <c r="A2442" t="str">
        <f>"20190303154514019"</f>
        <v>20190303154514019</v>
      </c>
      <c r="B2442" t="str">
        <f>"1551599114012802"</f>
        <v>1551599114012802</v>
      </c>
      <c r="C2442" t="s">
        <v>40</v>
      </c>
      <c r="D2442">
        <v>5.0874819999999996</v>
      </c>
      <c r="E2442">
        <v>0.47015430000000002</v>
      </c>
      <c r="F2442" t="s">
        <v>41</v>
      </c>
      <c r="G2442">
        <v>-491.8263</v>
      </c>
      <c r="H2442" s="1">
        <v>-6.6906739999999999E-7</v>
      </c>
      <c r="I2442">
        <v>240.01599999999999</v>
      </c>
      <c r="J2442">
        <v>-492.65750000000003</v>
      </c>
      <c r="K2442">
        <v>1.120887</v>
      </c>
      <c r="L2442">
        <v>253.2638</v>
      </c>
      <c r="M2442">
        <v>-2.8798589999999999E-2</v>
      </c>
      <c r="N2442">
        <v>-1.4171899999999999E-2</v>
      </c>
      <c r="O2442">
        <v>-0.99948479999999995</v>
      </c>
      <c r="P2442">
        <v>-1.6564539999999999E-2</v>
      </c>
      <c r="Q2442">
        <v>-0.1236646</v>
      </c>
      <c r="R2442">
        <v>-0.99218580000000001</v>
      </c>
      <c r="S2442">
        <v>0.18386839999999999</v>
      </c>
      <c r="T2442">
        <v>-0.24971969999999999</v>
      </c>
      <c r="U2442">
        <v>-2.9959720000000001</v>
      </c>
      <c r="V2442">
        <v>-1.204157E-2</v>
      </c>
      <c r="W2442">
        <v>-0.10958759999999999</v>
      </c>
      <c r="X2442">
        <v>0.99390420000000002</v>
      </c>
      <c r="Y2442">
        <v>-8.9772030000000003E-2</v>
      </c>
      <c r="Z2442">
        <v>6.8623299999999998E-2</v>
      </c>
      <c r="AA2442">
        <v>0.99359540000000002</v>
      </c>
      <c r="AB2442">
        <v>20</v>
      </c>
      <c r="AC2442">
        <v>0.83120000000002303</v>
      </c>
      <c r="AD2442">
        <v>-1.1208876690673999</v>
      </c>
      <c r="AE2442">
        <v>-13.2478</v>
      </c>
      <c r="AF2442">
        <v>-1.20382734789985</v>
      </c>
      <c r="AG2442">
        <v>-1.1208876690673999</v>
      </c>
      <c r="AH2442">
        <v>13.124775924970001</v>
      </c>
      <c r="AI2442">
        <v>94.861047417576202</v>
      </c>
      <c r="AJ2442">
        <v>95.240605499458695</v>
      </c>
      <c r="AK2442">
        <v>13.227446183254401</v>
      </c>
      <c r="AL2442">
        <v>96.291543069538605</v>
      </c>
      <c r="AM2442">
        <v>90.694128655309996</v>
      </c>
      <c r="AN2442">
        <v>1.00000000012973</v>
      </c>
    </row>
    <row r="2443" spans="1:40" x14ac:dyDescent="0.25">
      <c r="A2443" t="str">
        <f>"20190303154514042"</f>
        <v>20190303154514042</v>
      </c>
      <c r="B2443" t="str">
        <f>"1551599114033297"</f>
        <v>1551599114033297</v>
      </c>
      <c r="C2443" t="s">
        <v>40</v>
      </c>
      <c r="D2443">
        <v>5.0607439999999997</v>
      </c>
      <c r="E2443">
        <v>0.47006910000000002</v>
      </c>
      <c r="F2443" t="s">
        <v>41</v>
      </c>
      <c r="G2443">
        <v>-491.79910000000001</v>
      </c>
      <c r="H2443" s="1">
        <v>-4.5944649999999999E-6</v>
      </c>
      <c r="I2443">
        <v>239.55009999999999</v>
      </c>
      <c r="J2443">
        <v>-492.66359999999997</v>
      </c>
      <c r="K2443">
        <v>1.120871</v>
      </c>
      <c r="L2443">
        <v>253.0643</v>
      </c>
      <c r="M2443">
        <v>-2.902246E-2</v>
      </c>
      <c r="N2443">
        <v>-1.4190120000000001E-2</v>
      </c>
      <c r="O2443">
        <v>-0.99947830000000004</v>
      </c>
      <c r="P2443">
        <v>-1.5390920000000001E-2</v>
      </c>
      <c r="Q2443">
        <v>-0.1231033</v>
      </c>
      <c r="R2443">
        <v>-0.99227489999999996</v>
      </c>
      <c r="S2443">
        <v>0.18756100000000001</v>
      </c>
      <c r="T2443">
        <v>-0.244897</v>
      </c>
      <c r="U2443">
        <v>-2.9962309999999999</v>
      </c>
      <c r="V2443">
        <v>-1.344478E-2</v>
      </c>
      <c r="W2443">
        <v>-0.10900650000000001</v>
      </c>
      <c r="X2443">
        <v>0.99395009999999995</v>
      </c>
      <c r="Y2443">
        <v>-9.1216459999999999E-2</v>
      </c>
      <c r="Z2443">
        <v>6.6999119999999995E-2</v>
      </c>
      <c r="AA2443">
        <v>0.99357470000000003</v>
      </c>
      <c r="AB2443">
        <v>20</v>
      </c>
      <c r="AC2443">
        <v>0.86449999999996396</v>
      </c>
      <c r="AD2443">
        <v>-1.120875594465</v>
      </c>
      <c r="AE2443">
        <v>-13.514200000000001</v>
      </c>
      <c r="AF2443">
        <v>-1.2478413911700801</v>
      </c>
      <c r="AG2443">
        <v>-1.120875594465</v>
      </c>
      <c r="AH2443">
        <v>13.391665993455</v>
      </c>
      <c r="AI2443">
        <v>94.763934162258494</v>
      </c>
      <c r="AJ2443">
        <v>95.323474528862505</v>
      </c>
      <c r="AK2443">
        <v>13.496302764685</v>
      </c>
      <c r="AL2443">
        <v>96.258047888258602</v>
      </c>
      <c r="AM2443">
        <v>90.774970668489999</v>
      </c>
      <c r="AN2443">
        <v>0.99999999022075403</v>
      </c>
    </row>
    <row r="2444" spans="1:40" x14ac:dyDescent="0.25">
      <c r="A2444" t="str">
        <f>"20190303154514077"</f>
        <v>20190303154514077</v>
      </c>
      <c r="B2444" t="str">
        <f>"1551599114073313"</f>
        <v>1551599114073313</v>
      </c>
      <c r="C2444" t="s">
        <v>40</v>
      </c>
      <c r="D2444">
        <v>5.0104649999999999</v>
      </c>
      <c r="E2444">
        <v>0.50434109999999999</v>
      </c>
      <c r="F2444" t="s">
        <v>41</v>
      </c>
      <c r="G2444">
        <v>-491.77550000000002</v>
      </c>
      <c r="H2444" s="1">
        <v>-4.4662879999999996E-6</v>
      </c>
      <c r="I2444">
        <v>239.1857</v>
      </c>
      <c r="J2444">
        <v>-492.673</v>
      </c>
      <c r="K2444">
        <v>1.1208499999999999</v>
      </c>
      <c r="L2444">
        <v>252.75460000000001</v>
      </c>
      <c r="M2444">
        <v>-2.9410820000000001E-2</v>
      </c>
      <c r="N2444">
        <v>-1.4212249999999999E-2</v>
      </c>
      <c r="O2444">
        <v>-0.99946639999999998</v>
      </c>
      <c r="P2444">
        <v>-1.4593510000000001E-2</v>
      </c>
      <c r="Q2444">
        <v>-0.1250503</v>
      </c>
      <c r="R2444">
        <v>-0.99204329999999996</v>
      </c>
      <c r="S2444">
        <v>0.19174189999999999</v>
      </c>
      <c r="T2444">
        <v>-0.2419914</v>
      </c>
      <c r="U2444">
        <v>-2.9963229999999998</v>
      </c>
      <c r="V2444">
        <v>-1.4627930000000001E-2</v>
      </c>
      <c r="W2444">
        <v>-0.1109338</v>
      </c>
      <c r="X2444">
        <v>0.9937201</v>
      </c>
      <c r="Y2444">
        <v>-9.2985769999999995E-2</v>
      </c>
      <c r="Z2444">
        <v>6.6004930000000003E-2</v>
      </c>
      <c r="AA2444">
        <v>0.99347719999999995</v>
      </c>
      <c r="AB2444">
        <v>20</v>
      </c>
      <c r="AC2444">
        <v>0.89749999999997898</v>
      </c>
      <c r="AD2444">
        <v>-1.120854466288</v>
      </c>
      <c r="AE2444">
        <v>-13.568899999999999</v>
      </c>
      <c r="AF2444">
        <v>-1.28747756684863</v>
      </c>
      <c r="AG2444">
        <v>-1.120854466288</v>
      </c>
      <c r="AH2444">
        <v>13.445285456164701</v>
      </c>
      <c r="AI2444">
        <v>94.7437943312367</v>
      </c>
      <c r="AJ2444">
        <v>95.469783276347798</v>
      </c>
      <c r="AK2444">
        <v>13.5532141655583</v>
      </c>
      <c r="AL2444">
        <v>96.369148085485506</v>
      </c>
      <c r="AM2444">
        <v>90.843354303439398</v>
      </c>
      <c r="AN2444">
        <v>0.99999996073126596</v>
      </c>
    </row>
    <row r="2445" spans="1:40" x14ac:dyDescent="0.25">
      <c r="A2445" t="str">
        <f>"20190303154514098"</f>
        <v>20190303154514098</v>
      </c>
      <c r="B2445" t="str">
        <f>"1551599114093341"</f>
        <v>1551599114093341</v>
      </c>
      <c r="C2445" t="s">
        <v>40</v>
      </c>
      <c r="D2445">
        <v>5.1100370000000002</v>
      </c>
      <c r="E2445">
        <v>0.50673599999999996</v>
      </c>
      <c r="F2445" t="s">
        <v>41</v>
      </c>
      <c r="G2445">
        <v>-493.21460000000002</v>
      </c>
      <c r="H2445" s="1">
        <v>-2.0920200000000002E-6</v>
      </c>
      <c r="I2445">
        <v>232.4718</v>
      </c>
      <c r="J2445">
        <v>-492.67910000000001</v>
      </c>
      <c r="K2445">
        <v>1.1208320000000001</v>
      </c>
      <c r="L2445">
        <v>252.5573</v>
      </c>
      <c r="M2445">
        <v>-2.96768E-2</v>
      </c>
      <c r="N2445">
        <v>-1.4223309999999999E-2</v>
      </c>
      <c r="O2445">
        <v>-0.99945830000000002</v>
      </c>
      <c r="P2445">
        <v>-1.4665360000000001E-2</v>
      </c>
      <c r="Q2445">
        <v>-0.1258784</v>
      </c>
      <c r="R2445">
        <v>-0.99193750000000003</v>
      </c>
      <c r="S2445">
        <v>-8.0169679999999993E-2</v>
      </c>
      <c r="T2445">
        <v>-0.16589179999999901</v>
      </c>
      <c r="U2445">
        <v>-3.0019529999999999</v>
      </c>
      <c r="V2445">
        <v>-1.4820369999999999E-2</v>
      </c>
      <c r="W2445">
        <v>-0.1117519</v>
      </c>
      <c r="X2445">
        <v>0.9936256</v>
      </c>
      <c r="Y2445">
        <v>-3.005565E-3</v>
      </c>
      <c r="Z2445">
        <v>4.0929140000000003E-2</v>
      </c>
      <c r="AA2445">
        <v>0.99915750000000003</v>
      </c>
      <c r="AB2445">
        <v>20</v>
      </c>
      <c r="AC2445">
        <v>-0.53550000000001297</v>
      </c>
      <c r="AD2445">
        <v>-1.12083409202</v>
      </c>
      <c r="AE2445">
        <v>-20.0855</v>
      </c>
      <c r="AF2445">
        <v>-6.0680781689952598E-2</v>
      </c>
      <c r="AG2445">
        <v>-1.12083409202</v>
      </c>
      <c r="AH2445">
        <v>20.0302154118448</v>
      </c>
      <c r="AI2445">
        <v>93.2027547329768</v>
      </c>
      <c r="AJ2445">
        <v>90.173574870805496</v>
      </c>
      <c r="AK2445">
        <v>20.061642023124801</v>
      </c>
      <c r="AL2445">
        <v>96.416314912175594</v>
      </c>
      <c r="AM2445">
        <v>90.854528798705402</v>
      </c>
      <c r="AN2445">
        <v>0.99999998174795302</v>
      </c>
    </row>
    <row r="2446" spans="1:40" x14ac:dyDescent="0.25">
      <c r="A2446" t="str">
        <f>"20190303154514120"</f>
        <v>20190303154514120</v>
      </c>
      <c r="B2446" t="str">
        <f>"1551599114112860"</f>
        <v>1551599114112860</v>
      </c>
      <c r="C2446" t="s">
        <v>40</v>
      </c>
      <c r="D2446">
        <v>5.0743999999999998</v>
      </c>
      <c r="E2446">
        <v>0.50787660000000001</v>
      </c>
      <c r="F2446" t="s">
        <v>41</v>
      </c>
      <c r="G2446">
        <v>-493.27629999999999</v>
      </c>
      <c r="H2446" s="1">
        <v>-2.9605989999999998E-6</v>
      </c>
      <c r="I2446">
        <v>234.45830000000001</v>
      </c>
      <c r="J2446">
        <v>-492.68520000000001</v>
      </c>
      <c r="K2446">
        <v>1.120835</v>
      </c>
      <c r="L2446">
        <v>252.36189999999999</v>
      </c>
      <c r="M2446">
        <v>-2.99472E-2</v>
      </c>
      <c r="N2446">
        <v>-1.42322E-2</v>
      </c>
      <c r="O2446">
        <v>-0.99945019999999996</v>
      </c>
      <c r="P2446">
        <v>-1.474756E-2</v>
      </c>
      <c r="Q2446">
        <v>-0.12660879999999999</v>
      </c>
      <c r="R2446">
        <v>-0.99184329999999998</v>
      </c>
      <c r="S2446">
        <v>-9.8968509999999996E-2</v>
      </c>
      <c r="T2446">
        <v>-0.18574379999999999</v>
      </c>
      <c r="U2446">
        <v>-2.9993590000000001</v>
      </c>
      <c r="V2446">
        <v>-1.500581E-2</v>
      </c>
      <c r="W2446">
        <v>-0.11247450000000001</v>
      </c>
      <c r="X2446">
        <v>0.99354129999999996</v>
      </c>
      <c r="Y2446">
        <v>2.9909099999999998E-3</v>
      </c>
      <c r="Z2446">
        <v>4.7546770000000002E-2</v>
      </c>
      <c r="AA2446">
        <v>0.99886450000000004</v>
      </c>
      <c r="AB2446">
        <v>20</v>
      </c>
      <c r="AC2446">
        <v>-0.59109999999998297</v>
      </c>
      <c r="AD2446">
        <v>-1.120837960599</v>
      </c>
      <c r="AE2446">
        <v>-17.903599999999901</v>
      </c>
      <c r="AF2446">
        <v>5.4404857595794699E-2</v>
      </c>
      <c r="AG2446">
        <v>-1.120837960599</v>
      </c>
      <c r="AH2446">
        <v>17.843414895994002</v>
      </c>
      <c r="AI2446">
        <v>93.594307629035299</v>
      </c>
      <c r="AJ2446">
        <v>89.825304792614602</v>
      </c>
      <c r="AK2446">
        <v>17.8786658555114</v>
      </c>
      <c r="AL2446">
        <v>96.457979395332202</v>
      </c>
      <c r="AM2446">
        <v>90.865292882842397</v>
      </c>
      <c r="AN2446">
        <v>1.00000000114484</v>
      </c>
    </row>
    <row r="2447" spans="1:40" x14ac:dyDescent="0.25">
      <c r="A2447" t="str">
        <f>"20190303154514143"</f>
        <v>20190303154514143</v>
      </c>
      <c r="B2447" t="str">
        <f>"1551599114133356"</f>
        <v>1551599114133356</v>
      </c>
      <c r="C2447" t="s">
        <v>40</v>
      </c>
      <c r="D2447">
        <v>5.0840959999999997</v>
      </c>
      <c r="E2447">
        <v>0.50886609999999999</v>
      </c>
      <c r="F2447" t="s">
        <v>41</v>
      </c>
      <c r="G2447">
        <v>-493.29520000000002</v>
      </c>
      <c r="H2447" s="1">
        <v>-3.4197909999999998E-6</v>
      </c>
      <c r="I2447">
        <v>235.51689999999999</v>
      </c>
      <c r="J2447">
        <v>-492.69130000000001</v>
      </c>
      <c r="K2447">
        <v>1.1208359999999999</v>
      </c>
      <c r="L2447">
        <v>252.167</v>
      </c>
      <c r="M2447">
        <v>-3.0215140000000001E-2</v>
      </c>
      <c r="N2447">
        <v>-1.423921E-2</v>
      </c>
      <c r="O2447">
        <v>-0.9994421</v>
      </c>
      <c r="P2447">
        <v>-1.520112E-2</v>
      </c>
      <c r="Q2447">
        <v>-0.1262025</v>
      </c>
      <c r="R2447">
        <v>-0.9918882</v>
      </c>
      <c r="S2447">
        <v>-0.10855099999999999</v>
      </c>
      <c r="T2447">
        <v>-0.1994554</v>
      </c>
      <c r="U2447">
        <v>-2.9975890000000001</v>
      </c>
      <c r="V2447">
        <v>-1.48208E-2</v>
      </c>
      <c r="W2447">
        <v>-0.1120604</v>
      </c>
      <c r="X2447">
        <v>0.99359090000000005</v>
      </c>
      <c r="Y2447">
        <v>5.9214940000000002E-3</v>
      </c>
      <c r="Z2447">
        <v>5.2117400000000001E-2</v>
      </c>
      <c r="AA2447">
        <v>0.99862340000000005</v>
      </c>
      <c r="AB2447">
        <v>20</v>
      </c>
      <c r="AC2447">
        <v>-0.60390000000000998</v>
      </c>
      <c r="AD2447">
        <v>-1.1208394197910001</v>
      </c>
      <c r="AE2447">
        <v>-16.650099999999998</v>
      </c>
      <c r="AF2447">
        <v>0.100035431735848</v>
      </c>
      <c r="AG2447">
        <v>-1.1208394197910001</v>
      </c>
      <c r="AH2447">
        <v>16.585683895759399</v>
      </c>
      <c r="AI2447">
        <v>93.866027600298295</v>
      </c>
      <c r="AJ2447">
        <v>89.654428567675893</v>
      </c>
      <c r="AK2447">
        <v>16.6238141947813</v>
      </c>
      <c r="AL2447">
        <v>96.434102056696105</v>
      </c>
      <c r="AM2447">
        <v>90.854583428288805</v>
      </c>
      <c r="AN2447">
        <v>1.0000000329618</v>
      </c>
    </row>
    <row r="2448" spans="1:40" x14ac:dyDescent="0.25">
      <c r="A2448" t="str">
        <f>"20190303154514164"</f>
        <v>20190303154514164</v>
      </c>
      <c r="B2448" t="str">
        <f>"1551599114152876"</f>
        <v>1551599114152876</v>
      </c>
      <c r="C2448" t="s">
        <v>40</v>
      </c>
      <c r="D2448">
        <v>5.0957439999999998</v>
      </c>
      <c r="E2448">
        <v>0.50961590000000001</v>
      </c>
      <c r="F2448" t="s">
        <v>41</v>
      </c>
      <c r="G2448">
        <v>-493.3381</v>
      </c>
      <c r="H2448" s="1">
        <v>-3.4983960000000001E-6</v>
      </c>
      <c r="I2448">
        <v>235.67349999999999</v>
      </c>
      <c r="J2448">
        <v>-492.69779999999997</v>
      </c>
      <c r="K2448">
        <v>1.120849</v>
      </c>
      <c r="L2448">
        <v>251.96690000000001</v>
      </c>
      <c r="M2448">
        <v>-3.0480400000000001E-2</v>
      </c>
      <c r="N2448">
        <v>-1.4244710000000001E-2</v>
      </c>
      <c r="O2448">
        <v>-0.99943400000000004</v>
      </c>
      <c r="P2448">
        <v>-1.6079059999999999E-2</v>
      </c>
      <c r="Q2448">
        <v>-0.1258859</v>
      </c>
      <c r="R2448">
        <v>-0.99191459999999998</v>
      </c>
      <c r="S2448">
        <v>-0.11752319999999999</v>
      </c>
      <c r="T2448">
        <v>-0.20365459999999999</v>
      </c>
      <c r="U2448">
        <v>-2.996826</v>
      </c>
      <c r="V2448">
        <v>-1.420682E-2</v>
      </c>
      <c r="W2448">
        <v>-0.111738</v>
      </c>
      <c r="X2448">
        <v>0.99363610000000002</v>
      </c>
      <c r="Y2448">
        <v>8.6462120000000003E-3</v>
      </c>
      <c r="Z2448">
        <v>5.3515699999999902E-2</v>
      </c>
      <c r="AA2448">
        <v>0.99852960000000002</v>
      </c>
      <c r="AB2448">
        <v>20</v>
      </c>
      <c r="AC2448">
        <v>-0.64030000000002396</v>
      </c>
      <c r="AD2448">
        <v>-1.120852498396</v>
      </c>
      <c r="AE2448">
        <v>-16.293399999999998</v>
      </c>
      <c r="AF2448">
        <v>0.14264874431643701</v>
      </c>
      <c r="AG2448">
        <v>-1.120852498396</v>
      </c>
      <c r="AH2448">
        <v>16.228665843685899</v>
      </c>
      <c r="AI2448">
        <v>93.950776205627193</v>
      </c>
      <c r="AJ2448">
        <v>89.496387405057803</v>
      </c>
      <c r="AK2448">
        <v>16.267951747329199</v>
      </c>
      <c r="AL2448">
        <v>96.415513642121198</v>
      </c>
      <c r="AM2448">
        <v>90.819148343916794</v>
      </c>
      <c r="AN2448">
        <v>0.99999995680085996</v>
      </c>
    </row>
    <row r="2449" spans="1:40" x14ac:dyDescent="0.25">
      <c r="A2449" t="str">
        <f>"20190303154514187"</f>
        <v>20190303154514187</v>
      </c>
      <c r="B2449" t="str">
        <f>"1551599114183133"</f>
        <v>1551599114183133</v>
      </c>
      <c r="C2449" t="s">
        <v>40</v>
      </c>
      <c r="D2449">
        <v>5.058872</v>
      </c>
      <c r="E2449">
        <v>0.51014629999999905</v>
      </c>
      <c r="F2449" t="s">
        <v>41</v>
      </c>
      <c r="G2449">
        <v>-493.38670000000002</v>
      </c>
      <c r="H2449" s="1">
        <v>-3.4832189999999998E-6</v>
      </c>
      <c r="I2449">
        <v>235.608</v>
      </c>
      <c r="J2449">
        <v>-492.70420000000001</v>
      </c>
      <c r="K2449">
        <v>1.1208640000000001</v>
      </c>
      <c r="L2449">
        <v>251.7662</v>
      </c>
      <c r="M2449">
        <v>-3.0734939999999999E-2</v>
      </c>
      <c r="N2449">
        <v>-1.424884E-2</v>
      </c>
      <c r="O2449">
        <v>-0.99942609999999998</v>
      </c>
      <c r="P2449">
        <v>-1.738667E-2</v>
      </c>
      <c r="Q2449">
        <v>-0.12531010000000001</v>
      </c>
      <c r="R2449">
        <v>-0.99196569999999995</v>
      </c>
      <c r="S2449">
        <v>-0.1261902</v>
      </c>
      <c r="T2449">
        <v>-0.20530080000000001</v>
      </c>
      <c r="U2449">
        <v>-2.9963679999999999</v>
      </c>
      <c r="V2449">
        <v>-1.3152509999999999E-2</v>
      </c>
      <c r="W2449">
        <v>-0.1111574</v>
      </c>
      <c r="X2449">
        <v>0.99371580000000004</v>
      </c>
      <c r="Y2449">
        <v>1.1278120000000001E-2</v>
      </c>
      <c r="Z2449">
        <v>5.4062359999999997E-2</v>
      </c>
      <c r="AA2449">
        <v>0.99847390000000003</v>
      </c>
      <c r="AB2449">
        <v>20</v>
      </c>
      <c r="AC2449">
        <v>-0.68250000000000399</v>
      </c>
      <c r="AD2449">
        <v>-1.12086748321899</v>
      </c>
      <c r="AE2449">
        <v>-16.158199999999901</v>
      </c>
      <c r="AF2449">
        <v>0.18461902176613301</v>
      </c>
      <c r="AG2449">
        <v>-1.12086748321899</v>
      </c>
      <c r="AH2449">
        <v>16.094236557688699</v>
      </c>
      <c r="AI2449">
        <v>93.983615030762095</v>
      </c>
      <c r="AJ2449">
        <v>89.342781697429899</v>
      </c>
      <c r="AK2449">
        <v>16.1342765091274</v>
      </c>
      <c r="AL2449">
        <v>96.382038746426403</v>
      </c>
      <c r="AM2449">
        <v>90.758304650624197</v>
      </c>
      <c r="AN2449">
        <v>1.00000002363184</v>
      </c>
    </row>
    <row r="2450" spans="1:40" x14ac:dyDescent="0.25">
      <c r="A2450" t="str">
        <f>"20190303154514209"</f>
        <v>20190303154514209</v>
      </c>
      <c r="B2450" t="str">
        <f>"1551599114203158"</f>
        <v>1551599114203158</v>
      </c>
      <c r="C2450" t="s">
        <v>40</v>
      </c>
      <c r="D2450">
        <v>5.022621</v>
      </c>
      <c r="E2450">
        <v>0.51051990000000003</v>
      </c>
      <c r="F2450" t="s">
        <v>41</v>
      </c>
      <c r="G2450">
        <v>-493.42750000000001</v>
      </c>
      <c r="H2450" s="1">
        <v>-3.496479E-6</v>
      </c>
      <c r="I2450">
        <v>235.61359999999999</v>
      </c>
      <c r="J2450">
        <v>-492.71030000000002</v>
      </c>
      <c r="K2450">
        <v>1.1208800000000001</v>
      </c>
      <c r="L2450">
        <v>251.57419999999999</v>
      </c>
      <c r="M2450">
        <v>-3.0963310000000001E-2</v>
      </c>
      <c r="N2450">
        <v>-1.4251669999999999E-2</v>
      </c>
      <c r="O2450">
        <v>-0.99941919999999995</v>
      </c>
      <c r="P2450">
        <v>-1.8195739999999998E-2</v>
      </c>
      <c r="Q2450">
        <v>-0.1247552</v>
      </c>
      <c r="R2450">
        <v>-0.99202109999999999</v>
      </c>
      <c r="S2450">
        <v>-0.13415529999999901</v>
      </c>
      <c r="T2450">
        <v>-0.20787539999999999</v>
      </c>
      <c r="U2450">
        <v>-2.9956510000000001</v>
      </c>
      <c r="V2450">
        <v>-1.2569530000000001E-2</v>
      </c>
      <c r="W2450">
        <v>-0.11059910000000001</v>
      </c>
      <c r="X2450">
        <v>0.99378560000000005</v>
      </c>
      <c r="Y2450">
        <v>1.370586E-2</v>
      </c>
      <c r="Z2450">
        <v>5.4923800000000002E-2</v>
      </c>
      <c r="AA2450">
        <v>0.99839650000000002</v>
      </c>
      <c r="AB2450">
        <v>20</v>
      </c>
      <c r="AC2450">
        <v>-0.71719999999999096</v>
      </c>
      <c r="AD2450">
        <v>-1.120883496479</v>
      </c>
      <c r="AE2450">
        <v>-15.960599999999999</v>
      </c>
      <c r="AF2450">
        <v>0.22152264271995201</v>
      </c>
      <c r="AG2450">
        <v>-1.120883496479</v>
      </c>
      <c r="AH2450">
        <v>15.8969093599607</v>
      </c>
      <c r="AI2450">
        <v>94.032832832706603</v>
      </c>
      <c r="AJ2450">
        <v>89.201637830369293</v>
      </c>
      <c r="AK2450">
        <v>15.937916403743699</v>
      </c>
      <c r="AL2450">
        <v>96.349852287263403</v>
      </c>
      <c r="AM2450">
        <v>90.724645858670598</v>
      </c>
      <c r="AN2450">
        <v>0.99999998638629495</v>
      </c>
    </row>
    <row r="2451" spans="1:40" x14ac:dyDescent="0.25">
      <c r="A2451" t="str">
        <f>"20190303154514231"</f>
        <v>20190303154514231</v>
      </c>
      <c r="B2451" t="str">
        <f>"1551599114222684"</f>
        <v>1551599114222684</v>
      </c>
      <c r="C2451" t="s">
        <v>40</v>
      </c>
      <c r="D2451">
        <v>5.0426029999999997</v>
      </c>
      <c r="E2451">
        <v>0.51081639999999995</v>
      </c>
      <c r="F2451" t="s">
        <v>41</v>
      </c>
      <c r="G2451">
        <v>-493.46530000000001</v>
      </c>
      <c r="H2451" s="1">
        <v>-3.4151670000000001E-6</v>
      </c>
      <c r="I2451">
        <v>235.4007</v>
      </c>
      <c r="J2451">
        <v>-492.71690000000001</v>
      </c>
      <c r="K2451">
        <v>1.120897</v>
      </c>
      <c r="L2451">
        <v>251.37389999999999</v>
      </c>
      <c r="M2451">
        <v>-3.117905E-2</v>
      </c>
      <c r="N2451">
        <v>-1.4253450000000001E-2</v>
      </c>
      <c r="O2451">
        <v>-0.99941230000000003</v>
      </c>
      <c r="P2451">
        <v>-1.976253E-2</v>
      </c>
      <c r="Q2451">
        <v>-0.124802</v>
      </c>
      <c r="R2451">
        <v>-0.99198520000000001</v>
      </c>
      <c r="S2451">
        <v>-0.1398315</v>
      </c>
      <c r="T2451">
        <v>-0.207597</v>
      </c>
      <c r="U2451">
        <v>-2.9954679999999998</v>
      </c>
      <c r="V2451">
        <v>-1.121276E-2</v>
      </c>
      <c r="W2451">
        <v>-0.1106448</v>
      </c>
      <c r="X2451">
        <v>0.99379680000000004</v>
      </c>
      <c r="Y2451">
        <v>1.537993E-2</v>
      </c>
      <c r="Z2451">
        <v>5.4829969999999999E-2</v>
      </c>
      <c r="AA2451">
        <v>0.99837730000000002</v>
      </c>
      <c r="AB2451">
        <v>20</v>
      </c>
      <c r="AC2451">
        <v>-0.74840000000000295</v>
      </c>
      <c r="AD2451">
        <v>-1.1209004151669999</v>
      </c>
      <c r="AE2451">
        <v>-15.973199999999901</v>
      </c>
      <c r="AF2451">
        <v>0.24873415122350201</v>
      </c>
      <c r="AG2451">
        <v>-1.1209004151669999</v>
      </c>
      <c r="AH2451">
        <v>15.9105913329903</v>
      </c>
      <c r="AI2451">
        <v>94.029336118145906</v>
      </c>
      <c r="AJ2451">
        <v>89.104354077705295</v>
      </c>
      <c r="AK2451">
        <v>15.951965489686</v>
      </c>
      <c r="AL2451">
        <v>96.352486540215907</v>
      </c>
      <c r="AM2451">
        <v>90.646426478381102</v>
      </c>
      <c r="AN2451">
        <v>1.00000003872204</v>
      </c>
    </row>
    <row r="2452" spans="1:40" x14ac:dyDescent="0.25">
      <c r="A2452" t="str">
        <f>"20190303154514254"</f>
        <v>20190303154514254</v>
      </c>
      <c r="B2452" t="str">
        <f>"1551599114243174"</f>
        <v>1551599114243174</v>
      </c>
      <c r="C2452" t="s">
        <v>40</v>
      </c>
      <c r="D2452">
        <v>5.0607230000000003</v>
      </c>
      <c r="E2452">
        <v>0.51108030000000004</v>
      </c>
      <c r="F2452" t="s">
        <v>41</v>
      </c>
      <c r="G2452">
        <v>-493.50729999999999</v>
      </c>
      <c r="H2452" s="1">
        <v>-3.3772550000000001E-6</v>
      </c>
      <c r="I2452">
        <v>235.28630000000001</v>
      </c>
      <c r="J2452">
        <v>-492.72329999999999</v>
      </c>
      <c r="K2452">
        <v>1.1209169999999999</v>
      </c>
      <c r="L2452">
        <v>251.17320000000001</v>
      </c>
      <c r="M2452">
        <v>-3.1366089999999999E-2</v>
      </c>
      <c r="N2452">
        <v>-1.4254319999999999E-2</v>
      </c>
      <c r="O2452">
        <v>-0.99940629999999997</v>
      </c>
      <c r="P2452">
        <v>-2.0881E-2</v>
      </c>
      <c r="Q2452">
        <v>-0.12506510000000001</v>
      </c>
      <c r="R2452">
        <v>-0.99192880000000005</v>
      </c>
      <c r="S2452">
        <v>-0.1471558</v>
      </c>
      <c r="T2452">
        <v>-0.20867859999999999</v>
      </c>
      <c r="U2452">
        <v>-2.9950410000000001</v>
      </c>
      <c r="V2452">
        <v>-1.0274169999999999E-2</v>
      </c>
      <c r="W2452">
        <v>-0.1109081</v>
      </c>
      <c r="X2452">
        <v>0.99377760000000004</v>
      </c>
      <c r="Y2452">
        <v>1.76329E-2</v>
      </c>
      <c r="Z2452">
        <v>5.519193E-2</v>
      </c>
      <c r="AA2452">
        <v>0.99831999999999999</v>
      </c>
      <c r="AB2452">
        <v>20</v>
      </c>
      <c r="AC2452">
        <v>-0.78399999999999104</v>
      </c>
      <c r="AD2452">
        <v>-1.120920377255</v>
      </c>
      <c r="AE2452">
        <v>-15.886899999999899</v>
      </c>
      <c r="AF2452">
        <v>0.28384399381065001</v>
      </c>
      <c r="AG2452">
        <v>-1.120920377255</v>
      </c>
      <c r="AH2452">
        <v>15.8250861343206</v>
      </c>
      <c r="AI2452">
        <v>94.050950776229001</v>
      </c>
      <c r="AJ2452">
        <v>88.972434078616402</v>
      </c>
      <c r="AK2452">
        <v>15.8672739014499</v>
      </c>
      <c r="AL2452">
        <v>96.3676659230496</v>
      </c>
      <c r="AM2452">
        <v>90.592331329682395</v>
      </c>
      <c r="AN2452">
        <v>1.00000004173827</v>
      </c>
    </row>
    <row r="2453" spans="1:40" x14ac:dyDescent="0.25">
      <c r="A2453" t="str">
        <f>"20190303154514278"</f>
        <v>20190303154514278</v>
      </c>
      <c r="B2453" t="str">
        <f>"1551599114273430"</f>
        <v>1551599114273430</v>
      </c>
      <c r="C2453" t="s">
        <v>40</v>
      </c>
      <c r="D2453">
        <v>5.0223019999999998</v>
      </c>
      <c r="E2453">
        <v>0.51107979999999997</v>
      </c>
      <c r="F2453" t="s">
        <v>41</v>
      </c>
      <c r="G2453">
        <v>-493.53910000000002</v>
      </c>
      <c r="H2453" s="1">
        <v>-3.3352050000000002E-6</v>
      </c>
      <c r="I2453">
        <v>235.16849999999999</v>
      </c>
      <c r="J2453">
        <v>-492.73</v>
      </c>
      <c r="K2453">
        <v>1.120941</v>
      </c>
      <c r="L2453">
        <v>250.9665</v>
      </c>
      <c r="M2453">
        <v>-3.152344E-2</v>
      </c>
      <c r="N2453">
        <v>-1.425439E-2</v>
      </c>
      <c r="O2453">
        <v>-0.9994016</v>
      </c>
      <c r="P2453">
        <v>-2.1181869999999998E-2</v>
      </c>
      <c r="Q2453">
        <v>-0.1250008</v>
      </c>
      <c r="R2453">
        <v>-0.9919308</v>
      </c>
      <c r="S2453">
        <v>-0.1526489</v>
      </c>
      <c r="T2453">
        <v>-0.20974280000000001</v>
      </c>
      <c r="U2453">
        <v>-2.9947509999999999</v>
      </c>
      <c r="V2453">
        <v>-1.012308E-2</v>
      </c>
      <c r="W2453">
        <v>-0.1108442</v>
      </c>
      <c r="X2453">
        <v>0.99378619999999995</v>
      </c>
      <c r="Y2453">
        <v>1.9304769999999999E-2</v>
      </c>
      <c r="Z2453">
        <v>5.554684E-2</v>
      </c>
      <c r="AA2453">
        <v>0.99826939999999997</v>
      </c>
      <c r="AB2453">
        <v>20</v>
      </c>
      <c r="AC2453">
        <v>-0.80910000000000004</v>
      </c>
      <c r="AD2453">
        <v>-1.1209443352049999</v>
      </c>
      <c r="AE2453">
        <v>-15.798</v>
      </c>
      <c r="AF2453">
        <v>0.30908795744698397</v>
      </c>
      <c r="AG2453">
        <v>-1.1209443352049999</v>
      </c>
      <c r="AH2453">
        <v>15.7366350142449</v>
      </c>
      <c r="AI2453">
        <v>94.073600332092298</v>
      </c>
      <c r="AJ2453">
        <v>88.874781130025994</v>
      </c>
      <c r="AK2453">
        <v>15.7795352637403</v>
      </c>
      <c r="AL2453">
        <v>96.363982515938204</v>
      </c>
      <c r="AM2453">
        <v>90.583616174063707</v>
      </c>
      <c r="AN2453">
        <v>0.999999962366382</v>
      </c>
    </row>
    <row r="2454" spans="1:40" x14ac:dyDescent="0.25">
      <c r="A2454" t="str">
        <f>"20190303154514299"</f>
        <v>20190303154514299</v>
      </c>
      <c r="B2454" t="str">
        <f>"1551599114292950"</f>
        <v>1551599114292950</v>
      </c>
      <c r="C2454" t="s">
        <v>40</v>
      </c>
      <c r="D2454">
        <v>5.0113580000000004</v>
      </c>
      <c r="E2454">
        <v>0.5111829</v>
      </c>
      <c r="F2454" t="s">
        <v>41</v>
      </c>
      <c r="G2454">
        <v>-493.5378</v>
      </c>
      <c r="H2454" s="1">
        <v>-3.3368590000000001E-6</v>
      </c>
      <c r="I2454">
        <v>235.17320000000001</v>
      </c>
      <c r="J2454">
        <v>-492.7362</v>
      </c>
      <c r="K2454">
        <v>1.12096</v>
      </c>
      <c r="L2454">
        <v>250.77590000000001</v>
      </c>
      <c r="M2454">
        <v>-3.1632159999999999E-2</v>
      </c>
      <c r="N2454">
        <v>-1.42538E-2</v>
      </c>
      <c r="O2454">
        <v>-0.99939800000000001</v>
      </c>
      <c r="P2454">
        <v>-2.1436340000000002E-2</v>
      </c>
      <c r="Q2454">
        <v>-0.1247225</v>
      </c>
      <c r="R2454">
        <v>-0.99196030000000002</v>
      </c>
      <c r="S2454">
        <v>-0.1531372</v>
      </c>
      <c r="T2454">
        <v>-0.2125262</v>
      </c>
      <c r="U2454">
        <v>-2.9943390000000001</v>
      </c>
      <c r="V2454">
        <v>-9.9717490000000002E-3</v>
      </c>
      <c r="W2454">
        <v>-0.1105666</v>
      </c>
      <c r="X2454">
        <v>0.99381870000000005</v>
      </c>
      <c r="Y2454">
        <v>1.9362500000000001E-2</v>
      </c>
      <c r="Z2454">
        <v>5.6478489999999999E-2</v>
      </c>
      <c r="AA2454">
        <v>0.99821599999999999</v>
      </c>
      <c r="AB2454">
        <v>20</v>
      </c>
      <c r="AC2454">
        <v>-0.80160000000000697</v>
      </c>
      <c r="AD2454">
        <v>-1.120963336859</v>
      </c>
      <c r="AE2454">
        <v>-15.6027</v>
      </c>
      <c r="AF2454">
        <v>0.30602614142940199</v>
      </c>
      <c r="AG2454">
        <v>-1.120963336859</v>
      </c>
      <c r="AH2454">
        <v>15.5402482021816</v>
      </c>
      <c r="AI2454">
        <v>94.124968603835001</v>
      </c>
      <c r="AJ2454">
        <v>88.871849400609193</v>
      </c>
      <c r="AK2454">
        <v>15.5836300324164</v>
      </c>
      <c r="AL2454">
        <v>96.347978541563407</v>
      </c>
      <c r="AM2454">
        <v>90.574873424837506</v>
      </c>
      <c r="AN2454">
        <v>1.00000000864168</v>
      </c>
    </row>
    <row r="2455" spans="1:40" x14ac:dyDescent="0.25">
      <c r="A2455" t="str">
        <f>"20190303154514321"</f>
        <v>20190303154514321</v>
      </c>
      <c r="B2455" t="str">
        <f>"1551599114313446"</f>
        <v>1551599114313446</v>
      </c>
      <c r="C2455" t="s">
        <v>40</v>
      </c>
      <c r="D2455">
        <v>4.9729369999999999</v>
      </c>
      <c r="E2455">
        <v>0.5111869</v>
      </c>
      <c r="F2455" t="s">
        <v>41</v>
      </c>
      <c r="G2455">
        <v>-493.54829999999998</v>
      </c>
      <c r="H2455" s="1">
        <v>-3.2930710000000001E-6</v>
      </c>
      <c r="I2455">
        <v>235.06460000000001</v>
      </c>
      <c r="J2455">
        <v>-492.74239999999998</v>
      </c>
      <c r="K2455">
        <v>1.1209880000000001</v>
      </c>
      <c r="L2455">
        <v>250.58349999999999</v>
      </c>
      <c r="M2455">
        <v>-3.1704530000000002E-2</v>
      </c>
      <c r="N2455">
        <v>-1.425264E-2</v>
      </c>
      <c r="O2455">
        <v>-0.99939560000000005</v>
      </c>
      <c r="P2455">
        <v>-2.1273199999999999E-2</v>
      </c>
      <c r="Q2455">
        <v>-0.1242291</v>
      </c>
      <c r="R2455">
        <v>-0.99202559999999995</v>
      </c>
      <c r="S2455">
        <v>-0.15475459999999999</v>
      </c>
      <c r="T2455">
        <v>-0.2136198</v>
      </c>
      <c r="U2455">
        <v>-2.9940799999999999</v>
      </c>
      <c r="V2455">
        <v>-1.0201669999999999E-2</v>
      </c>
      <c r="W2455">
        <v>-0.1100742</v>
      </c>
      <c r="X2455">
        <v>0.99387099999999995</v>
      </c>
      <c r="Y2455">
        <v>1.9830919999999998E-2</v>
      </c>
      <c r="Z2455">
        <v>5.6846630000000002E-2</v>
      </c>
      <c r="AA2455">
        <v>0.99818589999999996</v>
      </c>
      <c r="AB2455">
        <v>20</v>
      </c>
      <c r="AC2455">
        <v>-0.80590000000000805</v>
      </c>
      <c r="AD2455">
        <v>-1.120991293071</v>
      </c>
      <c r="AE2455">
        <v>-15.518899999999901</v>
      </c>
      <c r="AF2455">
        <v>0.31180280698805601</v>
      </c>
      <c r="AG2455">
        <v>-1.120991293071</v>
      </c>
      <c r="AH2455">
        <v>15.4562204344567</v>
      </c>
      <c r="AI2455">
        <v>94.147379440641799</v>
      </c>
      <c r="AJ2455">
        <v>88.844312418176102</v>
      </c>
      <c r="AK2455">
        <v>15.499954599549801</v>
      </c>
      <c r="AL2455">
        <v>96.319592991148596</v>
      </c>
      <c r="AM2455">
        <v>90.588096551645407</v>
      </c>
      <c r="AN2455">
        <v>0.99999998410871405</v>
      </c>
    </row>
    <row r="2456" spans="1:40" x14ac:dyDescent="0.25">
      <c r="A2456" t="str">
        <f>"20190303154514343"</f>
        <v>20190303154514343</v>
      </c>
      <c r="B2456" t="str">
        <f>"1551599114332966"</f>
        <v>1551599114332966</v>
      </c>
      <c r="C2456" t="s">
        <v>40</v>
      </c>
      <c r="D2456">
        <v>5.0017180000000003</v>
      </c>
      <c r="E2456">
        <v>0.47958729999999999</v>
      </c>
      <c r="F2456" t="s">
        <v>41</v>
      </c>
      <c r="G2456">
        <v>-493.56509999999997</v>
      </c>
      <c r="H2456" s="1">
        <v>-3.1083820000000001E-6</v>
      </c>
      <c r="I2456">
        <v>234.62370000000001</v>
      </c>
      <c r="J2456">
        <v>-492.7484</v>
      </c>
      <c r="K2456">
        <v>1.1210150000000001</v>
      </c>
      <c r="L2456">
        <v>250.3964</v>
      </c>
      <c r="M2456">
        <v>-3.1737790000000002E-2</v>
      </c>
      <c r="N2456">
        <v>-1.425121E-2</v>
      </c>
      <c r="O2456">
        <v>-0.99939469999999997</v>
      </c>
      <c r="P2456">
        <v>-2.115974E-2</v>
      </c>
      <c r="Q2456">
        <v>-0.1243411</v>
      </c>
      <c r="R2456">
        <v>-0.99201410000000001</v>
      </c>
      <c r="S2456">
        <v>-0.15435789999999999</v>
      </c>
      <c r="T2456">
        <v>-0.21032580000000001</v>
      </c>
      <c r="U2456">
        <v>-2.9944609999999998</v>
      </c>
      <c r="V2456">
        <v>-1.0341339999999999E-2</v>
      </c>
      <c r="W2456">
        <v>-0.11018840000000001</v>
      </c>
      <c r="X2456">
        <v>0.99385690000000004</v>
      </c>
      <c r="Y2456">
        <v>1.966265E-2</v>
      </c>
      <c r="Z2456">
        <v>5.5748119999999998E-2</v>
      </c>
      <c r="AA2456">
        <v>0.99825129999999995</v>
      </c>
      <c r="AB2456">
        <v>20</v>
      </c>
      <c r="AC2456">
        <v>-0.81669999999996801</v>
      </c>
      <c r="AD2456">
        <v>-1.1210181083819999</v>
      </c>
      <c r="AE2456">
        <v>-15.772699999999899</v>
      </c>
      <c r="AF2456">
        <v>0.31406481245386603</v>
      </c>
      <c r="AG2456">
        <v>-1.1210181083819999</v>
      </c>
      <c r="AH2456">
        <v>15.711522225302099</v>
      </c>
      <c r="AI2456">
        <v>94.080329044845996</v>
      </c>
      <c r="AJ2456">
        <v>88.854840936870701</v>
      </c>
      <c r="AK2456">
        <v>15.754594534354201</v>
      </c>
      <c r="AL2456">
        <v>96.3261762265697</v>
      </c>
      <c r="AM2456">
        <v>90.596156000060603</v>
      </c>
      <c r="AN2456">
        <v>0.99999998224258202</v>
      </c>
    </row>
    <row r="2457" spans="1:40" x14ac:dyDescent="0.25">
      <c r="A2457" t="str">
        <f>"20190303154514366"</f>
        <v>20190303154514366</v>
      </c>
      <c r="B2457" t="str">
        <f>"1551599114363222"</f>
        <v>1551599114363222</v>
      </c>
      <c r="C2457" t="s">
        <v>40</v>
      </c>
      <c r="D2457">
        <v>4.9695910000000003</v>
      </c>
      <c r="E2457">
        <v>0.4684104</v>
      </c>
      <c r="F2457" t="s">
        <v>41</v>
      </c>
      <c r="G2457">
        <v>-492.26670000000001</v>
      </c>
      <c r="H2457" s="1">
        <v>-3.1860070000000001E-6</v>
      </c>
      <c r="I2457">
        <v>235.60990000000001</v>
      </c>
      <c r="J2457">
        <v>-492.75490000000002</v>
      </c>
      <c r="K2457">
        <v>1.12103</v>
      </c>
      <c r="L2457">
        <v>250.19399999999999</v>
      </c>
      <c r="M2457">
        <v>-3.1742550000000001E-2</v>
      </c>
      <c r="N2457">
        <v>-1.4249370000000001E-2</v>
      </c>
      <c r="O2457">
        <v>-0.99939469999999997</v>
      </c>
      <c r="P2457">
        <v>-2.0758720000000001E-2</v>
      </c>
      <c r="Q2457">
        <v>-0.12465850000000001</v>
      </c>
      <c r="R2457">
        <v>-0.9919829</v>
      </c>
      <c r="S2457">
        <v>9.765625E-2</v>
      </c>
      <c r="T2457">
        <v>-0.22726830000000001</v>
      </c>
      <c r="U2457">
        <v>-2.9977260000000001</v>
      </c>
      <c r="V2457">
        <v>-1.0740939999999999E-2</v>
      </c>
      <c r="W2457">
        <v>-0.1105087</v>
      </c>
      <c r="X2457">
        <v>0.99381710000000001</v>
      </c>
      <c r="Y2457">
        <v>-6.4169699999999996E-2</v>
      </c>
      <c r="Z2457">
        <v>6.1218080000000001E-2</v>
      </c>
      <c r="AA2457">
        <v>0.99605949999999999</v>
      </c>
      <c r="AB2457">
        <v>20</v>
      </c>
      <c r="AC2457">
        <v>0.48820000000000602</v>
      </c>
      <c r="AD2457">
        <v>-1.121033186007</v>
      </c>
      <c r="AE2457">
        <v>-14.584099999999999</v>
      </c>
      <c r="AF2457">
        <v>-0.94535797076539796</v>
      </c>
      <c r="AG2457">
        <v>-1.121033186007</v>
      </c>
      <c r="AH2457">
        <v>14.475816271685201</v>
      </c>
      <c r="AI2457">
        <v>94.418874121231198</v>
      </c>
      <c r="AJ2457">
        <v>93.736453607054401</v>
      </c>
      <c r="AK2457">
        <v>14.5499028803839</v>
      </c>
      <c r="AL2457">
        <v>96.344640815590694</v>
      </c>
      <c r="AM2457">
        <v>90.619215115245794</v>
      </c>
      <c r="AN2457">
        <v>0.99999998441009097</v>
      </c>
    </row>
    <row r="2458" spans="1:40" x14ac:dyDescent="0.25">
      <c r="A2458" t="str">
        <f>"20190303154514388"</f>
        <v>20190303154514388</v>
      </c>
      <c r="B2458" t="str">
        <f>"1551599114382742"</f>
        <v>1551599114382742</v>
      </c>
      <c r="C2458" t="s">
        <v>40</v>
      </c>
      <c r="D2458">
        <v>4.9176529999999996</v>
      </c>
      <c r="E2458">
        <v>0.46619460000000001</v>
      </c>
      <c r="F2458" t="s">
        <v>41</v>
      </c>
      <c r="G2458">
        <v>-491.8218</v>
      </c>
      <c r="H2458" s="1">
        <v>-2.946374E-6</v>
      </c>
      <c r="I2458">
        <v>235.3272</v>
      </c>
      <c r="J2458">
        <v>-492.76119999999997</v>
      </c>
      <c r="K2458">
        <v>1.1210439999999999</v>
      </c>
      <c r="L2458">
        <v>249.99430000000001</v>
      </c>
      <c r="M2458">
        <v>-3.1727150000000003E-2</v>
      </c>
      <c r="N2458">
        <v>-1.424719E-2</v>
      </c>
      <c r="O2458">
        <v>-0.99939520000000004</v>
      </c>
      <c r="P2458">
        <v>-2.017002E-2</v>
      </c>
      <c r="Q2458">
        <v>-0.1246326</v>
      </c>
      <c r="R2458">
        <v>-0.99199839999999995</v>
      </c>
      <c r="S2458">
        <v>0.18826290000000001</v>
      </c>
      <c r="T2458">
        <v>-0.22619629999999999</v>
      </c>
      <c r="U2458">
        <v>-2.9997410000000002</v>
      </c>
      <c r="V2458">
        <v>-1.131153E-2</v>
      </c>
      <c r="W2458">
        <v>-0.11048529999999999</v>
      </c>
      <c r="X2458">
        <v>0.99381339999999996</v>
      </c>
      <c r="Y2458">
        <v>-9.4097440000000004E-2</v>
      </c>
      <c r="Z2458">
        <v>6.0666270000000001E-2</v>
      </c>
      <c r="AA2458">
        <v>0.99371290000000001</v>
      </c>
      <c r="AB2458">
        <v>20</v>
      </c>
      <c r="AC2458">
        <v>0.93939999999997703</v>
      </c>
      <c r="AD2458">
        <v>-1.121046946374</v>
      </c>
      <c r="AE2458">
        <v>-14.6671</v>
      </c>
      <c r="AF2458">
        <v>-1.3961962036343101</v>
      </c>
      <c r="AG2458">
        <v>-1.121046946374</v>
      </c>
      <c r="AH2458">
        <v>14.545281197344201</v>
      </c>
      <c r="AI2458">
        <v>94.387152747752197</v>
      </c>
      <c r="AJ2458">
        <v>95.483001881232198</v>
      </c>
      <c r="AK2458">
        <v>14.655078137111101</v>
      </c>
      <c r="AL2458">
        <v>96.343291650897498</v>
      </c>
      <c r="AM2458">
        <v>90.652109283342497</v>
      </c>
      <c r="AN2458">
        <v>1.00000001312329</v>
      </c>
    </row>
    <row r="2459" spans="1:40" x14ac:dyDescent="0.25">
      <c r="A2459" t="str">
        <f>"20190303154514411"</f>
        <v>20190303154514411</v>
      </c>
      <c r="B2459" t="str">
        <f>"1551599114402769"</f>
        <v>1551599114402769</v>
      </c>
      <c r="C2459" t="s">
        <v>40</v>
      </c>
      <c r="D2459">
        <v>4.96882</v>
      </c>
      <c r="E2459">
        <v>0.46507779999999999</v>
      </c>
      <c r="F2459" t="s">
        <v>41</v>
      </c>
      <c r="G2459">
        <v>-491.7484</v>
      </c>
      <c r="H2459" s="1">
        <v>-2.9525449999999999E-6</v>
      </c>
      <c r="I2459">
        <v>235.38720000000001</v>
      </c>
      <c r="J2459">
        <v>-492.76729999999998</v>
      </c>
      <c r="K2459">
        <v>1.121049</v>
      </c>
      <c r="L2459">
        <v>249.80119999999999</v>
      </c>
      <c r="M2459">
        <v>-3.1699850000000002E-2</v>
      </c>
      <c r="N2459">
        <v>-1.4244700000000001E-2</v>
      </c>
      <c r="O2459">
        <v>-0.9993959</v>
      </c>
      <c r="P2459">
        <v>-2.016538E-2</v>
      </c>
      <c r="Q2459">
        <v>-0.12389029999999999</v>
      </c>
      <c r="R2459">
        <v>-0.9920911</v>
      </c>
      <c r="S2459">
        <v>0.2079773</v>
      </c>
      <c r="T2459">
        <v>-0.23020260000000001</v>
      </c>
      <c r="U2459">
        <v>-2.9995120000000002</v>
      </c>
      <c r="V2459">
        <v>-1.129114E-2</v>
      </c>
      <c r="W2459">
        <v>-0.10974440000000001</v>
      </c>
      <c r="X2459">
        <v>0.99389570000000005</v>
      </c>
      <c r="Y2459">
        <v>-0.10056519999999999</v>
      </c>
      <c r="Z2459">
        <v>6.1952710000000001E-2</v>
      </c>
      <c r="AA2459">
        <v>0.99299970000000004</v>
      </c>
      <c r="AB2459">
        <v>19</v>
      </c>
      <c r="AC2459">
        <v>1.0188999999999699</v>
      </c>
      <c r="AD2459">
        <v>-1.121051952545</v>
      </c>
      <c r="AE2459">
        <v>-14.4139999999999</v>
      </c>
      <c r="AF2459">
        <v>-1.4665289393571901</v>
      </c>
      <c r="AG2459">
        <v>-1.121051952545</v>
      </c>
      <c r="AH2459">
        <v>14.288451395786</v>
      </c>
      <c r="AI2459">
        <v>94.462807203514402</v>
      </c>
      <c r="AJ2459">
        <v>95.860167240683495</v>
      </c>
      <c r="AK2459">
        <v>14.407196392775999</v>
      </c>
      <c r="AL2459">
        <v>96.300581609701993</v>
      </c>
      <c r="AM2459">
        <v>90.650880005587496</v>
      </c>
      <c r="AN2459">
        <v>0.99999999282617402</v>
      </c>
    </row>
    <row r="2460" spans="1:40" x14ac:dyDescent="0.25">
      <c r="A2460" t="str">
        <f>"20190303154514434"</f>
        <v>20190303154514434</v>
      </c>
      <c r="B2460" t="str">
        <f>"1551599114423265"</f>
        <v>1551599114423265</v>
      </c>
      <c r="C2460" t="s">
        <v>40</v>
      </c>
      <c r="D2460">
        <v>4.9381570000000004</v>
      </c>
      <c r="E2460">
        <v>0.4644278</v>
      </c>
      <c r="F2460" t="s">
        <v>41</v>
      </c>
      <c r="G2460">
        <v>-491.70100000000002</v>
      </c>
      <c r="H2460" s="1">
        <v>-2.7983450000000001E-6</v>
      </c>
      <c r="I2460">
        <v>235.05709999999999</v>
      </c>
      <c r="J2460">
        <v>-492.77339999999998</v>
      </c>
      <c r="K2460">
        <v>1.121059</v>
      </c>
      <c r="L2460">
        <v>249.6087</v>
      </c>
      <c r="M2460">
        <v>-3.1663820000000002E-2</v>
      </c>
      <c r="N2460">
        <v>-1.424193E-2</v>
      </c>
      <c r="O2460">
        <v>-0.99939710000000004</v>
      </c>
      <c r="P2460">
        <v>-2.0111319999999999E-2</v>
      </c>
      <c r="Q2460">
        <v>-0.1235935</v>
      </c>
      <c r="R2460">
        <v>-0.99212929999999999</v>
      </c>
      <c r="S2460">
        <v>0.21694949999999999</v>
      </c>
      <c r="T2460">
        <v>-0.22809090000000001</v>
      </c>
      <c r="U2460">
        <v>-2.9998469999999999</v>
      </c>
      <c r="V2460">
        <v>-1.131094E-2</v>
      </c>
      <c r="W2460">
        <v>-0.1094497</v>
      </c>
      <c r="X2460">
        <v>0.99392800000000003</v>
      </c>
      <c r="Y2460">
        <v>-0.10347820000000001</v>
      </c>
      <c r="Z2460">
        <v>6.1231870000000001E-2</v>
      </c>
      <c r="AA2460">
        <v>0.99274519999999999</v>
      </c>
      <c r="AB2460">
        <v>19</v>
      </c>
      <c r="AC2460">
        <v>1.07240000000001</v>
      </c>
      <c r="AD2460">
        <v>-1.121061798345</v>
      </c>
      <c r="AE2460">
        <v>-14.551600000000001</v>
      </c>
      <c r="AF2460">
        <v>-1.52367363932319</v>
      </c>
      <c r="AG2460">
        <v>-1.121061798345</v>
      </c>
      <c r="AH2460">
        <v>14.4251879329227</v>
      </c>
      <c r="AI2460">
        <v>94.419355975586299</v>
      </c>
      <c r="AJ2460">
        <v>96.029561718573007</v>
      </c>
      <c r="AK2460">
        <v>14.548690931318101</v>
      </c>
      <c r="AL2460">
        <v>96.283594030814797</v>
      </c>
      <c r="AM2460">
        <v>90.6520000949468</v>
      </c>
      <c r="AN2460">
        <v>1.00000002168888</v>
      </c>
    </row>
    <row r="2461" spans="1:40" x14ac:dyDescent="0.25">
      <c r="A2461" t="str">
        <f>"20190303154514456"</f>
        <v>20190303154514456</v>
      </c>
      <c r="B2461" t="str">
        <f>"1551599114453522"</f>
        <v>1551599114453522</v>
      </c>
      <c r="C2461" t="s">
        <v>40</v>
      </c>
      <c r="D2461">
        <v>5.1354199999999999</v>
      </c>
      <c r="E2461">
        <v>0.46374769999999998</v>
      </c>
      <c r="F2461" t="s">
        <v>41</v>
      </c>
      <c r="G2461">
        <v>-491.68430000000001</v>
      </c>
      <c r="H2461" s="1">
        <v>-2.7280980000000001E-6</v>
      </c>
      <c r="I2461">
        <v>234.90369999999999</v>
      </c>
      <c r="J2461">
        <v>-492.77969999999999</v>
      </c>
      <c r="K2461">
        <v>1.1210629999999999</v>
      </c>
      <c r="L2461">
        <v>249.40870000000001</v>
      </c>
      <c r="M2461">
        <v>-3.1618449999999999E-2</v>
      </c>
      <c r="N2461">
        <v>-1.4238809999999999E-2</v>
      </c>
      <c r="O2461">
        <v>-0.99939880000000003</v>
      </c>
      <c r="P2461">
        <v>-1.9770860000000001E-2</v>
      </c>
      <c r="Q2461">
        <v>-0.12325179999999999</v>
      </c>
      <c r="R2461">
        <v>-0.99217900000000003</v>
      </c>
      <c r="S2461">
        <v>0.222168</v>
      </c>
      <c r="T2461">
        <v>-0.22869519999999999</v>
      </c>
      <c r="U2461">
        <v>-2.9998019999999999</v>
      </c>
      <c r="V2461">
        <v>-1.160806E-2</v>
      </c>
      <c r="W2461">
        <v>-0.1091106</v>
      </c>
      <c r="X2461">
        <v>0.99396180000000001</v>
      </c>
      <c r="Y2461">
        <v>-0.1051497</v>
      </c>
      <c r="Z2461">
        <v>6.1423470000000001E-2</v>
      </c>
      <c r="AA2461">
        <v>0.99255760000000004</v>
      </c>
      <c r="AB2461">
        <v>19</v>
      </c>
      <c r="AC2461">
        <v>1.0953999999999799</v>
      </c>
      <c r="AD2461">
        <v>-1.1210657280980001</v>
      </c>
      <c r="AE2461">
        <v>-14.505000000000001</v>
      </c>
      <c r="AF2461">
        <v>-1.5443513958552799</v>
      </c>
      <c r="AG2461">
        <v>-1.1210657280980001</v>
      </c>
      <c r="AH2461">
        <v>14.3777100608357</v>
      </c>
      <c r="AI2461">
        <v>94.433075782946901</v>
      </c>
      <c r="AJ2461">
        <v>96.130799304053198</v>
      </c>
      <c r="AK2461">
        <v>14.5038048867893</v>
      </c>
      <c r="AL2461">
        <v>96.264048327452599</v>
      </c>
      <c r="AM2461">
        <v>90.6691027881092</v>
      </c>
      <c r="AN2461">
        <v>0.99999996497428101</v>
      </c>
    </row>
    <row r="2462" spans="1:40" x14ac:dyDescent="0.25">
      <c r="A2462" t="str">
        <f>"20190303154514478"</f>
        <v>20190303154514478</v>
      </c>
      <c r="B2462" t="str">
        <f>"1551599114473042"</f>
        <v>1551599114473042</v>
      </c>
      <c r="C2462" t="s">
        <v>40</v>
      </c>
      <c r="D2462">
        <v>5.0169649999999999</v>
      </c>
      <c r="E2462">
        <v>0.46333809999999898</v>
      </c>
      <c r="F2462" t="s">
        <v>41</v>
      </c>
      <c r="G2462">
        <v>-491.68259999999998</v>
      </c>
      <c r="H2462" s="1">
        <v>-2.7895230000000001E-6</v>
      </c>
      <c r="I2462">
        <v>235.048</v>
      </c>
      <c r="J2462">
        <v>-492.78579999999999</v>
      </c>
      <c r="K2462">
        <v>1.12107</v>
      </c>
      <c r="L2462">
        <v>249.2149</v>
      </c>
      <c r="M2462">
        <v>-3.1565879999999998E-2</v>
      </c>
      <c r="N2462">
        <v>-1.423555E-2</v>
      </c>
      <c r="O2462">
        <v>-0.99940039999999997</v>
      </c>
      <c r="P2462">
        <v>-1.8950789999999999E-2</v>
      </c>
      <c r="Q2462">
        <v>-0.1230528</v>
      </c>
      <c r="R2462">
        <v>-0.99221930000000003</v>
      </c>
      <c r="S2462">
        <v>0.229126</v>
      </c>
      <c r="T2462">
        <v>-0.23412659999999999</v>
      </c>
      <c r="U2462">
        <v>-2.9991300000000001</v>
      </c>
      <c r="V2462">
        <v>-1.2376130000000001E-2</v>
      </c>
      <c r="W2462">
        <v>-0.10891480000000001</v>
      </c>
      <c r="X2462">
        <v>0.99397400000000002</v>
      </c>
      <c r="Y2462">
        <v>-0.107391899999999</v>
      </c>
      <c r="Z2462">
        <v>6.3215229999999997E-2</v>
      </c>
      <c r="AA2462">
        <v>0.992205</v>
      </c>
      <c r="AB2462">
        <v>19</v>
      </c>
      <c r="AC2462">
        <v>1.10320000000001</v>
      </c>
      <c r="AD2462">
        <v>-1.1210727895229999</v>
      </c>
      <c r="AE2462">
        <v>-14.166899999999901</v>
      </c>
      <c r="AF2462">
        <v>-1.5402987485439701</v>
      </c>
      <c r="AG2462">
        <v>-1.1210727895229999</v>
      </c>
      <c r="AH2462">
        <v>14.037636988952899</v>
      </c>
      <c r="AI2462">
        <v>94.538933199459194</v>
      </c>
      <c r="AJ2462">
        <v>96.261806805914702</v>
      </c>
      <c r="AK2462">
        <v>14.166318387915499</v>
      </c>
      <c r="AL2462">
        <v>96.252762601372197</v>
      </c>
      <c r="AM2462">
        <v>90.713362094840306</v>
      </c>
      <c r="AN2462">
        <v>0.99999995746440695</v>
      </c>
    </row>
    <row r="2463" spans="1:40" x14ac:dyDescent="0.25">
      <c r="A2463" t="str">
        <f>"20190303154514501"</f>
        <v>20190303154514501</v>
      </c>
      <c r="B2463" t="str">
        <f>"1551599114493537"</f>
        <v>1551599114493537</v>
      </c>
      <c r="C2463" t="s">
        <v>40</v>
      </c>
      <c r="D2463">
        <v>5.0381869999999997</v>
      </c>
      <c r="E2463">
        <v>0.46269830000000001</v>
      </c>
      <c r="F2463" t="s">
        <v>41</v>
      </c>
      <c r="G2463">
        <v>-491.68329999999997</v>
      </c>
      <c r="H2463" s="1">
        <v>-2.8143739999999998E-6</v>
      </c>
      <c r="I2463">
        <v>235.1054</v>
      </c>
      <c r="J2463">
        <v>-492.79160000000002</v>
      </c>
      <c r="K2463">
        <v>1.1210800000000001</v>
      </c>
      <c r="L2463">
        <v>249.0275</v>
      </c>
      <c r="M2463">
        <v>-3.1503929999999999E-2</v>
      </c>
      <c r="N2463">
        <v>-1.42322E-2</v>
      </c>
      <c r="O2463">
        <v>-0.99940229999999997</v>
      </c>
      <c r="P2463">
        <v>-1.799837E-2</v>
      </c>
      <c r="Q2463">
        <v>-0.1227505</v>
      </c>
      <c r="R2463">
        <v>-0.99227460000000001</v>
      </c>
      <c r="S2463">
        <v>0.2342834</v>
      </c>
      <c r="T2463">
        <v>-0.23824119999999999</v>
      </c>
      <c r="U2463">
        <v>-2.9984280000000001</v>
      </c>
      <c r="V2463">
        <v>-1.326572E-2</v>
      </c>
      <c r="W2463">
        <v>-0.1086158</v>
      </c>
      <c r="X2463">
        <v>0.99399530000000003</v>
      </c>
      <c r="Y2463">
        <v>-0.1090353</v>
      </c>
      <c r="Z2463">
        <v>6.4578259999999998E-2</v>
      </c>
      <c r="AA2463">
        <v>0.99193799999999999</v>
      </c>
      <c r="AB2463">
        <v>19</v>
      </c>
      <c r="AC2463">
        <v>1.10830000000004</v>
      </c>
      <c r="AD2463">
        <v>-1.1210828143739999</v>
      </c>
      <c r="AE2463">
        <v>-13.9221</v>
      </c>
      <c r="AF2463">
        <v>-1.5364946340798</v>
      </c>
      <c r="AG2463">
        <v>-1.1210828143739999</v>
      </c>
      <c r="AH2463">
        <v>13.791403708173201</v>
      </c>
      <c r="AI2463">
        <v>94.618819620266194</v>
      </c>
      <c r="AJ2463">
        <v>96.357084222629894</v>
      </c>
      <c r="AK2463">
        <v>13.921941627483299</v>
      </c>
      <c r="AL2463">
        <v>96.235528569786297</v>
      </c>
      <c r="AM2463">
        <v>90.764615936508903</v>
      </c>
      <c r="AN2463">
        <v>1.0000000138794201</v>
      </c>
    </row>
    <row r="2464" spans="1:40" x14ac:dyDescent="0.25">
      <c r="A2464" t="str">
        <f>"20190303154514523"</f>
        <v>20190303154514523</v>
      </c>
      <c r="B2464" t="str">
        <f>"1551599114513061"</f>
        <v>1551599114513061</v>
      </c>
      <c r="C2464" t="s">
        <v>40</v>
      </c>
      <c r="D2464">
        <v>5.0521630000000002</v>
      </c>
      <c r="E2464">
        <v>0.46224929999999997</v>
      </c>
      <c r="F2464" t="s">
        <v>41</v>
      </c>
      <c r="G2464">
        <v>-491.67779999999999</v>
      </c>
      <c r="H2464" s="1">
        <v>-2.8598160000000001E-6</v>
      </c>
      <c r="I2464">
        <v>235.2148</v>
      </c>
      <c r="J2464">
        <v>-492.79759999999999</v>
      </c>
      <c r="K2464">
        <v>1.121097</v>
      </c>
      <c r="L2464">
        <v>248.83519999999999</v>
      </c>
      <c r="M2464">
        <v>-3.1423140000000002E-2</v>
      </c>
      <c r="N2464">
        <v>-1.4228569999999999E-2</v>
      </c>
      <c r="O2464">
        <v>-0.99940519999999999</v>
      </c>
      <c r="P2464">
        <v>-1.7629369999999998E-2</v>
      </c>
      <c r="Q2464">
        <v>-0.1224445</v>
      </c>
      <c r="R2464">
        <v>-0.99231899999999995</v>
      </c>
      <c r="S2464">
        <v>0.24172969999999999</v>
      </c>
      <c r="T2464">
        <v>-0.2432967</v>
      </c>
      <c r="U2464">
        <v>-2.99762</v>
      </c>
      <c r="V2464">
        <v>-1.355198E-2</v>
      </c>
      <c r="W2464">
        <v>-0.1083134</v>
      </c>
      <c r="X2464">
        <v>0.99402440000000003</v>
      </c>
      <c r="Y2464">
        <v>-0.11141230000000001</v>
      </c>
      <c r="Z2464">
        <v>6.6247630000000002E-2</v>
      </c>
      <c r="AA2464">
        <v>0.99156369999999905</v>
      </c>
      <c r="AB2464">
        <v>19</v>
      </c>
      <c r="AC2464">
        <v>1.1197999999999899</v>
      </c>
      <c r="AD2464">
        <v>-1.121099859816</v>
      </c>
      <c r="AE2464">
        <v>-13.620399999999901</v>
      </c>
      <c r="AF2464">
        <v>-1.5369429652801201</v>
      </c>
      <c r="AG2464">
        <v>-1.121099859816</v>
      </c>
      <c r="AH2464">
        <v>13.4877156404294</v>
      </c>
      <c r="AI2464">
        <v>94.721093453727605</v>
      </c>
      <c r="AJ2464">
        <v>96.500888526379399</v>
      </c>
      <c r="AK2464">
        <v>13.621216236859601</v>
      </c>
      <c r="AL2464">
        <v>96.218099722346096</v>
      </c>
      <c r="AM2464">
        <v>90.781090640838201</v>
      </c>
      <c r="AN2464">
        <v>0.99999997828842002</v>
      </c>
    </row>
    <row r="2465" spans="1:40" x14ac:dyDescent="0.25">
      <c r="A2465" t="str">
        <f>"20190303154514545"</f>
        <v>20190303154514545</v>
      </c>
      <c r="B2465" t="str">
        <f>"1551599114533557"</f>
        <v>1551599114533557</v>
      </c>
      <c r="C2465" t="s">
        <v>40</v>
      </c>
      <c r="D2465">
        <v>5.0426140000000004</v>
      </c>
      <c r="E2465">
        <v>0.461785</v>
      </c>
      <c r="F2465" t="s">
        <v>41</v>
      </c>
      <c r="G2465">
        <v>-491.66750000000002</v>
      </c>
      <c r="H2465" s="1">
        <v>-2.8107E-6</v>
      </c>
      <c r="I2465">
        <v>235.10669999999999</v>
      </c>
      <c r="J2465">
        <v>-492.80329999999998</v>
      </c>
      <c r="K2465">
        <v>1.1211150000000001</v>
      </c>
      <c r="L2465">
        <v>248.6489</v>
      </c>
      <c r="M2465">
        <v>-3.1320720000000003E-2</v>
      </c>
      <c r="N2465">
        <v>-1.422495E-2</v>
      </c>
      <c r="O2465">
        <v>-0.99940830000000003</v>
      </c>
      <c r="P2465">
        <v>-1.821151E-2</v>
      </c>
      <c r="Q2465">
        <v>-0.12226770000000001</v>
      </c>
      <c r="R2465">
        <v>-0.9923303</v>
      </c>
      <c r="S2465">
        <v>0.2467346</v>
      </c>
      <c r="T2465">
        <v>-0.2447734</v>
      </c>
      <c r="U2465">
        <v>-2.9973909999999999</v>
      </c>
      <c r="V2465">
        <v>-1.2864459999999999E-2</v>
      </c>
      <c r="W2465">
        <v>-0.10814029999999999</v>
      </c>
      <c r="X2465">
        <v>0.99405239999999995</v>
      </c>
      <c r="Y2465">
        <v>-0.112957</v>
      </c>
      <c r="Z2465">
        <v>6.6730510000000007E-2</v>
      </c>
      <c r="AA2465">
        <v>0.99135660000000003</v>
      </c>
      <c r="AB2465">
        <v>19</v>
      </c>
      <c r="AC2465">
        <v>1.13579999999996</v>
      </c>
      <c r="AD2465">
        <v>-1.1211178106999999</v>
      </c>
      <c r="AE2465">
        <v>-13.542199999999999</v>
      </c>
      <c r="AF2465">
        <v>-1.54889547434125</v>
      </c>
      <c r="AG2465">
        <v>-1.1211178106999999</v>
      </c>
      <c r="AH2465">
        <v>13.4087198068496</v>
      </c>
      <c r="AI2465">
        <v>94.748019584986395</v>
      </c>
      <c r="AJ2465">
        <v>96.589262931649301</v>
      </c>
      <c r="AK2465">
        <v>13.544362266068701</v>
      </c>
      <c r="AL2465">
        <v>96.208123110198002</v>
      </c>
      <c r="AM2465">
        <v>90.741447954874502</v>
      </c>
      <c r="AN2465">
        <v>0.99999999638046999</v>
      </c>
    </row>
    <row r="2466" spans="1:40" x14ac:dyDescent="0.25">
      <c r="A2466" t="str">
        <f>"20190303154514567"</f>
        <v>20190303154514567</v>
      </c>
      <c r="B2466" t="str">
        <f>"1551599114562834"</f>
        <v>1551599114562834</v>
      </c>
      <c r="C2466" t="s">
        <v>40</v>
      </c>
      <c r="D2466">
        <v>5.0435910000000002</v>
      </c>
      <c r="E2466">
        <v>0.46121839999999997</v>
      </c>
      <c r="F2466" t="s">
        <v>41</v>
      </c>
      <c r="G2466">
        <v>-491.6782</v>
      </c>
      <c r="H2466" s="1">
        <v>-2.8111909999999998E-6</v>
      </c>
      <c r="I2466">
        <v>235.10120000000001</v>
      </c>
      <c r="J2466">
        <v>-492.80930000000001</v>
      </c>
      <c r="K2466">
        <v>1.121129</v>
      </c>
      <c r="L2466">
        <v>248.45400000000001</v>
      </c>
      <c r="M2466">
        <v>-3.1186479999999999E-2</v>
      </c>
      <c r="N2466">
        <v>-1.422109E-2</v>
      </c>
      <c r="O2466">
        <v>-0.99941239999999998</v>
      </c>
      <c r="P2466">
        <v>-1.9015770000000001E-2</v>
      </c>
      <c r="Q2466">
        <v>-0.1226995</v>
      </c>
      <c r="R2466">
        <v>-0.99226179999999997</v>
      </c>
      <c r="S2466">
        <v>0.24893190000000001</v>
      </c>
      <c r="T2466">
        <v>-0.24803020000000001</v>
      </c>
      <c r="U2466">
        <v>-2.9972080000000001</v>
      </c>
      <c r="V2466">
        <v>-1.19211E-2</v>
      </c>
      <c r="W2466">
        <v>-0.1085767</v>
      </c>
      <c r="X2466">
        <v>0.99401660000000003</v>
      </c>
      <c r="Y2466">
        <v>-0.11354309999999999</v>
      </c>
      <c r="Z2466">
        <v>6.7805320000000002E-2</v>
      </c>
      <c r="AA2466">
        <v>0.99121669999999995</v>
      </c>
      <c r="AB2466">
        <v>19</v>
      </c>
      <c r="AC2466">
        <v>1.1311</v>
      </c>
      <c r="AD2466">
        <v>-1.121131811191</v>
      </c>
      <c r="AE2466">
        <v>-13.3528</v>
      </c>
      <c r="AF2466">
        <v>-1.53626564864987</v>
      </c>
      <c r="AG2466">
        <v>-1.121131811191</v>
      </c>
      <c r="AH2466">
        <v>13.2185029112207</v>
      </c>
      <c r="AI2466">
        <v>94.815697940533695</v>
      </c>
      <c r="AJ2466">
        <v>96.629223366148096</v>
      </c>
      <c r="AK2466">
        <v>13.354619721101599</v>
      </c>
      <c r="AL2466">
        <v>96.2332750216205</v>
      </c>
      <c r="AM2466">
        <v>90.687107210899796</v>
      </c>
      <c r="AN2466">
        <v>1.00000000674183</v>
      </c>
    </row>
    <row r="2467" spans="1:40" x14ac:dyDescent="0.25">
      <c r="A2467" t="str">
        <f>"20190303154514589"</f>
        <v>20190303154514589</v>
      </c>
      <c r="B2467" t="str">
        <f>"1551599114583330"</f>
        <v>1551599114583330</v>
      </c>
      <c r="C2467" t="s">
        <v>40</v>
      </c>
      <c r="D2467">
        <v>5.0967200000000004</v>
      </c>
      <c r="E2467">
        <v>0.46080749999999998</v>
      </c>
      <c r="F2467" t="s">
        <v>41</v>
      </c>
      <c r="G2467">
        <v>-491.70339999999999</v>
      </c>
      <c r="H2467" s="1">
        <v>-2.8800899999999999E-6</v>
      </c>
      <c r="I2467">
        <v>235.24619999999999</v>
      </c>
      <c r="J2467">
        <v>-492.81490000000002</v>
      </c>
      <c r="K2467">
        <v>1.121138</v>
      </c>
      <c r="L2467">
        <v>248.26820000000001</v>
      </c>
      <c r="M2467">
        <v>-3.1026620000000001E-2</v>
      </c>
      <c r="N2467">
        <v>-1.4217270000000001E-2</v>
      </c>
      <c r="O2467">
        <v>-0.99941769999999996</v>
      </c>
      <c r="P2467">
        <v>-1.96647E-2</v>
      </c>
      <c r="Q2467">
        <v>-0.12317889999999999</v>
      </c>
      <c r="R2467">
        <v>-0.99219009999999996</v>
      </c>
      <c r="S2467">
        <v>0.25091550000000001</v>
      </c>
      <c r="T2467">
        <v>-0.25437749999999998</v>
      </c>
      <c r="U2467">
        <v>-2.9967649999999999</v>
      </c>
      <c r="V2467">
        <v>-1.110714E-2</v>
      </c>
      <c r="W2467">
        <v>-0.1090609</v>
      </c>
      <c r="X2467">
        <v>0.993973</v>
      </c>
      <c r="Y2467">
        <v>-0.1140336</v>
      </c>
      <c r="Z2467">
        <v>6.9903439999999997E-2</v>
      </c>
      <c r="AA2467">
        <v>0.99101450000000002</v>
      </c>
      <c r="AB2467">
        <v>19</v>
      </c>
      <c r="AC2467">
        <v>1.1115000000000299</v>
      </c>
      <c r="AD2467">
        <v>-1.12114088009</v>
      </c>
      <c r="AE2467">
        <v>-13.022</v>
      </c>
      <c r="AF2467">
        <v>-1.5039666229800299</v>
      </c>
      <c r="AG2467">
        <v>-1.12114088009</v>
      </c>
      <c r="AH2467">
        <v>12.8864101493335</v>
      </c>
      <c r="AI2467">
        <v>94.938959723963805</v>
      </c>
      <c r="AJ2467">
        <v>96.656846851706007</v>
      </c>
      <c r="AK2467">
        <v>13.0222286500004</v>
      </c>
      <c r="AL2467">
        <v>96.261183495653398</v>
      </c>
      <c r="AM2467">
        <v>90.640224390249301</v>
      </c>
      <c r="AN2467">
        <v>0.99999998659839395</v>
      </c>
    </row>
    <row r="2468" spans="1:40" x14ac:dyDescent="0.25">
      <c r="A2468" t="str">
        <f>"20190303154514612"</f>
        <v>20190303154514612</v>
      </c>
      <c r="B2468" t="str">
        <f>"1551599114602849"</f>
        <v>1551599114602849</v>
      </c>
      <c r="C2468" t="s">
        <v>40</v>
      </c>
      <c r="D2468">
        <v>5.1216080000000002</v>
      </c>
      <c r="E2468">
        <v>0.46039869999999999</v>
      </c>
      <c r="F2468" t="s">
        <v>41</v>
      </c>
      <c r="G2468">
        <v>-491.72399999999999</v>
      </c>
      <c r="H2468" s="1">
        <v>-2.9173410000000001E-6</v>
      </c>
      <c r="I2468">
        <v>235.3203</v>
      </c>
      <c r="J2468">
        <v>-492.82080000000002</v>
      </c>
      <c r="K2468">
        <v>1.1211530000000001</v>
      </c>
      <c r="L2468">
        <v>248.0711</v>
      </c>
      <c r="M2468">
        <v>-3.0816199999999998E-2</v>
      </c>
      <c r="N2468">
        <v>-1.421298E-2</v>
      </c>
      <c r="O2468">
        <v>-0.99942410000000004</v>
      </c>
      <c r="P2468">
        <v>-1.9554680000000001E-2</v>
      </c>
      <c r="Q2468">
        <v>-0.1234799</v>
      </c>
      <c r="R2468">
        <v>-0.9921546</v>
      </c>
      <c r="S2468">
        <v>0.25247190000000003</v>
      </c>
      <c r="T2468">
        <v>-0.25945509999999999</v>
      </c>
      <c r="U2468">
        <v>-2.9964140000000001</v>
      </c>
      <c r="V2468">
        <v>-1.100202E-2</v>
      </c>
      <c r="W2468">
        <v>-0.10936709999999999</v>
      </c>
      <c r="X2468">
        <v>0.9939405</v>
      </c>
      <c r="Y2468">
        <v>-0.1143337</v>
      </c>
      <c r="Z2468">
        <v>7.1583380000000002E-2</v>
      </c>
      <c r="AA2468">
        <v>0.99085999999999996</v>
      </c>
      <c r="AB2468">
        <v>19</v>
      </c>
      <c r="AC2468">
        <v>1.09680000000003</v>
      </c>
      <c r="AD2468">
        <v>-1.121155917341</v>
      </c>
      <c r="AE2468">
        <v>-12.7507999999999</v>
      </c>
      <c r="AF2468">
        <v>-1.4779075063349001</v>
      </c>
      <c r="AG2468">
        <v>-1.121155917341</v>
      </c>
      <c r="AH2468">
        <v>12.6141320137826</v>
      </c>
      <c r="AI2468">
        <v>95.0448284235231</v>
      </c>
      <c r="AJ2468">
        <v>96.68247022077</v>
      </c>
      <c r="AK2468">
        <v>12.7498050043679</v>
      </c>
      <c r="AL2468">
        <v>96.278833191965603</v>
      </c>
      <c r="AM2468">
        <v>90.634186421334803</v>
      </c>
      <c r="AN2468">
        <v>0.99999996227336896</v>
      </c>
    </row>
    <row r="2469" spans="1:40" x14ac:dyDescent="0.25">
      <c r="A2469" t="str">
        <f>"20190303154514633"</f>
        <v>20190303154514633</v>
      </c>
      <c r="B2469" t="str">
        <f>"1551599114623345"</f>
        <v>1551599114623345</v>
      </c>
      <c r="C2469" t="s">
        <v>40</v>
      </c>
      <c r="D2469">
        <v>5.092193</v>
      </c>
      <c r="E2469">
        <v>0.45999380000000001</v>
      </c>
      <c r="F2469" t="s">
        <v>41</v>
      </c>
      <c r="G2469">
        <v>-491.73180000000002</v>
      </c>
      <c r="H2469" s="1">
        <v>-2.9297110000000002E-6</v>
      </c>
      <c r="I2469">
        <v>235.3442</v>
      </c>
      <c r="J2469">
        <v>-492.82600000000002</v>
      </c>
      <c r="K2469">
        <v>1.1211679999999999</v>
      </c>
      <c r="L2469">
        <v>247.8965</v>
      </c>
      <c r="M2469">
        <v>-3.058831E-2</v>
      </c>
      <c r="N2469">
        <v>-1.420921E-2</v>
      </c>
      <c r="O2469">
        <v>-0.99943110000000002</v>
      </c>
      <c r="P2469">
        <v>-1.905861E-2</v>
      </c>
      <c r="Q2469">
        <v>-0.1245622</v>
      </c>
      <c r="R2469">
        <v>-0.99202900000000005</v>
      </c>
      <c r="S2469">
        <v>0.25634770000000001</v>
      </c>
      <c r="T2469">
        <v>-0.26391989999999999</v>
      </c>
      <c r="U2469">
        <v>-2.995911</v>
      </c>
      <c r="V2469">
        <v>-1.1261810000000001E-2</v>
      </c>
      <c r="W2469">
        <v>-0.1104557</v>
      </c>
      <c r="X2469">
        <v>0.99381719999999896</v>
      </c>
      <c r="Y2469">
        <v>-0.1153826</v>
      </c>
      <c r="Z2469">
        <v>7.3058819999999997E-2</v>
      </c>
      <c r="AA2469">
        <v>0.99063069999999998</v>
      </c>
      <c r="AB2469">
        <v>19</v>
      </c>
      <c r="AC2469">
        <v>1.0941999999999401</v>
      </c>
      <c r="AD2469">
        <v>-1.121170929711</v>
      </c>
      <c r="AE2469">
        <v>-12.552300000000001</v>
      </c>
      <c r="AF2469">
        <v>-1.46607208676817</v>
      </c>
      <c r="AG2469">
        <v>-1.121170929711</v>
      </c>
      <c r="AH2469">
        <v>12.4146542383198</v>
      </c>
      <c r="AI2469">
        <v>95.124978645630407</v>
      </c>
      <c r="AJ2469">
        <v>96.734984089962296</v>
      </c>
      <c r="AK2469">
        <v>12.5510968235553</v>
      </c>
      <c r="AL2469">
        <v>96.341585599348704</v>
      </c>
      <c r="AM2469">
        <v>90.649240690831405</v>
      </c>
      <c r="AN2469">
        <v>0.999999958521402</v>
      </c>
    </row>
    <row r="2470" spans="1:40" x14ac:dyDescent="0.25">
      <c r="A2470" t="str">
        <f>"20190303154514646"</f>
        <v>20190303154514646</v>
      </c>
      <c r="B2470" t="str">
        <f>"1551599114642866"</f>
        <v>1551599114642866</v>
      </c>
      <c r="C2470" t="s">
        <v>40</v>
      </c>
      <c r="D2470">
        <v>5.0554100000000002</v>
      </c>
      <c r="E2470">
        <v>0.4601615</v>
      </c>
      <c r="F2470" t="s">
        <v>41</v>
      </c>
      <c r="G2470">
        <v>-491.7423</v>
      </c>
      <c r="H2470" s="1">
        <v>-2.9795149999999998E-6</v>
      </c>
      <c r="I2470">
        <v>235.4538</v>
      </c>
      <c r="J2470">
        <v>-492.82929999999999</v>
      </c>
      <c r="K2470">
        <v>1.1211819999999999</v>
      </c>
      <c r="L2470">
        <v>247.7833</v>
      </c>
      <c r="M2470">
        <v>-3.041922E-2</v>
      </c>
      <c r="N2470">
        <v>-1.42068E-2</v>
      </c>
      <c r="O2470">
        <v>-0.99943630000000006</v>
      </c>
      <c r="P2470">
        <v>-1.8517120000000001E-2</v>
      </c>
      <c r="Q2470">
        <v>-0.12520039999999999</v>
      </c>
      <c r="R2470">
        <v>-0.99195919999999904</v>
      </c>
      <c r="S2470">
        <v>0.26086429999999999</v>
      </c>
      <c r="T2470">
        <v>-0.26989039999999997</v>
      </c>
      <c r="U2470">
        <v>-2.9952239999999999</v>
      </c>
      <c r="V2470">
        <v>-1.162823E-2</v>
      </c>
      <c r="W2470">
        <v>-0.11109810000000001</v>
      </c>
      <c r="X2470">
        <v>0.9937414</v>
      </c>
      <c r="Y2470">
        <v>-0.1167012</v>
      </c>
      <c r="Z2470">
        <v>7.5029509999999994E-2</v>
      </c>
      <c r="AA2470">
        <v>0.99032900000000001</v>
      </c>
      <c r="AB2470">
        <v>19</v>
      </c>
      <c r="AC2470">
        <v>1.08699999999998</v>
      </c>
      <c r="AD2470">
        <v>-1.121184979515</v>
      </c>
      <c r="AE2470">
        <v>-12.3294999999999</v>
      </c>
      <c r="AF2470">
        <v>-1.44969313120323</v>
      </c>
      <c r="AG2470">
        <v>-1.121184979515</v>
      </c>
      <c r="AH2470">
        <v>12.190694257517899</v>
      </c>
      <c r="AI2470">
        <v>95.218180518862596</v>
      </c>
      <c r="AJ2470">
        <v>96.781652322526199</v>
      </c>
      <c r="AK2470">
        <v>12.327679928243899</v>
      </c>
      <c r="AL2470">
        <v>96.378620166896894</v>
      </c>
      <c r="AM2470">
        <v>90.670413948914202</v>
      </c>
      <c r="AN2470">
        <v>0.99999998681525104</v>
      </c>
    </row>
    <row r="2471" spans="1:40" x14ac:dyDescent="0.25">
      <c r="A2471" t="str">
        <f>"20190303154514669"</f>
        <v>20190303154514669</v>
      </c>
      <c r="B2471" t="str">
        <f>"1551599114663361"</f>
        <v>1551599114663361</v>
      </c>
      <c r="C2471" t="s">
        <v>40</v>
      </c>
      <c r="D2471">
        <v>5.0920420000000002</v>
      </c>
      <c r="E2471">
        <v>0.47981400000000002</v>
      </c>
      <c r="F2471" t="s">
        <v>41</v>
      </c>
      <c r="G2471">
        <v>-491.74590000000001</v>
      </c>
      <c r="H2471" s="1">
        <v>-2.937536E-6</v>
      </c>
      <c r="I2471">
        <v>235.3537</v>
      </c>
      <c r="J2471">
        <v>-492.8347</v>
      </c>
      <c r="K2471">
        <v>1.121211</v>
      </c>
      <c r="L2471">
        <v>247.59389999999999</v>
      </c>
      <c r="M2471">
        <v>-3.0092799999999999E-2</v>
      </c>
      <c r="N2471">
        <v>-1.42028E-2</v>
      </c>
      <c r="O2471">
        <v>-0.99944639999999996</v>
      </c>
      <c r="P2471">
        <v>-1.7089110000000001E-2</v>
      </c>
      <c r="Q2471">
        <v>-0.1264062</v>
      </c>
      <c r="R2471">
        <v>-0.99183180000000004</v>
      </c>
      <c r="S2471">
        <v>0.26104739999999999</v>
      </c>
      <c r="T2471">
        <v>-0.27016390000000001</v>
      </c>
      <c r="U2471">
        <v>-2.9950709999999998</v>
      </c>
      <c r="V2471">
        <v>-1.271824E-2</v>
      </c>
      <c r="W2471">
        <v>-0.11231140000000001</v>
      </c>
      <c r="X2471">
        <v>0.99359169999999997</v>
      </c>
      <c r="Y2471">
        <v>-0.1164408</v>
      </c>
      <c r="Z2471">
        <v>7.5130440000000007E-2</v>
      </c>
      <c r="AA2471">
        <v>0.99035189999999995</v>
      </c>
      <c r="AB2471">
        <v>19</v>
      </c>
      <c r="AC2471">
        <v>1.08879999999999</v>
      </c>
      <c r="AD2471">
        <v>-1.121213937536</v>
      </c>
      <c r="AE2471">
        <v>-12.2401999999999</v>
      </c>
      <c r="AF2471">
        <v>-1.4446591768858399</v>
      </c>
      <c r="AG2471">
        <v>-1.121213937536</v>
      </c>
      <c r="AH2471">
        <v>12.1011466864155</v>
      </c>
      <c r="AI2471">
        <v>95.256429204047393</v>
      </c>
      <c r="AJ2471">
        <v>96.807865109841899</v>
      </c>
      <c r="AK2471">
        <v>12.238542068287</v>
      </c>
      <c r="AL2471">
        <v>96.448574644187602</v>
      </c>
      <c r="AM2471">
        <v>90.733361279350106</v>
      </c>
      <c r="AN2471">
        <v>1.0000000352537699</v>
      </c>
    </row>
    <row r="2472" spans="1:40" x14ac:dyDescent="0.25">
      <c r="A2472" t="str">
        <f>"20190303154514691"</f>
        <v>20190303154514691</v>
      </c>
      <c r="B2472" t="str">
        <f>"1551599114682881"</f>
        <v>1551599114682881</v>
      </c>
      <c r="C2472" t="s">
        <v>40</v>
      </c>
      <c r="D2472">
        <v>5.1244949999999996</v>
      </c>
      <c r="E2472">
        <v>0.48144399999999998</v>
      </c>
      <c r="F2472" t="s">
        <v>41</v>
      </c>
      <c r="G2472">
        <v>-492.34559999999999</v>
      </c>
      <c r="H2472" s="1">
        <v>-2.5500160000000002E-6</v>
      </c>
      <c r="I2472">
        <v>234.07839999999999</v>
      </c>
      <c r="J2472">
        <v>-492.84</v>
      </c>
      <c r="K2472">
        <v>1.1212470000000001</v>
      </c>
      <c r="L2472">
        <v>247.40360000000001</v>
      </c>
      <c r="M2472">
        <v>-2.9713880000000002E-2</v>
      </c>
      <c r="N2472">
        <v>-1.419867E-2</v>
      </c>
      <c r="O2472">
        <v>-0.9994577</v>
      </c>
      <c r="P2472">
        <v>-1.5821729999999999E-2</v>
      </c>
      <c r="Q2472">
        <v>-0.12629189999999901</v>
      </c>
      <c r="R2472">
        <v>-0.9918671</v>
      </c>
      <c r="S2472">
        <v>0.1083679</v>
      </c>
      <c r="T2472">
        <v>-0.24845100000000001</v>
      </c>
      <c r="U2472">
        <v>-2.994904</v>
      </c>
      <c r="V2472">
        <v>-1.3601530000000001E-2</v>
      </c>
      <c r="W2472">
        <v>-0.11220280000000001</v>
      </c>
      <c r="X2472">
        <v>0.99359229999999998</v>
      </c>
      <c r="Y2472">
        <v>-6.5711950000000005E-2</v>
      </c>
      <c r="Z2472">
        <v>6.8337019999999998E-2</v>
      </c>
      <c r="AA2472">
        <v>0.99549589999999999</v>
      </c>
      <c r="AB2472">
        <v>19</v>
      </c>
      <c r="AC2472">
        <v>0.49439999999998402</v>
      </c>
      <c r="AD2472">
        <v>-1.12124955001599</v>
      </c>
      <c r="AE2472">
        <v>-13.325200000000001</v>
      </c>
      <c r="AF2472">
        <v>-0.88391506238039597</v>
      </c>
      <c r="AG2472">
        <v>-1.12124955001599</v>
      </c>
      <c r="AH2472">
        <v>13.2112110702462</v>
      </c>
      <c r="AI2472">
        <v>94.840358206714598</v>
      </c>
      <c r="AJ2472">
        <v>93.827751662927298</v>
      </c>
      <c r="AK2472">
        <v>13.2881377300775</v>
      </c>
      <c r="AL2472">
        <v>96.442312554689096</v>
      </c>
      <c r="AM2472">
        <v>90.784287065887</v>
      </c>
      <c r="AN2472">
        <v>1.00000006428273</v>
      </c>
    </row>
    <row r="2473" spans="1:40" x14ac:dyDescent="0.25">
      <c r="A2473" t="str">
        <f>"20190303154514712"</f>
        <v>20190303154514712</v>
      </c>
      <c r="B2473" t="str">
        <f>"1551599114703377"</f>
        <v>1551599114703377</v>
      </c>
      <c r="C2473" t="s">
        <v>40</v>
      </c>
      <c r="D2473">
        <v>5.1322640000000002</v>
      </c>
      <c r="E2473">
        <v>0.4819251</v>
      </c>
      <c r="F2473" t="s">
        <v>41</v>
      </c>
      <c r="G2473">
        <v>-492.3929</v>
      </c>
      <c r="H2473" s="1">
        <v>-2.505286E-6</v>
      </c>
      <c r="I2473">
        <v>233.94479999999999</v>
      </c>
      <c r="J2473">
        <v>-492.84460000000001</v>
      </c>
      <c r="K2473">
        <v>1.1212759999999999</v>
      </c>
      <c r="L2473">
        <v>247.23249999999999</v>
      </c>
      <c r="M2473">
        <v>-2.932893E-2</v>
      </c>
      <c r="N2473">
        <v>-1.419486E-2</v>
      </c>
      <c r="O2473">
        <v>-0.9994691</v>
      </c>
      <c r="P2473">
        <v>-1.477584E-2</v>
      </c>
      <c r="Q2473">
        <v>-0.1252973</v>
      </c>
      <c r="R2473">
        <v>-0.99200960000000005</v>
      </c>
      <c r="S2473">
        <v>9.9456790000000003E-2</v>
      </c>
      <c r="T2473">
        <v>-0.24946389999999999</v>
      </c>
      <c r="U2473">
        <v>-2.994415</v>
      </c>
      <c r="V2473">
        <v>-1.4261680000000001E-2</v>
      </c>
      <c r="W2473">
        <v>-0.1112117</v>
      </c>
      <c r="X2473">
        <v>0.99369439999999998</v>
      </c>
      <c r="Y2473">
        <v>-6.23755E-2</v>
      </c>
      <c r="Z2473">
        <v>6.8703910000000007E-2</v>
      </c>
      <c r="AA2473">
        <v>0.99568520000000005</v>
      </c>
      <c r="AB2473">
        <v>19</v>
      </c>
      <c r="AC2473">
        <v>0.45170000000001598</v>
      </c>
      <c r="AD2473">
        <v>-1.1212785052859999</v>
      </c>
      <c r="AE2473">
        <v>-13.287699999999999</v>
      </c>
      <c r="AF2473">
        <v>-0.83531766114760198</v>
      </c>
      <c r="AG2473">
        <v>-1.1212785052859999</v>
      </c>
      <c r="AH2473">
        <v>13.1750253343829</v>
      </c>
      <c r="AI2473">
        <v>94.854812292269699</v>
      </c>
      <c r="AJ2473">
        <v>93.627788235732993</v>
      </c>
      <c r="AK2473">
        <v>13.249011798737</v>
      </c>
      <c r="AL2473">
        <v>96.385169474311695</v>
      </c>
      <c r="AM2473">
        <v>90.8222628344284</v>
      </c>
      <c r="AN2473">
        <v>0.99999999916233595</v>
      </c>
    </row>
    <row r="2474" spans="1:40" x14ac:dyDescent="0.25">
      <c r="A2474" t="str">
        <f>"20190303154514726"</f>
        <v>20190303154514726</v>
      </c>
      <c r="B2474" t="str">
        <f>"1551599114722897"</f>
        <v>1551599114722897</v>
      </c>
      <c r="C2474" t="s">
        <v>40</v>
      </c>
      <c r="D2474">
        <v>5.1211789999999997</v>
      </c>
      <c r="E2474">
        <v>0.48237960000000002</v>
      </c>
      <c r="F2474" t="s">
        <v>41</v>
      </c>
      <c r="G2474">
        <v>-492.40179999999998</v>
      </c>
      <c r="H2474" s="1">
        <v>-2.4534270000000002E-6</v>
      </c>
      <c r="I2474">
        <v>233.8185</v>
      </c>
      <c r="J2474">
        <v>-492.84789999999998</v>
      </c>
      <c r="K2474">
        <v>1.121289</v>
      </c>
      <c r="L2474">
        <v>247.1086</v>
      </c>
      <c r="M2474">
        <v>-2.902478E-2</v>
      </c>
      <c r="N2474">
        <v>-1.4192059999999999E-2</v>
      </c>
      <c r="O2474">
        <v>-0.99947799999999998</v>
      </c>
      <c r="P2474">
        <v>-1.4371989999999999E-2</v>
      </c>
      <c r="Q2474">
        <v>-0.12511649999999999</v>
      </c>
      <c r="R2474">
        <v>-0.99203799999999998</v>
      </c>
      <c r="S2474">
        <v>9.8846439999999994E-2</v>
      </c>
      <c r="T2474">
        <v>-0.25027189999999999</v>
      </c>
      <c r="U2474">
        <v>-2.9940340000000001</v>
      </c>
      <c r="V2474">
        <v>-1.435957E-2</v>
      </c>
      <c r="W2474">
        <v>-0.1110342</v>
      </c>
      <c r="X2474">
        <v>0.99371279999999995</v>
      </c>
      <c r="Y2474">
        <v>-6.1872829999999997E-2</v>
      </c>
      <c r="Z2474">
        <v>6.8986859999999997E-2</v>
      </c>
      <c r="AA2474">
        <v>0.99569700000000005</v>
      </c>
      <c r="AB2474">
        <v>19</v>
      </c>
      <c r="AC2474">
        <v>0.446100000000001</v>
      </c>
      <c r="AD2474">
        <v>-1.121291453427</v>
      </c>
      <c r="AE2474">
        <v>-13.290099999999899</v>
      </c>
      <c r="AF2474">
        <v>-0.82582118979342201</v>
      </c>
      <c r="AG2474">
        <v>-1.121291453427</v>
      </c>
      <c r="AH2474">
        <v>13.1778511510215</v>
      </c>
      <c r="AI2474">
        <v>94.854054690245306</v>
      </c>
      <c r="AJ2474">
        <v>93.585886192200604</v>
      </c>
      <c r="AK2474">
        <v>13.2512277212158</v>
      </c>
      <c r="AL2474">
        <v>96.3749363463305</v>
      </c>
      <c r="AM2474">
        <v>90.827890610712402</v>
      </c>
      <c r="AN2474">
        <v>0.99999995985203105</v>
      </c>
    </row>
    <row r="2475" spans="1:40" x14ac:dyDescent="0.25">
      <c r="A2475" t="str">
        <f>"20190303154514746"</f>
        <v>20190303154514746</v>
      </c>
      <c r="B2475" t="str">
        <f>"1551599114743394"</f>
        <v>1551599114743394</v>
      </c>
      <c r="C2475" t="s">
        <v>40</v>
      </c>
      <c r="D2475">
        <v>5.1134899999999996</v>
      </c>
      <c r="E2475">
        <v>0.48286970000000001</v>
      </c>
      <c r="F2475" t="s">
        <v>41</v>
      </c>
      <c r="G2475">
        <v>-492.4187</v>
      </c>
      <c r="H2475" s="1">
        <v>-2.423993E-6</v>
      </c>
      <c r="I2475">
        <v>233.73929999999999</v>
      </c>
      <c r="J2475">
        <v>-492.85219999999998</v>
      </c>
      <c r="K2475">
        <v>1.121319</v>
      </c>
      <c r="L2475">
        <v>246.94479999999999</v>
      </c>
      <c r="M2475">
        <v>-2.8587230000000002E-2</v>
      </c>
      <c r="N2475">
        <v>-1.418839E-2</v>
      </c>
      <c r="O2475">
        <v>-0.99949089999999996</v>
      </c>
      <c r="P2475">
        <v>-1.3747580000000001E-2</v>
      </c>
      <c r="Q2475">
        <v>-0.12467449999999999</v>
      </c>
      <c r="R2475">
        <v>-0.9921027</v>
      </c>
      <c r="S2475">
        <v>9.6099850000000001E-2</v>
      </c>
      <c r="T2475">
        <v>-0.2510926</v>
      </c>
      <c r="U2475">
        <v>-2.9937900000000002</v>
      </c>
      <c r="V2475">
        <v>-1.4545560000000001E-2</v>
      </c>
      <c r="W2475">
        <v>-0.110595899999999</v>
      </c>
      <c r="X2475">
        <v>0.99375899999999995</v>
      </c>
      <c r="Y2475">
        <v>-6.0526190000000001E-2</v>
      </c>
      <c r="Z2475">
        <v>6.9274870000000002E-2</v>
      </c>
      <c r="AA2475">
        <v>0.99575979999999997</v>
      </c>
      <c r="AB2475">
        <v>19</v>
      </c>
      <c r="AC2475">
        <v>0.43349999999998001</v>
      </c>
      <c r="AD2475">
        <v>-1.1213214239929901</v>
      </c>
      <c r="AE2475">
        <v>-13.205500000000001</v>
      </c>
      <c r="AF2475">
        <v>-0.80507083398881596</v>
      </c>
      <c r="AG2475">
        <v>-1.1213214239929901</v>
      </c>
      <c r="AH2475">
        <v>13.093402911994099</v>
      </c>
      <c r="AI2475">
        <v>94.885695649912094</v>
      </c>
      <c r="AJ2475">
        <v>93.518501877833799</v>
      </c>
      <c r="AK2475">
        <v>13.165967514750299</v>
      </c>
      <c r="AL2475">
        <v>96.349667797182093</v>
      </c>
      <c r="AM2475">
        <v>90.838573226242701</v>
      </c>
      <c r="AN2475">
        <v>0.99999998824676095</v>
      </c>
    </row>
    <row r="2476" spans="1:40" x14ac:dyDescent="0.25">
      <c r="A2476" t="str">
        <f>"20190303154514768"</f>
        <v>20190303154514768</v>
      </c>
      <c r="B2476" t="str">
        <f>"1551599114762914"</f>
        <v>1551599114762914</v>
      </c>
      <c r="C2476" t="s">
        <v>40</v>
      </c>
      <c r="D2476">
        <v>5.1049629999999997</v>
      </c>
      <c r="E2476">
        <v>0.48324240000000002</v>
      </c>
      <c r="F2476" t="s">
        <v>41</v>
      </c>
      <c r="G2476">
        <v>-492.42739999999998</v>
      </c>
      <c r="H2476" s="1">
        <v>-2.2868849999999999E-6</v>
      </c>
      <c r="I2476">
        <v>233.4144</v>
      </c>
      <c r="J2476">
        <v>-492.85680000000002</v>
      </c>
      <c r="K2476">
        <v>1.121343</v>
      </c>
      <c r="L2476">
        <v>246.7585</v>
      </c>
      <c r="M2476">
        <v>-2.804653E-2</v>
      </c>
      <c r="N2476">
        <v>-1.4184179999999999E-2</v>
      </c>
      <c r="O2476">
        <v>-0.99950620000000001</v>
      </c>
      <c r="P2476">
        <v>-1.319267E-2</v>
      </c>
      <c r="Q2476">
        <v>-0.1234117</v>
      </c>
      <c r="R2476">
        <v>-0.99226829999999999</v>
      </c>
      <c r="S2476">
        <v>9.3994140000000004E-2</v>
      </c>
      <c r="T2476">
        <v>-0.24812500000000001</v>
      </c>
      <c r="U2476">
        <v>-2.9940030000000002</v>
      </c>
      <c r="V2476">
        <v>-1.456324E-2</v>
      </c>
      <c r="W2476">
        <v>-0.1093359</v>
      </c>
      <c r="X2476">
        <v>0.99389819999999995</v>
      </c>
      <c r="Y2476">
        <v>-5.9287680000000002E-2</v>
      </c>
      <c r="Z2476">
        <v>6.8299040000000005E-2</v>
      </c>
      <c r="AA2476">
        <v>0.9959017</v>
      </c>
      <c r="AB2476">
        <v>19</v>
      </c>
      <c r="AC2476">
        <v>0.42940000000004303</v>
      </c>
      <c r="AD2476">
        <v>-1.121345286885</v>
      </c>
      <c r="AE2476">
        <v>-13.3440999999999</v>
      </c>
      <c r="AF2476">
        <v>-0.79789576641149995</v>
      </c>
      <c r="AG2476">
        <v>-1.121345286885</v>
      </c>
      <c r="AH2476">
        <v>13.233453187493099</v>
      </c>
      <c r="AI2476">
        <v>94.834687034485</v>
      </c>
      <c r="AJ2476">
        <v>93.450405714781297</v>
      </c>
      <c r="AK2476">
        <v>13.304823793348399</v>
      </c>
      <c r="AL2476">
        <v>96.277034355223705</v>
      </c>
      <c r="AM2476">
        <v>90.839474786861004</v>
      </c>
      <c r="AN2476">
        <v>1.0000000294756699</v>
      </c>
    </row>
    <row r="2477" spans="1:40" x14ac:dyDescent="0.25">
      <c r="A2477" t="str">
        <f>"20190303154514790"</f>
        <v>20190303154514790</v>
      </c>
      <c r="B2477" t="str">
        <f>"1551599114783410"</f>
        <v>1551599114783410</v>
      </c>
      <c r="C2477" t="s">
        <v>40</v>
      </c>
      <c r="D2477">
        <v>5.0779160000000001</v>
      </c>
      <c r="E2477">
        <v>0.4833961</v>
      </c>
      <c r="F2477" t="s">
        <v>41</v>
      </c>
      <c r="G2477">
        <v>-492.43049999999999</v>
      </c>
      <c r="H2477" s="1">
        <v>-2.1064880000000002E-6</v>
      </c>
      <c r="I2477">
        <v>232.99199999999999</v>
      </c>
      <c r="J2477">
        <v>-492.86130000000003</v>
      </c>
      <c r="K2477">
        <v>1.1213789999999999</v>
      </c>
      <c r="L2477">
        <v>246.57570000000001</v>
      </c>
      <c r="M2477">
        <v>-2.7482139999999999E-2</v>
      </c>
      <c r="N2477">
        <v>-1.418004E-2</v>
      </c>
      <c r="O2477">
        <v>-0.99952200000000002</v>
      </c>
      <c r="P2477">
        <v>-1.2839089999999999E-2</v>
      </c>
      <c r="Q2477">
        <v>-0.1220803</v>
      </c>
      <c r="R2477">
        <v>-0.99243760000000003</v>
      </c>
      <c r="S2477">
        <v>9.2742920000000006E-2</v>
      </c>
      <c r="T2477">
        <v>-0.2438949</v>
      </c>
      <c r="U2477">
        <v>-2.9942630000000001</v>
      </c>
      <c r="V2477">
        <v>-1.435823E-2</v>
      </c>
      <c r="W2477">
        <v>-0.1080068</v>
      </c>
      <c r="X2477">
        <v>0.9940464</v>
      </c>
      <c r="Y2477">
        <v>-5.8309729999999997E-2</v>
      </c>
      <c r="Z2477">
        <v>6.6903439999999995E-2</v>
      </c>
      <c r="AA2477">
        <v>0.9960542</v>
      </c>
      <c r="AB2477">
        <v>19</v>
      </c>
      <c r="AC2477">
        <v>0.43080000000003299</v>
      </c>
      <c r="AD2477">
        <v>-1.1213811064879999</v>
      </c>
      <c r="AE2477">
        <v>-13.583699999999901</v>
      </c>
      <c r="AF2477">
        <v>-0.79854714132475402</v>
      </c>
      <c r="AG2477">
        <v>-1.1213811064879999</v>
      </c>
      <c r="AH2477">
        <v>13.474987137929499</v>
      </c>
      <c r="AI2477">
        <v>94.7488686606317</v>
      </c>
      <c r="AJ2477">
        <v>93.391463927875606</v>
      </c>
      <c r="AK2477">
        <v>13.5451264848385</v>
      </c>
      <c r="AL2477">
        <v>96.200429431619597</v>
      </c>
      <c r="AM2477">
        <v>90.827535590851596</v>
      </c>
      <c r="AN2477">
        <v>0.99999993648396401</v>
      </c>
    </row>
    <row r="2478" spans="1:40" x14ac:dyDescent="0.25">
      <c r="A2478" t="str">
        <f>"20190303154514803"</f>
        <v>20190303154514803</v>
      </c>
      <c r="B2478" t="str">
        <f>"1551599114793170"</f>
        <v>1551599114793170</v>
      </c>
      <c r="C2478" t="s">
        <v>40</v>
      </c>
      <c r="D2478">
        <v>5.1833359999999997</v>
      </c>
      <c r="E2478">
        <v>0.48364109999999999</v>
      </c>
      <c r="F2478" t="s">
        <v>41</v>
      </c>
      <c r="G2478">
        <v>-492.42899999999997</v>
      </c>
      <c r="H2478" s="1">
        <v>-1.9575939999999999E-6</v>
      </c>
      <c r="I2478">
        <v>232.64580000000001</v>
      </c>
      <c r="J2478">
        <v>-492.86410000000001</v>
      </c>
      <c r="K2478">
        <v>1.1213919999999999</v>
      </c>
      <c r="L2478">
        <v>246.4597</v>
      </c>
      <c r="M2478">
        <v>-2.7110530000000001E-2</v>
      </c>
      <c r="N2478">
        <v>-1.417741E-2</v>
      </c>
      <c r="O2478">
        <v>-0.99953199999999998</v>
      </c>
      <c r="P2478">
        <v>-1.27575E-2</v>
      </c>
      <c r="Q2478">
        <v>-0.1211153</v>
      </c>
      <c r="R2478">
        <v>-0.99255660000000001</v>
      </c>
      <c r="S2478">
        <v>9.2926030000000007E-2</v>
      </c>
      <c r="T2478">
        <v>-0.24105550000000001</v>
      </c>
      <c r="U2478">
        <v>-2.9944310000000001</v>
      </c>
      <c r="V2478">
        <v>-1.4072940000000001E-2</v>
      </c>
      <c r="W2478">
        <v>-0.10704279999999999</v>
      </c>
      <c r="X2478">
        <v>0.99415480000000001</v>
      </c>
      <c r="Y2478">
        <v>-5.8000250000000003E-2</v>
      </c>
      <c r="Z2478">
        <v>6.5965049999999997E-2</v>
      </c>
      <c r="AA2478">
        <v>0.99613479999999999</v>
      </c>
      <c r="AB2478">
        <v>19</v>
      </c>
      <c r="AC2478">
        <v>0.43509999999997701</v>
      </c>
      <c r="AD2478">
        <v>-1.121393957594</v>
      </c>
      <c r="AE2478">
        <v>-13.813899999999901</v>
      </c>
      <c r="AF2478">
        <v>-0.80418548907592902</v>
      </c>
      <c r="AG2478">
        <v>-1.121393957594</v>
      </c>
      <c r="AH2478">
        <v>13.7067867275872</v>
      </c>
      <c r="AI2478">
        <v>94.669131849471199</v>
      </c>
      <c r="AJ2478">
        <v>93.357728955197302</v>
      </c>
      <c r="AK2478">
        <v>13.776074952777</v>
      </c>
      <c r="AL2478">
        <v>96.144873892755996</v>
      </c>
      <c r="AM2478">
        <v>90.811006712544497</v>
      </c>
      <c r="AN2478">
        <v>0.99999998751756103</v>
      </c>
    </row>
    <row r="2479" spans="1:40" x14ac:dyDescent="0.25">
      <c r="A2479" t="str">
        <f>"20190303154514825"</f>
        <v>20190303154514825</v>
      </c>
      <c r="B2479" t="str">
        <f>"1551599114812690"</f>
        <v>1551599114812690</v>
      </c>
      <c r="C2479" t="s">
        <v>40</v>
      </c>
      <c r="D2479">
        <v>5.1243460000000001</v>
      </c>
      <c r="E2479">
        <v>0.4837689</v>
      </c>
      <c r="F2479" t="s">
        <v>41</v>
      </c>
      <c r="G2479">
        <v>-492.43270000000001</v>
      </c>
      <c r="H2479" s="1">
        <v>-1.8266119999999999E-6</v>
      </c>
      <c r="I2479">
        <v>232.3382</v>
      </c>
      <c r="J2479">
        <v>-492.8682</v>
      </c>
      <c r="K2479">
        <v>1.121416</v>
      </c>
      <c r="L2479">
        <v>246.2824</v>
      </c>
      <c r="M2479">
        <v>-2.652274E-2</v>
      </c>
      <c r="N2479">
        <v>-1.417333E-2</v>
      </c>
      <c r="O2479">
        <v>-0.99954779999999999</v>
      </c>
      <c r="P2479">
        <v>-1.279274E-2</v>
      </c>
      <c r="Q2479">
        <v>-0.1190143</v>
      </c>
      <c r="R2479">
        <v>-0.99281030000000003</v>
      </c>
      <c r="S2479">
        <v>9.1491699999999995E-2</v>
      </c>
      <c r="T2479">
        <v>-0.23780660000000001</v>
      </c>
      <c r="U2479">
        <v>-2.994659</v>
      </c>
      <c r="V2479">
        <v>-1.346018E-2</v>
      </c>
      <c r="W2479">
        <v>-0.1049422</v>
      </c>
      <c r="X2479">
        <v>0.99438720000000003</v>
      </c>
      <c r="Y2479">
        <v>-5.6937450000000001E-2</v>
      </c>
      <c r="Z2479">
        <v>6.4894179999999996E-2</v>
      </c>
      <c r="AA2479">
        <v>0.99626650000000005</v>
      </c>
      <c r="AB2479">
        <v>19</v>
      </c>
      <c r="AC2479">
        <v>0.43549999999999001</v>
      </c>
      <c r="AD2479">
        <v>-1.1214178266120001</v>
      </c>
      <c r="AE2479">
        <v>-13.944199999999899</v>
      </c>
      <c r="AF2479">
        <v>-0.80005284843202396</v>
      </c>
      <c r="AG2479">
        <v>-1.1214178266120001</v>
      </c>
      <c r="AH2479">
        <v>13.8383272879658</v>
      </c>
      <c r="AI2479">
        <v>94.625269677057105</v>
      </c>
      <c r="AJ2479">
        <v>93.308830609980404</v>
      </c>
      <c r="AK2479">
        <v>13.9067237202364</v>
      </c>
      <c r="AL2479">
        <v>96.023836631544697</v>
      </c>
      <c r="AM2479">
        <v>90.775517231391802</v>
      </c>
      <c r="AN2479">
        <v>0.99999997265515495</v>
      </c>
    </row>
    <row r="2480" spans="1:40" x14ac:dyDescent="0.25">
      <c r="A2480" t="str">
        <f>"20190303154514845"</f>
        <v>20190303154514845</v>
      </c>
      <c r="B2480" t="str">
        <f>"1551599114842945"</f>
        <v>1551599114842945</v>
      </c>
      <c r="C2480" t="s">
        <v>40</v>
      </c>
      <c r="D2480">
        <v>5.0424600000000002</v>
      </c>
      <c r="E2480">
        <v>0.48404560000000002</v>
      </c>
      <c r="F2480" t="s">
        <v>41</v>
      </c>
      <c r="G2480">
        <v>-492.43579999999997</v>
      </c>
      <c r="H2480" s="1">
        <v>-1.6301549999999999E-6</v>
      </c>
      <c r="I2480">
        <v>231.8783</v>
      </c>
      <c r="J2480">
        <v>-492.87200000000001</v>
      </c>
      <c r="K2480">
        <v>1.1214299999999999</v>
      </c>
      <c r="L2480">
        <v>246.11179999999999</v>
      </c>
      <c r="M2480">
        <v>-2.5942179999999999E-2</v>
      </c>
      <c r="N2480">
        <v>-1.416943E-2</v>
      </c>
      <c r="O2480">
        <v>-0.99956330000000004</v>
      </c>
      <c r="P2480">
        <v>-1.2425E-2</v>
      </c>
      <c r="Q2480">
        <v>-0.1181237</v>
      </c>
      <c r="R2480">
        <v>-0.99292170000000002</v>
      </c>
      <c r="S2480">
        <v>8.9904789999999998E-2</v>
      </c>
      <c r="T2480">
        <v>-0.2331667</v>
      </c>
      <c r="U2480">
        <v>-2.9949189999999999</v>
      </c>
      <c r="V2480">
        <v>-1.325374E-2</v>
      </c>
      <c r="W2480">
        <v>-0.10405399999999999</v>
      </c>
      <c r="X2480">
        <v>0.99448340000000002</v>
      </c>
      <c r="Y2480">
        <v>-5.5831829999999999E-2</v>
      </c>
      <c r="Z2480">
        <v>6.3362199999999994E-2</v>
      </c>
      <c r="AA2480">
        <v>0.99642770000000003</v>
      </c>
      <c r="AB2480">
        <v>19</v>
      </c>
      <c r="AC2480">
        <v>0.43619999999998499</v>
      </c>
      <c r="AD2480">
        <v>-1.121431630155</v>
      </c>
      <c r="AE2480">
        <v>-14.2334999999999</v>
      </c>
      <c r="AF2480">
        <v>-0.80037442900120503</v>
      </c>
      <c r="AG2480">
        <v>-1.121431630155</v>
      </c>
      <c r="AH2480">
        <v>14.129762270186299</v>
      </c>
      <c r="AI2480">
        <v>94.530628485528794</v>
      </c>
      <c r="AJ2480">
        <v>93.242030776960306</v>
      </c>
      <c r="AK2480">
        <v>14.1967739271882</v>
      </c>
      <c r="AL2480">
        <v>95.972665812424907</v>
      </c>
      <c r="AM2480">
        <v>90.763550613350503</v>
      </c>
      <c r="AN2480">
        <v>1.00000006470777</v>
      </c>
    </row>
    <row r="2481" spans="1:40" x14ac:dyDescent="0.25">
      <c r="A2481" t="str">
        <f>"20190303154514859"</f>
        <v>20190303154514859</v>
      </c>
      <c r="B2481" t="str">
        <f>"1551599114852706"</f>
        <v>1551599114852706</v>
      </c>
      <c r="C2481" t="s">
        <v>40</v>
      </c>
      <c r="D2481">
        <v>5.1313490000000002</v>
      </c>
      <c r="E2481">
        <v>0.48419000000000001</v>
      </c>
      <c r="F2481" t="s">
        <v>41</v>
      </c>
      <c r="G2481">
        <v>-492.44099999999997</v>
      </c>
      <c r="H2481" s="1">
        <v>-1.538939E-6</v>
      </c>
      <c r="I2481">
        <v>231.66239999999999</v>
      </c>
      <c r="J2481">
        <v>-492.87459999999999</v>
      </c>
      <c r="K2481">
        <v>1.1214329999999999</v>
      </c>
      <c r="L2481">
        <v>245.995</v>
      </c>
      <c r="M2481">
        <v>-2.5539579999999999E-2</v>
      </c>
      <c r="N2481">
        <v>-1.4166679999999999E-2</v>
      </c>
      <c r="O2481">
        <v>-0.99957379999999996</v>
      </c>
      <c r="P2481">
        <v>-1.21466E-2</v>
      </c>
      <c r="Q2481">
        <v>-0.1179098</v>
      </c>
      <c r="R2481">
        <v>-0.99295040000000001</v>
      </c>
      <c r="S2481">
        <v>8.932495E-2</v>
      </c>
      <c r="T2481">
        <v>-0.23243420000000001</v>
      </c>
      <c r="U2481">
        <v>-2.9948579999999998</v>
      </c>
      <c r="V2481">
        <v>-1.3132629999999999E-2</v>
      </c>
      <c r="W2481">
        <v>-0.1038423</v>
      </c>
      <c r="X2481">
        <v>0.99450709999999998</v>
      </c>
      <c r="Y2481">
        <v>-5.5238469999999998E-2</v>
      </c>
      <c r="Z2481">
        <v>6.3127030000000001E-2</v>
      </c>
      <c r="AA2481">
        <v>0.99647560000000002</v>
      </c>
      <c r="AB2481">
        <v>19</v>
      </c>
      <c r="AC2481">
        <v>0.43360000000001198</v>
      </c>
      <c r="AD2481">
        <v>-1.1214345389389999</v>
      </c>
      <c r="AE2481">
        <v>-14.332599999999999</v>
      </c>
      <c r="AF2481">
        <v>-0.79468306931407096</v>
      </c>
      <c r="AG2481">
        <v>-1.1214345389389999</v>
      </c>
      <c r="AH2481">
        <v>14.2298126976339</v>
      </c>
      <c r="AI2481">
        <v>94.499116823900906</v>
      </c>
      <c r="AJ2481">
        <v>93.196439756178805</v>
      </c>
      <c r="AK2481">
        <v>14.2960381230438</v>
      </c>
      <c r="AL2481">
        <v>95.960470433819793</v>
      </c>
      <c r="AM2481">
        <v>90.756556229024795</v>
      </c>
      <c r="AN2481">
        <v>1.0000000305951999</v>
      </c>
    </row>
    <row r="2482" spans="1:40" x14ac:dyDescent="0.25">
      <c r="A2482" t="str">
        <f>"20190303154514881"</f>
        <v>20190303154514881</v>
      </c>
      <c r="B2482" t="str">
        <f>"1551599114873202"</f>
        <v>1551599114873202</v>
      </c>
      <c r="C2482" t="s">
        <v>40</v>
      </c>
      <c r="D2482">
        <v>5.0386329999999999</v>
      </c>
      <c r="E2482">
        <v>0.48414849999999998</v>
      </c>
      <c r="F2482" t="s">
        <v>41</v>
      </c>
      <c r="G2482">
        <v>-492.44450000000001</v>
      </c>
      <c r="H2482" s="1">
        <v>-1.4784530000000001E-6</v>
      </c>
      <c r="I2482">
        <v>231.51929999999999</v>
      </c>
      <c r="J2482">
        <v>-492.87830000000002</v>
      </c>
      <c r="K2482">
        <v>1.1214309999999901</v>
      </c>
      <c r="L2482">
        <v>245.8236</v>
      </c>
      <c r="M2482">
        <v>-2.4943739999999999E-2</v>
      </c>
      <c r="N2482">
        <v>-1.4162610000000001E-2</v>
      </c>
      <c r="O2482">
        <v>-0.99958849999999999</v>
      </c>
      <c r="P2482">
        <v>-1.162708E-2</v>
      </c>
      <c r="Q2482">
        <v>-0.1177909</v>
      </c>
      <c r="R2482">
        <v>-0.99297029999999997</v>
      </c>
      <c r="S2482">
        <v>8.8989260000000001E-2</v>
      </c>
      <c r="T2482">
        <v>-0.23201040000000001</v>
      </c>
      <c r="U2482">
        <v>-2.9948429999999999</v>
      </c>
      <c r="V2482">
        <v>-1.306118E-2</v>
      </c>
      <c r="W2482">
        <v>-0.10372720000000001</v>
      </c>
      <c r="X2482">
        <v>0.99451999999999996</v>
      </c>
      <c r="Y2482">
        <v>-5.4532610000000002E-2</v>
      </c>
      <c r="Z2482">
        <v>6.2994809999999998E-2</v>
      </c>
      <c r="AA2482">
        <v>0.99652289999999999</v>
      </c>
      <c r="AB2482">
        <v>19</v>
      </c>
      <c r="AC2482">
        <v>0.433800000000019</v>
      </c>
      <c r="AD2482">
        <v>-1.1214324784530001</v>
      </c>
      <c r="AE2482">
        <v>-14.3043</v>
      </c>
      <c r="AF2482">
        <v>-0.78567896535049397</v>
      </c>
      <c r="AG2482">
        <v>-1.1214324784530001</v>
      </c>
      <c r="AH2482">
        <v>14.201818449070601</v>
      </c>
      <c r="AI2482">
        <v>94.508070936127098</v>
      </c>
      <c r="AJ2482">
        <v>93.166513366729603</v>
      </c>
      <c r="AK2482">
        <v>14.267674985809199</v>
      </c>
      <c r="AL2482">
        <v>95.9538401951352</v>
      </c>
      <c r="AM2482">
        <v>90.752430789570198</v>
      </c>
      <c r="AN2482">
        <v>0.99999997842141597</v>
      </c>
    </row>
    <row r="2483" spans="1:40" x14ac:dyDescent="0.25">
      <c r="A2483" t="str">
        <f>"20190303154514903"</f>
        <v>20190303154514903</v>
      </c>
      <c r="B2483" t="str">
        <f>"1551599114892722"</f>
        <v>1551599114892722</v>
      </c>
      <c r="C2483" t="s">
        <v>40</v>
      </c>
      <c r="D2483">
        <v>5.0063380000000004</v>
      </c>
      <c r="E2483">
        <v>0.48408820000000002</v>
      </c>
      <c r="F2483" t="s">
        <v>41</v>
      </c>
      <c r="G2483">
        <v>-492.4391</v>
      </c>
      <c r="H2483" s="1">
        <v>-1.415461E-6</v>
      </c>
      <c r="I2483">
        <v>231.3758</v>
      </c>
      <c r="J2483">
        <v>-492.88220000000001</v>
      </c>
      <c r="K2483">
        <v>1.121426</v>
      </c>
      <c r="L2483">
        <v>245.63390000000001</v>
      </c>
      <c r="M2483">
        <v>-2.4284259999999998E-2</v>
      </c>
      <c r="N2483">
        <v>-1.4157950000000001E-2</v>
      </c>
      <c r="O2483">
        <v>-0.99960519999999997</v>
      </c>
      <c r="P2483">
        <v>-1.114893E-2</v>
      </c>
      <c r="Q2483">
        <v>-0.1184848</v>
      </c>
      <c r="R2483">
        <v>-0.99289360000000004</v>
      </c>
      <c r="S2483">
        <v>9.1033939999999994E-2</v>
      </c>
      <c r="T2483">
        <v>-0.23244919999999999</v>
      </c>
      <c r="U2483">
        <v>-2.9947360000000001</v>
      </c>
      <c r="V2483">
        <v>-1.288335E-2</v>
      </c>
      <c r="W2483">
        <v>-0.10442650000000001</v>
      </c>
      <c r="X2483">
        <v>0.99444909999999997</v>
      </c>
      <c r="Y2483">
        <v>-5.4554320000000003E-2</v>
      </c>
      <c r="Z2483">
        <v>6.3148430000000005E-2</v>
      </c>
      <c r="AA2483">
        <v>0.99651199999999995</v>
      </c>
      <c r="AB2483">
        <v>19</v>
      </c>
      <c r="AC2483">
        <v>0.44310000000001498</v>
      </c>
      <c r="AD2483">
        <v>-1.121427415461</v>
      </c>
      <c r="AE2483">
        <v>-14.258100000000001</v>
      </c>
      <c r="AF2483">
        <v>-0.78440354947259305</v>
      </c>
      <c r="AG2483">
        <v>-1.121427415461</v>
      </c>
      <c r="AH2483">
        <v>14.155648739532801</v>
      </c>
      <c r="AI2483">
        <v>94.522670651454504</v>
      </c>
      <c r="AJ2483">
        <v>93.1716735791546</v>
      </c>
      <c r="AK2483">
        <v>14.221648273446</v>
      </c>
      <c r="AL2483">
        <v>95.994126126617999</v>
      </c>
      <c r="AM2483">
        <v>90.742240389931894</v>
      </c>
      <c r="AN2483">
        <v>0.99999994355013899</v>
      </c>
    </row>
    <row r="2484" spans="1:40" x14ac:dyDescent="0.25">
      <c r="A2484" t="str">
        <f>"20190303154514923"</f>
        <v>20190303154514923</v>
      </c>
      <c r="B2484" t="str">
        <f>"1551599114913218"</f>
        <v>1551599114913218</v>
      </c>
      <c r="C2484" t="s">
        <v>40</v>
      </c>
      <c r="D2484">
        <v>5.0439980000000002</v>
      </c>
      <c r="E2484">
        <v>0.48409469999999999</v>
      </c>
      <c r="F2484" t="s">
        <v>41</v>
      </c>
      <c r="G2484">
        <v>-492.44400000000002</v>
      </c>
      <c r="H2484" s="1">
        <v>-1.4478039999999901E-6</v>
      </c>
      <c r="I2484">
        <v>231.44820000000001</v>
      </c>
      <c r="J2484">
        <v>-492.88560000000001</v>
      </c>
      <c r="K2484">
        <v>1.1214139999999999</v>
      </c>
      <c r="L2484">
        <v>245.46600000000001</v>
      </c>
      <c r="M2484">
        <v>-2.370251E-2</v>
      </c>
      <c r="N2484">
        <v>-1.4153860000000001E-2</v>
      </c>
      <c r="O2484">
        <v>-0.99961900000000004</v>
      </c>
      <c r="P2484">
        <v>-1.0337270000000001E-2</v>
      </c>
      <c r="Q2484">
        <v>-0.1191251</v>
      </c>
      <c r="R2484">
        <v>-0.99282559999999997</v>
      </c>
      <c r="S2484">
        <v>9.2498780000000003E-2</v>
      </c>
      <c r="T2484">
        <v>-0.23670669999999999</v>
      </c>
      <c r="U2484">
        <v>-2.994278</v>
      </c>
      <c r="V2484">
        <v>-1.31167E-2</v>
      </c>
      <c r="W2484">
        <v>-0.1050719</v>
      </c>
      <c r="X2484">
        <v>0.99437810000000004</v>
      </c>
      <c r="Y2484">
        <v>-5.4461610000000001E-2</v>
      </c>
      <c r="Z2484">
        <v>6.4573930000000002E-2</v>
      </c>
      <c r="AA2484">
        <v>0.99642569999999997</v>
      </c>
      <c r="AB2484">
        <v>19</v>
      </c>
      <c r="AC2484">
        <v>0.441599999999993</v>
      </c>
      <c r="AD2484">
        <v>-1.1214154478039999</v>
      </c>
      <c r="AE2484">
        <v>-14.0177999999999</v>
      </c>
      <c r="AF2484">
        <v>-0.76885050359988705</v>
      </c>
      <c r="AG2484">
        <v>-1.1214154478039999</v>
      </c>
      <c r="AH2484">
        <v>13.914430214065399</v>
      </c>
      <c r="AI2484">
        <v>94.600732090330993</v>
      </c>
      <c r="AJ2484">
        <v>93.1626978157651</v>
      </c>
      <c r="AK2484">
        <v>13.980703554741201</v>
      </c>
      <c r="AL2484">
        <v>96.031309169011294</v>
      </c>
      <c r="AM2484">
        <v>90.755736643011701</v>
      </c>
      <c r="AN2484">
        <v>0.99999997887405401</v>
      </c>
    </row>
    <row r="2485" spans="1:40" x14ac:dyDescent="0.25">
      <c r="A2485" t="str">
        <f>"20190303154514947"</f>
        <v>20190303154514947</v>
      </c>
      <c r="B2485" t="str">
        <f>"1551599114943474"</f>
        <v>1551599114943474</v>
      </c>
      <c r="C2485" t="s">
        <v>40</v>
      </c>
      <c r="D2485">
        <v>4.9921360000000004</v>
      </c>
      <c r="E2485">
        <v>0.4840875</v>
      </c>
      <c r="F2485" t="s">
        <v>41</v>
      </c>
      <c r="G2485">
        <v>-492.4409</v>
      </c>
      <c r="H2485" s="1">
        <v>-1.4817539999999999E-6</v>
      </c>
      <c r="I2485">
        <v>231.5292</v>
      </c>
      <c r="J2485">
        <v>-492.88929999999999</v>
      </c>
      <c r="K2485">
        <v>1.1213900000000001</v>
      </c>
      <c r="L2485">
        <v>245.27209999999999</v>
      </c>
      <c r="M2485">
        <v>-2.30362E-2</v>
      </c>
      <c r="N2485">
        <v>-1.4149139999999999E-2</v>
      </c>
      <c r="O2485">
        <v>-0.99963440000000003</v>
      </c>
      <c r="P2485">
        <v>-8.9626800000000006E-3</v>
      </c>
      <c r="Q2485">
        <v>-0.12020550000000001</v>
      </c>
      <c r="R2485">
        <v>-0.99270840000000005</v>
      </c>
      <c r="S2485">
        <v>9.5520019999999997E-2</v>
      </c>
      <c r="T2485">
        <v>-0.24088999999999999</v>
      </c>
      <c r="U2485">
        <v>-2.9937589999999998</v>
      </c>
      <c r="V2485">
        <v>-1.3828699999999999E-2</v>
      </c>
      <c r="W2485">
        <v>-0.1061589</v>
      </c>
      <c r="X2485">
        <v>0.99425300000000005</v>
      </c>
      <c r="Y2485">
        <v>-5.4802249999999997E-2</v>
      </c>
      <c r="Z2485">
        <v>6.5975619999999999E-2</v>
      </c>
      <c r="AA2485">
        <v>0.99631519999999996</v>
      </c>
      <c r="AB2485">
        <v>18</v>
      </c>
      <c r="AC2485">
        <v>0.44839999999999203</v>
      </c>
      <c r="AD2485">
        <v>-1.1213914817539901</v>
      </c>
      <c r="AE2485">
        <v>-13.742899999999899</v>
      </c>
      <c r="AF2485">
        <v>-0.75984308684469204</v>
      </c>
      <c r="AG2485">
        <v>-1.1213914817539901</v>
      </c>
      <c r="AH2485">
        <v>13.6382123035135</v>
      </c>
      <c r="AI2485">
        <v>94.693281212746697</v>
      </c>
      <c r="AJ2485">
        <v>93.188895912718706</v>
      </c>
      <c r="AK2485">
        <v>13.7053170414873</v>
      </c>
      <c r="AL2485">
        <v>96.093939930005007</v>
      </c>
      <c r="AM2485">
        <v>90.796854583524095</v>
      </c>
      <c r="AN2485">
        <v>0.99999998650094901</v>
      </c>
    </row>
    <row r="2486" spans="1:40" x14ac:dyDescent="0.25">
      <c r="A2486" t="str">
        <f>"20190303154514968"</f>
        <v>20190303154514968</v>
      </c>
      <c r="B2486" t="str">
        <f>"1551599114962993"</f>
        <v>1551599114962993</v>
      </c>
      <c r="C2486" t="s">
        <v>40</v>
      </c>
      <c r="D2486">
        <v>4.9689670000000001</v>
      </c>
      <c r="E2486">
        <v>0.4840527</v>
      </c>
      <c r="F2486" t="s">
        <v>41</v>
      </c>
      <c r="G2486">
        <v>-492.4366</v>
      </c>
      <c r="H2486" s="1">
        <v>-1.538715E-6</v>
      </c>
      <c r="I2486">
        <v>231.66460000000001</v>
      </c>
      <c r="J2486">
        <v>-492.89269999999999</v>
      </c>
      <c r="K2486">
        <v>1.1213759999999999</v>
      </c>
      <c r="L2486">
        <v>245.09440000000001</v>
      </c>
      <c r="M2486">
        <v>-2.243119E-2</v>
      </c>
      <c r="N2486">
        <v>-1.4144749999999999E-2</v>
      </c>
      <c r="O2486">
        <v>-0.99964830000000005</v>
      </c>
      <c r="P2486">
        <v>-7.0617379999999997E-3</v>
      </c>
      <c r="Q2486">
        <v>-0.1215271</v>
      </c>
      <c r="R2486">
        <v>-0.99256310000000003</v>
      </c>
      <c r="S2486">
        <v>9.9578860000000005E-2</v>
      </c>
      <c r="T2486">
        <v>-0.24665980000000001</v>
      </c>
      <c r="U2486">
        <v>-2.9930880000000002</v>
      </c>
      <c r="V2486">
        <v>-1.512601E-2</v>
      </c>
      <c r="W2486">
        <v>-0.107488</v>
      </c>
      <c r="X2486">
        <v>0.99409130000000001</v>
      </c>
      <c r="Y2486">
        <v>-5.5549130000000002E-2</v>
      </c>
      <c r="Z2486">
        <v>6.7903999999999895E-2</v>
      </c>
      <c r="AA2486">
        <v>0.99614420000000004</v>
      </c>
      <c r="AB2486">
        <v>18</v>
      </c>
      <c r="AC2486">
        <v>0.45609999999999201</v>
      </c>
      <c r="AD2486">
        <v>-1.121377538715</v>
      </c>
      <c r="AE2486">
        <v>-13.4298</v>
      </c>
      <c r="AF2486">
        <v>-0.75202459743806704</v>
      </c>
      <c r="AG2486">
        <v>-1.121377538715</v>
      </c>
      <c r="AH2486">
        <v>13.323403056050701</v>
      </c>
      <c r="AI2486">
        <v>94.803407991624098</v>
      </c>
      <c r="AJ2486">
        <v>93.230568391312701</v>
      </c>
      <c r="AK2486">
        <v>13.391642825787599</v>
      </c>
      <c r="AL2486">
        <v>96.170529986759902</v>
      </c>
      <c r="AM2486">
        <v>90.871740512367296</v>
      </c>
      <c r="AN2486">
        <v>0.99999998952910496</v>
      </c>
    </row>
    <row r="2487" spans="1:40" x14ac:dyDescent="0.25">
      <c r="A2487" t="str">
        <f>"20190303154514991"</f>
        <v>20190303154514991</v>
      </c>
      <c r="B2487" t="str">
        <f>"1551599114983493"</f>
        <v>1551599114983493</v>
      </c>
      <c r="C2487" t="s">
        <v>40</v>
      </c>
      <c r="D2487">
        <v>4.9513089999999904</v>
      </c>
      <c r="E2487">
        <v>0.48415740000000002</v>
      </c>
      <c r="F2487" t="s">
        <v>41</v>
      </c>
      <c r="G2487">
        <v>-492.42349999999999</v>
      </c>
      <c r="H2487" s="1">
        <v>-1.600679E-6</v>
      </c>
      <c r="I2487">
        <v>231.81720000000001</v>
      </c>
      <c r="J2487">
        <v>-492.89600000000002</v>
      </c>
      <c r="K2487">
        <v>1.1213709999999999</v>
      </c>
      <c r="L2487">
        <v>244.91290000000001</v>
      </c>
      <c r="M2487">
        <v>-2.1816519999999999E-2</v>
      </c>
      <c r="N2487">
        <v>-1.414025E-2</v>
      </c>
      <c r="O2487">
        <v>-0.99966189999999999</v>
      </c>
      <c r="P2487">
        <v>-5.2251490000000001E-3</v>
      </c>
      <c r="Q2487">
        <v>-0.1214966</v>
      </c>
      <c r="R2487">
        <v>-0.99257799999999996</v>
      </c>
      <c r="S2487">
        <v>0.1057434</v>
      </c>
      <c r="T2487">
        <v>-0.25272739999999999</v>
      </c>
      <c r="U2487">
        <v>-2.9923099999999998</v>
      </c>
      <c r="V2487">
        <v>-1.6353759999999998E-2</v>
      </c>
      <c r="W2487">
        <v>-0.107463</v>
      </c>
      <c r="X2487">
        <v>0.99407460000000003</v>
      </c>
      <c r="Y2487">
        <v>-5.6986780000000001E-2</v>
      </c>
      <c r="Z2487">
        <v>6.9930909999999999E-2</v>
      </c>
      <c r="AA2487">
        <v>0.9959228</v>
      </c>
      <c r="AB2487">
        <v>18</v>
      </c>
      <c r="AC2487">
        <v>0.472499999999968</v>
      </c>
      <c r="AD2487">
        <v>-1.1213726006789999</v>
      </c>
      <c r="AE2487">
        <v>-13.0956999999999</v>
      </c>
      <c r="AF2487">
        <v>-0.75260751404298998</v>
      </c>
      <c r="AG2487">
        <v>-1.1213726006789999</v>
      </c>
      <c r="AH2487">
        <v>12.9871706364946</v>
      </c>
      <c r="AI2487">
        <v>94.926719111378702</v>
      </c>
      <c r="AJ2487">
        <v>93.316585447856298</v>
      </c>
      <c r="AK2487">
        <v>13.0572009144829</v>
      </c>
      <c r="AL2487">
        <v>96.169089020622593</v>
      </c>
      <c r="AM2487">
        <v>90.942501608873201</v>
      </c>
      <c r="AN2487">
        <v>1.00000002610014</v>
      </c>
    </row>
    <row r="2488" spans="1:40" x14ac:dyDescent="0.25">
      <c r="A2488" t="str">
        <f>"20190303154515004"</f>
        <v>20190303154515004</v>
      </c>
      <c r="B2488" t="str">
        <f>"1551599114993250"</f>
        <v>1551599114993250</v>
      </c>
      <c r="C2488" t="s">
        <v>40</v>
      </c>
      <c r="D2488">
        <v>5.1078349999999997</v>
      </c>
      <c r="E2488">
        <v>0.4842031</v>
      </c>
      <c r="F2488" t="s">
        <v>41</v>
      </c>
      <c r="G2488">
        <v>-492.4076</v>
      </c>
      <c r="H2488" s="1">
        <v>-1.527009E-6</v>
      </c>
      <c r="I2488">
        <v>231.65530000000001</v>
      </c>
      <c r="J2488">
        <v>-492.89789999999999</v>
      </c>
      <c r="K2488">
        <v>1.1213709999999999</v>
      </c>
      <c r="L2488">
        <v>244.8056</v>
      </c>
      <c r="M2488">
        <v>-2.145269E-2</v>
      </c>
      <c r="N2488">
        <v>-1.413757E-2</v>
      </c>
      <c r="O2488">
        <v>-0.99966999999999995</v>
      </c>
      <c r="P2488">
        <v>-4.226807E-3</v>
      </c>
      <c r="Q2488">
        <v>-0.12040820000000001</v>
      </c>
      <c r="R2488">
        <v>-0.99271540000000003</v>
      </c>
      <c r="S2488">
        <v>0.11022949999999999</v>
      </c>
      <c r="T2488">
        <v>-0.25307669999999999</v>
      </c>
      <c r="U2488">
        <v>-2.9920200000000001</v>
      </c>
      <c r="V2488">
        <v>-1.6994720000000001E-2</v>
      </c>
      <c r="W2488">
        <v>-0.1063759</v>
      </c>
      <c r="X2488">
        <v>0.99418070000000003</v>
      </c>
      <c r="Y2488">
        <v>-5.8116929999999997E-2</v>
      </c>
      <c r="Z2488">
        <v>7.0053000000000004E-2</v>
      </c>
      <c r="AA2488">
        <v>0.99584890000000004</v>
      </c>
      <c r="AB2488">
        <v>18</v>
      </c>
      <c r="AC2488">
        <v>0.49029999999999002</v>
      </c>
      <c r="AD2488">
        <v>-1.12137252700899</v>
      </c>
      <c r="AE2488">
        <v>-13.1502999999999</v>
      </c>
      <c r="AF2488">
        <v>-0.76675683032765996</v>
      </c>
      <c r="AG2488">
        <v>-1.12137252700899</v>
      </c>
      <c r="AH2488">
        <v>13.0420491503476</v>
      </c>
      <c r="AI2488">
        <v>94.905850610947198</v>
      </c>
      <c r="AJ2488">
        <v>93.364610813416206</v>
      </c>
      <c r="AK2488">
        <v>13.1126060880844</v>
      </c>
      <c r="AL2488">
        <v>96.106444089138094</v>
      </c>
      <c r="AM2488">
        <v>90.979329916581904</v>
      </c>
      <c r="AN2488">
        <v>0.99999995843058798</v>
      </c>
    </row>
    <row r="2489" spans="1:40" x14ac:dyDescent="0.25">
      <c r="A2489" t="str">
        <f>"20190303154515024"</f>
        <v>20190303154515024</v>
      </c>
      <c r="B2489" t="str">
        <f>"1551599115012770"</f>
        <v>1551599115012770</v>
      </c>
      <c r="C2489" t="s">
        <v>40</v>
      </c>
      <c r="D2489">
        <v>4.9903729999999999</v>
      </c>
      <c r="E2489">
        <v>0.4842882</v>
      </c>
      <c r="F2489" t="s">
        <v>41</v>
      </c>
      <c r="G2489">
        <v>-492.39089999999999</v>
      </c>
      <c r="H2489" s="1">
        <v>-1.4096799999999999E-6</v>
      </c>
      <c r="I2489">
        <v>231.3922</v>
      </c>
      <c r="J2489">
        <v>-492.9008</v>
      </c>
      <c r="K2489">
        <v>1.121381</v>
      </c>
      <c r="L2489">
        <v>244.6421</v>
      </c>
      <c r="M2489">
        <v>-2.089365E-2</v>
      </c>
      <c r="N2489">
        <v>-1.41335E-2</v>
      </c>
      <c r="O2489">
        <v>-0.99968179999999995</v>
      </c>
      <c r="P2489">
        <v>-2.3507020000000001E-3</v>
      </c>
      <c r="Q2489">
        <v>-0.11836339999999999</v>
      </c>
      <c r="R2489">
        <v>-0.99296790000000001</v>
      </c>
      <c r="S2489">
        <v>0.11309809999999999</v>
      </c>
      <c r="T2489">
        <v>-0.25014890000000001</v>
      </c>
      <c r="U2489">
        <v>-2.9921720000000001</v>
      </c>
      <c r="V2489">
        <v>-1.8322270000000002E-2</v>
      </c>
      <c r="W2489">
        <v>-0.1043333</v>
      </c>
      <c r="X2489">
        <v>0.99437359999999997</v>
      </c>
      <c r="Y2489">
        <v>-5.8512889999999998E-2</v>
      </c>
      <c r="Z2489">
        <v>6.9084049999999994E-2</v>
      </c>
      <c r="AA2489">
        <v>0.99589340000000004</v>
      </c>
      <c r="AB2489">
        <v>18</v>
      </c>
      <c r="AC2489">
        <v>0.50990000000001601</v>
      </c>
      <c r="AD2489">
        <v>-1.12138240968</v>
      </c>
      <c r="AE2489">
        <v>-13.249899999999901</v>
      </c>
      <c r="AF2489">
        <v>-0.78106873679041</v>
      </c>
      <c r="AG2489">
        <v>-1.12138240968</v>
      </c>
      <c r="AH2489">
        <v>13.142355544029799</v>
      </c>
      <c r="AI2489">
        <v>94.868448313200105</v>
      </c>
      <c r="AJ2489">
        <v>93.401168384467795</v>
      </c>
      <c r="AK2489">
        <v>13.2132159645569</v>
      </c>
      <c r="AL2489">
        <v>95.988756492241095</v>
      </c>
      <c r="AM2489">
        <v>91.055609239664804</v>
      </c>
      <c r="AN2489">
        <v>0.99999999972190101</v>
      </c>
    </row>
    <row r="2490" spans="1:40" x14ac:dyDescent="0.25">
      <c r="A2490" t="str">
        <f>"20190303154515037"</f>
        <v>20190303154515037</v>
      </c>
      <c r="B2490" t="str">
        <f>"1551599115033266"</f>
        <v>1551599115033266</v>
      </c>
      <c r="C2490" t="s">
        <v>40</v>
      </c>
      <c r="D2490">
        <v>4.9602570000000004</v>
      </c>
      <c r="E2490">
        <v>0.48435050000000002</v>
      </c>
      <c r="F2490" t="s">
        <v>41</v>
      </c>
      <c r="G2490">
        <v>-492.36329999999998</v>
      </c>
      <c r="H2490" s="1">
        <v>-1.22132E-6</v>
      </c>
      <c r="I2490">
        <v>230.97030000000001</v>
      </c>
      <c r="J2490">
        <v>-492.90260000000001</v>
      </c>
      <c r="K2490">
        <v>1.1213839999999999</v>
      </c>
      <c r="L2490">
        <v>244.53200000000001</v>
      </c>
      <c r="M2490">
        <v>-2.0511830000000002E-2</v>
      </c>
      <c r="N2490">
        <v>-1.4130790000000001E-2</v>
      </c>
      <c r="O2490">
        <v>-0.99968979999999996</v>
      </c>
      <c r="P2490">
        <v>-1.6357399999999999E-3</v>
      </c>
      <c r="Q2490">
        <v>-0.117379</v>
      </c>
      <c r="R2490">
        <v>-0.99308569999999996</v>
      </c>
      <c r="S2490">
        <v>0.11764529999999999</v>
      </c>
      <c r="T2490">
        <v>-0.2454278</v>
      </c>
      <c r="U2490">
        <v>-2.9922330000000001</v>
      </c>
      <c r="V2490">
        <v>-1.8660369999999999E-2</v>
      </c>
      <c r="W2490">
        <v>-0.1033505</v>
      </c>
      <c r="X2490">
        <v>0.99446990000000002</v>
      </c>
      <c r="Y2490">
        <v>-5.9646070000000002E-2</v>
      </c>
      <c r="Z2490">
        <v>6.7519880000000004E-2</v>
      </c>
      <c r="AA2490">
        <v>0.99593339999999997</v>
      </c>
      <c r="AB2490">
        <v>18</v>
      </c>
      <c r="AC2490">
        <v>0.53930000000002498</v>
      </c>
      <c r="AD2490">
        <v>-1.12138522132</v>
      </c>
      <c r="AE2490">
        <v>-13.5617</v>
      </c>
      <c r="AF2490">
        <v>-0.81184752118939896</v>
      </c>
      <c r="AG2490">
        <v>-1.12138522132</v>
      </c>
      <c r="AH2490">
        <v>13.4559267919853</v>
      </c>
      <c r="AI2490">
        <v>94.755279515697694</v>
      </c>
      <c r="AJ2490">
        <v>93.452688088585106</v>
      </c>
      <c r="AK2490">
        <v>13.5269570504058</v>
      </c>
      <c r="AL2490">
        <v>95.932140363875405</v>
      </c>
      <c r="AM2490">
        <v>91.074979735839307</v>
      </c>
      <c r="AN2490">
        <v>0.99999995863239699</v>
      </c>
    </row>
    <row r="2491" spans="1:40" x14ac:dyDescent="0.25">
      <c r="A2491" t="str">
        <f>"20190303154515052"</f>
        <v>20190303154515052</v>
      </c>
      <c r="B2491" t="str">
        <f>"1551599115043026"</f>
        <v>1551599115043026</v>
      </c>
      <c r="C2491" t="s">
        <v>40</v>
      </c>
      <c r="D2491">
        <v>4.947616</v>
      </c>
      <c r="E2491">
        <v>0.48439959999999999</v>
      </c>
      <c r="F2491" t="s">
        <v>41</v>
      </c>
      <c r="G2491">
        <v>-492.3503</v>
      </c>
      <c r="H2491" s="1">
        <v>-1.1246429999999999E-6</v>
      </c>
      <c r="I2491">
        <v>230.75290000000001</v>
      </c>
      <c r="J2491">
        <v>-492.90440000000001</v>
      </c>
      <c r="K2491">
        <v>1.1213919999999999</v>
      </c>
      <c r="L2491">
        <v>244.41820000000001</v>
      </c>
      <c r="M2491">
        <v>-2.010899E-2</v>
      </c>
      <c r="N2491">
        <v>-1.412804E-2</v>
      </c>
      <c r="O2491">
        <v>-0.99969810000000003</v>
      </c>
      <c r="P2491">
        <v>-8.4697509999999995E-4</v>
      </c>
      <c r="Q2491">
        <v>-0.11727170000000001</v>
      </c>
      <c r="R2491">
        <v>-0.99309990000000004</v>
      </c>
      <c r="S2491">
        <v>0.1199341</v>
      </c>
      <c r="T2491">
        <v>-0.24352099999999999</v>
      </c>
      <c r="U2491">
        <v>-2.9922789999999999</v>
      </c>
      <c r="V2491">
        <v>-1.9047999999999999E-2</v>
      </c>
      <c r="W2491">
        <v>-0.1032464</v>
      </c>
      <c r="X2491">
        <v>0.99447339999999995</v>
      </c>
      <c r="Y2491">
        <v>-6.0005559999999999E-2</v>
      </c>
      <c r="Z2491">
        <v>6.6889699999999996E-2</v>
      </c>
      <c r="AA2491">
        <v>0.99595440000000002</v>
      </c>
      <c r="AB2491">
        <v>18</v>
      </c>
      <c r="AC2491">
        <v>0.55410000000000503</v>
      </c>
      <c r="AD2491">
        <v>-1.121393124643</v>
      </c>
      <c r="AE2491">
        <v>-13.6653</v>
      </c>
      <c r="AF2491">
        <v>-0.823275814425245</v>
      </c>
      <c r="AG2491">
        <v>-1.121393124643</v>
      </c>
      <c r="AH2491">
        <v>13.5602271484375</v>
      </c>
      <c r="AI2491">
        <v>94.718795266787197</v>
      </c>
      <c r="AJ2491">
        <v>93.474307633946907</v>
      </c>
      <c r="AK2491">
        <v>13.631399998673499</v>
      </c>
      <c r="AL2491">
        <v>95.926143581261996</v>
      </c>
      <c r="AM2491">
        <v>91.097300917077305</v>
      </c>
      <c r="AN2491">
        <v>0.99999999436225995</v>
      </c>
    </row>
    <row r="2492" spans="1:40" x14ac:dyDescent="0.25">
      <c r="A2492" t="str">
        <f>"20190303154515071"</f>
        <v>20190303154515071</v>
      </c>
      <c r="B2492" t="str">
        <f>"1551599115063521"</f>
        <v>1551599115063521</v>
      </c>
      <c r="C2492" t="s">
        <v>40</v>
      </c>
      <c r="D2492">
        <v>4.9670769999999997</v>
      </c>
      <c r="E2492">
        <v>0.48465049999999998</v>
      </c>
      <c r="F2492" t="s">
        <v>41</v>
      </c>
      <c r="G2492">
        <v>-492.34230000000002</v>
      </c>
      <c r="H2492" s="1">
        <v>-1.0714349999999999E-6</v>
      </c>
      <c r="I2492">
        <v>230.63390000000001</v>
      </c>
      <c r="J2492">
        <v>-492.90690000000001</v>
      </c>
      <c r="K2492">
        <v>1.121402</v>
      </c>
      <c r="L2492">
        <v>244.26570000000001</v>
      </c>
      <c r="M2492">
        <v>-1.9554930000000002E-2</v>
      </c>
      <c r="N2492">
        <v>-1.412442E-2</v>
      </c>
      <c r="O2492">
        <v>-0.99970910000000002</v>
      </c>
      <c r="P2492">
        <v>-1.8811739999999999E-4</v>
      </c>
      <c r="Q2492">
        <v>-0.1176326</v>
      </c>
      <c r="R2492">
        <v>-0.99305739999999998</v>
      </c>
      <c r="S2492">
        <v>0.1220093</v>
      </c>
      <c r="T2492">
        <v>-0.24342440000000001</v>
      </c>
      <c r="U2492">
        <v>-2.9922179999999998</v>
      </c>
      <c r="V2492">
        <v>-1.9152539999999999E-2</v>
      </c>
      <c r="W2492">
        <v>-0.1036121</v>
      </c>
      <c r="X2492">
        <v>0.99443329999999996</v>
      </c>
      <c r="Y2492">
        <v>-6.0142760000000003E-2</v>
      </c>
      <c r="Z2492">
        <v>6.6862930000000001E-2</v>
      </c>
      <c r="AA2492">
        <v>0.9959479</v>
      </c>
      <c r="AB2492">
        <v>18</v>
      </c>
      <c r="AC2492">
        <v>0.564599999999984</v>
      </c>
      <c r="AD2492">
        <v>-1.1214030714350001</v>
      </c>
      <c r="AE2492">
        <v>-13.631799999999901</v>
      </c>
      <c r="AF2492">
        <v>-0.82551055119529804</v>
      </c>
      <c r="AG2492">
        <v>-1.1214030714350001</v>
      </c>
      <c r="AH2492">
        <v>13.526767769997999</v>
      </c>
      <c r="AI2492">
        <v>94.730366324730696</v>
      </c>
      <c r="AJ2492">
        <v>93.492311160731305</v>
      </c>
      <c r="AK2492">
        <v>13.598252050253199</v>
      </c>
      <c r="AL2492">
        <v>95.947209968004302</v>
      </c>
      <c r="AM2492">
        <v>91.103366163393801</v>
      </c>
      <c r="AN2492">
        <v>0.999999937601873</v>
      </c>
    </row>
    <row r="2493" spans="1:40" x14ac:dyDescent="0.25">
      <c r="A2493" t="str">
        <f>"20190303154515105"</f>
        <v>20190303154515105</v>
      </c>
      <c r="B2493" t="str">
        <f>"1551599115092802"</f>
        <v>1551599115092802</v>
      </c>
      <c r="C2493" t="s">
        <v>40</v>
      </c>
      <c r="D2493">
        <v>4.9576200000000004</v>
      </c>
      <c r="E2493">
        <v>0.48484110000000002</v>
      </c>
      <c r="F2493" t="s">
        <v>41</v>
      </c>
      <c r="G2493">
        <v>-492.34679999999997</v>
      </c>
      <c r="H2493" s="1">
        <v>-1.0288819999999999E-6</v>
      </c>
      <c r="I2493">
        <v>230.53190000000001</v>
      </c>
      <c r="J2493">
        <v>-492.91090000000003</v>
      </c>
      <c r="K2493">
        <v>1.1214280000000001</v>
      </c>
      <c r="L2493">
        <v>243.9949</v>
      </c>
      <c r="M2493">
        <v>-1.851448E-2</v>
      </c>
      <c r="N2493">
        <v>-1.411828E-2</v>
      </c>
      <c r="O2493">
        <v>-0.99972919999999998</v>
      </c>
      <c r="P2493">
        <v>-4.9717499999999998E-4</v>
      </c>
      <c r="Q2493">
        <v>-0.1185311</v>
      </c>
      <c r="R2493">
        <v>-0.99295069999999996</v>
      </c>
      <c r="S2493">
        <v>0.1220093</v>
      </c>
      <c r="T2493">
        <v>-0.24431230000000001</v>
      </c>
      <c r="U2493">
        <v>-2.9920810000000002</v>
      </c>
      <c r="V2493">
        <v>-1.7800360000000001E-2</v>
      </c>
      <c r="W2493">
        <v>-0.104518</v>
      </c>
      <c r="X2493">
        <v>0.99436369999999996</v>
      </c>
      <c r="Y2493">
        <v>-5.9105480000000002E-2</v>
      </c>
      <c r="Z2493">
        <v>6.7171629999999996E-2</v>
      </c>
      <c r="AA2493">
        <v>0.99598920000000002</v>
      </c>
      <c r="AB2493">
        <v>18</v>
      </c>
      <c r="AC2493">
        <v>0.564100000000053</v>
      </c>
      <c r="AD2493">
        <v>-1.1214290288819999</v>
      </c>
      <c r="AE2493">
        <v>-13.4629999999999</v>
      </c>
      <c r="AF2493">
        <v>-0.80769421533668795</v>
      </c>
      <c r="AG2493">
        <v>-1.1214290288819999</v>
      </c>
      <c r="AH2493">
        <v>13.3577278717614</v>
      </c>
      <c r="AI2493">
        <v>94.790223934641801</v>
      </c>
      <c r="AJ2493">
        <v>93.460258644364004</v>
      </c>
      <c r="AK2493">
        <v>13.4290307508896</v>
      </c>
      <c r="AL2493">
        <v>95.999397097630194</v>
      </c>
      <c r="AM2493">
        <v>91.025556926793399</v>
      </c>
      <c r="AN2493">
        <v>1.0000000165089</v>
      </c>
    </row>
    <row r="2494" spans="1:40" x14ac:dyDescent="0.25">
      <c r="A2494" t="str">
        <f>"20190303154515125"</f>
        <v>20190303154515125</v>
      </c>
      <c r="B2494" t="str">
        <f>"1551599115113298"</f>
        <v>1551599115113298</v>
      </c>
      <c r="C2494" t="s">
        <v>40</v>
      </c>
      <c r="D2494">
        <v>4.9449740000000002</v>
      </c>
      <c r="E2494">
        <v>0.48504540000000002</v>
      </c>
      <c r="F2494" t="s">
        <v>41</v>
      </c>
      <c r="G2494">
        <v>-492.37110000000001</v>
      </c>
      <c r="H2494" s="1">
        <v>-1.021833E-6</v>
      </c>
      <c r="I2494">
        <v>230.50040000000001</v>
      </c>
      <c r="J2494">
        <v>-492.91320000000002</v>
      </c>
      <c r="K2494">
        <v>1.1214519999999999</v>
      </c>
      <c r="L2494">
        <v>243.82570000000001</v>
      </c>
      <c r="M2494">
        <v>-1.7820249999999999E-2</v>
      </c>
      <c r="N2494">
        <v>-1.411449E-2</v>
      </c>
      <c r="O2494">
        <v>-0.99974160000000001</v>
      </c>
      <c r="P2494">
        <v>-4.1618379999999998E-4</v>
      </c>
      <c r="Q2494">
        <v>-0.1176445</v>
      </c>
      <c r="R2494">
        <v>-0.99305589999999999</v>
      </c>
      <c r="S2494">
        <v>0.1196594</v>
      </c>
      <c r="T2494">
        <v>-0.24861449999999999</v>
      </c>
      <c r="U2494">
        <v>-2.9916689999999999</v>
      </c>
      <c r="V2494">
        <v>-1.718888E-2</v>
      </c>
      <c r="W2494">
        <v>-0.103634</v>
      </c>
      <c r="X2494">
        <v>0.99446699999999999</v>
      </c>
      <c r="Y2494">
        <v>-5.7633249999999997E-2</v>
      </c>
      <c r="Z2494">
        <v>6.8616159999999995E-2</v>
      </c>
      <c r="AA2494">
        <v>0.995977</v>
      </c>
      <c r="AB2494">
        <v>18</v>
      </c>
      <c r="AC2494">
        <v>0.54210000000000402</v>
      </c>
      <c r="AD2494">
        <v>-1.1214530218330001</v>
      </c>
      <c r="AE2494">
        <v>-13.3253</v>
      </c>
      <c r="AF2494">
        <v>-0.77402448688636905</v>
      </c>
      <c r="AG2494">
        <v>-1.1214530218330001</v>
      </c>
      <c r="AH2494">
        <v>13.220041404602799</v>
      </c>
      <c r="AI2494">
        <v>94.840528931750896</v>
      </c>
      <c r="AJ2494">
        <v>93.350803771938004</v>
      </c>
      <c r="AK2494">
        <v>13.2900814717551</v>
      </c>
      <c r="AL2494">
        <v>95.948470932866002</v>
      </c>
      <c r="AM2494">
        <v>90.990231169051995</v>
      </c>
      <c r="AN2494">
        <v>1.0000000388203201</v>
      </c>
    </row>
    <row r="2495" spans="1:40" x14ac:dyDescent="0.25">
      <c r="A2495" t="str">
        <f>"20190303154515148"</f>
        <v>20190303154515148</v>
      </c>
      <c r="B2495" t="str">
        <f>"1551599115143554"</f>
        <v>1551599115143554</v>
      </c>
      <c r="C2495" t="s">
        <v>40</v>
      </c>
      <c r="D2495">
        <v>5.0967890000000002</v>
      </c>
      <c r="E2495">
        <v>0.48535139999999999</v>
      </c>
      <c r="F2495" t="s">
        <v>41</v>
      </c>
      <c r="G2495">
        <v>-492.37389999999999</v>
      </c>
      <c r="H2495" s="1">
        <v>-8.8429880000000004E-7</v>
      </c>
      <c r="I2495">
        <v>230.1781</v>
      </c>
      <c r="J2495">
        <v>-492.91550000000001</v>
      </c>
      <c r="K2495">
        <v>1.1214869999999999</v>
      </c>
      <c r="L2495">
        <v>243.6472</v>
      </c>
      <c r="M2495">
        <v>-1.7052890000000001E-2</v>
      </c>
      <c r="N2495">
        <v>-1.4110630000000001E-2</v>
      </c>
      <c r="O2495">
        <v>-0.99975530000000001</v>
      </c>
      <c r="P2495" s="1">
        <v>-9.7743630000000006E-5</v>
      </c>
      <c r="Q2495">
        <v>-0.1153622</v>
      </c>
      <c r="R2495">
        <v>-0.99332379999999998</v>
      </c>
      <c r="S2495">
        <v>0.1182251</v>
      </c>
      <c r="T2495">
        <v>-0.24585029999999999</v>
      </c>
      <c r="U2495">
        <v>-2.9919129999999998</v>
      </c>
      <c r="V2495">
        <v>-1.6746609999999999E-2</v>
      </c>
      <c r="W2495">
        <v>-0.10135230000000001</v>
      </c>
      <c r="X2495">
        <v>0.99470959999999997</v>
      </c>
      <c r="Y2495">
        <v>-5.6390669999999997E-2</v>
      </c>
      <c r="Z2495">
        <v>6.7704739999999999E-2</v>
      </c>
      <c r="AA2495">
        <v>0.99611050000000001</v>
      </c>
      <c r="AB2495">
        <v>18</v>
      </c>
      <c r="AC2495">
        <v>0.54160000000001596</v>
      </c>
      <c r="AD2495">
        <v>-1.1214878842988001</v>
      </c>
      <c r="AE2495">
        <v>-13.4690999999999</v>
      </c>
      <c r="AF2495">
        <v>-0.76592960897248596</v>
      </c>
      <c r="AG2495">
        <v>-1.1214878842988001</v>
      </c>
      <c r="AH2495">
        <v>13.365393557407501</v>
      </c>
      <c r="AI2495">
        <v>94.788623027930001</v>
      </c>
      <c r="AJ2495">
        <v>93.2798576479329</v>
      </c>
      <c r="AK2495">
        <v>13.434214833213</v>
      </c>
      <c r="AL2495">
        <v>95.817047454442104</v>
      </c>
      <c r="AM2495">
        <v>90.964522142987505</v>
      </c>
      <c r="AN2495">
        <v>0.99999996299697003</v>
      </c>
    </row>
    <row r="2496" spans="1:40" x14ac:dyDescent="0.25">
      <c r="A2496" t="str">
        <f>"20190303154515169"</f>
        <v>20190303154515169</v>
      </c>
      <c r="B2496" t="str">
        <f>"1551599115163074"</f>
        <v>1551599115163074</v>
      </c>
      <c r="C2496" t="s">
        <v>40</v>
      </c>
      <c r="D2496">
        <v>4.9376709999999999</v>
      </c>
      <c r="E2496">
        <v>0.48541410000000002</v>
      </c>
      <c r="F2496" t="s">
        <v>41</v>
      </c>
      <c r="G2496">
        <v>-492.37169999999998</v>
      </c>
      <c r="H2496" s="1">
        <v>-6.5418520000000002E-7</v>
      </c>
      <c r="I2496">
        <v>229.643</v>
      </c>
      <c r="J2496">
        <v>-492.91750000000002</v>
      </c>
      <c r="K2496">
        <v>1.1215139999999999</v>
      </c>
      <c r="L2496">
        <v>243.46789999999999</v>
      </c>
      <c r="M2496">
        <v>-1.6242360000000001E-2</v>
      </c>
      <c r="N2496">
        <v>-1.410668E-2</v>
      </c>
      <c r="O2496">
        <v>-0.99976889999999996</v>
      </c>
      <c r="P2496">
        <v>1.3756770000000001E-3</v>
      </c>
      <c r="Q2496">
        <v>-0.113422</v>
      </c>
      <c r="R2496">
        <v>-0.99354629999999999</v>
      </c>
      <c r="S2496">
        <v>0.1161804</v>
      </c>
      <c r="T2496">
        <v>-0.23963139999999999</v>
      </c>
      <c r="U2496">
        <v>-2.9923250000000001</v>
      </c>
      <c r="V2496">
        <v>-1.7415489999999999E-2</v>
      </c>
      <c r="W2496">
        <v>-9.9414649999999993E-2</v>
      </c>
      <c r="X2496">
        <v>0.99489369999999999</v>
      </c>
      <c r="Y2496">
        <v>-5.4903340000000002E-2</v>
      </c>
      <c r="Z2496">
        <v>6.5646579999999996E-2</v>
      </c>
      <c r="AA2496">
        <v>0.99633130000000003</v>
      </c>
      <c r="AB2496">
        <v>18</v>
      </c>
      <c r="AC2496">
        <v>0.54580000000004203</v>
      </c>
      <c r="AD2496">
        <v>-1.1215146541851999</v>
      </c>
      <c r="AE2496">
        <v>-13.8248999999999</v>
      </c>
      <c r="AF2496">
        <v>-0.76527091858358398</v>
      </c>
      <c r="AG2496">
        <v>-1.1215146541851999</v>
      </c>
      <c r="AH2496">
        <v>13.724033884044401</v>
      </c>
      <c r="AI2496">
        <v>94.664560116504504</v>
      </c>
      <c r="AJ2496">
        <v>93.191585947799297</v>
      </c>
      <c r="AK2496">
        <v>13.7910311706116</v>
      </c>
      <c r="AL2496">
        <v>95.705464296228797</v>
      </c>
      <c r="AM2496">
        <v>91.002853043391795</v>
      </c>
      <c r="AN2496">
        <v>1.0000000231131201</v>
      </c>
    </row>
    <row r="2497" spans="1:40" x14ac:dyDescent="0.25">
      <c r="A2497" t="str">
        <f>"20190303154515192"</f>
        <v>20190303154515192</v>
      </c>
      <c r="B2497" t="str">
        <f>"1551599115183570"</f>
        <v>1551599115183570</v>
      </c>
      <c r="C2497" t="s">
        <v>40</v>
      </c>
      <c r="D2497">
        <v>4.9181549999999996</v>
      </c>
      <c r="E2497">
        <v>0.48549599999999998</v>
      </c>
      <c r="F2497" t="s">
        <v>54</v>
      </c>
      <c r="G2497">
        <v>-492.34280000000001</v>
      </c>
      <c r="H2497" s="1">
        <v>5.9056029999999997E-6</v>
      </c>
      <c r="I2497">
        <v>229.19739999999999</v>
      </c>
      <c r="J2497">
        <v>-492.9194</v>
      </c>
      <c r="K2497">
        <v>1.121534</v>
      </c>
      <c r="L2497">
        <v>243.29079999999999</v>
      </c>
      <c r="M2497">
        <v>-1.540213E-2</v>
      </c>
      <c r="N2497">
        <v>-1.410279E-2</v>
      </c>
      <c r="O2497">
        <v>-0.99978199999999995</v>
      </c>
      <c r="P2497">
        <v>2.8207990000000001E-3</v>
      </c>
      <c r="Q2497">
        <v>-0.1124193</v>
      </c>
      <c r="R2497">
        <v>-0.99365709999999996</v>
      </c>
      <c r="S2497">
        <v>0.12051389999999999</v>
      </c>
      <c r="T2497">
        <v>-0.23517759999999999</v>
      </c>
      <c r="U2497">
        <v>-2.9924930000000001</v>
      </c>
      <c r="V2497">
        <v>-1.8024040000000002E-2</v>
      </c>
      <c r="W2497">
        <v>-9.841598E-2</v>
      </c>
      <c r="X2497">
        <v>0.99498209999999998</v>
      </c>
      <c r="Y2497">
        <v>-5.5506630000000001E-2</v>
      </c>
      <c r="Z2497">
        <v>6.4170160000000004E-2</v>
      </c>
      <c r="AA2497">
        <v>0.99639409999999895</v>
      </c>
      <c r="AB2497">
        <v>18</v>
      </c>
      <c r="AC2497">
        <v>0.57659999999998401</v>
      </c>
      <c r="AD2497">
        <v>-1.1215280943970001</v>
      </c>
      <c r="AE2497">
        <v>-14.093400000000001</v>
      </c>
      <c r="AF2497">
        <v>-0.78863569513920195</v>
      </c>
      <c r="AG2497">
        <v>-1.1215280943970001</v>
      </c>
      <c r="AH2497">
        <v>13.994372124438099</v>
      </c>
      <c r="AI2497">
        <v>94.574741847028804</v>
      </c>
      <c r="AJ2497">
        <v>93.225421966556297</v>
      </c>
      <c r="AK2497">
        <v>14.061373428062399</v>
      </c>
      <c r="AL2497">
        <v>95.647962994235101</v>
      </c>
      <c r="AM2497">
        <v>91.0377960400875</v>
      </c>
      <c r="AN2497">
        <v>0.99999997522884498</v>
      </c>
    </row>
    <row r="2498" spans="1:40" x14ac:dyDescent="0.25">
      <c r="A2498" t="str">
        <f>"20190303154515226"</f>
        <v>20190303154515226</v>
      </c>
      <c r="B2498" t="str">
        <f>"1551599115223586"</f>
        <v>1551599115223586</v>
      </c>
      <c r="C2498" t="s">
        <v>40</v>
      </c>
      <c r="D2498">
        <v>5.0122809999999998</v>
      </c>
      <c r="E2498">
        <v>0.48557919999999999</v>
      </c>
      <c r="F2498" t="s">
        <v>54</v>
      </c>
      <c r="G2498">
        <v>-492.32229999999998</v>
      </c>
      <c r="H2498" s="1">
        <v>5.8493750000000002E-6</v>
      </c>
      <c r="I2498">
        <v>228.91829999999999</v>
      </c>
      <c r="J2498">
        <v>-492.92200000000003</v>
      </c>
      <c r="K2498">
        <v>1.1215630000000001</v>
      </c>
      <c r="L2498">
        <v>243.01939999999999</v>
      </c>
      <c r="M2498">
        <v>-1.404683E-2</v>
      </c>
      <c r="N2498">
        <v>-1.4096869999999999E-2</v>
      </c>
      <c r="O2498">
        <v>-0.99980190000000002</v>
      </c>
      <c r="P2498">
        <v>5.1921420000000003E-3</v>
      </c>
      <c r="Q2498">
        <v>-0.1124541</v>
      </c>
      <c r="R2498">
        <v>-0.99364330000000001</v>
      </c>
      <c r="S2498">
        <v>0.1243286</v>
      </c>
      <c r="T2498">
        <v>-0.2335035</v>
      </c>
      <c r="U2498">
        <v>-2.9923860000000002</v>
      </c>
      <c r="V2498">
        <v>-1.9041639999999999E-2</v>
      </c>
      <c r="W2498">
        <v>-9.8459210000000005E-2</v>
      </c>
      <c r="X2498">
        <v>0.99495889999999998</v>
      </c>
      <c r="Y2498">
        <v>-5.5424399999999999E-2</v>
      </c>
      <c r="Z2498">
        <v>6.3625420000000002E-2</v>
      </c>
      <c r="AA2498">
        <v>0.99643360000000003</v>
      </c>
      <c r="AB2498">
        <v>18</v>
      </c>
      <c r="AC2498">
        <v>0.59969999999998402</v>
      </c>
      <c r="AD2498">
        <v>-1.1215571506249999</v>
      </c>
      <c r="AE2498">
        <v>-14.101100000000001</v>
      </c>
      <c r="AF2498">
        <v>-0.79273042478880595</v>
      </c>
      <c r="AG2498">
        <v>-1.1215571506249999</v>
      </c>
      <c r="AH2498">
        <v>14.0028600432552</v>
      </c>
      <c r="AI2498">
        <v>94.572032346154003</v>
      </c>
      <c r="AJ2498">
        <v>93.240172217758399</v>
      </c>
      <c r="AK2498">
        <v>14.070053353114799</v>
      </c>
      <c r="AL2498">
        <v>95.650451802644994</v>
      </c>
      <c r="AM2498">
        <v>91.096399495794401</v>
      </c>
      <c r="AN2498">
        <v>1.00000000638846</v>
      </c>
    </row>
    <row r="2499" spans="1:40" x14ac:dyDescent="0.25">
      <c r="A2499" t="str">
        <f>"20190303154515247"</f>
        <v>20190303154515247</v>
      </c>
      <c r="B2499" t="str">
        <f>"1551599115243106"</f>
        <v>1551599115243106</v>
      </c>
      <c r="C2499" t="s">
        <v>40</v>
      </c>
      <c r="D2499">
        <v>4.8565639999999997</v>
      </c>
      <c r="E2499">
        <v>0.44070549999999997</v>
      </c>
      <c r="F2499" t="s">
        <v>54</v>
      </c>
      <c r="G2499">
        <v>-492.2971</v>
      </c>
      <c r="H2499" s="1">
        <v>5.804627E-6</v>
      </c>
      <c r="I2499">
        <v>228.68559999999999</v>
      </c>
      <c r="J2499">
        <v>-492.92329999999998</v>
      </c>
      <c r="K2499">
        <v>1.1215820000000001</v>
      </c>
      <c r="L2499">
        <v>242.84780000000001</v>
      </c>
      <c r="M2499">
        <v>-1.315857E-2</v>
      </c>
      <c r="N2499">
        <v>-1.4093E-2</v>
      </c>
      <c r="O2499">
        <v>-0.99981410000000004</v>
      </c>
      <c r="P2499">
        <v>6.4152660000000002E-3</v>
      </c>
      <c r="Q2499">
        <v>-0.1131486</v>
      </c>
      <c r="R2499">
        <v>-0.99355749999999998</v>
      </c>
      <c r="S2499">
        <v>0.1304321</v>
      </c>
      <c r="T2499">
        <v>-0.23411180000000001</v>
      </c>
      <c r="U2499">
        <v>-2.9920040000000001</v>
      </c>
      <c r="V2499">
        <v>-1.9377599999999998E-2</v>
      </c>
      <c r="W2499">
        <v>-9.9159540000000004E-2</v>
      </c>
      <c r="X2499">
        <v>0.99488290000000001</v>
      </c>
      <c r="Y2499">
        <v>-5.6570170000000003E-2</v>
      </c>
      <c r="Z2499">
        <v>6.3836160000000003E-2</v>
      </c>
      <c r="AA2499">
        <v>0.99635569999999896</v>
      </c>
      <c r="AB2499">
        <v>18</v>
      </c>
      <c r="AC2499">
        <v>0.62619999999998299</v>
      </c>
      <c r="AD2499">
        <v>-1.1215761953729999</v>
      </c>
      <c r="AE2499">
        <v>-14.1622</v>
      </c>
      <c r="AF2499">
        <v>-0.80746416601492998</v>
      </c>
      <c r="AG2499">
        <v>-1.1215761953729999</v>
      </c>
      <c r="AH2499">
        <v>14.064693295462501</v>
      </c>
      <c r="AI2499">
        <v>94.5518880119496</v>
      </c>
      <c r="AJ2499">
        <v>93.285785138960406</v>
      </c>
      <c r="AK2499">
        <v>14.1324282781429</v>
      </c>
      <c r="AL2499">
        <v>95.690774861531395</v>
      </c>
      <c r="AM2499">
        <v>91.115824115760205</v>
      </c>
      <c r="AN2499">
        <v>1.00000004523358</v>
      </c>
    </row>
    <row r="2500" spans="1:40" x14ac:dyDescent="0.25">
      <c r="A2500" t="str">
        <f>"20190303154515271"</f>
        <v>20190303154515271</v>
      </c>
      <c r="B2500" t="str">
        <f>"1551599115263602"</f>
        <v>1551599115263602</v>
      </c>
      <c r="C2500" t="s">
        <v>40</v>
      </c>
      <c r="D2500">
        <v>4.8578270000000003</v>
      </c>
      <c r="E2500">
        <v>0.4335444</v>
      </c>
      <c r="F2500" t="s">
        <v>54</v>
      </c>
      <c r="G2500">
        <v>-490.64069999999998</v>
      </c>
      <c r="H2500" s="1">
        <v>6.2871679999999997E-6</v>
      </c>
      <c r="I2500">
        <v>228.98929999999999</v>
      </c>
      <c r="J2500">
        <v>-492.9246</v>
      </c>
      <c r="K2500">
        <v>1.121586</v>
      </c>
      <c r="L2500">
        <v>242.6584</v>
      </c>
      <c r="M2500">
        <v>-1.216094E-2</v>
      </c>
      <c r="N2500">
        <v>-1.408863E-2</v>
      </c>
      <c r="O2500">
        <v>-0.99982669999999996</v>
      </c>
      <c r="P2500">
        <v>8.2380879999999993E-3</v>
      </c>
      <c r="Q2500">
        <v>-0.1131799</v>
      </c>
      <c r="R2500">
        <v>-0.99354050000000005</v>
      </c>
      <c r="S2500">
        <v>0.49227910000000002</v>
      </c>
      <c r="T2500">
        <v>-0.24188029999999999</v>
      </c>
      <c r="U2500">
        <v>-2.9887389999999998</v>
      </c>
      <c r="V2500">
        <v>-2.0207240000000001E-2</v>
      </c>
      <c r="W2500">
        <v>-9.9196720000000002E-2</v>
      </c>
      <c r="X2500">
        <v>0.99486260000000004</v>
      </c>
      <c r="Y2500">
        <v>-0.1740466</v>
      </c>
      <c r="Z2500">
        <v>6.5445009999999998E-2</v>
      </c>
      <c r="AA2500">
        <v>0.98256030000000005</v>
      </c>
      <c r="AB2500">
        <v>18</v>
      </c>
      <c r="AC2500">
        <v>2.2839000000000098</v>
      </c>
      <c r="AD2500">
        <v>-1.121579712832</v>
      </c>
      <c r="AE2500">
        <v>-13.6691</v>
      </c>
      <c r="AF2500">
        <v>-2.4340344732603301</v>
      </c>
      <c r="AG2500">
        <v>-1.121579712832</v>
      </c>
      <c r="AH2500">
        <v>13.551553101139699</v>
      </c>
      <c r="AI2500">
        <v>94.657052221896294</v>
      </c>
      <c r="AJ2500">
        <v>100.182492084457</v>
      </c>
      <c r="AK2500">
        <v>13.814016661429999</v>
      </c>
      <c r="AL2500">
        <v>95.692916175378102</v>
      </c>
      <c r="AM2500">
        <v>91.163608308867396</v>
      </c>
      <c r="AN2500">
        <v>0.99999995734296698</v>
      </c>
    </row>
    <row r="2501" spans="1:40" x14ac:dyDescent="0.25">
      <c r="A2501" t="str">
        <f>"20190303154515293"</f>
        <v>20190303154515293</v>
      </c>
      <c r="B2501" t="str">
        <f>"1551599115283122"</f>
        <v>1551599115283122</v>
      </c>
      <c r="C2501" t="s">
        <v>40</v>
      </c>
      <c r="D2501">
        <v>4.8646200000000004</v>
      </c>
      <c r="E2501">
        <v>0.43059520000000001</v>
      </c>
      <c r="F2501" t="s">
        <v>54</v>
      </c>
      <c r="G2501">
        <v>-490.29059999999998</v>
      </c>
      <c r="H2501" s="1">
        <v>6.2024069999999899E-6</v>
      </c>
      <c r="I2501">
        <v>228.46510000000001</v>
      </c>
      <c r="J2501">
        <v>-492.92570000000001</v>
      </c>
      <c r="K2501">
        <v>1.1215850000000001</v>
      </c>
      <c r="L2501">
        <v>242.47989999999999</v>
      </c>
      <c r="M2501">
        <v>-1.1208249999999999E-2</v>
      </c>
      <c r="N2501">
        <v>-1.4084309999999999E-2</v>
      </c>
      <c r="O2501">
        <v>-0.99983820000000001</v>
      </c>
      <c r="P2501">
        <v>9.9379450000000001E-3</v>
      </c>
      <c r="Q2501">
        <v>-0.113107399999999</v>
      </c>
      <c r="R2501">
        <v>-0.99353329999999995</v>
      </c>
      <c r="S2501">
        <v>0.55450440000000001</v>
      </c>
      <c r="T2501">
        <v>-0.23611579999999999</v>
      </c>
      <c r="U2501">
        <v>-2.9879910000000001</v>
      </c>
      <c r="V2501">
        <v>-2.096023E-2</v>
      </c>
      <c r="W2501">
        <v>-9.9129540000000002E-2</v>
      </c>
      <c r="X2501">
        <v>0.99485369999999995</v>
      </c>
      <c r="Y2501">
        <v>-0.19298190000000001</v>
      </c>
      <c r="Z2501">
        <v>6.330848E-2</v>
      </c>
      <c r="AA2501">
        <v>0.97915779999999997</v>
      </c>
      <c r="AB2501">
        <v>18</v>
      </c>
      <c r="AC2501">
        <v>2.63510000000002</v>
      </c>
      <c r="AD2501">
        <v>-1.1215787975929901</v>
      </c>
      <c r="AE2501">
        <v>-14.0147999999999</v>
      </c>
      <c r="AF2501">
        <v>-2.7748665416593399</v>
      </c>
      <c r="AG2501">
        <v>-1.1215787975929901</v>
      </c>
      <c r="AH2501">
        <v>13.898408607973</v>
      </c>
      <c r="AI2501">
        <v>94.524758852544394</v>
      </c>
      <c r="AJ2501">
        <v>101.290844244062</v>
      </c>
      <c r="AK2501">
        <v>14.217017449430401</v>
      </c>
      <c r="AL2501">
        <v>95.689048074289801</v>
      </c>
      <c r="AM2501">
        <v>91.206966482234293</v>
      </c>
      <c r="AN2501">
        <v>0.99999994067297504</v>
      </c>
    </row>
    <row r="2502" spans="1:40" x14ac:dyDescent="0.25">
      <c r="A2502" t="str">
        <f>"20190303154515317"</f>
        <v>20190303154515317</v>
      </c>
      <c r="B2502" t="str">
        <f>"1551599115313379"</f>
        <v>1551599115313379</v>
      </c>
      <c r="C2502" t="s">
        <v>40</v>
      </c>
      <c r="D2502">
        <v>4.8844719999999997</v>
      </c>
      <c r="E2502">
        <v>0.42873220000000001</v>
      </c>
      <c r="F2502" t="s">
        <v>54</v>
      </c>
      <c r="G2502">
        <v>-490.19760000000002</v>
      </c>
      <c r="H2502" s="1">
        <v>6.2395320000000002E-6</v>
      </c>
      <c r="I2502">
        <v>228.51840000000001</v>
      </c>
      <c r="J2502">
        <v>-492.92649999999998</v>
      </c>
      <c r="K2502">
        <v>1.1215759999999999</v>
      </c>
      <c r="L2502">
        <v>242.29830000000001</v>
      </c>
      <c r="M2502">
        <v>-1.022955E-2</v>
      </c>
      <c r="N2502">
        <v>-1.407986E-2</v>
      </c>
      <c r="O2502">
        <v>-0.99984859999999998</v>
      </c>
      <c r="P2502">
        <v>1.182248E-2</v>
      </c>
      <c r="Q2502">
        <v>-0.1139487</v>
      </c>
      <c r="R2502">
        <v>-0.99341659999999998</v>
      </c>
      <c r="S2502">
        <v>0.58352660000000001</v>
      </c>
      <c r="T2502">
        <v>-0.2399057</v>
      </c>
      <c r="U2502">
        <v>-2.9863740000000001</v>
      </c>
      <c r="V2502">
        <v>-2.1871069999999999E-2</v>
      </c>
      <c r="W2502">
        <v>-9.9977709999999997E-2</v>
      </c>
      <c r="X2502">
        <v>0.9947492</v>
      </c>
      <c r="Y2502">
        <v>-0.2012708</v>
      </c>
      <c r="Z2502">
        <v>6.4455239999999997E-2</v>
      </c>
      <c r="AA2502">
        <v>0.97741270000000002</v>
      </c>
      <c r="AB2502">
        <v>18</v>
      </c>
      <c r="AC2502">
        <v>2.7288999999999501</v>
      </c>
      <c r="AD2502">
        <v>-1.1215697604679999</v>
      </c>
      <c r="AE2502">
        <v>-13.7798999999999</v>
      </c>
      <c r="AF2502">
        <v>-2.8515557629411199</v>
      </c>
      <c r="AG2502">
        <v>-1.1215697604679999</v>
      </c>
      <c r="AH2502">
        <v>13.6641569401522</v>
      </c>
      <c r="AI2502">
        <v>94.593854402098501</v>
      </c>
      <c r="AJ2502">
        <v>101.787804062277</v>
      </c>
      <c r="AK2502">
        <v>14.0035164827221</v>
      </c>
      <c r="AL2502">
        <v>95.737887333223796</v>
      </c>
      <c r="AM2502">
        <v>91.259531689683101</v>
      </c>
      <c r="AN2502">
        <v>0.99999992855021103</v>
      </c>
    </row>
    <row r="2503" spans="1:40" x14ac:dyDescent="0.25">
      <c r="A2503" t="str">
        <f>"20190303154515337"</f>
        <v>20190303154515337</v>
      </c>
      <c r="B2503" t="str">
        <f>"1551599115332898"</f>
        <v>1551599115332898</v>
      </c>
      <c r="C2503" t="s">
        <v>40</v>
      </c>
      <c r="D2503">
        <v>4.8709509999999998</v>
      </c>
      <c r="E2503">
        <v>0.42790889999999998</v>
      </c>
      <c r="F2503" t="s">
        <v>54</v>
      </c>
      <c r="G2503">
        <v>-490.0994</v>
      </c>
      <c r="H2503" s="1">
        <v>6.2007639999999998E-6</v>
      </c>
      <c r="I2503">
        <v>228.3229</v>
      </c>
      <c r="J2503">
        <v>-492.9271</v>
      </c>
      <c r="K2503">
        <v>1.121567</v>
      </c>
      <c r="L2503">
        <v>242.13480000000001</v>
      </c>
      <c r="M2503">
        <v>-9.3394380000000003E-3</v>
      </c>
      <c r="N2503">
        <v>-1.4075819999999999E-2</v>
      </c>
      <c r="O2503">
        <v>-0.99985740000000001</v>
      </c>
      <c r="P2503">
        <v>1.332879E-2</v>
      </c>
      <c r="Q2503">
        <v>-0.1141924</v>
      </c>
      <c r="R2503">
        <v>-0.99336950000000002</v>
      </c>
      <c r="S2503">
        <v>0.60388180000000002</v>
      </c>
      <c r="T2503">
        <v>-0.2395728</v>
      </c>
      <c r="U2503">
        <v>-2.985214</v>
      </c>
      <c r="V2503">
        <v>-2.2492829999999998E-2</v>
      </c>
      <c r="W2503">
        <v>-0.1002266</v>
      </c>
      <c r="X2503">
        <v>0.99471039999999999</v>
      </c>
      <c r="Y2503">
        <v>-0.2068768</v>
      </c>
      <c r="Z2503">
        <v>6.4284809999999998E-2</v>
      </c>
      <c r="AA2503">
        <v>0.97625269999999997</v>
      </c>
      <c r="AB2503">
        <v>18</v>
      </c>
      <c r="AC2503">
        <v>2.8276999999999899</v>
      </c>
      <c r="AD2503">
        <v>-1.1215607992359999</v>
      </c>
      <c r="AE2503">
        <v>-13.8119</v>
      </c>
      <c r="AF2503">
        <v>-2.9379914625255399</v>
      </c>
      <c r="AG2503">
        <v>-1.1215607992359999</v>
      </c>
      <c r="AH2503">
        <v>13.698195503242999</v>
      </c>
      <c r="AI2503">
        <v>94.577102785063204</v>
      </c>
      <c r="AJ2503">
        <v>102.105409654577</v>
      </c>
      <c r="AK2503">
        <v>14.054545617177499</v>
      </c>
      <c r="AL2503">
        <v>95.752219030562898</v>
      </c>
      <c r="AM2503">
        <v>91.295376665448202</v>
      </c>
      <c r="AN2503">
        <v>1.00000003930856</v>
      </c>
    </row>
    <row r="2504" spans="1:40" x14ac:dyDescent="0.25">
      <c r="A2504" t="str">
        <f>"20190303154515360"</f>
        <v>20190303154515360</v>
      </c>
      <c r="B2504" t="str">
        <f>"1551599115353394"</f>
        <v>1551599115353394</v>
      </c>
      <c r="C2504" t="s">
        <v>40</v>
      </c>
      <c r="D2504">
        <v>4.8499679999999996</v>
      </c>
      <c r="E2504">
        <v>0.42749870000000001</v>
      </c>
      <c r="F2504" t="s">
        <v>54</v>
      </c>
      <c r="G2504">
        <v>-490.05630000000002</v>
      </c>
      <c r="H2504" s="1">
        <v>6.1741199999999996E-6</v>
      </c>
      <c r="I2504">
        <v>228.20609999999999</v>
      </c>
      <c r="J2504">
        <v>-492.92759999999998</v>
      </c>
      <c r="K2504">
        <v>1.1215599999999999</v>
      </c>
      <c r="L2504">
        <v>241.95859999999999</v>
      </c>
      <c r="M2504">
        <v>-8.3691809999999998E-3</v>
      </c>
      <c r="N2504">
        <v>-1.40714E-2</v>
      </c>
      <c r="O2504">
        <v>-0.99986620000000004</v>
      </c>
      <c r="P2504">
        <v>1.47209E-2</v>
      </c>
      <c r="Q2504">
        <v>-0.11462310000000001</v>
      </c>
      <c r="R2504">
        <v>-0.99330039999999997</v>
      </c>
      <c r="S2504">
        <v>0.61505129999999997</v>
      </c>
      <c r="T2504">
        <v>-0.2402859</v>
      </c>
      <c r="U2504">
        <v>-2.9841310000000001</v>
      </c>
      <c r="V2504">
        <v>-2.292011E-2</v>
      </c>
      <c r="W2504">
        <v>-0.100663</v>
      </c>
      <c r="X2504">
        <v>0.9946566</v>
      </c>
      <c r="Y2504">
        <v>-0.20949860000000001</v>
      </c>
      <c r="Z2504">
        <v>6.450003E-2</v>
      </c>
      <c r="AA2504">
        <v>0.97567930000000003</v>
      </c>
      <c r="AB2504">
        <v>18</v>
      </c>
      <c r="AC2504">
        <v>2.8712999999999602</v>
      </c>
      <c r="AD2504">
        <v>-1.12155382588</v>
      </c>
      <c r="AE2504">
        <v>-13.7524999999999</v>
      </c>
      <c r="AF2504">
        <v>-2.96739661107565</v>
      </c>
      <c r="AG2504">
        <v>-1.12155382588</v>
      </c>
      <c r="AH2504">
        <v>13.641050480124299</v>
      </c>
      <c r="AI2504">
        <v>94.593283048658506</v>
      </c>
      <c r="AJ2504">
        <v>102.272597797652</v>
      </c>
      <c r="AK2504">
        <v>14.005055652623099</v>
      </c>
      <c r="AL2504">
        <v>95.777349876069195</v>
      </c>
      <c r="AM2504">
        <v>91.320046743840393</v>
      </c>
      <c r="AN2504">
        <v>1.00000006146748</v>
      </c>
    </row>
    <row r="2505" spans="1:40" x14ac:dyDescent="0.25">
      <c r="A2505" t="str">
        <f>"20190303154515382"</f>
        <v>20190303154515382</v>
      </c>
      <c r="B2505" t="str">
        <f>"1551599115372914"</f>
        <v>1551599115372914</v>
      </c>
      <c r="C2505" t="s">
        <v>40</v>
      </c>
      <c r="D2505">
        <v>4.7942030000000004</v>
      </c>
      <c r="E2505">
        <v>0.4271587</v>
      </c>
      <c r="F2505" t="s">
        <v>54</v>
      </c>
      <c r="G2505">
        <v>-490.05</v>
      </c>
      <c r="H2505" s="1">
        <v>6.1610599999999999E-6</v>
      </c>
      <c r="I2505">
        <v>228.15940000000001</v>
      </c>
      <c r="J2505">
        <v>-492.92790000000002</v>
      </c>
      <c r="K2505">
        <v>1.1215790000000001</v>
      </c>
      <c r="L2505">
        <v>241.7826</v>
      </c>
      <c r="M2505">
        <v>-7.3818490000000002E-3</v>
      </c>
      <c r="N2505">
        <v>-1.4067029999999999E-2</v>
      </c>
      <c r="O2505">
        <v>-0.99987389999999998</v>
      </c>
      <c r="P2505">
        <v>1.533762E-2</v>
      </c>
      <c r="Q2505">
        <v>-0.11429889999999999</v>
      </c>
      <c r="R2505">
        <v>-0.99332830000000005</v>
      </c>
      <c r="S2505">
        <v>0.62207029999999996</v>
      </c>
      <c r="T2505">
        <v>-0.24245259999999999</v>
      </c>
      <c r="U2505">
        <v>-2.983063</v>
      </c>
      <c r="V2505">
        <v>-2.2554689999999999E-2</v>
      </c>
      <c r="W2505">
        <v>-0.1003425</v>
      </c>
      <c r="X2505">
        <v>0.99469730000000001</v>
      </c>
      <c r="Y2505">
        <v>-0.2107919</v>
      </c>
      <c r="Z2505">
        <v>6.5209009999999998E-2</v>
      </c>
      <c r="AA2505">
        <v>0.97535349999999998</v>
      </c>
      <c r="AB2505">
        <v>18</v>
      </c>
      <c r="AC2505">
        <v>2.8779000000000101</v>
      </c>
      <c r="AD2505">
        <v>-1.1215728389399999</v>
      </c>
      <c r="AE2505">
        <v>-13.623199999999899</v>
      </c>
      <c r="AF2505">
        <v>-2.95919556219429</v>
      </c>
      <c r="AG2505">
        <v>-1.1215728389399999</v>
      </c>
      <c r="AH2505">
        <v>13.5138992354966</v>
      </c>
      <c r="AI2505">
        <v>94.635007078030597</v>
      </c>
      <c r="AJ2505">
        <v>102.35134696729401</v>
      </c>
      <c r="AK2505">
        <v>13.8794897800861</v>
      </c>
      <c r="AL2505">
        <v>95.758893340029701</v>
      </c>
      <c r="AM2505">
        <v>91.298955105018393</v>
      </c>
      <c r="AN2505">
        <v>1.00000002498726</v>
      </c>
    </row>
    <row r="2506" spans="1:40" x14ac:dyDescent="0.25">
      <c r="A2506" t="str">
        <f>"20190303154515405"</f>
        <v>20190303154515405</v>
      </c>
      <c r="B2506" t="str">
        <f>"1551599115393414"</f>
        <v>1551599115393414</v>
      </c>
      <c r="C2506" t="s">
        <v>40</v>
      </c>
      <c r="D2506">
        <v>4.8168329999999999</v>
      </c>
      <c r="E2506">
        <v>0.42686780000000002</v>
      </c>
      <c r="F2506" t="s">
        <v>54</v>
      </c>
      <c r="G2506">
        <v>-490.02640000000002</v>
      </c>
      <c r="H2506" s="1">
        <v>6.1090630000000001E-6</v>
      </c>
      <c r="I2506">
        <v>227.97470000000001</v>
      </c>
      <c r="J2506">
        <v>-492.928</v>
      </c>
      <c r="K2506">
        <v>1.12159599999999</v>
      </c>
      <c r="L2506">
        <v>241.60339999999999</v>
      </c>
      <c r="M2506">
        <v>-6.3515480000000003E-3</v>
      </c>
      <c r="N2506">
        <v>-1.4062710000000001E-2</v>
      </c>
      <c r="O2506">
        <v>-0.99988109999999997</v>
      </c>
      <c r="P2506">
        <v>1.693706E-2</v>
      </c>
      <c r="Q2506">
        <v>-0.112673</v>
      </c>
      <c r="R2506">
        <v>-0.99348800000000004</v>
      </c>
      <c r="S2506">
        <v>0.6267395</v>
      </c>
      <c r="T2506">
        <v>-0.24226529999999999</v>
      </c>
      <c r="U2506">
        <v>-2.9825740000000001</v>
      </c>
      <c r="V2506">
        <v>-2.3130000000000001E-2</v>
      </c>
      <c r="W2506">
        <v>-9.8720069999999993E-2</v>
      </c>
      <c r="X2506">
        <v>0.99484640000000002</v>
      </c>
      <c r="Y2506">
        <v>-0.2112801</v>
      </c>
      <c r="Z2506">
        <v>6.5150600000000003E-2</v>
      </c>
      <c r="AA2506">
        <v>0.97525189999999995</v>
      </c>
      <c r="AB2506">
        <v>18</v>
      </c>
      <c r="AC2506">
        <v>2.9016000000000299</v>
      </c>
      <c r="AD2506">
        <v>-1.1215898909369999</v>
      </c>
      <c r="AE2506">
        <v>-13.628699999999901</v>
      </c>
      <c r="AF2506">
        <v>-2.9688780427074399</v>
      </c>
      <c r="AG2506">
        <v>-1.1215898909369999</v>
      </c>
      <c r="AH2506">
        <v>13.522382301171801</v>
      </c>
      <c r="AI2506">
        <v>94.631623854265101</v>
      </c>
      <c r="AJ2506">
        <v>102.382981079953</v>
      </c>
      <c r="AK2506">
        <v>13.889817270755101</v>
      </c>
      <c r="AL2506">
        <v>95.665471162835701</v>
      </c>
      <c r="AM2506">
        <v>91.331876626898193</v>
      </c>
      <c r="AN2506">
        <v>1.00000000435688</v>
      </c>
    </row>
    <row r="2507" spans="1:40" x14ac:dyDescent="0.25">
      <c r="A2507" t="str">
        <f>"20190303154515428"</f>
        <v>20190303154515428</v>
      </c>
      <c r="B2507" t="str">
        <f>"1551599115423679"</f>
        <v>1551599115423679</v>
      </c>
      <c r="C2507" t="s">
        <v>40</v>
      </c>
      <c r="D2507">
        <v>4.8256139999999998</v>
      </c>
      <c r="E2507">
        <v>0.42666359999999998</v>
      </c>
      <c r="F2507" t="s">
        <v>54</v>
      </c>
      <c r="G2507">
        <v>-489.92899999999997</v>
      </c>
      <c r="H2507" s="1">
        <v>5.96809499999999E-6</v>
      </c>
      <c r="I2507">
        <v>227.49520000000001</v>
      </c>
      <c r="J2507">
        <v>-492.92779999999999</v>
      </c>
      <c r="K2507">
        <v>1.121613</v>
      </c>
      <c r="L2507">
        <v>241.4246</v>
      </c>
      <c r="M2507">
        <v>-5.2962840000000001E-3</v>
      </c>
      <c r="N2507">
        <v>-1.405849E-2</v>
      </c>
      <c r="O2507">
        <v>-0.99988730000000003</v>
      </c>
      <c r="P2507">
        <v>1.8835129999999999E-2</v>
      </c>
      <c r="Q2507">
        <v>-0.1113466</v>
      </c>
      <c r="R2507">
        <v>-0.99360349999999997</v>
      </c>
      <c r="S2507">
        <v>0.63388059999999902</v>
      </c>
      <c r="T2507">
        <v>-0.23706469999999999</v>
      </c>
      <c r="U2507">
        <v>-2.9819789999999999</v>
      </c>
      <c r="V2507">
        <v>-2.397848E-2</v>
      </c>
      <c r="W2507">
        <v>-9.7398150000000003E-2</v>
      </c>
      <c r="X2507">
        <v>0.99495659999999997</v>
      </c>
      <c r="Y2507">
        <v>-0.21254780000000001</v>
      </c>
      <c r="Z2507">
        <v>6.3451389999999996E-2</v>
      </c>
      <c r="AA2507">
        <v>0.97508839999999997</v>
      </c>
      <c r="AB2507">
        <v>18</v>
      </c>
      <c r="AC2507">
        <v>2.9987999999999602</v>
      </c>
      <c r="AD2507">
        <v>-1.121607031905</v>
      </c>
      <c r="AE2507">
        <v>-13.9293999999999</v>
      </c>
      <c r="AF2507">
        <v>-3.0536177870418699</v>
      </c>
      <c r="AG2507">
        <v>-1.121607031905</v>
      </c>
      <c r="AH2507">
        <v>13.8276387404287</v>
      </c>
      <c r="AI2507">
        <v>94.528662342064393</v>
      </c>
      <c r="AJ2507">
        <v>102.45300902241399</v>
      </c>
      <c r="AK2507">
        <v>14.205146147054</v>
      </c>
      <c r="AL2507">
        <v>95.589363944772103</v>
      </c>
      <c r="AM2507">
        <v>91.380562539348603</v>
      </c>
      <c r="AN2507">
        <v>1.0000000015050401</v>
      </c>
    </row>
    <row r="2508" spans="1:40" x14ac:dyDescent="0.25">
      <c r="A2508" t="str">
        <f>"20190303154515460"</f>
        <v>20190303154515460</v>
      </c>
      <c r="B2508" t="str">
        <f>"1551599115453935"</f>
        <v>1551599115453935</v>
      </c>
      <c r="C2508" t="s">
        <v>40</v>
      </c>
      <c r="D2508">
        <v>4.7711779999999999</v>
      </c>
      <c r="E2508">
        <v>0.4267514</v>
      </c>
      <c r="F2508" t="s">
        <v>54</v>
      </c>
      <c r="G2508">
        <v>-489.85140000000001</v>
      </c>
      <c r="H2508" s="1">
        <v>5.8352179999999997E-6</v>
      </c>
      <c r="I2508">
        <v>227.13290000000001</v>
      </c>
      <c r="J2508">
        <v>-492.92720000000003</v>
      </c>
      <c r="K2508">
        <v>1.1216459999999999</v>
      </c>
      <c r="L2508">
        <v>241.16679999999999</v>
      </c>
      <c r="M2508">
        <v>-3.7146409999999999E-3</v>
      </c>
      <c r="N2508">
        <v>-1.4052500000000001E-2</v>
      </c>
      <c r="O2508">
        <v>-0.99989459999999997</v>
      </c>
      <c r="P2508">
        <v>1.9882480000000001E-2</v>
      </c>
      <c r="Q2508">
        <v>-0.110816</v>
      </c>
      <c r="R2508">
        <v>-0.99364229999999998</v>
      </c>
      <c r="S2508">
        <v>0.64166259999999997</v>
      </c>
      <c r="T2508">
        <v>-0.2339426</v>
      </c>
      <c r="U2508">
        <v>-2.9809269999999999</v>
      </c>
      <c r="V2508">
        <v>-2.3448790000000001E-2</v>
      </c>
      <c r="W2508">
        <v>-9.6873340000000002E-2</v>
      </c>
      <c r="X2508">
        <v>0.99502040000000003</v>
      </c>
      <c r="Y2508">
        <v>-0.21352080000000001</v>
      </c>
      <c r="Z2508">
        <v>6.2442690000000002E-2</v>
      </c>
      <c r="AA2508">
        <v>0.9749409</v>
      </c>
      <c r="AB2508">
        <v>18</v>
      </c>
      <c r="AC2508">
        <v>3.0758000000000099</v>
      </c>
      <c r="AD2508">
        <v>-1.121640164782</v>
      </c>
      <c r="AE2508">
        <v>-14.0338999999999</v>
      </c>
      <c r="AF2508">
        <v>-3.1089656311849598</v>
      </c>
      <c r="AG2508">
        <v>-1.121640164782</v>
      </c>
      <c r="AH2508">
        <v>13.9374277639941</v>
      </c>
      <c r="AI2508">
        <v>94.491155777881801</v>
      </c>
      <c r="AJ2508">
        <v>102.574866851203</v>
      </c>
      <c r="AK2508">
        <v>14.3239532473299</v>
      </c>
      <c r="AL2508">
        <v>95.559152002687995</v>
      </c>
      <c r="AM2508">
        <v>91.349990484011599</v>
      </c>
      <c r="AN2508">
        <v>0.99999994308568796</v>
      </c>
    </row>
    <row r="2509" spans="1:40" x14ac:dyDescent="0.25">
      <c r="A2509" t="str">
        <f>"20190303154515483"</f>
        <v>20190303154515483</v>
      </c>
      <c r="B2509" t="str">
        <f>"1551599115473458"</f>
        <v>1551599115473458</v>
      </c>
      <c r="C2509" t="s">
        <v>40</v>
      </c>
      <c r="D2509">
        <v>4.8555400000000004</v>
      </c>
      <c r="E2509">
        <v>0.45670349999999998</v>
      </c>
      <c r="F2509" t="s">
        <v>54</v>
      </c>
      <c r="G2509">
        <v>-489.83390000000003</v>
      </c>
      <c r="H2509" s="1">
        <v>5.7419440000000004E-6</v>
      </c>
      <c r="I2509">
        <v>226.8468</v>
      </c>
      <c r="J2509">
        <v>-492.92660000000001</v>
      </c>
      <c r="K2509">
        <v>1.1216710000000001</v>
      </c>
      <c r="L2509">
        <v>241.0001</v>
      </c>
      <c r="M2509">
        <v>-2.6371379999999998E-3</v>
      </c>
      <c r="N2509">
        <v>-1.40488E-2</v>
      </c>
      <c r="O2509">
        <v>-0.99989790000000001</v>
      </c>
      <c r="P2509">
        <v>1.9443439999999999E-2</v>
      </c>
      <c r="Q2509">
        <v>-0.11155660000000001</v>
      </c>
      <c r="R2509">
        <v>-0.99356800000000001</v>
      </c>
      <c r="S2509">
        <v>0.64376829999999996</v>
      </c>
      <c r="T2509">
        <v>-0.23343520000000001</v>
      </c>
      <c r="U2509">
        <v>-2.98027</v>
      </c>
      <c r="V2509">
        <v>-2.193316E-2</v>
      </c>
      <c r="W2509">
        <v>-9.7617319999999994E-2</v>
      </c>
      <c r="X2509">
        <v>0.99498229999999999</v>
      </c>
      <c r="Y2509">
        <v>-0.213173</v>
      </c>
      <c r="Z2509">
        <v>6.2297020000000002E-2</v>
      </c>
      <c r="AA2509">
        <v>0.97502630000000001</v>
      </c>
      <c r="AB2509">
        <v>18</v>
      </c>
      <c r="AC2509">
        <v>3.0926999999999798</v>
      </c>
      <c r="AD2509">
        <v>-1.12166525805599</v>
      </c>
      <c r="AE2509">
        <v>-14.1533</v>
      </c>
      <c r="AF2509">
        <v>-3.11136600050625</v>
      </c>
      <c r="AG2509">
        <v>-1.12166525805599</v>
      </c>
      <c r="AH2509">
        <v>14.0608063810073</v>
      </c>
      <c r="AI2509">
        <v>94.453683366410203</v>
      </c>
      <c r="AJ2509">
        <v>102.477316710259</v>
      </c>
      <c r="AK2509">
        <v>14.444549401916699</v>
      </c>
      <c r="AL2509">
        <v>95.601981645857904</v>
      </c>
      <c r="AM2509">
        <v>91.2628104110197</v>
      </c>
      <c r="AN2509">
        <v>0.99999999099242898</v>
      </c>
    </row>
    <row r="2510" spans="1:40" x14ac:dyDescent="0.25">
      <c r="A2510" t="str">
        <f>"20190303154515506"</f>
        <v>20190303154515506</v>
      </c>
      <c r="B2510" t="str">
        <f>"1551599115503710"</f>
        <v>1551599115503710</v>
      </c>
      <c r="C2510" t="s">
        <v>40</v>
      </c>
      <c r="D2510">
        <v>4.8317329999999998</v>
      </c>
      <c r="E2510">
        <v>0.4805991</v>
      </c>
      <c r="F2510" t="s">
        <v>54</v>
      </c>
      <c r="G2510">
        <v>-490.7466</v>
      </c>
      <c r="H2510" s="1">
        <v>4.9904009999999999E-6</v>
      </c>
      <c r="I2510">
        <v>224.87899999999999</v>
      </c>
      <c r="J2510">
        <v>-492.92559999999997</v>
      </c>
      <c r="K2510">
        <v>1.12169599999999</v>
      </c>
      <c r="L2510">
        <v>240.81549999999999</v>
      </c>
      <c r="M2510">
        <v>-1.3959840000000001E-3</v>
      </c>
      <c r="N2510">
        <v>-1.40447E-2</v>
      </c>
      <c r="O2510">
        <v>-0.99990060000000003</v>
      </c>
      <c r="P2510">
        <v>1.8540629999999999E-2</v>
      </c>
      <c r="Q2510">
        <v>-0.11032930000000001</v>
      </c>
      <c r="R2510">
        <v>-0.99372260000000001</v>
      </c>
      <c r="S2510">
        <v>0.40408329999999998</v>
      </c>
      <c r="T2510">
        <v>-0.2079097</v>
      </c>
      <c r="U2510">
        <v>-2.9881739999999999</v>
      </c>
      <c r="V2510">
        <v>-1.9794320000000001E-2</v>
      </c>
      <c r="W2510">
        <v>-9.6389760000000005E-2</v>
      </c>
      <c r="X2510">
        <v>0.9951468</v>
      </c>
      <c r="Y2510">
        <v>-0.1351116</v>
      </c>
      <c r="Z2510">
        <v>5.4760719999999999E-2</v>
      </c>
      <c r="AA2510">
        <v>0.98931599999999997</v>
      </c>
      <c r="AB2510">
        <v>17</v>
      </c>
      <c r="AC2510">
        <v>2.1789999999999701</v>
      </c>
      <c r="AD2510">
        <v>-1.12169100959899</v>
      </c>
      <c r="AE2510">
        <v>-15.936499999999899</v>
      </c>
      <c r="AF2510">
        <v>-2.1905940102493502</v>
      </c>
      <c r="AG2510">
        <v>-1.12169100959899</v>
      </c>
      <c r="AH2510">
        <v>15.8563308378525</v>
      </c>
      <c r="AI2510">
        <v>94.008467397525095</v>
      </c>
      <c r="AJ2510">
        <v>97.865773094620494</v>
      </c>
      <c r="AK2510">
        <v>16.046187100934201</v>
      </c>
      <c r="AL2510">
        <v>95.531314445519797</v>
      </c>
      <c r="AM2510">
        <v>91.139511736692498</v>
      </c>
      <c r="AN2510">
        <v>0.99999997724367895</v>
      </c>
    </row>
    <row r="2511" spans="1:40" x14ac:dyDescent="0.25">
      <c r="A2511" t="str">
        <f>"20190303154515528"</f>
        <v>20190303154515528</v>
      </c>
      <c r="B2511" t="str">
        <f>"1551599115523231"</f>
        <v>1551599115523231</v>
      </c>
      <c r="C2511" t="s">
        <v>40</v>
      </c>
      <c r="D2511">
        <v>4.7725309999999999</v>
      </c>
      <c r="E2511">
        <v>0.48689759999999999</v>
      </c>
      <c r="F2511" t="s">
        <v>54</v>
      </c>
      <c r="G2511">
        <v>-491.59559999999999</v>
      </c>
      <c r="H2511" s="1">
        <v>3.9595909999999997E-6</v>
      </c>
      <c r="I2511">
        <v>221.9248</v>
      </c>
      <c r="J2511">
        <v>-492.92439999999999</v>
      </c>
      <c r="K2511">
        <v>1.1217159999999999</v>
      </c>
      <c r="L2511">
        <v>240.64869999999999</v>
      </c>
      <c r="M2511">
        <v>-2.4517650000000001E-4</v>
      </c>
      <c r="N2511">
        <v>-1.4041090000000001E-2</v>
      </c>
      <c r="O2511">
        <v>-0.99990140000000005</v>
      </c>
      <c r="P2511">
        <v>1.8416350000000001E-2</v>
      </c>
      <c r="Q2511">
        <v>-0.1106099</v>
      </c>
      <c r="R2511">
        <v>-0.99369339999999995</v>
      </c>
      <c r="S2511">
        <v>0.21087649999999999</v>
      </c>
      <c r="T2511">
        <v>-0.17785390000000001</v>
      </c>
      <c r="U2511">
        <v>-2.995285</v>
      </c>
      <c r="V2511">
        <v>-1.8522540000000001E-2</v>
      </c>
      <c r="W2511">
        <v>-9.6672969999999997E-2</v>
      </c>
      <c r="X2511">
        <v>0.99514380000000002</v>
      </c>
      <c r="Y2511">
        <v>-7.0365899999999995E-2</v>
      </c>
      <c r="Z2511">
        <v>4.5104789999999999E-2</v>
      </c>
      <c r="AA2511">
        <v>0.99650099999999997</v>
      </c>
      <c r="AB2511">
        <v>17</v>
      </c>
      <c r="AC2511">
        <v>1.3288</v>
      </c>
      <c r="AD2511">
        <v>-1.121712040409</v>
      </c>
      <c r="AE2511">
        <v>-18.723899999999901</v>
      </c>
      <c r="AF2511">
        <v>-1.32864649302413</v>
      </c>
      <c r="AG2511">
        <v>-1.121712040409</v>
      </c>
      <c r="AH2511">
        <v>18.656949882112102</v>
      </c>
      <c r="AI2511">
        <v>93.431982341873095</v>
      </c>
      <c r="AJ2511">
        <v>94.073416935979694</v>
      </c>
      <c r="AK2511">
        <v>18.737804522106298</v>
      </c>
      <c r="AL2511">
        <v>95.547617386327204</v>
      </c>
      <c r="AM2511">
        <v>91.0663190970497</v>
      </c>
      <c r="AN2511">
        <v>0.99999996514755496</v>
      </c>
    </row>
    <row r="2512" spans="1:40" x14ac:dyDescent="0.25">
      <c r="A2512" t="str">
        <f>"20190303154515549"</f>
        <v>20190303154515549</v>
      </c>
      <c r="B2512" t="str">
        <f>"1551599115543727"</f>
        <v>1551599115543727</v>
      </c>
      <c r="C2512" t="s">
        <v>40</v>
      </c>
      <c r="D2512">
        <v>4.7210159999999997</v>
      </c>
      <c r="E2512">
        <v>0.49045119999999998</v>
      </c>
      <c r="F2512" t="s">
        <v>54</v>
      </c>
      <c r="G2512">
        <v>-491.86810000000003</v>
      </c>
      <c r="H2512" s="1">
        <v>3.5994030000000001E-6</v>
      </c>
      <c r="I2512">
        <v>220.91810000000001</v>
      </c>
      <c r="J2512">
        <v>-492.923</v>
      </c>
      <c r="K2512">
        <v>1.1217189999999999</v>
      </c>
      <c r="L2512">
        <v>240.4786</v>
      </c>
      <c r="M2512">
        <v>9.4783210000000005E-4</v>
      </c>
      <c r="N2512">
        <v>-1.403744E-2</v>
      </c>
      <c r="O2512">
        <v>-0.99990109999999999</v>
      </c>
      <c r="P2512">
        <v>1.922807E-2</v>
      </c>
      <c r="Q2512">
        <v>-0.10986799999999999</v>
      </c>
      <c r="R2512">
        <v>-0.99376039999999999</v>
      </c>
      <c r="S2512">
        <v>0.1604614</v>
      </c>
      <c r="T2512">
        <v>-0.17038879999999901</v>
      </c>
      <c r="U2512">
        <v>-2.9970859999999999</v>
      </c>
      <c r="V2512">
        <v>-1.8148029999999999E-2</v>
      </c>
      <c r="W2512">
        <v>-9.5933249999999998E-2</v>
      </c>
      <c r="X2512">
        <v>0.9952223</v>
      </c>
      <c r="Y2512">
        <v>-5.2441269999999998E-2</v>
      </c>
      <c r="Z2512">
        <v>4.2660249999999997E-2</v>
      </c>
      <c r="AA2512">
        <v>0.99771240000000005</v>
      </c>
      <c r="AB2512">
        <v>17</v>
      </c>
      <c r="AC2512">
        <v>1.05489999999997</v>
      </c>
      <c r="AD2512">
        <v>-1.121715400597</v>
      </c>
      <c r="AE2512">
        <v>-19.560499999999902</v>
      </c>
      <c r="AF2512">
        <v>-1.0329704990750299</v>
      </c>
      <c r="AG2512">
        <v>-1.121715400597</v>
      </c>
      <c r="AH2512">
        <v>19.497558279779302</v>
      </c>
      <c r="AI2512">
        <v>93.288056898487298</v>
      </c>
      <c r="AJ2512">
        <v>93.032665338578695</v>
      </c>
      <c r="AK2512">
        <v>19.557097237711101</v>
      </c>
      <c r="AL2512">
        <v>95.505036538567794</v>
      </c>
      <c r="AM2512">
        <v>91.044681470816798</v>
      </c>
      <c r="AN2512">
        <v>0.99999998293286596</v>
      </c>
    </row>
    <row r="2513" spans="1:40" x14ac:dyDescent="0.25">
      <c r="A2513" t="str">
        <f>"20190303154515572"</f>
        <v>20190303154515572</v>
      </c>
      <c r="B2513" t="str">
        <f>"1551599115563246"</f>
        <v>1551599115563246</v>
      </c>
      <c r="C2513" t="s">
        <v>40</v>
      </c>
      <c r="D2513">
        <v>4.6975110000000004</v>
      </c>
      <c r="E2513">
        <v>0.49229329999999999</v>
      </c>
      <c r="F2513" t="s">
        <v>54</v>
      </c>
      <c r="G2513">
        <v>-491.99110000000002</v>
      </c>
      <c r="H2513" s="1">
        <v>3.2403659999999998E-6</v>
      </c>
      <c r="I2513">
        <v>219.8296</v>
      </c>
      <c r="J2513">
        <v>-492.92140000000001</v>
      </c>
      <c r="K2513">
        <v>1.1217170000000001</v>
      </c>
      <c r="L2513">
        <v>240.30590000000001</v>
      </c>
      <c r="M2513">
        <v>2.1706009999999999E-3</v>
      </c>
      <c r="N2513">
        <v>-1.403362E-2</v>
      </c>
      <c r="O2513">
        <v>-0.99989919999999999</v>
      </c>
      <c r="P2513">
        <v>2.0830230000000002E-2</v>
      </c>
      <c r="Q2513">
        <v>-0.110791899999999</v>
      </c>
      <c r="R2513">
        <v>-0.99362539999999999</v>
      </c>
      <c r="S2513">
        <v>0.13531489999999999</v>
      </c>
      <c r="T2513">
        <v>-0.1628714</v>
      </c>
      <c r="U2513">
        <v>-2.9981990000000001</v>
      </c>
      <c r="V2513">
        <v>-1.8534539999999999E-2</v>
      </c>
      <c r="W2513">
        <v>-9.6862900000000002E-2</v>
      </c>
      <c r="X2513">
        <v>0.99512509999999998</v>
      </c>
      <c r="Y2513">
        <v>-4.2860530000000001E-2</v>
      </c>
      <c r="Z2513">
        <v>4.0172850000000003E-2</v>
      </c>
      <c r="AA2513">
        <v>0.99827310000000002</v>
      </c>
      <c r="AB2513">
        <v>17</v>
      </c>
      <c r="AC2513">
        <v>0.93029999999998803</v>
      </c>
      <c r="AD2513">
        <v>-1.1217137596340001</v>
      </c>
      <c r="AE2513">
        <v>-20.476299999999998</v>
      </c>
      <c r="AF2513">
        <v>-0.88320255344251597</v>
      </c>
      <c r="AG2513">
        <v>-1.1217137596340001</v>
      </c>
      <c r="AH2513">
        <v>20.417126365647398</v>
      </c>
      <c r="AI2513">
        <v>93.141727651905001</v>
      </c>
      <c r="AJ2513">
        <v>92.476952396538096</v>
      </c>
      <c r="AK2513">
        <v>20.466981642141899</v>
      </c>
      <c r="AL2513">
        <v>95.558550927388097</v>
      </c>
      <c r="AM2513">
        <v>91.067029808337196</v>
      </c>
      <c r="AN2513">
        <v>0.99999995760971405</v>
      </c>
    </row>
    <row r="2514" spans="1:40" x14ac:dyDescent="0.25">
      <c r="A2514" t="str">
        <f>"20190303154515593"</f>
        <v>20190303154515593</v>
      </c>
      <c r="B2514" t="str">
        <f>"1551599115583743"</f>
        <v>1551599115583743</v>
      </c>
      <c r="C2514" t="s">
        <v>40</v>
      </c>
      <c r="D2514">
        <v>4.6751940000000003</v>
      </c>
      <c r="E2514">
        <v>0.49351699999999998</v>
      </c>
      <c r="F2514" t="s">
        <v>54</v>
      </c>
      <c r="G2514">
        <v>-492.06110000000001</v>
      </c>
      <c r="H2514" s="1">
        <v>3.1892720000000002E-6</v>
      </c>
      <c r="I2514">
        <v>219.7047</v>
      </c>
      <c r="J2514">
        <v>-492.9196</v>
      </c>
      <c r="K2514">
        <v>1.1217029999999999</v>
      </c>
      <c r="L2514">
        <v>240.1395</v>
      </c>
      <c r="M2514">
        <v>3.3549700000000001E-3</v>
      </c>
      <c r="N2514">
        <v>-1.402976E-2</v>
      </c>
      <c r="O2514">
        <v>-0.99989600000000001</v>
      </c>
      <c r="P2514">
        <v>2.2574710000000001E-2</v>
      </c>
      <c r="Q2514">
        <v>-0.1108271</v>
      </c>
      <c r="R2514">
        <v>-0.99358360000000001</v>
      </c>
      <c r="S2514">
        <v>0.12521360000000001</v>
      </c>
      <c r="T2514">
        <v>-0.1632605</v>
      </c>
      <c r="U2514">
        <v>-2.9984130000000002</v>
      </c>
      <c r="V2514">
        <v>-1.91034E-2</v>
      </c>
      <c r="W2514">
        <v>-9.6902569999999993E-2</v>
      </c>
      <c r="X2514">
        <v>0.99511050000000001</v>
      </c>
      <c r="Y2514">
        <v>-3.8318680000000001E-2</v>
      </c>
      <c r="Z2514">
        <v>4.0311010000000001E-2</v>
      </c>
      <c r="AA2514">
        <v>0.99845209999999995</v>
      </c>
      <c r="AB2514">
        <v>17</v>
      </c>
      <c r="AC2514">
        <v>0.85849999999999205</v>
      </c>
      <c r="AD2514">
        <v>-1.1216998107279901</v>
      </c>
      <c r="AE2514">
        <v>-20.434799999999999</v>
      </c>
      <c r="AF2514">
        <v>-0.78756146679805095</v>
      </c>
      <c r="AG2514">
        <v>-1.1216998107279901</v>
      </c>
      <c r="AH2514">
        <v>20.3762780509912</v>
      </c>
      <c r="AI2514">
        <v>93.148565967908993</v>
      </c>
      <c r="AJ2514">
        <v>92.213431621778199</v>
      </c>
      <c r="AK2514">
        <v>20.422320405396601</v>
      </c>
      <c r="AL2514">
        <v>95.560834482434004</v>
      </c>
      <c r="AM2514">
        <v>91.099787174186403</v>
      </c>
      <c r="AN2514">
        <v>0.99999997758720705</v>
      </c>
    </row>
    <row r="2515" spans="1:40" x14ac:dyDescent="0.25">
      <c r="A2515" t="str">
        <f>"20190303154515615"</f>
        <v>20190303154515615</v>
      </c>
      <c r="B2515" t="str">
        <f>"1551599115613023"</f>
        <v>1551599115613023</v>
      </c>
      <c r="C2515" t="s">
        <v>40</v>
      </c>
      <c r="D2515">
        <v>4.6690759999999996</v>
      </c>
      <c r="E2515">
        <v>0.49468839999999997</v>
      </c>
      <c r="F2515" t="s">
        <v>54</v>
      </c>
      <c r="G2515">
        <v>-492.0822</v>
      </c>
      <c r="H2515" s="1">
        <v>3.1480979999999999E-6</v>
      </c>
      <c r="I2515">
        <v>219.38640000000001</v>
      </c>
      <c r="J2515">
        <v>-492.91759999999999</v>
      </c>
      <c r="K2515">
        <v>1.121699</v>
      </c>
      <c r="L2515">
        <v>239.96600000000001</v>
      </c>
      <c r="M2515">
        <v>4.588913E-3</v>
      </c>
      <c r="N2515">
        <v>-1.4025630000000001E-2</v>
      </c>
      <c r="O2515">
        <v>-0.99989099999999997</v>
      </c>
      <c r="P2515">
        <v>2.4377570000000001E-2</v>
      </c>
      <c r="Q2515">
        <v>-0.1095761</v>
      </c>
      <c r="R2515">
        <v>-0.99367939999999999</v>
      </c>
      <c r="S2515">
        <v>0.1210022</v>
      </c>
      <c r="T2515">
        <v>-0.1620721</v>
      </c>
      <c r="U2515">
        <v>-2.9985659999999998</v>
      </c>
      <c r="V2515">
        <v>-1.9684210000000001E-2</v>
      </c>
      <c r="W2515">
        <v>-9.5654359999999994E-2</v>
      </c>
      <c r="X2515">
        <v>0.99521990000000005</v>
      </c>
      <c r="Y2515">
        <v>-3.568532E-2</v>
      </c>
      <c r="Z2515">
        <v>3.9921970000000001E-2</v>
      </c>
      <c r="AA2515">
        <v>0.99856540000000005</v>
      </c>
      <c r="AB2515">
        <v>17</v>
      </c>
      <c r="AC2515">
        <v>0.83539999999999204</v>
      </c>
      <c r="AD2515">
        <v>-1.1216958519019999</v>
      </c>
      <c r="AE2515">
        <v>-20.5795999999999</v>
      </c>
      <c r="AF2515">
        <v>-0.73875281683032501</v>
      </c>
      <c r="AG2515">
        <v>-1.1216958519019999</v>
      </c>
      <c r="AH2515">
        <v>20.522349318306102</v>
      </c>
      <c r="AI2515">
        <v>93.126497698470004</v>
      </c>
      <c r="AJ2515">
        <v>92.061613374295504</v>
      </c>
      <c r="AK2515">
        <v>20.566253398495601</v>
      </c>
      <c r="AL2515">
        <v>95.488983746246802</v>
      </c>
      <c r="AM2515">
        <v>91.133091413142395</v>
      </c>
      <c r="AN2515">
        <v>0.99999993703316903</v>
      </c>
    </row>
    <row r="2516" spans="1:40" x14ac:dyDescent="0.25">
      <c r="A2516" t="str">
        <f>"20190303154515639"</f>
        <v>20190303154515639</v>
      </c>
      <c r="B2516" t="str">
        <f>"1551599115633519"</f>
        <v>1551599115633519</v>
      </c>
      <c r="C2516" t="s">
        <v>40</v>
      </c>
      <c r="D2516">
        <v>4.6435000000000004</v>
      </c>
      <c r="E2516">
        <v>0.49533860000000002</v>
      </c>
      <c r="F2516" t="s">
        <v>54</v>
      </c>
      <c r="G2516">
        <v>-492.0804</v>
      </c>
      <c r="H2516" s="1">
        <v>3.1107280000000001E-6</v>
      </c>
      <c r="I2516">
        <v>218.52420000000001</v>
      </c>
      <c r="J2516">
        <v>-492.9153</v>
      </c>
      <c r="K2516">
        <v>1.121683</v>
      </c>
      <c r="L2516">
        <v>239.7937</v>
      </c>
      <c r="M2516">
        <v>5.8065479999999999E-3</v>
      </c>
      <c r="N2516">
        <v>-1.402141E-2</v>
      </c>
      <c r="O2516">
        <v>-0.99988500000000002</v>
      </c>
      <c r="P2516">
        <v>2.6144299999999999E-2</v>
      </c>
      <c r="Q2516">
        <v>-0.10858810000000001</v>
      </c>
      <c r="R2516">
        <v>-0.9937433</v>
      </c>
      <c r="S2516">
        <v>0.1170959</v>
      </c>
      <c r="T2516">
        <v>-0.15688369999999999</v>
      </c>
      <c r="U2516">
        <v>-2.9989170000000001</v>
      </c>
      <c r="V2516">
        <v>-2.0244669999999999E-2</v>
      </c>
      <c r="W2516">
        <v>-9.4669439999999994E-2</v>
      </c>
      <c r="X2516">
        <v>0.99530289999999999</v>
      </c>
      <c r="Y2516">
        <v>-3.3169110000000002E-2</v>
      </c>
      <c r="Z2516">
        <v>3.8200690000000002E-2</v>
      </c>
      <c r="AA2516">
        <v>0.99871949999999998</v>
      </c>
      <c r="AB2516">
        <v>17</v>
      </c>
      <c r="AC2516">
        <v>0.83490000000000397</v>
      </c>
      <c r="AD2516">
        <v>-1.1216798892719999</v>
      </c>
      <c r="AE2516">
        <v>-21.269499999999901</v>
      </c>
      <c r="AF2516">
        <v>-0.70940151625146497</v>
      </c>
      <c r="AG2516">
        <v>-1.1216798892719999</v>
      </c>
      <c r="AH2516">
        <v>21.215078335817601</v>
      </c>
      <c r="AI2516">
        <v>93.024826866595802</v>
      </c>
      <c r="AJ2516">
        <v>91.915174349936905</v>
      </c>
      <c r="AK2516">
        <v>21.256551109719901</v>
      </c>
      <c r="AL2516">
        <v>95.432294338935407</v>
      </c>
      <c r="AM2516">
        <v>91.165247508148695</v>
      </c>
      <c r="AN2516">
        <v>1.00000000614086</v>
      </c>
    </row>
    <row r="2517" spans="1:40" x14ac:dyDescent="0.25">
      <c r="A2517" t="str">
        <f>"20190303154515662"</f>
        <v>20190303154515662</v>
      </c>
      <c r="B2517" t="str">
        <f>"1551599115653039"</f>
        <v>1551599115653039</v>
      </c>
      <c r="C2517" t="s">
        <v>40</v>
      </c>
      <c r="D2517">
        <v>4.827807</v>
      </c>
      <c r="E2517">
        <v>0.49596479999999998</v>
      </c>
      <c r="F2517" t="s">
        <v>54</v>
      </c>
      <c r="G2517">
        <v>-492.04790000000003</v>
      </c>
      <c r="H2517" s="1">
        <v>3.0778520000000002E-6</v>
      </c>
      <c r="I2517">
        <v>217.6403</v>
      </c>
      <c r="J2517">
        <v>-492.9128</v>
      </c>
      <c r="K2517">
        <v>1.121661</v>
      </c>
      <c r="L2517">
        <v>239.62</v>
      </c>
      <c r="M2517">
        <v>7.0225629999999999E-3</v>
      </c>
      <c r="N2517">
        <v>-1.4016999999999899E-2</v>
      </c>
      <c r="O2517">
        <v>-0.99987729999999997</v>
      </c>
      <c r="P2517">
        <v>2.7824600000000001E-2</v>
      </c>
      <c r="Q2517">
        <v>-0.10923620000000001</v>
      </c>
      <c r="R2517">
        <v>-0.99362660000000003</v>
      </c>
      <c r="S2517">
        <v>0.1174316</v>
      </c>
      <c r="T2517">
        <v>-0.15185679999999999</v>
      </c>
      <c r="U2517">
        <v>-2.9992070000000002</v>
      </c>
      <c r="V2517">
        <v>-2.0718440000000001E-2</v>
      </c>
      <c r="W2517">
        <v>-9.532301E-2</v>
      </c>
      <c r="X2517">
        <v>0.99523070000000002</v>
      </c>
      <c r="Y2517">
        <v>-3.2064780000000001E-2</v>
      </c>
      <c r="Z2517">
        <v>3.6531260000000003E-2</v>
      </c>
      <c r="AA2517">
        <v>0.99881799999999998</v>
      </c>
      <c r="AB2517">
        <v>17</v>
      </c>
      <c r="AC2517">
        <v>0.86489999999997702</v>
      </c>
      <c r="AD2517">
        <v>-1.1216579221480001</v>
      </c>
      <c r="AE2517">
        <v>-21.979700000000001</v>
      </c>
      <c r="AF2517">
        <v>-0.70866703629582795</v>
      </c>
      <c r="AG2517">
        <v>-1.1216579221480001</v>
      </c>
      <c r="AH2517">
        <v>21.928214753175698</v>
      </c>
      <c r="AI2517">
        <v>92.926679463799999</v>
      </c>
      <c r="AJ2517">
        <v>91.851017227420897</v>
      </c>
      <c r="AK2517">
        <v>21.9683164517458</v>
      </c>
      <c r="AL2517">
        <v>95.469911632815794</v>
      </c>
      <c r="AM2517">
        <v>91.192595576200603</v>
      </c>
      <c r="AN2517">
        <v>0.99999993810698995</v>
      </c>
    </row>
    <row r="2518" spans="1:40" x14ac:dyDescent="0.25">
      <c r="A2518" t="str">
        <f>"20190303154515683"</f>
        <v>20190303154515683</v>
      </c>
      <c r="B2518" t="str">
        <f>"1551599115673539"</f>
        <v>1551599115673539</v>
      </c>
      <c r="C2518" t="s">
        <v>40</v>
      </c>
      <c r="D2518">
        <v>4.6195639999999996</v>
      </c>
      <c r="E2518">
        <v>0.49651859999999998</v>
      </c>
      <c r="F2518" t="s">
        <v>54</v>
      </c>
      <c r="G2518">
        <v>-492.04860000000002</v>
      </c>
      <c r="H2518" s="1">
        <v>3.0751899999999999E-6</v>
      </c>
      <c r="I2518">
        <v>217.58240000000001</v>
      </c>
      <c r="J2518">
        <v>-492.91019999999997</v>
      </c>
      <c r="K2518">
        <v>1.1216489999999999</v>
      </c>
      <c r="L2518">
        <v>239.45310000000001</v>
      </c>
      <c r="M2518">
        <v>8.1794039999999995E-3</v>
      </c>
      <c r="N2518">
        <v>-1.4012760000000001E-2</v>
      </c>
      <c r="O2518">
        <v>-0.99986850000000005</v>
      </c>
      <c r="P2518">
        <v>2.9346170000000001E-2</v>
      </c>
      <c r="Q2518">
        <v>-0.11026179999999999</v>
      </c>
      <c r="R2518">
        <v>-0.99346950000000001</v>
      </c>
      <c r="S2518">
        <v>0.1176147</v>
      </c>
      <c r="T2518">
        <v>-0.15265010000000001</v>
      </c>
      <c r="U2518">
        <v>-2.9991759999999998</v>
      </c>
      <c r="V2518">
        <v>-2.109219E-2</v>
      </c>
      <c r="W2518">
        <v>-9.6354560000000006E-2</v>
      </c>
      <c r="X2518">
        <v>0.9951236</v>
      </c>
      <c r="Y2518">
        <v>-3.0969710000000001E-2</v>
      </c>
      <c r="Z2518">
        <v>3.6799940000000003E-2</v>
      </c>
      <c r="AA2518">
        <v>0.99884269999999997</v>
      </c>
      <c r="AB2518">
        <v>17</v>
      </c>
      <c r="AC2518">
        <v>0.86159999999995296</v>
      </c>
      <c r="AD2518">
        <v>-1.1216459248099999</v>
      </c>
      <c r="AE2518">
        <v>-21.870699999999999</v>
      </c>
      <c r="AF2518">
        <v>-0.68087628508694498</v>
      </c>
      <c r="AG2518">
        <v>-1.1216459248099999</v>
      </c>
      <c r="AH2518">
        <v>21.8197153606875</v>
      </c>
      <c r="AI2518">
        <v>92.941279279712603</v>
      </c>
      <c r="AJ2518">
        <v>91.787313999870605</v>
      </c>
      <c r="AK2518">
        <v>21.859132199555798</v>
      </c>
      <c r="AL2518">
        <v>95.529287907268895</v>
      </c>
      <c r="AM2518">
        <v>91.214233632939397</v>
      </c>
      <c r="AN2518">
        <v>1.0000000304943699</v>
      </c>
    </row>
    <row r="2519" spans="1:40" x14ac:dyDescent="0.25">
      <c r="A2519" t="str">
        <f>"20190303154515697"</f>
        <v>20190303154515697</v>
      </c>
      <c r="B2519" t="str">
        <f>"1551599115693055"</f>
        <v>1551599115693055</v>
      </c>
      <c r="C2519" t="s">
        <v>40</v>
      </c>
      <c r="D2519">
        <v>4.625947</v>
      </c>
      <c r="E2519">
        <v>0.49699480000000001</v>
      </c>
      <c r="F2519" t="s">
        <v>54</v>
      </c>
      <c r="G2519">
        <v>-492.05869999999999</v>
      </c>
      <c r="H2519" s="1">
        <v>3.0832599999999902E-6</v>
      </c>
      <c r="I2519">
        <v>217.80789999999999</v>
      </c>
      <c r="J2519">
        <v>-492.90839999999997</v>
      </c>
      <c r="K2519">
        <v>1.121645</v>
      </c>
      <c r="L2519">
        <v>239.345</v>
      </c>
      <c r="M2519">
        <v>8.9245880000000007E-3</v>
      </c>
      <c r="N2519">
        <v>-1.401001E-2</v>
      </c>
      <c r="O2519">
        <v>-0.99986229999999998</v>
      </c>
      <c r="P2519">
        <v>3.0440559999999998E-2</v>
      </c>
      <c r="Q2519">
        <v>-0.11005040000000001</v>
      </c>
      <c r="R2519">
        <v>-0.99346020000000002</v>
      </c>
      <c r="S2519">
        <v>0.117981</v>
      </c>
      <c r="T2519">
        <v>-0.1554065</v>
      </c>
      <c r="U2519">
        <v>-2.998993</v>
      </c>
      <c r="V2519">
        <v>-2.1447089999999999E-2</v>
      </c>
      <c r="W2519">
        <v>-9.6145930000000004E-2</v>
      </c>
      <c r="X2519">
        <v>0.99513609999999997</v>
      </c>
      <c r="Y2519">
        <v>-3.034769E-2</v>
      </c>
      <c r="Z2519">
        <v>3.7721299999999999E-2</v>
      </c>
      <c r="AA2519">
        <v>0.99882740000000003</v>
      </c>
      <c r="AB2519">
        <v>17</v>
      </c>
      <c r="AC2519">
        <v>0.84969999999998402</v>
      </c>
      <c r="AD2519">
        <v>-1.12164191674</v>
      </c>
      <c r="AE2519">
        <v>-21.537099999999999</v>
      </c>
      <c r="AF2519">
        <v>-0.655662023104158</v>
      </c>
      <c r="AG2519">
        <v>-1.12164191674</v>
      </c>
      <c r="AH2519">
        <v>21.485641641141701</v>
      </c>
      <c r="AI2519">
        <v>92.986982777547595</v>
      </c>
      <c r="AJ2519">
        <v>91.747912052496105</v>
      </c>
      <c r="AK2519">
        <v>21.524887224082999</v>
      </c>
      <c r="AL2519">
        <v>95.517279046145703</v>
      </c>
      <c r="AM2519">
        <v>91.234642714148507</v>
      </c>
      <c r="AN2519">
        <v>0.99999993752411898</v>
      </c>
    </row>
    <row r="2520" spans="1:40" x14ac:dyDescent="0.25">
      <c r="A2520" t="str">
        <f>"20190303154515719"</f>
        <v>20190303154515719</v>
      </c>
      <c r="B2520" t="str">
        <f>"1551599115713551"</f>
        <v>1551599115713551</v>
      </c>
      <c r="C2520" t="s">
        <v>40</v>
      </c>
      <c r="D2520">
        <v>4.6043529999999997</v>
      </c>
      <c r="E2520">
        <v>0.49736989999999998</v>
      </c>
      <c r="F2520" t="s">
        <v>54</v>
      </c>
      <c r="G2520">
        <v>-492.05459999999999</v>
      </c>
      <c r="H2520" s="1">
        <v>3.07547E-6</v>
      </c>
      <c r="I2520">
        <v>217.6131</v>
      </c>
      <c r="J2520">
        <v>-492.9058</v>
      </c>
      <c r="K2520">
        <v>1.1216469999999901</v>
      </c>
      <c r="L2520">
        <v>239.1876</v>
      </c>
      <c r="M2520">
        <v>1.000271E-2</v>
      </c>
      <c r="N2520">
        <v>-1.4006029999999999E-2</v>
      </c>
      <c r="O2520">
        <v>-0.99985190000000002</v>
      </c>
      <c r="P2520">
        <v>3.2270880000000002E-2</v>
      </c>
      <c r="Q2520">
        <v>-0.109446</v>
      </c>
      <c r="R2520">
        <v>-0.99346889999999999</v>
      </c>
      <c r="S2520">
        <v>0.1178284</v>
      </c>
      <c r="T2520">
        <v>-0.15478620000000001</v>
      </c>
      <c r="U2520">
        <v>-2.998993</v>
      </c>
      <c r="V2520">
        <v>-2.2208550000000001E-2</v>
      </c>
      <c r="W2520">
        <v>-9.5545450000000004E-2</v>
      </c>
      <c r="X2520">
        <v>0.99517730000000004</v>
      </c>
      <c r="Y2520">
        <v>-2.9220019999999999E-2</v>
      </c>
      <c r="Z2520">
        <v>3.7519719999999999E-2</v>
      </c>
      <c r="AA2520">
        <v>0.9988686</v>
      </c>
      <c r="AB2520">
        <v>17</v>
      </c>
      <c r="AC2520">
        <v>0.85120000000000495</v>
      </c>
      <c r="AD2520">
        <v>-1.1216439245299901</v>
      </c>
      <c r="AE2520">
        <v>-21.5745</v>
      </c>
      <c r="AF2520">
        <v>-0.63362282368882095</v>
      </c>
      <c r="AG2520">
        <v>-1.1216439245299901</v>
      </c>
      <c r="AH2520">
        <v>21.5238493917619</v>
      </c>
      <c r="AI2520">
        <v>92.981791488581493</v>
      </c>
      <c r="AJ2520">
        <v>91.686196150385101</v>
      </c>
      <c r="AK2520">
        <v>21.5623666515386</v>
      </c>
      <c r="AL2520">
        <v>95.482714573482994</v>
      </c>
      <c r="AM2520">
        <v>91.278410404397803</v>
      </c>
      <c r="AN2520">
        <v>1.0000000055720399</v>
      </c>
    </row>
    <row r="2521" spans="1:40" x14ac:dyDescent="0.25">
      <c r="A2521" t="str">
        <f>"20190303154515739"</f>
        <v>20190303154515739</v>
      </c>
      <c r="B2521" t="str">
        <f>"1551599115733071"</f>
        <v>1551599115733071</v>
      </c>
      <c r="C2521" t="s">
        <v>40</v>
      </c>
      <c r="D2521">
        <v>4.6895790000000002</v>
      </c>
      <c r="E2521">
        <v>0.49726999999999999</v>
      </c>
      <c r="F2521" t="s">
        <v>54</v>
      </c>
      <c r="G2521">
        <v>-492.02010000000001</v>
      </c>
      <c r="H2521" s="1">
        <v>3.0602299999999902E-6</v>
      </c>
      <c r="I2521">
        <v>217.1242</v>
      </c>
      <c r="J2521">
        <v>-492.90280000000001</v>
      </c>
      <c r="K2521">
        <v>1.1216360000000001</v>
      </c>
      <c r="L2521">
        <v>239.02690000000001</v>
      </c>
      <c r="M2521">
        <v>1.1082949999999999E-2</v>
      </c>
      <c r="N2521">
        <v>-1.400173E-2</v>
      </c>
      <c r="O2521">
        <v>-0.99984070000000003</v>
      </c>
      <c r="P2521">
        <v>3.5011609999999999E-2</v>
      </c>
      <c r="Q2521">
        <v>-0.10918120000000001</v>
      </c>
      <c r="R2521">
        <v>-0.99340519999999999</v>
      </c>
      <c r="S2521">
        <v>0.12039179999999999</v>
      </c>
      <c r="T2521">
        <v>-0.15246270000000001</v>
      </c>
      <c r="U2521">
        <v>-2.9990230000000002</v>
      </c>
      <c r="V2521">
        <v>-2.3879480000000002E-2</v>
      </c>
      <c r="W2521">
        <v>-9.5286469999999998E-2</v>
      </c>
      <c r="X2521">
        <v>0.99516340000000003</v>
      </c>
      <c r="Y2521">
        <v>-2.8993540000000002E-2</v>
      </c>
      <c r="Z2521">
        <v>3.6750629999999999E-2</v>
      </c>
      <c r="AA2521">
        <v>0.99890380000000001</v>
      </c>
      <c r="AB2521">
        <v>17</v>
      </c>
      <c r="AC2521">
        <v>0.88269999999999904</v>
      </c>
      <c r="AD2521">
        <v>-1.12163293977</v>
      </c>
      <c r="AE2521">
        <v>-21.902699999999999</v>
      </c>
      <c r="AF2521">
        <v>-0.63820454381247305</v>
      </c>
      <c r="AG2521">
        <v>-1.12163293977</v>
      </c>
      <c r="AH2521">
        <v>21.853920650159601</v>
      </c>
      <c r="AI2521">
        <v>92.936826835609594</v>
      </c>
      <c r="AJ2521">
        <v>91.672745031856493</v>
      </c>
      <c r="AK2521">
        <v>21.8919897057072</v>
      </c>
      <c r="AL2521">
        <v>95.467808314166405</v>
      </c>
      <c r="AM2521">
        <v>91.374579205994806</v>
      </c>
      <c r="AN2521">
        <v>0.99999996681484504</v>
      </c>
    </row>
    <row r="2522" spans="1:40" x14ac:dyDescent="0.25">
      <c r="A2522" t="str">
        <f>"20190303154515763"</f>
        <v>20190303154515763</v>
      </c>
      <c r="B2522" t="str">
        <f>"1551599115753567"</f>
        <v>1551599115753567</v>
      </c>
      <c r="C2522" t="s">
        <v>40</v>
      </c>
      <c r="D2522">
        <v>4.6338109999999997</v>
      </c>
      <c r="E2522">
        <v>0.46595710000000001</v>
      </c>
      <c r="F2522" t="s">
        <v>54</v>
      </c>
      <c r="G2522">
        <v>-491.95890000000003</v>
      </c>
      <c r="H2522" s="1">
        <v>3.0716270000000001E-6</v>
      </c>
      <c r="I2522">
        <v>217.13659999999999</v>
      </c>
      <c r="J2522">
        <v>-492.89949999999999</v>
      </c>
      <c r="K2522">
        <v>1.12161</v>
      </c>
      <c r="L2522">
        <v>238.85419999999999</v>
      </c>
      <c r="M2522">
        <v>1.220128E-2</v>
      </c>
      <c r="N2522">
        <v>-1.3996969999999999E-2</v>
      </c>
      <c r="O2522">
        <v>-0.99982769999999999</v>
      </c>
      <c r="P2522">
        <v>3.8197120000000001E-2</v>
      </c>
      <c r="Q2522">
        <v>-0.11003300000000001</v>
      </c>
      <c r="R2522">
        <v>-0.99319389999999996</v>
      </c>
      <c r="S2522">
        <v>0.129303</v>
      </c>
      <c r="T2522">
        <v>-0.15363859999999999</v>
      </c>
      <c r="U2522">
        <v>-2.9984739999999999</v>
      </c>
      <c r="V2522">
        <v>-2.5961890000000001E-2</v>
      </c>
      <c r="W2522">
        <v>-9.6145700000000001E-2</v>
      </c>
      <c r="X2522">
        <v>0.99502860000000004</v>
      </c>
      <c r="Y2522">
        <v>-3.0844730000000001E-2</v>
      </c>
      <c r="Z2522">
        <v>3.7150250000000003E-2</v>
      </c>
      <c r="AA2522">
        <v>0.99883350000000004</v>
      </c>
      <c r="AB2522">
        <v>17</v>
      </c>
      <c r="AC2522">
        <v>0.94059999999996002</v>
      </c>
      <c r="AD2522">
        <v>-1.1216069283729999</v>
      </c>
      <c r="AE2522">
        <v>-21.717600000000001</v>
      </c>
      <c r="AF2522">
        <v>-0.67372790738563204</v>
      </c>
      <c r="AG2522">
        <v>-1.1216069283729999</v>
      </c>
      <c r="AH2522">
        <v>21.6697710257842</v>
      </c>
      <c r="AI2522">
        <v>92.961503101680705</v>
      </c>
      <c r="AJ2522">
        <v>91.780791080657593</v>
      </c>
      <c r="AK2522">
        <v>21.7092350787604</v>
      </c>
      <c r="AL2522">
        <v>95.517265654224104</v>
      </c>
      <c r="AM2522">
        <v>91.494599564448194</v>
      </c>
      <c r="AN2522">
        <v>0.99999996508941003</v>
      </c>
    </row>
    <row r="2523" spans="1:40" x14ac:dyDescent="0.25">
      <c r="A2523" t="str">
        <f>"20190303154515785"</f>
        <v>20190303154515785</v>
      </c>
      <c r="B2523" t="str">
        <f>"1551599115773087"</f>
        <v>1551599115773087</v>
      </c>
      <c r="C2523" t="s">
        <v>40</v>
      </c>
      <c r="D2523">
        <v>4.6158599999999996</v>
      </c>
      <c r="E2523">
        <v>0.46208660000000001</v>
      </c>
      <c r="F2523" t="s">
        <v>54</v>
      </c>
      <c r="G2523">
        <v>-490.98079999999999</v>
      </c>
      <c r="H2523" s="1">
        <v>4.739825E-6</v>
      </c>
      <c r="I2523">
        <v>224.09139999999999</v>
      </c>
      <c r="J2523">
        <v>-492.89609999999999</v>
      </c>
      <c r="K2523">
        <v>1.121567</v>
      </c>
      <c r="L2523">
        <v>238.6814</v>
      </c>
      <c r="M2523">
        <v>1.3256560000000001E-2</v>
      </c>
      <c r="N2523">
        <v>-1.3991899999999899E-2</v>
      </c>
      <c r="O2523">
        <v>-0.99981430000000004</v>
      </c>
      <c r="P2523">
        <v>4.2736629999999998E-2</v>
      </c>
      <c r="Q2523">
        <v>-0.1100986</v>
      </c>
      <c r="R2523">
        <v>-0.99300160000000004</v>
      </c>
      <c r="S2523">
        <v>0.38739010000000001</v>
      </c>
      <c r="T2523">
        <v>-0.2264507</v>
      </c>
      <c r="U2523">
        <v>-2.980591</v>
      </c>
      <c r="V2523">
        <v>-2.9465450000000001E-2</v>
      </c>
      <c r="W2523">
        <v>-9.6218650000000003E-2</v>
      </c>
      <c r="X2523">
        <v>0.99492400000000003</v>
      </c>
      <c r="Y2523">
        <v>-0.11541460000000001</v>
      </c>
      <c r="Z2523">
        <v>6.1232059999999998E-2</v>
      </c>
      <c r="AA2523">
        <v>0.99142830000000004</v>
      </c>
      <c r="AB2523">
        <v>17</v>
      </c>
      <c r="AC2523">
        <v>1.9153</v>
      </c>
      <c r="AD2523">
        <v>-1.1215622601749999</v>
      </c>
      <c r="AE2523">
        <v>-14.59</v>
      </c>
      <c r="AF2523">
        <v>-1.71175561727407</v>
      </c>
      <c r="AG2523">
        <v>-1.1215622601749999</v>
      </c>
      <c r="AH2523">
        <v>14.5297046285965</v>
      </c>
      <c r="AI2523">
        <v>94.383767195971501</v>
      </c>
      <c r="AJ2523">
        <v>96.719088253826399</v>
      </c>
      <c r="AK2523">
        <v>14.673115749253</v>
      </c>
      <c r="AL2523">
        <v>95.521464636926396</v>
      </c>
      <c r="AM2523">
        <v>91.696363342683597</v>
      </c>
      <c r="AN2523">
        <v>1.00000000356376</v>
      </c>
    </row>
    <row r="2524" spans="1:40" x14ac:dyDescent="0.25">
      <c r="A2524" t="str">
        <f>"20190303154515807"</f>
        <v>20190303154515807</v>
      </c>
      <c r="B2524" t="str">
        <f>"1551599115803343"</f>
        <v>1551599115803343</v>
      </c>
      <c r="C2524" t="s">
        <v>40</v>
      </c>
      <c r="D2524">
        <v>4.633178</v>
      </c>
      <c r="E2524">
        <v>0.46118100000000001</v>
      </c>
      <c r="F2524" t="s">
        <v>54</v>
      </c>
      <c r="G2524">
        <v>-490.71769999999998</v>
      </c>
      <c r="H2524" s="1">
        <v>4.6525330000000002E-6</v>
      </c>
      <c r="I2524">
        <v>223.65889999999999</v>
      </c>
      <c r="J2524">
        <v>-492.89269999999999</v>
      </c>
      <c r="K2524">
        <v>1.121518</v>
      </c>
      <c r="L2524">
        <v>238.51740000000001</v>
      </c>
      <c r="M2524">
        <v>1.420251E-2</v>
      </c>
      <c r="N2524">
        <v>-1.398683E-2</v>
      </c>
      <c r="O2524">
        <v>-0.99980150000000001</v>
      </c>
      <c r="P2524">
        <v>4.7977319999999997E-2</v>
      </c>
      <c r="Q2524">
        <v>-0.11044710000000001</v>
      </c>
      <c r="R2524">
        <v>-0.99272340000000003</v>
      </c>
      <c r="S2524">
        <v>0.43182369999999998</v>
      </c>
      <c r="T2524">
        <v>-0.22232689999999999</v>
      </c>
      <c r="U2524">
        <v>-2.9779049999999998</v>
      </c>
      <c r="V2524">
        <v>-3.3780230000000001E-2</v>
      </c>
      <c r="W2524">
        <v>-9.6575229999999998E-2</v>
      </c>
      <c r="X2524">
        <v>0.99475230000000003</v>
      </c>
      <c r="Y2524">
        <v>-0.1291011</v>
      </c>
      <c r="Z2524">
        <v>5.9804160000000002E-2</v>
      </c>
      <c r="AA2524">
        <v>0.9898264</v>
      </c>
      <c r="AB2524">
        <v>17</v>
      </c>
      <c r="AC2524">
        <v>2.17500000000001</v>
      </c>
      <c r="AD2524">
        <v>-1.121513347467</v>
      </c>
      <c r="AE2524">
        <v>-14.858499999999999</v>
      </c>
      <c r="AF2524">
        <v>-1.95283972386575</v>
      </c>
      <c r="AG2524">
        <v>-1.121513347467</v>
      </c>
      <c r="AH2524">
        <v>14.8053156343657</v>
      </c>
      <c r="AI2524">
        <v>94.294864725356206</v>
      </c>
      <c r="AJ2524">
        <v>97.514009515185506</v>
      </c>
      <c r="AK2524">
        <v>14.9756050364867</v>
      </c>
      <c r="AL2524">
        <v>95.541990728361299</v>
      </c>
      <c r="AM2524">
        <v>91.944927543983795</v>
      </c>
      <c r="AN2524">
        <v>1.0000000086718399</v>
      </c>
    </row>
    <row r="2525" spans="1:40" x14ac:dyDescent="0.25">
      <c r="A2525" t="str">
        <f>"20190303154515829"</f>
        <v>20190303154515829</v>
      </c>
      <c r="B2525" t="str">
        <f>"1551599115822863"</f>
        <v>1551599115822863</v>
      </c>
      <c r="C2525" t="s">
        <v>40</v>
      </c>
      <c r="D2525">
        <v>4.621283</v>
      </c>
      <c r="E2525">
        <v>0.46118609999999999</v>
      </c>
      <c r="F2525" t="s">
        <v>54</v>
      </c>
      <c r="G2525">
        <v>-490.63940000000002</v>
      </c>
      <c r="H2525" s="1">
        <v>4.7019709999999999E-6</v>
      </c>
      <c r="I2525">
        <v>223.77369999999999</v>
      </c>
      <c r="J2525">
        <v>-492.88920000000002</v>
      </c>
      <c r="K2525">
        <v>1.1214580000000001</v>
      </c>
      <c r="L2525">
        <v>238.35130000000001</v>
      </c>
      <c r="M2525">
        <v>1.509069E-2</v>
      </c>
      <c r="N2525">
        <v>-1.398163E-2</v>
      </c>
      <c r="O2525">
        <v>-0.99978849999999997</v>
      </c>
      <c r="P2525">
        <v>5.3507720000000002E-2</v>
      </c>
      <c r="Q2525">
        <v>-0.11103789999999999</v>
      </c>
      <c r="R2525">
        <v>-0.9923748</v>
      </c>
      <c r="S2525">
        <v>0.45465090000000002</v>
      </c>
      <c r="T2525">
        <v>-0.22628870000000001</v>
      </c>
      <c r="U2525">
        <v>-2.9748540000000001</v>
      </c>
      <c r="V2525">
        <v>-3.8444569999999997E-2</v>
      </c>
      <c r="W2525">
        <v>-9.7173999999999996E-2</v>
      </c>
      <c r="X2525">
        <v>0.99452459999999998</v>
      </c>
      <c r="Y2525">
        <v>-0.13577449999999999</v>
      </c>
      <c r="Z2525">
        <v>6.1117749999999998E-2</v>
      </c>
      <c r="AA2525">
        <v>0.98885279999999998</v>
      </c>
      <c r="AB2525">
        <v>17</v>
      </c>
      <c r="AC2525">
        <v>2.2497999999999898</v>
      </c>
      <c r="AD2525">
        <v>-1.121453298029</v>
      </c>
      <c r="AE2525">
        <v>-14.5776</v>
      </c>
      <c r="AF2525">
        <v>-2.0178718839988998</v>
      </c>
      <c r="AG2525">
        <v>-1.121453298029</v>
      </c>
      <c r="AH2525">
        <v>14.5259265706043</v>
      </c>
      <c r="AI2525">
        <v>94.372855574651396</v>
      </c>
      <c r="AJ2525">
        <v>97.908641254919402</v>
      </c>
      <c r="AK2525">
        <v>14.708229233136199</v>
      </c>
      <c r="AL2525">
        <v>95.576460029645602</v>
      </c>
      <c r="AM2525">
        <v>92.213736508151001</v>
      </c>
      <c r="AN2525">
        <v>0.99999997562182197</v>
      </c>
    </row>
    <row r="2526" spans="1:40" x14ac:dyDescent="0.25">
      <c r="A2526" t="str">
        <f>"20190303154515852"</f>
        <v>20190303154515852</v>
      </c>
      <c r="B2526" t="str">
        <f>"1551599115843359"</f>
        <v>1551599115843359</v>
      </c>
      <c r="C2526" t="s">
        <v>40</v>
      </c>
      <c r="D2526">
        <v>4.6474190000000002</v>
      </c>
      <c r="E2526">
        <v>0.46141690000000002</v>
      </c>
      <c r="F2526" t="s">
        <v>54</v>
      </c>
      <c r="G2526">
        <v>-490.59300000000002</v>
      </c>
      <c r="H2526" s="1">
        <v>4.7455429999999998E-6</v>
      </c>
      <c r="I2526">
        <v>223.8878</v>
      </c>
      <c r="J2526">
        <v>-492.88569999999999</v>
      </c>
      <c r="K2526">
        <v>1.1213949999999999</v>
      </c>
      <c r="L2526">
        <v>238.1824</v>
      </c>
      <c r="M2526">
        <v>1.590041E-2</v>
      </c>
      <c r="N2526">
        <v>-1.3976219999999999E-2</v>
      </c>
      <c r="O2526">
        <v>-0.99977609999999995</v>
      </c>
      <c r="P2526">
        <v>5.8882879999999999E-2</v>
      </c>
      <c r="Q2526">
        <v>-0.1116597</v>
      </c>
      <c r="R2526">
        <v>-0.99200080000000002</v>
      </c>
      <c r="S2526">
        <v>0.47180179999999999</v>
      </c>
      <c r="T2526">
        <v>-0.23042699999999999</v>
      </c>
      <c r="U2526">
        <v>-2.971832</v>
      </c>
      <c r="V2526">
        <v>-4.3033889999999998E-2</v>
      </c>
      <c r="W2526">
        <v>-9.7802559999999997E-2</v>
      </c>
      <c r="X2526">
        <v>0.99427500000000002</v>
      </c>
      <c r="Y2526">
        <v>-0.1406741</v>
      </c>
      <c r="Z2526">
        <v>6.2505599999999994E-2</v>
      </c>
      <c r="AA2526">
        <v>0.98808090000000004</v>
      </c>
      <c r="AB2526">
        <v>17</v>
      </c>
      <c r="AC2526">
        <v>2.29269999999996</v>
      </c>
      <c r="AD2526">
        <v>-1.121390254457</v>
      </c>
      <c r="AE2526">
        <v>-14.294600000000001</v>
      </c>
      <c r="AF2526">
        <v>-2.0527816105818699</v>
      </c>
      <c r="AG2526">
        <v>-1.121390254457</v>
      </c>
      <c r="AH2526">
        <v>14.2437906758372</v>
      </c>
      <c r="AI2526">
        <v>94.455671731038194</v>
      </c>
      <c r="AJ2526">
        <v>98.200867021638103</v>
      </c>
      <c r="AK2526">
        <v>14.4345765875068</v>
      </c>
      <c r="AL2526">
        <v>95.612646005524496</v>
      </c>
      <c r="AM2526">
        <v>92.478310686494595</v>
      </c>
      <c r="AN2526">
        <v>1.00000001602804</v>
      </c>
    </row>
    <row r="2527" spans="1:40" x14ac:dyDescent="0.25">
      <c r="A2527" t="str">
        <f>"20190303154515874"</f>
        <v>20190303154515874</v>
      </c>
      <c r="B2527" t="str">
        <f>"1551599115862882"</f>
        <v>1551599115862882</v>
      </c>
      <c r="C2527" t="s">
        <v>40</v>
      </c>
      <c r="D2527">
        <v>4.652393</v>
      </c>
      <c r="E2527">
        <v>0.46185389999999998</v>
      </c>
      <c r="F2527" t="s">
        <v>54</v>
      </c>
      <c r="G2527">
        <v>-490.57670000000002</v>
      </c>
      <c r="H2527" s="1">
        <v>4.8044920000000001E-6</v>
      </c>
      <c r="I2527">
        <v>224.06880000000001</v>
      </c>
      <c r="J2527">
        <v>-492.88209999999998</v>
      </c>
      <c r="K2527">
        <v>1.1213280000000001</v>
      </c>
      <c r="L2527">
        <v>238.0162</v>
      </c>
      <c r="M2527">
        <v>1.659472E-2</v>
      </c>
      <c r="N2527">
        <v>-1.397084E-2</v>
      </c>
      <c r="O2527">
        <v>-0.99976480000000001</v>
      </c>
      <c r="P2527">
        <v>6.3579129999999998E-2</v>
      </c>
      <c r="Q2527">
        <v>-0.11191710000000001</v>
      </c>
      <c r="R2527">
        <v>-0.99168149999999999</v>
      </c>
      <c r="S2527">
        <v>0.48568729999999899</v>
      </c>
      <c r="T2527">
        <v>-0.23588429999999999</v>
      </c>
      <c r="U2527">
        <v>-2.9688110000000001</v>
      </c>
      <c r="V2527">
        <v>-4.7058419999999997E-2</v>
      </c>
      <c r="W2527">
        <v>-9.8064429999999994E-2</v>
      </c>
      <c r="X2527">
        <v>0.99406680000000003</v>
      </c>
      <c r="Y2527">
        <v>-0.14462230000000001</v>
      </c>
      <c r="Z2527">
        <v>6.4338839999999994E-2</v>
      </c>
      <c r="AA2527">
        <v>0.98739299999999997</v>
      </c>
      <c r="AB2527">
        <v>17</v>
      </c>
      <c r="AC2527">
        <v>2.3053999999999601</v>
      </c>
      <c r="AD2527">
        <v>-1.1213231955079901</v>
      </c>
      <c r="AE2527">
        <v>-13.947399999999901</v>
      </c>
      <c r="AF2527">
        <v>-2.0606417572761702</v>
      </c>
      <c r="AG2527">
        <v>-1.1213231955079901</v>
      </c>
      <c r="AH2527">
        <v>13.8963086987404</v>
      </c>
      <c r="AI2527">
        <v>94.563636962073502</v>
      </c>
      <c r="AJ2527">
        <v>98.434752941957996</v>
      </c>
      <c r="AK2527">
        <v>14.092941694738601</v>
      </c>
      <c r="AL2527">
        <v>95.627722812087697</v>
      </c>
      <c r="AM2527">
        <v>92.710318315309195</v>
      </c>
      <c r="AN2527">
        <v>0.99999996509318001</v>
      </c>
    </row>
    <row r="2528" spans="1:40" x14ac:dyDescent="0.25">
      <c r="A2528" t="str">
        <f>"20190303154515897"</f>
        <v>20190303154515897</v>
      </c>
      <c r="B2528" t="str">
        <f>"1551599115893137"</f>
        <v>1551599115893137</v>
      </c>
      <c r="C2528" t="s">
        <v>40</v>
      </c>
      <c r="D2528">
        <v>4.7021860000000002</v>
      </c>
      <c r="E2528">
        <v>0.46273340000000002</v>
      </c>
      <c r="F2528" t="s">
        <v>54</v>
      </c>
      <c r="G2528">
        <v>-490.54849999999999</v>
      </c>
      <c r="H2528" s="1">
        <v>4.8098180000000002E-6</v>
      </c>
      <c r="I2528">
        <v>224.06979999999999</v>
      </c>
      <c r="J2528">
        <v>-492.87849999999997</v>
      </c>
      <c r="K2528">
        <v>1.121237</v>
      </c>
      <c r="L2528">
        <v>237.84979999999999</v>
      </c>
      <c r="M2528">
        <v>1.7187770000000002E-2</v>
      </c>
      <c r="N2528">
        <v>-1.396551E-2</v>
      </c>
      <c r="O2528">
        <v>-0.99975499999999995</v>
      </c>
      <c r="P2528">
        <v>6.7248550000000004E-2</v>
      </c>
      <c r="Q2528">
        <v>-0.1129011</v>
      </c>
      <c r="R2528">
        <v>-0.9913284</v>
      </c>
      <c r="S2528">
        <v>0.49636839999999999</v>
      </c>
      <c r="T2528">
        <v>-0.23850769999999999</v>
      </c>
      <c r="U2528">
        <v>-2.966431</v>
      </c>
      <c r="V2528">
        <v>-5.015754E-2</v>
      </c>
      <c r="W2528">
        <v>-9.9051979999999998E-2</v>
      </c>
      <c r="X2528">
        <v>0.99381730000000001</v>
      </c>
      <c r="Y2528">
        <v>-0.14760909999999999</v>
      </c>
      <c r="Z2528">
        <v>6.5231579999999997E-2</v>
      </c>
      <c r="AA2528">
        <v>0.98689229999999994</v>
      </c>
      <c r="AB2528">
        <v>17</v>
      </c>
      <c r="AC2528">
        <v>2.3299999999999801</v>
      </c>
      <c r="AD2528">
        <v>-1.1212321901819999</v>
      </c>
      <c r="AE2528">
        <v>-13.78</v>
      </c>
      <c r="AF2528">
        <v>-2.0794011492498798</v>
      </c>
      <c r="AG2528">
        <v>-1.1212321901819999</v>
      </c>
      <c r="AH2528">
        <v>13.729644428852801</v>
      </c>
      <c r="AI2528">
        <v>94.616289737108701</v>
      </c>
      <c r="AJ2528">
        <v>98.6121887166628</v>
      </c>
      <c r="AK2528">
        <v>13.9314108010112</v>
      </c>
      <c r="AL2528">
        <v>95.684582182970203</v>
      </c>
      <c r="AM2528">
        <v>92.889242353754497</v>
      </c>
      <c r="AN2528">
        <v>0.99999994967002903</v>
      </c>
    </row>
    <row r="2529" spans="1:40" x14ac:dyDescent="0.25">
      <c r="A2529" t="str">
        <f>"20190303154515911"</f>
        <v>20190303154515911</v>
      </c>
      <c r="B2529" t="str">
        <f>"1551599115902969"</f>
        <v>1551599115902969</v>
      </c>
      <c r="C2529" t="s">
        <v>40</v>
      </c>
      <c r="D2529">
        <v>4.6731199999999999</v>
      </c>
      <c r="E2529">
        <v>0.46294809999999997</v>
      </c>
      <c r="F2529" t="s">
        <v>54</v>
      </c>
      <c r="G2529">
        <v>-490.54599999999999</v>
      </c>
      <c r="H2529" s="1">
        <v>4.7961730000000002E-6</v>
      </c>
      <c r="I2529">
        <v>224.02430000000001</v>
      </c>
      <c r="J2529">
        <v>-492.87610000000001</v>
      </c>
      <c r="K2529">
        <v>1.121192</v>
      </c>
      <c r="L2529">
        <v>237.7354</v>
      </c>
      <c r="M2529">
        <v>1.753555E-2</v>
      </c>
      <c r="N2529">
        <v>-1.3961909999999999E-2</v>
      </c>
      <c r="O2529">
        <v>-0.99974890000000005</v>
      </c>
      <c r="P2529">
        <v>6.8749930000000001E-2</v>
      </c>
      <c r="Q2529">
        <v>-0.1133849</v>
      </c>
      <c r="R2529">
        <v>-0.99117</v>
      </c>
      <c r="S2529">
        <v>0.50021359999999904</v>
      </c>
      <c r="T2529">
        <v>-0.240454</v>
      </c>
      <c r="U2529">
        <v>-2.9649350000000001</v>
      </c>
      <c r="V2529">
        <v>-5.1325509999999998E-2</v>
      </c>
      <c r="W2529">
        <v>-9.9536659999999999E-2</v>
      </c>
      <c r="X2529">
        <v>0.99370930000000002</v>
      </c>
      <c r="Y2529">
        <v>-0.14858209999999999</v>
      </c>
      <c r="Z2529">
        <v>6.5902479999999999E-2</v>
      </c>
      <c r="AA2529">
        <v>0.98670170000000001</v>
      </c>
      <c r="AB2529">
        <v>17</v>
      </c>
      <c r="AC2529">
        <v>2.3301000000000101</v>
      </c>
      <c r="AD2529">
        <v>-1.1211872038270001</v>
      </c>
      <c r="AE2529">
        <v>-13.711099999999901</v>
      </c>
      <c r="AF2529">
        <v>-2.0757959688255401</v>
      </c>
      <c r="AG2529">
        <v>-1.1211872038270001</v>
      </c>
      <c r="AH2529">
        <v>13.6610715934833</v>
      </c>
      <c r="AI2529">
        <v>94.638835399170205</v>
      </c>
      <c r="AJ2529">
        <v>98.639986640602203</v>
      </c>
      <c r="AK2529">
        <v>13.863292059698299</v>
      </c>
      <c r="AL2529">
        <v>95.712489854129103</v>
      </c>
      <c r="AM2529">
        <v>92.956724081397994</v>
      </c>
      <c r="AN2529">
        <v>1.0000000137836</v>
      </c>
    </row>
    <row r="2530" spans="1:40" x14ac:dyDescent="0.25">
      <c r="A2530" t="str">
        <f>"20190303154515932"</f>
        <v>20190303154515932</v>
      </c>
      <c r="B2530" t="str">
        <f>"1551599115923465"</f>
        <v>1551599115923465</v>
      </c>
      <c r="C2530" t="s">
        <v>40</v>
      </c>
      <c r="D2530">
        <v>4.7077229999999997</v>
      </c>
      <c r="E2530">
        <v>0.4636112</v>
      </c>
      <c r="F2530" t="s">
        <v>54</v>
      </c>
      <c r="G2530">
        <v>-490.5478</v>
      </c>
      <c r="H2530" s="1">
        <v>4.7946940000000003E-6</v>
      </c>
      <c r="I2530">
        <v>224.0206</v>
      </c>
      <c r="J2530">
        <v>-492.87299999999999</v>
      </c>
      <c r="K2530">
        <v>1.1211450000000001</v>
      </c>
      <c r="L2530">
        <v>237.58690000000001</v>
      </c>
      <c r="M2530">
        <v>1.7926640000000001E-2</v>
      </c>
      <c r="N2530">
        <v>-1.3957229999999999E-2</v>
      </c>
      <c r="O2530">
        <v>-0.99974180000000001</v>
      </c>
      <c r="P2530">
        <v>7.1318930000000003E-2</v>
      </c>
      <c r="Q2530">
        <v>-0.1152984</v>
      </c>
      <c r="R2530">
        <v>-0.99076739999999996</v>
      </c>
      <c r="S2530">
        <v>0.50320429999999905</v>
      </c>
      <c r="T2530">
        <v>-0.24231620000000001</v>
      </c>
      <c r="U2530">
        <v>-2.9641109999999999</v>
      </c>
      <c r="V2530">
        <v>-5.3524479999999999E-2</v>
      </c>
      <c r="W2530">
        <v>-0.10145410000000001</v>
      </c>
      <c r="X2530">
        <v>0.99339929999999999</v>
      </c>
      <c r="Y2530">
        <v>-0.1492001</v>
      </c>
      <c r="Z2530">
        <v>6.6533049999999996E-2</v>
      </c>
      <c r="AA2530">
        <v>0.9865661</v>
      </c>
      <c r="AB2530">
        <v>17</v>
      </c>
      <c r="AC2530">
        <v>2.3252000000000499</v>
      </c>
      <c r="AD2530">
        <v>-1.121140205306</v>
      </c>
      <c r="AE2530">
        <v>-13.5663</v>
      </c>
      <c r="AF2530">
        <v>-2.0678845486450101</v>
      </c>
      <c r="AG2530">
        <v>-1.121140205306</v>
      </c>
      <c r="AH2530">
        <v>13.516130831578</v>
      </c>
      <c r="AI2530">
        <v>94.687437817438195</v>
      </c>
      <c r="AJ2530">
        <v>98.698450418807496</v>
      </c>
      <c r="AK2530">
        <v>13.7192891405791</v>
      </c>
      <c r="AL2530">
        <v>95.822910246920799</v>
      </c>
      <c r="AM2530">
        <v>93.084121686251507</v>
      </c>
      <c r="AN2530">
        <v>0.99999998680328495</v>
      </c>
    </row>
    <row r="2531" spans="1:40" x14ac:dyDescent="0.25">
      <c r="A2531" t="str">
        <f>"20190303154515952"</f>
        <v>20190303154515952</v>
      </c>
      <c r="B2531" t="str">
        <f>"1551599115942985"</f>
        <v>1551599115942985</v>
      </c>
      <c r="C2531" t="s">
        <v>40</v>
      </c>
      <c r="D2531">
        <v>4.8080280000000002</v>
      </c>
      <c r="E2531">
        <v>0.46398279999999997</v>
      </c>
      <c r="F2531" t="s">
        <v>54</v>
      </c>
      <c r="G2531">
        <v>-490.58330000000001</v>
      </c>
      <c r="H2531" s="1">
        <v>4.8303299999999997E-6</v>
      </c>
      <c r="I2531">
        <v>224.1559</v>
      </c>
      <c r="J2531">
        <v>-492.8698</v>
      </c>
      <c r="K2531">
        <v>1.1211059999999999</v>
      </c>
      <c r="L2531">
        <v>237.43299999999999</v>
      </c>
      <c r="M2531">
        <v>1.82638E-2</v>
      </c>
      <c r="N2531">
        <v>-1.395241E-2</v>
      </c>
      <c r="O2531">
        <v>-0.99973579999999995</v>
      </c>
      <c r="P2531">
        <v>7.2816510000000001E-2</v>
      </c>
      <c r="Q2531">
        <v>-0.1166171</v>
      </c>
      <c r="R2531">
        <v>-0.9905041</v>
      </c>
      <c r="S2531">
        <v>0.5050964</v>
      </c>
      <c r="T2531">
        <v>-0.2473178</v>
      </c>
      <c r="U2531">
        <v>-2.962799</v>
      </c>
      <c r="V2531">
        <v>-5.4701670000000001E-2</v>
      </c>
      <c r="W2531">
        <v>-0.1027753</v>
      </c>
      <c r="X2531">
        <v>0.99319930000000001</v>
      </c>
      <c r="Y2531">
        <v>-0.14953</v>
      </c>
      <c r="Z2531">
        <v>6.8217529999999998E-2</v>
      </c>
      <c r="AA2531">
        <v>0.98640110000000003</v>
      </c>
      <c r="AB2531">
        <v>17</v>
      </c>
      <c r="AC2531">
        <v>2.2864999999999802</v>
      </c>
      <c r="AD2531">
        <v>-1.12110116967</v>
      </c>
      <c r="AE2531">
        <v>-13.2770999999999</v>
      </c>
      <c r="AF2531">
        <v>-2.0295509401929701</v>
      </c>
      <c r="AG2531">
        <v>-1.12110116967</v>
      </c>
      <c r="AH2531">
        <v>13.2250718198892</v>
      </c>
      <c r="AI2531">
        <v>94.789624190199206</v>
      </c>
      <c r="AJ2531">
        <v>98.724680569255895</v>
      </c>
      <c r="AK2531">
        <v>13.426781799549</v>
      </c>
      <c r="AL2531">
        <v>95.899007488238297</v>
      </c>
      <c r="AM2531">
        <v>93.152450389014106</v>
      </c>
      <c r="AN2531">
        <v>0.99999994225568201</v>
      </c>
    </row>
    <row r="2532" spans="1:40" x14ac:dyDescent="0.25">
      <c r="A2532" t="str">
        <f>"20190303154515975"</f>
        <v>20190303154515975</v>
      </c>
      <c r="B2532" t="str">
        <f>"1551599115963484"</f>
        <v>1551599115963484</v>
      </c>
      <c r="C2532" t="s">
        <v>40</v>
      </c>
      <c r="D2532">
        <v>4.7341709999999999</v>
      </c>
      <c r="E2532">
        <v>0.47299809999999998</v>
      </c>
      <c r="F2532" t="s">
        <v>54</v>
      </c>
      <c r="G2532">
        <v>-490.6096</v>
      </c>
      <c r="H2532" s="1">
        <v>4.8518400000000001E-6</v>
      </c>
      <c r="I2532">
        <v>224.24039999999999</v>
      </c>
      <c r="J2532">
        <v>-492.8664</v>
      </c>
      <c r="K2532">
        <v>1.1210770000000001</v>
      </c>
      <c r="L2532">
        <v>237.26820000000001</v>
      </c>
      <c r="M2532">
        <v>1.855853E-2</v>
      </c>
      <c r="N2532">
        <v>-1.394752E-2</v>
      </c>
      <c r="O2532">
        <v>-0.99973060000000002</v>
      </c>
      <c r="P2532">
        <v>7.4427750000000001E-2</v>
      </c>
      <c r="Q2532">
        <v>-0.1171097</v>
      </c>
      <c r="R2532">
        <v>-0.99032620000000005</v>
      </c>
      <c r="S2532">
        <v>0.50744630000000002</v>
      </c>
      <c r="T2532">
        <v>-0.25169530000000001</v>
      </c>
      <c r="U2532">
        <v>-2.9618380000000002</v>
      </c>
      <c r="V2532">
        <v>-5.603143E-2</v>
      </c>
      <c r="W2532">
        <v>-0.1032703</v>
      </c>
      <c r="X2532">
        <v>0.99307389999999995</v>
      </c>
      <c r="Y2532">
        <v>-0.150033</v>
      </c>
      <c r="Z2532">
        <v>6.9684739999999995E-2</v>
      </c>
      <c r="AA2532">
        <v>0.98622209999999999</v>
      </c>
      <c r="AB2532">
        <v>17</v>
      </c>
      <c r="AC2532">
        <v>2.2567999999999899</v>
      </c>
      <c r="AD2532">
        <v>-1.1210721481599999</v>
      </c>
      <c r="AE2532">
        <v>-13.027799999999999</v>
      </c>
      <c r="AF2532">
        <v>-2.0002307603267102</v>
      </c>
      <c r="AG2532">
        <v>-1.1210721481599999</v>
      </c>
      <c r="AH2532">
        <v>12.974168157831199</v>
      </c>
      <c r="AI2532">
        <v>94.881163446716201</v>
      </c>
      <c r="AJ2532">
        <v>98.764301422553601</v>
      </c>
      <c r="AK2532">
        <v>13.175233024262599</v>
      </c>
      <c r="AL2532">
        <v>95.927520136655403</v>
      </c>
      <c r="AM2532">
        <v>93.229330924452498</v>
      </c>
      <c r="AN2532">
        <v>1.0000000234355699</v>
      </c>
    </row>
    <row r="2533" spans="1:40" x14ac:dyDescent="0.25">
      <c r="A2533" t="str">
        <f>"20190303154515997"</f>
        <v>20190303154515997</v>
      </c>
      <c r="B2533" t="str">
        <f>"1551599115993737"</f>
        <v>1551599115993737</v>
      </c>
      <c r="C2533" t="s">
        <v>40</v>
      </c>
      <c r="D2533">
        <v>4.7539249999999997</v>
      </c>
      <c r="E2533">
        <v>0.47182170000000001</v>
      </c>
      <c r="F2533" t="s">
        <v>54</v>
      </c>
      <c r="G2533">
        <v>-491.05250000000001</v>
      </c>
      <c r="H2533" s="1">
        <v>4.9712020000000004E-6</v>
      </c>
      <c r="I2533">
        <v>225.0361</v>
      </c>
      <c r="J2533">
        <v>-492.863</v>
      </c>
      <c r="K2533">
        <v>1.1210629999999999</v>
      </c>
      <c r="L2533">
        <v>237.10159999999999</v>
      </c>
      <c r="M2533">
        <v>1.8796440000000001E-2</v>
      </c>
      <c r="N2533">
        <v>-1.394272E-2</v>
      </c>
      <c r="O2533">
        <v>-0.99972629999999996</v>
      </c>
      <c r="P2533">
        <v>7.5584410000000005E-2</v>
      </c>
      <c r="Q2533">
        <v>-0.11572490000000001</v>
      </c>
      <c r="R2533">
        <v>-0.99040159999999999</v>
      </c>
      <c r="S2533">
        <v>0.43954470000000001</v>
      </c>
      <c r="T2533">
        <v>-0.27166190000000001</v>
      </c>
      <c r="U2533">
        <v>-2.9641419999999998</v>
      </c>
      <c r="V2533">
        <v>-5.6956350000000003E-2</v>
      </c>
      <c r="W2533">
        <v>-0.1018857</v>
      </c>
      <c r="X2533">
        <v>0.9931643</v>
      </c>
      <c r="Y2533">
        <v>-0.12754019999999999</v>
      </c>
      <c r="Z2533">
        <v>7.6505740000000003E-2</v>
      </c>
      <c r="AA2533">
        <v>0.98887840000000005</v>
      </c>
      <c r="AB2533">
        <v>17</v>
      </c>
      <c r="AC2533">
        <v>1.81050000000004</v>
      </c>
      <c r="AD2533">
        <v>-1.1210580287980001</v>
      </c>
      <c r="AE2533">
        <v>-12.065499999999901</v>
      </c>
      <c r="AF2533">
        <v>-1.57011321455261</v>
      </c>
      <c r="AG2533">
        <v>-1.1210580287980001</v>
      </c>
      <c r="AH2533">
        <v>11.9961194063479</v>
      </c>
      <c r="AI2533">
        <v>95.293990406829295</v>
      </c>
      <c r="AJ2533">
        <v>97.456775824910096</v>
      </c>
      <c r="AK2533">
        <v>12.1502636770485</v>
      </c>
      <c r="AL2533">
        <v>95.847767693952093</v>
      </c>
      <c r="AM2533">
        <v>93.282224265617799</v>
      </c>
      <c r="AN2533">
        <v>1.0000000242321501</v>
      </c>
    </row>
    <row r="2534" spans="1:40" x14ac:dyDescent="0.25">
      <c r="A2534" t="str">
        <f>"20190303154516012"</f>
        <v>20190303154516012</v>
      </c>
      <c r="B2534" t="str">
        <f>"1551599116003497"</f>
        <v>1551599116003497</v>
      </c>
      <c r="C2534" t="s">
        <v>40</v>
      </c>
      <c r="D2534">
        <v>4.7540990000000001</v>
      </c>
      <c r="E2534">
        <v>0.47154839999999998</v>
      </c>
      <c r="F2534" t="s">
        <v>54</v>
      </c>
      <c r="G2534">
        <v>-490.8897</v>
      </c>
      <c r="H2534" s="1">
        <v>4.7811099999999997E-6</v>
      </c>
      <c r="I2534">
        <v>224.1814</v>
      </c>
      <c r="J2534">
        <v>-492.86079999999998</v>
      </c>
      <c r="K2534">
        <v>1.121057</v>
      </c>
      <c r="L2534">
        <v>236.99420000000001</v>
      </c>
      <c r="M2534">
        <v>1.8921489999999999E-2</v>
      </c>
      <c r="N2534">
        <v>-1.3939709999999999E-2</v>
      </c>
      <c r="O2534">
        <v>-0.9997239</v>
      </c>
      <c r="P2534">
        <v>7.6106729999999997E-2</v>
      </c>
      <c r="Q2534">
        <v>-0.1152123</v>
      </c>
      <c r="R2534">
        <v>-0.99042129999999995</v>
      </c>
      <c r="S2534">
        <v>0.45275880000000002</v>
      </c>
      <c r="T2534">
        <v>-0.25721919999999998</v>
      </c>
      <c r="U2534">
        <v>-2.9644620000000002</v>
      </c>
      <c r="V2534">
        <v>-5.7356200000000003E-2</v>
      </c>
      <c r="W2534">
        <v>-0.1013743</v>
      </c>
      <c r="X2534">
        <v>0.99319360000000001</v>
      </c>
      <c r="Y2534">
        <v>-0.1317654</v>
      </c>
      <c r="Z2534">
        <v>7.1674280000000007E-2</v>
      </c>
      <c r="AA2534">
        <v>0.98868630000000002</v>
      </c>
      <c r="AB2534">
        <v>17</v>
      </c>
      <c r="AC2534">
        <v>1.9710999999999701</v>
      </c>
      <c r="AD2534">
        <v>-1.1210522188900001</v>
      </c>
      <c r="AE2534">
        <v>-12.812799999999999</v>
      </c>
      <c r="AF2534">
        <v>-1.71545747697551</v>
      </c>
      <c r="AG2534">
        <v>-1.1210522188900001</v>
      </c>
      <c r="AH2534">
        <v>12.752438409876699</v>
      </c>
      <c r="AI2534">
        <v>94.979270274731107</v>
      </c>
      <c r="AJ2534">
        <v>97.661433957024997</v>
      </c>
      <c r="AK2534">
        <v>12.916045750557201</v>
      </c>
      <c r="AL2534">
        <v>95.818314243868201</v>
      </c>
      <c r="AM2534">
        <v>93.3051182280483</v>
      </c>
      <c r="AN2534">
        <v>1.00000000472994</v>
      </c>
    </row>
    <row r="2535" spans="1:40" x14ac:dyDescent="0.25">
      <c r="A2535" t="str">
        <f>"20190303154516030"</f>
        <v>20190303154516030</v>
      </c>
      <c r="B2535" t="str">
        <f>"1551599116023017"</f>
        <v>1551599116023017</v>
      </c>
      <c r="C2535" t="s">
        <v>40</v>
      </c>
      <c r="D2535">
        <v>4.746785</v>
      </c>
      <c r="E2535">
        <v>0.47159780000000001</v>
      </c>
      <c r="F2535" t="s">
        <v>54</v>
      </c>
      <c r="G2535">
        <v>-490.84969999999998</v>
      </c>
      <c r="H2535" s="1">
        <v>4.7148010000000004E-6</v>
      </c>
      <c r="I2535">
        <v>223.93549999999999</v>
      </c>
      <c r="J2535">
        <v>-492.858</v>
      </c>
      <c r="K2535">
        <v>1.1210530000000001</v>
      </c>
      <c r="L2535">
        <v>236.85830000000001</v>
      </c>
      <c r="M2535">
        <v>1.905975E-2</v>
      </c>
      <c r="N2535">
        <v>-1.3935970000000001E-2</v>
      </c>
      <c r="O2535">
        <v>-0.99972130000000003</v>
      </c>
      <c r="P2535">
        <v>7.6744590000000001E-2</v>
      </c>
      <c r="Q2535">
        <v>-0.11392679999999999</v>
      </c>
      <c r="R2535">
        <v>-0.99052059999999997</v>
      </c>
      <c r="S2535">
        <v>0.45651249999999999</v>
      </c>
      <c r="T2535">
        <v>-0.25448189999999998</v>
      </c>
      <c r="U2535">
        <v>-2.9643549999999999</v>
      </c>
      <c r="V2535">
        <v>-5.7856770000000002E-2</v>
      </c>
      <c r="W2535">
        <v>-0.10009</v>
      </c>
      <c r="X2535">
        <v>0.99329480000000003</v>
      </c>
      <c r="Y2535">
        <v>-0.1328667</v>
      </c>
      <c r="Z2535">
        <v>7.0761889999999994E-2</v>
      </c>
      <c r="AA2535">
        <v>0.9886047</v>
      </c>
      <c r="AB2535">
        <v>17</v>
      </c>
      <c r="AC2535">
        <v>2.0083000000000202</v>
      </c>
      <c r="AD2535">
        <v>-1.121048285199</v>
      </c>
      <c r="AE2535">
        <v>-12.922800000000001</v>
      </c>
      <c r="AF2535">
        <v>-1.74875595685102</v>
      </c>
      <c r="AG2535">
        <v>-1.121048285199</v>
      </c>
      <c r="AH2535">
        <v>12.864206845909701</v>
      </c>
      <c r="AI2535">
        <v>94.935280210718901</v>
      </c>
      <c r="AJ2535">
        <v>97.741316302983506</v>
      </c>
      <c r="AK2535">
        <v>13.030837057868499</v>
      </c>
      <c r="AL2535">
        <v>95.744353175047095</v>
      </c>
      <c r="AM2535">
        <v>93.3335596017927</v>
      </c>
      <c r="AN2535">
        <v>0.99999998682093605</v>
      </c>
    </row>
    <row r="2536" spans="1:40" x14ac:dyDescent="0.25">
      <c r="A2536" t="str">
        <f>"20190303154516053"</f>
        <v>20190303154516053</v>
      </c>
      <c r="B2536" t="str">
        <f>"1551599116043513"</f>
        <v>1551599116043513</v>
      </c>
      <c r="C2536" t="s">
        <v>40</v>
      </c>
      <c r="D2536">
        <v>4.7008330000000003</v>
      </c>
      <c r="E2536">
        <v>0.47172500000000001</v>
      </c>
      <c r="F2536" t="s">
        <v>54</v>
      </c>
      <c r="G2536">
        <v>-490.80279999999999</v>
      </c>
      <c r="H2536" s="1">
        <v>4.6064499999999997E-6</v>
      </c>
      <c r="I2536">
        <v>223.55889999999999</v>
      </c>
      <c r="J2536">
        <v>-492.8546</v>
      </c>
      <c r="K2536">
        <v>1.121046</v>
      </c>
      <c r="L2536">
        <v>236.69200000000001</v>
      </c>
      <c r="M2536">
        <v>1.9207149999999999E-2</v>
      </c>
      <c r="N2536">
        <v>-1.3931519999999999E-2</v>
      </c>
      <c r="O2536">
        <v>-0.99971869999999996</v>
      </c>
      <c r="P2536">
        <v>7.7460719999999997E-2</v>
      </c>
      <c r="Q2536">
        <v>-0.1140959</v>
      </c>
      <c r="R2536">
        <v>-0.99044569999999998</v>
      </c>
      <c r="S2536">
        <v>0.45809939999999999</v>
      </c>
      <c r="T2536">
        <v>-0.24988369999999999</v>
      </c>
      <c r="U2536">
        <v>-2.9644469999999998</v>
      </c>
      <c r="V2536">
        <v>-5.8428840000000003E-2</v>
      </c>
      <c r="W2536">
        <v>-0.1002637</v>
      </c>
      <c r="X2536">
        <v>0.99324380000000001</v>
      </c>
      <c r="Y2536">
        <v>-0.13325049999999999</v>
      </c>
      <c r="Z2536">
        <v>6.9238019999999997E-2</v>
      </c>
      <c r="AA2536">
        <v>0.98866089999999995</v>
      </c>
      <c r="AB2536">
        <v>16</v>
      </c>
      <c r="AC2536">
        <v>2.0518000000000098</v>
      </c>
      <c r="AD2536">
        <v>-1.1210413935500001</v>
      </c>
      <c r="AE2536">
        <v>-13.133100000000001</v>
      </c>
      <c r="AF2536">
        <v>-1.7864411218291401</v>
      </c>
      <c r="AG2536">
        <v>-1.1210413935500001</v>
      </c>
      <c r="AH2536">
        <v>13.077076266162999</v>
      </c>
      <c r="AI2536">
        <v>94.854868489896305</v>
      </c>
      <c r="AJ2536">
        <v>97.778944901185199</v>
      </c>
      <c r="AK2536">
        <v>13.2460571250035</v>
      </c>
      <c r="AL2536">
        <v>95.754355735533693</v>
      </c>
      <c r="AM2536">
        <v>93.366617838528697</v>
      </c>
      <c r="AN2536">
        <v>0.99999999255993699</v>
      </c>
    </row>
    <row r="2537" spans="1:40" x14ac:dyDescent="0.25">
      <c r="A2537" t="str">
        <f>"20190303154516074"</f>
        <v>20190303154516074</v>
      </c>
      <c r="B2537" t="str">
        <f>"1551599116063050"</f>
        <v>1551599116063050</v>
      </c>
      <c r="C2537" t="s">
        <v>40</v>
      </c>
      <c r="D2537">
        <v>4.6417669999999998</v>
      </c>
      <c r="E2537">
        <v>0.47194609999999898</v>
      </c>
      <c r="F2537" t="s">
        <v>54</v>
      </c>
      <c r="G2537">
        <v>-490.79829999999998</v>
      </c>
      <c r="H2537" s="1">
        <v>4.5656169999999998E-6</v>
      </c>
      <c r="I2537">
        <v>223.42449999999999</v>
      </c>
      <c r="J2537">
        <v>-492.85140000000001</v>
      </c>
      <c r="K2537">
        <v>1.121051</v>
      </c>
      <c r="L2537">
        <v>236.53129999999999</v>
      </c>
      <c r="M2537">
        <v>1.9341029999999999E-2</v>
      </c>
      <c r="N2537">
        <v>-1.392731E-2</v>
      </c>
      <c r="O2537">
        <v>-0.9997163</v>
      </c>
      <c r="P2537">
        <v>7.8184509999999999E-2</v>
      </c>
      <c r="Q2537">
        <v>-0.11429159999999999</v>
      </c>
      <c r="R2537">
        <v>-0.99036659999999999</v>
      </c>
      <c r="S2537">
        <v>0.45941159999999998</v>
      </c>
      <c r="T2537">
        <v>-0.25045699999999999</v>
      </c>
      <c r="U2537">
        <v>-2.9641570000000002</v>
      </c>
      <c r="V2537">
        <v>-5.9020110000000001E-2</v>
      </c>
      <c r="W2537">
        <v>-0.10046480000000001</v>
      </c>
      <c r="X2537">
        <v>0.99318850000000003</v>
      </c>
      <c r="Y2537">
        <v>-0.13355729999999999</v>
      </c>
      <c r="Z2537">
        <v>6.9435129999999998E-2</v>
      </c>
      <c r="AA2537">
        <v>0.98860570000000003</v>
      </c>
      <c r="AB2537">
        <v>16</v>
      </c>
      <c r="AC2537">
        <v>2.0531000000000201</v>
      </c>
      <c r="AD2537">
        <v>-1.121046434383</v>
      </c>
      <c r="AE2537">
        <v>-13.1067999999999</v>
      </c>
      <c r="AF2537">
        <v>-1.78643639909422</v>
      </c>
      <c r="AG2537">
        <v>-1.121046434383</v>
      </c>
      <c r="AH2537">
        <v>13.0508715339472</v>
      </c>
      <c r="AI2537">
        <v>94.864413558504296</v>
      </c>
      <c r="AJ2537">
        <v>97.7943520234749</v>
      </c>
      <c r="AK2537">
        <v>13.220187136029701</v>
      </c>
      <c r="AL2537">
        <v>95.765936503683605</v>
      </c>
      <c r="AM2537">
        <v>93.400795637591301</v>
      </c>
      <c r="AN2537">
        <v>0.99999997297785004</v>
      </c>
    </row>
    <row r="2538" spans="1:40" x14ac:dyDescent="0.25">
      <c r="A2538" t="str">
        <f>"20190303154516088"</f>
        <v>20190303154516088</v>
      </c>
      <c r="B2538" t="str">
        <f>"1551599116083529"</f>
        <v>1551599116083529</v>
      </c>
      <c r="C2538" t="s">
        <v>40</v>
      </c>
      <c r="D2538">
        <v>4.5944520000000004</v>
      </c>
      <c r="E2538">
        <v>0.4721399</v>
      </c>
      <c r="F2538" t="s">
        <v>54</v>
      </c>
      <c r="G2538">
        <v>-490.79050000000001</v>
      </c>
      <c r="H2538" s="1">
        <v>4.5137090000000001E-6</v>
      </c>
      <c r="I2538">
        <v>223.2525</v>
      </c>
      <c r="J2538">
        <v>-492.8494</v>
      </c>
      <c r="K2538">
        <v>1.1210580000000001</v>
      </c>
      <c r="L2538">
        <v>236.43510000000001</v>
      </c>
      <c r="M2538">
        <v>1.9421419999999998E-2</v>
      </c>
      <c r="N2538">
        <v>-1.3924799999999999E-2</v>
      </c>
      <c r="O2538">
        <v>-0.9997144</v>
      </c>
      <c r="P2538">
        <v>7.8441330000000004E-2</v>
      </c>
      <c r="Q2538">
        <v>-0.1142905</v>
      </c>
      <c r="R2538">
        <v>-0.9903459</v>
      </c>
      <c r="S2538">
        <v>0.46002199999999999</v>
      </c>
      <c r="T2538">
        <v>-0.25023319999999999</v>
      </c>
      <c r="U2538">
        <v>-2.9640200000000001</v>
      </c>
      <c r="V2538">
        <v>-5.9196279999999997E-2</v>
      </c>
      <c r="W2538">
        <v>-0.10046720000000001</v>
      </c>
      <c r="X2538">
        <v>0.9931778</v>
      </c>
      <c r="Y2538">
        <v>-0.1336841</v>
      </c>
      <c r="Z2538">
        <v>6.9365330000000003E-2</v>
      </c>
      <c r="AA2538">
        <v>0.98859350000000001</v>
      </c>
      <c r="AB2538">
        <v>16</v>
      </c>
      <c r="AC2538">
        <v>2.0588999999999902</v>
      </c>
      <c r="AD2538">
        <v>-1.121053486291</v>
      </c>
      <c r="AE2538">
        <v>-13.182600000000001</v>
      </c>
      <c r="AF2538">
        <v>-1.78982638091985</v>
      </c>
      <c r="AG2538">
        <v>-1.121053486291</v>
      </c>
      <c r="AH2538">
        <v>13.1274285458411</v>
      </c>
      <c r="AI2538">
        <v>94.836558927063606</v>
      </c>
      <c r="AJ2538">
        <v>97.763976903225299</v>
      </c>
      <c r="AK2538">
        <v>13.296225765950499</v>
      </c>
      <c r="AL2538">
        <v>95.766074555752297</v>
      </c>
      <c r="AM2538">
        <v>93.4109594522685</v>
      </c>
      <c r="AN2538">
        <v>1.00000000012725</v>
      </c>
    </row>
    <row r="2539" spans="1:40" x14ac:dyDescent="0.25">
      <c r="A2539" t="str">
        <f>"20190303154516109"</f>
        <v>20190303154516109</v>
      </c>
      <c r="B2539" t="str">
        <f>"1551599116103556"</f>
        <v>1551599116103556</v>
      </c>
      <c r="C2539" t="s">
        <v>40</v>
      </c>
      <c r="D2539">
        <v>4.5696669999999999</v>
      </c>
      <c r="E2539">
        <v>0.47219070000000002</v>
      </c>
      <c r="F2539" t="s">
        <v>54</v>
      </c>
      <c r="G2539">
        <v>-490.76749999999998</v>
      </c>
      <c r="H2539" s="1">
        <v>4.4416629999999998E-6</v>
      </c>
      <c r="I2539">
        <v>223.0068</v>
      </c>
      <c r="J2539">
        <v>-492.84620000000001</v>
      </c>
      <c r="K2539">
        <v>1.121073</v>
      </c>
      <c r="L2539">
        <v>236.27979999999999</v>
      </c>
      <c r="M2539">
        <v>1.9554709999999999E-2</v>
      </c>
      <c r="N2539">
        <v>-1.392084E-2</v>
      </c>
      <c r="O2539">
        <v>-0.99971200000000005</v>
      </c>
      <c r="P2539">
        <v>7.9769720000000002E-2</v>
      </c>
      <c r="Q2539">
        <v>-0.11369700000000001</v>
      </c>
      <c r="R2539">
        <v>-0.99030810000000002</v>
      </c>
      <c r="S2539">
        <v>0.45956419999999998</v>
      </c>
      <c r="T2539">
        <v>-0.24746870000000001</v>
      </c>
      <c r="U2539">
        <v>-2.9642490000000001</v>
      </c>
      <c r="V2539">
        <v>-6.0389940000000003E-2</v>
      </c>
      <c r="W2539">
        <v>-9.9879590000000004E-2</v>
      </c>
      <c r="X2539">
        <v>0.99316519999999997</v>
      </c>
      <c r="Y2539">
        <v>-0.1334021</v>
      </c>
      <c r="Z2539">
        <v>6.8451230000000002E-2</v>
      </c>
      <c r="AA2539">
        <v>0.98869530000000005</v>
      </c>
      <c r="AB2539">
        <v>16</v>
      </c>
      <c r="AC2539">
        <v>2.07870000000002</v>
      </c>
      <c r="AD2539">
        <v>-1.1210685583369999</v>
      </c>
      <c r="AE2539">
        <v>-13.2729999999999</v>
      </c>
      <c r="AF2539">
        <v>-1.80615125217506</v>
      </c>
      <c r="AG2539">
        <v>-1.1210685583369999</v>
      </c>
      <c r="AH2539">
        <v>13.219068153574201</v>
      </c>
      <c r="AI2539">
        <v>94.803066127366804</v>
      </c>
      <c r="AJ2539">
        <v>97.780275909051596</v>
      </c>
      <c r="AK2539">
        <v>13.388903611090299</v>
      </c>
      <c r="AL2539">
        <v>95.732236802251194</v>
      </c>
      <c r="AM2539">
        <v>93.479616259776407</v>
      </c>
      <c r="AN2539">
        <v>0.99999999592140498</v>
      </c>
    </row>
    <row r="2540" spans="1:40" x14ac:dyDescent="0.25">
      <c r="A2540" t="str">
        <f>"20190303154516131"</f>
        <v>20190303154516131</v>
      </c>
      <c r="B2540" t="str">
        <f>"1551599116123076"</f>
        <v>1551599116123076</v>
      </c>
      <c r="C2540" t="s">
        <v>40</v>
      </c>
      <c r="D2540">
        <v>4.4376980000000001</v>
      </c>
      <c r="E2540">
        <v>0.43682029999999999</v>
      </c>
      <c r="F2540" t="s">
        <v>54</v>
      </c>
      <c r="G2540">
        <v>-490.72800000000001</v>
      </c>
      <c r="H2540" s="1">
        <v>4.3598850000000002E-6</v>
      </c>
      <c r="I2540">
        <v>222.72020000000001</v>
      </c>
      <c r="J2540">
        <v>-492.84289999999999</v>
      </c>
      <c r="K2540">
        <v>1.121092</v>
      </c>
      <c r="L2540">
        <v>236.11789999999999</v>
      </c>
      <c r="M2540">
        <v>1.970133E-2</v>
      </c>
      <c r="N2540">
        <v>-1.391677E-2</v>
      </c>
      <c r="O2540">
        <v>-0.99970939999999997</v>
      </c>
      <c r="P2540">
        <v>8.2666920000000005E-2</v>
      </c>
      <c r="Q2540">
        <v>-0.114021</v>
      </c>
      <c r="R2540">
        <v>-0.99003339999999995</v>
      </c>
      <c r="S2540">
        <v>0.4630127</v>
      </c>
      <c r="T2540">
        <v>-0.2450503</v>
      </c>
      <c r="U2540">
        <v>-2.963959</v>
      </c>
      <c r="V2540">
        <v>-6.3141909999999996E-2</v>
      </c>
      <c r="W2540">
        <v>-0.100213</v>
      </c>
      <c r="X2540">
        <v>0.99296050000000002</v>
      </c>
      <c r="Y2540">
        <v>-0.13440299999999999</v>
      </c>
      <c r="Z2540">
        <v>6.765053E-2</v>
      </c>
      <c r="AA2540">
        <v>0.98861480000000002</v>
      </c>
      <c r="AB2540">
        <v>16</v>
      </c>
      <c r="AC2540">
        <v>2.1148999999999698</v>
      </c>
      <c r="AD2540">
        <v>-1.1210876401150001</v>
      </c>
      <c r="AE2540">
        <v>-13.397699999999899</v>
      </c>
      <c r="AF2540">
        <v>-1.8379550847759101</v>
      </c>
      <c r="AG2540">
        <v>-1.1210876401150001</v>
      </c>
      <c r="AH2540">
        <v>13.345596270188601</v>
      </c>
      <c r="AI2540">
        <v>94.757125898632907</v>
      </c>
      <c r="AJ2540">
        <v>97.841445494781496</v>
      </c>
      <c r="AK2540">
        <v>13.518130647295299</v>
      </c>
      <c r="AL2540">
        <v>95.751435801207805</v>
      </c>
      <c r="AM2540">
        <v>93.638513765960894</v>
      </c>
      <c r="AN2540">
        <v>1.00000005036384</v>
      </c>
    </row>
    <row r="2541" spans="1:40" x14ac:dyDescent="0.25">
      <c r="A2541" t="str">
        <f>"20190303154516165"</f>
        <v>20190303154516165</v>
      </c>
      <c r="B2541" t="str">
        <f>"1551599116153332"</f>
        <v>1551599116153332</v>
      </c>
      <c r="C2541" t="s">
        <v>40</v>
      </c>
      <c r="D2541">
        <v>4.2820340000000003</v>
      </c>
      <c r="E2541">
        <v>0.40781889999999998</v>
      </c>
      <c r="F2541" t="s">
        <v>54</v>
      </c>
      <c r="G2541">
        <v>-489.7867</v>
      </c>
      <c r="H2541" s="1">
        <v>4.9117919999999999E-6</v>
      </c>
      <c r="I2541">
        <v>224.1831</v>
      </c>
      <c r="J2541">
        <v>-492.83789999999999</v>
      </c>
      <c r="K2541">
        <v>1.1211279999999999</v>
      </c>
      <c r="L2541">
        <v>235.8802</v>
      </c>
      <c r="M2541">
        <v>1.9935749999999999E-2</v>
      </c>
      <c r="N2541">
        <v>-1.3910779999999999E-2</v>
      </c>
      <c r="O2541">
        <v>-0.99970460000000005</v>
      </c>
      <c r="P2541">
        <v>8.6924399999999902E-2</v>
      </c>
      <c r="Q2541">
        <v>-0.1149217</v>
      </c>
      <c r="R2541">
        <v>-0.9895642</v>
      </c>
      <c r="S2541">
        <v>0.7517395</v>
      </c>
      <c r="T2541">
        <v>-0.27576149999999999</v>
      </c>
      <c r="U2541">
        <v>-2.9356840000000002</v>
      </c>
      <c r="V2541">
        <v>-6.7169640000000003E-2</v>
      </c>
      <c r="W2541">
        <v>-0.10112889999999999</v>
      </c>
      <c r="X2541">
        <v>0.99260320000000002</v>
      </c>
      <c r="Y2541">
        <v>-0.2278027</v>
      </c>
      <c r="Z2541">
        <v>7.6988139999999997E-2</v>
      </c>
      <c r="AA2541">
        <v>0.97065900000000005</v>
      </c>
      <c r="AB2541">
        <v>16</v>
      </c>
      <c r="AC2541">
        <v>3.0511999999999899</v>
      </c>
      <c r="AD2541">
        <v>-1.1211230882080001</v>
      </c>
      <c r="AE2541">
        <v>-11.697100000000001</v>
      </c>
      <c r="AF2541">
        <v>-2.7933541714598999</v>
      </c>
      <c r="AG2541">
        <v>-1.1211230882080001</v>
      </c>
      <c r="AH2541">
        <v>11.655358146554301</v>
      </c>
      <c r="AI2541">
        <v>95.343931924460193</v>
      </c>
      <c r="AJ2541">
        <v>103.47745655404201</v>
      </c>
      <c r="AK2541">
        <v>12.0377372471148</v>
      </c>
      <c r="AL2541">
        <v>95.804181466307497</v>
      </c>
      <c r="AM2541">
        <v>93.871313829859105</v>
      </c>
      <c r="AN2541">
        <v>0.99999996380158895</v>
      </c>
    </row>
    <row r="2542" spans="1:40" x14ac:dyDescent="0.25">
      <c r="A2542" t="str">
        <f>"20190303154516187"</f>
        <v>20190303154516187</v>
      </c>
      <c r="B2542" t="str">
        <f>"1551599116183589"</f>
        <v>1551599116183589</v>
      </c>
      <c r="C2542" t="s">
        <v>40</v>
      </c>
      <c r="D2542">
        <v>4.1844199999999896</v>
      </c>
      <c r="E2542">
        <v>0.39616059999999997</v>
      </c>
      <c r="F2542" t="s">
        <v>54</v>
      </c>
      <c r="G2542">
        <v>-488.80470000000003</v>
      </c>
      <c r="H2542" s="1">
        <v>4.6625849999999998E-6</v>
      </c>
      <c r="I2542">
        <v>224.08160000000001</v>
      </c>
      <c r="J2542">
        <v>-492.83440000000002</v>
      </c>
      <c r="K2542">
        <v>1.121149</v>
      </c>
      <c r="L2542">
        <v>235.71549999999999</v>
      </c>
      <c r="M2542">
        <v>2.011638E-2</v>
      </c>
      <c r="N2542">
        <v>-1.390662E-2</v>
      </c>
      <c r="O2542">
        <v>-0.99970099999999995</v>
      </c>
      <c r="P2542">
        <v>8.9957399999999896E-2</v>
      </c>
      <c r="Q2542">
        <v>-0.1135724</v>
      </c>
      <c r="R2542">
        <v>-0.98944900000000002</v>
      </c>
      <c r="S2542">
        <v>0.99545289999999997</v>
      </c>
      <c r="T2542">
        <v>-0.27670899999999998</v>
      </c>
      <c r="U2542">
        <v>-2.912064</v>
      </c>
      <c r="V2542">
        <v>-7.0021589999999995E-2</v>
      </c>
      <c r="W2542">
        <v>-9.9787120000000007E-2</v>
      </c>
      <c r="X2542">
        <v>0.99254200000000004</v>
      </c>
      <c r="Y2542">
        <v>-0.30321150000000002</v>
      </c>
      <c r="Z2542">
        <v>7.6002799999999995E-2</v>
      </c>
      <c r="AA2542">
        <v>0.9498875</v>
      </c>
      <c r="AB2542">
        <v>16</v>
      </c>
      <c r="AC2542">
        <v>4.0296999999999903</v>
      </c>
      <c r="AD2542">
        <v>-1.1211443374150001</v>
      </c>
      <c r="AE2542">
        <v>-11.633899999999899</v>
      </c>
      <c r="AF2542">
        <v>-3.76362158136088</v>
      </c>
      <c r="AG2542">
        <v>-1.1211443374150001</v>
      </c>
      <c r="AH2542">
        <v>11.616292913239199</v>
      </c>
      <c r="AI2542">
        <v>95.245958546684406</v>
      </c>
      <c r="AJ2542">
        <v>107.952068434156</v>
      </c>
      <c r="AK2542">
        <v>12.2621398246462</v>
      </c>
      <c r="AL2542">
        <v>95.726911708610004</v>
      </c>
      <c r="AM2542">
        <v>94.035401623932898</v>
      </c>
      <c r="AN2542">
        <v>1.000000057074</v>
      </c>
    </row>
    <row r="2543" spans="1:40" x14ac:dyDescent="0.25">
      <c r="A2543" t="str">
        <f>"20190303154516208"</f>
        <v>20190303154516208</v>
      </c>
      <c r="B2543" t="str">
        <f>"1551599116203614"</f>
        <v>1551599116203614</v>
      </c>
      <c r="C2543" t="s">
        <v>40</v>
      </c>
      <c r="D2543">
        <v>4.157375</v>
      </c>
      <c r="E2543">
        <v>0.39232299999999998</v>
      </c>
      <c r="F2543" t="s">
        <v>54</v>
      </c>
      <c r="G2543">
        <v>-488.39049999999997</v>
      </c>
      <c r="H2543" s="1">
        <v>4.532064E-6</v>
      </c>
      <c r="I2543">
        <v>223.95670000000001</v>
      </c>
      <c r="J2543">
        <v>-492.83109999999999</v>
      </c>
      <c r="K2543">
        <v>1.121181</v>
      </c>
      <c r="L2543">
        <v>235.55940000000001</v>
      </c>
      <c r="M2543">
        <v>2.0301090000000001E-2</v>
      </c>
      <c r="N2543">
        <v>-1.3902680000000001E-2</v>
      </c>
      <c r="O2543">
        <v>-0.99969719999999995</v>
      </c>
      <c r="P2543">
        <v>9.3352260000000006E-2</v>
      </c>
      <c r="Q2543">
        <v>-0.11003930000000001</v>
      </c>
      <c r="R2543">
        <v>-0.98953369999999996</v>
      </c>
      <c r="S2543">
        <v>1.0961909999999999</v>
      </c>
      <c r="T2543">
        <v>-0.27655730000000001</v>
      </c>
      <c r="U2543">
        <v>-2.9005890000000001</v>
      </c>
      <c r="V2543">
        <v>-7.3228680000000004E-2</v>
      </c>
      <c r="W2543">
        <v>-9.6258440000000001E-2</v>
      </c>
      <c r="X2543">
        <v>0.99265899999999996</v>
      </c>
      <c r="Y2543">
        <v>-0.33321869999999998</v>
      </c>
      <c r="Z2543">
        <v>7.5324600000000005E-2</v>
      </c>
      <c r="AA2543">
        <v>0.93983589999999995</v>
      </c>
      <c r="AB2543">
        <v>16</v>
      </c>
      <c r="AC2543">
        <v>4.4406000000000097</v>
      </c>
      <c r="AD2543">
        <v>-1.1211764679359999</v>
      </c>
      <c r="AE2543">
        <v>-11.6027</v>
      </c>
      <c r="AF2543">
        <v>-4.1701505946579598</v>
      </c>
      <c r="AG2543">
        <v>-1.1211764679359999</v>
      </c>
      <c r="AH2543">
        <v>11.5960221628368</v>
      </c>
      <c r="AI2543">
        <v>95.1985698752015</v>
      </c>
      <c r="AJ2543">
        <v>109.779551920901</v>
      </c>
      <c r="AK2543">
        <v>12.373961477852699</v>
      </c>
      <c r="AL2543">
        <v>95.523755039777399</v>
      </c>
      <c r="AM2543">
        <v>94.219080272830297</v>
      </c>
      <c r="AN2543">
        <v>1.00000000856338</v>
      </c>
    </row>
    <row r="2544" spans="1:40" x14ac:dyDescent="0.25">
      <c r="A2544" t="str">
        <f>"20190303154516231"</f>
        <v>20190303154516231</v>
      </c>
      <c r="B2544" t="str">
        <f>"1551599116223134"</f>
        <v>1551599116223134</v>
      </c>
      <c r="C2544" t="s">
        <v>40</v>
      </c>
      <c r="D2544">
        <v>4.1217730000000001</v>
      </c>
      <c r="E2544">
        <v>0.38982139999999998</v>
      </c>
      <c r="F2544" t="s">
        <v>54</v>
      </c>
      <c r="G2544">
        <v>-488.06790000000001</v>
      </c>
      <c r="H2544" s="1">
        <v>4.2971519999999996E-6</v>
      </c>
      <c r="I2544">
        <v>223.42930000000001</v>
      </c>
      <c r="J2544">
        <v>-492.82760000000002</v>
      </c>
      <c r="K2544">
        <v>1.121219</v>
      </c>
      <c r="L2544">
        <v>235.3981</v>
      </c>
      <c r="M2544">
        <v>2.0512550000000001E-2</v>
      </c>
      <c r="N2544">
        <v>-1.389861E-2</v>
      </c>
      <c r="O2544">
        <v>-0.99969319999999895</v>
      </c>
      <c r="P2544">
        <v>9.6816200000000005E-2</v>
      </c>
      <c r="Q2544">
        <v>-0.1079633</v>
      </c>
      <c r="R2544">
        <v>-0.98942980000000003</v>
      </c>
      <c r="S2544">
        <v>1.1366879999999999</v>
      </c>
      <c r="T2544">
        <v>-0.26755800000000002</v>
      </c>
      <c r="U2544">
        <v>-2.8947449999999999</v>
      </c>
      <c r="V2544">
        <v>-7.6481590000000002E-2</v>
      </c>
      <c r="W2544">
        <v>-9.4189899999999993E-2</v>
      </c>
      <c r="X2544">
        <v>0.9926121</v>
      </c>
      <c r="Y2544">
        <v>-0.34514810000000001</v>
      </c>
      <c r="Z2544">
        <v>7.2212670000000007E-2</v>
      </c>
      <c r="AA2544">
        <v>0.93576599999999999</v>
      </c>
      <c r="AB2544">
        <v>16</v>
      </c>
      <c r="AC2544">
        <v>4.7596999999999996</v>
      </c>
      <c r="AD2544">
        <v>-1.121214702848</v>
      </c>
      <c r="AE2544">
        <v>-11.9687999999999</v>
      </c>
      <c r="AF2544">
        <v>-4.4792237606654304</v>
      </c>
      <c r="AG2544">
        <v>-1.121214702848</v>
      </c>
      <c r="AH2544">
        <v>11.9731999857611</v>
      </c>
      <c r="AI2544">
        <v>95.012421899623803</v>
      </c>
      <c r="AJ2544">
        <v>110.511031529371</v>
      </c>
      <c r="AK2544">
        <v>12.832695967996001</v>
      </c>
      <c r="AL2544">
        <v>95.404695559374105</v>
      </c>
      <c r="AM2544">
        <v>94.405982158463004</v>
      </c>
      <c r="AN2544">
        <v>0.99999997596867296</v>
      </c>
    </row>
    <row r="2545" spans="1:40" x14ac:dyDescent="0.25">
      <c r="A2545" t="str">
        <f>"20190303154516254"</f>
        <v>20190303154516254</v>
      </c>
      <c r="B2545" t="str">
        <f>"1551599116243633"</f>
        <v>1551599116243633</v>
      </c>
      <c r="C2545" t="s">
        <v>40</v>
      </c>
      <c r="D2545">
        <v>4.0699430000000003</v>
      </c>
      <c r="E2545">
        <v>0.38841189999999998</v>
      </c>
      <c r="F2545" t="s">
        <v>54</v>
      </c>
      <c r="G2545">
        <v>-487.83980000000003</v>
      </c>
      <c r="H2545" s="1">
        <v>4.127706E-6</v>
      </c>
      <c r="I2545">
        <v>223.04560000000001</v>
      </c>
      <c r="J2545">
        <v>-492.82389999999998</v>
      </c>
      <c r="K2545">
        <v>1.1212530000000001</v>
      </c>
      <c r="L2545">
        <v>235.23230000000001</v>
      </c>
      <c r="M2545">
        <v>2.076565E-2</v>
      </c>
      <c r="N2545">
        <v>-1.389454E-2</v>
      </c>
      <c r="O2545">
        <v>-0.99968789999999996</v>
      </c>
      <c r="P2545">
        <v>9.969103E-2</v>
      </c>
      <c r="Q2545">
        <v>-0.1060695</v>
      </c>
      <c r="R2545">
        <v>-0.98934880000000003</v>
      </c>
      <c r="S2545">
        <v>1.1666259999999999</v>
      </c>
      <c r="T2545">
        <v>-0.26225140000000002</v>
      </c>
      <c r="U2545">
        <v>-2.8892519999999999</v>
      </c>
      <c r="V2545">
        <v>-7.9101879999999999E-2</v>
      </c>
      <c r="W2545">
        <v>-9.2305079999999998E-2</v>
      </c>
      <c r="X2545">
        <v>0.99258380000000002</v>
      </c>
      <c r="Y2545">
        <v>-0.35391489999999998</v>
      </c>
      <c r="Z2545">
        <v>7.0374339999999994E-2</v>
      </c>
      <c r="AA2545">
        <v>0.93262619999999896</v>
      </c>
      <c r="AB2545">
        <v>16</v>
      </c>
      <c r="AC2545">
        <v>4.98409999999995</v>
      </c>
      <c r="AD2545">
        <v>-1.1212488722939999</v>
      </c>
      <c r="AE2545">
        <v>-12.1867</v>
      </c>
      <c r="AF2545">
        <v>-4.6958809892984004</v>
      </c>
      <c r="AG2545">
        <v>-1.1212488722939999</v>
      </c>
      <c r="AH2545">
        <v>12.1991107548179</v>
      </c>
      <c r="AI2545">
        <v>94.902645595831999</v>
      </c>
      <c r="AJ2545">
        <v>111.053528696098</v>
      </c>
      <c r="AK2545">
        <v>13.119710382001101</v>
      </c>
      <c r="AL2545">
        <v>95.296230767888801</v>
      </c>
      <c r="AM2545">
        <v>94.5564371081243</v>
      </c>
      <c r="AN2545">
        <v>0.99999996761788901</v>
      </c>
    </row>
    <row r="2546" spans="1:40" x14ac:dyDescent="0.25">
      <c r="A2546" t="str">
        <f>"20190303154516275"</f>
        <v>20190303154516275</v>
      </c>
      <c r="B2546" t="str">
        <f>"1551599116272910"</f>
        <v>1551599116272910</v>
      </c>
      <c r="C2546" t="s">
        <v>40</v>
      </c>
      <c r="D2546">
        <v>4.0855880000000004</v>
      </c>
      <c r="E2546">
        <v>0.38682929999999999</v>
      </c>
      <c r="F2546" t="s">
        <v>54</v>
      </c>
      <c r="G2546">
        <v>-487.41070000000002</v>
      </c>
      <c r="H2546" s="1">
        <v>3.727106E-6</v>
      </c>
      <c r="I2546">
        <v>222.05959999999999</v>
      </c>
      <c r="J2546">
        <v>-492.82040000000001</v>
      </c>
      <c r="K2546">
        <v>1.121302</v>
      </c>
      <c r="L2546">
        <v>235.0779</v>
      </c>
      <c r="M2546">
        <v>2.105433E-2</v>
      </c>
      <c r="N2546">
        <v>-1.389087E-2</v>
      </c>
      <c r="O2546">
        <v>-0.99968190000000001</v>
      </c>
      <c r="P2546">
        <v>0.1021919</v>
      </c>
      <c r="Q2546">
        <v>-0.10526770000000001</v>
      </c>
      <c r="R2546">
        <v>-0.98917949999999999</v>
      </c>
      <c r="S2546">
        <v>1.1861569999999999</v>
      </c>
      <c r="T2546">
        <v>-0.24569179999999999</v>
      </c>
      <c r="U2546">
        <v>-2.886444</v>
      </c>
      <c r="V2546">
        <v>-8.1312250000000003E-2</v>
      </c>
      <c r="W2546">
        <v>-9.1515589999999994E-2</v>
      </c>
      <c r="X2546">
        <v>0.99247830000000004</v>
      </c>
      <c r="Y2546">
        <v>-0.35951359999999999</v>
      </c>
      <c r="Z2546">
        <v>6.4982010000000007E-2</v>
      </c>
      <c r="AA2546">
        <v>0.93087450000000005</v>
      </c>
      <c r="AB2546">
        <v>16</v>
      </c>
      <c r="AC2546">
        <v>5.4096999999999804</v>
      </c>
      <c r="AD2546">
        <v>-1.121298272894</v>
      </c>
      <c r="AE2546">
        <v>-13.0183</v>
      </c>
      <c r="AF2546">
        <v>-5.1021047816643099</v>
      </c>
      <c r="AG2546">
        <v>-1.121298272894</v>
      </c>
      <c r="AH2546">
        <v>13.0467834761695</v>
      </c>
      <c r="AI2546">
        <v>94.576295090575499</v>
      </c>
      <c r="AJ2546">
        <v>111.358593076124</v>
      </c>
      <c r="AK2546">
        <v>14.053730540106599</v>
      </c>
      <c r="AL2546">
        <v>95.2508039736299</v>
      </c>
      <c r="AM2546">
        <v>94.683696055794599</v>
      </c>
      <c r="AN2546">
        <v>0.99999998059200002</v>
      </c>
    </row>
    <row r="2547" spans="1:40" x14ac:dyDescent="0.25">
      <c r="A2547" t="str">
        <f>"20190303154516299"</f>
        <v>20190303154516299</v>
      </c>
      <c r="B2547" t="str">
        <f>"1551599116293407"</f>
        <v>1551599116293407</v>
      </c>
      <c r="C2547" t="s">
        <v>40</v>
      </c>
      <c r="D2547">
        <v>4.05633</v>
      </c>
      <c r="E2547">
        <v>0.3861465</v>
      </c>
      <c r="F2547" t="s">
        <v>54</v>
      </c>
      <c r="G2547">
        <v>-487.13959999999997</v>
      </c>
      <c r="H2547" s="1">
        <v>3.494303E-6</v>
      </c>
      <c r="I2547">
        <v>221.50210000000001</v>
      </c>
      <c r="J2547">
        <v>-492.81630000000001</v>
      </c>
      <c r="K2547">
        <v>1.1213759999999999</v>
      </c>
      <c r="L2547">
        <v>234.90549999999999</v>
      </c>
      <c r="M2547">
        <v>2.1465959999999999E-2</v>
      </c>
      <c r="N2547">
        <v>-1.388697E-2</v>
      </c>
      <c r="O2547">
        <v>-0.99967320000000004</v>
      </c>
      <c r="P2547">
        <v>0.1051969</v>
      </c>
      <c r="Q2547">
        <v>-0.1043924</v>
      </c>
      <c r="R2547">
        <v>-0.98895730000000004</v>
      </c>
      <c r="S2547">
        <v>1.206299</v>
      </c>
      <c r="T2547">
        <v>-0.23810629999999999</v>
      </c>
      <c r="U2547">
        <v>-2.8828130000000001</v>
      </c>
      <c r="V2547">
        <v>-8.3900180000000005E-2</v>
      </c>
      <c r="W2547">
        <v>-9.065898E-2</v>
      </c>
      <c r="X2547">
        <v>0.99234149999999999</v>
      </c>
      <c r="Y2547">
        <v>-0.36514819999999998</v>
      </c>
      <c r="Z2547">
        <v>6.2471909999999999E-2</v>
      </c>
      <c r="AA2547">
        <v>0.92885090000000003</v>
      </c>
      <c r="AB2547">
        <v>16</v>
      </c>
      <c r="AC2547">
        <v>5.6767000000000296</v>
      </c>
      <c r="AD2547">
        <v>-1.1213725056970001</v>
      </c>
      <c r="AE2547">
        <v>-13.4033999999999</v>
      </c>
      <c r="AF2547">
        <v>-5.3558603199319199</v>
      </c>
      <c r="AG2547">
        <v>-1.1213725056970001</v>
      </c>
      <c r="AH2547">
        <v>13.442398426049101</v>
      </c>
      <c r="AI2547">
        <v>94.431332643727501</v>
      </c>
      <c r="AJ2547">
        <v>111.723840941223</v>
      </c>
      <c r="AK2547">
        <v>14.513469313289701</v>
      </c>
      <c r="AL2547">
        <v>95.201518997450904</v>
      </c>
      <c r="AM2547">
        <v>94.832732293722202</v>
      </c>
      <c r="AN2547">
        <v>0.99999997174046096</v>
      </c>
    </row>
    <row r="2548" spans="1:40" x14ac:dyDescent="0.25">
      <c r="A2548" t="str">
        <f>"20190303154516322"</f>
        <v>20190303154516322</v>
      </c>
      <c r="B2548" t="str">
        <f>"1551599116312927"</f>
        <v>1551599116312927</v>
      </c>
      <c r="C2548" t="s">
        <v>40</v>
      </c>
      <c r="D2548">
        <v>4.0541850000000004</v>
      </c>
      <c r="E2548">
        <v>0.38564369999999998</v>
      </c>
      <c r="F2548" t="s">
        <v>54</v>
      </c>
      <c r="G2548">
        <v>-487.01769999999999</v>
      </c>
      <c r="H2548" s="1">
        <v>3.3812119999999998E-6</v>
      </c>
      <c r="I2548">
        <v>221.2243</v>
      </c>
      <c r="J2548">
        <v>-492.81229999999999</v>
      </c>
      <c r="K2548">
        <v>1.121456</v>
      </c>
      <c r="L2548">
        <v>234.74420000000001</v>
      </c>
      <c r="M2548">
        <v>2.1978540000000001E-2</v>
      </c>
      <c r="N2548">
        <v>-1.388376E-2</v>
      </c>
      <c r="O2548">
        <v>-0.99966200000000005</v>
      </c>
      <c r="P2548">
        <v>0.10917689999999999</v>
      </c>
      <c r="Q2548">
        <v>-0.1056676</v>
      </c>
      <c r="R2548">
        <v>-0.98838979999999999</v>
      </c>
      <c r="S2548">
        <v>1.220154</v>
      </c>
      <c r="T2548">
        <v>-0.2359591</v>
      </c>
      <c r="U2548">
        <v>-2.8787989999999999</v>
      </c>
      <c r="V2548">
        <v>-8.7365170000000006E-2</v>
      </c>
      <c r="W2548">
        <v>-9.1961989999999993E-2</v>
      </c>
      <c r="X2548">
        <v>0.99192259999999999</v>
      </c>
      <c r="Y2548">
        <v>-0.36894169999999998</v>
      </c>
      <c r="Z2548">
        <v>6.1762329999999997E-2</v>
      </c>
      <c r="AA2548">
        <v>0.92739819999999995</v>
      </c>
      <c r="AB2548">
        <v>16</v>
      </c>
      <c r="AC2548">
        <v>5.7946</v>
      </c>
      <c r="AD2548">
        <v>-1.1214526187880001</v>
      </c>
      <c r="AE2548">
        <v>-13.5199</v>
      </c>
      <c r="AF2548">
        <v>-5.4642618072845996</v>
      </c>
      <c r="AG2548">
        <v>-1.1214526187880001</v>
      </c>
      <c r="AH2548">
        <v>13.5651530895697</v>
      </c>
      <c r="AI2548">
        <v>94.385084338341798</v>
      </c>
      <c r="AJ2548">
        <v>111.940368726165</v>
      </c>
      <c r="AK2548">
        <v>14.667283027820799</v>
      </c>
      <c r="AL2548">
        <v>95.2764886886563</v>
      </c>
      <c r="AM2548">
        <v>95.033428679146496</v>
      </c>
      <c r="AN2548">
        <v>1.00000006246232</v>
      </c>
    </row>
    <row r="2549" spans="1:40" x14ac:dyDescent="0.25">
      <c r="A2549" t="str">
        <f>"20190303154516344"</f>
        <v>20190303154516344</v>
      </c>
      <c r="B2549" t="str">
        <f>"1551599116333421"</f>
        <v>1551599116333421</v>
      </c>
      <c r="C2549" t="s">
        <v>40</v>
      </c>
      <c r="D2549">
        <v>4.0620830000000003</v>
      </c>
      <c r="E2549">
        <v>0.38533529999999999</v>
      </c>
      <c r="F2549" t="s">
        <v>54</v>
      </c>
      <c r="G2549">
        <v>-487.08</v>
      </c>
      <c r="H2549" s="1">
        <v>3.4550590000000001E-6</v>
      </c>
      <c r="I2549">
        <v>221.41810000000001</v>
      </c>
      <c r="J2549">
        <v>-492.8082</v>
      </c>
      <c r="K2549">
        <v>1.1215360000000001</v>
      </c>
      <c r="L2549">
        <v>234.58969999999999</v>
      </c>
      <c r="M2549">
        <v>2.26178E-2</v>
      </c>
      <c r="N2549">
        <v>-1.3881299999999999E-2</v>
      </c>
      <c r="O2549">
        <v>-0.99964790000000003</v>
      </c>
      <c r="P2549">
        <v>0.1133286</v>
      </c>
      <c r="Q2549">
        <v>-0.1072861</v>
      </c>
      <c r="R2549">
        <v>-0.98774810000000002</v>
      </c>
      <c r="S2549">
        <v>1.235779</v>
      </c>
      <c r="T2549">
        <v>-0.24176729999999999</v>
      </c>
      <c r="U2549">
        <v>-2.8728940000000001</v>
      </c>
      <c r="V2549">
        <v>-9.0874319999999995E-2</v>
      </c>
      <c r="W2549">
        <v>-9.3612749999999995E-2</v>
      </c>
      <c r="X2549">
        <v>0.99145280000000002</v>
      </c>
      <c r="Y2549">
        <v>-0.37323990000000001</v>
      </c>
      <c r="Z2549">
        <v>6.3613299999999998E-2</v>
      </c>
      <c r="AA2549">
        <v>0.92555140000000002</v>
      </c>
      <c r="AB2549">
        <v>16</v>
      </c>
      <c r="AC2549">
        <v>5.72820000000001</v>
      </c>
      <c r="AD2549">
        <v>-1.1215325449410001</v>
      </c>
      <c r="AE2549">
        <v>-13.1715999999999</v>
      </c>
      <c r="AF2549">
        <v>-5.3958941942343399</v>
      </c>
      <c r="AG2549">
        <v>-1.1215325449410001</v>
      </c>
      <c r="AH2549">
        <v>13.2172159951912</v>
      </c>
      <c r="AI2549">
        <v>94.491901408852897</v>
      </c>
      <c r="AJ2549">
        <v>112.20761104647499</v>
      </c>
      <c r="AK2549">
        <v>14.3202062858142</v>
      </c>
      <c r="AL2549">
        <v>95.371480022343604</v>
      </c>
      <c r="AM2549">
        <v>95.236968698051399</v>
      </c>
      <c r="AN2549">
        <v>1.0000000718129201</v>
      </c>
    </row>
    <row r="2550" spans="1:40" x14ac:dyDescent="0.25">
      <c r="A2550" t="str">
        <f>"20190303154516365"</f>
        <v>20190303154516365</v>
      </c>
      <c r="B2550" t="str">
        <f>"1551599116363678"</f>
        <v>1551599116363678</v>
      </c>
      <c r="C2550" t="s">
        <v>40</v>
      </c>
      <c r="D2550">
        <v>4.0727659999999997</v>
      </c>
      <c r="E2550">
        <v>0.38516040000000001</v>
      </c>
      <c r="F2550" t="s">
        <v>54</v>
      </c>
      <c r="G2550">
        <v>-487.16559999999998</v>
      </c>
      <c r="H2550" s="1">
        <v>3.54649E-6</v>
      </c>
      <c r="I2550">
        <v>221.65199999999999</v>
      </c>
      <c r="J2550">
        <v>-492.80380000000002</v>
      </c>
      <c r="K2550">
        <v>1.1216090000000001</v>
      </c>
      <c r="L2550">
        <v>234.434</v>
      </c>
      <c r="M2550">
        <v>2.3397790000000002E-2</v>
      </c>
      <c r="N2550">
        <v>-1.387936E-2</v>
      </c>
      <c r="O2550">
        <v>-0.99963020000000002</v>
      </c>
      <c r="P2550">
        <v>0.1185155</v>
      </c>
      <c r="Q2550">
        <v>-0.10863059999999999</v>
      </c>
      <c r="R2550">
        <v>-0.98699269999999995</v>
      </c>
      <c r="S2550">
        <v>1.250305</v>
      </c>
      <c r="T2550">
        <v>-0.2485096</v>
      </c>
      <c r="U2550">
        <v>-2.8667449999999999</v>
      </c>
      <c r="V2550">
        <v>-9.5282169999999999E-2</v>
      </c>
      <c r="W2550">
        <v>-9.4992170000000001E-2</v>
      </c>
      <c r="X2550">
        <v>0.99090750000000005</v>
      </c>
      <c r="Y2550">
        <v>-0.37711729999999999</v>
      </c>
      <c r="Z2550">
        <v>6.5776849999999998E-2</v>
      </c>
      <c r="AA2550">
        <v>0.92382679999999995</v>
      </c>
      <c r="AB2550">
        <v>16</v>
      </c>
      <c r="AC2550">
        <v>5.6382000000000403</v>
      </c>
      <c r="AD2550">
        <v>-1.12160545351</v>
      </c>
      <c r="AE2550">
        <v>-12.782</v>
      </c>
      <c r="AF2550">
        <v>-5.3033729628190702</v>
      </c>
      <c r="AG2550">
        <v>-1.12160545351</v>
      </c>
      <c r="AH2550">
        <v>12.827750368208401</v>
      </c>
      <c r="AI2550">
        <v>94.619610451987796</v>
      </c>
      <c r="AJ2550">
        <v>112.461654494077</v>
      </c>
      <c r="AK2550">
        <v>13.9260526742208</v>
      </c>
      <c r="AL2550">
        <v>95.450869482356097</v>
      </c>
      <c r="AM2550">
        <v>95.492473670086397</v>
      </c>
      <c r="AN2550">
        <v>0.99999993891873196</v>
      </c>
    </row>
    <row r="2551" spans="1:40" x14ac:dyDescent="0.25">
      <c r="A2551" t="str">
        <f>"20190303154516388"</f>
        <v>20190303154516388</v>
      </c>
      <c r="B2551" t="str">
        <f>"1551599116383199"</f>
        <v>1551599116383199</v>
      </c>
      <c r="C2551" t="s">
        <v>40</v>
      </c>
      <c r="D2551">
        <v>4.074675</v>
      </c>
      <c r="E2551">
        <v>0.38508690000000001</v>
      </c>
      <c r="F2551" t="s">
        <v>54</v>
      </c>
      <c r="G2551">
        <v>-487.23719999999997</v>
      </c>
      <c r="H2551" s="1">
        <v>3.6295530000000001E-6</v>
      </c>
      <c r="I2551">
        <v>221.8689</v>
      </c>
      <c r="J2551">
        <v>-492.79910000000001</v>
      </c>
      <c r="K2551">
        <v>1.121677</v>
      </c>
      <c r="L2551">
        <v>234.27780000000001</v>
      </c>
      <c r="M2551">
        <v>2.4322529999999998E-2</v>
      </c>
      <c r="N2551">
        <v>-1.387766E-2</v>
      </c>
      <c r="O2551">
        <v>-0.99960769999999999</v>
      </c>
      <c r="P2551">
        <v>0.12464459999999999</v>
      </c>
      <c r="Q2551">
        <v>-0.10870009999999999</v>
      </c>
      <c r="R2551">
        <v>-0.98622909999999997</v>
      </c>
      <c r="S2551">
        <v>1.2667539999999999</v>
      </c>
      <c r="T2551">
        <v>-0.25523600000000002</v>
      </c>
      <c r="U2551">
        <v>-2.8593600000000001</v>
      </c>
      <c r="V2551">
        <v>-0.1004934</v>
      </c>
      <c r="W2551">
        <v>-9.5096769999999997E-2</v>
      </c>
      <c r="X2551">
        <v>0.9903826</v>
      </c>
      <c r="Y2551">
        <v>-0.38151550000000001</v>
      </c>
      <c r="Z2551">
        <v>6.7945199999999997E-2</v>
      </c>
      <c r="AA2551">
        <v>0.92186190000000001</v>
      </c>
      <c r="AB2551">
        <v>16</v>
      </c>
      <c r="AC2551">
        <v>5.5619000000000298</v>
      </c>
      <c r="AD2551">
        <v>-1.1216733704469899</v>
      </c>
      <c r="AE2551">
        <v>-12.408899999999999</v>
      </c>
      <c r="AF2551">
        <v>-5.2228732876582704</v>
      </c>
      <c r="AG2551">
        <v>-1.1216733704469899</v>
      </c>
      <c r="AH2551">
        <v>12.455772686721501</v>
      </c>
      <c r="AI2551">
        <v>94.747356003068106</v>
      </c>
      <c r="AJ2551">
        <v>112.748960631263</v>
      </c>
      <c r="AK2551">
        <v>13.5529638733446</v>
      </c>
      <c r="AL2551">
        <v>95.456889504172807</v>
      </c>
      <c r="AM2551">
        <v>95.793930462581102</v>
      </c>
      <c r="AN2551">
        <v>1.00000000674537</v>
      </c>
    </row>
    <row r="2552" spans="1:40" x14ac:dyDescent="0.25">
      <c r="A2552" t="str">
        <f>"20190303154516410"</f>
        <v>20190303154516410</v>
      </c>
      <c r="B2552" t="str">
        <f>"1551599116403130"</f>
        <v>1551599116403130</v>
      </c>
      <c r="C2552" t="s">
        <v>40</v>
      </c>
      <c r="D2552">
        <v>4.0905009999999997</v>
      </c>
      <c r="E2552">
        <v>0.38501039999999997</v>
      </c>
      <c r="F2552" t="s">
        <v>54</v>
      </c>
      <c r="G2552">
        <v>-487.17840000000001</v>
      </c>
      <c r="H2552" s="1">
        <v>3.5980959999999998E-6</v>
      </c>
      <c r="I2552">
        <v>221.80940000000001</v>
      </c>
      <c r="J2552">
        <v>-492.79390000000001</v>
      </c>
      <c r="K2552">
        <v>1.121756</v>
      </c>
      <c r="L2552">
        <v>234.11660000000001</v>
      </c>
      <c r="M2552">
        <v>2.5439090000000001E-2</v>
      </c>
      <c r="N2552">
        <v>-1.387616E-2</v>
      </c>
      <c r="O2552">
        <v>-0.99958029999999998</v>
      </c>
      <c r="P2552">
        <v>0.13197</v>
      </c>
      <c r="Q2552">
        <v>-0.1078479</v>
      </c>
      <c r="R2552">
        <v>-0.98536979999999996</v>
      </c>
      <c r="S2552">
        <v>1.2852779999999999</v>
      </c>
      <c r="T2552">
        <v>-0.25649339999999998</v>
      </c>
      <c r="U2552">
        <v>-2.8511660000000001</v>
      </c>
      <c r="V2552">
        <v>-0.1067174</v>
      </c>
      <c r="W2552">
        <v>-9.4281690000000001E-2</v>
      </c>
      <c r="X2552">
        <v>0.9898093</v>
      </c>
      <c r="Y2552">
        <v>-0.38643250000000001</v>
      </c>
      <c r="Z2552">
        <v>6.8371119999999994E-2</v>
      </c>
      <c r="AA2552">
        <v>0.91978009999999999</v>
      </c>
      <c r="AB2552">
        <v>16</v>
      </c>
      <c r="AC2552">
        <v>5.6154999999999902</v>
      </c>
      <c r="AD2552">
        <v>-1.1217524019039999</v>
      </c>
      <c r="AE2552">
        <v>-12.3071999999999</v>
      </c>
      <c r="AF2552">
        <v>-5.2643700912172999</v>
      </c>
      <c r="AG2552">
        <v>-1.1217524019039999</v>
      </c>
      <c r="AH2552">
        <v>12.3610874869326</v>
      </c>
      <c r="AI2552">
        <v>94.772685325926801</v>
      </c>
      <c r="AJ2552">
        <v>113.068303216011</v>
      </c>
      <c r="AK2552">
        <v>13.4821513404976</v>
      </c>
      <c r="AL2552">
        <v>95.409977870555693</v>
      </c>
      <c r="AM2552">
        <v>96.153638259605998</v>
      </c>
      <c r="AN2552">
        <v>1.0000000454492499</v>
      </c>
    </row>
    <row r="2553" spans="1:40" x14ac:dyDescent="0.25">
      <c r="A2553" t="str">
        <f>"20190303154516433"</f>
        <v>20190303154516433</v>
      </c>
      <c r="B2553" t="str">
        <f>"1551599116423592"</f>
        <v>1551599116423592</v>
      </c>
      <c r="C2553" t="s">
        <v>40</v>
      </c>
      <c r="D2553">
        <v>4.0903790000000004</v>
      </c>
      <c r="E2553">
        <v>0.3849746</v>
      </c>
      <c r="F2553" t="s">
        <v>54</v>
      </c>
      <c r="G2553">
        <v>-487.00880000000001</v>
      </c>
      <c r="H2553" s="1">
        <v>3.4754269999999999E-6</v>
      </c>
      <c r="I2553">
        <v>221.53479999999999</v>
      </c>
      <c r="J2553">
        <v>-492.78870000000001</v>
      </c>
      <c r="K2553">
        <v>1.121847</v>
      </c>
      <c r="L2553">
        <v>233.96559999999999</v>
      </c>
      <c r="M2553">
        <v>2.6632309999999999E-2</v>
      </c>
      <c r="N2553">
        <v>-1.3874930000000001E-2</v>
      </c>
      <c r="O2553">
        <v>-0.99954929999999997</v>
      </c>
      <c r="P2553">
        <v>0.14201</v>
      </c>
      <c r="Q2553">
        <v>-0.1057469</v>
      </c>
      <c r="R2553">
        <v>-0.98420110000000005</v>
      </c>
      <c r="S2553">
        <v>1.3066709999999999</v>
      </c>
      <c r="T2553">
        <v>-0.25336769999999997</v>
      </c>
      <c r="U2553">
        <v>-2.841812</v>
      </c>
      <c r="V2553">
        <v>-0.1155934</v>
      </c>
      <c r="W2553">
        <v>-9.2224180000000003E-2</v>
      </c>
      <c r="X2553">
        <v>0.98900600000000005</v>
      </c>
      <c r="Y2553">
        <v>-0.39221640000000002</v>
      </c>
      <c r="Z2553">
        <v>6.7396830000000005E-2</v>
      </c>
      <c r="AA2553">
        <v>0.91740069999999996</v>
      </c>
      <c r="AB2553">
        <v>16</v>
      </c>
      <c r="AC2553">
        <v>5.7798999999999898</v>
      </c>
      <c r="AD2553">
        <v>-1.1218435245730001</v>
      </c>
      <c r="AE2553">
        <v>-12.4308</v>
      </c>
      <c r="AF2553">
        <v>-5.4105238689461297</v>
      </c>
      <c r="AG2553">
        <v>-1.1218435245730001</v>
      </c>
      <c r="AH2553">
        <v>12.4966498974686</v>
      </c>
      <c r="AI2553">
        <v>94.709486683246993</v>
      </c>
      <c r="AJ2553">
        <v>113.410582462516</v>
      </c>
      <c r="AK2553">
        <v>13.663768151207901</v>
      </c>
      <c r="AL2553">
        <v>95.291575507093398</v>
      </c>
      <c r="AM2553">
        <v>96.666391054147098</v>
      </c>
      <c r="AN2553">
        <v>1.00000000076811</v>
      </c>
    </row>
    <row r="2554" spans="1:40" x14ac:dyDescent="0.25">
      <c r="A2554" t="str">
        <f>"20190303154516457"</f>
        <v>20190303154516457</v>
      </c>
      <c r="B2554" t="str">
        <f>"1551599116452870"</f>
        <v>1551599116452870</v>
      </c>
      <c r="C2554" t="s">
        <v>40</v>
      </c>
      <c r="D2554">
        <v>4.1374519999999997</v>
      </c>
      <c r="E2554">
        <v>0.34068169999999998</v>
      </c>
      <c r="F2554" t="s">
        <v>54</v>
      </c>
      <c r="G2554">
        <v>-486.69110000000001</v>
      </c>
      <c r="H2554" s="1">
        <v>3.2722709999999998E-6</v>
      </c>
      <c r="I2554">
        <v>221.0489</v>
      </c>
      <c r="J2554">
        <v>-492.78219999999999</v>
      </c>
      <c r="K2554">
        <v>1.121945</v>
      </c>
      <c r="L2554">
        <v>233.78989999999999</v>
      </c>
      <c r="M2554">
        <v>2.818611E-2</v>
      </c>
      <c r="N2554">
        <v>-1.387387E-2</v>
      </c>
      <c r="O2554">
        <v>-0.99950660000000002</v>
      </c>
      <c r="P2554">
        <v>0.15452929999999901</v>
      </c>
      <c r="Q2554">
        <v>-0.10258639999999999</v>
      </c>
      <c r="R2554">
        <v>-0.98264799999999997</v>
      </c>
      <c r="S2554">
        <v>1.33551</v>
      </c>
      <c r="T2554">
        <v>-0.2457105</v>
      </c>
      <c r="U2554">
        <v>-2.8290709999999999</v>
      </c>
      <c r="V2554">
        <v>-0.12660589999999999</v>
      </c>
      <c r="W2554">
        <v>-8.9119509999999999E-2</v>
      </c>
      <c r="X2554">
        <v>0.98794159999999998</v>
      </c>
      <c r="Y2554">
        <v>-0.40008719999999998</v>
      </c>
      <c r="Z2554">
        <v>6.4980510000000005E-2</v>
      </c>
      <c r="AA2554">
        <v>0.91417060000000006</v>
      </c>
      <c r="AB2554">
        <v>16</v>
      </c>
      <c r="AC2554">
        <v>6.0910999999999804</v>
      </c>
      <c r="AD2554">
        <v>-1.121941727729</v>
      </c>
      <c r="AE2554">
        <v>-12.7409999999999</v>
      </c>
      <c r="AF2554">
        <v>-5.6935900519732501</v>
      </c>
      <c r="AG2554">
        <v>-1.121941727729</v>
      </c>
      <c r="AH2554">
        <v>12.826680838025601</v>
      </c>
      <c r="AI2554">
        <v>94.570907871851205</v>
      </c>
      <c r="AJ2554">
        <v>113.93578709829799</v>
      </c>
      <c r="AK2554">
        <v>14.078333077496101</v>
      </c>
      <c r="AL2554">
        <v>95.112955319515507</v>
      </c>
      <c r="AM2554">
        <v>97.302719529879894</v>
      </c>
      <c r="AN2554">
        <v>0.999999972994004</v>
      </c>
    </row>
    <row r="2555" spans="1:40" x14ac:dyDescent="0.25">
      <c r="A2555" t="str">
        <f>"20190303154516479"</f>
        <v>20190303154516479</v>
      </c>
      <c r="B2555" t="str">
        <f>"1551599116473367"</f>
        <v>1551599116473367</v>
      </c>
      <c r="C2555" t="s">
        <v>40</v>
      </c>
      <c r="D2555">
        <v>4.1462279999999998</v>
      </c>
      <c r="E2555">
        <v>0.33308660000000001</v>
      </c>
      <c r="F2555" t="s">
        <v>42</v>
      </c>
      <c r="G2555">
        <v>-492.3193</v>
      </c>
      <c r="H2555">
        <v>1.0299020000000001</v>
      </c>
      <c r="I2555">
        <v>233.0497</v>
      </c>
      <c r="J2555">
        <v>-492.77629999999999</v>
      </c>
      <c r="K2555">
        <v>1.122028</v>
      </c>
      <c r="L2555">
        <v>233.6395</v>
      </c>
      <c r="M2555">
        <v>2.96504E-2</v>
      </c>
      <c r="N2555">
        <v>-1.3873369999999999E-2</v>
      </c>
      <c r="O2555">
        <v>-0.99946420000000002</v>
      </c>
      <c r="P2555">
        <v>0.1674947</v>
      </c>
      <c r="Q2555">
        <v>-9.9146629999999999E-2</v>
      </c>
      <c r="R2555">
        <v>-0.98087519999999995</v>
      </c>
      <c r="S2555">
        <v>1.7179869999999999</v>
      </c>
      <c r="T2555">
        <v>-0.3415687</v>
      </c>
      <c r="U2555">
        <v>-2.747131</v>
      </c>
      <c r="V2555">
        <v>-0.13816619999999999</v>
      </c>
      <c r="W2555">
        <v>-8.5738289999999995E-2</v>
      </c>
      <c r="X2555">
        <v>0.98669090000000004</v>
      </c>
      <c r="Y2555">
        <v>-0.50223279999999904</v>
      </c>
      <c r="Z2555">
        <v>9.1948870000000002E-2</v>
      </c>
      <c r="AA2555">
        <v>0.85982999999999898</v>
      </c>
      <c r="AB2555">
        <v>16</v>
      </c>
      <c r="AC2555">
        <v>0.45699999999999302</v>
      </c>
      <c r="AD2555">
        <v>-9.2125999999999902E-2</v>
      </c>
      <c r="AE2555">
        <v>-0.58979999999999599</v>
      </c>
      <c r="AF2555">
        <v>-0.4327127547213</v>
      </c>
      <c r="AG2555">
        <v>-9.2125999999999902E-2</v>
      </c>
      <c r="AH2555">
        <v>0.59403597253051699</v>
      </c>
      <c r="AI2555">
        <v>97.144974172600001</v>
      </c>
      <c r="AJ2555">
        <v>126.070663031386</v>
      </c>
      <c r="AK2555">
        <v>0.74067959647527304</v>
      </c>
      <c r="AL2555">
        <v>94.918481044194607</v>
      </c>
      <c r="AM2555">
        <v>97.9712890011307</v>
      </c>
      <c r="AN2555">
        <v>0.99999994266868497</v>
      </c>
    </row>
    <row r="2556" spans="1:40" x14ac:dyDescent="0.25">
      <c r="A2556" t="str">
        <f>"20190303154516499"</f>
        <v>20190303154516499</v>
      </c>
      <c r="B2556" t="str">
        <f>"1551599116492887"</f>
        <v>1551599116492887</v>
      </c>
      <c r="C2556" t="s">
        <v>40</v>
      </c>
      <c r="D2556">
        <v>4.1939630000000001</v>
      </c>
      <c r="E2556">
        <v>0.33143099999999998</v>
      </c>
      <c r="F2556" t="s">
        <v>42</v>
      </c>
      <c r="G2556">
        <v>-492.29270000000002</v>
      </c>
      <c r="H2556">
        <v>1.0252920000000001</v>
      </c>
      <c r="I2556">
        <v>232.91540000000001</v>
      </c>
      <c r="J2556">
        <v>-492.77019999999999</v>
      </c>
      <c r="K2556">
        <v>1.1221139999999901</v>
      </c>
      <c r="L2556">
        <v>233.49379999999999</v>
      </c>
      <c r="M2556">
        <v>3.118454E-2</v>
      </c>
      <c r="N2556">
        <v>-1.3873119999999999E-2</v>
      </c>
      <c r="O2556">
        <v>-0.99941740000000001</v>
      </c>
      <c r="P2556">
        <v>0.17967529999999901</v>
      </c>
      <c r="Q2556">
        <v>-9.5884259999999999E-2</v>
      </c>
      <c r="R2556">
        <v>-0.97904219999999997</v>
      </c>
      <c r="S2556">
        <v>1.812927</v>
      </c>
      <c r="T2556">
        <v>-0.36233280000000001</v>
      </c>
      <c r="U2556">
        <v>-2.7122649999999999</v>
      </c>
      <c r="V2556">
        <v>-0.14888029999999999</v>
      </c>
      <c r="W2556">
        <v>-8.2535700000000004E-2</v>
      </c>
      <c r="X2556">
        <v>0.98540470000000002</v>
      </c>
      <c r="Y2556">
        <v>-0.52644869999999899</v>
      </c>
      <c r="Z2556">
        <v>9.7653920000000005E-2</v>
      </c>
      <c r="AA2556">
        <v>0.84458009999999994</v>
      </c>
      <c r="AB2556">
        <v>16</v>
      </c>
      <c r="AC2556">
        <v>0.47749999999996301</v>
      </c>
      <c r="AD2556">
        <v>-9.68219999999997E-2</v>
      </c>
      <c r="AE2556">
        <v>-0.57839999999998704</v>
      </c>
      <c r="AF2556">
        <v>-0.45170159560078599</v>
      </c>
      <c r="AG2556">
        <v>-9.68219999999997E-2</v>
      </c>
      <c r="AH2556">
        <v>0.58329060916657605</v>
      </c>
      <c r="AI2556">
        <v>97.476830282120503</v>
      </c>
      <c r="AJ2556">
        <v>127.754283302763</v>
      </c>
      <c r="AK2556">
        <v>0.744067715933309</v>
      </c>
      <c r="AL2556">
        <v>94.734333055621406</v>
      </c>
      <c r="AM2556">
        <v>98.591578373380401</v>
      </c>
      <c r="AN2556">
        <v>0.999999954142334</v>
      </c>
    </row>
    <row r="2557" spans="1:40" x14ac:dyDescent="0.25">
      <c r="A2557" t="str">
        <f>"20190303154516525"</f>
        <v>20190303154516525</v>
      </c>
      <c r="B2557" t="str">
        <f>"1551599116512913"</f>
        <v>1551599116512913</v>
      </c>
      <c r="C2557" t="s">
        <v>40</v>
      </c>
      <c r="D2557">
        <v>4.2220870000000001</v>
      </c>
      <c r="E2557">
        <v>0.33204339999999999</v>
      </c>
      <c r="F2557" t="s">
        <v>42</v>
      </c>
      <c r="G2557">
        <v>-492.27569999999997</v>
      </c>
      <c r="H2557">
        <v>1.0248649999999999</v>
      </c>
      <c r="I2557">
        <v>232.7791</v>
      </c>
      <c r="J2557">
        <v>-492.76240000000001</v>
      </c>
      <c r="K2557">
        <v>1.122196</v>
      </c>
      <c r="L2557">
        <v>233.3185</v>
      </c>
      <c r="M2557">
        <v>3.3194300000000003E-2</v>
      </c>
      <c r="N2557">
        <v>-1.387304E-2</v>
      </c>
      <c r="O2557">
        <v>-0.99935260000000004</v>
      </c>
      <c r="P2557">
        <v>0.19094249999999999</v>
      </c>
      <c r="Q2557">
        <v>-9.503027E-2</v>
      </c>
      <c r="R2557">
        <v>-0.97699060000000004</v>
      </c>
      <c r="S2557">
        <v>1.8594360000000001</v>
      </c>
      <c r="T2557">
        <v>-0.36563309999999999</v>
      </c>
      <c r="U2557">
        <v>-2.6871800000000001</v>
      </c>
      <c r="V2557">
        <v>-0.15821789999999999</v>
      </c>
      <c r="W2557">
        <v>-8.1747349999999996E-2</v>
      </c>
      <c r="X2557">
        <v>0.98401450000000001</v>
      </c>
      <c r="Y2557">
        <v>-0.53822340000000002</v>
      </c>
      <c r="Z2557">
        <v>9.8570290000000005E-2</v>
      </c>
      <c r="AA2557">
        <v>0.83701819999999905</v>
      </c>
      <c r="AB2557">
        <v>16</v>
      </c>
      <c r="AC2557">
        <v>0.48670000000004099</v>
      </c>
      <c r="AD2557">
        <v>-9.7331000000000001E-2</v>
      </c>
      <c r="AE2557">
        <v>-0.53939999999999999</v>
      </c>
      <c r="AF2557">
        <v>-0.460264319102209</v>
      </c>
      <c r="AG2557">
        <v>-9.7331000000000001E-2</v>
      </c>
      <c r="AH2557">
        <v>0.54546997585214096</v>
      </c>
      <c r="AI2557">
        <v>97.765719777880307</v>
      </c>
      <c r="AJ2557">
        <v>130.15747383550499</v>
      </c>
      <c r="AK2557">
        <v>0.72031525150850195</v>
      </c>
      <c r="AL2557">
        <v>94.689010387409297</v>
      </c>
      <c r="AM2557">
        <v>99.134303631540902</v>
      </c>
      <c r="AN2557">
        <v>1.00000003466134</v>
      </c>
    </row>
    <row r="2558" spans="1:40" x14ac:dyDescent="0.25">
      <c r="A2558" t="str">
        <f>"20190303154516550"</f>
        <v>20190303154516550</v>
      </c>
      <c r="B2558" t="str">
        <f>"1551599116543168"</f>
        <v>1551599116543168</v>
      </c>
      <c r="C2558" t="s">
        <v>40</v>
      </c>
      <c r="D2558">
        <v>3.9602010000000001</v>
      </c>
      <c r="E2558">
        <v>0.33265299999999998</v>
      </c>
      <c r="F2558" t="s">
        <v>42</v>
      </c>
      <c r="G2558">
        <v>-492.19690000000003</v>
      </c>
      <c r="H2558">
        <v>1.0106619999999999</v>
      </c>
      <c r="I2558">
        <v>232.5188</v>
      </c>
      <c r="J2558">
        <v>-492.75400000000002</v>
      </c>
      <c r="K2558">
        <v>1.122261</v>
      </c>
      <c r="L2558">
        <v>233.1438</v>
      </c>
      <c r="M2558">
        <v>3.5364100000000002E-2</v>
      </c>
      <c r="N2558">
        <v>-1.3873440000000001E-2</v>
      </c>
      <c r="O2558">
        <v>-0.99927820000000001</v>
      </c>
      <c r="P2558">
        <v>0.20148769999999999</v>
      </c>
      <c r="Q2558">
        <v>-9.4370549999999997E-2</v>
      </c>
      <c r="R2558">
        <v>-0.97493419999999997</v>
      </c>
      <c r="S2558">
        <v>1.885437</v>
      </c>
      <c r="T2558">
        <v>-0.37183490000000002</v>
      </c>
      <c r="U2558">
        <v>-2.6659700000000002</v>
      </c>
      <c r="V2558">
        <v>-0.16668379999999999</v>
      </c>
      <c r="W2558">
        <v>-8.1150849999999997E-2</v>
      </c>
      <c r="X2558">
        <v>0.98266529999999996</v>
      </c>
      <c r="Y2558">
        <v>-0.54482419999999998</v>
      </c>
      <c r="Z2558">
        <v>0.1006307</v>
      </c>
      <c r="AA2558">
        <v>0.83249030000000002</v>
      </c>
      <c r="AB2558">
        <v>16</v>
      </c>
      <c r="AC2558">
        <v>0.55709999999999105</v>
      </c>
      <c r="AD2558">
        <v>-0.111598999999999</v>
      </c>
      <c r="AE2558">
        <v>-0.625</v>
      </c>
      <c r="AF2558">
        <v>-0.52531358090284397</v>
      </c>
      <c r="AG2558">
        <v>-0.111598999999999</v>
      </c>
      <c r="AH2558">
        <v>0.63306462498573901</v>
      </c>
      <c r="AI2558">
        <v>97.7256237061668</v>
      </c>
      <c r="AJ2558">
        <v>129.685702857904</v>
      </c>
      <c r="AK2558">
        <v>0.83016836514667502</v>
      </c>
      <c r="AL2558">
        <v>94.654719589281399</v>
      </c>
      <c r="AM2558">
        <v>99.627116181209502</v>
      </c>
      <c r="AN2558">
        <v>1.0000000207311199</v>
      </c>
    </row>
    <row r="2559" spans="1:40" x14ac:dyDescent="0.25">
      <c r="A2559" t="str">
        <f>"20190303154516567"</f>
        <v>20190303154516567</v>
      </c>
      <c r="B2559" t="str">
        <f>"1551599116562690"</f>
        <v>1551599116562690</v>
      </c>
      <c r="C2559" t="s">
        <v>40</v>
      </c>
      <c r="D2559">
        <v>4.2100839999999904</v>
      </c>
      <c r="E2559">
        <v>0.33325349999999998</v>
      </c>
      <c r="F2559" t="s">
        <v>42</v>
      </c>
      <c r="G2559">
        <v>-492.20159999999998</v>
      </c>
      <c r="H2559">
        <v>1.014394</v>
      </c>
      <c r="I2559">
        <v>232.37809999999999</v>
      </c>
      <c r="J2559">
        <v>-492.74790000000002</v>
      </c>
      <c r="K2559">
        <v>1.122306</v>
      </c>
      <c r="L2559">
        <v>233.0224</v>
      </c>
      <c r="M2559">
        <v>3.694973E-2</v>
      </c>
      <c r="N2559">
        <v>-1.3873669999999999E-2</v>
      </c>
      <c r="O2559">
        <v>-0.99922089999999997</v>
      </c>
      <c r="P2559">
        <v>0.20889260000000001</v>
      </c>
      <c r="Q2559">
        <v>-9.5140710000000003E-2</v>
      </c>
      <c r="R2559">
        <v>-0.97329949999999998</v>
      </c>
      <c r="S2559">
        <v>1.9096070000000001</v>
      </c>
      <c r="T2559">
        <v>-0.37276209999999999</v>
      </c>
      <c r="U2559">
        <v>-2.6463930000000002</v>
      </c>
      <c r="V2559">
        <v>-0.17257790000000001</v>
      </c>
      <c r="W2559">
        <v>-8.1964780000000001E-2</v>
      </c>
      <c r="X2559">
        <v>0.98157969999999894</v>
      </c>
      <c r="Y2559">
        <v>-0.55136619999999903</v>
      </c>
      <c r="Z2559">
        <v>0.1010523</v>
      </c>
      <c r="AA2559">
        <v>0.82812059999999998</v>
      </c>
      <c r="AB2559">
        <v>16</v>
      </c>
      <c r="AC2559">
        <v>0.54630000000002998</v>
      </c>
      <c r="AD2559">
        <v>-0.10791199999999999</v>
      </c>
      <c r="AE2559">
        <v>-0.64430000000001497</v>
      </c>
      <c r="AF2559">
        <v>-0.51373402237000798</v>
      </c>
      <c r="AG2559">
        <v>-0.10791199999999999</v>
      </c>
      <c r="AH2559">
        <v>0.65338464718907296</v>
      </c>
      <c r="AI2559">
        <v>97.397464695146397</v>
      </c>
      <c r="AJ2559">
        <v>128.17676026392101</v>
      </c>
      <c r="AK2559">
        <v>0.83814028817785502</v>
      </c>
      <c r="AL2559">
        <v>94.701510167656807</v>
      </c>
      <c r="AM2559">
        <v>99.971630667796205</v>
      </c>
      <c r="AN2559">
        <v>1.0000000320904701</v>
      </c>
    </row>
    <row r="2560" spans="1:40" x14ac:dyDescent="0.25">
      <c r="A2560" t="str">
        <f>"20190303154516590"</f>
        <v>20190303154516590</v>
      </c>
      <c r="B2560" t="str">
        <f>"1551599116583185"</f>
        <v>1551599116583185</v>
      </c>
      <c r="C2560" t="s">
        <v>40</v>
      </c>
      <c r="D2560">
        <v>4.1885070000000004</v>
      </c>
      <c r="E2560">
        <v>0.33166800000000002</v>
      </c>
      <c r="F2560" t="s">
        <v>42</v>
      </c>
      <c r="G2560">
        <v>-492.17899999999997</v>
      </c>
      <c r="H2560">
        <v>1.0108490000000001</v>
      </c>
      <c r="I2560">
        <v>232.24459999999999</v>
      </c>
      <c r="J2560">
        <v>-492.73939999999999</v>
      </c>
      <c r="K2560">
        <v>1.1223350000000001</v>
      </c>
      <c r="L2560">
        <v>232.86449999999999</v>
      </c>
      <c r="M2560">
        <v>3.9113479999999999E-2</v>
      </c>
      <c r="N2560">
        <v>-1.38738E-2</v>
      </c>
      <c r="O2560">
        <v>-0.99913850000000004</v>
      </c>
      <c r="P2560">
        <v>0.21524370000000001</v>
      </c>
      <c r="Q2560">
        <v>-9.4587190000000002E-2</v>
      </c>
      <c r="R2560">
        <v>-0.97196879999999997</v>
      </c>
      <c r="S2560">
        <v>1.9249270000000001</v>
      </c>
      <c r="T2560">
        <v>-0.37719510000000001</v>
      </c>
      <c r="U2560">
        <v>-2.6322939999999999</v>
      </c>
      <c r="V2560">
        <v>-0.17684730000000001</v>
      </c>
      <c r="W2560">
        <v>-8.1446770000000002E-2</v>
      </c>
      <c r="X2560">
        <v>0.98086260000000003</v>
      </c>
      <c r="Y2560">
        <v>-0.55471090000000001</v>
      </c>
      <c r="Z2560">
        <v>0.10257189999999999</v>
      </c>
      <c r="AA2560">
        <v>0.8256966</v>
      </c>
      <c r="AB2560">
        <v>16</v>
      </c>
      <c r="AC2560">
        <v>0.56039999999995804</v>
      </c>
      <c r="AD2560">
        <v>-0.111486</v>
      </c>
      <c r="AE2560">
        <v>-0.61990000000000101</v>
      </c>
      <c r="AF2560">
        <v>-0.52635399075468203</v>
      </c>
      <c r="AG2560">
        <v>-0.111486</v>
      </c>
      <c r="AH2560">
        <v>0.63013144926897102</v>
      </c>
      <c r="AI2560">
        <v>97.732647150685807</v>
      </c>
      <c r="AJ2560">
        <v>129.872285507344</v>
      </c>
      <c r="AK2560">
        <v>0.82857908200556996</v>
      </c>
      <c r="AL2560">
        <v>94.671731001921103</v>
      </c>
      <c r="AM2560">
        <v>100.220496168011</v>
      </c>
      <c r="AN2560">
        <v>0.99999999196974099</v>
      </c>
    </row>
    <row r="2561" spans="1:40" x14ac:dyDescent="0.25">
      <c r="A2561" t="str">
        <f>"20190303154516612"</f>
        <v>20190303154516612</v>
      </c>
      <c r="B2561" t="str">
        <f>"1551599116603681"</f>
        <v>1551599116603681</v>
      </c>
      <c r="C2561" t="s">
        <v>40</v>
      </c>
      <c r="D2561">
        <v>4.1673939999999998</v>
      </c>
      <c r="E2561">
        <v>0.33060119999999998</v>
      </c>
      <c r="F2561" t="s">
        <v>42</v>
      </c>
      <c r="G2561">
        <v>-492.1739</v>
      </c>
      <c r="H2561">
        <v>1.0148980000000001</v>
      </c>
      <c r="I2561">
        <v>232.1069</v>
      </c>
      <c r="J2561">
        <v>-492.73099999999999</v>
      </c>
      <c r="K2561">
        <v>1.1223700000000001</v>
      </c>
      <c r="L2561">
        <v>232.71420000000001</v>
      </c>
      <c r="M2561">
        <v>4.1281060000000001E-2</v>
      </c>
      <c r="N2561">
        <v>-1.3873679999999999E-2</v>
      </c>
      <c r="O2561">
        <v>-0.99905149999999998</v>
      </c>
      <c r="P2561">
        <v>0.2215415</v>
      </c>
      <c r="Q2561">
        <v>-9.3363929999999998E-2</v>
      </c>
      <c r="R2561">
        <v>-0.97067139999999996</v>
      </c>
      <c r="S2561">
        <v>1.9544980000000001</v>
      </c>
      <c r="T2561">
        <v>-0.37117679999999997</v>
      </c>
      <c r="U2561">
        <v>-2.617569</v>
      </c>
      <c r="V2561">
        <v>-0.18106510000000001</v>
      </c>
      <c r="W2561">
        <v>-8.0256540000000001E-2</v>
      </c>
      <c r="X2561">
        <v>0.98019089999999998</v>
      </c>
      <c r="Y2561">
        <v>-0.56124379999999996</v>
      </c>
      <c r="Z2561">
        <v>0.1006384</v>
      </c>
      <c r="AA2561">
        <v>0.82150919999999905</v>
      </c>
      <c r="AB2561">
        <v>16</v>
      </c>
      <c r="AC2561">
        <v>0.55709999999999105</v>
      </c>
      <c r="AD2561">
        <v>-0.107472</v>
      </c>
      <c r="AE2561">
        <v>-0.60730000000000905</v>
      </c>
      <c r="AF2561">
        <v>-0.52266404674057598</v>
      </c>
      <c r="AG2561">
        <v>-0.107472</v>
      </c>
      <c r="AH2561">
        <v>0.61925094194513897</v>
      </c>
      <c r="AI2561">
        <v>97.554818168867698</v>
      </c>
      <c r="AJ2561">
        <v>130.16524393904101</v>
      </c>
      <c r="AK2561">
        <v>0.81743480818911596</v>
      </c>
      <c r="AL2561">
        <v>94.603312079870193</v>
      </c>
      <c r="AM2561">
        <v>100.46594493827099</v>
      </c>
      <c r="AN2561">
        <v>0.99999994154679395</v>
      </c>
    </row>
    <row r="2562" spans="1:40" x14ac:dyDescent="0.25">
      <c r="A2562" t="str">
        <f>"20190303154516637"</f>
        <v>20190303154516637</v>
      </c>
      <c r="B2562" t="str">
        <f>"1551599116632961"</f>
        <v>1551599116632961</v>
      </c>
      <c r="C2562" t="s">
        <v>40</v>
      </c>
      <c r="D2562">
        <v>4.2245039999999996</v>
      </c>
      <c r="E2562">
        <v>0.33009640000000001</v>
      </c>
      <c r="F2562" t="s">
        <v>42</v>
      </c>
      <c r="G2562">
        <v>-492.16520000000003</v>
      </c>
      <c r="H2562">
        <v>1.0184690000000001</v>
      </c>
      <c r="I2562">
        <v>231.97040000000001</v>
      </c>
      <c r="J2562">
        <v>-492.7208</v>
      </c>
      <c r="K2562">
        <v>1.1224160000000001</v>
      </c>
      <c r="L2562">
        <v>232.54300000000001</v>
      </c>
      <c r="M2562">
        <v>4.3873019999999999E-2</v>
      </c>
      <c r="N2562">
        <v>-1.387364E-2</v>
      </c>
      <c r="O2562">
        <v>-0.99894090000000002</v>
      </c>
      <c r="P2562">
        <v>0.22735540000000001</v>
      </c>
      <c r="Q2562">
        <v>-9.1011300000000003E-2</v>
      </c>
      <c r="R2562">
        <v>-0.96955000000000002</v>
      </c>
      <c r="S2562">
        <v>1.9800720000000001</v>
      </c>
      <c r="T2562">
        <v>-0.36373159999999999</v>
      </c>
      <c r="U2562">
        <v>-2.603745</v>
      </c>
      <c r="V2562">
        <v>-0.18438160000000001</v>
      </c>
      <c r="W2562">
        <v>-7.7933760000000005E-2</v>
      </c>
      <c r="X2562">
        <v>0.97976010000000002</v>
      </c>
      <c r="Y2562">
        <v>-0.56645889999999999</v>
      </c>
      <c r="Z2562">
        <v>9.8332000000000003E-2</v>
      </c>
      <c r="AA2562">
        <v>0.8182024</v>
      </c>
      <c r="AB2562">
        <v>16</v>
      </c>
      <c r="AC2562">
        <v>0.55559999999996901</v>
      </c>
      <c r="AD2562">
        <v>-0.103947</v>
      </c>
      <c r="AE2562">
        <v>-0.572599999999994</v>
      </c>
      <c r="AF2562">
        <v>-0.521095754647947</v>
      </c>
      <c r="AG2562">
        <v>-0.103947</v>
      </c>
      <c r="AH2562">
        <v>0.58647198846819004</v>
      </c>
      <c r="AI2562">
        <v>97.547476988790507</v>
      </c>
      <c r="AJ2562">
        <v>131.62193029665099</v>
      </c>
      <c r="AK2562">
        <v>0.79138812069612596</v>
      </c>
      <c r="AL2562">
        <v>94.469807809414803</v>
      </c>
      <c r="AM2562">
        <v>100.657872800348</v>
      </c>
      <c r="AN2562">
        <v>1.0000000494591501</v>
      </c>
    </row>
    <row r="2563" spans="1:40" x14ac:dyDescent="0.25">
      <c r="A2563" t="str">
        <f>"20190303154516657"</f>
        <v>20190303154516657</v>
      </c>
      <c r="B2563" t="str">
        <f>"1551599116653456"</f>
        <v>1551599116653456</v>
      </c>
      <c r="C2563" t="s">
        <v>40</v>
      </c>
      <c r="D2563">
        <v>4.2569489999999996</v>
      </c>
      <c r="E2563">
        <v>0.33070809999999901</v>
      </c>
      <c r="F2563" t="s">
        <v>42</v>
      </c>
      <c r="G2563">
        <v>-492.17140000000001</v>
      </c>
      <c r="H2563">
        <v>1.0258320000000001</v>
      </c>
      <c r="I2563">
        <v>231.8304</v>
      </c>
      <c r="J2563">
        <v>-492.7124</v>
      </c>
      <c r="K2563">
        <v>1.1224499999999999</v>
      </c>
      <c r="L2563">
        <v>232.40880000000001</v>
      </c>
      <c r="M2563">
        <v>4.5999159999999997E-2</v>
      </c>
      <c r="N2563">
        <v>-1.387391E-2</v>
      </c>
      <c r="O2563">
        <v>-0.99884530000000005</v>
      </c>
      <c r="P2563">
        <v>0.23109850000000001</v>
      </c>
      <c r="Q2563">
        <v>-9.0536710000000006E-2</v>
      </c>
      <c r="R2563">
        <v>-0.96870909999999999</v>
      </c>
      <c r="S2563">
        <v>1.9999389999999999</v>
      </c>
      <c r="T2563">
        <v>-0.35129579999999999</v>
      </c>
      <c r="U2563">
        <v>-2.5922700000000001</v>
      </c>
      <c r="V2563">
        <v>-0.18607209999999999</v>
      </c>
      <c r="W2563">
        <v>-7.7480950000000007E-2</v>
      </c>
      <c r="X2563">
        <v>0.97947629999999997</v>
      </c>
      <c r="Y2563">
        <v>-0.57062519999999906</v>
      </c>
      <c r="Z2563">
        <v>9.4532829999999998E-2</v>
      </c>
      <c r="AA2563">
        <v>0.81575149999999996</v>
      </c>
      <c r="AB2563">
        <v>15</v>
      </c>
      <c r="AC2563">
        <v>0.54099999999999604</v>
      </c>
      <c r="AD2563">
        <v>-9.6617999999999801E-2</v>
      </c>
      <c r="AE2563">
        <v>-0.57840000000001601</v>
      </c>
      <c r="AF2563">
        <v>-0.50628373016205896</v>
      </c>
      <c r="AG2563">
        <v>-9.6617999999999801E-2</v>
      </c>
      <c r="AH2563">
        <v>0.59383747730996495</v>
      </c>
      <c r="AI2563">
        <v>97.057965833791897</v>
      </c>
      <c r="AJ2563">
        <v>130.44967496067201</v>
      </c>
      <c r="AK2563">
        <v>0.78632131015804896</v>
      </c>
      <c r="AL2563">
        <v>94.443785361001602</v>
      </c>
      <c r="AM2563">
        <v>100.756363836365</v>
      </c>
      <c r="AN2563">
        <v>0.99999997313650002</v>
      </c>
    </row>
    <row r="2564" spans="1:40" x14ac:dyDescent="0.25">
      <c r="A2564" t="str">
        <f>"20190303154516678"</f>
        <v>20190303154516678</v>
      </c>
      <c r="B2564" t="str">
        <f>"1551599116672977"</f>
        <v>1551599116672977</v>
      </c>
      <c r="C2564" t="s">
        <v>40</v>
      </c>
      <c r="D2564">
        <v>4.3555080000000004</v>
      </c>
      <c r="E2564">
        <v>0.3319433</v>
      </c>
      <c r="F2564" t="s">
        <v>42</v>
      </c>
      <c r="G2564">
        <v>-492.15910000000002</v>
      </c>
      <c r="H2564">
        <v>1.027067</v>
      </c>
      <c r="I2564">
        <v>231.69540000000001</v>
      </c>
      <c r="J2564">
        <v>-492.70249999999999</v>
      </c>
      <c r="K2564">
        <v>1.1224860000000001</v>
      </c>
      <c r="L2564">
        <v>232.25729999999999</v>
      </c>
      <c r="M2564">
        <v>4.8488179999999999E-2</v>
      </c>
      <c r="N2564">
        <v>-1.387445E-2</v>
      </c>
      <c r="O2564">
        <v>-0.99872760000000005</v>
      </c>
      <c r="P2564">
        <v>0.23834820000000001</v>
      </c>
      <c r="Q2564">
        <v>-9.0299130000000005E-2</v>
      </c>
      <c r="R2564">
        <v>-0.96697290000000002</v>
      </c>
      <c r="S2564">
        <v>2.0053709999999998</v>
      </c>
      <c r="T2564">
        <v>-0.34577849999999999</v>
      </c>
      <c r="U2564">
        <v>-2.586166</v>
      </c>
      <c r="V2564">
        <v>-0.19095190000000001</v>
      </c>
      <c r="W2564">
        <v>-7.7286880000000002E-2</v>
      </c>
      <c r="X2564">
        <v>0.97855199999999998</v>
      </c>
      <c r="Y2564">
        <v>-0.57068069999999904</v>
      </c>
      <c r="Z2564">
        <v>9.2981449999999993E-2</v>
      </c>
      <c r="AA2564">
        <v>0.81589089999999997</v>
      </c>
      <c r="AB2564">
        <v>15</v>
      </c>
      <c r="AC2564">
        <v>0.54339999999996202</v>
      </c>
      <c r="AD2564">
        <v>-9.5419000000000101E-2</v>
      </c>
      <c r="AE2564">
        <v>-0.56189999999997997</v>
      </c>
      <c r="AF2564">
        <v>-0.50794367204690205</v>
      </c>
      <c r="AG2564">
        <v>-9.5419000000000101E-2</v>
      </c>
      <c r="AH2564">
        <v>0.57896277919573003</v>
      </c>
      <c r="AI2564">
        <v>97.062328793487296</v>
      </c>
      <c r="AJ2564">
        <v>131.261574274373</v>
      </c>
      <c r="AK2564">
        <v>0.77608598700629505</v>
      </c>
      <c r="AL2564">
        <v>94.432632613534395</v>
      </c>
      <c r="AM2564">
        <v>101.041781975353</v>
      </c>
      <c r="AN2564">
        <v>0.99999995331887104</v>
      </c>
    </row>
    <row r="2565" spans="1:40" x14ac:dyDescent="0.25">
      <c r="A2565" t="str">
        <f>"20190303154516700"</f>
        <v>20190303154516700</v>
      </c>
      <c r="B2565" t="str">
        <f>"1551599116693474"</f>
        <v>1551599116693474</v>
      </c>
      <c r="C2565" t="s">
        <v>40</v>
      </c>
      <c r="D2565">
        <v>4.3930049999999996</v>
      </c>
      <c r="E2565">
        <v>0.33325060000000001</v>
      </c>
      <c r="F2565" t="s">
        <v>42</v>
      </c>
      <c r="G2565">
        <v>-492.15539999999999</v>
      </c>
      <c r="H2565">
        <v>1.031069</v>
      </c>
      <c r="I2565">
        <v>231.55840000000001</v>
      </c>
      <c r="J2565">
        <v>-492.69240000000002</v>
      </c>
      <c r="K2565">
        <v>1.1225259999999999</v>
      </c>
      <c r="L2565">
        <v>232.1095</v>
      </c>
      <c r="M2565">
        <v>5.1010010000000001E-2</v>
      </c>
      <c r="N2565">
        <v>-1.387502E-2</v>
      </c>
      <c r="O2565">
        <v>-0.99860190000000004</v>
      </c>
      <c r="P2565">
        <v>0.24565210000000001</v>
      </c>
      <c r="Q2565">
        <v>-9.1278230000000002E-2</v>
      </c>
      <c r="R2565">
        <v>-0.96505090000000004</v>
      </c>
      <c r="S2565">
        <v>2.0155940000000001</v>
      </c>
      <c r="T2565">
        <v>-0.33668979999999998</v>
      </c>
      <c r="U2565">
        <v>-2.5742189999999998</v>
      </c>
      <c r="V2565">
        <v>-0.19586580000000001</v>
      </c>
      <c r="W2565">
        <v>-7.8311610000000004E-2</v>
      </c>
      <c r="X2565">
        <v>0.9774988</v>
      </c>
      <c r="Y2565">
        <v>-0.57260869999999997</v>
      </c>
      <c r="Z2565">
        <v>9.0393139999999997E-2</v>
      </c>
      <c r="AA2565">
        <v>0.81483030000000001</v>
      </c>
      <c r="AB2565">
        <v>15</v>
      </c>
      <c r="AC2565">
        <v>0.53700000000003401</v>
      </c>
      <c r="AD2565">
        <v>-9.1456999999999899E-2</v>
      </c>
      <c r="AE2565">
        <v>-0.55109999999999004</v>
      </c>
      <c r="AF2565">
        <v>-0.50110725123991395</v>
      </c>
      <c r="AG2565">
        <v>-9.1456999999999899E-2</v>
      </c>
      <c r="AH2565">
        <v>0.56972879460593595</v>
      </c>
      <c r="AI2565">
        <v>96.873082071262502</v>
      </c>
      <c r="AJ2565">
        <v>131.333373217776</v>
      </c>
      <c r="AK2565">
        <v>0.76424064240091005</v>
      </c>
      <c r="AL2565">
        <v>94.491523555815704</v>
      </c>
      <c r="AM2565">
        <v>101.330561100609</v>
      </c>
      <c r="AN2565">
        <v>1.00000001193593</v>
      </c>
    </row>
    <row r="2566" spans="1:40" x14ac:dyDescent="0.25">
      <c r="A2566" t="str">
        <f>"20190303154516725"</f>
        <v>20190303154516725</v>
      </c>
      <c r="B2566" t="str">
        <f>"1551599116712993"</f>
        <v>1551599116712993</v>
      </c>
      <c r="C2566" t="s">
        <v>40</v>
      </c>
      <c r="D2566">
        <v>4.3986260000000001</v>
      </c>
      <c r="E2566">
        <v>0.33460380000000001</v>
      </c>
      <c r="F2566" t="s">
        <v>42</v>
      </c>
      <c r="G2566">
        <v>-492.14920000000001</v>
      </c>
      <c r="H2566">
        <v>1.0326120000000001</v>
      </c>
      <c r="I2566">
        <v>231.42240000000001</v>
      </c>
      <c r="J2566">
        <v>-492.6807</v>
      </c>
      <c r="K2566">
        <v>1.1225609999999999</v>
      </c>
      <c r="L2566">
        <v>231.94800000000001</v>
      </c>
      <c r="M2566">
        <v>5.3868300000000001E-2</v>
      </c>
      <c r="N2566">
        <v>-1.3875449999999999E-2</v>
      </c>
      <c r="O2566">
        <v>-0.99845170000000005</v>
      </c>
      <c r="P2566">
        <v>0.25333549999999999</v>
      </c>
      <c r="Q2566">
        <v>-9.1518070000000007E-2</v>
      </c>
      <c r="R2566">
        <v>-0.96303970000000005</v>
      </c>
      <c r="S2566">
        <v>2.0250849999999998</v>
      </c>
      <c r="T2566">
        <v>-0.33523059999999899</v>
      </c>
      <c r="U2566">
        <v>-2.5614780000000001</v>
      </c>
      <c r="V2566">
        <v>-0.2008443</v>
      </c>
      <c r="W2566">
        <v>-7.8595880000000007E-2</v>
      </c>
      <c r="X2566">
        <v>0.97646520000000003</v>
      </c>
      <c r="Y2566">
        <v>-0.57410430000000001</v>
      </c>
      <c r="Z2566">
        <v>9.017414E-2</v>
      </c>
      <c r="AA2566">
        <v>0.81380149999999996</v>
      </c>
      <c r="AB2566">
        <v>15</v>
      </c>
      <c r="AC2566">
        <v>0.53149999999999398</v>
      </c>
      <c r="AD2566">
        <v>-8.9949000000000001E-2</v>
      </c>
      <c r="AE2566">
        <v>-0.52559999999996798</v>
      </c>
      <c r="AF2566">
        <v>-0.49524100758883199</v>
      </c>
      <c r="AG2566">
        <v>-8.9949000000000001E-2</v>
      </c>
      <c r="AH2566">
        <v>0.54557045026632101</v>
      </c>
      <c r="AI2566">
        <v>96.960030865646502</v>
      </c>
      <c r="AJ2566">
        <v>132.23156374453501</v>
      </c>
      <c r="AK2566">
        <v>0.74229481636503303</v>
      </c>
      <c r="AL2566">
        <v>94.507861365737995</v>
      </c>
      <c r="AM2566">
        <v>101.622789007544</v>
      </c>
      <c r="AN2566">
        <v>1.0000000160032501</v>
      </c>
    </row>
    <row r="2567" spans="1:40" x14ac:dyDescent="0.25">
      <c r="A2567" t="str">
        <f>"20190303154516748"</f>
        <v>20190303154516748</v>
      </c>
      <c r="B2567" t="str">
        <f>"1551599116743251"</f>
        <v>1551599116743251</v>
      </c>
      <c r="C2567" t="s">
        <v>40</v>
      </c>
      <c r="D2567">
        <v>4.3675540000000002</v>
      </c>
      <c r="E2567">
        <v>0.33654610000000001</v>
      </c>
      <c r="F2567" t="s">
        <v>42</v>
      </c>
      <c r="G2567">
        <v>-492.0607</v>
      </c>
      <c r="H2567">
        <v>1.0207930000000001</v>
      </c>
      <c r="I2567">
        <v>231.172</v>
      </c>
      <c r="J2567">
        <v>-492.66890000000001</v>
      </c>
      <c r="K2567">
        <v>1.1225860000000001</v>
      </c>
      <c r="L2567">
        <v>231.79300000000001</v>
      </c>
      <c r="M2567">
        <v>5.669424E-2</v>
      </c>
      <c r="N2567">
        <v>-1.38754E-2</v>
      </c>
      <c r="O2567">
        <v>-0.99829540000000005</v>
      </c>
      <c r="P2567">
        <v>0.26155279999999997</v>
      </c>
      <c r="Q2567">
        <v>-9.0531360000000005E-2</v>
      </c>
      <c r="R2567">
        <v>-0.96093399999999995</v>
      </c>
      <c r="S2567">
        <v>2.0352779999999999</v>
      </c>
      <c r="T2567">
        <v>-0.3341674</v>
      </c>
      <c r="U2567">
        <v>-2.5479889999999998</v>
      </c>
      <c r="V2567">
        <v>-0.20640549999999999</v>
      </c>
      <c r="W2567">
        <v>-7.7650730000000001E-2</v>
      </c>
      <c r="X2567">
        <v>0.97538049999999998</v>
      </c>
      <c r="Y2567">
        <v>-0.57587919999999904</v>
      </c>
      <c r="Z2567">
        <v>9.0078469999999994E-2</v>
      </c>
      <c r="AA2567">
        <v>0.81255719999999898</v>
      </c>
      <c r="AB2567">
        <v>15</v>
      </c>
      <c r="AC2567">
        <v>0.60820000000000995</v>
      </c>
      <c r="AD2567">
        <v>-0.10179299999999999</v>
      </c>
      <c r="AE2567">
        <v>-0.62100000000000899</v>
      </c>
      <c r="AF2567">
        <v>-0.56427246973413503</v>
      </c>
      <c r="AG2567">
        <v>-0.10179299999999999</v>
      </c>
      <c r="AH2567">
        <v>0.64563135091722601</v>
      </c>
      <c r="AI2567">
        <v>96.770132925179098</v>
      </c>
      <c r="AJ2567">
        <v>131.152988911205</v>
      </c>
      <c r="AK2567">
        <v>0.86348426519309696</v>
      </c>
      <c r="AL2567">
        <v>94.453542345702502</v>
      </c>
      <c r="AM2567">
        <v>101.94839460962</v>
      </c>
      <c r="AN2567">
        <v>0.99999999304001597</v>
      </c>
    </row>
    <row r="2568" spans="1:40" x14ac:dyDescent="0.25">
      <c r="A2568" t="str">
        <f>"20190303154516769"</f>
        <v>20190303154516769</v>
      </c>
      <c r="B2568" t="str">
        <f>"1551599116763745"</f>
        <v>1551599116763745</v>
      </c>
      <c r="C2568" t="s">
        <v>40</v>
      </c>
      <c r="D2568">
        <v>4.3575699999999999</v>
      </c>
      <c r="E2568">
        <v>0.33780130000000003</v>
      </c>
      <c r="F2568" t="s">
        <v>42</v>
      </c>
      <c r="G2568">
        <v>-492.0591</v>
      </c>
      <c r="H2568">
        <v>1.023755</v>
      </c>
      <c r="I2568">
        <v>231.03569999999999</v>
      </c>
      <c r="J2568">
        <v>-492.65699999999998</v>
      </c>
      <c r="K2568">
        <v>1.122595</v>
      </c>
      <c r="L2568">
        <v>231.64359999999999</v>
      </c>
      <c r="M2568">
        <v>5.9476059999999997E-2</v>
      </c>
      <c r="N2568">
        <v>-1.387468E-2</v>
      </c>
      <c r="O2568">
        <v>-0.9981333</v>
      </c>
      <c r="P2568">
        <v>0.27039190000000002</v>
      </c>
      <c r="Q2568">
        <v>-8.9188870000000003E-2</v>
      </c>
      <c r="R2568">
        <v>-0.95861019999999997</v>
      </c>
      <c r="S2568">
        <v>2.041687</v>
      </c>
      <c r="T2568">
        <v>-0.3307909</v>
      </c>
      <c r="U2568">
        <v>-2.5350799999999998</v>
      </c>
      <c r="V2568">
        <v>-0.21265500000000001</v>
      </c>
      <c r="W2568">
        <v>-7.6347639999999994E-2</v>
      </c>
      <c r="X2568">
        <v>0.97414000000000001</v>
      </c>
      <c r="Y2568">
        <v>-0.57691250000000005</v>
      </c>
      <c r="Z2568">
        <v>8.9323050000000001E-2</v>
      </c>
      <c r="AA2568">
        <v>0.81190719999999905</v>
      </c>
      <c r="AB2568">
        <v>15</v>
      </c>
      <c r="AC2568">
        <v>0.597899999999981</v>
      </c>
      <c r="AD2568">
        <v>-9.8839999999999997E-2</v>
      </c>
      <c r="AE2568">
        <v>-0.6079</v>
      </c>
      <c r="AF2568">
        <v>-0.55324816196019799</v>
      </c>
      <c r="AG2568">
        <v>-9.8839999999999997E-2</v>
      </c>
      <c r="AH2568">
        <v>0.63387024255822999</v>
      </c>
      <c r="AI2568">
        <v>96.700250413126696</v>
      </c>
      <c r="AJ2568">
        <v>131.11477455557099</v>
      </c>
      <c r="AK2568">
        <v>0.84713892527327905</v>
      </c>
      <c r="AL2568">
        <v>94.378658760703402</v>
      </c>
      <c r="AM2568">
        <v>102.314492649233</v>
      </c>
      <c r="AN2568">
        <v>0.99999992537928195</v>
      </c>
    </row>
    <row r="2569" spans="1:40" x14ac:dyDescent="0.25">
      <c r="A2569" t="str">
        <f>"20190303154516792"</f>
        <v>20190303154516792</v>
      </c>
      <c r="B2569" t="str">
        <f>"1551599116783266"</f>
        <v>1551599116783266</v>
      </c>
      <c r="C2569" t="s">
        <v>40</v>
      </c>
      <c r="D2569">
        <v>4.3317059999999996</v>
      </c>
      <c r="E2569">
        <v>0.33900839999999999</v>
      </c>
      <c r="F2569" t="s">
        <v>42</v>
      </c>
      <c r="G2569">
        <v>-492.05110000000002</v>
      </c>
      <c r="H2569">
        <v>1.0263469999999999</v>
      </c>
      <c r="I2569">
        <v>230.90119999999999</v>
      </c>
      <c r="J2569">
        <v>-492.64479999999998</v>
      </c>
      <c r="K2569">
        <v>1.1225889999999901</v>
      </c>
      <c r="L2569">
        <v>231.49590000000001</v>
      </c>
      <c r="M2569">
        <v>6.2273240000000001E-2</v>
      </c>
      <c r="N2569">
        <v>-1.387334E-2</v>
      </c>
      <c r="O2569">
        <v>-0.99796280000000004</v>
      </c>
      <c r="P2569">
        <v>0.2791535</v>
      </c>
      <c r="Q2569">
        <v>-8.7564820000000002E-2</v>
      </c>
      <c r="R2569">
        <v>-0.95624549999999997</v>
      </c>
      <c r="S2569">
        <v>2.0553590000000002</v>
      </c>
      <c r="T2569">
        <v>-0.32662639999999998</v>
      </c>
      <c r="U2569">
        <v>-2.5193629999999998</v>
      </c>
      <c r="V2569">
        <v>-0.21882489999999999</v>
      </c>
      <c r="W2569">
        <v>-7.4758340000000006E-2</v>
      </c>
      <c r="X2569">
        <v>0.97289610000000004</v>
      </c>
      <c r="Y2569">
        <v>-0.5798082</v>
      </c>
      <c r="Z2569">
        <v>8.8252880000000006E-2</v>
      </c>
      <c r="AA2569">
        <v>0.80995919999999999</v>
      </c>
      <c r="AB2569">
        <v>15</v>
      </c>
      <c r="AC2569">
        <v>0.59369999999995504</v>
      </c>
      <c r="AD2569">
        <v>-9.6241999999999897E-2</v>
      </c>
      <c r="AE2569">
        <v>-0.59470000000001699</v>
      </c>
      <c r="AF2569">
        <v>-0.54831776135241705</v>
      </c>
      <c r="AG2569">
        <v>-9.6241999999999897E-2</v>
      </c>
      <c r="AH2569">
        <v>0.62235728044703398</v>
      </c>
      <c r="AI2569">
        <v>96.618526686974803</v>
      </c>
      <c r="AJ2569">
        <v>131.381139756686</v>
      </c>
      <c r="AK2569">
        <v>0.83501106250393797</v>
      </c>
      <c r="AL2569">
        <v>94.287337295253195</v>
      </c>
      <c r="AM2569">
        <v>102.676082798059</v>
      </c>
      <c r="AN2569">
        <v>0.99999998382738697</v>
      </c>
    </row>
    <row r="2570" spans="1:40" x14ac:dyDescent="0.25">
      <c r="A2570" t="str">
        <f>"20190303154516816"</f>
        <v>20190303154516816</v>
      </c>
      <c r="B2570" t="str">
        <f>"1551599116813521"</f>
        <v>1551599116813521</v>
      </c>
      <c r="C2570" t="s">
        <v>40</v>
      </c>
      <c r="D2570">
        <v>4.3042259999999999</v>
      </c>
      <c r="E2570">
        <v>0.36184470000000002</v>
      </c>
      <c r="F2570" t="s">
        <v>42</v>
      </c>
      <c r="G2570">
        <v>-492.04270000000002</v>
      </c>
      <c r="H2570">
        <v>1.0286839999999999</v>
      </c>
      <c r="I2570">
        <v>230.7672</v>
      </c>
      <c r="J2570">
        <v>-492.6309</v>
      </c>
      <c r="K2570">
        <v>1.122584</v>
      </c>
      <c r="L2570">
        <v>231.333</v>
      </c>
      <c r="M2570">
        <v>6.5407019999999996E-2</v>
      </c>
      <c r="N2570">
        <v>-1.3871369999999999E-2</v>
      </c>
      <c r="O2570">
        <v>-0.99776229999999999</v>
      </c>
      <c r="P2570">
        <v>0.2875817</v>
      </c>
      <c r="Q2570">
        <v>-8.6769689999999997E-2</v>
      </c>
      <c r="R2570">
        <v>-0.95381749999999998</v>
      </c>
      <c r="S2570">
        <v>2.069</v>
      </c>
      <c r="T2570">
        <v>-0.32260949999999999</v>
      </c>
      <c r="U2570">
        <v>-2.5037539999999998</v>
      </c>
      <c r="V2570">
        <v>-0.22434499999999999</v>
      </c>
      <c r="W2570">
        <v>-7.3994560000000001E-2</v>
      </c>
      <c r="X2570">
        <v>0.97169649999999996</v>
      </c>
      <c r="Y2570">
        <v>-0.58240919999999996</v>
      </c>
      <c r="Z2570">
        <v>8.7227650000000004E-2</v>
      </c>
      <c r="AA2570">
        <v>0.80820230000000004</v>
      </c>
      <c r="AB2570">
        <v>15</v>
      </c>
      <c r="AC2570">
        <v>0.58819999999997197</v>
      </c>
      <c r="AD2570">
        <v>-9.3900000000000095E-2</v>
      </c>
      <c r="AE2570">
        <v>-0.56579999999999497</v>
      </c>
      <c r="AF2570">
        <v>-0.54274511772105305</v>
      </c>
      <c r="AG2570">
        <v>-9.3900000000000095E-2</v>
      </c>
      <c r="AH2570">
        <v>0.59518589996596905</v>
      </c>
      <c r="AI2570">
        <v>96.649221399745798</v>
      </c>
      <c r="AJ2570">
        <v>132.361429550559</v>
      </c>
      <c r="AK2570">
        <v>0.81094742636520001</v>
      </c>
      <c r="AL2570">
        <v>94.243454389574495</v>
      </c>
      <c r="AM2570">
        <v>103.000626241159</v>
      </c>
      <c r="AN2570">
        <v>0.99999998102342103</v>
      </c>
    </row>
    <row r="2571" spans="1:40" x14ac:dyDescent="0.25">
      <c r="A2571" t="str">
        <f>"20190303154516837"</f>
        <v>20190303154516837</v>
      </c>
      <c r="B2571" t="str">
        <f>"1551599116833041"</f>
        <v>1551599116833041</v>
      </c>
      <c r="C2571" t="s">
        <v>40</v>
      </c>
      <c r="D2571">
        <v>4.2828299999999997</v>
      </c>
      <c r="E2571">
        <v>0.36211330000000003</v>
      </c>
      <c r="F2571" t="s">
        <v>42</v>
      </c>
      <c r="G2571">
        <v>-492.09059999999999</v>
      </c>
      <c r="H2571">
        <v>1.034294</v>
      </c>
      <c r="I2571">
        <v>230.6174</v>
      </c>
      <c r="J2571">
        <v>-492.61840000000001</v>
      </c>
      <c r="K2571">
        <v>1.1225799999999999</v>
      </c>
      <c r="L2571">
        <v>231.19309999999999</v>
      </c>
      <c r="M2571">
        <v>6.8142850000000005E-2</v>
      </c>
      <c r="N2571">
        <v>-1.3869609999999999E-2</v>
      </c>
      <c r="O2571">
        <v>-0.9975792</v>
      </c>
      <c r="P2571">
        <v>0.29497250000000003</v>
      </c>
      <c r="Q2571">
        <v>-8.7664370000000005E-2</v>
      </c>
      <c r="R2571">
        <v>-0.95147590000000004</v>
      </c>
      <c r="S2571">
        <v>1.916809</v>
      </c>
      <c r="T2571">
        <v>-0.31319459999999999</v>
      </c>
      <c r="U2571">
        <v>-2.5388639999999998</v>
      </c>
      <c r="V2571">
        <v>-0.22921269999999999</v>
      </c>
      <c r="W2571">
        <v>-7.4922390000000005E-2</v>
      </c>
      <c r="X2571">
        <v>0.97048869999999998</v>
      </c>
      <c r="Y2571">
        <v>-0.54414879999999999</v>
      </c>
      <c r="Z2571">
        <v>8.623873E-2</v>
      </c>
      <c r="AA2571">
        <v>0.83454479999999998</v>
      </c>
      <c r="AB2571">
        <v>15</v>
      </c>
      <c r="AC2571">
        <v>0.52780000000001304</v>
      </c>
      <c r="AD2571">
        <v>-8.8285999999999795E-2</v>
      </c>
      <c r="AE2571">
        <v>-0.575699999999983</v>
      </c>
      <c r="AF2571">
        <v>-0.48119082606796598</v>
      </c>
      <c r="AG2571">
        <v>-8.8285999999999795E-2</v>
      </c>
      <c r="AH2571">
        <v>0.60263061357343095</v>
      </c>
      <c r="AI2571">
        <v>96.530942277612397</v>
      </c>
      <c r="AJ2571">
        <v>128.606800955544</v>
      </c>
      <c r="AK2571">
        <v>0.77621046456734999</v>
      </c>
      <c r="AL2571">
        <v>94.296762724634405</v>
      </c>
      <c r="AM2571">
        <v>103.288754844827</v>
      </c>
      <c r="AN2571">
        <v>1.0000000715961399</v>
      </c>
    </row>
    <row r="2572" spans="1:40" x14ac:dyDescent="0.25">
      <c r="A2572" t="str">
        <f>"20190303154516861"</f>
        <v>20190303154516861</v>
      </c>
      <c r="B2572" t="str">
        <f>"1551599116853537"</f>
        <v>1551599116853537</v>
      </c>
      <c r="C2572" t="s">
        <v>40</v>
      </c>
      <c r="D2572">
        <v>4.2434960000000004</v>
      </c>
      <c r="E2572">
        <v>0.3625197</v>
      </c>
      <c r="F2572" t="s">
        <v>42</v>
      </c>
      <c r="G2572">
        <v>-492.0761</v>
      </c>
      <c r="H2572">
        <v>1.0336459999999901</v>
      </c>
      <c r="I2572">
        <v>230.4854</v>
      </c>
      <c r="J2572">
        <v>-492.60379999999998</v>
      </c>
      <c r="K2572">
        <v>1.1225810000000001</v>
      </c>
      <c r="L2572">
        <v>231.0352</v>
      </c>
      <c r="M2572">
        <v>7.1284990000000006E-2</v>
      </c>
      <c r="N2572">
        <v>-1.386803E-2</v>
      </c>
      <c r="O2572">
        <v>-0.99735949999999995</v>
      </c>
      <c r="P2572">
        <v>0.30293320000000001</v>
      </c>
      <c r="Q2572">
        <v>-8.8911770000000001E-2</v>
      </c>
      <c r="R2572">
        <v>-0.94885529999999996</v>
      </c>
      <c r="S2572">
        <v>1.9343870000000001</v>
      </c>
      <c r="T2572">
        <v>-0.31718869999999999</v>
      </c>
      <c r="U2572">
        <v>-2.5240939999999998</v>
      </c>
      <c r="V2572">
        <v>-0.23427919999999999</v>
      </c>
      <c r="W2572">
        <v>-7.6212260000000004E-2</v>
      </c>
      <c r="X2572">
        <v>0.96917750000000003</v>
      </c>
      <c r="Y2572">
        <v>-0.54744359999999903</v>
      </c>
      <c r="Z2572">
        <v>8.7640839999999998E-2</v>
      </c>
      <c r="AA2572">
        <v>0.83224069999999895</v>
      </c>
      <c r="AB2572">
        <v>15</v>
      </c>
      <c r="AC2572">
        <v>0.52769999999998096</v>
      </c>
      <c r="AD2572">
        <v>-8.8935000000000194E-2</v>
      </c>
      <c r="AE2572">
        <v>-0.54980000000000395</v>
      </c>
      <c r="AF2572">
        <v>-0.48061531126998203</v>
      </c>
      <c r="AG2572">
        <v>-8.8935000000000194E-2</v>
      </c>
      <c r="AH2572">
        <v>0.57814771417293997</v>
      </c>
      <c r="AI2572">
        <v>96.746261096076097</v>
      </c>
      <c r="AJ2572">
        <v>129.736812795849</v>
      </c>
      <c r="AK2572">
        <v>0.75707020219761501</v>
      </c>
      <c r="AL2572">
        <v>94.370878892853597</v>
      </c>
      <c r="AM2572">
        <v>103.58941535219</v>
      </c>
      <c r="AN2572">
        <v>1.00000003931659</v>
      </c>
    </row>
    <row r="2573" spans="1:40" x14ac:dyDescent="0.25">
      <c r="A2573" t="str">
        <f>"20190303154516881"</f>
        <v>20190303154516881</v>
      </c>
      <c r="B2573" t="str">
        <f>"1551599116873059"</f>
        <v>1551599116873059</v>
      </c>
      <c r="C2573" t="s">
        <v>40</v>
      </c>
      <c r="D2573">
        <v>4.234661</v>
      </c>
      <c r="E2573">
        <v>0.36301319999999998</v>
      </c>
      <c r="F2573" t="s">
        <v>42</v>
      </c>
      <c r="G2573">
        <v>-492.0711</v>
      </c>
      <c r="H2573">
        <v>1.034281</v>
      </c>
      <c r="I2573">
        <v>230.3509</v>
      </c>
      <c r="J2573">
        <v>-492.59059999999999</v>
      </c>
      <c r="K2573">
        <v>1.1226039999999999</v>
      </c>
      <c r="L2573">
        <v>230.89769999999999</v>
      </c>
      <c r="M2573">
        <v>7.4086940000000004E-2</v>
      </c>
      <c r="N2573">
        <v>-1.3867330000000001E-2</v>
      </c>
      <c r="O2573">
        <v>-0.99715549999999997</v>
      </c>
      <c r="P2573">
        <v>0.31089820000000001</v>
      </c>
      <c r="Q2573">
        <v>-9.0255360000000007E-2</v>
      </c>
      <c r="R2573">
        <v>-0.94614819999999999</v>
      </c>
      <c r="S2573">
        <v>1.95224</v>
      </c>
      <c r="T2573">
        <v>-0.32366159999999999</v>
      </c>
      <c r="U2573">
        <v>-2.5080870000000002</v>
      </c>
      <c r="V2573">
        <v>-0.23969309999999999</v>
      </c>
      <c r="W2573">
        <v>-7.7609120000000004E-2</v>
      </c>
      <c r="X2573">
        <v>0.96774170000000004</v>
      </c>
      <c r="Y2573">
        <v>-0.55122199999999999</v>
      </c>
      <c r="Z2573">
        <v>8.9843499999999896E-2</v>
      </c>
      <c r="AA2573">
        <v>0.82950740000000001</v>
      </c>
      <c r="AB2573">
        <v>15</v>
      </c>
      <c r="AC2573">
        <v>0.51949999999999297</v>
      </c>
      <c r="AD2573">
        <v>-8.8323000000000096E-2</v>
      </c>
      <c r="AE2573">
        <v>-0.54679999999998996</v>
      </c>
      <c r="AF2573">
        <v>-0.471097217261705</v>
      </c>
      <c r="AG2573">
        <v>-8.8323000000000096E-2</v>
      </c>
      <c r="AH2573">
        <v>0.57589161570434999</v>
      </c>
      <c r="AI2573">
        <v>96.769820364085902</v>
      </c>
      <c r="AJ2573">
        <v>129.28423165784</v>
      </c>
      <c r="AK2573">
        <v>0.74925609338816102</v>
      </c>
      <c r="AL2573">
        <v>94.4511511199008</v>
      </c>
      <c r="AM2573">
        <v>103.911226504194</v>
      </c>
      <c r="AN2573">
        <v>0.99999997780683703</v>
      </c>
    </row>
    <row r="2574" spans="1:40" x14ac:dyDescent="0.25">
      <c r="A2574" t="str">
        <f>"20190303154516904"</f>
        <v>20190303154516904</v>
      </c>
      <c r="B2574" t="str">
        <f>"1551599116893554"</f>
        <v>1551599116893554</v>
      </c>
      <c r="C2574" t="s">
        <v>40</v>
      </c>
      <c r="D2574">
        <v>4.1969789999999998</v>
      </c>
      <c r="E2574">
        <v>0.36377900000000002</v>
      </c>
      <c r="F2574" t="s">
        <v>42</v>
      </c>
      <c r="G2574">
        <v>-492.05520000000001</v>
      </c>
      <c r="H2574">
        <v>1.0327409999999999</v>
      </c>
      <c r="I2574">
        <v>230.21979999999999</v>
      </c>
      <c r="J2574">
        <v>-492.57600000000002</v>
      </c>
      <c r="K2574">
        <v>1.12266</v>
      </c>
      <c r="L2574">
        <v>230.75129999999999</v>
      </c>
      <c r="M2574">
        <v>7.7167120000000006E-2</v>
      </c>
      <c r="N2574">
        <v>-1.386774E-2</v>
      </c>
      <c r="O2574">
        <v>-0.99692199999999997</v>
      </c>
      <c r="P2574">
        <v>0.31921159999999998</v>
      </c>
      <c r="Q2574">
        <v>-9.0740689999999999E-2</v>
      </c>
      <c r="R2574">
        <v>-0.94332959999999999</v>
      </c>
      <c r="S2574">
        <v>1.9692689999999999</v>
      </c>
      <c r="T2574">
        <v>-0.33033289999999998</v>
      </c>
      <c r="U2574">
        <v>-2.4921570000000002</v>
      </c>
      <c r="V2574">
        <v>-0.24520130000000001</v>
      </c>
      <c r="W2574">
        <v>-7.8158950000000005E-2</v>
      </c>
      <c r="X2574">
        <v>0.96631650000000002</v>
      </c>
      <c r="Y2574">
        <v>-0.55457199999999995</v>
      </c>
      <c r="Z2574">
        <v>9.2127780000000006E-2</v>
      </c>
      <c r="AA2574">
        <v>0.82702019999999998</v>
      </c>
      <c r="AB2574">
        <v>15</v>
      </c>
      <c r="AC2574">
        <v>0.52079999999995097</v>
      </c>
      <c r="AD2574">
        <v>-8.9918999999999999E-2</v>
      </c>
      <c r="AE2574">
        <v>-0.53149999999999398</v>
      </c>
      <c r="AF2574">
        <v>-0.47134596930359102</v>
      </c>
      <c r="AG2574">
        <v>-8.9918999999999999E-2</v>
      </c>
      <c r="AH2574">
        <v>0.561902508836569</v>
      </c>
      <c r="AI2574">
        <v>96.989735873144497</v>
      </c>
      <c r="AJ2574">
        <v>129.99124959973099</v>
      </c>
      <c r="AK2574">
        <v>0.73890924935107705</v>
      </c>
      <c r="AL2574">
        <v>94.482749770571402</v>
      </c>
      <c r="AM2574">
        <v>104.238200535592</v>
      </c>
      <c r="AN2574">
        <v>1.00000003857952</v>
      </c>
    </row>
    <row r="2575" spans="1:40" x14ac:dyDescent="0.25">
      <c r="A2575" t="str">
        <f>"20190303154516928"</f>
        <v>20190303154516928</v>
      </c>
      <c r="B2575" t="str">
        <f>"1551599116922834"</f>
        <v>1551599116922834</v>
      </c>
      <c r="C2575" t="s">
        <v>40</v>
      </c>
      <c r="D2575">
        <v>4.1715530000000003</v>
      </c>
      <c r="E2575">
        <v>0.3643168</v>
      </c>
      <c r="F2575" t="s">
        <v>42</v>
      </c>
      <c r="G2575">
        <v>-491.95679999999999</v>
      </c>
      <c r="H2575">
        <v>1.019725</v>
      </c>
      <c r="I2575">
        <v>229.9785</v>
      </c>
      <c r="J2575">
        <v>-492.55869999999999</v>
      </c>
      <c r="K2575">
        <v>1.122733</v>
      </c>
      <c r="L2575">
        <v>230.5849</v>
      </c>
      <c r="M2575">
        <v>8.081178E-2</v>
      </c>
      <c r="N2575">
        <v>-1.3869619999999999E-2</v>
      </c>
      <c r="O2575">
        <v>-0.99663299999999999</v>
      </c>
      <c r="P2575">
        <v>0.32835609999999998</v>
      </c>
      <c r="Q2575">
        <v>-9.1118400000000002E-2</v>
      </c>
      <c r="R2575">
        <v>-0.94014889999999995</v>
      </c>
      <c r="S2575">
        <v>1.985474</v>
      </c>
      <c r="T2575">
        <v>-0.32986559999999998</v>
      </c>
      <c r="U2575">
        <v>-2.4766240000000002</v>
      </c>
      <c r="V2575">
        <v>-0.25102809999999998</v>
      </c>
      <c r="W2575">
        <v>-7.8617049999999994E-2</v>
      </c>
      <c r="X2575">
        <v>0.96478200000000003</v>
      </c>
      <c r="Y2575">
        <v>-0.55735159999999995</v>
      </c>
      <c r="Z2575">
        <v>9.2167289999999999E-2</v>
      </c>
      <c r="AA2575">
        <v>0.82514509999999996</v>
      </c>
      <c r="AB2575">
        <v>15</v>
      </c>
      <c r="AC2575">
        <v>0.60189999999999999</v>
      </c>
      <c r="AD2575">
        <v>-0.103008</v>
      </c>
      <c r="AE2575">
        <v>-0.60640000000000704</v>
      </c>
      <c r="AF2575">
        <v>-0.54302911161963996</v>
      </c>
      <c r="AG2575">
        <v>-0.103008</v>
      </c>
      <c r="AH2575">
        <v>0.64370531291507505</v>
      </c>
      <c r="AI2575">
        <v>96.973422651226898</v>
      </c>
      <c r="AJ2575">
        <v>130.15094302790399</v>
      </c>
      <c r="AK2575">
        <v>0.84843844444102801</v>
      </c>
      <c r="AL2575">
        <v>94.509078030134404</v>
      </c>
      <c r="AM2575">
        <v>104.58449445749901</v>
      </c>
      <c r="AN2575">
        <v>1.0000000275321499</v>
      </c>
    </row>
    <row r="2576" spans="1:40" x14ac:dyDescent="0.25">
      <c r="A2576" t="str">
        <f>"20190303154516953"</f>
        <v>20190303154516953</v>
      </c>
      <c r="B2576" t="str">
        <f>"1551599116943329"</f>
        <v>1551599116943329</v>
      </c>
      <c r="C2576" t="s">
        <v>40</v>
      </c>
      <c r="D2576">
        <v>4.1050890000000004</v>
      </c>
      <c r="E2576">
        <v>0.36425829999999998</v>
      </c>
      <c r="F2576" t="s">
        <v>42</v>
      </c>
      <c r="G2576">
        <v>-491.95479999999998</v>
      </c>
      <c r="H2576">
        <v>1.0250889999999999</v>
      </c>
      <c r="I2576">
        <v>229.8442</v>
      </c>
      <c r="J2576">
        <v>-492.54140000000001</v>
      </c>
      <c r="K2576">
        <v>1.122797</v>
      </c>
      <c r="L2576">
        <v>230.42519999999999</v>
      </c>
      <c r="M2576">
        <v>8.4441100000000005E-2</v>
      </c>
      <c r="N2576">
        <v>-1.387216E-2</v>
      </c>
      <c r="O2576">
        <v>-0.996332</v>
      </c>
      <c r="P2576">
        <v>0.33676879999999998</v>
      </c>
      <c r="Q2576">
        <v>-9.0739169999999994E-2</v>
      </c>
      <c r="R2576">
        <v>-0.93720519999999996</v>
      </c>
      <c r="S2576">
        <v>2.005096</v>
      </c>
      <c r="T2576">
        <v>-0.32421549999999999</v>
      </c>
      <c r="U2576">
        <v>-2.4592589999999999</v>
      </c>
      <c r="V2576">
        <v>-0.25613720000000001</v>
      </c>
      <c r="W2576">
        <v>-7.8311069999999997E-2</v>
      </c>
      <c r="X2576">
        <v>0.96346310000000002</v>
      </c>
      <c r="Y2576">
        <v>-0.56123239999999996</v>
      </c>
      <c r="Z2576">
        <v>9.0537119999999999E-2</v>
      </c>
      <c r="AA2576">
        <v>0.82269139999999996</v>
      </c>
      <c r="AB2576">
        <v>15</v>
      </c>
      <c r="AC2576">
        <v>0.58660000000003198</v>
      </c>
      <c r="AD2576">
        <v>-9.77080000000001E-2</v>
      </c>
      <c r="AE2576">
        <v>-0.58099999999998797</v>
      </c>
      <c r="AF2576">
        <v>-0.52804413197101496</v>
      </c>
      <c r="AG2576">
        <v>-9.77080000000001E-2</v>
      </c>
      <c r="AH2576">
        <v>0.61978222470362998</v>
      </c>
      <c r="AI2576">
        <v>96.842851673064899</v>
      </c>
      <c r="AJ2576">
        <v>130.430444291491</v>
      </c>
      <c r="AK2576">
        <v>0.82006552459642101</v>
      </c>
      <c r="AL2576">
        <v>94.491492498060694</v>
      </c>
      <c r="AM2576">
        <v>104.887752950677</v>
      </c>
      <c r="AN2576">
        <v>1.0000000169849901</v>
      </c>
    </row>
    <row r="2577" spans="1:40" x14ac:dyDescent="0.25">
      <c r="A2577" t="str">
        <f>"20190303154516973"</f>
        <v>20190303154516973</v>
      </c>
      <c r="B2577" t="str">
        <f>"1551599116962849"</f>
        <v>1551599116962849</v>
      </c>
      <c r="C2577" t="s">
        <v>40</v>
      </c>
      <c r="D2577">
        <v>4.0882339999999999</v>
      </c>
      <c r="E2577">
        <v>0.3644888</v>
      </c>
      <c r="F2577" t="s">
        <v>42</v>
      </c>
      <c r="G2577">
        <v>-491.9486</v>
      </c>
      <c r="H2577">
        <v>1.030484</v>
      </c>
      <c r="I2577">
        <v>229.7114</v>
      </c>
      <c r="J2577">
        <v>-492.52600000000001</v>
      </c>
      <c r="K2577">
        <v>1.1228499999999999</v>
      </c>
      <c r="L2577">
        <v>230.2893</v>
      </c>
      <c r="M2577">
        <v>8.765191E-2</v>
      </c>
      <c r="N2577">
        <v>-1.3874829999999999E-2</v>
      </c>
      <c r="O2577">
        <v>-0.99605460000000001</v>
      </c>
      <c r="P2577">
        <v>0.34546670000000002</v>
      </c>
      <c r="Q2577">
        <v>-9.0920719999999997E-2</v>
      </c>
      <c r="R2577">
        <v>-0.93401619999999996</v>
      </c>
      <c r="S2577">
        <v>2.0281069999999999</v>
      </c>
      <c r="T2577">
        <v>-0.31575389999999998</v>
      </c>
      <c r="U2577">
        <v>-2.4416350000000002</v>
      </c>
      <c r="V2577">
        <v>-0.26196779999999997</v>
      </c>
      <c r="W2577">
        <v>-7.8566460000000005E-2</v>
      </c>
      <c r="X2577">
        <v>0.96187330000000004</v>
      </c>
      <c r="Y2577">
        <v>-0.56622430000000001</v>
      </c>
      <c r="Z2577">
        <v>8.7933810000000001E-2</v>
      </c>
      <c r="AA2577">
        <v>0.81954729999999998</v>
      </c>
      <c r="AB2577">
        <v>15</v>
      </c>
      <c r="AC2577">
        <v>0.57740000000001102</v>
      </c>
      <c r="AD2577">
        <v>-9.2365999999999907E-2</v>
      </c>
      <c r="AE2577">
        <v>-0.57789999999999897</v>
      </c>
      <c r="AF2577">
        <v>-0.51789757195733199</v>
      </c>
      <c r="AG2577">
        <v>-9.2365999999999907E-2</v>
      </c>
      <c r="AH2577">
        <v>0.61838501542560598</v>
      </c>
      <c r="AI2577">
        <v>96.532571528827901</v>
      </c>
      <c r="AJ2577">
        <v>129.94618056857999</v>
      </c>
      <c r="AK2577">
        <v>0.81188016375461902</v>
      </c>
      <c r="AL2577">
        <v>94.506170427281305</v>
      </c>
      <c r="AM2577">
        <v>105.23508624330501</v>
      </c>
      <c r="AN2577">
        <v>1.0000000310633299</v>
      </c>
    </row>
    <row r="2578" spans="1:40" x14ac:dyDescent="0.25">
      <c r="A2578" t="str">
        <f>"20190303154516996"</f>
        <v>20190303154516996</v>
      </c>
      <c r="B2578" t="str">
        <f>"1551599116993105"</f>
        <v>1551599116993105</v>
      </c>
      <c r="C2578" t="s">
        <v>40</v>
      </c>
      <c r="D2578">
        <v>3.9704630000000001</v>
      </c>
      <c r="E2578">
        <v>0.3647667</v>
      </c>
      <c r="F2578" t="s">
        <v>42</v>
      </c>
      <c r="G2578">
        <v>-491.92899999999997</v>
      </c>
      <c r="H2578">
        <v>1.032762</v>
      </c>
      <c r="I2578">
        <v>229.583</v>
      </c>
      <c r="J2578">
        <v>-492.50920000000002</v>
      </c>
      <c r="K2578">
        <v>1.122906</v>
      </c>
      <c r="L2578">
        <v>230.1464</v>
      </c>
      <c r="M2578">
        <v>9.116995E-2</v>
      </c>
      <c r="N2578">
        <v>-1.387828E-2</v>
      </c>
      <c r="O2578">
        <v>-0.99573869999999998</v>
      </c>
      <c r="P2578">
        <v>0.35468759999999999</v>
      </c>
      <c r="Q2578">
        <v>-9.096013E-2</v>
      </c>
      <c r="R2578">
        <v>-0.93054999999999999</v>
      </c>
      <c r="S2578">
        <v>2.049194</v>
      </c>
      <c r="T2578">
        <v>-0.3091354</v>
      </c>
      <c r="U2578">
        <v>-2.423889</v>
      </c>
      <c r="V2578">
        <v>-0.26805959999999901</v>
      </c>
      <c r="W2578">
        <v>-7.8686010000000001E-2</v>
      </c>
      <c r="X2578">
        <v>0.96018360000000003</v>
      </c>
      <c r="Y2578">
        <v>-0.57054349999999998</v>
      </c>
      <c r="Z2578">
        <v>8.5950040000000005E-2</v>
      </c>
      <c r="AA2578">
        <v>0.81675739999999997</v>
      </c>
      <c r="AB2578">
        <v>15</v>
      </c>
      <c r="AC2578">
        <v>0.58019999999998995</v>
      </c>
      <c r="AD2578">
        <v>-9.0143999999999697E-2</v>
      </c>
      <c r="AE2578">
        <v>-0.56340000000000101</v>
      </c>
      <c r="AF2578">
        <v>-0.51995320719695304</v>
      </c>
      <c r="AG2578">
        <v>-9.0143999999999697E-2</v>
      </c>
      <c r="AH2578">
        <v>0.60642090224222001</v>
      </c>
      <c r="AI2578">
        <v>96.438466686463798</v>
      </c>
      <c r="AJ2578">
        <v>130.61021838685099</v>
      </c>
      <c r="AK2578">
        <v>0.80388033256615099</v>
      </c>
      <c r="AL2578">
        <v>94.513041587785693</v>
      </c>
      <c r="AM2578">
        <v>105.598423541636</v>
      </c>
      <c r="AN2578">
        <v>0.99999999151541996</v>
      </c>
    </row>
    <row r="2579" spans="1:40" x14ac:dyDescent="0.25">
      <c r="A2579" t="str">
        <f>"20190303154517017"</f>
        <v>20190303154517017</v>
      </c>
      <c r="B2579" t="str">
        <f>"1551599117013601"</f>
        <v>1551599117013601</v>
      </c>
      <c r="C2579" t="s">
        <v>40</v>
      </c>
      <c r="D2579">
        <v>4.0838599999999996</v>
      </c>
      <c r="E2579">
        <v>0.32925140000000003</v>
      </c>
      <c r="F2579" t="s">
        <v>42</v>
      </c>
      <c r="G2579">
        <v>-491.9128</v>
      </c>
      <c r="H2579">
        <v>1.0345740000000001</v>
      </c>
      <c r="I2579">
        <v>229.4538</v>
      </c>
      <c r="J2579">
        <v>-492.49270000000001</v>
      </c>
      <c r="K2579">
        <v>1.1229579999999999</v>
      </c>
      <c r="L2579">
        <v>230.01150000000001</v>
      </c>
      <c r="M2579">
        <v>9.4635919999999998E-2</v>
      </c>
      <c r="N2579">
        <v>-1.3882530000000001E-2</v>
      </c>
      <c r="O2579">
        <v>-0.99541519999999994</v>
      </c>
      <c r="P2579">
        <v>0.36433529999999997</v>
      </c>
      <c r="Q2579">
        <v>-9.1844980000000007E-2</v>
      </c>
      <c r="R2579">
        <v>-0.92672779999999999</v>
      </c>
      <c r="S2579">
        <v>2.071167</v>
      </c>
      <c r="T2579">
        <v>-0.30661939999999999</v>
      </c>
      <c r="U2579">
        <v>-2.404541</v>
      </c>
      <c r="V2579">
        <v>-0.27467069999999999</v>
      </c>
      <c r="W2579">
        <v>-7.9658889999999996E-2</v>
      </c>
      <c r="X2579">
        <v>0.958233</v>
      </c>
      <c r="Y2579">
        <v>-0.57525159999999997</v>
      </c>
      <c r="Z2579">
        <v>8.5284380000000007E-2</v>
      </c>
      <c r="AA2579">
        <v>0.81351839999999997</v>
      </c>
      <c r="AB2579">
        <v>15</v>
      </c>
      <c r="AC2579">
        <v>0.57990000000000896</v>
      </c>
      <c r="AD2579">
        <v>-8.8384000000000004E-2</v>
      </c>
      <c r="AE2579">
        <v>-0.55770000000001096</v>
      </c>
      <c r="AF2579">
        <v>-0.51825902724663797</v>
      </c>
      <c r="AG2579">
        <v>-8.8384000000000004E-2</v>
      </c>
      <c r="AH2579">
        <v>0.60280656023931301</v>
      </c>
      <c r="AI2579">
        <v>96.344081654895803</v>
      </c>
      <c r="AJ2579">
        <v>130.68708212880699</v>
      </c>
      <c r="AK2579">
        <v>0.79986242557466403</v>
      </c>
      <c r="AL2579">
        <v>94.568958965006303</v>
      </c>
      <c r="AM2579">
        <v>105.99457475591799</v>
      </c>
      <c r="AN2579">
        <v>1.0000000072417601</v>
      </c>
    </row>
    <row r="2580" spans="1:40" x14ac:dyDescent="0.25">
      <c r="A2580" t="str">
        <f>"20190303154517038"</f>
        <v>20190303154517038</v>
      </c>
      <c r="B2580" t="str">
        <f>"1551599117033121"</f>
        <v>1551599117033121</v>
      </c>
      <c r="C2580" t="s">
        <v>40</v>
      </c>
      <c r="D2580">
        <v>4.0676629999999996</v>
      </c>
      <c r="E2580">
        <v>0.32232539999999998</v>
      </c>
      <c r="F2580" t="s">
        <v>54</v>
      </c>
      <c r="G2580">
        <v>-485.57990000000001</v>
      </c>
      <c r="H2580" s="1">
        <v>3.720738E-6</v>
      </c>
      <c r="I2580">
        <v>223.3494</v>
      </c>
      <c r="J2580">
        <v>-492.47469999999998</v>
      </c>
      <c r="K2580">
        <v>1.123016</v>
      </c>
      <c r="L2580">
        <v>229.87</v>
      </c>
      <c r="M2580">
        <v>9.8416400000000001E-2</v>
      </c>
      <c r="N2580">
        <v>-1.3888259999999999E-2</v>
      </c>
      <c r="O2580">
        <v>-0.9950485</v>
      </c>
      <c r="P2580">
        <v>0.37480380000000002</v>
      </c>
      <c r="Q2580">
        <v>-9.2979129999999993E-2</v>
      </c>
      <c r="R2580">
        <v>-0.92242999999999997</v>
      </c>
      <c r="S2580">
        <v>2.3578190000000001</v>
      </c>
      <c r="T2580">
        <v>-0.38301249999999998</v>
      </c>
      <c r="U2580">
        <v>-2.2722630000000001</v>
      </c>
      <c r="V2580">
        <v>-0.2818563</v>
      </c>
      <c r="W2580">
        <v>-8.089267E-2</v>
      </c>
      <c r="X2580">
        <v>0.95604049999999996</v>
      </c>
      <c r="Y2580">
        <v>-0.643711699999999</v>
      </c>
      <c r="Z2580">
        <v>0.1065779</v>
      </c>
      <c r="AA2580">
        <v>0.75781030000000005</v>
      </c>
      <c r="AB2580">
        <v>15</v>
      </c>
      <c r="AC2580">
        <v>6.8947999999999698</v>
      </c>
      <c r="AD2580">
        <v>-1.1230122792620001</v>
      </c>
      <c r="AE2580">
        <v>-6.5206</v>
      </c>
      <c r="AF2580">
        <v>-6.1336299574044899</v>
      </c>
      <c r="AG2580">
        <v>-1.1230122792620001</v>
      </c>
      <c r="AH2580">
        <v>7.0685764789254204</v>
      </c>
      <c r="AI2580">
        <v>96.842546209808901</v>
      </c>
      <c r="AJ2580">
        <v>130.94922198172401</v>
      </c>
      <c r="AK2580">
        <v>9.4258870390091491</v>
      </c>
      <c r="AL2580">
        <v>94.639878185298201</v>
      </c>
      <c r="AM2580">
        <v>106.426374875619</v>
      </c>
      <c r="AN2580">
        <v>1.0000000177748301</v>
      </c>
    </row>
    <row r="2581" spans="1:40" x14ac:dyDescent="0.25">
      <c r="A2581" t="str">
        <f>"20190303154517064"</f>
        <v>20190303154517064</v>
      </c>
      <c r="B2581" t="str">
        <f>"1551599117053618"</f>
        <v>1551599117053618</v>
      </c>
      <c r="C2581" t="s">
        <v>40</v>
      </c>
      <c r="D2581">
        <v>4.1219979999999996</v>
      </c>
      <c r="E2581">
        <v>0.31971440000000001</v>
      </c>
      <c r="F2581" t="s">
        <v>54</v>
      </c>
      <c r="G2581">
        <v>-485.62939999999998</v>
      </c>
      <c r="H2581" s="1">
        <v>3.8150199999999996E-6</v>
      </c>
      <c r="I2581">
        <v>223.6183</v>
      </c>
      <c r="J2581">
        <v>-492.4522</v>
      </c>
      <c r="K2581">
        <v>1.1230929999999999</v>
      </c>
      <c r="L2581">
        <v>229.7</v>
      </c>
      <c r="M2581">
        <v>0.10316</v>
      </c>
      <c r="N2581">
        <v>-1.38964E-2</v>
      </c>
      <c r="O2581">
        <v>-0.9945678</v>
      </c>
      <c r="P2581">
        <v>0.38530120000000001</v>
      </c>
      <c r="Q2581">
        <v>-9.2937829999999999E-2</v>
      </c>
      <c r="R2581">
        <v>-0.91809890000000005</v>
      </c>
      <c r="S2581">
        <v>2.434113</v>
      </c>
      <c r="T2581">
        <v>-0.39932620000000002</v>
      </c>
      <c r="U2581">
        <v>-2.223007</v>
      </c>
      <c r="V2581">
        <v>-0.28817209999999899</v>
      </c>
      <c r="W2581">
        <v>-8.0954349999999994E-2</v>
      </c>
      <c r="X2581">
        <v>0.95415059999999996</v>
      </c>
      <c r="Y2581">
        <v>-0.6598579</v>
      </c>
      <c r="Z2581">
        <v>0.11114250000000001</v>
      </c>
      <c r="AA2581">
        <v>0.74312509999999998</v>
      </c>
      <c r="AB2581">
        <v>15</v>
      </c>
      <c r="AC2581">
        <v>6.8228000000000204</v>
      </c>
      <c r="AD2581">
        <v>-1.12308918498</v>
      </c>
      <c r="AE2581">
        <v>-6.0816999999999801</v>
      </c>
      <c r="AF2581">
        <v>-6.0673328690181201</v>
      </c>
      <c r="AG2581">
        <v>-1.12308918498</v>
      </c>
      <c r="AH2581">
        <v>6.6527057063571098</v>
      </c>
      <c r="AI2581">
        <v>97.109954126918396</v>
      </c>
      <c r="AJ2581">
        <v>132.365122274925</v>
      </c>
      <c r="AK2581">
        <v>9.0737175775027996</v>
      </c>
      <c r="AL2581">
        <v>94.643423589602605</v>
      </c>
      <c r="AM2581">
        <v>106.80534073666</v>
      </c>
      <c r="AN2581">
        <v>1.00000006674134</v>
      </c>
    </row>
    <row r="2582" spans="1:40" x14ac:dyDescent="0.25">
      <c r="A2582" t="str">
        <f>"20190303154517082"</f>
        <v>20190303154517082</v>
      </c>
      <c r="B2582" t="str">
        <f>"1551599117073137"</f>
        <v>1551599117073137</v>
      </c>
      <c r="C2582" t="s">
        <v>40</v>
      </c>
      <c r="D2582">
        <v>4.0742240000000001</v>
      </c>
      <c r="E2582">
        <v>0.31866559999999999</v>
      </c>
      <c r="F2582" t="s">
        <v>54</v>
      </c>
      <c r="G2582">
        <v>-485.56450000000001</v>
      </c>
      <c r="H2582" s="1">
        <v>3.8022269999999999E-6</v>
      </c>
      <c r="I2582">
        <v>223.6234</v>
      </c>
      <c r="J2582">
        <v>-492.4357</v>
      </c>
      <c r="K2582">
        <v>1.123156</v>
      </c>
      <c r="L2582">
        <v>229.5805</v>
      </c>
      <c r="M2582">
        <v>0.10661859999999999</v>
      </c>
      <c r="N2582">
        <v>-1.390245E-2</v>
      </c>
      <c r="O2582">
        <v>-0.99420269999999999</v>
      </c>
      <c r="P2582">
        <v>0.3947193</v>
      </c>
      <c r="Q2582">
        <v>-9.1343919999999995E-2</v>
      </c>
      <c r="R2582">
        <v>-0.91425029999999996</v>
      </c>
      <c r="S2582">
        <v>2.478424</v>
      </c>
      <c r="T2582">
        <v>-0.40412759999999998</v>
      </c>
      <c r="U2582">
        <v>-2.186569</v>
      </c>
      <c r="V2582">
        <v>-0.29462650000000001</v>
      </c>
      <c r="W2582">
        <v>-7.9448359999999996E-2</v>
      </c>
      <c r="X2582">
        <v>0.95230409999999999</v>
      </c>
      <c r="Y2582">
        <v>-0.66983899999999996</v>
      </c>
      <c r="Z2582">
        <v>0.1125386</v>
      </c>
      <c r="AA2582">
        <v>0.73392829999999998</v>
      </c>
      <c r="AB2582">
        <v>15</v>
      </c>
      <c r="AC2582">
        <v>6.8711999999999804</v>
      </c>
      <c r="AD2582">
        <v>-1.1231521977729999</v>
      </c>
      <c r="AE2582">
        <v>-5.9570999999999898</v>
      </c>
      <c r="AF2582">
        <v>-6.1037242482208498</v>
      </c>
      <c r="AG2582">
        <v>-1.1231521977729999</v>
      </c>
      <c r="AH2582">
        <v>6.5558074959627302</v>
      </c>
      <c r="AI2582">
        <v>97.146956938025298</v>
      </c>
      <c r="AJ2582">
        <v>132.95478536154599</v>
      </c>
      <c r="AK2582">
        <v>9.0274876062946099</v>
      </c>
      <c r="AL2582">
        <v>94.556858358575695</v>
      </c>
      <c r="AM2582">
        <v>107.19116754635699</v>
      </c>
      <c r="AN2582">
        <v>0.99999995764287297</v>
      </c>
    </row>
    <row r="2583" spans="1:40" x14ac:dyDescent="0.25">
      <c r="A2583" t="str">
        <f>"20190303154517107"</f>
        <v>20190303154517107</v>
      </c>
      <c r="B2583" t="str">
        <f>"1551599117103394"</f>
        <v>1551599117103394</v>
      </c>
      <c r="C2583" t="s">
        <v>40</v>
      </c>
      <c r="D2583">
        <v>4.0331970000000004</v>
      </c>
      <c r="E2583">
        <v>0.3193011</v>
      </c>
      <c r="F2583" t="s">
        <v>54</v>
      </c>
      <c r="G2583">
        <v>-485.47280000000001</v>
      </c>
      <c r="H2583" s="1">
        <v>3.7715350000000001E-6</v>
      </c>
      <c r="I2583">
        <v>223.59010000000001</v>
      </c>
      <c r="J2583">
        <v>-492.41359999999997</v>
      </c>
      <c r="K2583">
        <v>1.123216</v>
      </c>
      <c r="L2583">
        <v>229.42689999999999</v>
      </c>
      <c r="M2583">
        <v>0.1112001</v>
      </c>
      <c r="N2583">
        <v>-1.3909390000000001E-2</v>
      </c>
      <c r="O2583">
        <v>-0.99370060000000004</v>
      </c>
      <c r="P2583">
        <v>0.40549160000000001</v>
      </c>
      <c r="Q2583">
        <v>-9.0461040000000006E-2</v>
      </c>
      <c r="R2583">
        <v>-0.90961139999999996</v>
      </c>
      <c r="S2583">
        <v>2.508362</v>
      </c>
      <c r="T2583">
        <v>-0.40460869999999999</v>
      </c>
      <c r="U2583">
        <v>-2.1580050000000002</v>
      </c>
      <c r="V2583">
        <v>-0.30145429999999901</v>
      </c>
      <c r="W2583">
        <v>-7.8657089999999999E-2</v>
      </c>
      <c r="X2583">
        <v>0.95023069999999998</v>
      </c>
      <c r="Y2583">
        <v>-0.67553699999999905</v>
      </c>
      <c r="Z2583">
        <v>0.1127904</v>
      </c>
      <c r="AA2583">
        <v>0.72864810000000002</v>
      </c>
      <c r="AB2583">
        <v>15</v>
      </c>
      <c r="AC2583">
        <v>6.9407999999999603</v>
      </c>
      <c r="AD2583">
        <v>-1.1232122284649999</v>
      </c>
      <c r="AE2583">
        <v>-5.8367999999999798</v>
      </c>
      <c r="AF2583">
        <v>-6.15422373098155</v>
      </c>
      <c r="AG2583">
        <v>-1.1232122284649999</v>
      </c>
      <c r="AH2583">
        <v>6.4731871313165801</v>
      </c>
      <c r="AI2583">
        <v>97.167584633526104</v>
      </c>
      <c r="AJ2583">
        <v>133.55303897869501</v>
      </c>
      <c r="AK2583">
        <v>9.0021234760578803</v>
      </c>
      <c r="AL2583">
        <v>94.511379367594401</v>
      </c>
      <c r="AM2583">
        <v>107.601280090849</v>
      </c>
      <c r="AN2583">
        <v>1.00000000800912</v>
      </c>
    </row>
    <row r="2584" spans="1:40" x14ac:dyDescent="0.25">
      <c r="A2584" t="str">
        <f>"20190303154517132"</f>
        <v>20190303154517132</v>
      </c>
      <c r="B2584" t="str">
        <f>"1551599117122913"</f>
        <v>1551599117122913</v>
      </c>
      <c r="C2584" t="s">
        <v>40</v>
      </c>
      <c r="D2584">
        <v>3.9868670000000002</v>
      </c>
      <c r="E2584">
        <v>0.3193319</v>
      </c>
      <c r="F2584" t="s">
        <v>54</v>
      </c>
      <c r="G2584">
        <v>-485.40179999999998</v>
      </c>
      <c r="H2584" s="1">
        <v>3.7344280000000001E-6</v>
      </c>
      <c r="I2584">
        <v>223.52109999999999</v>
      </c>
      <c r="J2584">
        <v>-492.38959999999997</v>
      </c>
      <c r="K2584">
        <v>1.123265</v>
      </c>
      <c r="L2584">
        <v>229.26660000000001</v>
      </c>
      <c r="M2584">
        <v>0.1161288</v>
      </c>
      <c r="N2584">
        <v>-1.39156E-2</v>
      </c>
      <c r="O2584">
        <v>-0.99313680000000004</v>
      </c>
      <c r="P2584">
        <v>0.4170391</v>
      </c>
      <c r="Q2584">
        <v>-8.9978050000000004E-2</v>
      </c>
      <c r="R2584">
        <v>-0.90442400000000001</v>
      </c>
      <c r="S2584">
        <v>2.529236</v>
      </c>
      <c r="T2584">
        <v>-0.40515790000000002</v>
      </c>
      <c r="U2584">
        <v>-2.1303100000000001</v>
      </c>
      <c r="V2584">
        <v>-0.3088091</v>
      </c>
      <c r="W2584">
        <v>-7.8262219999999993E-2</v>
      </c>
      <c r="X2584">
        <v>0.94789869999999998</v>
      </c>
      <c r="Y2584">
        <v>-0.6794732</v>
      </c>
      <c r="Z2584">
        <v>0.1132809</v>
      </c>
      <c r="AA2584">
        <v>0.72490250000000001</v>
      </c>
      <c r="AB2584">
        <v>15</v>
      </c>
      <c r="AC2584">
        <v>6.9877999999999902</v>
      </c>
      <c r="AD2584">
        <v>-1.123261265572</v>
      </c>
      <c r="AE2584">
        <v>-5.7455000000000203</v>
      </c>
      <c r="AF2584">
        <v>-6.1779849616767901</v>
      </c>
      <c r="AG2584">
        <v>-1.123261265572</v>
      </c>
      <c r="AH2584">
        <v>6.4192185921004699</v>
      </c>
      <c r="AI2584">
        <v>97.1858671949269</v>
      </c>
      <c r="AJ2584">
        <v>133.90293272791101</v>
      </c>
      <c r="AK2584">
        <v>8.9797316992551295</v>
      </c>
      <c r="AL2584">
        <v>94.488685102320801</v>
      </c>
      <c r="AM2584">
        <v>108.044718989796</v>
      </c>
      <c r="AN2584">
        <v>0.99999999039191401</v>
      </c>
    </row>
    <row r="2585" spans="1:40" x14ac:dyDescent="0.25">
      <c r="A2585" t="str">
        <f>"20190303154517153"</f>
        <v>20190303154517153</v>
      </c>
      <c r="B2585" t="str">
        <f>"1551599117143409"</f>
        <v>1551599117143409</v>
      </c>
      <c r="C2585" t="s">
        <v>40</v>
      </c>
      <c r="D2585">
        <v>3.8909220000000002</v>
      </c>
      <c r="E2585">
        <v>0.31929079999999999</v>
      </c>
      <c r="F2585" t="s">
        <v>54</v>
      </c>
      <c r="G2585">
        <v>-485.27929999999998</v>
      </c>
      <c r="H2585" s="1">
        <v>3.6787270000000001E-6</v>
      </c>
      <c r="I2585">
        <v>223.4289</v>
      </c>
      <c r="J2585">
        <v>-492.36869999999999</v>
      </c>
      <c r="K2585">
        <v>1.1232949999999999</v>
      </c>
      <c r="L2585">
        <v>229.13220000000001</v>
      </c>
      <c r="M2585">
        <v>0.1203775</v>
      </c>
      <c r="N2585">
        <v>-1.3920210000000001E-2</v>
      </c>
      <c r="O2585">
        <v>-0.99263049999999997</v>
      </c>
      <c r="P2585">
        <v>0.42771360000000003</v>
      </c>
      <c r="Q2585">
        <v>-8.9221200000000001E-2</v>
      </c>
      <c r="R2585">
        <v>-0.89950049999999904</v>
      </c>
      <c r="S2585">
        <v>2.5557859999999999</v>
      </c>
      <c r="T2585">
        <v>-0.40375549999999999</v>
      </c>
      <c r="U2585">
        <v>-2.0983580000000002</v>
      </c>
      <c r="V2585">
        <v>-0.31594369999999999</v>
      </c>
      <c r="W2585">
        <v>-7.7584130000000001E-2</v>
      </c>
      <c r="X2585">
        <v>0.94560049999999995</v>
      </c>
      <c r="Y2585">
        <v>-0.68545290000000003</v>
      </c>
      <c r="Z2585">
        <v>0.1130956</v>
      </c>
      <c r="AA2585">
        <v>0.71928000000000003</v>
      </c>
      <c r="AB2585">
        <v>15</v>
      </c>
      <c r="AC2585">
        <v>7.0894000000000101</v>
      </c>
      <c r="AD2585">
        <v>-1.123291321273</v>
      </c>
      <c r="AE2585">
        <v>-5.7033000000000103</v>
      </c>
      <c r="AF2585">
        <v>-6.2558740650283298</v>
      </c>
      <c r="AG2585">
        <v>-1.123291321273</v>
      </c>
      <c r="AH2585">
        <v>6.4174947790464802</v>
      </c>
      <c r="AI2585">
        <v>97.144038879728996</v>
      </c>
      <c r="AJ2585">
        <v>134.26935900369099</v>
      </c>
      <c r="AK2585">
        <v>9.0322745169215395</v>
      </c>
      <c r="AL2585">
        <v>94.4497148147627</v>
      </c>
      <c r="AM2585">
        <v>108.47548617571999</v>
      </c>
      <c r="AN2585">
        <v>1.0000000121988899</v>
      </c>
    </row>
    <row r="2586" spans="1:40" x14ac:dyDescent="0.25">
      <c r="A2586" t="str">
        <f>"20190303154517174"</f>
        <v>20190303154517174</v>
      </c>
      <c r="B2586" t="str">
        <f>"1551599117162930"</f>
        <v>1551599117162930</v>
      </c>
      <c r="C2586" t="s">
        <v>40</v>
      </c>
      <c r="D2586">
        <v>4.0507860000000004</v>
      </c>
      <c r="E2586">
        <v>0.31994939999999999</v>
      </c>
      <c r="F2586" t="s">
        <v>54</v>
      </c>
      <c r="G2586">
        <v>-485.15129999999999</v>
      </c>
      <c r="H2586" s="1">
        <v>3.625138E-6</v>
      </c>
      <c r="I2586">
        <v>223.3476</v>
      </c>
      <c r="J2586">
        <v>-492.3467</v>
      </c>
      <c r="K2586">
        <v>1.1233299999999999</v>
      </c>
      <c r="L2586">
        <v>228.995</v>
      </c>
      <c r="M2586">
        <v>0.1248211</v>
      </c>
      <c r="N2586">
        <v>-1.392495E-2</v>
      </c>
      <c r="O2586">
        <v>-0.99208169999999996</v>
      </c>
      <c r="P2586">
        <v>0.44147839999999999</v>
      </c>
      <c r="Q2586">
        <v>-8.7859030000000005E-2</v>
      </c>
      <c r="R2586">
        <v>-0.89296039999999999</v>
      </c>
      <c r="S2586">
        <v>2.5806269999999998</v>
      </c>
      <c r="T2586">
        <v>-0.40163549999999998</v>
      </c>
      <c r="U2586">
        <v>-2.068298</v>
      </c>
      <c r="V2586">
        <v>-0.32618709999999901</v>
      </c>
      <c r="W2586">
        <v>-7.6332339999999999E-2</v>
      </c>
      <c r="X2586">
        <v>0.94221829999999995</v>
      </c>
      <c r="Y2586">
        <v>-0.69071470000000001</v>
      </c>
      <c r="Z2586">
        <v>0.1126755</v>
      </c>
      <c r="AA2586">
        <v>0.71429509999999996</v>
      </c>
      <c r="AB2586">
        <v>15</v>
      </c>
      <c r="AC2586">
        <v>7.1954000000000002</v>
      </c>
      <c r="AD2586">
        <v>-1.1233263748619999</v>
      </c>
      <c r="AE2586">
        <v>-5.6474000000000002</v>
      </c>
      <c r="AF2586">
        <v>-6.3385351933094602</v>
      </c>
      <c r="AG2586">
        <v>-1.1233263748619999</v>
      </c>
      <c r="AH2586">
        <v>6.4048514805887802</v>
      </c>
      <c r="AI2586">
        <v>97.105884715655606</v>
      </c>
      <c r="AJ2586">
        <v>134.70183679017001</v>
      </c>
      <c r="AK2586">
        <v>9.0808046465984305</v>
      </c>
      <c r="AL2586">
        <v>94.377779296694698</v>
      </c>
      <c r="AM2586">
        <v>109.095371481253</v>
      </c>
      <c r="AN2586">
        <v>0.99999998759558695</v>
      </c>
    </row>
    <row r="2587" spans="1:40" x14ac:dyDescent="0.25">
      <c r="A2587" t="str">
        <f>"20190303154517208"</f>
        <v>20190303154517208</v>
      </c>
      <c r="B2587" t="str">
        <f>"1551599117202945"</f>
        <v>1551599117202945</v>
      </c>
      <c r="C2587" t="s">
        <v>40</v>
      </c>
      <c r="D2587">
        <v>3.9354239999999998</v>
      </c>
      <c r="E2587">
        <v>0.32056509999999999</v>
      </c>
      <c r="F2587" t="s">
        <v>54</v>
      </c>
      <c r="G2587">
        <v>-484.9787</v>
      </c>
      <c r="H2587" s="1">
        <v>3.5581310000000001E-6</v>
      </c>
      <c r="I2587">
        <v>223.25489999999999</v>
      </c>
      <c r="J2587">
        <v>-492.3107</v>
      </c>
      <c r="K2587">
        <v>1.1233850000000001</v>
      </c>
      <c r="L2587">
        <v>228.78020000000001</v>
      </c>
      <c r="M2587">
        <v>0.132000799999999</v>
      </c>
      <c r="N2587">
        <v>-1.3933310000000001E-2</v>
      </c>
      <c r="O2587">
        <v>-0.99115169999999997</v>
      </c>
      <c r="P2587">
        <v>0.45609850000000002</v>
      </c>
      <c r="Q2587">
        <v>-8.5691470000000006E-2</v>
      </c>
      <c r="R2587">
        <v>-0.88579409999999903</v>
      </c>
      <c r="S2587">
        <v>2.6074519999999999</v>
      </c>
      <c r="T2587">
        <v>-0.39752789999999999</v>
      </c>
      <c r="U2587">
        <v>-2.0313569999999999</v>
      </c>
      <c r="V2587">
        <v>-0.33480369999999998</v>
      </c>
      <c r="W2587">
        <v>-7.4280559999999995E-2</v>
      </c>
      <c r="X2587">
        <v>0.93935559999999996</v>
      </c>
      <c r="Y2587">
        <v>-0.69543339999999998</v>
      </c>
      <c r="Z2587">
        <v>0.11182309999999999</v>
      </c>
      <c r="AA2587">
        <v>0.70983649999999998</v>
      </c>
      <c r="AB2587">
        <v>15</v>
      </c>
      <c r="AC2587">
        <v>7.3319999999999901</v>
      </c>
      <c r="AD2587">
        <v>-1.123381441869</v>
      </c>
      <c r="AE2587">
        <v>-5.5253000000000103</v>
      </c>
      <c r="AF2587">
        <v>-6.4419628109285298</v>
      </c>
      <c r="AG2587">
        <v>-1.123381441869</v>
      </c>
      <c r="AH2587">
        <v>6.3497938370937899</v>
      </c>
      <c r="AI2587">
        <v>97.079544594345094</v>
      </c>
      <c r="AJ2587">
        <v>135.41282850836299</v>
      </c>
      <c r="AK2587">
        <v>9.1148643706264902</v>
      </c>
      <c r="AL2587">
        <v>94.259885988737594</v>
      </c>
      <c r="AM2587">
        <v>109.617007120865</v>
      </c>
      <c r="AN2587">
        <v>1.0000000311894801</v>
      </c>
    </row>
    <row r="2588" spans="1:40" x14ac:dyDescent="0.25">
      <c r="A2588" t="str">
        <f>"20190303154517230"</f>
        <v>20190303154517230</v>
      </c>
      <c r="B2588" t="str">
        <f>"1551599117223441"</f>
        <v>1551599117223441</v>
      </c>
      <c r="C2588" t="s">
        <v>40</v>
      </c>
      <c r="D2588">
        <v>3.8652880000000001</v>
      </c>
      <c r="E2588">
        <v>0.3207605</v>
      </c>
      <c r="F2588" t="s">
        <v>54</v>
      </c>
      <c r="G2588">
        <v>-484.70819999999998</v>
      </c>
      <c r="H2588" s="1">
        <v>3.430636E-6</v>
      </c>
      <c r="I2588">
        <v>223.0369</v>
      </c>
      <c r="J2588">
        <v>-492.28680000000003</v>
      </c>
      <c r="K2588">
        <v>1.1234139999999999</v>
      </c>
      <c r="L2588">
        <v>228.64349999999999</v>
      </c>
      <c r="M2588">
        <v>0.13671</v>
      </c>
      <c r="N2588">
        <v>-1.393908E-2</v>
      </c>
      <c r="O2588">
        <v>-0.99051310000000004</v>
      </c>
      <c r="P2588">
        <v>0.4651767</v>
      </c>
      <c r="Q2588">
        <v>-8.5380510000000007E-2</v>
      </c>
      <c r="R2588">
        <v>-0.88109090000000001</v>
      </c>
      <c r="S2588">
        <v>2.6363530000000002</v>
      </c>
      <c r="T2588">
        <v>-0.38955610000000002</v>
      </c>
      <c r="U2588">
        <v>-1.9916229999999999</v>
      </c>
      <c r="V2588">
        <v>-0.33997080000000002</v>
      </c>
      <c r="W2588">
        <v>-7.4048559999999999E-2</v>
      </c>
      <c r="X2588">
        <v>0.93751620000000002</v>
      </c>
      <c r="Y2588">
        <v>-0.7027504</v>
      </c>
      <c r="Z2588">
        <v>0.109684</v>
      </c>
      <c r="AA2588">
        <v>0.70293050000000001</v>
      </c>
      <c r="AB2588">
        <v>15</v>
      </c>
      <c r="AC2588">
        <v>7.5786000000000504</v>
      </c>
      <c r="AD2588">
        <v>-1.123410569364</v>
      </c>
      <c r="AE2588">
        <v>-5.6065999999999798</v>
      </c>
      <c r="AF2588">
        <v>-6.6464904259025701</v>
      </c>
      <c r="AG2588">
        <v>-1.123410569364</v>
      </c>
      <c r="AH2588">
        <v>6.4978436151875201</v>
      </c>
      <c r="AI2588">
        <v>96.891414966616907</v>
      </c>
      <c r="AJ2588">
        <v>135.64791961485099</v>
      </c>
      <c r="AK2588">
        <v>9.3626843339080104</v>
      </c>
      <c r="AL2588">
        <v>94.246556878682298</v>
      </c>
      <c r="AM2588">
        <v>109.932125954003</v>
      </c>
      <c r="AN2588">
        <v>0.99999997967657595</v>
      </c>
    </row>
    <row r="2589" spans="1:40" x14ac:dyDescent="0.25">
      <c r="A2589" t="str">
        <f>"20190303154517251"</f>
        <v>20190303154517251</v>
      </c>
      <c r="B2589" t="str">
        <f>"1551599117242962"</f>
        <v>1551599117242962</v>
      </c>
      <c r="C2589" t="s">
        <v>40</v>
      </c>
      <c r="D2589">
        <v>3.9277669999999998</v>
      </c>
      <c r="E2589">
        <v>0.32131769999999998</v>
      </c>
      <c r="F2589" t="s">
        <v>54</v>
      </c>
      <c r="G2589">
        <v>-484.58109999999999</v>
      </c>
      <c r="H2589" s="1">
        <v>3.3723969999999998E-6</v>
      </c>
      <c r="I2589">
        <v>222.93979999999999</v>
      </c>
      <c r="J2589">
        <v>-492.26229999999998</v>
      </c>
      <c r="K2589">
        <v>1.1234390000000001</v>
      </c>
      <c r="L2589">
        <v>228.5085</v>
      </c>
      <c r="M2589">
        <v>0.1414562</v>
      </c>
      <c r="N2589">
        <v>-1.3944659999999999E-2</v>
      </c>
      <c r="O2589">
        <v>-0.98984649999999996</v>
      </c>
      <c r="P2589">
        <v>0.47358319999999998</v>
      </c>
      <c r="Q2589">
        <v>-8.7361129999999995E-2</v>
      </c>
      <c r="R2589">
        <v>-0.87640569999999896</v>
      </c>
      <c r="S2589">
        <v>2.6553339999999999</v>
      </c>
      <c r="T2589">
        <v>-0.38712039999999998</v>
      </c>
      <c r="U2589">
        <v>-1.9654389999999999</v>
      </c>
      <c r="V2589">
        <v>-0.34444590000000003</v>
      </c>
      <c r="W2589">
        <v>-7.6102539999999996E-2</v>
      </c>
      <c r="X2589">
        <v>0.93571649999999995</v>
      </c>
      <c r="Y2589">
        <v>-0.70628119999999905</v>
      </c>
      <c r="Z2589">
        <v>0.10918029999999999</v>
      </c>
      <c r="AA2589">
        <v>0.69946149999999996</v>
      </c>
      <c r="AB2589">
        <v>14</v>
      </c>
      <c r="AC2589">
        <v>7.6811999999999898</v>
      </c>
      <c r="AD2589">
        <v>-1.12343562760299</v>
      </c>
      <c r="AE2589">
        <v>-5.5686999999999998</v>
      </c>
      <c r="AF2589">
        <v>-6.7218910604550999</v>
      </c>
      <c r="AG2589">
        <v>-1.12343562760299</v>
      </c>
      <c r="AH2589">
        <v>6.5080975394645399</v>
      </c>
      <c r="AI2589">
        <v>96.846922531244303</v>
      </c>
      <c r="AJ2589">
        <v>135.92580581209899</v>
      </c>
      <c r="AK2589">
        <v>9.4234420792605498</v>
      </c>
      <c r="AL2589">
        <v>94.364574386391197</v>
      </c>
      <c r="AM2589">
        <v>110.209128000353</v>
      </c>
      <c r="AN2589">
        <v>0.99999997149675501</v>
      </c>
    </row>
    <row r="2590" spans="1:40" x14ac:dyDescent="0.25">
      <c r="A2590" t="str">
        <f>"20190303154517274"</f>
        <v>20190303154517274</v>
      </c>
      <c r="B2590" t="str">
        <f>"1551599117263458"</f>
        <v>1551599117263458</v>
      </c>
      <c r="C2590" t="s">
        <v>40</v>
      </c>
      <c r="D2590">
        <v>3.8010899999999999</v>
      </c>
      <c r="E2590">
        <v>0.32071060000000001</v>
      </c>
      <c r="F2590" t="s">
        <v>54</v>
      </c>
      <c r="G2590">
        <v>-484.61279999999999</v>
      </c>
      <c r="H2590" s="1">
        <v>3.3813659999999998E-6</v>
      </c>
      <c r="I2590">
        <v>222.9461</v>
      </c>
      <c r="J2590">
        <v>-492.2364</v>
      </c>
      <c r="K2590">
        <v>1.123467</v>
      </c>
      <c r="L2590">
        <v>228.3698</v>
      </c>
      <c r="M2590">
        <v>0.1464521</v>
      </c>
      <c r="N2590">
        <v>-1.3950519999999999E-2</v>
      </c>
      <c r="O2590">
        <v>-0.98911950000000004</v>
      </c>
      <c r="P2590">
        <v>0.48125370000000001</v>
      </c>
      <c r="Q2590">
        <v>-8.9605790000000005E-2</v>
      </c>
      <c r="R2590">
        <v>-0.87198960000000003</v>
      </c>
      <c r="S2590">
        <v>2.6697690000000001</v>
      </c>
      <c r="T2590">
        <v>-0.39208900000000002</v>
      </c>
      <c r="U2590">
        <v>-1.9413149999999999</v>
      </c>
      <c r="V2590">
        <v>-0.34793879999999999</v>
      </c>
      <c r="W2590">
        <v>-7.8412099999999998E-2</v>
      </c>
      <c r="X2590">
        <v>0.93423239999999996</v>
      </c>
      <c r="Y2590">
        <v>-0.70848389999999895</v>
      </c>
      <c r="Z2590">
        <v>0.11105619999999999</v>
      </c>
      <c r="AA2590">
        <v>0.69693400000000005</v>
      </c>
      <c r="AB2590">
        <v>14</v>
      </c>
      <c r="AC2590">
        <v>7.6235999999999997</v>
      </c>
      <c r="AD2590">
        <v>-1.1234636186339999</v>
      </c>
      <c r="AE2590">
        <v>-5.4236999999999904</v>
      </c>
      <c r="AF2590">
        <v>-6.6510934997492699</v>
      </c>
      <c r="AG2590">
        <v>-1.1234636186339999</v>
      </c>
      <c r="AH2590">
        <v>6.3896775512855397</v>
      </c>
      <c r="AI2590">
        <v>96.944993420277598</v>
      </c>
      <c r="AJ2590">
        <v>136.14840025114401</v>
      </c>
      <c r="AK2590">
        <v>9.2912428907118603</v>
      </c>
      <c r="AL2590">
        <v>94.497298924619002</v>
      </c>
      <c r="AM2590">
        <v>110.426981745624</v>
      </c>
      <c r="AN2590">
        <v>1.0000000215908</v>
      </c>
    </row>
    <row r="2591" spans="1:40" x14ac:dyDescent="0.25">
      <c r="A2591" t="str">
        <f>"20190303154517295"</f>
        <v>20190303154517295</v>
      </c>
      <c r="B2591" t="str">
        <f>"1551599117293713"</f>
        <v>1551599117293713</v>
      </c>
      <c r="C2591" t="s">
        <v>40</v>
      </c>
      <c r="D2591">
        <v>3.7747449999999998</v>
      </c>
      <c r="E2591">
        <v>0.32034109999999899</v>
      </c>
      <c r="F2591" t="s">
        <v>54</v>
      </c>
      <c r="G2591">
        <v>-484.61739999999998</v>
      </c>
      <c r="H2591" s="1">
        <v>3.3833010000000001E-6</v>
      </c>
      <c r="I2591">
        <v>222.94909999999999</v>
      </c>
      <c r="J2591">
        <v>-492.21039999999999</v>
      </c>
      <c r="K2591">
        <v>1.1235090000000001</v>
      </c>
      <c r="L2591">
        <v>228.2347</v>
      </c>
      <c r="M2591">
        <v>0.15144659999999999</v>
      </c>
      <c r="N2591">
        <v>-1.3956799999999899E-2</v>
      </c>
      <c r="O2591">
        <v>-0.98836679999999999</v>
      </c>
      <c r="P2591">
        <v>0.48877769999999998</v>
      </c>
      <c r="Q2591">
        <v>-8.9423870000000003E-2</v>
      </c>
      <c r="R2591">
        <v>-0.86781319999999995</v>
      </c>
      <c r="S2591">
        <v>2.6909480000000001</v>
      </c>
      <c r="T2591">
        <v>-0.39679379999999997</v>
      </c>
      <c r="U2591">
        <v>-1.91452</v>
      </c>
      <c r="V2591">
        <v>-0.3512845</v>
      </c>
      <c r="W2591">
        <v>-7.8292120000000007E-2</v>
      </c>
      <c r="X2591">
        <v>0.93298950000000003</v>
      </c>
      <c r="Y2591">
        <v>-0.71198019999999995</v>
      </c>
      <c r="Z2591">
        <v>0.1127211</v>
      </c>
      <c r="AA2591">
        <v>0.69309319999999996</v>
      </c>
      <c r="AB2591">
        <v>14</v>
      </c>
      <c r="AC2591">
        <v>7.5930000000000097</v>
      </c>
      <c r="AD2591">
        <v>-1.1235056166990001</v>
      </c>
      <c r="AE2591">
        <v>-5.2856000000000103</v>
      </c>
      <c r="AF2591">
        <v>-6.60739351855214</v>
      </c>
      <c r="AG2591">
        <v>-1.1235056166990001</v>
      </c>
      <c r="AH2591">
        <v>6.2820223971234901</v>
      </c>
      <c r="AI2591">
        <v>97.025177120895805</v>
      </c>
      <c r="AJ2591">
        <v>136.44602624980701</v>
      </c>
      <c r="AK2591">
        <v>9.1860611459820092</v>
      </c>
      <c r="AL2591">
        <v>94.4904037836302</v>
      </c>
      <c r="AM2591">
        <v>110.632106405115</v>
      </c>
      <c r="AN2591">
        <v>0.99999993155229405</v>
      </c>
    </row>
    <row r="2592" spans="1:40" x14ac:dyDescent="0.25">
      <c r="A2592" t="str">
        <f>"20190303154517319"</f>
        <v>20190303154517319</v>
      </c>
      <c r="B2592" t="str">
        <f>"1551599117313234"</f>
        <v>1551599117313234</v>
      </c>
      <c r="C2592" t="s">
        <v>40</v>
      </c>
      <c r="D2592">
        <v>3.8789419999999999</v>
      </c>
      <c r="E2592">
        <v>0.32021300000000003</v>
      </c>
      <c r="F2592" t="s">
        <v>54</v>
      </c>
      <c r="G2592">
        <v>-484.44600000000003</v>
      </c>
      <c r="H2592" s="1">
        <v>3.3055349999999999E-6</v>
      </c>
      <c r="I2592">
        <v>222.82069999999999</v>
      </c>
      <c r="J2592">
        <v>-492.18130000000002</v>
      </c>
      <c r="K2592">
        <v>1.1235649999999999</v>
      </c>
      <c r="L2592">
        <v>228.08879999999999</v>
      </c>
      <c r="M2592">
        <v>0.1569933</v>
      </c>
      <c r="N2592">
        <v>-1.3964849999999999E-2</v>
      </c>
      <c r="O2592">
        <v>-0.98750099999999996</v>
      </c>
      <c r="P2592">
        <v>0.49757889999999999</v>
      </c>
      <c r="Q2592">
        <v>-8.8367089999999995E-2</v>
      </c>
      <c r="R2592">
        <v>-0.86290560000000005</v>
      </c>
      <c r="S2592">
        <v>2.71048</v>
      </c>
      <c r="T2592">
        <v>-0.39220519999999998</v>
      </c>
      <c r="U2592">
        <v>-1.889969</v>
      </c>
      <c r="V2592">
        <v>-0.35550660000000001</v>
      </c>
      <c r="W2592">
        <v>-7.7312249999999999E-2</v>
      </c>
      <c r="X2592">
        <v>0.93147080000000004</v>
      </c>
      <c r="Y2592">
        <v>-0.71475279999999997</v>
      </c>
      <c r="Z2592">
        <v>0.1114779</v>
      </c>
      <c r="AA2592">
        <v>0.69043549999999998</v>
      </c>
      <c r="AB2592">
        <v>14</v>
      </c>
      <c r="AC2592">
        <v>7.7353000000000502</v>
      </c>
      <c r="AD2592">
        <v>-1.123561694465</v>
      </c>
      <c r="AE2592">
        <v>-5.2680999999999996</v>
      </c>
      <c r="AF2592">
        <v>-6.7154351893607904</v>
      </c>
      <c r="AG2592">
        <v>-1.123561694465</v>
      </c>
      <c r="AH2592">
        <v>6.3260924600730197</v>
      </c>
      <c r="AI2592">
        <v>96.943513092967393</v>
      </c>
      <c r="AJ2592">
        <v>136.71000452954499</v>
      </c>
      <c r="AK2592">
        <v>9.2940253107664308</v>
      </c>
      <c r="AL2592">
        <v>94.434090411562494</v>
      </c>
      <c r="AM2592">
        <v>110.88993318145199</v>
      </c>
      <c r="AN2592">
        <v>0.99999998894813102</v>
      </c>
    </row>
    <row r="2593" spans="1:40" x14ac:dyDescent="0.25">
      <c r="A2593" t="str">
        <f>"20190303154517343"</f>
        <v>20190303154517343</v>
      </c>
      <c r="B2593" t="str">
        <f>"1551599117332754"</f>
        <v>1551599117332754</v>
      </c>
      <c r="C2593" t="s">
        <v>40</v>
      </c>
      <c r="D2593">
        <v>3.9078590000000002</v>
      </c>
      <c r="E2593">
        <v>0.32027640000000002</v>
      </c>
      <c r="F2593" t="s">
        <v>54</v>
      </c>
      <c r="G2593">
        <v>-484.24689999999998</v>
      </c>
      <c r="H2593" s="1">
        <v>3.2169320000000001E-6</v>
      </c>
      <c r="I2593">
        <v>222.6772</v>
      </c>
      <c r="J2593">
        <v>-492.15129999999999</v>
      </c>
      <c r="K2593">
        <v>1.1236120000000001</v>
      </c>
      <c r="L2593">
        <v>227.94390000000001</v>
      </c>
      <c r="M2593">
        <v>0.16266549999999999</v>
      </c>
      <c r="N2593">
        <v>-1.397435E-2</v>
      </c>
      <c r="O2593">
        <v>-0.98658230000000002</v>
      </c>
      <c r="P2593">
        <v>0.50667890000000004</v>
      </c>
      <c r="Q2593">
        <v>-8.8340520000000006E-2</v>
      </c>
      <c r="R2593">
        <v>-0.85759669999999899</v>
      </c>
      <c r="S2593">
        <v>2.7306819999999998</v>
      </c>
      <c r="T2593">
        <v>-0.3866812</v>
      </c>
      <c r="U2593">
        <v>-1.8624270000000001</v>
      </c>
      <c r="V2593">
        <v>-0.3599868</v>
      </c>
      <c r="W2593">
        <v>-7.7372179999999999E-2</v>
      </c>
      <c r="X2593">
        <v>0.92974349999999994</v>
      </c>
      <c r="Y2593">
        <v>-0.71803209999999995</v>
      </c>
      <c r="Z2593">
        <v>0.1099806</v>
      </c>
      <c r="AA2593">
        <v>0.68726580000000004</v>
      </c>
      <c r="AB2593">
        <v>14</v>
      </c>
      <c r="AC2593">
        <v>7.9044000000000096</v>
      </c>
      <c r="AD2593">
        <v>-1.1236087830679999</v>
      </c>
      <c r="AE2593">
        <v>-5.2667000000000099</v>
      </c>
      <c r="AF2593">
        <v>-6.8464994901847502</v>
      </c>
      <c r="AG2593">
        <v>-1.1236087830679999</v>
      </c>
      <c r="AH2593">
        <v>6.3929765687274598</v>
      </c>
      <c r="AI2593">
        <v>96.840018146251495</v>
      </c>
      <c r="AJ2593">
        <v>136.96191998185199</v>
      </c>
      <c r="AK2593">
        <v>9.43436279643654</v>
      </c>
      <c r="AL2593">
        <v>94.437534578887906</v>
      </c>
      <c r="AM2593">
        <v>111.16587364469299</v>
      </c>
      <c r="AN2593">
        <v>0.99999996310221995</v>
      </c>
    </row>
    <row r="2594" spans="1:40" x14ac:dyDescent="0.25">
      <c r="A2594" t="str">
        <f>"20190303154517365"</f>
        <v>20190303154517365</v>
      </c>
      <c r="B2594" t="str">
        <f>"1551599117353250"</f>
        <v>1551599117353250</v>
      </c>
      <c r="C2594" t="s">
        <v>40</v>
      </c>
      <c r="D2594">
        <v>3.9516460000000002</v>
      </c>
      <c r="E2594">
        <v>0.32045269999999998</v>
      </c>
      <c r="F2594" t="s">
        <v>54</v>
      </c>
      <c r="G2594">
        <v>-484.14440000000002</v>
      </c>
      <c r="H2594" s="1">
        <v>3.1717460000000001E-6</v>
      </c>
      <c r="I2594">
        <v>222.60470000000001</v>
      </c>
      <c r="J2594">
        <v>-492.1216</v>
      </c>
      <c r="K2594">
        <v>1.1236489999999999</v>
      </c>
      <c r="L2594">
        <v>227.80539999999999</v>
      </c>
      <c r="M2594">
        <v>0.168247799999999</v>
      </c>
      <c r="N2594">
        <v>-1.3984419999999999E-2</v>
      </c>
      <c r="O2594">
        <v>-0.98564569999999996</v>
      </c>
      <c r="P2594">
        <v>0.51359440000000001</v>
      </c>
      <c r="Q2594">
        <v>-9.0395260000000005E-2</v>
      </c>
      <c r="R2594">
        <v>-0.85325839999999997</v>
      </c>
      <c r="S2594">
        <v>2.749908</v>
      </c>
      <c r="T2594">
        <v>-0.3858953</v>
      </c>
      <c r="U2594">
        <v>-1.83371</v>
      </c>
      <c r="V2594">
        <v>-0.3622495</v>
      </c>
      <c r="W2594">
        <v>-7.9492199999999999E-2</v>
      </c>
      <c r="X2594">
        <v>0.92868519999999999</v>
      </c>
      <c r="Y2594">
        <v>-0.72129759999999998</v>
      </c>
      <c r="Z2594">
        <v>0.1100047</v>
      </c>
      <c r="AA2594">
        <v>0.68383380000000005</v>
      </c>
      <c r="AB2594">
        <v>14</v>
      </c>
      <c r="AC2594">
        <v>7.9771999999999803</v>
      </c>
      <c r="AD2594">
        <v>-1.1236458282539901</v>
      </c>
      <c r="AE2594">
        <v>-5.2006999999999799</v>
      </c>
      <c r="AF2594">
        <v>-6.8924057482163201</v>
      </c>
      <c r="AG2594">
        <v>-1.1236458282539901</v>
      </c>
      <c r="AH2594">
        <v>6.3799967017742301</v>
      </c>
      <c r="AI2594">
        <v>96.822362253762904</v>
      </c>
      <c r="AJ2594">
        <v>137.21092619324099</v>
      </c>
      <c r="AK2594">
        <v>9.4589743027480608</v>
      </c>
      <c r="AL2594">
        <v>94.559378185467494</v>
      </c>
      <c r="AM2594">
        <v>111.30911824194899</v>
      </c>
      <c r="AN2594">
        <v>0.99999995540506403</v>
      </c>
    </row>
    <row r="2595" spans="1:40" x14ac:dyDescent="0.25">
      <c r="A2595" t="str">
        <f>"20190303154517386"</f>
        <v>20190303154517386</v>
      </c>
      <c r="B2595" t="str">
        <f>"1551599117383506"</f>
        <v>1551599117383506</v>
      </c>
      <c r="C2595" t="s">
        <v>40</v>
      </c>
      <c r="D2595">
        <v>3.963689</v>
      </c>
      <c r="E2595">
        <v>0.32062380000000001</v>
      </c>
      <c r="F2595" t="s">
        <v>54</v>
      </c>
      <c r="G2595">
        <v>-484.16309999999999</v>
      </c>
      <c r="H2595" s="1">
        <v>3.1708530000000002E-6</v>
      </c>
      <c r="I2595">
        <v>222.58840000000001</v>
      </c>
      <c r="J2595">
        <v>-492.09339999999997</v>
      </c>
      <c r="K2595">
        <v>1.123683</v>
      </c>
      <c r="L2595">
        <v>227.67760000000001</v>
      </c>
      <c r="M2595">
        <v>0.17350270000000001</v>
      </c>
      <c r="N2595">
        <v>-1.399325E-2</v>
      </c>
      <c r="O2595">
        <v>-0.98473409999999995</v>
      </c>
      <c r="P2595">
        <v>0.51949630000000002</v>
      </c>
      <c r="Q2595">
        <v>-9.1502089999999994E-2</v>
      </c>
      <c r="R2595">
        <v>-0.84955939999999996</v>
      </c>
      <c r="S2595">
        <v>2.763245</v>
      </c>
      <c r="T2595">
        <v>-0.39013609999999999</v>
      </c>
      <c r="U2595">
        <v>-1.81134</v>
      </c>
      <c r="V2595">
        <v>-0.36373719999999998</v>
      </c>
      <c r="W2595">
        <v>-8.0643709999999993E-2</v>
      </c>
      <c r="X2595">
        <v>0.92800419999999995</v>
      </c>
      <c r="Y2595">
        <v>-0.72285969999999999</v>
      </c>
      <c r="Z2595">
        <v>0.1116085</v>
      </c>
      <c r="AA2595">
        <v>0.68192189999999997</v>
      </c>
      <c r="AB2595">
        <v>14</v>
      </c>
      <c r="AC2595">
        <v>7.9302999999999804</v>
      </c>
      <c r="AD2595">
        <v>-1.123679829147</v>
      </c>
      <c r="AE2595">
        <v>-5.0891999999999999</v>
      </c>
      <c r="AF2595">
        <v>-6.8297992795928204</v>
      </c>
      <c r="AG2595">
        <v>-1.123679829147</v>
      </c>
      <c r="AH2595">
        <v>6.2984925259070899</v>
      </c>
      <c r="AI2595">
        <v>96.896238928060697</v>
      </c>
      <c r="AJ2595">
        <v>137.31751638084199</v>
      </c>
      <c r="AK2595">
        <v>9.3584091947758896</v>
      </c>
      <c r="AL2595">
        <v>94.625567261974098</v>
      </c>
      <c r="AM2595">
        <v>111.40301482015001</v>
      </c>
      <c r="AN2595">
        <v>0.99999997692202103</v>
      </c>
    </row>
    <row r="2596" spans="1:40" x14ac:dyDescent="0.25">
      <c r="A2596" t="str">
        <f>"20190303154517408"</f>
        <v>20190303154517408</v>
      </c>
      <c r="B2596" t="str">
        <f>"1551599117403025"</f>
        <v>1551599117403025</v>
      </c>
      <c r="C2596" t="s">
        <v>40</v>
      </c>
      <c r="D2596">
        <v>3.9265759999999998</v>
      </c>
      <c r="E2596">
        <v>0.32093500000000003</v>
      </c>
      <c r="F2596" t="s">
        <v>54</v>
      </c>
      <c r="G2596">
        <v>-484.13459999999998</v>
      </c>
      <c r="H2596" s="1">
        <v>3.1483800000000001E-6</v>
      </c>
      <c r="I2596">
        <v>222.53630000000001</v>
      </c>
      <c r="J2596">
        <v>-492.06220000000002</v>
      </c>
      <c r="K2596">
        <v>1.123702</v>
      </c>
      <c r="L2596">
        <v>227.54089999999999</v>
      </c>
      <c r="M2596">
        <v>0.17924189999999901</v>
      </c>
      <c r="N2596">
        <v>-1.4001499999999899E-2</v>
      </c>
      <c r="O2596">
        <v>-0.98370539999999995</v>
      </c>
      <c r="P2596">
        <v>0.52446749999999998</v>
      </c>
      <c r="Q2596">
        <v>-9.2251739999999999E-2</v>
      </c>
      <c r="R2596">
        <v>-0.84641809999999995</v>
      </c>
      <c r="S2596">
        <v>2.7746580000000001</v>
      </c>
      <c r="T2596">
        <v>-0.39174799999999999</v>
      </c>
      <c r="U2596">
        <v>-1.79241899999999</v>
      </c>
      <c r="V2596">
        <v>-0.36377019999999999</v>
      </c>
      <c r="W2596">
        <v>-8.141263E-2</v>
      </c>
      <c r="X2596">
        <v>0.92792419999999998</v>
      </c>
      <c r="Y2596">
        <v>-0.7233484</v>
      </c>
      <c r="Z2596">
        <v>0.1123663</v>
      </c>
      <c r="AA2596">
        <v>0.68127890000000002</v>
      </c>
      <c r="AB2596">
        <v>14</v>
      </c>
      <c r="AC2596">
        <v>7.9276000000000399</v>
      </c>
      <c r="AD2596">
        <v>-1.1236988516199999</v>
      </c>
      <c r="AE2596">
        <v>-5.0045999999999804</v>
      </c>
      <c r="AF2596">
        <v>-6.8043123537013201</v>
      </c>
      <c r="AG2596">
        <v>-1.1236988516199999</v>
      </c>
      <c r="AH2596">
        <v>6.2547737900006899</v>
      </c>
      <c r="AI2596">
        <v>96.932090958524</v>
      </c>
      <c r="AJ2596">
        <v>137.40963834857601</v>
      </c>
      <c r="AK2596">
        <v>9.3104006831040405</v>
      </c>
      <c r="AL2596">
        <v>94.669768144911302</v>
      </c>
      <c r="AM2596">
        <v>111.40645931806201</v>
      </c>
      <c r="AN2596">
        <v>1.00000004783859</v>
      </c>
    </row>
    <row r="2597" spans="1:40" x14ac:dyDescent="0.25">
      <c r="A2597" t="str">
        <f>"20190303154517432"</f>
        <v>20190303154517432</v>
      </c>
      <c r="B2597" t="str">
        <f>"1551599117423522"</f>
        <v>1551599117423522</v>
      </c>
      <c r="C2597" t="s">
        <v>40</v>
      </c>
      <c r="D2597">
        <v>3.9598610000000001</v>
      </c>
      <c r="E2597">
        <v>0.32128370000000001</v>
      </c>
      <c r="F2597" t="s">
        <v>54</v>
      </c>
      <c r="G2597">
        <v>-484.1397</v>
      </c>
      <c r="H2597" s="1">
        <v>3.1364819999999999E-6</v>
      </c>
      <c r="I2597">
        <v>222.48179999999999</v>
      </c>
      <c r="J2597">
        <v>-492.02890000000002</v>
      </c>
      <c r="K2597">
        <v>1.1237140000000001</v>
      </c>
      <c r="L2597">
        <v>227.39940000000001</v>
      </c>
      <c r="M2597">
        <v>0.1852993</v>
      </c>
      <c r="N2597">
        <v>-1.4008929999999999E-2</v>
      </c>
      <c r="O2597">
        <v>-0.98258239999999997</v>
      </c>
      <c r="P2597">
        <v>0.529636</v>
      </c>
      <c r="Q2597">
        <v>-9.3045849999999999E-2</v>
      </c>
      <c r="R2597">
        <v>-0.84310659999999904</v>
      </c>
      <c r="S2597">
        <v>2.7827449999999998</v>
      </c>
      <c r="T2597">
        <v>-0.39469599999999999</v>
      </c>
      <c r="U2597">
        <v>-1.7770079999999999</v>
      </c>
      <c r="V2597">
        <v>-0.36373759999999999</v>
      </c>
      <c r="W2597">
        <v>-8.2217570000000004E-2</v>
      </c>
      <c r="X2597">
        <v>0.92786590000000002</v>
      </c>
      <c r="Y2597">
        <v>-0.72258919999999904</v>
      </c>
      <c r="Z2597">
        <v>0.1135602</v>
      </c>
      <c r="AA2597">
        <v>0.68188629999999995</v>
      </c>
      <c r="AB2597">
        <v>14</v>
      </c>
      <c r="AC2597">
        <v>7.8892000000000104</v>
      </c>
      <c r="AD2597">
        <v>-1.123710863518</v>
      </c>
      <c r="AE2597">
        <v>-4.9176000000000197</v>
      </c>
      <c r="AF2597">
        <v>-6.74271310416077</v>
      </c>
      <c r="AG2597">
        <v>-1.123710863518</v>
      </c>
      <c r="AH2597">
        <v>6.2037831019598997</v>
      </c>
      <c r="AI2597">
        <v>96.991987266856498</v>
      </c>
      <c r="AJ2597">
        <v>137.38370264452999</v>
      </c>
      <c r="AK2597">
        <v>9.2311337811762293</v>
      </c>
      <c r="AL2597">
        <v>94.716043408995205</v>
      </c>
      <c r="AM2597">
        <v>111.405937728011</v>
      </c>
      <c r="AN2597">
        <v>0.99999994942663595</v>
      </c>
    </row>
    <row r="2598" spans="1:40" x14ac:dyDescent="0.25">
      <c r="A2598" t="str">
        <f>"20190303154517454"</f>
        <v>20190303154517454</v>
      </c>
      <c r="B2598" t="str">
        <f>"1551599117443042"</f>
        <v>1551599117443042</v>
      </c>
      <c r="C2598" t="s">
        <v>40</v>
      </c>
      <c r="D2598">
        <v>3.9414950000000002</v>
      </c>
      <c r="E2598">
        <v>0.32154310000000003</v>
      </c>
      <c r="F2598" t="s">
        <v>54</v>
      </c>
      <c r="G2598">
        <v>-484.15469999999999</v>
      </c>
      <c r="H2598" s="1">
        <v>3.1280529999999999E-6</v>
      </c>
      <c r="I2598">
        <v>222.4316</v>
      </c>
      <c r="J2598">
        <v>-491.99689999999998</v>
      </c>
      <c r="K2598">
        <v>1.1237250000000001</v>
      </c>
      <c r="L2598">
        <v>227.26759999999999</v>
      </c>
      <c r="M2598">
        <v>0.1910502</v>
      </c>
      <c r="N2598">
        <v>-1.4015120000000001E-2</v>
      </c>
      <c r="O2598">
        <v>-0.98148020000000002</v>
      </c>
      <c r="P2598">
        <v>0.53360430000000003</v>
      </c>
      <c r="Q2598">
        <v>-9.3241859999999996E-2</v>
      </c>
      <c r="R2598">
        <v>-0.84057870000000001</v>
      </c>
      <c r="S2598">
        <v>2.7911380000000001</v>
      </c>
      <c r="T2598">
        <v>-0.3983178</v>
      </c>
      <c r="U2598">
        <v>-1.7609410000000001</v>
      </c>
      <c r="V2598">
        <v>-0.36267959999999999</v>
      </c>
      <c r="W2598">
        <v>-8.2406699999999999E-2</v>
      </c>
      <c r="X2598">
        <v>0.92826319999999996</v>
      </c>
      <c r="Y2598">
        <v>-0.7221668</v>
      </c>
      <c r="Z2598">
        <v>0.11496290000000001</v>
      </c>
      <c r="AA2598">
        <v>0.68209869999999995</v>
      </c>
      <c r="AB2598">
        <v>14</v>
      </c>
      <c r="AC2598">
        <v>7.8421999999999903</v>
      </c>
      <c r="AD2598">
        <v>-1.1237218719469999</v>
      </c>
      <c r="AE2598">
        <v>-4.8359999999999799</v>
      </c>
      <c r="AF2598">
        <v>-6.6744240757015199</v>
      </c>
      <c r="AG2598">
        <v>-1.1237218719469999</v>
      </c>
      <c r="AH2598">
        <v>6.1537642058661897</v>
      </c>
      <c r="AI2598">
        <v>97.056190429484602</v>
      </c>
      <c r="AJ2598">
        <v>137.324197922449</v>
      </c>
      <c r="AK2598">
        <v>9.1476500528385003</v>
      </c>
      <c r="AL2598">
        <v>94.726916595855698</v>
      </c>
      <c r="AM2598">
        <v>111.340971317298</v>
      </c>
      <c r="AN2598">
        <v>0.999999962467644</v>
      </c>
    </row>
    <row r="2599" spans="1:40" x14ac:dyDescent="0.25">
      <c r="A2599" t="str">
        <f>"20190303154517477"</f>
        <v>20190303154517477</v>
      </c>
      <c r="B2599" t="str">
        <f>"1551599117473298"</f>
        <v>1551599117473298</v>
      </c>
      <c r="C2599" t="s">
        <v>40</v>
      </c>
      <c r="D2599">
        <v>3.957252</v>
      </c>
      <c r="E2599">
        <v>0.32195359999999901</v>
      </c>
      <c r="F2599" t="s">
        <v>54</v>
      </c>
      <c r="G2599">
        <v>-484.10849999999999</v>
      </c>
      <c r="H2599" s="1">
        <v>3.098767E-6</v>
      </c>
      <c r="I2599">
        <v>222.33619999999999</v>
      </c>
      <c r="J2599">
        <v>-491.96260000000001</v>
      </c>
      <c r="K2599">
        <v>1.123729</v>
      </c>
      <c r="L2599">
        <v>227.13</v>
      </c>
      <c r="M2599">
        <v>0.19714490000000001</v>
      </c>
      <c r="N2599">
        <v>-1.402104E-2</v>
      </c>
      <c r="O2599">
        <v>-0.98027419999999998</v>
      </c>
      <c r="P2599">
        <v>0.53792289999999998</v>
      </c>
      <c r="Q2599">
        <v>-9.2629669999999997E-2</v>
      </c>
      <c r="R2599">
        <v>-0.83788960000000001</v>
      </c>
      <c r="S2599">
        <v>2.797485</v>
      </c>
      <c r="T2599">
        <v>-0.39850780000000002</v>
      </c>
      <c r="U2599">
        <v>-1.74884</v>
      </c>
      <c r="V2599">
        <v>-0.36167820000000001</v>
      </c>
      <c r="W2599">
        <v>-8.1785739999999996E-2</v>
      </c>
      <c r="X2599">
        <v>0.9287088</v>
      </c>
      <c r="Y2599">
        <v>-0.72069259999999902</v>
      </c>
      <c r="Z2599">
        <v>0.1152485</v>
      </c>
      <c r="AA2599">
        <v>0.68360810000000005</v>
      </c>
      <c r="AB2599">
        <v>14</v>
      </c>
      <c r="AC2599">
        <v>7.8541000000000096</v>
      </c>
      <c r="AD2599">
        <v>-1.1237259012330001</v>
      </c>
      <c r="AE2599">
        <v>-4.7938000000000001</v>
      </c>
      <c r="AF2599">
        <v>-6.65549916925948</v>
      </c>
      <c r="AG2599">
        <v>-1.1237259012330001</v>
      </c>
      <c r="AH2599">
        <v>6.1564285950306097</v>
      </c>
      <c r="AI2599">
        <v>97.065534229400896</v>
      </c>
      <c r="AJ2599">
        <v>137.230748429448</v>
      </c>
      <c r="AK2599">
        <v>9.1356467827311594</v>
      </c>
      <c r="AL2599">
        <v>94.691217377628803</v>
      </c>
      <c r="AM2599">
        <v>111.27802747388399</v>
      </c>
      <c r="AN2599">
        <v>1.0000000314100099</v>
      </c>
    </row>
    <row r="2600" spans="1:40" x14ac:dyDescent="0.25">
      <c r="A2600" t="str">
        <f>"20190303154517498"</f>
        <v>20190303154517498</v>
      </c>
      <c r="B2600" t="str">
        <f>"1551599117492817"</f>
        <v>1551599117492817</v>
      </c>
      <c r="C2600" t="s">
        <v>40</v>
      </c>
      <c r="D2600">
        <v>4.2447699999999999</v>
      </c>
      <c r="E2600">
        <v>0.32219710000000001</v>
      </c>
      <c r="F2600" t="s">
        <v>54</v>
      </c>
      <c r="G2600">
        <v>-484.01929999999999</v>
      </c>
      <c r="H2600" s="1">
        <v>3.0552540000000002E-6</v>
      </c>
      <c r="I2600">
        <v>222.21090000000001</v>
      </c>
      <c r="J2600">
        <v>-491.92919999999998</v>
      </c>
      <c r="K2600">
        <v>1.123732</v>
      </c>
      <c r="L2600">
        <v>226.99969999999999</v>
      </c>
      <c r="M2600">
        <v>0.20299809999999999</v>
      </c>
      <c r="N2600">
        <v>-1.402598E-2</v>
      </c>
      <c r="O2600">
        <v>-0.97907869999999997</v>
      </c>
      <c r="P2600">
        <v>0.54174230000000001</v>
      </c>
      <c r="Q2600">
        <v>-9.1699970000000006E-2</v>
      </c>
      <c r="R2600">
        <v>-0.83552749999999998</v>
      </c>
      <c r="S2600">
        <v>2.8039860000000001</v>
      </c>
      <c r="T2600">
        <v>-0.39667639999999998</v>
      </c>
      <c r="U2600">
        <v>-1.73645</v>
      </c>
      <c r="V2600">
        <v>-0.36035349999999999</v>
      </c>
      <c r="W2600">
        <v>-8.0843239999999997E-2</v>
      </c>
      <c r="X2600">
        <v>0.92930599999999997</v>
      </c>
      <c r="Y2600">
        <v>-0.7195144</v>
      </c>
      <c r="Z2600">
        <v>0.1148849</v>
      </c>
      <c r="AA2600">
        <v>0.68490899999999999</v>
      </c>
      <c r="AB2600">
        <v>14</v>
      </c>
      <c r="AC2600">
        <v>7.9098999999999897</v>
      </c>
      <c r="AD2600">
        <v>-1.1237289447459999</v>
      </c>
      <c r="AE2600">
        <v>-4.7887999999999797</v>
      </c>
      <c r="AF2600">
        <v>-6.67438698411061</v>
      </c>
      <c r="AG2600">
        <v>-1.1237289447459999</v>
      </c>
      <c r="AH2600">
        <v>6.2033069628876003</v>
      </c>
      <c r="AI2600">
        <v>97.030454185403698</v>
      </c>
      <c r="AJ2600">
        <v>137.095007636898</v>
      </c>
      <c r="AK2600">
        <v>9.1810253038936196</v>
      </c>
      <c r="AL2600">
        <v>94.637037026425304</v>
      </c>
      <c r="AM2600">
        <v>111.19461158088301</v>
      </c>
      <c r="AN2600">
        <v>0.99999995802597197</v>
      </c>
    </row>
    <row r="2601" spans="1:40" x14ac:dyDescent="0.25">
      <c r="A2601" t="str">
        <f>"20190303154517521"</f>
        <v>20190303154517521</v>
      </c>
      <c r="B2601" t="str">
        <f>"1551599117513314"</f>
        <v>1551599117513314</v>
      </c>
      <c r="C2601" t="s">
        <v>40</v>
      </c>
      <c r="D2601">
        <v>4.2220789999999999</v>
      </c>
      <c r="E2601">
        <v>0.37512499999999999</v>
      </c>
      <c r="F2601" t="s">
        <v>54</v>
      </c>
      <c r="G2601">
        <v>-483.91079999999999</v>
      </c>
      <c r="H2601" s="1">
        <v>3.0064129999999999E-6</v>
      </c>
      <c r="I2601">
        <v>222.0771</v>
      </c>
      <c r="J2601">
        <v>-491.89420000000001</v>
      </c>
      <c r="K2601">
        <v>1.123739</v>
      </c>
      <c r="L2601">
        <v>226.86689999999999</v>
      </c>
      <c r="M2601">
        <v>0.20903250000000001</v>
      </c>
      <c r="N2601">
        <v>-1.403021E-2</v>
      </c>
      <c r="O2601">
        <v>-0.97780820000000002</v>
      </c>
      <c r="P2601">
        <v>0.54502309999999998</v>
      </c>
      <c r="Q2601">
        <v>-9.155758E-2</v>
      </c>
      <c r="R2601">
        <v>-0.83340709999999996</v>
      </c>
      <c r="S2601">
        <v>2.8102109999999998</v>
      </c>
      <c r="T2601">
        <v>-0.39383259999999998</v>
      </c>
      <c r="U2601">
        <v>-1.72522</v>
      </c>
      <c r="V2601">
        <v>-0.35827340000000002</v>
      </c>
      <c r="W2601">
        <v>-8.0681169999999997E-2</v>
      </c>
      <c r="X2601">
        <v>0.93012399999999995</v>
      </c>
      <c r="Y2601">
        <v>-0.71800229999999998</v>
      </c>
      <c r="Z2601">
        <v>0.1141751</v>
      </c>
      <c r="AA2601">
        <v>0.68661269999999996</v>
      </c>
      <c r="AB2601">
        <v>14</v>
      </c>
      <c r="AC2601">
        <v>7.9834000000000103</v>
      </c>
      <c r="AD2601">
        <v>-1.1237359935869999</v>
      </c>
      <c r="AE2601">
        <v>-4.7897999999999801</v>
      </c>
      <c r="AF2601">
        <v>-6.7079517600644998</v>
      </c>
      <c r="AG2601">
        <v>-1.1237359935869999</v>
      </c>
      <c r="AH2601">
        <v>6.2616943861013903</v>
      </c>
      <c r="AI2601">
        <v>96.981679164227799</v>
      </c>
      <c r="AJ2601">
        <v>136.97064597921201</v>
      </c>
      <c r="AK2601">
        <v>9.2449021619251894</v>
      </c>
      <c r="AL2601">
        <v>94.627720620594502</v>
      </c>
      <c r="AM2601">
        <v>111.066128828651</v>
      </c>
      <c r="AN2601">
        <v>0.999999967858063</v>
      </c>
    </row>
    <row r="2602" spans="1:40" x14ac:dyDescent="0.25">
      <c r="A2602" t="str">
        <f>"20190303154517544"</f>
        <v>20190303154517544</v>
      </c>
      <c r="B2602" t="str">
        <f>"1551599117532834"</f>
        <v>1551599117532834</v>
      </c>
      <c r="C2602" t="s">
        <v>40</v>
      </c>
      <c r="D2602">
        <v>4.2481859999999996</v>
      </c>
      <c r="E2602">
        <v>0.38047239999999999</v>
      </c>
      <c r="F2602" t="s">
        <v>42</v>
      </c>
      <c r="G2602">
        <v>-491.1848</v>
      </c>
      <c r="H2602">
        <v>1.0425139999999999</v>
      </c>
      <c r="I2602">
        <v>226.30510000000001</v>
      </c>
      <c r="J2602">
        <v>-491.858</v>
      </c>
      <c r="K2602">
        <v>1.123745</v>
      </c>
      <c r="L2602">
        <v>226.73339999999999</v>
      </c>
      <c r="M2602">
        <v>0.2151825</v>
      </c>
      <c r="N2602">
        <v>-1.403367E-2</v>
      </c>
      <c r="O2602">
        <v>-0.97647300000000004</v>
      </c>
      <c r="P2602">
        <v>0.54889730000000003</v>
      </c>
      <c r="Q2602">
        <v>-9.2244329999999999E-2</v>
      </c>
      <c r="R2602">
        <v>-0.83078430000000003</v>
      </c>
      <c r="S2602">
        <v>2.4682919999999999</v>
      </c>
      <c r="T2602">
        <v>-0.28252909999999998</v>
      </c>
      <c r="U2602">
        <v>-1.954453</v>
      </c>
      <c r="V2602">
        <v>-0.35676170000000001</v>
      </c>
      <c r="W2602">
        <v>-8.1356220000000007E-2</v>
      </c>
      <c r="X2602">
        <v>0.93064610000000003</v>
      </c>
      <c r="Y2602">
        <v>-0.62906430000000002</v>
      </c>
      <c r="Z2602">
        <v>8.1536269999999994E-2</v>
      </c>
      <c r="AA2602">
        <v>0.77306529999999996</v>
      </c>
      <c r="AB2602">
        <v>14</v>
      </c>
      <c r="AC2602">
        <v>0.67320000000000801</v>
      </c>
      <c r="AD2602">
        <v>-8.1230999999999998E-2</v>
      </c>
      <c r="AE2602">
        <v>-0.42829999999997798</v>
      </c>
      <c r="AF2602">
        <v>-0.55945612269519696</v>
      </c>
      <c r="AG2602">
        <v>-8.1230999999999998E-2</v>
      </c>
      <c r="AH2602">
        <v>0.55736289579063703</v>
      </c>
      <c r="AI2602">
        <v>95.872880422276793</v>
      </c>
      <c r="AJ2602">
        <v>135.10738796955599</v>
      </c>
      <c r="AK2602">
        <v>0.79387847066554695</v>
      </c>
      <c r="AL2602">
        <v>94.666525770592699</v>
      </c>
      <c r="AM2602">
        <v>110.97424642929801</v>
      </c>
      <c r="AN2602">
        <v>0.99999995428239297</v>
      </c>
    </row>
    <row r="2603" spans="1:40" x14ac:dyDescent="0.25">
      <c r="A2603" t="str">
        <f>"20190303154517566"</f>
        <v>20190303154517566</v>
      </c>
      <c r="B2603" t="str">
        <f>"1551599117563089"</f>
        <v>1551599117563089</v>
      </c>
      <c r="C2603" t="s">
        <v>40</v>
      </c>
      <c r="D2603">
        <v>4.241511</v>
      </c>
      <c r="E2603">
        <v>0.38356269999999998</v>
      </c>
      <c r="F2603" t="s">
        <v>54</v>
      </c>
      <c r="G2603">
        <v>-481.72329999999999</v>
      </c>
      <c r="H2603" s="1">
        <v>2.0285120000000001E-6</v>
      </c>
      <c r="I2603">
        <v>218.5685</v>
      </c>
      <c r="J2603">
        <v>-491.81990000000002</v>
      </c>
      <c r="K2603">
        <v>1.1237490000000001</v>
      </c>
      <c r="L2603">
        <v>226.59729999999999</v>
      </c>
      <c r="M2603">
        <v>0.22152949999999999</v>
      </c>
      <c r="N2603">
        <v>-1.403688E-2</v>
      </c>
      <c r="O2603">
        <v>-0.97505269999999999</v>
      </c>
      <c r="P2603">
        <v>0.55354139999999996</v>
      </c>
      <c r="Q2603">
        <v>-9.2504139999999999E-2</v>
      </c>
      <c r="R2603">
        <v>-0.82766849999999903</v>
      </c>
      <c r="S2603">
        <v>2.4421390000000001</v>
      </c>
      <c r="T2603">
        <v>-0.27078570000000002</v>
      </c>
      <c r="U2603">
        <v>-1.967468</v>
      </c>
      <c r="V2603">
        <v>-0.35592420000000002</v>
      </c>
      <c r="W2603">
        <v>-8.1610799999999997E-2</v>
      </c>
      <c r="X2603">
        <v>0.93094449999999995</v>
      </c>
      <c r="Y2603">
        <v>-0.61767329999999998</v>
      </c>
      <c r="Z2603">
        <v>7.7937069999999997E-2</v>
      </c>
      <c r="AA2603">
        <v>0.78256340000000002</v>
      </c>
      <c r="AB2603">
        <v>14</v>
      </c>
      <c r="AC2603">
        <v>10.0966</v>
      </c>
      <c r="AD2603">
        <v>-1.123746971488</v>
      </c>
      <c r="AE2603">
        <v>-8.0287999999999897</v>
      </c>
      <c r="AF2603">
        <v>-8.0061379311746492</v>
      </c>
      <c r="AG2603">
        <v>-1.123746971488</v>
      </c>
      <c r="AH2603">
        <v>9.9903735422661093</v>
      </c>
      <c r="AI2603">
        <v>95.0162868728967</v>
      </c>
      <c r="AJ2603">
        <v>128.70817104477001</v>
      </c>
      <c r="AK2603">
        <v>12.851794246055</v>
      </c>
      <c r="AL2603">
        <v>94.681160533330598</v>
      </c>
      <c r="AM2603">
        <v>110.923150334295</v>
      </c>
      <c r="AN2603">
        <v>1.0000000104512601</v>
      </c>
    </row>
    <row r="2604" spans="1:40" x14ac:dyDescent="0.25">
      <c r="A2604" t="str">
        <f>"20190303154517589"</f>
        <v>20190303154517589</v>
      </c>
      <c r="B2604" t="str">
        <f>"1551599117583586"</f>
        <v>1551599117583586</v>
      </c>
      <c r="C2604" t="s">
        <v>40</v>
      </c>
      <c r="D2604">
        <v>4.2630369999999997</v>
      </c>
      <c r="E2604">
        <v>0.384739</v>
      </c>
      <c r="F2604" t="s">
        <v>42</v>
      </c>
      <c r="G2604">
        <v>-491.05040000000002</v>
      </c>
      <c r="H2604">
        <v>1.039647</v>
      </c>
      <c r="I2604">
        <v>225.97489999999999</v>
      </c>
      <c r="J2604">
        <v>-491.78179999999998</v>
      </c>
      <c r="K2604">
        <v>1.123756</v>
      </c>
      <c r="L2604">
        <v>226.46420000000001</v>
      </c>
      <c r="M2604">
        <v>0.22779669999999999</v>
      </c>
      <c r="N2604">
        <v>-1.4039279999999999E-2</v>
      </c>
      <c r="O2604">
        <v>-0.97360760000000002</v>
      </c>
      <c r="P2604">
        <v>0.5588573</v>
      </c>
      <c r="Q2604">
        <v>-9.2253710000000003E-2</v>
      </c>
      <c r="R2604">
        <v>-0.82411650000000003</v>
      </c>
      <c r="S2604">
        <v>2.433014</v>
      </c>
      <c r="T2604">
        <v>-0.26590170000000002</v>
      </c>
      <c r="U2604">
        <v>-1.967773</v>
      </c>
      <c r="V2604">
        <v>-0.35592269999999998</v>
      </c>
      <c r="W2604">
        <v>-8.1360290000000002E-2</v>
      </c>
      <c r="X2604">
        <v>0.93096699999999999</v>
      </c>
      <c r="Y2604">
        <v>-0.61120659999999905</v>
      </c>
      <c r="Z2604">
        <v>7.6515760000000002E-2</v>
      </c>
      <c r="AA2604">
        <v>0.78776380000000001</v>
      </c>
      <c r="AB2604">
        <v>14</v>
      </c>
      <c r="AC2604">
        <v>0.73139999999995098</v>
      </c>
      <c r="AD2604">
        <v>-8.4108999999999906E-2</v>
      </c>
      <c r="AE2604">
        <v>-0.489300000000014</v>
      </c>
      <c r="AF2604">
        <v>-0.59525672982651101</v>
      </c>
      <c r="AG2604">
        <v>-8.4108999999999906E-2</v>
      </c>
      <c r="AH2604">
        <v>0.63723840081170602</v>
      </c>
      <c r="AI2604">
        <v>95.509366782830796</v>
      </c>
      <c r="AJ2604">
        <v>133.04912581047901</v>
      </c>
      <c r="AK2604">
        <v>0.87605803332531096</v>
      </c>
      <c r="AL2604">
        <v>94.666759478863696</v>
      </c>
      <c r="AM2604">
        <v>110.922607882211</v>
      </c>
      <c r="AN2604">
        <v>1.00000001012658</v>
      </c>
    </row>
    <row r="2605" spans="1:40" x14ac:dyDescent="0.25">
      <c r="A2605" t="str">
        <f>"20190303154517609"</f>
        <v>20190303154517609</v>
      </c>
      <c r="B2605" t="str">
        <f>"1551599117603106"</f>
        <v>1551599117603106</v>
      </c>
      <c r="C2605" t="s">
        <v>40</v>
      </c>
      <c r="D2605">
        <v>4.2588800000000004</v>
      </c>
      <c r="E2605">
        <v>0.38549820000000001</v>
      </c>
      <c r="F2605" t="s">
        <v>42</v>
      </c>
      <c r="G2605">
        <v>-491.02609999999999</v>
      </c>
      <c r="H2605">
        <v>1.0415730000000001</v>
      </c>
      <c r="I2605">
        <v>225.85730000000001</v>
      </c>
      <c r="J2605">
        <v>-491.7475</v>
      </c>
      <c r="K2605">
        <v>1.1237569999999999</v>
      </c>
      <c r="L2605">
        <v>226.34719999999999</v>
      </c>
      <c r="M2605">
        <v>0.2333635</v>
      </c>
      <c r="N2605">
        <v>-1.404088E-2</v>
      </c>
      <c r="O2605">
        <v>-0.97228840000000005</v>
      </c>
      <c r="P2605">
        <v>0.56346759999999996</v>
      </c>
      <c r="Q2605">
        <v>-9.1580149999999999E-2</v>
      </c>
      <c r="R2605">
        <v>-0.82104669999999902</v>
      </c>
      <c r="S2605">
        <v>2.4380489999999999</v>
      </c>
      <c r="T2605">
        <v>-0.2650093</v>
      </c>
      <c r="U2605">
        <v>-1.957306</v>
      </c>
      <c r="V2605">
        <v>-0.35580119999999998</v>
      </c>
      <c r="W2605">
        <v>-8.0682820000000002E-2</v>
      </c>
      <c r="X2605">
        <v>0.93107240000000002</v>
      </c>
      <c r="Y2605">
        <v>-0.60954560000000002</v>
      </c>
      <c r="Z2605">
        <v>7.6359670000000004E-2</v>
      </c>
      <c r="AA2605">
        <v>0.78906489999999996</v>
      </c>
      <c r="AB2605">
        <v>14</v>
      </c>
      <c r="AC2605">
        <v>0.72140000000001603</v>
      </c>
      <c r="AD2605">
        <v>-8.2183999999999993E-2</v>
      </c>
      <c r="AE2605">
        <v>-0.48989999999997702</v>
      </c>
      <c r="AF2605">
        <v>-0.58197263117512299</v>
      </c>
      <c r="AG2605">
        <v>-8.2183999999999993E-2</v>
      </c>
      <c r="AH2605">
        <v>0.63905968089071996</v>
      </c>
      <c r="AI2605">
        <v>95.4315019359193</v>
      </c>
      <c r="AJ2605">
        <v>132.323193739077</v>
      </c>
      <c r="AK2605">
        <v>0.86824168814509595</v>
      </c>
      <c r="AL2605">
        <v>94.627815259858394</v>
      </c>
      <c r="AM2605">
        <v>110.913920576957</v>
      </c>
      <c r="AN2605">
        <v>1.0000000127031701</v>
      </c>
    </row>
    <row r="2606" spans="1:40" x14ac:dyDescent="0.25">
      <c r="A2606" t="str">
        <f>"20190303154517632"</f>
        <v>20190303154517632</v>
      </c>
      <c r="B2606" t="str">
        <f>"1551599117623602"</f>
        <v>1551599117623602</v>
      </c>
      <c r="C2606" t="s">
        <v>40</v>
      </c>
      <c r="D2606">
        <v>4.2702239999999998</v>
      </c>
      <c r="E2606">
        <v>0.38606750000000001</v>
      </c>
      <c r="F2606" t="s">
        <v>42</v>
      </c>
      <c r="G2606">
        <v>-490.99059999999997</v>
      </c>
      <c r="H2606">
        <v>1.0419719999999999</v>
      </c>
      <c r="I2606">
        <v>225.744</v>
      </c>
      <c r="J2606">
        <v>-491.70780000000002</v>
      </c>
      <c r="K2606">
        <v>1.1237520000000001</v>
      </c>
      <c r="L2606">
        <v>226.2157</v>
      </c>
      <c r="M2606">
        <v>0.2396779</v>
      </c>
      <c r="N2606">
        <v>-1.4042270000000001E-2</v>
      </c>
      <c r="O2606">
        <v>-0.97075100000000003</v>
      </c>
      <c r="P2606">
        <v>0.5684536</v>
      </c>
      <c r="Q2606">
        <v>-9.1662649999999998E-2</v>
      </c>
      <c r="R2606">
        <v>-0.81759329999999997</v>
      </c>
      <c r="S2606">
        <v>2.4437259999999998</v>
      </c>
      <c r="T2606">
        <v>-0.26403490000000002</v>
      </c>
      <c r="U2606">
        <v>-1.947327</v>
      </c>
      <c r="V2606">
        <v>-0.3554176</v>
      </c>
      <c r="W2606">
        <v>-8.0759910000000004E-2</v>
      </c>
      <c r="X2606">
        <v>0.93121220000000005</v>
      </c>
      <c r="Y2606">
        <v>-0.60727819999999899</v>
      </c>
      <c r="Z2606">
        <v>7.6150399999999993E-2</v>
      </c>
      <c r="AA2606">
        <v>0.79083139999999996</v>
      </c>
      <c r="AB2606">
        <v>14</v>
      </c>
      <c r="AC2606">
        <v>0.71720000000004802</v>
      </c>
      <c r="AD2606">
        <v>-8.1780000000000103E-2</v>
      </c>
      <c r="AE2606">
        <v>-0.47169999999996998</v>
      </c>
      <c r="AF2606">
        <v>-0.57797821299293095</v>
      </c>
      <c r="AG2606">
        <v>-8.1780000000000103E-2</v>
      </c>
      <c r="AH2606">
        <v>0.62419700542865697</v>
      </c>
      <c r="AI2606">
        <v>95.491155056778297</v>
      </c>
      <c r="AJ2606">
        <v>132.79829252576999</v>
      </c>
      <c r="AK2606">
        <v>0.85461610368668195</v>
      </c>
      <c r="AL2606">
        <v>94.632246723235099</v>
      </c>
      <c r="AM2606">
        <v>110.890453995219</v>
      </c>
      <c r="AN2606">
        <v>0.99999999744090395</v>
      </c>
    </row>
    <row r="2607" spans="1:40" x14ac:dyDescent="0.25">
      <c r="A2607" t="str">
        <f>"20190303154517653"</f>
        <v>20190303154517653</v>
      </c>
      <c r="B2607" t="str">
        <f>"1551599117643122"</f>
        <v>1551599117643122</v>
      </c>
      <c r="C2607" t="s">
        <v>40</v>
      </c>
      <c r="D2607">
        <v>4.3026309999999999</v>
      </c>
      <c r="E2607">
        <v>0.38650859999999998</v>
      </c>
      <c r="F2607" t="s">
        <v>42</v>
      </c>
      <c r="G2607">
        <v>-490.9624</v>
      </c>
      <c r="H2607">
        <v>1.042932</v>
      </c>
      <c r="I2607">
        <v>225.62729999999999</v>
      </c>
      <c r="J2607">
        <v>-491.6694</v>
      </c>
      <c r="K2607">
        <v>1.12375</v>
      </c>
      <c r="L2607">
        <v>226.0909</v>
      </c>
      <c r="M2607">
        <v>0.2457327</v>
      </c>
      <c r="N2607">
        <v>-1.404352E-2</v>
      </c>
      <c r="O2607">
        <v>-0.96923599999999999</v>
      </c>
      <c r="P2607">
        <v>0.5726928</v>
      </c>
      <c r="Q2607">
        <v>-9.3096189999999995E-2</v>
      </c>
      <c r="R2607">
        <v>-0.81446669999999999</v>
      </c>
      <c r="S2607">
        <v>2.4518430000000002</v>
      </c>
      <c r="T2607">
        <v>-0.2657909</v>
      </c>
      <c r="U2607">
        <v>-1.934814</v>
      </c>
      <c r="V2607">
        <v>-0.35447410000000001</v>
      </c>
      <c r="W2607">
        <v>-8.2186099999999998E-2</v>
      </c>
      <c r="X2607">
        <v>0.93144700000000002</v>
      </c>
      <c r="Y2607">
        <v>-0.60604329999999995</v>
      </c>
      <c r="Z2607">
        <v>7.685053E-2</v>
      </c>
      <c r="AA2607">
        <v>0.79171049999999998</v>
      </c>
      <c r="AB2607">
        <v>14</v>
      </c>
      <c r="AC2607">
        <v>0.70699999999999297</v>
      </c>
      <c r="AD2607">
        <v>-8.0818000000000001E-2</v>
      </c>
      <c r="AE2607">
        <v>-0.463600000000013</v>
      </c>
      <c r="AF2607">
        <v>-0.56621047363875499</v>
      </c>
      <c r="AG2607">
        <v>-8.0818000000000001E-2</v>
      </c>
      <c r="AH2607">
        <v>0.61748964261225403</v>
      </c>
      <c r="AI2607">
        <v>95.510045206793293</v>
      </c>
      <c r="AJ2607">
        <v>132.51943587314099</v>
      </c>
      <c r="AK2607">
        <v>0.84167648673087703</v>
      </c>
      <c r="AL2607">
        <v>94.714234051797007</v>
      </c>
      <c r="AM2607">
        <v>110.83496417511699</v>
      </c>
      <c r="AN2607">
        <v>0.99999997820650899</v>
      </c>
    </row>
    <row r="2608" spans="1:40" x14ac:dyDescent="0.25">
      <c r="A2608" t="str">
        <f>"20190303154517678"</f>
        <v>20190303154517678</v>
      </c>
      <c r="B2608" t="str">
        <f>"1551599117673377"</f>
        <v>1551599117673377</v>
      </c>
      <c r="C2608" t="s">
        <v>40</v>
      </c>
      <c r="D2608">
        <v>4.3033599999999996</v>
      </c>
      <c r="E2608">
        <v>0.3870634</v>
      </c>
      <c r="F2608" t="s">
        <v>42</v>
      </c>
      <c r="G2608">
        <v>-490.93020000000001</v>
      </c>
      <c r="H2608">
        <v>1.042343</v>
      </c>
      <c r="I2608">
        <v>225.5128</v>
      </c>
      <c r="J2608">
        <v>-491.62540000000001</v>
      </c>
      <c r="K2608">
        <v>1.123748</v>
      </c>
      <c r="L2608">
        <v>225.95150000000001</v>
      </c>
      <c r="M2608">
        <v>0.25256620000000002</v>
      </c>
      <c r="N2608">
        <v>-1.4045169999999999E-2</v>
      </c>
      <c r="O2608">
        <v>-0.9674777</v>
      </c>
      <c r="P2608">
        <v>0.57718349999999996</v>
      </c>
      <c r="Q2608">
        <v>-9.4770419999999994E-2</v>
      </c>
      <c r="R2608">
        <v>-0.8110967</v>
      </c>
      <c r="S2608">
        <v>2.4589539999999999</v>
      </c>
      <c r="T2608">
        <v>-0.27087040000000001</v>
      </c>
      <c r="U2608">
        <v>-1.9234309999999999</v>
      </c>
      <c r="V2608">
        <v>-0.3530855</v>
      </c>
      <c r="W2608">
        <v>-8.3851380000000003E-2</v>
      </c>
      <c r="X2608">
        <v>0.93182589999999998</v>
      </c>
      <c r="Y2608">
        <v>-0.60370699999999999</v>
      </c>
      <c r="Z2608">
        <v>7.8650709999999999E-2</v>
      </c>
      <c r="AA2608">
        <v>0.793317099999999</v>
      </c>
      <c r="AB2608">
        <v>14</v>
      </c>
      <c r="AC2608">
        <v>0.69519999999999904</v>
      </c>
      <c r="AD2608">
        <v>-8.1404999999999894E-2</v>
      </c>
      <c r="AE2608">
        <v>-0.43870000000001103</v>
      </c>
      <c r="AF2608">
        <v>-0.55638894228139202</v>
      </c>
      <c r="AG2608">
        <v>-8.1404999999999894E-2</v>
      </c>
      <c r="AH2608">
        <v>0.59424823339305799</v>
      </c>
      <c r="AI2608">
        <v>95.710498052057602</v>
      </c>
      <c r="AJ2608">
        <v>133.11548299859601</v>
      </c>
      <c r="AK2608">
        <v>0.81812370214337204</v>
      </c>
      <c r="AL2608">
        <v>94.809978149166199</v>
      </c>
      <c r="AM2608">
        <v>110.752594191949</v>
      </c>
      <c r="AN2608">
        <v>0.99999996607448105</v>
      </c>
    </row>
    <row r="2609" spans="1:40" x14ac:dyDescent="0.25">
      <c r="A2609" t="str">
        <f>"20190303154517697"</f>
        <v>20190303154517697</v>
      </c>
      <c r="B2609" t="str">
        <f>"1551599117693875"</f>
        <v>1551599117693875</v>
      </c>
      <c r="C2609" t="s">
        <v>40</v>
      </c>
      <c r="D2609">
        <v>4.319178</v>
      </c>
      <c r="E2609">
        <v>0.38742589999999999</v>
      </c>
      <c r="F2609" t="s">
        <v>42</v>
      </c>
      <c r="G2609">
        <v>-490.90660000000003</v>
      </c>
      <c r="H2609">
        <v>1.0426789999999999</v>
      </c>
      <c r="I2609">
        <v>225.39410000000001</v>
      </c>
      <c r="J2609">
        <v>-491.58879999999999</v>
      </c>
      <c r="K2609">
        <v>1.1237459999999999</v>
      </c>
      <c r="L2609">
        <v>225.83860000000001</v>
      </c>
      <c r="M2609">
        <v>0.25815860000000002</v>
      </c>
      <c r="N2609">
        <v>-1.404674E-2</v>
      </c>
      <c r="O2609">
        <v>-0.96600039999999998</v>
      </c>
      <c r="P2609">
        <v>0.58015919999999999</v>
      </c>
      <c r="Q2609">
        <v>-9.673901E-2</v>
      </c>
      <c r="R2609">
        <v>-0.80873779999999995</v>
      </c>
      <c r="S2609">
        <v>2.4657589999999998</v>
      </c>
      <c r="T2609">
        <v>-0.27802690000000002</v>
      </c>
      <c r="U2609">
        <v>-1.911575</v>
      </c>
      <c r="V2609">
        <v>-0.3511666</v>
      </c>
      <c r="W2609">
        <v>-8.5806209999999994E-2</v>
      </c>
      <c r="X2609">
        <v>0.93237289999999995</v>
      </c>
      <c r="Y2609">
        <v>-0.60237830000000003</v>
      </c>
      <c r="Z2609">
        <v>8.1155260000000007E-2</v>
      </c>
      <c r="AA2609">
        <v>0.79407450000000002</v>
      </c>
      <c r="AB2609">
        <v>14</v>
      </c>
      <c r="AC2609">
        <v>0.68219999999996594</v>
      </c>
      <c r="AD2609">
        <v>-8.1066999999999695E-2</v>
      </c>
      <c r="AE2609">
        <v>-0.444500000000005</v>
      </c>
      <c r="AF2609">
        <v>-0.53896511983570095</v>
      </c>
      <c r="AG2609">
        <v>-8.1066999999999695E-2</v>
      </c>
      <c r="AH2609">
        <v>0.59961892464437205</v>
      </c>
      <c r="AI2609">
        <v>95.741747160033</v>
      </c>
      <c r="AJ2609">
        <v>131.95066404241101</v>
      </c>
      <c r="AK2609">
        <v>0.81030741924295902</v>
      </c>
      <c r="AL2609">
        <v>94.922386903973205</v>
      </c>
      <c r="AM2609">
        <v>110.63825576852599</v>
      </c>
      <c r="AN2609">
        <v>0.99999995564226596</v>
      </c>
    </row>
    <row r="2610" spans="1:40" x14ac:dyDescent="0.25">
      <c r="A2610" t="str">
        <f>"20190303154517721"</f>
        <v>20190303154517721</v>
      </c>
      <c r="B2610" t="str">
        <f>"1551599117713394"</f>
        <v>1551599117713394</v>
      </c>
      <c r="C2610" t="s">
        <v>40</v>
      </c>
      <c r="D2610">
        <v>4.3159150000000004</v>
      </c>
      <c r="E2610">
        <v>0.38769700000000001</v>
      </c>
      <c r="F2610" t="s">
        <v>42</v>
      </c>
      <c r="G2610">
        <v>-490.86759999999998</v>
      </c>
      <c r="H2610">
        <v>1.040362</v>
      </c>
      <c r="I2610">
        <v>225.28319999999999</v>
      </c>
      <c r="J2610">
        <v>-491.54469999999998</v>
      </c>
      <c r="K2610">
        <v>1.12375</v>
      </c>
      <c r="L2610">
        <v>225.7054</v>
      </c>
      <c r="M2610">
        <v>0.26481339999999998</v>
      </c>
      <c r="N2610">
        <v>-1.4048450000000001E-2</v>
      </c>
      <c r="O2610">
        <v>-0.96419739999999998</v>
      </c>
      <c r="P2610">
        <v>0.58355489999999999</v>
      </c>
      <c r="Q2610">
        <v>-9.7790840000000004E-2</v>
      </c>
      <c r="R2610">
        <v>-0.80616409999999905</v>
      </c>
      <c r="S2610">
        <v>2.4703979999999999</v>
      </c>
      <c r="T2610">
        <v>-0.28573749999999998</v>
      </c>
      <c r="U2610">
        <v>-1.903168</v>
      </c>
      <c r="V2610">
        <v>-0.34868539999999998</v>
      </c>
      <c r="W2610">
        <v>-8.6837890000000001E-2</v>
      </c>
      <c r="X2610">
        <v>0.93320829999999999</v>
      </c>
      <c r="Y2610">
        <v>-0.59911530000000002</v>
      </c>
      <c r="Z2610">
        <v>8.380754E-2</v>
      </c>
      <c r="AA2610">
        <v>0.79626450000000004</v>
      </c>
      <c r="AB2610">
        <v>14</v>
      </c>
      <c r="AC2610">
        <v>0.67709999999999504</v>
      </c>
      <c r="AD2610">
        <v>-8.3388000000000004E-2</v>
      </c>
      <c r="AE2610">
        <v>-0.42220000000000302</v>
      </c>
      <c r="AF2610">
        <v>-0.53526164116965702</v>
      </c>
      <c r="AG2610">
        <v>-8.3388000000000004E-2</v>
      </c>
      <c r="AH2610">
        <v>0.58011176010838705</v>
      </c>
      <c r="AI2610">
        <v>96.030622603326805</v>
      </c>
      <c r="AJ2610">
        <v>132.697328213882</v>
      </c>
      <c r="AK2610">
        <v>0.79371798345992295</v>
      </c>
      <c r="AL2610">
        <v>94.981718922371201</v>
      </c>
      <c r="AM2610">
        <v>110.48777744825</v>
      </c>
      <c r="AN2610">
        <v>1.00000002925085</v>
      </c>
    </row>
    <row r="2611" spans="1:40" x14ac:dyDescent="0.25">
      <c r="A2611" t="str">
        <f>"20190303154517745"</f>
        <v>20190303154517745</v>
      </c>
      <c r="B2611" t="str">
        <f>"1551599117732914"</f>
        <v>1551599117732914</v>
      </c>
      <c r="C2611" t="s">
        <v>40</v>
      </c>
      <c r="D2611">
        <v>4.3483519999999896</v>
      </c>
      <c r="E2611">
        <v>0.3878955</v>
      </c>
      <c r="F2611" t="s">
        <v>42</v>
      </c>
      <c r="G2611">
        <v>-490.84030000000001</v>
      </c>
      <c r="H2611">
        <v>1.0411729999999999</v>
      </c>
      <c r="I2611">
        <v>225.16650000000001</v>
      </c>
      <c r="J2611">
        <v>-491.49950000000001</v>
      </c>
      <c r="K2611">
        <v>1.123734</v>
      </c>
      <c r="L2611">
        <v>225.57239999999999</v>
      </c>
      <c r="M2611">
        <v>0.27152589999999999</v>
      </c>
      <c r="N2611">
        <v>-1.404965E-2</v>
      </c>
      <c r="O2611">
        <v>-0.96232870000000004</v>
      </c>
      <c r="P2611">
        <v>0.58760939999999995</v>
      </c>
      <c r="Q2611">
        <v>-9.8639099999999993E-2</v>
      </c>
      <c r="R2611">
        <v>-0.80311009999999905</v>
      </c>
      <c r="S2611">
        <v>2.4764400000000002</v>
      </c>
      <c r="T2611">
        <v>-0.29019050000000002</v>
      </c>
      <c r="U2611">
        <v>-1.893494</v>
      </c>
      <c r="V2611">
        <v>-0.3469083</v>
      </c>
      <c r="W2611">
        <v>-8.7669620000000004E-2</v>
      </c>
      <c r="X2611">
        <v>0.93379270000000003</v>
      </c>
      <c r="Y2611">
        <v>-0.59633519999999995</v>
      </c>
      <c r="Z2611">
        <v>8.5364449999999995E-2</v>
      </c>
      <c r="AA2611">
        <v>0.79818369999999905</v>
      </c>
      <c r="AB2611">
        <v>14</v>
      </c>
      <c r="AC2611">
        <v>0.65919999999999801</v>
      </c>
      <c r="AD2611">
        <v>-8.2561000000000107E-2</v>
      </c>
      <c r="AE2611">
        <v>-0.405899999999974</v>
      </c>
      <c r="AF2611">
        <v>-0.51831122082229297</v>
      </c>
      <c r="AG2611">
        <v>-8.2561000000000107E-2</v>
      </c>
      <c r="AH2611">
        <v>0.56324896433898797</v>
      </c>
      <c r="AI2611">
        <v>96.156183780716503</v>
      </c>
      <c r="AJ2611">
        <v>132.62078615428001</v>
      </c>
      <c r="AK2611">
        <v>0.76987806578719897</v>
      </c>
      <c r="AL2611">
        <v>95.029555786922998</v>
      </c>
      <c r="AM2611">
        <v>110.380264016136</v>
      </c>
      <c r="AN2611">
        <v>1.00000006872655</v>
      </c>
    </row>
    <row r="2612" spans="1:40" x14ac:dyDescent="0.25">
      <c r="A2612" t="str">
        <f>"20190303154517768"</f>
        <v>20190303154517768</v>
      </c>
      <c r="B2612" t="str">
        <f>"1551599117763170"</f>
        <v>1551599117763170</v>
      </c>
      <c r="C2612" t="s">
        <v>40</v>
      </c>
      <c r="D2612">
        <v>4.3569120000000003</v>
      </c>
      <c r="E2612">
        <v>0.38814650000000001</v>
      </c>
      <c r="F2612" t="s">
        <v>42</v>
      </c>
      <c r="G2612">
        <v>-490.7097</v>
      </c>
      <c r="H2612">
        <v>1.0303949999999999</v>
      </c>
      <c r="I2612">
        <v>224.97389999999999</v>
      </c>
      <c r="J2612">
        <v>-491.45330000000001</v>
      </c>
      <c r="K2612">
        <v>1.123713</v>
      </c>
      <c r="L2612">
        <v>225.43969999999999</v>
      </c>
      <c r="M2612">
        <v>0.27826719999999999</v>
      </c>
      <c r="N2612">
        <v>-1.404965E-2</v>
      </c>
      <c r="O2612">
        <v>-0.9604009</v>
      </c>
      <c r="P2612">
        <v>0.59172749999999996</v>
      </c>
      <c r="Q2612">
        <v>-0.10062740000000001</v>
      </c>
      <c r="R2612">
        <v>-0.7998326</v>
      </c>
      <c r="S2612">
        <v>2.4844970000000002</v>
      </c>
      <c r="T2612">
        <v>-0.29346070000000002</v>
      </c>
      <c r="U2612">
        <v>-1.881607</v>
      </c>
      <c r="V2612">
        <v>-0.34521740000000001</v>
      </c>
      <c r="W2612">
        <v>-8.9637999999999995E-2</v>
      </c>
      <c r="X2612">
        <v>0.93423230000000002</v>
      </c>
      <c r="Y2612">
        <v>-0.59430569999999905</v>
      </c>
      <c r="Z2612">
        <v>8.6527209999999993E-2</v>
      </c>
      <c r="AA2612">
        <v>0.79957100000000003</v>
      </c>
      <c r="AB2612">
        <v>14</v>
      </c>
      <c r="AC2612">
        <v>0.74360000000001403</v>
      </c>
      <c r="AD2612">
        <v>-9.3317999999999804E-2</v>
      </c>
      <c r="AE2612">
        <v>-0.46580000000000099</v>
      </c>
      <c r="AF2612">
        <v>-0.57805673001917202</v>
      </c>
      <c r="AG2612">
        <v>-9.3317999999999804E-2</v>
      </c>
      <c r="AH2612">
        <v>0.64702056723154799</v>
      </c>
      <c r="AI2612">
        <v>96.138838523318498</v>
      </c>
      <c r="AJ2612">
        <v>131.77802301054399</v>
      </c>
      <c r="AK2612">
        <v>0.87263591873420598</v>
      </c>
      <c r="AL2612">
        <v>95.142781807268307</v>
      </c>
      <c r="AM2612">
        <v>110.28027316435799</v>
      </c>
      <c r="AN2612">
        <v>1.0000000073350199</v>
      </c>
    </row>
    <row r="2613" spans="1:40" x14ac:dyDescent="0.25">
      <c r="A2613" t="str">
        <f>"20190303154517791"</f>
        <v>20190303154517791</v>
      </c>
      <c r="B2613" t="str">
        <f>"1551599117783666"</f>
        <v>1551599117783666</v>
      </c>
      <c r="C2613" t="s">
        <v>40</v>
      </c>
      <c r="D2613">
        <v>4.334263</v>
      </c>
      <c r="E2613">
        <v>0.38842179999999998</v>
      </c>
      <c r="F2613" t="s">
        <v>42</v>
      </c>
      <c r="G2613">
        <v>-490.67939999999999</v>
      </c>
      <c r="H2613">
        <v>1.0305690000000001</v>
      </c>
      <c r="I2613">
        <v>224.85939999999999</v>
      </c>
      <c r="J2613">
        <v>-491.40769999999998</v>
      </c>
      <c r="K2613">
        <v>1.1236820000000001</v>
      </c>
      <c r="L2613">
        <v>225.3117</v>
      </c>
      <c r="M2613">
        <v>0.28480759999999899</v>
      </c>
      <c r="N2613">
        <v>-1.404823E-2</v>
      </c>
      <c r="O2613">
        <v>-0.95848169999999999</v>
      </c>
      <c r="P2613">
        <v>0.59598329999999999</v>
      </c>
      <c r="Q2613">
        <v>-0.1027636</v>
      </c>
      <c r="R2613">
        <v>-0.79639399999999905</v>
      </c>
      <c r="S2613">
        <v>2.4925540000000002</v>
      </c>
      <c r="T2613">
        <v>-0.299958</v>
      </c>
      <c r="U2613">
        <v>-1.868973</v>
      </c>
      <c r="V2613">
        <v>-0.3438988</v>
      </c>
      <c r="W2613">
        <v>-9.1751730000000004E-2</v>
      </c>
      <c r="X2613">
        <v>0.93451340000000005</v>
      </c>
      <c r="Y2613">
        <v>-0.59250209999999903</v>
      </c>
      <c r="Z2613">
        <v>8.8777709999999996E-2</v>
      </c>
      <c r="AA2613">
        <v>0.80066219999999999</v>
      </c>
      <c r="AB2613">
        <v>14</v>
      </c>
      <c r="AC2613">
        <v>0.72829999999998996</v>
      </c>
      <c r="AD2613">
        <v>-9.3113000000000001E-2</v>
      </c>
      <c r="AE2613">
        <v>-0.45230000000000797</v>
      </c>
      <c r="AF2613">
        <v>-0.56266277270195497</v>
      </c>
      <c r="AG2613">
        <v>-9.3113000000000001E-2</v>
      </c>
      <c r="AH2613">
        <v>0.63353672572457698</v>
      </c>
      <c r="AI2613">
        <v>96.271108077435102</v>
      </c>
      <c r="AJ2613">
        <v>131.609230635313</v>
      </c>
      <c r="AK2613">
        <v>0.85242489956328205</v>
      </c>
      <c r="AL2613">
        <v>95.264390703475797</v>
      </c>
      <c r="AM2613">
        <v>110.203500087343</v>
      </c>
      <c r="AN2613">
        <v>1.00000002968949</v>
      </c>
    </row>
    <row r="2614" spans="1:40" x14ac:dyDescent="0.25">
      <c r="A2614" t="str">
        <f>"20190303154517810"</f>
        <v>20190303154517810</v>
      </c>
      <c r="B2614" t="str">
        <f>"1551599117803186"</f>
        <v>1551599117803186</v>
      </c>
      <c r="C2614" t="s">
        <v>40</v>
      </c>
      <c r="D2614">
        <v>4.3627580000000004</v>
      </c>
      <c r="E2614">
        <v>0.3886095</v>
      </c>
      <c r="F2614" t="s">
        <v>42</v>
      </c>
      <c r="G2614">
        <v>-490.64640000000003</v>
      </c>
      <c r="H2614">
        <v>1.0303279999999999</v>
      </c>
      <c r="I2614">
        <v>224.74639999999999</v>
      </c>
      <c r="J2614">
        <v>-491.36739999999998</v>
      </c>
      <c r="K2614">
        <v>1.1236520000000001</v>
      </c>
      <c r="L2614">
        <v>225.20089999999999</v>
      </c>
      <c r="M2614">
        <v>0.29048439999999998</v>
      </c>
      <c r="N2614">
        <v>-1.404569E-2</v>
      </c>
      <c r="O2614">
        <v>-0.95677670000000004</v>
      </c>
      <c r="P2614">
        <v>0.60043290000000005</v>
      </c>
      <c r="Q2614">
        <v>-0.10468379999999999</v>
      </c>
      <c r="R2614">
        <v>-0.79279359999999999</v>
      </c>
      <c r="S2614">
        <v>2.5005489999999999</v>
      </c>
      <c r="T2614">
        <v>-0.30655789999999999</v>
      </c>
      <c r="U2614">
        <v>-1.8561399999999999</v>
      </c>
      <c r="V2614">
        <v>-0.34365699999999999</v>
      </c>
      <c r="W2614">
        <v>-9.3657779999999996E-2</v>
      </c>
      <c r="X2614">
        <v>0.9344133</v>
      </c>
      <c r="Y2614">
        <v>-0.59143610000000002</v>
      </c>
      <c r="Z2614">
        <v>9.1067770000000006E-2</v>
      </c>
      <c r="AA2614">
        <v>0.80119289999999999</v>
      </c>
      <c r="AB2614">
        <v>14</v>
      </c>
      <c r="AC2614">
        <v>0.72099999999994602</v>
      </c>
      <c r="AD2614">
        <v>-9.3323999999999893E-2</v>
      </c>
      <c r="AE2614">
        <v>-0.45449999999999502</v>
      </c>
      <c r="AF2614">
        <v>-0.55125650159916295</v>
      </c>
      <c r="AG2614">
        <v>-9.3323999999999893E-2</v>
      </c>
      <c r="AH2614">
        <v>0.63672373344464805</v>
      </c>
      <c r="AI2614">
        <v>96.3231369364145</v>
      </c>
      <c r="AJ2614">
        <v>130.88504158254901</v>
      </c>
      <c r="AK2614">
        <v>0.84735483256014998</v>
      </c>
      <c r="AL2614">
        <v>95.374071476749705</v>
      </c>
      <c r="AM2614">
        <v>110.192430448785</v>
      </c>
      <c r="AN2614">
        <v>1.0000000643102001</v>
      </c>
    </row>
    <row r="2615" spans="1:40" x14ac:dyDescent="0.25">
      <c r="A2615" t="str">
        <f>"20190303154517834"</f>
        <v>20190303154517834</v>
      </c>
      <c r="B2615" t="str">
        <f>"1551599117823683"</f>
        <v>1551599117823683</v>
      </c>
      <c r="C2615" t="s">
        <v>40</v>
      </c>
      <c r="D2615">
        <v>4.3833599999999997</v>
      </c>
      <c r="E2615">
        <v>0.38872119999999999</v>
      </c>
      <c r="F2615" t="s">
        <v>42</v>
      </c>
      <c r="G2615">
        <v>-490.6026</v>
      </c>
      <c r="H2615">
        <v>1.0284580000000001</v>
      </c>
      <c r="I2615">
        <v>224.6395</v>
      </c>
      <c r="J2615">
        <v>-491.31920000000002</v>
      </c>
      <c r="K2615">
        <v>1.1236269999999999</v>
      </c>
      <c r="L2615">
        <v>225.07079999999999</v>
      </c>
      <c r="M2615">
        <v>0.29715510000000001</v>
      </c>
      <c r="N2615">
        <v>-1.4041049999999999E-2</v>
      </c>
      <c r="O2615">
        <v>-0.95472599999999996</v>
      </c>
      <c r="P2615">
        <v>0.606437</v>
      </c>
      <c r="Q2615">
        <v>-0.1049523</v>
      </c>
      <c r="R2615">
        <v>-0.78817469999999901</v>
      </c>
      <c r="S2615">
        <v>2.5094599999999998</v>
      </c>
      <c r="T2615">
        <v>-0.31242309999999901</v>
      </c>
      <c r="U2615">
        <v>-1.8423160000000001</v>
      </c>
      <c r="V2615">
        <v>-0.34424749999999998</v>
      </c>
      <c r="W2615">
        <v>-9.3912770000000007E-2</v>
      </c>
      <c r="X2615">
        <v>0.93417019999999995</v>
      </c>
      <c r="Y2615">
        <v>-0.58988589999999996</v>
      </c>
      <c r="Z2615">
        <v>9.3102770000000001E-2</v>
      </c>
      <c r="AA2615">
        <v>0.80210130000000002</v>
      </c>
      <c r="AB2615">
        <v>14</v>
      </c>
      <c r="AC2615">
        <v>0.71660000000002799</v>
      </c>
      <c r="AD2615">
        <v>-9.5169000000000004E-2</v>
      </c>
      <c r="AE2615">
        <v>-0.43129999999999302</v>
      </c>
      <c r="AF2615">
        <v>-0.54894112011564</v>
      </c>
      <c r="AG2615">
        <v>-9.5169000000000004E-2</v>
      </c>
      <c r="AH2615">
        <v>0.61679043557072399</v>
      </c>
      <c r="AI2615">
        <v>96.574882943156794</v>
      </c>
      <c r="AJ2615">
        <v>131.66895989785601</v>
      </c>
      <c r="AK2615">
        <v>0.83115818790789597</v>
      </c>
      <c r="AL2615">
        <v>95.388746590272106</v>
      </c>
      <c r="AM2615">
        <v>110.229154276993</v>
      </c>
      <c r="AN2615">
        <v>0.99999995609668002</v>
      </c>
    </row>
    <row r="2616" spans="1:40" x14ac:dyDescent="0.25">
      <c r="A2616" t="str">
        <f>"20190303154517854"</f>
        <v>20190303154517854</v>
      </c>
      <c r="B2616" t="str">
        <f>"1551599117843202"</f>
        <v>1551599117843202</v>
      </c>
      <c r="C2616" t="s">
        <v>40</v>
      </c>
      <c r="D2616">
        <v>4.3900199999999998</v>
      </c>
      <c r="E2616">
        <v>0.38870450000000001</v>
      </c>
      <c r="F2616" t="s">
        <v>42</v>
      </c>
      <c r="G2616">
        <v>-490.56779999999998</v>
      </c>
      <c r="H2616">
        <v>1.0305409999999999</v>
      </c>
      <c r="I2616">
        <v>224.52770000000001</v>
      </c>
      <c r="J2616">
        <v>-491.27670000000001</v>
      </c>
      <c r="K2616">
        <v>1.12361</v>
      </c>
      <c r="L2616">
        <v>224.9588</v>
      </c>
      <c r="M2616">
        <v>0.30290119999999998</v>
      </c>
      <c r="N2616">
        <v>-1.4035870000000001E-2</v>
      </c>
      <c r="O2616">
        <v>-0.95291859999999995</v>
      </c>
      <c r="P2616">
        <v>0.61256719999999998</v>
      </c>
      <c r="Q2616">
        <v>-0.1022511</v>
      </c>
      <c r="R2616">
        <v>-0.7837769</v>
      </c>
      <c r="S2616">
        <v>2.5230100000000002</v>
      </c>
      <c r="T2616">
        <v>-0.3125445</v>
      </c>
      <c r="U2616">
        <v>-1.823456</v>
      </c>
      <c r="V2616">
        <v>-0.34581859999999998</v>
      </c>
      <c r="W2616">
        <v>-9.1205990000000001E-2</v>
      </c>
      <c r="X2616">
        <v>0.93385810000000002</v>
      </c>
      <c r="Y2616">
        <v>-0.59100640000000004</v>
      </c>
      <c r="Z2616">
        <v>9.3239450000000001E-2</v>
      </c>
      <c r="AA2616">
        <v>0.80126019999999998</v>
      </c>
      <c r="AB2616">
        <v>14</v>
      </c>
      <c r="AC2616">
        <v>0.70890000000002795</v>
      </c>
      <c r="AD2616">
        <v>-9.3068999999999999E-2</v>
      </c>
      <c r="AE2616">
        <v>-0.43109999999998599</v>
      </c>
      <c r="AF2616">
        <v>-0.538224594046813</v>
      </c>
      <c r="AG2616">
        <v>-9.3068999999999999E-2</v>
      </c>
      <c r="AH2616">
        <v>0.61781760994199297</v>
      </c>
      <c r="AI2616">
        <v>96.480145645944802</v>
      </c>
      <c r="AJ2616">
        <v>131.06142530605001</v>
      </c>
      <c r="AK2616">
        <v>0.82464910813769299</v>
      </c>
      <c r="AL2616">
        <v>95.232990632789097</v>
      </c>
      <c r="AM2616">
        <v>110.320181753264</v>
      </c>
      <c r="AN2616">
        <v>0.999999993826725</v>
      </c>
    </row>
    <row r="2617" spans="1:40" x14ac:dyDescent="0.25">
      <c r="A2617" t="str">
        <f>"20190303154517879"</f>
        <v>20190303154517879</v>
      </c>
      <c r="B2617" t="str">
        <f>"1551599117873459"</f>
        <v>1551599117873459</v>
      </c>
      <c r="C2617" t="s">
        <v>40</v>
      </c>
      <c r="D2617">
        <v>4.3943329999999996</v>
      </c>
      <c r="E2617">
        <v>0.38876899999999998</v>
      </c>
      <c r="F2617" t="s">
        <v>42</v>
      </c>
      <c r="G2617">
        <v>-490.5222</v>
      </c>
      <c r="H2617">
        <v>1.0332600000000001</v>
      </c>
      <c r="I2617">
        <v>224.4221</v>
      </c>
      <c r="J2617">
        <v>-491.2251</v>
      </c>
      <c r="K2617">
        <v>1.12358799999999</v>
      </c>
      <c r="L2617">
        <v>224.82470000000001</v>
      </c>
      <c r="M2617">
        <v>0.3097683</v>
      </c>
      <c r="N2617">
        <v>-1.402867E-2</v>
      </c>
      <c r="O2617">
        <v>-0.95070860000000001</v>
      </c>
      <c r="P2617">
        <v>0.62012979999999995</v>
      </c>
      <c r="Q2617">
        <v>-9.9910890000000002E-2</v>
      </c>
      <c r="R2617">
        <v>-0.77811140000000001</v>
      </c>
      <c r="S2617">
        <v>2.537445</v>
      </c>
      <c r="T2617">
        <v>-0.30386030000000003</v>
      </c>
      <c r="U2617">
        <v>-1.8049010000000001</v>
      </c>
      <c r="V2617">
        <v>-0.34804869999999999</v>
      </c>
      <c r="W2617">
        <v>-8.8865529999999998E-2</v>
      </c>
      <c r="X2617">
        <v>0.9332551</v>
      </c>
      <c r="Y2617">
        <v>-0.59147419999999995</v>
      </c>
      <c r="Z2617">
        <v>9.0393470000000004E-2</v>
      </c>
      <c r="AA2617">
        <v>0.80124119999999999</v>
      </c>
      <c r="AB2617">
        <v>13</v>
      </c>
      <c r="AC2617">
        <v>0.70289999999999897</v>
      </c>
      <c r="AD2617">
        <v>-9.03279999999997E-2</v>
      </c>
      <c r="AE2617">
        <v>-0.40260000000000601</v>
      </c>
      <c r="AF2617">
        <v>-0.53691738671849298</v>
      </c>
      <c r="AG2617">
        <v>-9.03279999999997E-2</v>
      </c>
      <c r="AH2617">
        <v>0.593174508274118</v>
      </c>
      <c r="AI2617">
        <v>96.441303362669402</v>
      </c>
      <c r="AJ2617">
        <v>132.150110538625</v>
      </c>
      <c r="AK2617">
        <v>0.80516794832560101</v>
      </c>
      <c r="AL2617">
        <v>95.098345073341207</v>
      </c>
      <c r="AM2617">
        <v>110.452526722418</v>
      </c>
      <c r="AN2617">
        <v>1.0000000308349399</v>
      </c>
    </row>
    <row r="2618" spans="1:40" x14ac:dyDescent="0.25">
      <c r="A2618" t="str">
        <f>"20190303154517899"</f>
        <v>20190303154517899</v>
      </c>
      <c r="B2618" t="str">
        <f>"1551599117892978"</f>
        <v>1551599117892978</v>
      </c>
      <c r="C2618" t="s">
        <v>40</v>
      </c>
      <c r="D2618">
        <v>4.4275159999999998</v>
      </c>
      <c r="E2618">
        <v>0.3888913</v>
      </c>
      <c r="F2618" t="s">
        <v>42</v>
      </c>
      <c r="G2618">
        <v>-490.48779999999999</v>
      </c>
      <c r="H2618">
        <v>1.037981</v>
      </c>
      <c r="I2618">
        <v>224.31020000000001</v>
      </c>
      <c r="J2618">
        <v>-491.17930000000001</v>
      </c>
      <c r="K2618">
        <v>1.1235710000000001</v>
      </c>
      <c r="L2618">
        <v>224.70830000000001</v>
      </c>
      <c r="M2618">
        <v>0.315716099999999</v>
      </c>
      <c r="N2618">
        <v>-1.4021840000000001E-2</v>
      </c>
      <c r="O2618">
        <v>-0.94875019999999999</v>
      </c>
      <c r="P2618">
        <v>0.62659109999999996</v>
      </c>
      <c r="Q2618">
        <v>-9.8861069999999995E-2</v>
      </c>
      <c r="R2618">
        <v>-0.77305279999999998</v>
      </c>
      <c r="S2618">
        <v>2.5544739999999999</v>
      </c>
      <c r="T2618">
        <v>-0.29646609999999901</v>
      </c>
      <c r="U2618">
        <v>-1.781647</v>
      </c>
      <c r="V2618">
        <v>-0.34994520000000001</v>
      </c>
      <c r="W2618">
        <v>-8.7819110000000006E-2</v>
      </c>
      <c r="X2618">
        <v>0.93264469999999999</v>
      </c>
      <c r="Y2618">
        <v>-0.59403349999999999</v>
      </c>
      <c r="Z2618">
        <v>8.8026960000000001E-2</v>
      </c>
      <c r="AA2618">
        <v>0.79960949999999997</v>
      </c>
      <c r="AB2618">
        <v>13</v>
      </c>
      <c r="AC2618">
        <v>0.69150000000001899</v>
      </c>
      <c r="AD2618">
        <v>-8.5589999999999805E-2</v>
      </c>
      <c r="AE2618">
        <v>-0.39809999999999901</v>
      </c>
      <c r="AF2618">
        <v>-0.52439238077521699</v>
      </c>
      <c r="AG2618">
        <v>-8.5589999999999805E-2</v>
      </c>
      <c r="AH2618">
        <v>0.58929300589429401</v>
      </c>
      <c r="AI2618">
        <v>96.192503970151506</v>
      </c>
      <c r="AJ2618">
        <v>131.66482915095401</v>
      </c>
      <c r="AK2618">
        <v>0.79346031023046903</v>
      </c>
      <c r="AL2618">
        <v>95.038154504850198</v>
      </c>
      <c r="AM2618">
        <v>110.567001506097</v>
      </c>
      <c r="AN2618">
        <v>0.99999998776116095</v>
      </c>
    </row>
    <row r="2619" spans="1:40" x14ac:dyDescent="0.25">
      <c r="A2619" t="str">
        <f>"20190303154517923"</f>
        <v>20190303154517923</v>
      </c>
      <c r="B2619" t="str">
        <f>"1551599117913474"</f>
        <v>1551599117913474</v>
      </c>
      <c r="C2619" t="s">
        <v>40</v>
      </c>
      <c r="D2619">
        <v>4.4134630000000001</v>
      </c>
      <c r="E2619">
        <v>0.38904549999999999</v>
      </c>
      <c r="F2619" t="s">
        <v>42</v>
      </c>
      <c r="G2619">
        <v>-490.44389999999999</v>
      </c>
      <c r="H2619">
        <v>1.0401320000000001</v>
      </c>
      <c r="I2619">
        <v>224.2039</v>
      </c>
      <c r="J2619">
        <v>-491.13119999999998</v>
      </c>
      <c r="K2619">
        <v>1.12355</v>
      </c>
      <c r="L2619">
        <v>224.5882</v>
      </c>
      <c r="M2619">
        <v>0.32185130000000001</v>
      </c>
      <c r="N2619">
        <v>-1.401442E-2</v>
      </c>
      <c r="O2619">
        <v>-0.94668660000000004</v>
      </c>
      <c r="P2619">
        <v>0.6318684</v>
      </c>
      <c r="Q2619">
        <v>-9.8848220000000001E-2</v>
      </c>
      <c r="R2619">
        <v>-0.76874659999999995</v>
      </c>
      <c r="S2619">
        <v>2.56839</v>
      </c>
      <c r="T2619">
        <v>-0.29139340000000002</v>
      </c>
      <c r="U2619">
        <v>-1.7615970000000001</v>
      </c>
      <c r="V2619">
        <v>-0.35029629999999901</v>
      </c>
      <c r="W2619">
        <v>-8.7796940000000004E-2</v>
      </c>
      <c r="X2619">
        <v>0.93251499999999998</v>
      </c>
      <c r="Y2619">
        <v>-0.59522779999999997</v>
      </c>
      <c r="Z2619">
        <v>8.6418129999999996E-2</v>
      </c>
      <c r="AA2619">
        <v>0.79889659999999996</v>
      </c>
      <c r="AB2619">
        <v>13</v>
      </c>
      <c r="AC2619">
        <v>0.68729999999999303</v>
      </c>
      <c r="AD2619">
        <v>-8.3417999999999895E-2</v>
      </c>
      <c r="AE2619">
        <v>-0.38429999999999598</v>
      </c>
      <c r="AF2619">
        <v>-0.521173212758265</v>
      </c>
      <c r="AG2619">
        <v>-8.3417999999999895E-2</v>
      </c>
      <c r="AH2619">
        <v>0.57858443842107599</v>
      </c>
      <c r="AI2619">
        <v>96.114435832296394</v>
      </c>
      <c r="AJ2619">
        <v>132.01167099737199</v>
      </c>
      <c r="AK2619">
        <v>0.78316028551236205</v>
      </c>
      <c r="AL2619">
        <v>95.036879205263702</v>
      </c>
      <c r="AM2619">
        <v>110.58852962044401</v>
      </c>
      <c r="AN2619">
        <v>1.00000001284602</v>
      </c>
    </row>
    <row r="2620" spans="1:40" x14ac:dyDescent="0.25">
      <c r="A2620" t="str">
        <f>"20190303154517945"</f>
        <v>20190303154517945</v>
      </c>
      <c r="B2620" t="str">
        <f>"1551599117933971"</f>
        <v>1551599117933971</v>
      </c>
      <c r="C2620" t="s">
        <v>40</v>
      </c>
      <c r="D2620">
        <v>4.4195310000000001</v>
      </c>
      <c r="E2620">
        <v>0.38923649999999999</v>
      </c>
      <c r="F2620" t="s">
        <v>42</v>
      </c>
      <c r="G2620">
        <v>-490.3</v>
      </c>
      <c r="H2620">
        <v>1.0302039999999999</v>
      </c>
      <c r="I2620">
        <v>224.02600000000001</v>
      </c>
      <c r="J2620">
        <v>-491.0804</v>
      </c>
      <c r="K2620">
        <v>1.1235360000000001</v>
      </c>
      <c r="L2620">
        <v>224.46379999999999</v>
      </c>
      <c r="M2620">
        <v>0.32819739999999997</v>
      </c>
      <c r="N2620">
        <v>-1.400673E-2</v>
      </c>
      <c r="O2620">
        <v>-0.9445055</v>
      </c>
      <c r="P2620">
        <v>0.63687159999999998</v>
      </c>
      <c r="Q2620">
        <v>-9.8940760000000003E-2</v>
      </c>
      <c r="R2620">
        <v>-0.76459489999999997</v>
      </c>
      <c r="S2620">
        <v>2.5796199999999998</v>
      </c>
      <c r="T2620">
        <v>-0.28974260000000002</v>
      </c>
      <c r="U2620">
        <v>-1.7449490000000001</v>
      </c>
      <c r="V2620">
        <v>-0.35013149999999998</v>
      </c>
      <c r="W2620">
        <v>-8.7877549999999999E-2</v>
      </c>
      <c r="X2620">
        <v>0.93256930000000005</v>
      </c>
      <c r="Y2620">
        <v>-0.59503680000000003</v>
      </c>
      <c r="Z2620">
        <v>8.5923429999999995E-2</v>
      </c>
      <c r="AA2620">
        <v>0.79909219999999903</v>
      </c>
      <c r="AB2620">
        <v>13</v>
      </c>
      <c r="AC2620">
        <v>0.78039999999998599</v>
      </c>
      <c r="AD2620">
        <v>-9.3331999999999901E-2</v>
      </c>
      <c r="AE2620">
        <v>-0.43780000000001001</v>
      </c>
      <c r="AF2620">
        <v>-0.58707846476839698</v>
      </c>
      <c r="AG2620">
        <v>-9.3331999999999901E-2</v>
      </c>
      <c r="AH2620">
        <v>0.66248802525924599</v>
      </c>
      <c r="AI2620">
        <v>96.018908724724199</v>
      </c>
      <c r="AJ2620">
        <v>131.54646965994101</v>
      </c>
      <c r="AK2620">
        <v>0.89009121421948401</v>
      </c>
      <c r="AL2620">
        <v>95.041515727068898</v>
      </c>
      <c r="AM2620">
        <v>110.578557727725</v>
      </c>
      <c r="AN2620">
        <v>1.00000001519437</v>
      </c>
    </row>
    <row r="2621" spans="1:40" x14ac:dyDescent="0.25">
      <c r="A2621" t="str">
        <f>"20190303154517989"</f>
        <v>20190303154517989</v>
      </c>
      <c r="B2621" t="str">
        <f>"1551599117983746"</f>
        <v>1551599117983746</v>
      </c>
      <c r="C2621" t="s">
        <v>40</v>
      </c>
      <c r="D2621">
        <v>4.4993119999999998</v>
      </c>
      <c r="E2621">
        <v>0.396229</v>
      </c>
      <c r="F2621" t="s">
        <v>42</v>
      </c>
      <c r="G2621">
        <v>-490.26159999999999</v>
      </c>
      <c r="H2621">
        <v>1.0315240000000001</v>
      </c>
      <c r="I2621">
        <v>223.91720000000001</v>
      </c>
      <c r="J2621">
        <v>-490.98110000000003</v>
      </c>
      <c r="K2621">
        <v>1.123499</v>
      </c>
      <c r="L2621">
        <v>224.22730000000001</v>
      </c>
      <c r="M2621">
        <v>0.34024850000000001</v>
      </c>
      <c r="N2621">
        <v>-1.3992640000000001E-2</v>
      </c>
      <c r="O2621">
        <v>-0.9402315</v>
      </c>
      <c r="P2621">
        <v>0.64619119999999997</v>
      </c>
      <c r="Q2621">
        <v>-9.7908469999999997E-2</v>
      </c>
      <c r="R2621">
        <v>-0.75686940000000003</v>
      </c>
      <c r="S2621">
        <v>2.5899960000000002</v>
      </c>
      <c r="T2621">
        <v>-0.29100160000000003</v>
      </c>
      <c r="U2621">
        <v>-1.7286680000000001</v>
      </c>
      <c r="V2621">
        <v>-0.34959869999999998</v>
      </c>
      <c r="W2621">
        <v>-8.6824670000000007E-2</v>
      </c>
      <c r="X2621">
        <v>0.93286780000000002</v>
      </c>
      <c r="Y2621">
        <v>-0.58969189999999905</v>
      </c>
      <c r="Z2621">
        <v>8.6326689999999998E-2</v>
      </c>
      <c r="AA2621">
        <v>0.80300130000000003</v>
      </c>
      <c r="AB2621">
        <v>13</v>
      </c>
      <c r="AC2621">
        <v>0.719500000000039</v>
      </c>
      <c r="AD2621">
        <v>-9.1975000000000098E-2</v>
      </c>
      <c r="AE2621">
        <v>-0.31010000000000498</v>
      </c>
      <c r="AF2621">
        <v>-0.56327879694192995</v>
      </c>
      <c r="AG2621">
        <v>-9.1975000000000098E-2</v>
      </c>
      <c r="AH2621">
        <v>0.52913502707374904</v>
      </c>
      <c r="AI2621">
        <v>96.786882171000201</v>
      </c>
      <c r="AJ2621">
        <v>136.79021649855</v>
      </c>
      <c r="AK2621">
        <v>0.77828419011674999</v>
      </c>
      <c r="AL2621">
        <v>94.980958480288393</v>
      </c>
      <c r="AM2621">
        <v>110.543835835647</v>
      </c>
      <c r="AN2621">
        <v>1.0000000533195601</v>
      </c>
    </row>
    <row r="2622" spans="1:40" x14ac:dyDescent="0.25">
      <c r="A2622" t="str">
        <f>"20190303154518012"</f>
        <v>20190303154518012</v>
      </c>
      <c r="B2622" t="str">
        <f>"1551599118003266"</f>
        <v>1551599118003266</v>
      </c>
      <c r="C2622" t="s">
        <v>40</v>
      </c>
      <c r="D2622">
        <v>4.421691</v>
      </c>
      <c r="E2622">
        <v>0.37213299999999999</v>
      </c>
      <c r="F2622" t="s">
        <v>42</v>
      </c>
      <c r="G2622">
        <v>-490.1927</v>
      </c>
      <c r="H2622">
        <v>1.030246</v>
      </c>
      <c r="I2622">
        <v>223.6951</v>
      </c>
      <c r="J2622">
        <v>-490.92989999999998</v>
      </c>
      <c r="K2622">
        <v>1.123481</v>
      </c>
      <c r="L2622">
        <v>224.1086</v>
      </c>
      <c r="M2622">
        <v>0.34630650000000002</v>
      </c>
      <c r="N2622">
        <v>-1.398601E-2</v>
      </c>
      <c r="O2622">
        <v>-0.93801749999999995</v>
      </c>
      <c r="P2622">
        <v>0.650344699999999</v>
      </c>
      <c r="Q2622">
        <v>-9.7840590000000005E-2</v>
      </c>
      <c r="R2622">
        <v>-0.75331269999999995</v>
      </c>
      <c r="S2622">
        <v>2.567383</v>
      </c>
      <c r="T2622">
        <v>-0.30354550000000002</v>
      </c>
      <c r="U2622">
        <v>-1.7324679999999999</v>
      </c>
      <c r="V2622">
        <v>-0.34871360000000001</v>
      </c>
      <c r="W2622">
        <v>-8.674221E-2</v>
      </c>
      <c r="X2622">
        <v>0.9332066</v>
      </c>
      <c r="Y2622">
        <v>-0.58002449999999905</v>
      </c>
      <c r="Z2622">
        <v>9.0848789999999999E-2</v>
      </c>
      <c r="AA2622">
        <v>0.80951719999999905</v>
      </c>
      <c r="AB2622">
        <v>13</v>
      </c>
      <c r="AC2622">
        <v>0.73719999999997299</v>
      </c>
      <c r="AD2622">
        <v>-9.3234999999999901E-2</v>
      </c>
      <c r="AE2622">
        <v>-0.41349999999999898</v>
      </c>
      <c r="AF2622">
        <v>-0.54177042870297798</v>
      </c>
      <c r="AG2622">
        <v>-9.3234999999999901E-2</v>
      </c>
      <c r="AH2622">
        <v>0.63549790721247201</v>
      </c>
      <c r="AI2622">
        <v>96.370511237103301</v>
      </c>
      <c r="AJ2622">
        <v>130.44803379636201</v>
      </c>
      <c r="AK2622">
        <v>0.84027706901559496</v>
      </c>
      <c r="AL2622">
        <v>94.976216383475403</v>
      </c>
      <c r="AM2622">
        <v>110.489330935754</v>
      </c>
      <c r="AN2622">
        <v>0.999999972052101</v>
      </c>
    </row>
    <row r="2623" spans="1:40" x14ac:dyDescent="0.25">
      <c r="A2623" t="str">
        <f>"20190303154518034"</f>
        <v>20190303154518034</v>
      </c>
      <c r="B2623" t="str">
        <f>"1551599118023762"</f>
        <v>1551599118023762</v>
      </c>
      <c r="C2623" t="s">
        <v>40</v>
      </c>
      <c r="D2623">
        <v>4.2788259999999996</v>
      </c>
      <c r="E2623">
        <v>0.35859429999999998</v>
      </c>
      <c r="F2623" t="s">
        <v>54</v>
      </c>
      <c r="G2623">
        <v>-481.02910000000003</v>
      </c>
      <c r="H2623" s="1">
        <v>1.894329E-6</v>
      </c>
      <c r="I2623">
        <v>218.31549999999999</v>
      </c>
      <c r="J2623">
        <v>-490.87830000000002</v>
      </c>
      <c r="K2623">
        <v>1.1234729999999999</v>
      </c>
      <c r="L2623">
        <v>223.9907</v>
      </c>
      <c r="M2623">
        <v>0.35231869999999998</v>
      </c>
      <c r="N2623">
        <v>-1.397966E-2</v>
      </c>
      <c r="O2623">
        <v>-0.93577569999999999</v>
      </c>
      <c r="P2623">
        <v>0.65488179999999996</v>
      </c>
      <c r="Q2623">
        <v>-9.8277100000000006E-2</v>
      </c>
      <c r="R2623">
        <v>-0.74931400000000004</v>
      </c>
      <c r="S2623">
        <v>2.7217709999999999</v>
      </c>
      <c r="T2623">
        <v>-0.30884909999999999</v>
      </c>
      <c r="U2623">
        <v>-1.5925290000000001</v>
      </c>
      <c r="V2623">
        <v>-0.34838150000000001</v>
      </c>
      <c r="W2623">
        <v>-8.7171470000000001E-2</v>
      </c>
      <c r="X2623">
        <v>0.93329070000000003</v>
      </c>
      <c r="Y2623">
        <v>-0.6256948</v>
      </c>
      <c r="Z2623">
        <v>9.2076370000000005E-2</v>
      </c>
      <c r="AA2623">
        <v>0.77461480000000005</v>
      </c>
      <c r="AB2623">
        <v>13</v>
      </c>
      <c r="AC2623">
        <v>9.8491999999999909</v>
      </c>
      <c r="AD2623">
        <v>-1.1234711056709901</v>
      </c>
      <c r="AE2623">
        <v>-5.67520000000001</v>
      </c>
      <c r="AF2623">
        <v>-7.1480449198378704</v>
      </c>
      <c r="AG2623">
        <v>-1.1234711056709901</v>
      </c>
      <c r="AH2623">
        <v>8.6966790569601802</v>
      </c>
      <c r="AI2623">
        <v>95.699210430224497</v>
      </c>
      <c r="AJ2623">
        <v>129.417746274682</v>
      </c>
      <c r="AK2623">
        <v>11.313220590135501</v>
      </c>
      <c r="AL2623">
        <v>95.000904383859506</v>
      </c>
      <c r="AM2623">
        <v>110.469745548806</v>
      </c>
      <c r="AN2623">
        <v>1.00000003271535</v>
      </c>
    </row>
    <row r="2624" spans="1:40" x14ac:dyDescent="0.25">
      <c r="A2624" t="str">
        <f>"20190303154518056"</f>
        <v>20190303154518056</v>
      </c>
      <c r="B2624" t="str">
        <f>"1551599118053043"</f>
        <v>1551599118053043</v>
      </c>
      <c r="C2624" t="s">
        <v>40</v>
      </c>
      <c r="D2624">
        <v>4.4345869999999996</v>
      </c>
      <c r="E2624">
        <v>0.35144690000000001</v>
      </c>
      <c r="F2624" t="s">
        <v>54</v>
      </c>
      <c r="G2624">
        <v>-481.11500000000001</v>
      </c>
      <c r="H2624" s="1">
        <v>1.9294570000000002E-6</v>
      </c>
      <c r="I2624">
        <v>218.77080000000001</v>
      </c>
      <c r="J2624">
        <v>-490.82499999999999</v>
      </c>
      <c r="K2624">
        <v>1.1234519999999999</v>
      </c>
      <c r="L2624">
        <v>223.87129999999999</v>
      </c>
      <c r="M2624">
        <v>0.35841919999999999</v>
      </c>
      <c r="N2624">
        <v>-1.397352E-2</v>
      </c>
      <c r="O2624">
        <v>-0.93345639999999996</v>
      </c>
      <c r="P2624">
        <v>0.65991880000000003</v>
      </c>
      <c r="Q2624">
        <v>-9.9170240000000007E-2</v>
      </c>
      <c r="R2624">
        <v>-0.74476359999999997</v>
      </c>
      <c r="S2624">
        <v>2.8121339999999999</v>
      </c>
      <c r="T2624">
        <v>-0.32359399999999999</v>
      </c>
      <c r="U2624">
        <v>-1.5034940000000001</v>
      </c>
      <c r="V2624">
        <v>-0.34862140000000003</v>
      </c>
      <c r="W2624">
        <v>-8.8064299999999998E-2</v>
      </c>
      <c r="X2624">
        <v>0.93311730000000004</v>
      </c>
      <c r="Y2624">
        <v>-0.64965949999999995</v>
      </c>
      <c r="Z2624">
        <v>9.6565620000000005E-2</v>
      </c>
      <c r="AA2624">
        <v>0.75406739999999906</v>
      </c>
      <c r="AB2624">
        <v>13</v>
      </c>
      <c r="AC2624">
        <v>9.7099999999999795</v>
      </c>
      <c r="AD2624">
        <v>-1.1234500705429999</v>
      </c>
      <c r="AE2624">
        <v>-5.1004999999999798</v>
      </c>
      <c r="AF2624">
        <v>-7.1613152848127797</v>
      </c>
      <c r="AG2624">
        <v>-1.1234500705429999</v>
      </c>
      <c r="AH2624">
        <v>8.1565716378777502</v>
      </c>
      <c r="AI2624">
        <v>95.909273185302197</v>
      </c>
      <c r="AJ2624">
        <v>131.282519368576</v>
      </c>
      <c r="AK2624">
        <v>10.912205897678399</v>
      </c>
      <c r="AL2624">
        <v>95.052257189804607</v>
      </c>
      <c r="AM2624">
        <v>110.486161093326</v>
      </c>
      <c r="AN2624">
        <v>1.00000004851586</v>
      </c>
    </row>
    <row r="2625" spans="1:40" x14ac:dyDescent="0.25">
      <c r="A2625" t="str">
        <f>"20190303154518078"</f>
        <v>20190303154518078</v>
      </c>
      <c r="B2625" t="str">
        <f>"1551599118073538"</f>
        <v>1551599118073538</v>
      </c>
      <c r="C2625" t="s">
        <v>40</v>
      </c>
      <c r="D2625">
        <v>4.4578870000000004</v>
      </c>
      <c r="E2625">
        <v>0.34937190000000001</v>
      </c>
      <c r="F2625" t="s">
        <v>54</v>
      </c>
      <c r="G2625">
        <v>-480.95859999999999</v>
      </c>
      <c r="H2625" s="1">
        <v>1.906971E-6</v>
      </c>
      <c r="I2625">
        <v>218.8912</v>
      </c>
      <c r="J2625">
        <v>-490.77229999999997</v>
      </c>
      <c r="K2625">
        <v>1.12344</v>
      </c>
      <c r="L2625">
        <v>223.75530000000001</v>
      </c>
      <c r="M2625">
        <v>0.3643478</v>
      </c>
      <c r="N2625">
        <v>-1.3967719999999999E-2</v>
      </c>
      <c r="O2625">
        <v>-0.93115829999999999</v>
      </c>
      <c r="P2625">
        <v>0.66482619999999903</v>
      </c>
      <c r="Q2625">
        <v>-0.1000239</v>
      </c>
      <c r="R2625">
        <v>-0.74027119999999902</v>
      </c>
      <c r="S2625">
        <v>2.865021</v>
      </c>
      <c r="T2625">
        <v>-0.32622899999999999</v>
      </c>
      <c r="U2625">
        <v>-1.446121</v>
      </c>
      <c r="V2625">
        <v>-0.34889330000000002</v>
      </c>
      <c r="W2625">
        <v>-8.891781E-2</v>
      </c>
      <c r="X2625">
        <v>0.93293459999999995</v>
      </c>
      <c r="Y2625">
        <v>-0.66243830000000004</v>
      </c>
      <c r="Z2625">
        <v>9.7215650000000001E-2</v>
      </c>
      <c r="AA2625">
        <v>0.74278180000000005</v>
      </c>
      <c r="AB2625">
        <v>13</v>
      </c>
      <c r="AC2625">
        <v>9.8136999999999794</v>
      </c>
      <c r="AD2625">
        <v>-1.123438093029</v>
      </c>
      <c r="AE2625">
        <v>-4.8640999999999996</v>
      </c>
      <c r="AF2625">
        <v>-7.2899092309517499</v>
      </c>
      <c r="AG2625">
        <v>-1.123438093029</v>
      </c>
      <c r="AH2625">
        <v>8.0212502710052895</v>
      </c>
      <c r="AI2625">
        <v>95.917466795860506</v>
      </c>
      <c r="AJ2625">
        <v>132.26533243658801</v>
      </c>
      <c r="AK2625">
        <v>10.897033800740701</v>
      </c>
      <c r="AL2625">
        <v>95.101352867352205</v>
      </c>
      <c r="AM2625">
        <v>110.504490753654</v>
      </c>
      <c r="AN2625">
        <v>0.99999993979862101</v>
      </c>
    </row>
    <row r="2626" spans="1:40" x14ac:dyDescent="0.25">
      <c r="A2626" t="str">
        <f>"20190303154518101"</f>
        <v>20190303154518101</v>
      </c>
      <c r="B2626" t="str">
        <f>"1551599118093058"</f>
        <v>1551599118093058</v>
      </c>
      <c r="C2626" t="s">
        <v>40</v>
      </c>
      <c r="D2626">
        <v>4.4769329999999998</v>
      </c>
      <c r="E2626">
        <v>0.3481109</v>
      </c>
      <c r="F2626" t="s">
        <v>54</v>
      </c>
      <c r="G2626">
        <v>-480.88760000000002</v>
      </c>
      <c r="H2626" s="1">
        <v>1.895082E-6</v>
      </c>
      <c r="I2626">
        <v>218.90700000000001</v>
      </c>
      <c r="J2626">
        <v>-490.71719999999999</v>
      </c>
      <c r="K2626">
        <v>1.123429</v>
      </c>
      <c r="L2626">
        <v>223.63589999999999</v>
      </c>
      <c r="M2626">
        <v>0.37045250000000002</v>
      </c>
      <c r="N2626">
        <v>-1.396174E-2</v>
      </c>
      <c r="O2626">
        <v>-0.92874650000000003</v>
      </c>
      <c r="P2626">
        <v>0.669489</v>
      </c>
      <c r="Q2626">
        <v>-0.1001293</v>
      </c>
      <c r="R2626">
        <v>-0.736043</v>
      </c>
      <c r="S2626">
        <v>2.8866269999999998</v>
      </c>
      <c r="T2626">
        <v>-0.32807839999999999</v>
      </c>
      <c r="U2626">
        <v>-1.4158630000000001</v>
      </c>
      <c r="V2626">
        <v>-0.34867009999999998</v>
      </c>
      <c r="W2626">
        <v>-8.9016049999999999E-2</v>
      </c>
      <c r="X2626">
        <v>0.93300870000000002</v>
      </c>
      <c r="Y2626">
        <v>-0.66596840000000002</v>
      </c>
      <c r="Z2626">
        <v>9.7807430000000001E-2</v>
      </c>
      <c r="AA2626">
        <v>0.73954030000000004</v>
      </c>
      <c r="AB2626">
        <v>13</v>
      </c>
      <c r="AC2626">
        <v>9.8295999999999708</v>
      </c>
      <c r="AD2626">
        <v>-1.123427104918</v>
      </c>
      <c r="AE2626">
        <v>-4.7288999999999799</v>
      </c>
      <c r="AF2626">
        <v>-7.3006528657592398</v>
      </c>
      <c r="AG2626">
        <v>-1.123427104918</v>
      </c>
      <c r="AH2626">
        <v>7.9498065062384198</v>
      </c>
      <c r="AI2626">
        <v>95.942176149658494</v>
      </c>
      <c r="AJ2626">
        <v>132.56260950527599</v>
      </c>
      <c r="AK2626">
        <v>10.8517760856467</v>
      </c>
      <c r="AL2626">
        <v>95.107003885026202</v>
      </c>
      <c r="AM2626">
        <v>110.49097172249201</v>
      </c>
      <c r="AN2626">
        <v>0.99999996503364996</v>
      </c>
    </row>
    <row r="2627" spans="1:40" x14ac:dyDescent="0.25">
      <c r="A2627" t="str">
        <f>"20190303154518123"</f>
        <v>20190303154518123</v>
      </c>
      <c r="B2627" t="str">
        <f>"1551599118113555"</f>
        <v>1551599118113555</v>
      </c>
      <c r="C2627" t="s">
        <v>40</v>
      </c>
      <c r="D2627">
        <v>4.4911469999999998</v>
      </c>
      <c r="E2627">
        <v>0.34727419999999998</v>
      </c>
      <c r="F2627" t="s">
        <v>54</v>
      </c>
      <c r="G2627">
        <v>-480.71940000000001</v>
      </c>
      <c r="H2627" s="1">
        <v>1.8625829999999999E-6</v>
      </c>
      <c r="I2627">
        <v>218.84630000000001</v>
      </c>
      <c r="J2627">
        <v>-490.66460000000001</v>
      </c>
      <c r="K2627">
        <v>1.1234280000000001</v>
      </c>
      <c r="L2627">
        <v>223.52379999999999</v>
      </c>
      <c r="M2627">
        <v>0.3761872</v>
      </c>
      <c r="N2627">
        <v>-1.3956029999999999E-2</v>
      </c>
      <c r="O2627">
        <v>-0.9264386</v>
      </c>
      <c r="P2627">
        <v>0.67373419999999995</v>
      </c>
      <c r="Q2627">
        <v>-9.9724019999999997E-2</v>
      </c>
      <c r="R2627">
        <v>-0.73221449999999999</v>
      </c>
      <c r="S2627">
        <v>2.9031980000000002</v>
      </c>
      <c r="T2627">
        <v>-0.32622430000000002</v>
      </c>
      <c r="U2627">
        <v>-1.3908229999999999</v>
      </c>
      <c r="V2627">
        <v>-0.34828219999999999</v>
      </c>
      <c r="W2627">
        <v>-8.8600250000000005E-2</v>
      </c>
      <c r="X2627">
        <v>0.93319319999999895</v>
      </c>
      <c r="Y2627">
        <v>-0.66827219999999998</v>
      </c>
      <c r="Z2627">
        <v>9.7198720000000002E-2</v>
      </c>
      <c r="AA2627">
        <v>0.73753959999999996</v>
      </c>
      <c r="AB2627">
        <v>13</v>
      </c>
      <c r="AC2627">
        <v>9.9451999999999998</v>
      </c>
      <c r="AD2627">
        <v>-1.123426137417</v>
      </c>
      <c r="AE2627">
        <v>-4.6774999999999798</v>
      </c>
      <c r="AF2627">
        <v>-7.3776387937063399</v>
      </c>
      <c r="AG2627">
        <v>-1.123426137417</v>
      </c>
      <c r="AH2627">
        <v>7.9919522573964796</v>
      </c>
      <c r="AI2627">
        <v>95.897064693342003</v>
      </c>
      <c r="AJ2627">
        <v>132.71113992156901</v>
      </c>
      <c r="AK2627">
        <v>10.9344840454928</v>
      </c>
      <c r="AL2627">
        <v>95.083085503057802</v>
      </c>
      <c r="AM2627">
        <v>110.466355610306</v>
      </c>
      <c r="AN2627">
        <v>1.0000000218315701</v>
      </c>
    </row>
    <row r="2628" spans="1:40" x14ac:dyDescent="0.25">
      <c r="A2628" t="str">
        <f>"20190303154518145"</f>
        <v>20190303154518145</v>
      </c>
      <c r="B2628" t="str">
        <f>"1551599118133074"</f>
        <v>1551599118133074</v>
      </c>
      <c r="C2628" t="s">
        <v>40</v>
      </c>
      <c r="D2628">
        <v>4.4687489999999999</v>
      </c>
      <c r="E2628">
        <v>0.34675679999999998</v>
      </c>
      <c r="F2628" t="s">
        <v>54</v>
      </c>
      <c r="G2628">
        <v>-480.58409999999998</v>
      </c>
      <c r="H2628" s="1">
        <v>1.836081E-6</v>
      </c>
      <c r="I2628">
        <v>218.78909999999999</v>
      </c>
      <c r="J2628">
        <v>-490.60930000000002</v>
      </c>
      <c r="K2628">
        <v>1.123413</v>
      </c>
      <c r="L2628">
        <v>223.40819999999999</v>
      </c>
      <c r="M2628">
        <v>0.38210090000000002</v>
      </c>
      <c r="N2628">
        <v>-1.3949980000000001E-2</v>
      </c>
      <c r="O2628">
        <v>-0.92401549999999999</v>
      </c>
      <c r="P2628">
        <v>0.67812490000000003</v>
      </c>
      <c r="Q2628">
        <v>-9.8519209999999996E-2</v>
      </c>
      <c r="R2628">
        <v>-0.72831360000000001</v>
      </c>
      <c r="S2628">
        <v>2.916077</v>
      </c>
      <c r="T2628">
        <v>-0.3249843</v>
      </c>
      <c r="U2628">
        <v>-1.369675</v>
      </c>
      <c r="V2628">
        <v>-0.34787639999999997</v>
      </c>
      <c r="W2628">
        <v>-8.7382879999999996E-2</v>
      </c>
      <c r="X2628">
        <v>0.93345929999999999</v>
      </c>
      <c r="Y2628">
        <v>-0.66921560000000002</v>
      </c>
      <c r="Z2628">
        <v>9.6794179999999994E-2</v>
      </c>
      <c r="AA2628">
        <v>0.73673699999999998</v>
      </c>
      <c r="AB2628">
        <v>13</v>
      </c>
      <c r="AC2628">
        <v>10.0252</v>
      </c>
      <c r="AD2628">
        <v>-1.1234111639190001</v>
      </c>
      <c r="AE2628">
        <v>-4.6191000000000004</v>
      </c>
      <c r="AF2628">
        <v>-7.4223243016808702</v>
      </c>
      <c r="AG2628">
        <v>-1.1234111639190001</v>
      </c>
      <c r="AH2628">
        <v>8.0165079468194396</v>
      </c>
      <c r="AI2628">
        <v>95.871063201070996</v>
      </c>
      <c r="AJ2628">
        <v>132.79598477527401</v>
      </c>
      <c r="AK2628">
        <v>10.982593061019699</v>
      </c>
      <c r="AL2628">
        <v>95.013063792066902</v>
      </c>
      <c r="AM2628">
        <v>110.439137483713</v>
      </c>
      <c r="AN2628">
        <v>1.00000001107527</v>
      </c>
    </row>
    <row r="2629" spans="1:40" x14ac:dyDescent="0.25">
      <c r="A2629" t="str">
        <f>"20190303154518191"</f>
        <v>20190303154518191</v>
      </c>
      <c r="B2629" t="str">
        <f>"1551599118183827"</f>
        <v>1551599118183827</v>
      </c>
      <c r="C2629" t="s">
        <v>40</v>
      </c>
      <c r="D2629">
        <v>4.5168720000000002</v>
      </c>
      <c r="E2629">
        <v>0.3481957</v>
      </c>
      <c r="F2629" t="s">
        <v>54</v>
      </c>
      <c r="G2629">
        <v>-480.42759999999998</v>
      </c>
      <c r="H2629" s="1">
        <v>1.8050629999999999E-6</v>
      </c>
      <c r="I2629">
        <v>218.71430000000001</v>
      </c>
      <c r="J2629">
        <v>-490.49520000000001</v>
      </c>
      <c r="K2629">
        <v>1.1233759999999999</v>
      </c>
      <c r="L2629">
        <v>223.17519999999999</v>
      </c>
      <c r="M2629">
        <v>0.39400790000000002</v>
      </c>
      <c r="N2629">
        <v>-1.393722E-2</v>
      </c>
      <c r="O2629">
        <v>-0.91900150000000003</v>
      </c>
      <c r="P2629">
        <v>0.68679279999999998</v>
      </c>
      <c r="Q2629">
        <v>-9.9566370000000001E-2</v>
      </c>
      <c r="R2629">
        <v>-0.72000180000000003</v>
      </c>
      <c r="S2629">
        <v>2.9275820000000001</v>
      </c>
      <c r="T2629">
        <v>-0.3230189</v>
      </c>
      <c r="U2629">
        <v>-1.3496549999999901</v>
      </c>
      <c r="V2629">
        <v>-0.34704639999999998</v>
      </c>
      <c r="W2629">
        <v>-8.8406680000000001E-2</v>
      </c>
      <c r="X2629">
        <v>0.93367180000000005</v>
      </c>
      <c r="Y2629">
        <v>-0.66497240000000002</v>
      </c>
      <c r="Z2629">
        <v>9.6038579999999998E-2</v>
      </c>
      <c r="AA2629">
        <v>0.74066739999999998</v>
      </c>
      <c r="AB2629">
        <v>13</v>
      </c>
      <c r="AC2629">
        <v>10.067600000000001</v>
      </c>
      <c r="AD2629">
        <v>-1.123374194937</v>
      </c>
      <c r="AE2629">
        <v>-4.4608999999999801</v>
      </c>
      <c r="AF2629">
        <v>-7.4180338757846096</v>
      </c>
      <c r="AG2629">
        <v>-1.123374194937</v>
      </c>
      <c r="AH2629">
        <v>7.9839773795758902</v>
      </c>
      <c r="AI2629">
        <v>95.885190499894406</v>
      </c>
      <c r="AJ2629">
        <v>132.89562598203699</v>
      </c>
      <c r="AK2629">
        <v>10.955961434840701</v>
      </c>
      <c r="AL2629">
        <v>95.071951240999297</v>
      </c>
      <c r="AM2629">
        <v>110.39013223604699</v>
      </c>
      <c r="AN2629">
        <v>0.99999998746841101</v>
      </c>
    </row>
    <row r="2630" spans="1:40" x14ac:dyDescent="0.25">
      <c r="A2630" t="str">
        <f>"20190303154518213"</f>
        <v>20190303154518213</v>
      </c>
      <c r="B2630" t="str">
        <f>"1551599118203346"</f>
        <v>1551599118203346</v>
      </c>
      <c r="C2630" t="s">
        <v>40</v>
      </c>
      <c r="D2630">
        <v>4.616682</v>
      </c>
      <c r="E2630">
        <v>0.349176599999999</v>
      </c>
      <c r="F2630" t="s">
        <v>54</v>
      </c>
      <c r="G2630">
        <v>-480.55930000000001</v>
      </c>
      <c r="H2630" s="1">
        <v>1.8278239999999999E-6</v>
      </c>
      <c r="I2630">
        <v>218.70060000000001</v>
      </c>
      <c r="J2630">
        <v>-490.43790000000001</v>
      </c>
      <c r="K2630">
        <v>1.1233580000000001</v>
      </c>
      <c r="L2630">
        <v>223.06059999999999</v>
      </c>
      <c r="M2630">
        <v>0.39984589999999998</v>
      </c>
      <c r="N2630">
        <v>-1.393047E-2</v>
      </c>
      <c r="O2630">
        <v>-0.91647650000000003</v>
      </c>
      <c r="P2630">
        <v>0.69152349999999996</v>
      </c>
      <c r="Q2630">
        <v>-9.9092159999999999E-2</v>
      </c>
      <c r="R2630">
        <v>-0.71552490000000002</v>
      </c>
      <c r="S2630">
        <v>2.9345400000000001</v>
      </c>
      <c r="T2630">
        <v>-0.331785099999999</v>
      </c>
      <c r="U2630">
        <v>-1.3215479999999999</v>
      </c>
      <c r="V2630">
        <v>-0.34724110000000002</v>
      </c>
      <c r="W2630">
        <v>-8.7924409999999995E-2</v>
      </c>
      <c r="X2630">
        <v>0.93364499999999995</v>
      </c>
      <c r="Y2630">
        <v>-0.66648039999999997</v>
      </c>
      <c r="Z2630">
        <v>9.9191180000000004E-2</v>
      </c>
      <c r="AA2630">
        <v>0.73889450000000001</v>
      </c>
      <c r="AB2630">
        <v>13</v>
      </c>
      <c r="AC2630">
        <v>9.8786000000000005</v>
      </c>
      <c r="AD2630">
        <v>-1.1233561721759999</v>
      </c>
      <c r="AE2630">
        <v>-4.3599999999999799</v>
      </c>
      <c r="AF2630">
        <v>-7.2326071791124003</v>
      </c>
      <c r="AG2630">
        <v>-1.1233561721759999</v>
      </c>
      <c r="AH2630">
        <v>7.8614415718873998</v>
      </c>
      <c r="AI2630">
        <v>96.003154445951793</v>
      </c>
      <c r="AJ2630">
        <v>132.61437543067399</v>
      </c>
      <c r="AK2630">
        <v>10.741266186307501</v>
      </c>
      <c r="AL2630">
        <v>95.044210941510897</v>
      </c>
      <c r="AM2630">
        <v>110.40116647132901</v>
      </c>
      <c r="AN2630">
        <v>1.0000000347140201</v>
      </c>
    </row>
    <row r="2631" spans="1:40" x14ac:dyDescent="0.25">
      <c r="A2631" t="str">
        <f>"20190303154518237"</f>
        <v>20190303154518237</v>
      </c>
      <c r="B2631" t="str">
        <f>"1551599118233131"</f>
        <v>1551599118233131</v>
      </c>
      <c r="C2631" t="s">
        <v>40</v>
      </c>
      <c r="D2631">
        <v>4.6471869999999997</v>
      </c>
      <c r="E2631">
        <v>0.3504932</v>
      </c>
      <c r="F2631" t="s">
        <v>54</v>
      </c>
      <c r="G2631">
        <v>-480.55900000000003</v>
      </c>
      <c r="H2631" s="1">
        <v>1.8260759999999999E-6</v>
      </c>
      <c r="I2631">
        <v>218.66200000000001</v>
      </c>
      <c r="J2631">
        <v>-490.37900000000002</v>
      </c>
      <c r="K2631">
        <v>1.1233329999999999</v>
      </c>
      <c r="L2631">
        <v>222.94470000000001</v>
      </c>
      <c r="M2631">
        <v>0.40574359999999998</v>
      </c>
      <c r="N2631">
        <v>-1.392324E-2</v>
      </c>
      <c r="O2631">
        <v>-0.91388100000000005</v>
      </c>
      <c r="P2631">
        <v>0.69625979999999998</v>
      </c>
      <c r="Q2631">
        <v>-9.9352120000000002E-2</v>
      </c>
      <c r="R2631">
        <v>-0.71088119999999999</v>
      </c>
      <c r="S2631">
        <v>2.9372560000000001</v>
      </c>
      <c r="T2631">
        <v>-0.3340031</v>
      </c>
      <c r="U2631">
        <v>-1.3078160000000001</v>
      </c>
      <c r="V2631">
        <v>-0.34744160000000002</v>
      </c>
      <c r="W2631">
        <v>-8.8176350000000001E-2</v>
      </c>
      <c r="X2631">
        <v>0.9335466</v>
      </c>
      <c r="Y2631">
        <v>-0.66474820000000001</v>
      </c>
      <c r="Z2631">
        <v>0.1000027</v>
      </c>
      <c r="AA2631">
        <v>0.740344</v>
      </c>
      <c r="AB2631">
        <v>13</v>
      </c>
      <c r="AC2631">
        <v>9.8199999999999896</v>
      </c>
      <c r="AD2631">
        <v>-1.1233311739239999</v>
      </c>
      <c r="AE2631">
        <v>-4.2827000000000002</v>
      </c>
      <c r="AF2631">
        <v>-7.15862909840724</v>
      </c>
      <c r="AG2631">
        <v>-1.1233311739239999</v>
      </c>
      <c r="AH2631">
        <v>7.8131441627854503</v>
      </c>
      <c r="AI2631">
        <v>96.051160458509102</v>
      </c>
      <c r="AJ2631">
        <v>132.49681700043601</v>
      </c>
      <c r="AK2631">
        <v>10.656128058696501</v>
      </c>
      <c r="AL2631">
        <v>95.058702529212994</v>
      </c>
      <c r="AM2631">
        <v>110.41394881390499</v>
      </c>
      <c r="AN2631">
        <v>0.99999999424072095</v>
      </c>
    </row>
    <row r="2632" spans="1:40" x14ac:dyDescent="0.25">
      <c r="A2632" t="str">
        <f>"20190303154518258"</f>
        <v>20190303154518258</v>
      </c>
      <c r="B2632" t="str">
        <f>"1551599118253628"</f>
        <v>1551599118253628</v>
      </c>
      <c r="C2632" t="s">
        <v>40</v>
      </c>
      <c r="D2632">
        <v>4.6595529999999998</v>
      </c>
      <c r="E2632">
        <v>0.35129149999999998</v>
      </c>
      <c r="F2632" t="s">
        <v>54</v>
      </c>
      <c r="G2632">
        <v>-480.54919999999998</v>
      </c>
      <c r="H2632" s="1">
        <v>1.82212E-6</v>
      </c>
      <c r="I2632">
        <v>218.6113</v>
      </c>
      <c r="J2632">
        <v>-490.32350000000002</v>
      </c>
      <c r="K2632">
        <v>1.1233120000000001</v>
      </c>
      <c r="L2632">
        <v>222.8374</v>
      </c>
      <c r="M2632">
        <v>0.41119020000000001</v>
      </c>
      <c r="N2632">
        <v>-1.391622E-2</v>
      </c>
      <c r="O2632">
        <v>-0.91144349999999996</v>
      </c>
      <c r="P2632">
        <v>0.70032479999999997</v>
      </c>
      <c r="Q2632">
        <v>-9.9375409999999997E-2</v>
      </c>
      <c r="R2632">
        <v>-0.70687339999999999</v>
      </c>
      <c r="S2632">
        <v>2.9382929999999998</v>
      </c>
      <c r="T2632">
        <v>-0.33578259999999899</v>
      </c>
      <c r="U2632">
        <v>-1.2953190000000001</v>
      </c>
      <c r="V2632">
        <v>-0.34722989999999998</v>
      </c>
      <c r="W2632">
        <v>-8.8186650000000005E-2</v>
      </c>
      <c r="X2632">
        <v>0.93362440000000002</v>
      </c>
      <c r="Y2632">
        <v>-0.66296709999999903</v>
      </c>
      <c r="Z2632">
        <v>0.1006942</v>
      </c>
      <c r="AA2632">
        <v>0.74184589999999995</v>
      </c>
      <c r="AB2632">
        <v>13</v>
      </c>
      <c r="AC2632">
        <v>9.7743000000000393</v>
      </c>
      <c r="AD2632">
        <v>-1.1233101778799901</v>
      </c>
      <c r="AE2632">
        <v>-4.2260999999999997</v>
      </c>
      <c r="AF2632">
        <v>-7.0927598885458396</v>
      </c>
      <c r="AG2632">
        <v>-1.1233101778799901</v>
      </c>
      <c r="AH2632">
        <v>7.7850802138255002</v>
      </c>
      <c r="AI2632">
        <v>96.088199554811297</v>
      </c>
      <c r="AJ2632">
        <v>132.335739720232</v>
      </c>
      <c r="AK2632">
        <v>10.5913428104273</v>
      </c>
      <c r="AL2632">
        <v>95.059294931739203</v>
      </c>
      <c r="AM2632">
        <v>110.400975706563</v>
      </c>
      <c r="AN2632">
        <v>1.00000000448379</v>
      </c>
    </row>
    <row r="2633" spans="1:40" x14ac:dyDescent="0.25">
      <c r="A2633" t="str">
        <f>"20190303154518281"</f>
        <v>20190303154518281</v>
      </c>
      <c r="B2633" t="str">
        <f>"1551599118273147"</f>
        <v>1551599118273147</v>
      </c>
      <c r="C2633" t="s">
        <v>40</v>
      </c>
      <c r="D2633">
        <v>4.6643809999999997</v>
      </c>
      <c r="E2633">
        <v>0.3519504</v>
      </c>
      <c r="F2633" t="s">
        <v>54</v>
      </c>
      <c r="G2633">
        <v>-480.46289999999999</v>
      </c>
      <c r="H2633" s="1">
        <v>1.8035490000000001E-6</v>
      </c>
      <c r="I2633">
        <v>218.53659999999999</v>
      </c>
      <c r="J2633">
        <v>-490.26249999999999</v>
      </c>
      <c r="K2633">
        <v>1.123289</v>
      </c>
      <c r="L2633">
        <v>222.7208</v>
      </c>
      <c r="M2633">
        <v>0.41708630000000002</v>
      </c>
      <c r="N2633">
        <v>-1.390832E-2</v>
      </c>
      <c r="O2633">
        <v>-0.90876069999999998</v>
      </c>
      <c r="P2633">
        <v>0.70486119999999997</v>
      </c>
      <c r="Q2633">
        <v>-9.9855070000000004E-2</v>
      </c>
      <c r="R2633">
        <v>-0.70228219999999997</v>
      </c>
      <c r="S2633">
        <v>2.9412539999999998</v>
      </c>
      <c r="T2633">
        <v>-0.33506380000000002</v>
      </c>
      <c r="U2633">
        <v>-1.282837</v>
      </c>
      <c r="V2633">
        <v>-0.347223</v>
      </c>
      <c r="W2633">
        <v>-8.8655010000000006E-2</v>
      </c>
      <c r="X2633">
        <v>0.93358260000000004</v>
      </c>
      <c r="Y2633">
        <v>-0.66107109999999902</v>
      </c>
      <c r="Z2633">
        <v>0.1004955</v>
      </c>
      <c r="AA2633">
        <v>0.74356290000000003</v>
      </c>
      <c r="AB2633">
        <v>13</v>
      </c>
      <c r="AC2633">
        <v>9.7995999999999892</v>
      </c>
      <c r="AD2633">
        <v>-1.1232871964510001</v>
      </c>
      <c r="AE2633">
        <v>-4.1841999999999997</v>
      </c>
      <c r="AF2633">
        <v>-7.0823038466786699</v>
      </c>
      <c r="AG2633">
        <v>-1.1232871964510001</v>
      </c>
      <c r="AH2633">
        <v>7.8037532981469999</v>
      </c>
      <c r="AI2633">
        <v>96.084187884629003</v>
      </c>
      <c r="AJ2633">
        <v>132.225343822322</v>
      </c>
      <c r="AK2633">
        <v>10.5980831965375</v>
      </c>
      <c r="AL2633">
        <v>95.086235543099093</v>
      </c>
      <c r="AM2633">
        <v>110.401441854118</v>
      </c>
      <c r="AN2633">
        <v>0.99999999677493001</v>
      </c>
    </row>
    <row r="2634" spans="1:40" x14ac:dyDescent="0.25">
      <c r="A2634" t="str">
        <f>"20190303154518305"</f>
        <v>20190303154518305</v>
      </c>
      <c r="B2634" t="str">
        <f>"1551599118303404"</f>
        <v>1551599118303404</v>
      </c>
      <c r="C2634" t="s">
        <v>40</v>
      </c>
      <c r="D2634">
        <v>4.6904019999999997</v>
      </c>
      <c r="E2634">
        <v>0.35286030000000002</v>
      </c>
      <c r="F2634" t="s">
        <v>54</v>
      </c>
      <c r="G2634">
        <v>-480.41879999999998</v>
      </c>
      <c r="H2634" s="1">
        <v>1.7935029999999999E-6</v>
      </c>
      <c r="I2634">
        <v>218.48560000000001</v>
      </c>
      <c r="J2634">
        <v>-490.19839999999999</v>
      </c>
      <c r="K2634">
        <v>1.123267</v>
      </c>
      <c r="L2634">
        <v>222.60050000000001</v>
      </c>
      <c r="M2634">
        <v>0.42315849999999999</v>
      </c>
      <c r="N2634">
        <v>-1.390009E-2</v>
      </c>
      <c r="O2634">
        <v>-0.90594909999999995</v>
      </c>
      <c r="P2634">
        <v>0.70954510000000004</v>
      </c>
      <c r="Q2634">
        <v>-0.1003701</v>
      </c>
      <c r="R2634">
        <v>-0.69747519999999996</v>
      </c>
      <c r="S2634">
        <v>2.94577</v>
      </c>
      <c r="T2634">
        <v>-0.33614919999999998</v>
      </c>
      <c r="U2634">
        <v>-1.2674259999999999</v>
      </c>
      <c r="V2634">
        <v>-0.34725620000000001</v>
      </c>
      <c r="W2634">
        <v>-8.9161009999999999E-2</v>
      </c>
      <c r="X2634">
        <v>0.93352210000000002</v>
      </c>
      <c r="Y2634">
        <v>-0.6597229</v>
      </c>
      <c r="Z2634">
        <v>0.1008942</v>
      </c>
      <c r="AA2634">
        <v>0.74470539999999996</v>
      </c>
      <c r="AB2634">
        <v>13</v>
      </c>
      <c r="AC2634">
        <v>9.7796000000000092</v>
      </c>
      <c r="AD2634">
        <v>-1.1232652064969999</v>
      </c>
      <c r="AE2634">
        <v>-4.1148999999999996</v>
      </c>
      <c r="AF2634">
        <v>-7.0403437496696002</v>
      </c>
      <c r="AG2634">
        <v>-1.1232652064969999</v>
      </c>
      <c r="AH2634">
        <v>7.7797742793951503</v>
      </c>
      <c r="AI2634">
        <v>96.110509990839205</v>
      </c>
      <c r="AJ2634">
        <v>132.14367013275799</v>
      </c>
      <c r="AK2634">
        <v>10.5523955894373</v>
      </c>
      <c r="AL2634">
        <v>95.115342291933302</v>
      </c>
      <c r="AM2634">
        <v>110.404445085003</v>
      </c>
      <c r="AN2634">
        <v>1.0000000326655301</v>
      </c>
    </row>
    <row r="2635" spans="1:40" x14ac:dyDescent="0.25">
      <c r="A2635" t="str">
        <f>"20190303154518326"</f>
        <v>20190303154518326</v>
      </c>
      <c r="B2635" t="str">
        <f>"1551599118322923"</f>
        <v>1551599118322923</v>
      </c>
      <c r="C2635" t="s">
        <v>40</v>
      </c>
      <c r="D2635">
        <v>4.7246769999999998</v>
      </c>
      <c r="E2635">
        <v>0.35346709999999998</v>
      </c>
      <c r="F2635" t="s">
        <v>54</v>
      </c>
      <c r="G2635">
        <v>-480.42540000000002</v>
      </c>
      <c r="H2635" s="1">
        <v>1.7931109999999999E-6</v>
      </c>
      <c r="I2635">
        <v>218.44980000000001</v>
      </c>
      <c r="J2635">
        <v>-490.14359999999999</v>
      </c>
      <c r="K2635">
        <v>1.123251</v>
      </c>
      <c r="L2635">
        <v>222.4992</v>
      </c>
      <c r="M2635">
        <v>0.42826589999999998</v>
      </c>
      <c r="N2635">
        <v>-1.389319E-2</v>
      </c>
      <c r="O2635">
        <v>-0.90354619999999997</v>
      </c>
      <c r="P2635">
        <v>0.71275259999999996</v>
      </c>
      <c r="Q2635">
        <v>-9.9805599999999994E-2</v>
      </c>
      <c r="R2635">
        <v>-0.69427879999999997</v>
      </c>
      <c r="S2635">
        <v>2.948944</v>
      </c>
      <c r="T2635">
        <v>-0.33894059999999998</v>
      </c>
      <c r="U2635">
        <v>-1.2524569999999999</v>
      </c>
      <c r="V2635">
        <v>-0.34626129999999999</v>
      </c>
      <c r="W2635">
        <v>-8.8579710000000006E-2</v>
      </c>
      <c r="X2635">
        <v>0.93394679999999997</v>
      </c>
      <c r="Y2635">
        <v>-0.65888279999999999</v>
      </c>
      <c r="Z2635">
        <v>0.10189819999999999</v>
      </c>
      <c r="AA2635">
        <v>0.74531219999999998</v>
      </c>
      <c r="AB2635">
        <v>13</v>
      </c>
      <c r="AC2635">
        <v>9.7181999999999604</v>
      </c>
      <c r="AD2635">
        <v>-1.1232492068889901</v>
      </c>
      <c r="AE2635">
        <v>-4.0493999999999897</v>
      </c>
      <c r="AF2635">
        <v>-6.9679857302716997</v>
      </c>
      <c r="AG2635">
        <v>-1.1232492068889901</v>
      </c>
      <c r="AH2635">
        <v>7.7335172512102002</v>
      </c>
      <c r="AI2635">
        <v>96.158669575702703</v>
      </c>
      <c r="AJ2635">
        <v>132.01920636265899</v>
      </c>
      <c r="AK2635">
        <v>10.470043122777099</v>
      </c>
      <c r="AL2635">
        <v>95.081904424036196</v>
      </c>
      <c r="AM2635">
        <v>110.34229011132599</v>
      </c>
      <c r="AN2635">
        <v>0.99999993906580498</v>
      </c>
    </row>
    <row r="2636" spans="1:40" x14ac:dyDescent="0.25">
      <c r="A2636" t="str">
        <f>"20190303154518348"</f>
        <v>20190303154518348</v>
      </c>
      <c r="B2636" t="str">
        <f>"1551599118343420"</f>
        <v>1551599118343420</v>
      </c>
      <c r="C2636" t="s">
        <v>40</v>
      </c>
      <c r="D2636">
        <v>4.7401949999999999</v>
      </c>
      <c r="E2636">
        <v>0.35408469999999997</v>
      </c>
      <c r="F2636" t="s">
        <v>54</v>
      </c>
      <c r="G2636">
        <v>-480.36689999999999</v>
      </c>
      <c r="H2636" s="1">
        <v>1.7798589999999901E-6</v>
      </c>
      <c r="I2636">
        <v>218.38419999999999</v>
      </c>
      <c r="J2636">
        <v>-490.0849</v>
      </c>
      <c r="K2636">
        <v>1.1232359999999999</v>
      </c>
      <c r="L2636">
        <v>222.39189999999999</v>
      </c>
      <c r="M2636">
        <v>0.43367559999999999</v>
      </c>
      <c r="N2636">
        <v>-1.38709E-2</v>
      </c>
      <c r="O2636">
        <v>-0.90096229999999999</v>
      </c>
      <c r="P2636">
        <v>0.71605830000000004</v>
      </c>
      <c r="Q2636">
        <v>-0.1003555</v>
      </c>
      <c r="R2636">
        <v>-0.69078869999999903</v>
      </c>
      <c r="S2636">
        <v>2.9514770000000001</v>
      </c>
      <c r="T2636">
        <v>-0.3390957</v>
      </c>
      <c r="U2636">
        <v>-1.242294</v>
      </c>
      <c r="V2636">
        <v>-0.34515459999999998</v>
      </c>
      <c r="W2636">
        <v>-8.9133080000000003E-2</v>
      </c>
      <c r="X2636">
        <v>0.93430380000000002</v>
      </c>
      <c r="Y2636">
        <v>-0.65679049999999894</v>
      </c>
      <c r="Z2636">
        <v>0.10194789999999999</v>
      </c>
      <c r="AA2636">
        <v>0.74714990000000003</v>
      </c>
      <c r="AB2636">
        <v>13</v>
      </c>
      <c r="AC2636">
        <v>9.7180000000000106</v>
      </c>
      <c r="AD2636">
        <v>-1.1232342201409999</v>
      </c>
      <c r="AE2636">
        <v>-4.0076999999999998</v>
      </c>
      <c r="AF2636">
        <v>-6.9389590806050796</v>
      </c>
      <c r="AG2636">
        <v>-1.1232342201409999</v>
      </c>
      <c r="AH2636">
        <v>7.7376538066807896</v>
      </c>
      <c r="AI2636">
        <v>96.168188875959004</v>
      </c>
      <c r="AJ2636">
        <v>131.88506176455201</v>
      </c>
      <c r="AK2636">
        <v>10.453807663605099</v>
      </c>
      <c r="AL2636">
        <v>95.113735805347105</v>
      </c>
      <c r="AM2636">
        <v>110.27545893393101</v>
      </c>
      <c r="AN2636">
        <v>0.99999999727294298</v>
      </c>
    </row>
    <row r="2637" spans="1:40" x14ac:dyDescent="0.25">
      <c r="A2637" t="str">
        <f>"20190303154518371"</f>
        <v>20190303154518371</v>
      </c>
      <c r="B2637" t="str">
        <f>"1551599118362940"</f>
        <v>1551599118362940</v>
      </c>
      <c r="C2637" t="s">
        <v>40</v>
      </c>
      <c r="D2637">
        <v>4.7345709999999999</v>
      </c>
      <c r="E2637">
        <v>0.35462690000000002</v>
      </c>
      <c r="F2637" t="s">
        <v>54</v>
      </c>
      <c r="G2637">
        <v>-480.40030000000002</v>
      </c>
      <c r="H2637" s="1">
        <v>1.7844870000000001E-6</v>
      </c>
      <c r="I2637">
        <v>218.3545</v>
      </c>
      <c r="J2637">
        <v>-490.02100000000002</v>
      </c>
      <c r="K2637">
        <v>1.1232219999999999</v>
      </c>
      <c r="L2637">
        <v>222.27699999999999</v>
      </c>
      <c r="M2637">
        <v>0.43949310000000003</v>
      </c>
      <c r="N2637">
        <v>-1.3769480000000001E-2</v>
      </c>
      <c r="O2637">
        <v>-0.89814059999999996</v>
      </c>
      <c r="P2637">
        <v>0.71922580000000003</v>
      </c>
      <c r="Q2637">
        <v>-0.1007873</v>
      </c>
      <c r="R2637">
        <v>-0.68742769999999898</v>
      </c>
      <c r="S2637">
        <v>2.9537049999999998</v>
      </c>
      <c r="T2637">
        <v>-0.3425763</v>
      </c>
      <c r="U2637">
        <v>-1.231384</v>
      </c>
      <c r="V2637">
        <v>-0.34343269999999998</v>
      </c>
      <c r="W2637">
        <v>-8.9650649999999998E-2</v>
      </c>
      <c r="X2637">
        <v>0.93488870000000002</v>
      </c>
      <c r="Y2637">
        <v>-0.654358</v>
      </c>
      <c r="Z2637">
        <v>0.1031456</v>
      </c>
      <c r="AA2637">
        <v>0.74911709999999998</v>
      </c>
      <c r="AB2637">
        <v>13</v>
      </c>
      <c r="AC2637">
        <v>9.6206999999999407</v>
      </c>
      <c r="AD2637">
        <v>-1.123220215513</v>
      </c>
      <c r="AE2637">
        <v>-3.9225000000000101</v>
      </c>
      <c r="AF2637">
        <v>-6.8375683235508804</v>
      </c>
      <c r="AG2637">
        <v>-1.123220215513</v>
      </c>
      <c r="AH2637">
        <v>7.6623654398584904</v>
      </c>
      <c r="AI2637">
        <v>96.241833717411794</v>
      </c>
      <c r="AJ2637">
        <v>131.74436285919001</v>
      </c>
      <c r="AK2637">
        <v>10.3308183783135</v>
      </c>
      <c r="AL2637">
        <v>95.143509205963596</v>
      </c>
      <c r="AM2637">
        <v>110.170880098506</v>
      </c>
      <c r="AN2637">
        <v>1.0000000699311899</v>
      </c>
    </row>
    <row r="2638" spans="1:40" x14ac:dyDescent="0.25">
      <c r="A2638" t="str">
        <f>"20190303154518417"</f>
        <v>20190303154518417</v>
      </c>
      <c r="B2638" t="str">
        <f>"1551599118402956"</f>
        <v>1551599118402956</v>
      </c>
      <c r="C2638" t="s">
        <v>40</v>
      </c>
      <c r="D2638">
        <v>4.7242480000000002</v>
      </c>
      <c r="E2638">
        <v>0.36545270000000002</v>
      </c>
      <c r="F2638" t="s">
        <v>54</v>
      </c>
      <c r="G2638">
        <v>-480.41539999999998</v>
      </c>
      <c r="H2638" s="1">
        <v>1.7853019999999999E-6</v>
      </c>
      <c r="I2638">
        <v>218.3117</v>
      </c>
      <c r="J2638">
        <v>-489.89920000000001</v>
      </c>
      <c r="K2638">
        <v>1.1231640000000001</v>
      </c>
      <c r="L2638">
        <v>222.0626</v>
      </c>
      <c r="M2638">
        <v>0.45041039999999999</v>
      </c>
      <c r="N2638">
        <v>-1.3297389999999999E-2</v>
      </c>
      <c r="O2638">
        <v>-0.89272269999999898</v>
      </c>
      <c r="P2638">
        <v>0.72429080000000001</v>
      </c>
      <c r="Q2638">
        <v>-0.1016981</v>
      </c>
      <c r="R2638">
        <v>-0.68195329999999998</v>
      </c>
      <c r="S2638">
        <v>2.956299</v>
      </c>
      <c r="T2638">
        <v>-0.34569429999999901</v>
      </c>
      <c r="U2638">
        <v>-1.2203980000000001</v>
      </c>
      <c r="V2638">
        <v>-0.33899689999999999</v>
      </c>
      <c r="W2638">
        <v>-9.1005929999999999E-2</v>
      </c>
      <c r="X2638">
        <v>0.93637550000000003</v>
      </c>
      <c r="Y2638">
        <v>-0.64765159999999999</v>
      </c>
      <c r="Z2638">
        <v>0.1042868</v>
      </c>
      <c r="AA2638">
        <v>0.75476599999999905</v>
      </c>
      <c r="AB2638">
        <v>13</v>
      </c>
      <c r="AC2638">
        <v>9.4838000000000306</v>
      </c>
      <c r="AD2638">
        <v>-1.123162214698</v>
      </c>
      <c r="AE2638">
        <v>-3.7509000000000001</v>
      </c>
      <c r="AF2638">
        <v>-6.6963420686169099</v>
      </c>
      <c r="AG2638">
        <v>-1.123162214698</v>
      </c>
      <c r="AH2638">
        <v>7.5294686316177204</v>
      </c>
      <c r="AI2638">
        <v>96.360197388331201</v>
      </c>
      <c r="AJ2638">
        <v>131.64833339986001</v>
      </c>
      <c r="AK2638">
        <v>10.1388060606251</v>
      </c>
      <c r="AL2638">
        <v>95.221479994365296</v>
      </c>
      <c r="AM2638">
        <v>109.90182319104601</v>
      </c>
      <c r="AN2638">
        <v>1.00000002725251</v>
      </c>
    </row>
    <row r="2639" spans="1:40" x14ac:dyDescent="0.25">
      <c r="A2639" t="str">
        <f>"20190303154518461"</f>
        <v>20190303154518461</v>
      </c>
      <c r="B2639" t="str">
        <f>"1551599118453238"</f>
        <v>1551599118453238</v>
      </c>
      <c r="C2639" t="s">
        <v>40</v>
      </c>
      <c r="D2639">
        <v>4.5910330000000004</v>
      </c>
      <c r="E2639">
        <v>0.31174940000000001</v>
      </c>
      <c r="F2639" t="s">
        <v>42</v>
      </c>
      <c r="G2639">
        <v>-489.0369</v>
      </c>
      <c r="H2639">
        <v>1.009857</v>
      </c>
      <c r="I2639">
        <v>221.68889999999999</v>
      </c>
      <c r="J2639">
        <v>-489.77199999999999</v>
      </c>
      <c r="K2639">
        <v>1.123108</v>
      </c>
      <c r="L2639">
        <v>221.845</v>
      </c>
      <c r="M2639">
        <v>0.46155180000000001</v>
      </c>
      <c r="N2639">
        <v>-1.269384E-2</v>
      </c>
      <c r="O2639">
        <v>-0.88702250000000005</v>
      </c>
      <c r="P2639">
        <v>0.73197199999999996</v>
      </c>
      <c r="Q2639">
        <v>-9.9967050000000002E-2</v>
      </c>
      <c r="R2639">
        <v>-0.67396119999999904</v>
      </c>
      <c r="S2639">
        <v>2.9036559999999998</v>
      </c>
      <c r="T2639">
        <v>-0.38155159999999999</v>
      </c>
      <c r="U2639">
        <v>-1.2583310000000001</v>
      </c>
      <c r="V2639">
        <v>-0.33776850000000003</v>
      </c>
      <c r="W2639">
        <v>-8.9854110000000001E-2</v>
      </c>
      <c r="X2639">
        <v>0.9369305</v>
      </c>
      <c r="Y2639">
        <v>-0.62333159999999999</v>
      </c>
      <c r="Z2639">
        <v>0.1165948</v>
      </c>
      <c r="AA2639">
        <v>0.77321619999999902</v>
      </c>
      <c r="AB2639">
        <v>13</v>
      </c>
      <c r="AC2639">
        <v>0.73509999999998799</v>
      </c>
      <c r="AD2639">
        <v>-0.113251</v>
      </c>
      <c r="AE2639">
        <v>-0.15610000000000901</v>
      </c>
      <c r="AF2639">
        <v>-0.56716776188925899</v>
      </c>
      <c r="AG2639">
        <v>-0.113251</v>
      </c>
      <c r="AH2639">
        <v>0.46717930259363599</v>
      </c>
      <c r="AI2639">
        <v>98.761727314371498</v>
      </c>
      <c r="AJ2639">
        <v>140.521522927793</v>
      </c>
      <c r="AK2639">
        <v>0.74347936077563603</v>
      </c>
      <c r="AL2639">
        <v>95.155213991320593</v>
      </c>
      <c r="AM2639">
        <v>109.824506963479</v>
      </c>
      <c r="AN2639">
        <v>1.00000004125319</v>
      </c>
    </row>
    <row r="2640" spans="1:40" x14ac:dyDescent="0.25">
      <c r="A2640" t="str">
        <f>"20190303154518483"</f>
        <v>20190303154518483</v>
      </c>
      <c r="B2640" t="str">
        <f>"1551599118473734"</f>
        <v>1551599118473734</v>
      </c>
      <c r="C2640" t="s">
        <v>40</v>
      </c>
      <c r="D2640">
        <v>4.8467719999999996</v>
      </c>
      <c r="E2640">
        <v>0.30937710000000002</v>
      </c>
      <c r="F2640" t="s">
        <v>54</v>
      </c>
      <c r="G2640">
        <v>-480.7364</v>
      </c>
      <c r="H2640" s="1">
        <v>1.8846440000000001E-6</v>
      </c>
      <c r="I2640">
        <v>219.28200000000001</v>
      </c>
      <c r="J2640">
        <v>-489.70780000000002</v>
      </c>
      <c r="K2640">
        <v>1.1230709999999999</v>
      </c>
      <c r="L2640">
        <v>221.73750000000001</v>
      </c>
      <c r="M2640">
        <v>0.46706039999999999</v>
      </c>
      <c r="N2640">
        <v>-1.2414629999999999E-2</v>
      </c>
      <c r="O2640">
        <v>-0.88413819999999999</v>
      </c>
      <c r="P2640">
        <v>0.73702469999999998</v>
      </c>
      <c r="Q2640">
        <v>-9.9051639999999996E-2</v>
      </c>
      <c r="R2640">
        <v>-0.6685681</v>
      </c>
      <c r="S2640">
        <v>3.206604</v>
      </c>
      <c r="T2640">
        <v>-0.39857419999999999</v>
      </c>
      <c r="U2640">
        <v>-0.90956119999999996</v>
      </c>
      <c r="V2640">
        <v>-0.33893190000000001</v>
      </c>
      <c r="W2640">
        <v>-8.9213699999999896E-2</v>
      </c>
      <c r="X2640">
        <v>0.93657140000000005</v>
      </c>
      <c r="Y2640">
        <v>-0.71538619999999997</v>
      </c>
      <c r="Z2640">
        <v>0.1201673</v>
      </c>
      <c r="AA2640">
        <v>0.6883186</v>
      </c>
      <c r="AB2640">
        <v>13</v>
      </c>
      <c r="AC2640">
        <v>8.9714000000000098</v>
      </c>
      <c r="AD2640">
        <v>-1.123069115356</v>
      </c>
      <c r="AE2640">
        <v>-2.4554999999999998</v>
      </c>
      <c r="AF2640">
        <v>-6.6881099092234297</v>
      </c>
      <c r="AG2640">
        <v>-1.123069115356</v>
      </c>
      <c r="AH2640">
        <v>6.2702652400044299</v>
      </c>
      <c r="AI2640">
        <v>96.984083679112999</v>
      </c>
      <c r="AJ2640">
        <v>136.84687072883199</v>
      </c>
      <c r="AK2640">
        <v>9.2362505691285204</v>
      </c>
      <c r="AL2640">
        <v>95.118373698311501</v>
      </c>
      <c r="AM2640">
        <v>109.894471231263</v>
      </c>
      <c r="AN2640">
        <v>0.99999995220162796</v>
      </c>
    </row>
    <row r="2641" spans="1:40" x14ac:dyDescent="0.25">
      <c r="A2641" t="str">
        <f>"20190303154518504"</f>
        <v>20190303154518504</v>
      </c>
      <c r="B2641" t="str">
        <f>"1551599118493253"</f>
        <v>1551599118493253</v>
      </c>
      <c r="C2641" t="s">
        <v>40</v>
      </c>
      <c r="D2641">
        <v>4.8053369999999997</v>
      </c>
      <c r="E2641">
        <v>0.30751230000000002</v>
      </c>
      <c r="F2641" t="s">
        <v>54</v>
      </c>
      <c r="G2641">
        <v>-480.98700000000002</v>
      </c>
      <c r="H2641" s="1">
        <v>1.9334879999999999E-6</v>
      </c>
      <c r="I2641">
        <v>219.3826</v>
      </c>
      <c r="J2641">
        <v>-489.6422</v>
      </c>
      <c r="K2641">
        <v>1.123048</v>
      </c>
      <c r="L2641">
        <v>221.6293</v>
      </c>
      <c r="M2641">
        <v>0.47259600000000002</v>
      </c>
      <c r="N2641">
        <v>-1.215198E-2</v>
      </c>
      <c r="O2641">
        <v>-0.88119559999999997</v>
      </c>
      <c r="P2641">
        <v>0.74205369999999904</v>
      </c>
      <c r="Q2641">
        <v>-9.9069069999999995E-2</v>
      </c>
      <c r="R2641">
        <v>-0.66297969999999995</v>
      </c>
      <c r="S2641">
        <v>3.2247620000000001</v>
      </c>
      <c r="T2641">
        <v>-0.41528609999999999</v>
      </c>
      <c r="U2641">
        <v>-0.87078860000000002</v>
      </c>
      <c r="V2641">
        <v>-0.34013209999999999</v>
      </c>
      <c r="W2641">
        <v>-8.9491669999999995E-2</v>
      </c>
      <c r="X2641">
        <v>0.93610970000000004</v>
      </c>
      <c r="Y2641">
        <v>-0.71903470000000003</v>
      </c>
      <c r="Z2641">
        <v>0.1256033</v>
      </c>
      <c r="AA2641">
        <v>0.68352990000000002</v>
      </c>
      <c r="AB2641">
        <v>13</v>
      </c>
      <c r="AC2641">
        <v>8.6552000000000309</v>
      </c>
      <c r="AD2641">
        <v>-1.1230460665119999</v>
      </c>
      <c r="AE2641">
        <v>-2.2467000000000001</v>
      </c>
      <c r="AF2641">
        <v>-6.4636731968115102</v>
      </c>
      <c r="AG2641">
        <v>-1.1230460665119999</v>
      </c>
      <c r="AH2641">
        <v>5.9763753383750204</v>
      </c>
      <c r="AI2641">
        <v>97.270103981759306</v>
      </c>
      <c r="AJ2641">
        <v>137.243226245957</v>
      </c>
      <c r="AK2641">
        <v>8.8745346834538203</v>
      </c>
      <c r="AL2641">
        <v>95.134363986635407</v>
      </c>
      <c r="AM2641">
        <v>109.96843231600199</v>
      </c>
      <c r="AN2641">
        <v>0.99999998744194396</v>
      </c>
    </row>
    <row r="2642" spans="1:40" x14ac:dyDescent="0.25">
      <c r="A2642" t="str">
        <f>"20190303154518527"</f>
        <v>20190303154518527</v>
      </c>
      <c r="B2642" t="str">
        <f>"1551599118523041"</f>
        <v>1551599118523041</v>
      </c>
      <c r="C2642" t="s">
        <v>40</v>
      </c>
      <c r="D2642">
        <v>4.7932810000000003</v>
      </c>
      <c r="E2642">
        <v>0.30668600000000001</v>
      </c>
      <c r="F2642" t="s">
        <v>54</v>
      </c>
      <c r="G2642">
        <v>-481.05470000000003</v>
      </c>
      <c r="H2642" s="1">
        <v>1.947024E-6</v>
      </c>
      <c r="I2642">
        <v>219.41730000000001</v>
      </c>
      <c r="J2642">
        <v>-489.5752</v>
      </c>
      <c r="K2642">
        <v>1.1230279999999999</v>
      </c>
      <c r="L2642">
        <v>221.52019999999999</v>
      </c>
      <c r="M2642">
        <v>0.47816910000000001</v>
      </c>
      <c r="N2642">
        <v>-1.190983E-2</v>
      </c>
      <c r="O2642">
        <v>-0.87818719999999995</v>
      </c>
      <c r="P2642">
        <v>0.7472143</v>
      </c>
      <c r="Q2642">
        <v>-9.9756319999999996E-2</v>
      </c>
      <c r="R2642">
        <v>-0.65705369999999996</v>
      </c>
      <c r="S2642">
        <v>3.2405400000000002</v>
      </c>
      <c r="T2642">
        <v>-0.42378569999999999</v>
      </c>
      <c r="U2642">
        <v>-0.83471679999999904</v>
      </c>
      <c r="V2642">
        <v>-0.34156229999999999</v>
      </c>
      <c r="W2642">
        <v>-9.0426439999999997E-2</v>
      </c>
      <c r="X2642">
        <v>0.93549899999999997</v>
      </c>
      <c r="Y2642">
        <v>-0.72224529999999998</v>
      </c>
      <c r="Z2642">
        <v>0.1284081</v>
      </c>
      <c r="AA2642">
        <v>0.67961249999999995</v>
      </c>
      <c r="AB2642">
        <v>13</v>
      </c>
      <c r="AC2642">
        <v>8.52049999999997</v>
      </c>
      <c r="AD2642">
        <v>-1.1230260529760001</v>
      </c>
      <c r="AE2642">
        <v>-2.1028999999999698</v>
      </c>
      <c r="AF2642">
        <v>-6.3731530713221698</v>
      </c>
      <c r="AG2642">
        <v>-1.1230260529760001</v>
      </c>
      <c r="AH2642">
        <v>5.8260005396297201</v>
      </c>
      <c r="AI2642">
        <v>97.410208170174599</v>
      </c>
      <c r="AJ2642">
        <v>137.56809082676401</v>
      </c>
      <c r="AK2642">
        <v>8.7074996338749209</v>
      </c>
      <c r="AL2642">
        <v>95.188140013483803</v>
      </c>
      <c r="AM2642">
        <v>110.057765682658</v>
      </c>
      <c r="AN2642">
        <v>1.0000000624166701</v>
      </c>
    </row>
    <row r="2643" spans="1:40" x14ac:dyDescent="0.25">
      <c r="A2643" t="str">
        <f>"20190303154518548"</f>
        <v>20190303154518548</v>
      </c>
      <c r="B2643" t="str">
        <f>"1551599118543537"</f>
        <v>1551599118543537</v>
      </c>
      <c r="C2643" t="s">
        <v>40</v>
      </c>
      <c r="D2643">
        <v>4.7833360000000003</v>
      </c>
      <c r="E2643">
        <v>0.3068572</v>
      </c>
      <c r="F2643" t="s">
        <v>54</v>
      </c>
      <c r="G2643">
        <v>-481.11439999999999</v>
      </c>
      <c r="H2643" s="1">
        <v>1.9581419999999998E-6</v>
      </c>
      <c r="I2643">
        <v>219.42920000000001</v>
      </c>
      <c r="J2643">
        <v>-489.51100000000002</v>
      </c>
      <c r="K2643">
        <v>1.1230249999999999</v>
      </c>
      <c r="L2643">
        <v>221.417</v>
      </c>
      <c r="M2643">
        <v>0.4834368</v>
      </c>
      <c r="N2643">
        <v>-1.170556E-2</v>
      </c>
      <c r="O2643">
        <v>-0.87530110000000005</v>
      </c>
      <c r="P2643">
        <v>0.75210310000000002</v>
      </c>
      <c r="Q2643">
        <v>-9.9702239999999998E-2</v>
      </c>
      <c r="R2643">
        <v>-0.65146019999999905</v>
      </c>
      <c r="S2643">
        <v>3.2507929999999998</v>
      </c>
      <c r="T2643">
        <v>-0.4314885</v>
      </c>
      <c r="U2643">
        <v>-0.80342100000000005</v>
      </c>
      <c r="V2643">
        <v>-0.34292420000000001</v>
      </c>
      <c r="W2643">
        <v>-9.0585890000000002E-2</v>
      </c>
      <c r="X2643">
        <v>0.93498510000000001</v>
      </c>
      <c r="Y2643">
        <v>-0.7244391</v>
      </c>
      <c r="Z2643">
        <v>0.13102039999999901</v>
      </c>
      <c r="AA2643">
        <v>0.67677299999999996</v>
      </c>
      <c r="AB2643">
        <v>13</v>
      </c>
      <c r="AC2643">
        <v>8.3965999999999692</v>
      </c>
      <c r="AD2643">
        <v>-1.1230230418579901</v>
      </c>
      <c r="AE2643">
        <v>-1.98779999999999</v>
      </c>
      <c r="AF2643">
        <v>-6.2825938233524798</v>
      </c>
      <c r="AG2643">
        <v>-1.1230230418579901</v>
      </c>
      <c r="AH2643">
        <v>5.7029436033424297</v>
      </c>
      <c r="AI2643">
        <v>97.539535351144593</v>
      </c>
      <c r="AJ2643">
        <v>137.76880820413899</v>
      </c>
      <c r="AK2643">
        <v>8.5589562240190897</v>
      </c>
      <c r="AL2643">
        <v>95.197313935550198</v>
      </c>
      <c r="AM2643">
        <v>110.14150676348299</v>
      </c>
      <c r="AN2643">
        <v>0.99999997381737005</v>
      </c>
    </row>
    <row r="2644" spans="1:40" x14ac:dyDescent="0.25">
      <c r="A2644" t="str">
        <f>"20190303154518595"</f>
        <v>20190303154518595</v>
      </c>
      <c r="B2644" t="str">
        <f>"1551599118583552"</f>
        <v>1551599118583552</v>
      </c>
      <c r="C2644" t="s">
        <v>40</v>
      </c>
      <c r="D2644">
        <v>4.7222</v>
      </c>
      <c r="E2644">
        <v>0.3072995</v>
      </c>
      <c r="F2644" t="s">
        <v>54</v>
      </c>
      <c r="G2644">
        <v>-481.05470000000003</v>
      </c>
      <c r="H2644" s="1">
        <v>1.9458710000000001E-6</v>
      </c>
      <c r="I2644">
        <v>219.39080000000001</v>
      </c>
      <c r="J2644">
        <v>-489.36919999999998</v>
      </c>
      <c r="K2644">
        <v>1.123038</v>
      </c>
      <c r="L2644">
        <v>221.19399999999999</v>
      </c>
      <c r="M2644">
        <v>0.49480220000000003</v>
      </c>
      <c r="N2644">
        <v>-1.134282E-2</v>
      </c>
      <c r="O2644">
        <v>-0.86893180000000003</v>
      </c>
      <c r="P2644">
        <v>0.76213540000000002</v>
      </c>
      <c r="Q2644">
        <v>-9.9400950000000002E-2</v>
      </c>
      <c r="R2644">
        <v>-0.63974169999999997</v>
      </c>
      <c r="S2644">
        <v>3.2557680000000002</v>
      </c>
      <c r="T2644">
        <v>-0.43237900000000001</v>
      </c>
      <c r="U2644">
        <v>-0.78012079999999995</v>
      </c>
      <c r="V2644">
        <v>-0.34523559999999998</v>
      </c>
      <c r="W2644">
        <v>-9.0675430000000001E-2</v>
      </c>
      <c r="X2644">
        <v>0.93412539999999999</v>
      </c>
      <c r="Y2644">
        <v>-0.72031210000000001</v>
      </c>
      <c r="Z2644">
        <v>0.131271</v>
      </c>
      <c r="AA2644">
        <v>0.68111560000000004</v>
      </c>
      <c r="AB2644">
        <v>13</v>
      </c>
      <c r="AC2644">
        <v>8.3144999999999492</v>
      </c>
      <c r="AD2644">
        <v>-1.1230360541290001</v>
      </c>
      <c r="AE2644">
        <v>-1.8031999999999999</v>
      </c>
      <c r="AF2644">
        <v>-6.2244559276817801</v>
      </c>
      <c r="AG2644">
        <v>-1.1230360541290001</v>
      </c>
      <c r="AH2644">
        <v>5.5839588915363896</v>
      </c>
      <c r="AI2644">
        <v>97.649109967359294</v>
      </c>
      <c r="AJ2644">
        <v>138.10472251677601</v>
      </c>
      <c r="AK2644">
        <v>8.43715938434819</v>
      </c>
      <c r="AL2644">
        <v>95.202465482676701</v>
      </c>
      <c r="AM2644">
        <v>110.283387106456</v>
      </c>
      <c r="AN2644">
        <v>0.99999995801910102</v>
      </c>
    </row>
    <row r="2645" spans="1:40" x14ac:dyDescent="0.25">
      <c r="A2645" t="str">
        <f>"20190303154518615"</f>
        <v>20190303154518615</v>
      </c>
      <c r="B2645" t="str">
        <f>"1551599118613809"</f>
        <v>1551599118613809</v>
      </c>
      <c r="C2645" t="s">
        <v>40</v>
      </c>
      <c r="D2645">
        <v>4.7031460000000003</v>
      </c>
      <c r="E2645">
        <v>0.30754599999999999</v>
      </c>
      <c r="F2645" t="s">
        <v>54</v>
      </c>
      <c r="G2645">
        <v>-480.98340000000002</v>
      </c>
      <c r="H2645" s="1">
        <v>1.9298289999999999E-6</v>
      </c>
      <c r="I2645">
        <v>219.31319999999999</v>
      </c>
      <c r="J2645">
        <v>-489.30290000000002</v>
      </c>
      <c r="K2645">
        <v>1.1230560000000001</v>
      </c>
      <c r="L2645">
        <v>221.0917</v>
      </c>
      <c r="M2645">
        <v>0.5000192</v>
      </c>
      <c r="N2645">
        <v>-1.1205410000000001E-2</v>
      </c>
      <c r="O2645">
        <v>-0.86594199999999999</v>
      </c>
      <c r="P2645">
        <v>0.76623719999999995</v>
      </c>
      <c r="Q2645">
        <v>-9.8895280000000002E-2</v>
      </c>
      <c r="R2645">
        <v>-0.63490179999999996</v>
      </c>
      <c r="S2645">
        <v>3.2647089999999999</v>
      </c>
      <c r="T2645">
        <v>-0.4372144</v>
      </c>
      <c r="U2645">
        <v>-0.73222349999999903</v>
      </c>
      <c r="V2645">
        <v>-0.34558939999999999</v>
      </c>
      <c r="W2645">
        <v>-9.0316010000000002E-2</v>
      </c>
      <c r="X2645">
        <v>0.93402949999999996</v>
      </c>
      <c r="Y2645">
        <v>-0.72578279999999995</v>
      </c>
      <c r="Z2645">
        <v>0.13328709999999999</v>
      </c>
      <c r="AA2645">
        <v>0.67488809999999999</v>
      </c>
      <c r="AB2645">
        <v>13</v>
      </c>
      <c r="AC2645">
        <v>8.3194999999999997</v>
      </c>
      <c r="AD2645">
        <v>-1.1230540701709999</v>
      </c>
      <c r="AE2645">
        <v>-1.7785</v>
      </c>
      <c r="AF2645">
        <v>-6.2071495053360799</v>
      </c>
      <c r="AG2645">
        <v>-1.1230540701709999</v>
      </c>
      <c r="AH2645">
        <v>5.6027112446961196</v>
      </c>
      <c r="AI2645">
        <v>97.649521494265102</v>
      </c>
      <c r="AJ2645">
        <v>137.92988803712501</v>
      </c>
      <c r="AK2645">
        <v>8.4368435280954408</v>
      </c>
      <c r="AL2645">
        <v>95.181786852284603</v>
      </c>
      <c r="AM2645">
        <v>110.304391966572</v>
      </c>
      <c r="AN2645">
        <v>1.00000006096246</v>
      </c>
    </row>
    <row r="2646" spans="1:40" x14ac:dyDescent="0.25">
      <c r="A2646" t="str">
        <f>"20190303154518638"</f>
        <v>20190303154518638</v>
      </c>
      <c r="B2646" t="str">
        <f>"1551599118633329"</f>
        <v>1551599118633329</v>
      </c>
      <c r="C2646" t="s">
        <v>40</v>
      </c>
      <c r="D2646">
        <v>4.7126159999999997</v>
      </c>
      <c r="E2646">
        <v>0.30796780000000001</v>
      </c>
      <c r="F2646" t="s">
        <v>54</v>
      </c>
      <c r="G2646">
        <v>-480.89350000000002</v>
      </c>
      <c r="H2646" s="1">
        <v>1.9114219999999998E-6</v>
      </c>
      <c r="I2646">
        <v>219.25710000000001</v>
      </c>
      <c r="J2646">
        <v>-489.2321</v>
      </c>
      <c r="K2646">
        <v>1.1230770000000001</v>
      </c>
      <c r="L2646">
        <v>220.98410000000001</v>
      </c>
      <c r="M2646">
        <v>0.50551049999999997</v>
      </c>
      <c r="N2646">
        <v>-1.1077129999999999E-2</v>
      </c>
      <c r="O2646">
        <v>-0.86274930000000005</v>
      </c>
      <c r="P2646">
        <v>0.77057019999999998</v>
      </c>
      <c r="Q2646">
        <v>-9.9010799999999996E-2</v>
      </c>
      <c r="R2646">
        <v>-0.6296176</v>
      </c>
      <c r="S2646">
        <v>3.2681269999999998</v>
      </c>
      <c r="T2646">
        <v>-0.43645099999999998</v>
      </c>
      <c r="U2646">
        <v>-0.71298219999999901</v>
      </c>
      <c r="V2646">
        <v>-0.34606019999999998</v>
      </c>
      <c r="W2646">
        <v>-9.0570899999999996E-2</v>
      </c>
      <c r="X2646">
        <v>0.93383039999999995</v>
      </c>
      <c r="Y2646">
        <v>-0.72542469999999903</v>
      </c>
      <c r="Z2646">
        <v>0.13309860000000001</v>
      </c>
      <c r="AA2646">
        <v>0.67531009999999903</v>
      </c>
      <c r="AB2646">
        <v>13</v>
      </c>
      <c r="AC2646">
        <v>8.33859999999998</v>
      </c>
      <c r="AD2646">
        <v>-1.1230750885780001</v>
      </c>
      <c r="AE2646">
        <v>-1.7270000000000001</v>
      </c>
      <c r="AF2646">
        <v>-6.2134186545549301</v>
      </c>
      <c r="AG2646">
        <v>-1.1230750885780001</v>
      </c>
      <c r="AH2646">
        <v>5.6080240880789498</v>
      </c>
      <c r="AI2646">
        <v>97.642245008480302</v>
      </c>
      <c r="AJ2646">
        <v>137.93164537653999</v>
      </c>
      <c r="AK2646">
        <v>8.4449868681857296</v>
      </c>
      <c r="AL2646">
        <v>95.196451479086207</v>
      </c>
      <c r="AM2646">
        <v>110.333769929864</v>
      </c>
      <c r="AN2646">
        <v>0.99999998295750403</v>
      </c>
    </row>
    <row r="2647" spans="1:40" x14ac:dyDescent="0.25">
      <c r="A2647" t="str">
        <f>"20190303154518660"</f>
        <v>20190303154518660</v>
      </c>
      <c r="B2647" t="str">
        <f>"1551599118653826"</f>
        <v>1551599118653826</v>
      </c>
      <c r="C2647" t="s">
        <v>40</v>
      </c>
      <c r="D2647">
        <v>4.7556909999999997</v>
      </c>
      <c r="E2647">
        <v>0.3087008</v>
      </c>
      <c r="F2647" t="s">
        <v>54</v>
      </c>
      <c r="G2647">
        <v>-480.875</v>
      </c>
      <c r="H2647" s="1">
        <v>1.906198E-6</v>
      </c>
      <c r="I2647">
        <v>219.21270000000001</v>
      </c>
      <c r="J2647">
        <v>-489.15989999999999</v>
      </c>
      <c r="K2647">
        <v>1.1230869999999999</v>
      </c>
      <c r="L2647">
        <v>220.8758</v>
      </c>
      <c r="M2647">
        <v>0.51104349999999998</v>
      </c>
      <c r="N2647">
        <v>-1.096718E-2</v>
      </c>
      <c r="O2647">
        <v>-0.8594851</v>
      </c>
      <c r="P2647">
        <v>0.77472540000000001</v>
      </c>
      <c r="Q2647">
        <v>-9.9180000000000004E-2</v>
      </c>
      <c r="R2647">
        <v>-0.62447149999999996</v>
      </c>
      <c r="S2647">
        <v>3.2703549999999999</v>
      </c>
      <c r="T2647">
        <v>-0.43948979999999999</v>
      </c>
      <c r="U2647">
        <v>-0.693222</v>
      </c>
      <c r="V2647">
        <v>-0.346257599999999</v>
      </c>
      <c r="W2647">
        <v>-9.0857549999999995E-2</v>
      </c>
      <c r="X2647">
        <v>0.93372940000000004</v>
      </c>
      <c r="Y2647">
        <v>-0.72489119999999996</v>
      </c>
      <c r="Z2647">
        <v>0.13413729999999999</v>
      </c>
      <c r="AA2647">
        <v>0.67567739999999998</v>
      </c>
      <c r="AB2647">
        <v>13</v>
      </c>
      <c r="AC2647">
        <v>8.2848999999999897</v>
      </c>
      <c r="AD2647">
        <v>-1.1230850938020001</v>
      </c>
      <c r="AE2647">
        <v>-1.66309999999998</v>
      </c>
      <c r="AF2647">
        <v>-6.1623546103047699</v>
      </c>
      <c r="AG2647">
        <v>-1.1230850938020001</v>
      </c>
      <c r="AH2647">
        <v>5.5653854695654701</v>
      </c>
      <c r="AI2647">
        <v>97.702762715415503</v>
      </c>
      <c r="AJ2647">
        <v>137.91397291009201</v>
      </c>
      <c r="AK2647">
        <v>8.3791079415362102</v>
      </c>
      <c r="AL2647">
        <v>95.212943189594895</v>
      </c>
      <c r="AM2647">
        <v>110.34643858463799</v>
      </c>
      <c r="AN2647">
        <v>1.00000000618706</v>
      </c>
    </row>
    <row r="2648" spans="1:40" x14ac:dyDescent="0.25">
      <c r="A2648" t="str">
        <f>"20190303154518684"</f>
        <v>20190303154518684</v>
      </c>
      <c r="B2648" t="str">
        <f>"1551599118673345"</f>
        <v>1551599118673345</v>
      </c>
      <c r="C2648" t="s">
        <v>40</v>
      </c>
      <c r="D2648">
        <v>4.7283369999999998</v>
      </c>
      <c r="E2648">
        <v>0.30944519999999998</v>
      </c>
      <c r="F2648" t="s">
        <v>54</v>
      </c>
      <c r="G2648">
        <v>-480.8578</v>
      </c>
      <c r="H2648" s="1">
        <v>1.900837E-6</v>
      </c>
      <c r="I2648">
        <v>219.15960000000001</v>
      </c>
      <c r="J2648">
        <v>-489.0865</v>
      </c>
      <c r="K2648">
        <v>1.1231</v>
      </c>
      <c r="L2648">
        <v>220.76740000000001</v>
      </c>
      <c r="M2648">
        <v>0.51657989999999998</v>
      </c>
      <c r="N2648">
        <v>-1.0879379999999999E-2</v>
      </c>
      <c r="O2648">
        <v>-0.85616999999999999</v>
      </c>
      <c r="P2648">
        <v>0.77920780000000001</v>
      </c>
      <c r="Q2648">
        <v>-9.9017320000000006E-2</v>
      </c>
      <c r="R2648">
        <v>-0.61889519999999998</v>
      </c>
      <c r="S2648">
        <v>3.270721</v>
      </c>
      <c r="T2648">
        <v>-0.44245800000000002</v>
      </c>
      <c r="U2648">
        <v>-0.67611690000000002</v>
      </c>
      <c r="V2648">
        <v>-0.34694789999999998</v>
      </c>
      <c r="W2648">
        <v>-9.0793479999999996E-2</v>
      </c>
      <c r="X2648">
        <v>0.93347939999999996</v>
      </c>
      <c r="Y2648">
        <v>-0.7237403</v>
      </c>
      <c r="Z2648">
        <v>0.13514019999999999</v>
      </c>
      <c r="AA2648">
        <v>0.67671049999999999</v>
      </c>
      <c r="AB2648">
        <v>13</v>
      </c>
      <c r="AC2648">
        <v>8.2286999999999999</v>
      </c>
      <c r="AD2648">
        <v>-1.123098099163</v>
      </c>
      <c r="AE2648">
        <v>-1.6077999999999899</v>
      </c>
      <c r="AF2648">
        <v>-6.1054247695653103</v>
      </c>
      <c r="AG2648">
        <v>-1.123098099163</v>
      </c>
      <c r="AH2648">
        <v>5.5284648559631</v>
      </c>
      <c r="AI2648">
        <v>97.764738007636495</v>
      </c>
      <c r="AJ2648">
        <v>137.83914561593599</v>
      </c>
      <c r="AK2648">
        <v>8.3127302747523508</v>
      </c>
      <c r="AL2648">
        <v>95.209256806607002</v>
      </c>
      <c r="AM2648">
        <v>110.388676986986</v>
      </c>
      <c r="AN2648">
        <v>1.0000000457746301</v>
      </c>
    </row>
    <row r="2649" spans="1:40" x14ac:dyDescent="0.25">
      <c r="A2649" t="str">
        <f>"20190303154518705"</f>
        <v>20190303154518705</v>
      </c>
      <c r="B2649" t="str">
        <f>"1551599118703602"</f>
        <v>1551599118703602</v>
      </c>
      <c r="C2649" t="s">
        <v>40</v>
      </c>
      <c r="D2649">
        <v>4.7312820000000002</v>
      </c>
      <c r="E2649">
        <v>0.32086439999999999</v>
      </c>
      <c r="F2649" t="s">
        <v>54</v>
      </c>
      <c r="G2649">
        <v>-480.7955</v>
      </c>
      <c r="H2649" s="1">
        <v>1.8872929999999999E-6</v>
      </c>
      <c r="I2649">
        <v>219.1027</v>
      </c>
      <c r="J2649">
        <v>-489.01350000000002</v>
      </c>
      <c r="K2649">
        <v>1.1231100000000001</v>
      </c>
      <c r="L2649">
        <v>220.6611</v>
      </c>
      <c r="M2649">
        <v>0.52201399999999998</v>
      </c>
      <c r="N2649">
        <v>-1.081376E-2</v>
      </c>
      <c r="O2649">
        <v>-0.85286870000000004</v>
      </c>
      <c r="P2649">
        <v>0.7834044</v>
      </c>
      <c r="Q2649">
        <v>-9.7844050000000002E-2</v>
      </c>
      <c r="R2649">
        <v>-0.61376269999999999</v>
      </c>
      <c r="S2649">
        <v>3.2719420000000001</v>
      </c>
      <c r="T2649">
        <v>-0.4432178</v>
      </c>
      <c r="U2649">
        <v>-0.65696719999999997</v>
      </c>
      <c r="V2649">
        <v>-0.34727479999999999</v>
      </c>
      <c r="W2649">
        <v>-8.9690980000000003E-2</v>
      </c>
      <c r="X2649">
        <v>0.93346439999999997</v>
      </c>
      <c r="Y2649">
        <v>-0.72320379999999995</v>
      </c>
      <c r="Z2649">
        <v>0.135438</v>
      </c>
      <c r="AA2649">
        <v>0.67722439999999995</v>
      </c>
      <c r="AB2649">
        <v>13</v>
      </c>
      <c r="AC2649">
        <v>8.2180000000000106</v>
      </c>
      <c r="AD2649">
        <v>-1.123108112707</v>
      </c>
      <c r="AE2649">
        <v>-1.5584</v>
      </c>
      <c r="AF2649">
        <v>-6.0860052661996997</v>
      </c>
      <c r="AG2649">
        <v>-1.123108112707</v>
      </c>
      <c r="AH2649">
        <v>5.5198324416372202</v>
      </c>
      <c r="AI2649">
        <v>97.783649982391907</v>
      </c>
      <c r="AJ2649">
        <v>137.79287178766299</v>
      </c>
      <c r="AK2649">
        <v>8.2927306791423998</v>
      </c>
      <c r="AL2649">
        <v>95.145829536717102</v>
      </c>
      <c r="AM2649">
        <v>110.406605233018</v>
      </c>
      <c r="AN2649">
        <v>1.00000002233787</v>
      </c>
    </row>
    <row r="2650" spans="1:40" x14ac:dyDescent="0.25">
      <c r="A2650" t="str">
        <f>"20190303154518728"</f>
        <v>20190303154518728</v>
      </c>
      <c r="B2650" t="str">
        <f>"1551599118723121"</f>
        <v>1551599118723121</v>
      </c>
      <c r="C2650" t="s">
        <v>40</v>
      </c>
      <c r="D2650">
        <v>4.6860160000000004</v>
      </c>
      <c r="E2650">
        <v>0.3213048</v>
      </c>
      <c r="F2650" t="s">
        <v>54</v>
      </c>
      <c r="G2650">
        <v>-480.79160000000002</v>
      </c>
      <c r="H2650" s="1">
        <v>1.8757750000000001E-6</v>
      </c>
      <c r="I2650">
        <v>218.85499999999999</v>
      </c>
      <c r="J2650">
        <v>-488.9359</v>
      </c>
      <c r="K2650">
        <v>1.1231249999999999</v>
      </c>
      <c r="L2650">
        <v>220.54949999999999</v>
      </c>
      <c r="M2650">
        <v>0.52771459999999903</v>
      </c>
      <c r="N2650">
        <v>-1.0762280000000001E-2</v>
      </c>
      <c r="O2650">
        <v>-0.84935380000000005</v>
      </c>
      <c r="P2650">
        <v>0.78811249999999999</v>
      </c>
      <c r="Q2650">
        <v>-9.7204319999999997E-2</v>
      </c>
      <c r="R2650">
        <v>-0.60780789999999996</v>
      </c>
      <c r="S2650">
        <v>3.2202760000000001</v>
      </c>
      <c r="T2650">
        <v>-0.43988860000000002</v>
      </c>
      <c r="U2650">
        <v>-0.70738219999999996</v>
      </c>
      <c r="V2650">
        <v>-0.34816469999999999</v>
      </c>
      <c r="W2650">
        <v>-8.9114410000000005E-2</v>
      </c>
      <c r="X2650">
        <v>0.93318809999999996</v>
      </c>
      <c r="Y2650">
        <v>-0.70620319999999903</v>
      </c>
      <c r="Z2650">
        <v>0.13493640000000001</v>
      </c>
      <c r="AA2650">
        <v>0.69503179999999998</v>
      </c>
      <c r="AB2650">
        <v>13</v>
      </c>
      <c r="AC2650">
        <v>8.1442999999999799</v>
      </c>
      <c r="AD2650">
        <v>-1.1231231242249999</v>
      </c>
      <c r="AE2650">
        <v>-1.6944999999999999</v>
      </c>
      <c r="AF2650">
        <v>-5.91569520448747</v>
      </c>
      <c r="AG2650">
        <v>-1.1231231242249999</v>
      </c>
      <c r="AH2650">
        <v>5.6347166794587897</v>
      </c>
      <c r="AI2650">
        <v>97.827540828527404</v>
      </c>
      <c r="AJ2650">
        <v>136.39351819714599</v>
      </c>
      <c r="AK2650">
        <v>8.2466288483437999</v>
      </c>
      <c r="AL2650">
        <v>95.112661635164699</v>
      </c>
      <c r="AM2650">
        <v>110.460125698441</v>
      </c>
      <c r="AN2650">
        <v>1.00000003318867</v>
      </c>
    </row>
    <row r="2651" spans="1:40" x14ac:dyDescent="0.25">
      <c r="A2651" t="str">
        <f>"20190303154518751"</f>
        <v>20190303154518751</v>
      </c>
      <c r="B2651" t="str">
        <f>"1551599118743617"</f>
        <v>1551599118743617</v>
      </c>
      <c r="C2651" t="s">
        <v>40</v>
      </c>
      <c r="D2651">
        <v>4.6969799999999999</v>
      </c>
      <c r="E2651">
        <v>0.3224978</v>
      </c>
      <c r="F2651" t="s">
        <v>54</v>
      </c>
      <c r="G2651">
        <v>-480.5992</v>
      </c>
      <c r="H2651" s="1">
        <v>1.838162E-6</v>
      </c>
      <c r="I2651">
        <v>218.77520000000001</v>
      </c>
      <c r="J2651">
        <v>-488.8612</v>
      </c>
      <c r="K2651">
        <v>1.1231359999999999</v>
      </c>
      <c r="L2651">
        <v>220.4436</v>
      </c>
      <c r="M2651">
        <v>0.5331321</v>
      </c>
      <c r="N2651">
        <v>-1.0724249999999999E-2</v>
      </c>
      <c r="O2651">
        <v>-0.84596399999999905</v>
      </c>
      <c r="P2651">
        <v>0.7925451</v>
      </c>
      <c r="Q2651">
        <v>-9.7081790000000001E-2</v>
      </c>
      <c r="R2651">
        <v>-0.60203619999999902</v>
      </c>
      <c r="S2651">
        <v>3.223846</v>
      </c>
      <c r="T2651">
        <v>-0.43431779999999998</v>
      </c>
      <c r="U2651">
        <v>-0.68614200000000003</v>
      </c>
      <c r="V2651">
        <v>-0.34902549999999999</v>
      </c>
      <c r="W2651">
        <v>-8.9042910000000003E-2</v>
      </c>
      <c r="X2651">
        <v>0.93287319999999996</v>
      </c>
      <c r="Y2651">
        <v>-0.70651830000000004</v>
      </c>
      <c r="Z2651">
        <v>0.13316169999999999</v>
      </c>
      <c r="AA2651">
        <v>0.6950539</v>
      </c>
      <c r="AB2651">
        <v>13</v>
      </c>
      <c r="AC2651">
        <v>8.2620000000000005</v>
      </c>
      <c r="AD2651">
        <v>-1.123134161838</v>
      </c>
      <c r="AE2651">
        <v>-1.6683999999999899</v>
      </c>
      <c r="AF2651">
        <v>-5.9938045540872</v>
      </c>
      <c r="AG2651">
        <v>-1.123134161838</v>
      </c>
      <c r="AH2651">
        <v>5.7150052436716496</v>
      </c>
      <c r="AI2651">
        <v>97.723105173858201</v>
      </c>
      <c r="AJ2651">
        <v>136.36401617285199</v>
      </c>
      <c r="AK2651">
        <v>8.3575360192629997</v>
      </c>
      <c r="AL2651">
        <v>95.108549198706498</v>
      </c>
      <c r="AM2651">
        <v>110.512850854009</v>
      </c>
      <c r="AN2651">
        <v>0.99999992337487598</v>
      </c>
    </row>
    <row r="2652" spans="1:40" x14ac:dyDescent="0.25">
      <c r="A2652" t="str">
        <f>"20190303154518775"</f>
        <v>20190303154518775</v>
      </c>
      <c r="B2652" t="str">
        <f>"1551599118763137"</f>
        <v>1551599118763137</v>
      </c>
      <c r="C2652" t="s">
        <v>40</v>
      </c>
      <c r="D2652">
        <v>4.6958250000000001</v>
      </c>
      <c r="E2652">
        <v>0.323127</v>
      </c>
      <c r="F2652" t="s">
        <v>54</v>
      </c>
      <c r="G2652">
        <v>-480.5138</v>
      </c>
      <c r="H2652" s="1">
        <v>1.8200989999999999E-6</v>
      </c>
      <c r="I2652">
        <v>218.70859999999999</v>
      </c>
      <c r="J2652">
        <v>-488.77730000000003</v>
      </c>
      <c r="K2652">
        <v>1.123146</v>
      </c>
      <c r="L2652">
        <v>220.3263</v>
      </c>
      <c r="M2652">
        <v>0.53913350000000004</v>
      </c>
      <c r="N2652">
        <v>-1.0690409999999999E-2</v>
      </c>
      <c r="O2652">
        <v>-0.84215269999999998</v>
      </c>
      <c r="P2652">
        <v>0.79717899999999997</v>
      </c>
      <c r="Q2652">
        <v>-9.7513269999999999E-2</v>
      </c>
      <c r="R2652">
        <v>-0.59581609999999996</v>
      </c>
      <c r="S2652">
        <v>3.223236</v>
      </c>
      <c r="T2652">
        <v>-0.43368420000000002</v>
      </c>
      <c r="U2652">
        <v>-0.66993709999999995</v>
      </c>
      <c r="V2652">
        <v>-0.34964250000000002</v>
      </c>
      <c r="W2652">
        <v>-8.9522459999999998E-2</v>
      </c>
      <c r="X2652">
        <v>0.93259630000000004</v>
      </c>
      <c r="Y2652">
        <v>-0.70487580000000005</v>
      </c>
      <c r="Z2652">
        <v>0.13294039999999999</v>
      </c>
      <c r="AA2652">
        <v>0.69676179999999999</v>
      </c>
      <c r="AB2652">
        <v>13</v>
      </c>
      <c r="AC2652">
        <v>8.2635000000000201</v>
      </c>
      <c r="AD2652">
        <v>-1.123144179901</v>
      </c>
      <c r="AE2652">
        <v>-1.6177000000000099</v>
      </c>
      <c r="AF2652">
        <v>-5.9809104704214002</v>
      </c>
      <c r="AG2652">
        <v>-1.123144179901</v>
      </c>
      <c r="AH2652">
        <v>5.7161137530460504</v>
      </c>
      <c r="AI2652">
        <v>97.731068783843398</v>
      </c>
      <c r="AJ2652">
        <v>136.29683782127</v>
      </c>
      <c r="AK2652">
        <v>8.3490537991921006</v>
      </c>
      <c r="AL2652">
        <v>95.136135149370105</v>
      </c>
      <c r="AM2652">
        <v>110.55167617714601</v>
      </c>
      <c r="AN2652">
        <v>1.0000000037121901</v>
      </c>
    </row>
    <row r="2653" spans="1:40" x14ac:dyDescent="0.25">
      <c r="A2653" t="str">
        <f>"20190303154518820"</f>
        <v>20190303154518820</v>
      </c>
      <c r="B2653" t="str">
        <f>"1551599118812913"</f>
        <v>1551599118812913</v>
      </c>
      <c r="C2653" t="s">
        <v>40</v>
      </c>
      <c r="D2653">
        <v>4.6611269999999996</v>
      </c>
      <c r="E2653">
        <v>0.32385710000000001</v>
      </c>
      <c r="F2653" t="s">
        <v>54</v>
      </c>
      <c r="G2653">
        <v>-480.42590000000001</v>
      </c>
      <c r="H2653" s="1">
        <v>1.801774E-6</v>
      </c>
      <c r="I2653">
        <v>218.64599999999999</v>
      </c>
      <c r="J2653">
        <v>-488.6241</v>
      </c>
      <c r="K2653">
        <v>1.1231599999999999</v>
      </c>
      <c r="L2653">
        <v>220.11660000000001</v>
      </c>
      <c r="M2653">
        <v>0.54989339999999998</v>
      </c>
      <c r="N2653">
        <v>-1.064642E-2</v>
      </c>
      <c r="O2653">
        <v>-0.83516689999999905</v>
      </c>
      <c r="P2653">
        <v>0.80443219999999904</v>
      </c>
      <c r="Q2653">
        <v>-9.8084459999999998E-2</v>
      </c>
      <c r="R2653">
        <v>-0.5858913</v>
      </c>
      <c r="S2653">
        <v>3.2251280000000002</v>
      </c>
      <c r="T2653">
        <v>-0.43373220000000001</v>
      </c>
      <c r="U2653">
        <v>-0.64889529999999995</v>
      </c>
      <c r="V2653">
        <v>-0.34916789999999998</v>
      </c>
      <c r="W2653">
        <v>-9.0155940000000004E-2</v>
      </c>
      <c r="X2653">
        <v>0.93271300000000001</v>
      </c>
      <c r="Y2653">
        <v>-0.70032249999999996</v>
      </c>
      <c r="Z2653">
        <v>0.1325846</v>
      </c>
      <c r="AA2653">
        <v>0.70140550000000002</v>
      </c>
      <c r="AB2653">
        <v>13</v>
      </c>
      <c r="AC2653">
        <v>8.1981999999999804</v>
      </c>
      <c r="AD2653">
        <v>-1.1231581982259999</v>
      </c>
      <c r="AE2653">
        <v>-1.4706000000000099</v>
      </c>
      <c r="AF2653">
        <v>-5.9306907956083199</v>
      </c>
      <c r="AG2653">
        <v>-1.1231581982259999</v>
      </c>
      <c r="AH2653">
        <v>5.6342054361299301</v>
      </c>
      <c r="AI2653">
        <v>97.817847122861593</v>
      </c>
      <c r="AJ2653">
        <v>136.468550977852</v>
      </c>
      <c r="AK2653">
        <v>8.2570484162242597</v>
      </c>
      <c r="AL2653">
        <v>95.172578637803696</v>
      </c>
      <c r="AM2653">
        <v>110.523753250697</v>
      </c>
      <c r="AN2653">
        <v>0.99999992813834404</v>
      </c>
    </row>
    <row r="2654" spans="1:40" x14ac:dyDescent="0.25">
      <c r="A2654" t="str">
        <f>"20190303154518863"</f>
        <v>20190303154518863</v>
      </c>
      <c r="B2654" t="str">
        <f>"1551599118852929"</f>
        <v>1551599118852929</v>
      </c>
      <c r="C2654" t="s">
        <v>40</v>
      </c>
      <c r="D2654">
        <v>4.658112</v>
      </c>
      <c r="E2654">
        <v>0.35544039999999999</v>
      </c>
      <c r="F2654" t="s">
        <v>54</v>
      </c>
      <c r="G2654">
        <v>-480.26909999999998</v>
      </c>
      <c r="H2654" s="1">
        <v>1.7688530000000001E-6</v>
      </c>
      <c r="I2654">
        <v>218.529</v>
      </c>
      <c r="J2654">
        <v>-488.47309999999999</v>
      </c>
      <c r="K2654">
        <v>1.1231990000000001</v>
      </c>
      <c r="L2654">
        <v>219.9153</v>
      </c>
      <c r="M2654">
        <v>0.56026529999999997</v>
      </c>
      <c r="N2654">
        <v>-1.061985E-2</v>
      </c>
      <c r="O2654">
        <v>-0.82824529999999996</v>
      </c>
      <c r="P2654">
        <v>0.8114306</v>
      </c>
      <c r="Q2654">
        <v>-9.7613450000000004E-2</v>
      </c>
      <c r="R2654">
        <v>-0.57624010000000003</v>
      </c>
      <c r="S2654">
        <v>3.229492</v>
      </c>
      <c r="T2654">
        <v>-0.43414039999999998</v>
      </c>
      <c r="U2654">
        <v>-0.61363219999999996</v>
      </c>
      <c r="V2654">
        <v>-0.3487208</v>
      </c>
      <c r="W2654">
        <v>-8.9735850000000006E-2</v>
      </c>
      <c r="X2654">
        <v>0.93292079999999999</v>
      </c>
      <c r="Y2654">
        <v>-0.69905260000000002</v>
      </c>
      <c r="Z2654">
        <v>0.13252900000000001</v>
      </c>
      <c r="AA2654">
        <v>0.70268160000000002</v>
      </c>
      <c r="AB2654">
        <v>13</v>
      </c>
      <c r="AC2654">
        <v>8.2040000000000006</v>
      </c>
      <c r="AD2654">
        <v>-1.123197231147</v>
      </c>
      <c r="AE2654">
        <v>-1.3862999999999699</v>
      </c>
      <c r="AF2654">
        <v>-5.9108503910470596</v>
      </c>
      <c r="AG2654">
        <v>-1.123197231147</v>
      </c>
      <c r="AH2654">
        <v>5.6421166134911598</v>
      </c>
      <c r="AI2654">
        <v>97.826536872768003</v>
      </c>
      <c r="AJ2654">
        <v>136.33251788293299</v>
      </c>
      <c r="AK2654">
        <v>8.2482243086394398</v>
      </c>
      <c r="AL2654">
        <v>95.148411081773901</v>
      </c>
      <c r="AM2654">
        <v>110.495473987897</v>
      </c>
      <c r="AN2654">
        <v>0.99999996910025002</v>
      </c>
    </row>
    <row r="2655" spans="1:40" x14ac:dyDescent="0.25">
      <c r="A2655" t="str">
        <f>"20190303154518884"</f>
        <v>20190303154518884</v>
      </c>
      <c r="B2655" t="str">
        <f>"1551599118873425"</f>
        <v>1551599118873425</v>
      </c>
      <c r="C2655" t="s">
        <v>40</v>
      </c>
      <c r="D2655">
        <v>4.6857199999999999</v>
      </c>
      <c r="E2655">
        <v>0.36866680000000002</v>
      </c>
      <c r="F2655" t="s">
        <v>54</v>
      </c>
      <c r="G2655">
        <v>-478.24470000000002</v>
      </c>
      <c r="H2655" s="1">
        <v>2.4204749999999999E-6</v>
      </c>
      <c r="I2655">
        <v>217.3202</v>
      </c>
      <c r="J2655">
        <v>-488.39409999999998</v>
      </c>
      <c r="K2655">
        <v>1.1232139999999999</v>
      </c>
      <c r="L2655">
        <v>219.81219999999999</v>
      </c>
      <c r="M2655">
        <v>0.56560100000000002</v>
      </c>
      <c r="N2655">
        <v>-1.06103E-2</v>
      </c>
      <c r="O2655">
        <v>-0.82461079999999998</v>
      </c>
      <c r="P2655">
        <v>0.81519569999999997</v>
      </c>
      <c r="Q2655">
        <v>-9.8281199999999999E-2</v>
      </c>
      <c r="R2655">
        <v>-0.57078640000000003</v>
      </c>
      <c r="S2655">
        <v>3.0980530000000002</v>
      </c>
      <c r="T2655">
        <v>-0.3402019</v>
      </c>
      <c r="U2655">
        <v>-0.78601069999999995</v>
      </c>
      <c r="V2655">
        <v>-0.34887849999999998</v>
      </c>
      <c r="W2655">
        <v>-9.0431910000000004E-2</v>
      </c>
      <c r="X2655">
        <v>0.93279460000000003</v>
      </c>
      <c r="Y2655">
        <v>-0.65408159999999904</v>
      </c>
      <c r="Z2655">
        <v>0.1033261</v>
      </c>
      <c r="AA2655">
        <v>0.74933369999999999</v>
      </c>
      <c r="AB2655">
        <v>13</v>
      </c>
      <c r="AC2655">
        <v>10.149399999999901</v>
      </c>
      <c r="AD2655">
        <v>-1.1232115795249999</v>
      </c>
      <c r="AE2655">
        <v>-2.4919999999999898</v>
      </c>
      <c r="AF2655">
        <v>-6.8807394193636799</v>
      </c>
      <c r="AG2655">
        <v>-1.1232115795249999</v>
      </c>
      <c r="AH2655">
        <v>7.7068576945634497</v>
      </c>
      <c r="AI2655">
        <v>96.204657384169806</v>
      </c>
      <c r="AJ2655">
        <v>131.75871316172999</v>
      </c>
      <c r="AK2655">
        <v>10.392393118710199</v>
      </c>
      <c r="AL2655">
        <v>95.188455285456897</v>
      </c>
      <c r="AM2655">
        <v>110.506514537794</v>
      </c>
      <c r="AN2655">
        <v>0.99999995194882796</v>
      </c>
    </row>
    <row r="2656" spans="1:40" x14ac:dyDescent="0.25">
      <c r="A2656" t="str">
        <f>"20190303154518908"</f>
        <v>20190303154518908</v>
      </c>
      <c r="B2656" t="str">
        <f>"1551599118903681"</f>
        <v>1551599118903681</v>
      </c>
      <c r="C2656" t="s">
        <v>40</v>
      </c>
      <c r="D2656">
        <v>4.6809589999999996</v>
      </c>
      <c r="E2656">
        <v>0.376417</v>
      </c>
      <c r="F2656" t="s">
        <v>54</v>
      </c>
      <c r="G2656">
        <v>-478.34050000000002</v>
      </c>
      <c r="H2656" s="1">
        <v>2.3638620000000002E-6</v>
      </c>
      <c r="I2656">
        <v>216.9975</v>
      </c>
      <c r="J2656">
        <v>-488.30810000000002</v>
      </c>
      <c r="K2656">
        <v>1.1232310000000001</v>
      </c>
      <c r="L2656">
        <v>219.70150000000001</v>
      </c>
      <c r="M2656">
        <v>0.57135000000000002</v>
      </c>
      <c r="N2656">
        <v>-1.0603599999999999E-2</v>
      </c>
      <c r="O2656">
        <v>-0.82063809999999904</v>
      </c>
      <c r="P2656">
        <v>0.81917019999999996</v>
      </c>
      <c r="Q2656">
        <v>-9.8308049999999994E-2</v>
      </c>
      <c r="R2656">
        <v>-0.56506279999999998</v>
      </c>
      <c r="S2656">
        <v>3.0426639999999998</v>
      </c>
      <c r="T2656">
        <v>-0.33993329999999999</v>
      </c>
      <c r="U2656">
        <v>-0.85186770000000001</v>
      </c>
      <c r="V2656">
        <v>-0.34888580000000002</v>
      </c>
      <c r="W2656">
        <v>-9.0482220000000002E-2</v>
      </c>
      <c r="X2656">
        <v>0.93278709999999998</v>
      </c>
      <c r="Y2656">
        <v>-0.6301118</v>
      </c>
      <c r="Z2656">
        <v>0.103172</v>
      </c>
      <c r="AA2656">
        <v>0.76961990000000002</v>
      </c>
      <c r="AB2656">
        <v>13</v>
      </c>
      <c r="AC2656">
        <v>9.9675999999999991</v>
      </c>
      <c r="AD2656">
        <v>-1.1232286361379999</v>
      </c>
      <c r="AE2656">
        <v>-2.7040000000000002</v>
      </c>
      <c r="AF2656">
        <v>-6.5576695504009503</v>
      </c>
      <c r="AG2656">
        <v>-1.1232286361379999</v>
      </c>
      <c r="AH2656">
        <v>7.8219194273224897</v>
      </c>
      <c r="AI2656">
        <v>96.279764331433796</v>
      </c>
      <c r="AJ2656">
        <v>129.975489068119</v>
      </c>
      <c r="AK2656">
        <v>10.268743644128101</v>
      </c>
      <c r="AL2656">
        <v>95.191349172395206</v>
      </c>
      <c r="AM2656">
        <v>110.50705906276301</v>
      </c>
      <c r="AN2656">
        <v>1.0000000537520799</v>
      </c>
    </row>
    <row r="2657" spans="1:40" x14ac:dyDescent="0.25">
      <c r="A2657" t="str">
        <f>"20190303154518931"</f>
        <v>20190303154518931</v>
      </c>
      <c r="B2657" t="str">
        <f>"1551599118923201"</f>
        <v>1551599118923201</v>
      </c>
      <c r="C2657" t="s">
        <v>40</v>
      </c>
      <c r="D2657">
        <v>4.6469659999999999</v>
      </c>
      <c r="E2657">
        <v>0.37957940000000001</v>
      </c>
      <c r="F2657" t="s">
        <v>54</v>
      </c>
      <c r="G2657">
        <v>-478.48070000000001</v>
      </c>
      <c r="H2657" s="1">
        <v>2.294246E-6</v>
      </c>
      <c r="I2657">
        <v>216.82769999999999</v>
      </c>
      <c r="J2657">
        <v>-488.22320000000002</v>
      </c>
      <c r="K2657">
        <v>1.1232500000000001</v>
      </c>
      <c r="L2657">
        <v>219.59379999999999</v>
      </c>
      <c r="M2657">
        <v>0.57696380000000003</v>
      </c>
      <c r="N2657">
        <v>-1.060447E-2</v>
      </c>
      <c r="O2657">
        <v>-0.81670100000000001</v>
      </c>
      <c r="P2657">
        <v>0.82311019999999901</v>
      </c>
      <c r="Q2657">
        <v>-9.7381229999999999E-2</v>
      </c>
      <c r="R2657">
        <v>-0.55946980000000002</v>
      </c>
      <c r="S2657">
        <v>3.0130620000000001</v>
      </c>
      <c r="T2657">
        <v>-0.34438200000000002</v>
      </c>
      <c r="U2657">
        <v>-0.88113399999999997</v>
      </c>
      <c r="V2657">
        <v>-0.34893380000000002</v>
      </c>
      <c r="W2657">
        <v>-8.9571109999999995E-2</v>
      </c>
      <c r="X2657">
        <v>0.93285700000000005</v>
      </c>
      <c r="Y2657">
        <v>-0.61566319999999997</v>
      </c>
      <c r="Z2657">
        <v>0.1044436</v>
      </c>
      <c r="AA2657">
        <v>0.78105719999999901</v>
      </c>
      <c r="AB2657">
        <v>14</v>
      </c>
      <c r="AC2657">
        <v>9.7424999999999997</v>
      </c>
      <c r="AD2657">
        <v>-1.123247705754</v>
      </c>
      <c r="AE2657">
        <v>-2.76609999999999</v>
      </c>
      <c r="AF2657">
        <v>-6.2838294955232197</v>
      </c>
      <c r="AG2657">
        <v>-1.123247705754</v>
      </c>
      <c r="AH2657">
        <v>7.7848275162724896</v>
      </c>
      <c r="AI2657">
        <v>96.406012357783794</v>
      </c>
      <c r="AJ2657">
        <v>128.910097622911</v>
      </c>
      <c r="AK2657">
        <v>10.0673600310807</v>
      </c>
      <c r="AL2657">
        <v>95.138933946925604</v>
      </c>
      <c r="AM2657">
        <v>110.50823667706899</v>
      </c>
      <c r="AN2657">
        <v>0.99999998148903502</v>
      </c>
    </row>
    <row r="2658" spans="1:40" x14ac:dyDescent="0.25">
      <c r="A2658" t="str">
        <f>"20190303154518952"</f>
        <v>20190303154518952</v>
      </c>
      <c r="B2658" t="str">
        <f>"1551599118943697"</f>
        <v>1551599118943697</v>
      </c>
      <c r="C2658" t="s">
        <v>40</v>
      </c>
      <c r="D2658">
        <v>4.6818650000000002</v>
      </c>
      <c r="E2658">
        <v>0.38164799999999999</v>
      </c>
      <c r="F2658" t="s">
        <v>42</v>
      </c>
      <c r="G2658">
        <v>-487.30369999999999</v>
      </c>
      <c r="H2658">
        <v>1.01874</v>
      </c>
      <c r="I2658">
        <v>219.32409999999999</v>
      </c>
      <c r="J2658">
        <v>-488.14420000000001</v>
      </c>
      <c r="K2658">
        <v>1.123273</v>
      </c>
      <c r="L2658">
        <v>219.4949</v>
      </c>
      <c r="M2658">
        <v>0.58214500000000002</v>
      </c>
      <c r="N2658">
        <v>-1.061163E-2</v>
      </c>
      <c r="O2658">
        <v>-0.81301559999999995</v>
      </c>
      <c r="P2658">
        <v>0.82675799999999999</v>
      </c>
      <c r="Q2658">
        <v>-9.68194E-2</v>
      </c>
      <c r="R2658">
        <v>-0.55416359999999998</v>
      </c>
      <c r="S2658">
        <v>3.00528</v>
      </c>
      <c r="T2658">
        <v>-0.34154319999999999</v>
      </c>
      <c r="U2658">
        <v>-0.88133240000000002</v>
      </c>
      <c r="V2658">
        <v>-0.34905560000000002</v>
      </c>
      <c r="W2658">
        <v>-8.9020740000000001E-2</v>
      </c>
      <c r="X2658">
        <v>0.93286409999999997</v>
      </c>
      <c r="Y2658">
        <v>-0.61017580000000005</v>
      </c>
      <c r="Z2658">
        <v>0.1033718</v>
      </c>
      <c r="AA2658">
        <v>0.78549340000000001</v>
      </c>
      <c r="AB2658">
        <v>14</v>
      </c>
      <c r="AC2658">
        <v>0.84050000000002001</v>
      </c>
      <c r="AD2658">
        <v>-0.104533</v>
      </c>
      <c r="AE2658">
        <v>-0.170800000000014</v>
      </c>
      <c r="AF2658">
        <v>-0.57539499639500002</v>
      </c>
      <c r="AG2658">
        <v>-0.104533</v>
      </c>
      <c r="AH2658">
        <v>0.61899650621033797</v>
      </c>
      <c r="AI2658">
        <v>97.051068517287703</v>
      </c>
      <c r="AJ2658">
        <v>132.90933403659201</v>
      </c>
      <c r="AK2658">
        <v>0.85156516172634</v>
      </c>
      <c r="AL2658">
        <v>95.107273665514498</v>
      </c>
      <c r="AM2658">
        <v>110.514655977667</v>
      </c>
      <c r="AN2658">
        <v>0.99999996655515799</v>
      </c>
    </row>
    <row r="2659" spans="1:40" x14ac:dyDescent="0.25">
      <c r="A2659" t="str">
        <f>"20190303154518998"</f>
        <v>20190303154518998</v>
      </c>
      <c r="B2659" t="str">
        <f>"1551599118993473"</f>
        <v>1551599118993473</v>
      </c>
      <c r="C2659" t="s">
        <v>40</v>
      </c>
      <c r="D2659">
        <v>4.703595</v>
      </c>
      <c r="E2659">
        <v>0.38563819999999999</v>
      </c>
      <c r="F2659" t="s">
        <v>42</v>
      </c>
      <c r="G2659">
        <v>-487.23450000000003</v>
      </c>
      <c r="H2659">
        <v>1.019825</v>
      </c>
      <c r="I2659">
        <v>219.22929999999999</v>
      </c>
      <c r="J2659">
        <v>-487.97280000000001</v>
      </c>
      <c r="K2659">
        <v>1.1233219999999999</v>
      </c>
      <c r="L2659">
        <v>219.285</v>
      </c>
      <c r="M2659">
        <v>0.59323059999999905</v>
      </c>
      <c r="N2659">
        <v>-1.064585E-2</v>
      </c>
      <c r="O2659">
        <v>-0.80496230000000002</v>
      </c>
      <c r="P2659">
        <v>0.83490219999999904</v>
      </c>
      <c r="Q2659">
        <v>-9.7632620000000003E-2</v>
      </c>
      <c r="R2659">
        <v>-0.54166950000000003</v>
      </c>
      <c r="S2659">
        <v>3.0016479999999999</v>
      </c>
      <c r="T2659">
        <v>-0.3412095</v>
      </c>
      <c r="U2659">
        <v>-0.87574769999999902</v>
      </c>
      <c r="V2659">
        <v>-0.3502053</v>
      </c>
      <c r="W2659">
        <v>-8.9861559999999993E-2</v>
      </c>
      <c r="X2659">
        <v>0.93235250000000003</v>
      </c>
      <c r="Y2659">
        <v>-0.60046219999999995</v>
      </c>
      <c r="Z2659">
        <v>0.10260130000000001</v>
      </c>
      <c r="AA2659">
        <v>0.79304359999999996</v>
      </c>
      <c r="AB2659">
        <v>14</v>
      </c>
      <c r="AC2659">
        <v>0.73829999999998097</v>
      </c>
      <c r="AD2659">
        <v>-0.10349699999999901</v>
      </c>
      <c r="AE2659">
        <v>-5.5700000000001602E-2</v>
      </c>
      <c r="AF2659">
        <v>-0.55053501515895598</v>
      </c>
      <c r="AG2659">
        <v>-0.10349699999999901</v>
      </c>
      <c r="AH2659">
        <v>0.47359187741304398</v>
      </c>
      <c r="AI2659">
        <v>98.111003512732196</v>
      </c>
      <c r="AJ2659">
        <v>139.296586988065</v>
      </c>
      <c r="AK2659">
        <v>0.73354597557118595</v>
      </c>
      <c r="AL2659">
        <v>95.155642697920001</v>
      </c>
      <c r="AM2659">
        <v>110.58691628990501</v>
      </c>
      <c r="AN2659">
        <v>1.00000001818498</v>
      </c>
    </row>
    <row r="2660" spans="1:40" x14ac:dyDescent="0.25">
      <c r="A2660" t="str">
        <f>"20190303154519019"</f>
        <v>20190303154519019</v>
      </c>
      <c r="B2660" t="str">
        <f>"1551599119012994"</f>
        <v>1551599119012994</v>
      </c>
      <c r="C2660" t="s">
        <v>40</v>
      </c>
      <c r="D2660">
        <v>4.7272290000000003</v>
      </c>
      <c r="E2660">
        <v>0.38678000000000001</v>
      </c>
      <c r="F2660" t="s">
        <v>42</v>
      </c>
      <c r="G2660">
        <v>-487.09879999999998</v>
      </c>
      <c r="H2660">
        <v>1.022052</v>
      </c>
      <c r="I2660">
        <v>219.03479999999999</v>
      </c>
      <c r="J2660">
        <v>-487.88900000000001</v>
      </c>
      <c r="K2660">
        <v>1.1233489999999999</v>
      </c>
      <c r="L2660">
        <v>219.18450000000001</v>
      </c>
      <c r="M2660">
        <v>0.59858449999999996</v>
      </c>
      <c r="N2660">
        <v>-1.066947E-2</v>
      </c>
      <c r="O2660">
        <v>-0.80098859999999905</v>
      </c>
      <c r="P2660">
        <v>0.83866559999999901</v>
      </c>
      <c r="Q2660">
        <v>-9.7714380000000003E-2</v>
      </c>
      <c r="R2660">
        <v>-0.53581009999999996</v>
      </c>
      <c r="S2660">
        <v>2.996613</v>
      </c>
      <c r="T2660">
        <v>-0.34707979999999999</v>
      </c>
      <c r="U2660">
        <v>-0.85710140000000001</v>
      </c>
      <c r="V2660">
        <v>-0.35050310000000001</v>
      </c>
      <c r="W2660">
        <v>-8.9948539999999993E-2</v>
      </c>
      <c r="X2660">
        <v>0.93223219999999996</v>
      </c>
      <c r="Y2660">
        <v>-0.59909730000000005</v>
      </c>
      <c r="Z2660">
        <v>0.1045555</v>
      </c>
      <c r="AA2660">
        <v>0.79382030000000003</v>
      </c>
      <c r="AB2660">
        <v>14</v>
      </c>
      <c r="AC2660">
        <v>0.79020000000002699</v>
      </c>
      <c r="AD2660">
        <v>-0.101296999999999</v>
      </c>
      <c r="AE2660">
        <v>-0.14970000000002401</v>
      </c>
      <c r="AF2660">
        <v>-0.53487884689862197</v>
      </c>
      <c r="AG2660">
        <v>-0.101296999999999</v>
      </c>
      <c r="AH2660">
        <v>0.58368381339967601</v>
      </c>
      <c r="AI2660">
        <v>97.291344046729705</v>
      </c>
      <c r="AJ2660">
        <v>132.501663307553</v>
      </c>
      <c r="AK2660">
        <v>0.79814989638124201</v>
      </c>
      <c r="AL2660">
        <v>95.160646545245299</v>
      </c>
      <c r="AM2660">
        <v>110.605387883093</v>
      </c>
      <c r="AN2660">
        <v>1.00000001883729</v>
      </c>
    </row>
    <row r="2661" spans="1:40" x14ac:dyDescent="0.25">
      <c r="A2661" t="str">
        <f>"20190303154519041"</f>
        <v>20190303154519041</v>
      </c>
      <c r="B2661" t="str">
        <f>"1551599119033490"</f>
        <v>1551599119033490</v>
      </c>
      <c r="C2661" t="s">
        <v>40</v>
      </c>
      <c r="D2661">
        <v>4.732094</v>
      </c>
      <c r="E2661">
        <v>0.38778669999999998</v>
      </c>
      <c r="F2661" t="s">
        <v>42</v>
      </c>
      <c r="G2661">
        <v>-487.02640000000002</v>
      </c>
      <c r="H2661">
        <v>1.022718</v>
      </c>
      <c r="I2661">
        <v>218.9417</v>
      </c>
      <c r="J2661">
        <v>-487.8082</v>
      </c>
      <c r="K2661">
        <v>1.123381</v>
      </c>
      <c r="L2661">
        <v>219.0889</v>
      </c>
      <c r="M2661">
        <v>0.60371300000000006</v>
      </c>
      <c r="N2661">
        <v>-1.0696560000000001E-2</v>
      </c>
      <c r="O2661">
        <v>-0.79713009999999995</v>
      </c>
      <c r="P2661">
        <v>0.84182209999999902</v>
      </c>
      <c r="Q2661">
        <v>-9.7764660000000003E-2</v>
      </c>
      <c r="R2661">
        <v>-0.53082769999999901</v>
      </c>
      <c r="S2661">
        <v>2.9975589999999999</v>
      </c>
      <c r="T2661">
        <v>-0.34967179999999998</v>
      </c>
      <c r="U2661">
        <v>-0.8434296</v>
      </c>
      <c r="V2661">
        <v>-0.35003669999999998</v>
      </c>
      <c r="W2661">
        <v>-8.9993290000000004E-2</v>
      </c>
      <c r="X2661">
        <v>0.93240310000000004</v>
      </c>
      <c r="Y2661">
        <v>-0.59730150000000004</v>
      </c>
      <c r="Z2661">
        <v>0.1051913</v>
      </c>
      <c r="AA2661">
        <v>0.79508849999999998</v>
      </c>
      <c r="AB2661">
        <v>14</v>
      </c>
      <c r="AC2661">
        <v>0.78179999999997496</v>
      </c>
      <c r="AD2661">
        <v>-0.100662999999999</v>
      </c>
      <c r="AE2661">
        <v>-0.147199999999998</v>
      </c>
      <c r="AF2661">
        <v>-0.52593944904129697</v>
      </c>
      <c r="AG2661">
        <v>-0.100662999999999</v>
      </c>
      <c r="AH2661">
        <v>0.58006657480051305</v>
      </c>
      <c r="AI2661">
        <v>97.325796767703494</v>
      </c>
      <c r="AJ2661">
        <v>132.19822183736201</v>
      </c>
      <c r="AK2661">
        <v>0.78944447228900305</v>
      </c>
      <c r="AL2661">
        <v>95.163221006345097</v>
      </c>
      <c r="AM2661">
        <v>110.576812690495</v>
      </c>
      <c r="AN2661">
        <v>1.00000001224076</v>
      </c>
    </row>
    <row r="2662" spans="1:40" x14ac:dyDescent="0.25">
      <c r="A2662" t="str">
        <f>"20190303154519064"</f>
        <v>20190303154519064</v>
      </c>
      <c r="B2662" t="str">
        <f>"1551599119053010"</f>
        <v>1551599119053010</v>
      </c>
      <c r="C2662" t="s">
        <v>40</v>
      </c>
      <c r="D2662">
        <v>4.7504179999999998</v>
      </c>
      <c r="E2662">
        <v>0.38875959999999898</v>
      </c>
      <c r="F2662" t="s">
        <v>42</v>
      </c>
      <c r="G2662">
        <v>-486.95170000000002</v>
      </c>
      <c r="H2662">
        <v>1.023199</v>
      </c>
      <c r="I2662">
        <v>218.851</v>
      </c>
      <c r="J2662">
        <v>-487.7176</v>
      </c>
      <c r="K2662">
        <v>1.123413</v>
      </c>
      <c r="L2662">
        <v>218.98339999999999</v>
      </c>
      <c r="M2662">
        <v>0.60942600000000002</v>
      </c>
      <c r="N2662">
        <v>-1.0732240000000001E-2</v>
      </c>
      <c r="O2662">
        <v>-0.79277059999999999</v>
      </c>
      <c r="P2662">
        <v>0.84503459999999997</v>
      </c>
      <c r="Q2662">
        <v>-9.7657140000000003E-2</v>
      </c>
      <c r="R2662">
        <v>-0.52571849999999998</v>
      </c>
      <c r="S2662">
        <v>2.9980769999999999</v>
      </c>
      <c r="T2662">
        <v>-0.3506533</v>
      </c>
      <c r="U2662">
        <v>-0.83247380000000004</v>
      </c>
      <c r="V2662">
        <v>-0.34898790000000002</v>
      </c>
      <c r="W2662">
        <v>-8.9871530000000005E-2</v>
      </c>
      <c r="X2662">
        <v>0.93280790000000002</v>
      </c>
      <c r="Y2662">
        <v>-0.59426630000000003</v>
      </c>
      <c r="Z2662">
        <v>0.1052034</v>
      </c>
      <c r="AA2662">
        <v>0.79735800000000001</v>
      </c>
      <c r="AB2662">
        <v>14</v>
      </c>
      <c r="AC2662">
        <v>0.76589999999998704</v>
      </c>
      <c r="AD2662">
        <v>-0.100214</v>
      </c>
      <c r="AE2662">
        <v>-0.132399999999989</v>
      </c>
      <c r="AF2662">
        <v>-0.51791559312244495</v>
      </c>
      <c r="AG2662">
        <v>-0.100214</v>
      </c>
      <c r="AH2662">
        <v>0.56240580189854605</v>
      </c>
      <c r="AI2662">
        <v>97.467517057375403</v>
      </c>
      <c r="AJ2662">
        <v>132.641755882345</v>
      </c>
      <c r="AK2662">
        <v>0.771089938596349</v>
      </c>
      <c r="AL2662">
        <v>95.156216288105995</v>
      </c>
      <c r="AM2662">
        <v>110.512141316114</v>
      </c>
      <c r="AN2662">
        <v>1.0000000122766799</v>
      </c>
    </row>
    <row r="2663" spans="1:40" x14ac:dyDescent="0.25">
      <c r="A2663" t="str">
        <f>"20190303154519086"</f>
        <v>20190303154519086</v>
      </c>
      <c r="B2663" t="str">
        <f>"1551599119073505"</f>
        <v>1551599119073505</v>
      </c>
      <c r="C2663" t="s">
        <v>40</v>
      </c>
      <c r="D2663">
        <v>4.7400159999999998</v>
      </c>
      <c r="E2663">
        <v>0.38958179999999998</v>
      </c>
      <c r="F2663" t="s">
        <v>42</v>
      </c>
      <c r="G2663">
        <v>-486.75799999999998</v>
      </c>
      <c r="H2663">
        <v>1.0112479999999999</v>
      </c>
      <c r="I2663">
        <v>218.72069999999999</v>
      </c>
      <c r="J2663">
        <v>-487.63159999999999</v>
      </c>
      <c r="K2663">
        <v>1.123454</v>
      </c>
      <c r="L2663">
        <v>218.88470000000001</v>
      </c>
      <c r="M2663">
        <v>0.61482159999999997</v>
      </c>
      <c r="N2663">
        <v>-1.076804E-2</v>
      </c>
      <c r="O2663">
        <v>-0.78859290000000004</v>
      </c>
      <c r="P2663">
        <v>0.84794249999999904</v>
      </c>
      <c r="Q2663">
        <v>-9.8007440000000001E-2</v>
      </c>
      <c r="R2663">
        <v>-0.52094940000000001</v>
      </c>
      <c r="S2663">
        <v>2.998993</v>
      </c>
      <c r="T2663">
        <v>-0.35050520000000002</v>
      </c>
      <c r="U2663">
        <v>-0.82089230000000002</v>
      </c>
      <c r="V2663">
        <v>-0.34783649999999999</v>
      </c>
      <c r="W2663">
        <v>-9.0207090000000004E-2</v>
      </c>
      <c r="X2663">
        <v>0.93320550000000002</v>
      </c>
      <c r="Y2663">
        <v>-0.59174249999999995</v>
      </c>
      <c r="Z2663">
        <v>0.10487879999999999</v>
      </c>
      <c r="AA2663">
        <v>0.79927550000000003</v>
      </c>
      <c r="AB2663">
        <v>14</v>
      </c>
      <c r="AC2663">
        <v>0.87359999999995297</v>
      </c>
      <c r="AD2663">
        <v>-0.112206</v>
      </c>
      <c r="AE2663">
        <v>-0.16400000000001499</v>
      </c>
      <c r="AF2663">
        <v>-0.578893085276595</v>
      </c>
      <c r="AG2663">
        <v>-0.112206</v>
      </c>
      <c r="AH2663">
        <v>0.65602190212311395</v>
      </c>
      <c r="AI2663">
        <v>97.308142963456703</v>
      </c>
      <c r="AJ2663">
        <v>131.42613217369399</v>
      </c>
      <c r="AK2663">
        <v>0.88208396804515399</v>
      </c>
      <c r="AL2663">
        <v>95.175520791721794</v>
      </c>
      <c r="AM2663">
        <v>110.44208545359101</v>
      </c>
      <c r="AN2663">
        <v>1.0000000275243801</v>
      </c>
    </row>
    <row r="2664" spans="1:40" x14ac:dyDescent="0.25">
      <c r="A2664" t="str">
        <f>"20190303154519131"</f>
        <v>20190303154519131</v>
      </c>
      <c r="B2664" t="str">
        <f>"1551599119123281"</f>
        <v>1551599119123281</v>
      </c>
      <c r="C2664" t="s">
        <v>40</v>
      </c>
      <c r="D2664">
        <v>4.7690989999999998</v>
      </c>
      <c r="E2664">
        <v>0.39133430000000002</v>
      </c>
      <c r="F2664" t="s">
        <v>42</v>
      </c>
      <c r="G2664">
        <v>-486.68349999999998</v>
      </c>
      <c r="H2664">
        <v>1.012262</v>
      </c>
      <c r="I2664">
        <v>218.62889999999999</v>
      </c>
      <c r="J2664">
        <v>-487.45350000000002</v>
      </c>
      <c r="K2664">
        <v>1.1235200000000001</v>
      </c>
      <c r="L2664">
        <v>218.685</v>
      </c>
      <c r="M2664">
        <v>0.62588319999999997</v>
      </c>
      <c r="N2664">
        <v>-1.084389E-2</v>
      </c>
      <c r="O2664">
        <v>-0.77984149999999997</v>
      </c>
      <c r="P2664">
        <v>0.85485719999999998</v>
      </c>
      <c r="Q2664">
        <v>-9.8836309999999997E-2</v>
      </c>
      <c r="R2664">
        <v>-0.50936289999999995</v>
      </c>
      <c r="S2664">
        <v>2.9999389999999999</v>
      </c>
      <c r="T2664">
        <v>-0.35187049999999997</v>
      </c>
      <c r="U2664">
        <v>-0.80952449999999998</v>
      </c>
      <c r="V2664">
        <v>-0.34727819999999998</v>
      </c>
      <c r="W2664">
        <v>-9.1016459999999993E-2</v>
      </c>
      <c r="X2664">
        <v>0.93333480000000002</v>
      </c>
      <c r="Y2664">
        <v>-0.58327739999999995</v>
      </c>
      <c r="Z2664">
        <v>0.1044489</v>
      </c>
      <c r="AA2664">
        <v>0.80552959999999996</v>
      </c>
      <c r="AB2664">
        <v>14</v>
      </c>
      <c r="AC2664">
        <v>0.77000000000003799</v>
      </c>
      <c r="AD2664">
        <v>-0.111258</v>
      </c>
      <c r="AE2664">
        <v>-5.6100000000014902E-2</v>
      </c>
      <c r="AF2664">
        <v>-0.553896137911007</v>
      </c>
      <c r="AG2664">
        <v>-0.111258</v>
      </c>
      <c r="AH2664">
        <v>0.51501454081655995</v>
      </c>
      <c r="AI2664">
        <v>98.368290992998794</v>
      </c>
      <c r="AJ2664">
        <v>137.083213963991</v>
      </c>
      <c r="AK2664">
        <v>0.764473185539703</v>
      </c>
      <c r="AL2664">
        <v>95.2220859940536</v>
      </c>
      <c r="AM2664">
        <v>110.409388500872</v>
      </c>
      <c r="AN2664">
        <v>0.99999999653860505</v>
      </c>
    </row>
    <row r="2665" spans="1:40" x14ac:dyDescent="0.25">
      <c r="A2665" t="str">
        <f>"20190303154519152"</f>
        <v>20190303154519152</v>
      </c>
      <c r="B2665" t="str">
        <f>"1551599119143777"</f>
        <v>1551599119143777</v>
      </c>
      <c r="C2665" t="s">
        <v>40</v>
      </c>
      <c r="D2665">
        <v>4.7961</v>
      </c>
      <c r="E2665">
        <v>0.39194449999999997</v>
      </c>
      <c r="F2665" t="s">
        <v>42</v>
      </c>
      <c r="G2665">
        <v>-486.53280000000001</v>
      </c>
      <c r="H2665">
        <v>1.0149170000000001</v>
      </c>
      <c r="I2665">
        <v>218.44579999999999</v>
      </c>
      <c r="J2665">
        <v>-487.3639</v>
      </c>
      <c r="K2665">
        <v>1.123551</v>
      </c>
      <c r="L2665">
        <v>218.58670000000001</v>
      </c>
      <c r="M2665">
        <v>0.6313936</v>
      </c>
      <c r="N2665">
        <v>-1.0884889999999999E-2</v>
      </c>
      <c r="O2665">
        <v>-0.77538619999999903</v>
      </c>
      <c r="P2665">
        <v>0.85839089999999996</v>
      </c>
      <c r="Q2665">
        <v>-9.8713289999999995E-2</v>
      </c>
      <c r="R2665">
        <v>-0.50340879999999999</v>
      </c>
      <c r="S2665">
        <v>3.0032649999999999</v>
      </c>
      <c r="T2665">
        <v>-0.3543173</v>
      </c>
      <c r="U2665">
        <v>-0.78060909999999994</v>
      </c>
      <c r="V2665">
        <v>-0.3471572</v>
      </c>
      <c r="W2665">
        <v>-9.0877810000000003E-2</v>
      </c>
      <c r="X2665">
        <v>0.93339340000000004</v>
      </c>
      <c r="Y2665">
        <v>-0.58490410000000004</v>
      </c>
      <c r="Z2665">
        <v>0.1051928</v>
      </c>
      <c r="AA2665">
        <v>0.80425230000000003</v>
      </c>
      <c r="AB2665">
        <v>14</v>
      </c>
      <c r="AC2665">
        <v>0.83109999999999196</v>
      </c>
      <c r="AD2665">
        <v>-0.108633999999999</v>
      </c>
      <c r="AE2665">
        <v>-0.14090000000001601</v>
      </c>
      <c r="AF2665">
        <v>-0.54641805201415194</v>
      </c>
      <c r="AG2665">
        <v>-0.108633999999999</v>
      </c>
      <c r="AH2665">
        <v>0.62368251291701704</v>
      </c>
      <c r="AI2665">
        <v>97.463954018398198</v>
      </c>
      <c r="AJ2665">
        <v>131.222110959959</v>
      </c>
      <c r="AK2665">
        <v>0.83627382503664704</v>
      </c>
      <c r="AL2665">
        <v>95.214108498467098</v>
      </c>
      <c r="AM2665">
        <v>110.401688197729</v>
      </c>
      <c r="AN2665">
        <v>1.00000006851289</v>
      </c>
    </row>
    <row r="2666" spans="1:40" x14ac:dyDescent="0.25">
      <c r="A2666" t="str">
        <f>"20190303154519177"</f>
        <v>20190303154519177</v>
      </c>
      <c r="B2666" t="str">
        <f>"1551599119173057"</f>
        <v>1551599119173057</v>
      </c>
      <c r="C2666" t="s">
        <v>40</v>
      </c>
      <c r="D2666">
        <v>4.805542</v>
      </c>
      <c r="E2666">
        <v>0.40340910000000002</v>
      </c>
      <c r="F2666" t="s">
        <v>42</v>
      </c>
      <c r="G2666">
        <v>-486.4556</v>
      </c>
      <c r="H2666">
        <v>1.016508</v>
      </c>
      <c r="I2666">
        <v>218.35570000000001</v>
      </c>
      <c r="J2666">
        <v>-487.26400000000001</v>
      </c>
      <c r="K2666">
        <v>1.12358799999999</v>
      </c>
      <c r="L2666">
        <v>218.47890000000001</v>
      </c>
      <c r="M2666">
        <v>0.63749619999999996</v>
      </c>
      <c r="N2666">
        <v>-1.0929899999999999E-2</v>
      </c>
      <c r="O2666">
        <v>-0.77037609999999901</v>
      </c>
      <c r="P2666">
        <v>0.86225659999999904</v>
      </c>
      <c r="Q2666">
        <v>-9.8851229999999998E-2</v>
      </c>
      <c r="R2666">
        <v>-0.4967317</v>
      </c>
      <c r="S2666">
        <v>3.006195</v>
      </c>
      <c r="T2666">
        <v>-0.35416209999999998</v>
      </c>
      <c r="U2666">
        <v>-0.76379390000000003</v>
      </c>
      <c r="V2666">
        <v>-0.34701120000000002</v>
      </c>
      <c r="W2666">
        <v>-9.0998830000000003E-2</v>
      </c>
      <c r="X2666">
        <v>0.93343580000000004</v>
      </c>
      <c r="Y2666">
        <v>-0.58296079999999995</v>
      </c>
      <c r="Z2666">
        <v>0.10479520000000001</v>
      </c>
      <c r="AA2666">
        <v>0.80571380000000004</v>
      </c>
      <c r="AB2666">
        <v>14</v>
      </c>
      <c r="AC2666">
        <v>0.808400000000006</v>
      </c>
      <c r="AD2666">
        <v>-0.107079999999999</v>
      </c>
      <c r="AE2666">
        <v>-0.12319999999999701</v>
      </c>
      <c r="AF2666">
        <v>-0.535089684282402</v>
      </c>
      <c r="AG2666">
        <v>-0.107079999999999</v>
      </c>
      <c r="AH2666">
        <v>0.600010174914415</v>
      </c>
      <c r="AI2666">
        <v>97.586721334438593</v>
      </c>
      <c r="AJ2666">
        <v>131.72661201637001</v>
      </c>
      <c r="AK2666">
        <v>0.81104827638450006</v>
      </c>
      <c r="AL2666">
        <v>95.221071765844997</v>
      </c>
      <c r="AM2666">
        <v>110.392964685954</v>
      </c>
      <c r="AN2666">
        <v>0.999999976354224</v>
      </c>
    </row>
    <row r="2667" spans="1:40" x14ac:dyDescent="0.25">
      <c r="A2667" t="str">
        <f>"20190303154519221"</f>
        <v>20190303154519221</v>
      </c>
      <c r="B2667" t="str">
        <f>"1551599119213073"</f>
        <v>1551599119213073</v>
      </c>
      <c r="C2667" t="s">
        <v>40</v>
      </c>
      <c r="D2667">
        <v>4.850498</v>
      </c>
      <c r="E2667">
        <v>0.40492610000000001</v>
      </c>
      <c r="F2667" t="s">
        <v>42</v>
      </c>
      <c r="G2667">
        <v>-486.39850000000001</v>
      </c>
      <c r="H2667">
        <v>1.0183599999999999</v>
      </c>
      <c r="I2667">
        <v>218.2398</v>
      </c>
      <c r="J2667">
        <v>-487.0804</v>
      </c>
      <c r="K2667">
        <v>1.123667</v>
      </c>
      <c r="L2667">
        <v>218.28540000000001</v>
      </c>
      <c r="M2667">
        <v>0.64865890000000004</v>
      </c>
      <c r="N2667">
        <v>-1.100987E-2</v>
      </c>
      <c r="O2667">
        <v>-0.76099969999999995</v>
      </c>
      <c r="P2667">
        <v>0.86885049999999997</v>
      </c>
      <c r="Q2667">
        <v>-0.1014499</v>
      </c>
      <c r="R2667">
        <v>-0.48456880000000002</v>
      </c>
      <c r="S2667">
        <v>2.965881</v>
      </c>
      <c r="T2667">
        <v>-0.3605701</v>
      </c>
      <c r="U2667">
        <v>-0.81930539999999996</v>
      </c>
      <c r="V2667">
        <v>-0.34625430000000001</v>
      </c>
      <c r="W2667">
        <v>-9.3585619999999994E-2</v>
      </c>
      <c r="X2667">
        <v>0.93346110000000004</v>
      </c>
      <c r="Y2667">
        <v>-0.55394500000000002</v>
      </c>
      <c r="Z2667">
        <v>0.1054996</v>
      </c>
      <c r="AA2667">
        <v>0.82584190000000002</v>
      </c>
      <c r="AB2667">
        <v>14</v>
      </c>
      <c r="AC2667">
        <v>0.68189999999998396</v>
      </c>
      <c r="AD2667">
        <v>-0.105307</v>
      </c>
      <c r="AE2667">
        <v>-4.5600000000007399E-2</v>
      </c>
      <c r="AF2667">
        <v>-0.478026698388819</v>
      </c>
      <c r="AG2667">
        <v>-0.105307</v>
      </c>
      <c r="AH2667">
        <v>0.46598704996719698</v>
      </c>
      <c r="AI2667">
        <v>98.964316721971898</v>
      </c>
      <c r="AJ2667">
        <v>135.730692370718</v>
      </c>
      <c r="AK2667">
        <v>0.67582765507091103</v>
      </c>
      <c r="AL2667">
        <v>95.369919298996294</v>
      </c>
      <c r="AM2667">
        <v>110.35162902275501</v>
      </c>
      <c r="AN2667">
        <v>0.99999996687624104</v>
      </c>
    </row>
    <row r="2668" spans="1:40" x14ac:dyDescent="0.25">
      <c r="A2668" t="str">
        <f>"20190303154519242"</f>
        <v>20190303154519242</v>
      </c>
      <c r="B2668" t="str">
        <f>"1551599119233570"</f>
        <v>1551599119233570</v>
      </c>
      <c r="C2668" t="s">
        <v>40</v>
      </c>
      <c r="D2668">
        <v>4.7773839999999996</v>
      </c>
      <c r="E2668">
        <v>0.40549930000000001</v>
      </c>
      <c r="F2668" t="s">
        <v>42</v>
      </c>
      <c r="G2668">
        <v>-486.23970000000003</v>
      </c>
      <c r="H2668">
        <v>1.018324</v>
      </c>
      <c r="I2668">
        <v>218.06229999999999</v>
      </c>
      <c r="J2668">
        <v>-486.99340000000001</v>
      </c>
      <c r="K2668">
        <v>1.1237090000000001</v>
      </c>
      <c r="L2668">
        <v>218.19579999999999</v>
      </c>
      <c r="M2668">
        <v>0.65390979999999999</v>
      </c>
      <c r="N2668">
        <v>-1.105166E-2</v>
      </c>
      <c r="O2668">
        <v>-0.75649169999999999</v>
      </c>
      <c r="P2668">
        <v>0.87170930000000002</v>
      </c>
      <c r="Q2668">
        <v>-0.1013522</v>
      </c>
      <c r="R2668">
        <v>-0.47942750000000001</v>
      </c>
      <c r="S2668">
        <v>2.96991</v>
      </c>
      <c r="T2668">
        <v>-0.37215169999999997</v>
      </c>
      <c r="U2668">
        <v>-0.78804019999999997</v>
      </c>
      <c r="V2668">
        <v>-0.3453098</v>
      </c>
      <c r="W2668">
        <v>-9.347395E-2</v>
      </c>
      <c r="X2668">
        <v>0.93382220000000005</v>
      </c>
      <c r="Y2668">
        <v>-0.55610360000000003</v>
      </c>
      <c r="Z2668">
        <v>0.1090356</v>
      </c>
      <c r="AA2668">
        <v>0.82392960000000004</v>
      </c>
      <c r="AB2668">
        <v>14</v>
      </c>
      <c r="AC2668">
        <v>0.75369999999998005</v>
      </c>
      <c r="AD2668">
        <v>-0.10538500000000001</v>
      </c>
      <c r="AE2668">
        <v>-0.13349999999999701</v>
      </c>
      <c r="AF2668">
        <v>-0.47391683914817401</v>
      </c>
      <c r="AG2668">
        <v>-0.10538500000000001</v>
      </c>
      <c r="AH2668">
        <v>0.58283166778275597</v>
      </c>
      <c r="AI2668">
        <v>97.985923121553199</v>
      </c>
      <c r="AJ2668">
        <v>129.115531311127</v>
      </c>
      <c r="AK2668">
        <v>0.75854856246889402</v>
      </c>
      <c r="AL2668">
        <v>95.363492358146999</v>
      </c>
      <c r="AM2668">
        <v>110.293441113245</v>
      </c>
      <c r="AN2668">
        <v>1.0000000692587301</v>
      </c>
    </row>
    <row r="2669" spans="1:40" x14ac:dyDescent="0.25">
      <c r="A2669" t="str">
        <f>"20190303154519265"</f>
        <v>20190303154519265</v>
      </c>
      <c r="B2669" t="str">
        <f>"1551599119263826"</f>
        <v>1551599119263826</v>
      </c>
      <c r="C2669" t="s">
        <v>40</v>
      </c>
      <c r="D2669">
        <v>4.7384519999999997</v>
      </c>
      <c r="E2669">
        <v>0.40590039999999999</v>
      </c>
      <c r="F2669" t="s">
        <v>42</v>
      </c>
      <c r="G2669">
        <v>-486.03410000000002</v>
      </c>
      <c r="H2669">
        <v>1.003754</v>
      </c>
      <c r="I2669">
        <v>217.94579999999999</v>
      </c>
      <c r="J2669">
        <v>-486.8931</v>
      </c>
      <c r="K2669">
        <v>1.123764</v>
      </c>
      <c r="L2669">
        <v>218.09450000000001</v>
      </c>
      <c r="M2669">
        <v>0.65994160000000002</v>
      </c>
      <c r="N2669">
        <v>-1.1101079999999999E-2</v>
      </c>
      <c r="O2669">
        <v>-0.75123490000000004</v>
      </c>
      <c r="P2669">
        <v>0.87520350000000002</v>
      </c>
      <c r="Q2669">
        <v>-0.10073319999999999</v>
      </c>
      <c r="R2669">
        <v>-0.47315109999999999</v>
      </c>
      <c r="S2669">
        <v>2.9723510000000002</v>
      </c>
      <c r="T2669">
        <v>-0.37167129999999998</v>
      </c>
      <c r="U2669">
        <v>-0.77449040000000002</v>
      </c>
      <c r="V2669">
        <v>-0.34459529999999999</v>
      </c>
      <c r="W2669">
        <v>-9.2844339999999997E-2</v>
      </c>
      <c r="X2669">
        <v>0.9341488</v>
      </c>
      <c r="Y2669">
        <v>-0.55320990000000003</v>
      </c>
      <c r="Z2669">
        <v>0.1084049</v>
      </c>
      <c r="AA2669">
        <v>0.82595830000000003</v>
      </c>
      <c r="AB2669">
        <v>14</v>
      </c>
      <c r="AC2669">
        <v>0.85899999999998</v>
      </c>
      <c r="AD2669">
        <v>-0.12000999999999901</v>
      </c>
      <c r="AE2669">
        <v>-0.14870000000001901</v>
      </c>
      <c r="AF2669">
        <v>-0.53703400014529201</v>
      </c>
      <c r="AG2669">
        <v>-0.12000999999999901</v>
      </c>
      <c r="AH2669">
        <v>0.66601874556850604</v>
      </c>
      <c r="AI2669">
        <v>97.984802400999996</v>
      </c>
      <c r="AJ2669">
        <v>128.88043601380599</v>
      </c>
      <c r="AK2669">
        <v>0.86393801100582501</v>
      </c>
      <c r="AL2669">
        <v>95.327261244343603</v>
      </c>
      <c r="AM2669">
        <v>110.24835948760099</v>
      </c>
      <c r="AN2669">
        <v>0.999999986396782</v>
      </c>
    </row>
    <row r="2670" spans="1:40" x14ac:dyDescent="0.25">
      <c r="A2670" t="str">
        <f>"20190303154519288"</f>
        <v>20190303154519288</v>
      </c>
      <c r="B2670" t="str">
        <f>"1551599119283345"</f>
        <v>1551599119283345</v>
      </c>
      <c r="C2670" t="s">
        <v>40</v>
      </c>
      <c r="D2670">
        <v>4.7252489999999998</v>
      </c>
      <c r="E2670">
        <v>0.36775989999999997</v>
      </c>
      <c r="F2670" t="s">
        <v>42</v>
      </c>
      <c r="G2670">
        <v>-485.95490000000001</v>
      </c>
      <c r="H2670">
        <v>1.00658</v>
      </c>
      <c r="I2670">
        <v>217.85599999999999</v>
      </c>
      <c r="J2670">
        <v>-486.79700000000003</v>
      </c>
      <c r="K2670">
        <v>1.1238189999999999</v>
      </c>
      <c r="L2670">
        <v>217.99889999999999</v>
      </c>
      <c r="M2670">
        <v>0.66570339999999995</v>
      </c>
      <c r="N2670">
        <v>-1.1145840000000001E-2</v>
      </c>
      <c r="O2670">
        <v>-0.74613309999999999</v>
      </c>
      <c r="P2670">
        <v>0.87851619999999997</v>
      </c>
      <c r="Q2670">
        <v>-9.9682880000000001E-2</v>
      </c>
      <c r="R2670">
        <v>-0.4671961</v>
      </c>
      <c r="S2670">
        <v>2.9762569999999999</v>
      </c>
      <c r="T2670">
        <v>-0.37164799999999998</v>
      </c>
      <c r="U2670">
        <v>-0.75593569999999999</v>
      </c>
      <c r="V2670">
        <v>-0.34383770000000002</v>
      </c>
      <c r="W2670">
        <v>-9.1781779999999993E-2</v>
      </c>
      <c r="X2670">
        <v>0.9345329</v>
      </c>
      <c r="Y2670">
        <v>-0.55194180000000004</v>
      </c>
      <c r="Z2670">
        <v>0.1080059</v>
      </c>
      <c r="AA2670">
        <v>0.82685849999999905</v>
      </c>
      <c r="AB2670">
        <v>14</v>
      </c>
      <c r="AC2670">
        <v>0.84209999999995899</v>
      </c>
      <c r="AD2670">
        <v>-0.117239</v>
      </c>
      <c r="AE2670">
        <v>-0.142899999999997</v>
      </c>
      <c r="AF2670">
        <v>-0.52336253060745197</v>
      </c>
      <c r="AG2670">
        <v>-0.117239</v>
      </c>
      <c r="AH2670">
        <v>0.65491398478694696</v>
      </c>
      <c r="AI2670">
        <v>97.960952570005404</v>
      </c>
      <c r="AJ2670">
        <v>128.62946032739799</v>
      </c>
      <c r="AK2670">
        <v>0.84650200769658801</v>
      </c>
      <c r="AL2670">
        <v>95.266119893299702</v>
      </c>
      <c r="AM2670">
        <v>110.19981329497899</v>
      </c>
      <c r="AN2670">
        <v>1.0000000001318301</v>
      </c>
    </row>
    <row r="2671" spans="1:40" x14ac:dyDescent="0.25">
      <c r="A2671" t="str">
        <f>"20190303154519310"</f>
        <v>20190303154519310</v>
      </c>
      <c r="B2671" t="str">
        <f>"1551599119302866"</f>
        <v>1551599119302866</v>
      </c>
      <c r="C2671" t="s">
        <v>40</v>
      </c>
      <c r="D2671">
        <v>4.7103820000000001</v>
      </c>
      <c r="E2671">
        <v>0.35427750000000002</v>
      </c>
      <c r="F2671" t="s">
        <v>54</v>
      </c>
      <c r="G2671">
        <v>-477.0009</v>
      </c>
      <c r="H2671" s="1">
        <v>2.937623E-6</v>
      </c>
      <c r="I2671">
        <v>216.53360000000001</v>
      </c>
      <c r="J2671">
        <v>-486.69779999999997</v>
      </c>
      <c r="K2671">
        <v>1.1238699999999999</v>
      </c>
      <c r="L2671">
        <v>217.90190000000001</v>
      </c>
      <c r="M2671">
        <v>0.67162939999999904</v>
      </c>
      <c r="N2671">
        <v>-1.118824E-2</v>
      </c>
      <c r="O2671">
        <v>-0.74080269999999904</v>
      </c>
      <c r="P2671">
        <v>0.8820306</v>
      </c>
      <c r="Q2671">
        <v>-9.8717760000000002E-2</v>
      </c>
      <c r="R2671">
        <v>-0.46073540000000002</v>
      </c>
      <c r="S2671">
        <v>3.1255190000000002</v>
      </c>
      <c r="T2671">
        <v>-0.35856349999999998</v>
      </c>
      <c r="U2671">
        <v>-0.46752929999999998</v>
      </c>
      <c r="V2671">
        <v>-0.34332600000000002</v>
      </c>
      <c r="W2671">
        <v>-9.0807760000000001E-2</v>
      </c>
      <c r="X2671">
        <v>0.93481610000000004</v>
      </c>
      <c r="Y2671">
        <v>-0.62626079999999995</v>
      </c>
      <c r="Z2671">
        <v>0.1048776</v>
      </c>
      <c r="AA2671">
        <v>0.77252699999999996</v>
      </c>
      <c r="AB2671">
        <v>14</v>
      </c>
      <c r="AC2671">
        <v>9.6968999999999692</v>
      </c>
      <c r="AD2671">
        <v>-1.123867062377</v>
      </c>
      <c r="AE2671">
        <v>-1.3683000000000001</v>
      </c>
      <c r="AF2671">
        <v>-6.1834526701064201</v>
      </c>
      <c r="AG2671">
        <v>-1.123867062377</v>
      </c>
      <c r="AH2671">
        <v>7.4289916583626701</v>
      </c>
      <c r="AI2671">
        <v>96.632239633628103</v>
      </c>
      <c r="AJ2671">
        <v>129.771992414517</v>
      </c>
      <c r="AK2671">
        <v>9.7307800898676398</v>
      </c>
      <c r="AL2671">
        <v>95.210078799973601</v>
      </c>
      <c r="AM2671">
        <v>110.16655807381299</v>
      </c>
      <c r="AN2671">
        <v>0.99999996618571296</v>
      </c>
    </row>
    <row r="2672" spans="1:40" x14ac:dyDescent="0.25">
      <c r="A2672" t="str">
        <f>"20190303154519332"</f>
        <v>20190303154519332</v>
      </c>
      <c r="B2672" t="str">
        <f>"1551599119323361"</f>
        <v>1551599119323361</v>
      </c>
      <c r="C2672" t="s">
        <v>40</v>
      </c>
      <c r="D2672">
        <v>4.6667259999999997</v>
      </c>
      <c r="E2672">
        <v>0.34877740000000002</v>
      </c>
      <c r="F2672" t="s">
        <v>54</v>
      </c>
      <c r="G2672">
        <v>-476.6114</v>
      </c>
      <c r="H2672" s="1">
        <v>3.121705E-6</v>
      </c>
      <c r="I2672">
        <v>216.79320000000001</v>
      </c>
      <c r="J2672">
        <v>-486.6053</v>
      </c>
      <c r="K2672">
        <v>1.12392</v>
      </c>
      <c r="L2672">
        <v>217.81299999999999</v>
      </c>
      <c r="M2672">
        <v>0.6771374</v>
      </c>
      <c r="N2672">
        <v>-1.1224980000000001E-2</v>
      </c>
      <c r="O2672">
        <v>-0.73577099999999995</v>
      </c>
      <c r="P2672">
        <v>0.88535989999999998</v>
      </c>
      <c r="Q2672">
        <v>-9.8933409999999999E-2</v>
      </c>
      <c r="R2672">
        <v>-0.45425759999999998</v>
      </c>
      <c r="S2672">
        <v>3.1790769999999999</v>
      </c>
      <c r="T2672">
        <v>-0.35422670000000001</v>
      </c>
      <c r="U2672">
        <v>-0.34945680000000001</v>
      </c>
      <c r="V2672">
        <v>-0.34317619999999999</v>
      </c>
      <c r="W2672">
        <v>-9.1022190000000003E-2</v>
      </c>
      <c r="X2672">
        <v>0.93485030000000002</v>
      </c>
      <c r="Y2672">
        <v>-0.65049000000000001</v>
      </c>
      <c r="Z2672">
        <v>0.1034664</v>
      </c>
      <c r="AA2672">
        <v>0.75243439999999995</v>
      </c>
      <c r="AB2672">
        <v>14</v>
      </c>
      <c r="AC2672">
        <v>9.9938999999999893</v>
      </c>
      <c r="AD2672">
        <v>-1.123916878295</v>
      </c>
      <c r="AE2672">
        <v>-1.0197999999999701</v>
      </c>
      <c r="AF2672">
        <v>-6.5807259603552204</v>
      </c>
      <c r="AG2672">
        <v>-1.123916878295</v>
      </c>
      <c r="AH2672">
        <v>7.4251162480035502</v>
      </c>
      <c r="AI2672">
        <v>96.462898655210907</v>
      </c>
      <c r="AJ2672">
        <v>131.54990317568601</v>
      </c>
      <c r="AK2672">
        <v>9.9850635757102708</v>
      </c>
      <c r="AL2672">
        <v>95.222415579187597</v>
      </c>
      <c r="AM2672">
        <v>110.157789402717</v>
      </c>
      <c r="AN2672">
        <v>1.00000001336446</v>
      </c>
    </row>
    <row r="2673" spans="1:40" x14ac:dyDescent="0.25">
      <c r="A2673" t="str">
        <f>"20190303154519354"</f>
        <v>20190303154519354</v>
      </c>
      <c r="B2673" t="str">
        <f>"1551599119342881"</f>
        <v>1551599119342881</v>
      </c>
      <c r="C2673" t="s">
        <v>40</v>
      </c>
      <c r="D2673">
        <v>4.6707299999999998</v>
      </c>
      <c r="E2673">
        <v>0.34578100000000001</v>
      </c>
      <c r="F2673" t="s">
        <v>54</v>
      </c>
      <c r="G2673">
        <v>-476.47669999999999</v>
      </c>
      <c r="H2673" s="1">
        <v>3.1863330000000002E-6</v>
      </c>
      <c r="I2673">
        <v>216.90459999999999</v>
      </c>
      <c r="J2673">
        <v>-486.50580000000002</v>
      </c>
      <c r="K2673">
        <v>1.123955</v>
      </c>
      <c r="L2673">
        <v>217.71899999999999</v>
      </c>
      <c r="M2673">
        <v>0.68304509999999996</v>
      </c>
      <c r="N2673">
        <v>-1.126475E-2</v>
      </c>
      <c r="O2673">
        <v>-0.73028930000000003</v>
      </c>
      <c r="P2673">
        <v>0.88948490000000002</v>
      </c>
      <c r="Q2673">
        <v>-9.9961880000000003E-2</v>
      </c>
      <c r="R2673">
        <v>-0.4458975</v>
      </c>
      <c r="S2673">
        <v>3.201416</v>
      </c>
      <c r="T2673">
        <v>-0.35524319999999998</v>
      </c>
      <c r="U2673">
        <v>-0.2871399</v>
      </c>
      <c r="V2673">
        <v>-0.34434409999999999</v>
      </c>
      <c r="W2673">
        <v>-9.2066819999999994E-2</v>
      </c>
      <c r="X2673">
        <v>0.93431839999999999</v>
      </c>
      <c r="Y2673">
        <v>-0.65941349999999999</v>
      </c>
      <c r="Z2673">
        <v>0.1035078</v>
      </c>
      <c r="AA2673">
        <v>0.74462069999999903</v>
      </c>
      <c r="AB2673">
        <v>14</v>
      </c>
      <c r="AC2673">
        <v>10.0291</v>
      </c>
      <c r="AD2673">
        <v>-1.1239518136669999</v>
      </c>
      <c r="AE2673">
        <v>-0.81440000000003399</v>
      </c>
      <c r="AF2673">
        <v>-6.6848933069565897</v>
      </c>
      <c r="AG2673">
        <v>-1.1239518136669999</v>
      </c>
      <c r="AH2673">
        <v>7.3537930237748199</v>
      </c>
      <c r="AI2673">
        <v>96.452455313967505</v>
      </c>
      <c r="AJ2673">
        <v>132.27209747446099</v>
      </c>
      <c r="AK2673">
        <v>10.001466794493499</v>
      </c>
      <c r="AL2673">
        <v>95.282520842589705</v>
      </c>
      <c r="AM2673">
        <v>110.231421214554</v>
      </c>
      <c r="AN2673">
        <v>1.00000001556414</v>
      </c>
    </row>
    <row r="2674" spans="1:40" x14ac:dyDescent="0.25">
      <c r="A2674" t="str">
        <f>"20190303154519378"</f>
        <v>20190303154519378</v>
      </c>
      <c r="B2674" t="str">
        <f>"1551599119373137"</f>
        <v>1551599119373137</v>
      </c>
      <c r="C2674" t="s">
        <v>40</v>
      </c>
      <c r="D2674">
        <v>4.6626139999999996</v>
      </c>
      <c r="E2674">
        <v>0.34413120000000003</v>
      </c>
      <c r="F2674" t="s">
        <v>54</v>
      </c>
      <c r="G2674">
        <v>-476.43680000000001</v>
      </c>
      <c r="H2674" s="1">
        <v>3.2073120000000001E-6</v>
      </c>
      <c r="I2674">
        <v>216.9803</v>
      </c>
      <c r="J2674">
        <v>-486.40559999999999</v>
      </c>
      <c r="K2674">
        <v>1.1240019999999999</v>
      </c>
      <c r="L2674">
        <v>217.626</v>
      </c>
      <c r="M2674">
        <v>0.68897469999999905</v>
      </c>
      <c r="N2674">
        <v>-1.130839E-2</v>
      </c>
      <c r="O2674">
        <v>-0.72469740000000005</v>
      </c>
      <c r="P2674">
        <v>0.89343079999999997</v>
      </c>
      <c r="Q2674">
        <v>-0.10053339999999999</v>
      </c>
      <c r="R2674">
        <v>-0.437807</v>
      </c>
      <c r="S2674">
        <v>3.214172</v>
      </c>
      <c r="T2674">
        <v>-0.35878399999999999</v>
      </c>
      <c r="U2674">
        <v>-0.23579410000000001</v>
      </c>
      <c r="V2674">
        <v>-0.34514549999999999</v>
      </c>
      <c r="W2674">
        <v>-9.2648289999999994E-2</v>
      </c>
      <c r="X2674">
        <v>0.93396509999999999</v>
      </c>
      <c r="Y2674">
        <v>-0.6652479</v>
      </c>
      <c r="Z2674">
        <v>0.10437589999999999</v>
      </c>
      <c r="AA2674">
        <v>0.73929089999999997</v>
      </c>
      <c r="AB2674">
        <v>14</v>
      </c>
      <c r="AC2674">
        <v>9.9687999999999803</v>
      </c>
      <c r="AD2674">
        <v>-1.123998792688</v>
      </c>
      <c r="AE2674">
        <v>-0.64569999999997596</v>
      </c>
      <c r="AF2674">
        <v>-6.6951652340168799</v>
      </c>
      <c r="AG2674">
        <v>-1.123998792688</v>
      </c>
      <c r="AH2674">
        <v>7.2449363555142599</v>
      </c>
      <c r="AI2674">
        <v>96.500266329511106</v>
      </c>
      <c r="AJ2674">
        <v>132.74153374079501</v>
      </c>
      <c r="AK2674">
        <v>9.9286310029230496</v>
      </c>
      <c r="AL2674">
        <v>95.315979895442396</v>
      </c>
      <c r="AM2674">
        <v>110.281721650696</v>
      </c>
      <c r="AN2674">
        <v>0.99999996491409104</v>
      </c>
    </row>
    <row r="2675" spans="1:40" x14ac:dyDescent="0.25">
      <c r="A2675" t="str">
        <f>"20190303154519404"</f>
        <v>20190303154519404</v>
      </c>
      <c r="B2675" t="str">
        <f>"1551599119393633"</f>
        <v>1551599119393633</v>
      </c>
      <c r="C2675" t="s">
        <v>40</v>
      </c>
      <c r="D2675">
        <v>4.6256579999999996</v>
      </c>
      <c r="E2675">
        <v>0.343831099999999</v>
      </c>
      <c r="F2675" t="s">
        <v>54</v>
      </c>
      <c r="G2675">
        <v>-476.30309999999997</v>
      </c>
      <c r="H2675" s="1">
        <v>3.2681259999999898E-6</v>
      </c>
      <c r="I2675">
        <v>217.01490000000001</v>
      </c>
      <c r="J2675">
        <v>-486.2885</v>
      </c>
      <c r="K2675">
        <v>1.124061</v>
      </c>
      <c r="L2675">
        <v>217.51929999999999</v>
      </c>
      <c r="M2675">
        <v>0.69588240000000001</v>
      </c>
      <c r="N2675">
        <v>-1.136203E-2</v>
      </c>
      <c r="O2675">
        <v>-0.71806579999999998</v>
      </c>
      <c r="P2675">
        <v>0.8977463</v>
      </c>
      <c r="Q2675">
        <v>-0.1007271</v>
      </c>
      <c r="R2675">
        <v>-0.42884230000000001</v>
      </c>
      <c r="S2675">
        <v>3.2220460000000002</v>
      </c>
      <c r="T2675">
        <v>-0.35848140000000001</v>
      </c>
      <c r="U2675">
        <v>-0.1949005</v>
      </c>
      <c r="V2675">
        <v>-0.34551890000000002</v>
      </c>
      <c r="W2675">
        <v>-9.284676E-2</v>
      </c>
      <c r="X2675">
        <v>0.93380739999999995</v>
      </c>
      <c r="Y2675">
        <v>-0.66764749999999995</v>
      </c>
      <c r="Z2675">
        <v>0.1039123</v>
      </c>
      <c r="AA2675">
        <v>0.73719000000000001</v>
      </c>
      <c r="AB2675">
        <v>14</v>
      </c>
      <c r="AC2675">
        <v>9.9854000000000198</v>
      </c>
      <c r="AD2675">
        <v>-1.1240577318739999</v>
      </c>
      <c r="AE2675">
        <v>-0.50439999999997498</v>
      </c>
      <c r="AF2675">
        <v>-6.7344892224367596</v>
      </c>
      <c r="AG2675">
        <v>-1.1240577318739999</v>
      </c>
      <c r="AH2675">
        <v>7.2200687177155398</v>
      </c>
      <c r="AI2675">
        <v>96.495035107403496</v>
      </c>
      <c r="AJ2675">
        <v>133.00707161549701</v>
      </c>
      <c r="AK2675">
        <v>9.9371144282551693</v>
      </c>
      <c r="AL2675">
        <v>95.327400184819794</v>
      </c>
      <c r="AM2675">
        <v>110.305022139333</v>
      </c>
      <c r="AN2675">
        <v>1.00000004569723</v>
      </c>
    </row>
    <row r="2676" spans="1:40" x14ac:dyDescent="0.25">
      <c r="A2676" t="str">
        <f>"20190303154519446"</f>
        <v>20190303154519446</v>
      </c>
      <c r="B2676" t="str">
        <f>"1551599119443410"</f>
        <v>1551599119443410</v>
      </c>
      <c r="C2676" t="s">
        <v>40</v>
      </c>
      <c r="D2676">
        <v>4.5984499999999997</v>
      </c>
      <c r="E2676">
        <v>0.34511049999999999</v>
      </c>
      <c r="F2676" t="s">
        <v>54</v>
      </c>
      <c r="G2676">
        <v>-476.14370000000002</v>
      </c>
      <c r="H2676" s="1">
        <v>3.338828E-6</v>
      </c>
      <c r="I2676">
        <v>217.01490000000001</v>
      </c>
      <c r="J2676">
        <v>-486.09350000000001</v>
      </c>
      <c r="K2676">
        <v>1.1241570000000001</v>
      </c>
      <c r="L2676">
        <v>217.34700000000001</v>
      </c>
      <c r="M2676">
        <v>0.70732030000000001</v>
      </c>
      <c r="N2676">
        <v>-1.1444940000000001E-2</v>
      </c>
      <c r="O2676">
        <v>-0.70680080000000001</v>
      </c>
      <c r="P2676">
        <v>0.90453729999999999</v>
      </c>
      <c r="Q2676">
        <v>-0.1029735</v>
      </c>
      <c r="R2676">
        <v>-0.41377399999999998</v>
      </c>
      <c r="S2676">
        <v>3.225006</v>
      </c>
      <c r="T2676">
        <v>-0.35733340000000002</v>
      </c>
      <c r="U2676">
        <v>-0.16035460000000001</v>
      </c>
      <c r="V2676">
        <v>-0.34592040000000002</v>
      </c>
      <c r="W2676">
        <v>-9.5103409999999999E-2</v>
      </c>
      <c r="X2676">
        <v>0.93343160000000003</v>
      </c>
      <c r="Y2676">
        <v>-0.66378239999999999</v>
      </c>
      <c r="Z2676">
        <v>0.10266069999999999</v>
      </c>
      <c r="AA2676">
        <v>0.74084659999999902</v>
      </c>
      <c r="AB2676">
        <v>14</v>
      </c>
      <c r="AC2676">
        <v>9.9497999999999802</v>
      </c>
      <c r="AD2676">
        <v>-1.124153661172</v>
      </c>
      <c r="AE2676">
        <v>-0.33209999999999601</v>
      </c>
      <c r="AF2676">
        <v>-6.7124797187685701</v>
      </c>
      <c r="AG2676">
        <v>-1.124153661172</v>
      </c>
      <c r="AH2676">
        <v>7.1813310178511403</v>
      </c>
      <c r="AI2676">
        <v>96.523973561320403</v>
      </c>
      <c r="AJ2676">
        <v>133.067268129322</v>
      </c>
      <c r="AK2676">
        <v>9.8940699722994001</v>
      </c>
      <c r="AL2676">
        <v>95.457271351525094</v>
      </c>
      <c r="AM2676">
        <v>110.33420103510799</v>
      </c>
      <c r="AN2676">
        <v>1.00000006680417</v>
      </c>
    </row>
    <row r="2677" spans="1:40" x14ac:dyDescent="0.25">
      <c r="A2677" t="str">
        <f>"20190303154519490"</f>
        <v>20190303154519490</v>
      </c>
      <c r="B2677" t="str">
        <f>"1551599119483426"</f>
        <v>1551599119483426</v>
      </c>
      <c r="C2677" t="s">
        <v>40</v>
      </c>
      <c r="D2677">
        <v>4.6574220000000004</v>
      </c>
      <c r="E2677">
        <v>0.34655760000000002</v>
      </c>
      <c r="F2677" t="s">
        <v>54</v>
      </c>
      <c r="G2677">
        <v>-475.6343</v>
      </c>
      <c r="H2677" s="1">
        <v>3.562699E-6</v>
      </c>
      <c r="I2677">
        <v>216.9692</v>
      </c>
      <c r="J2677">
        <v>-485.89100000000002</v>
      </c>
      <c r="K2677">
        <v>1.124236</v>
      </c>
      <c r="L2677">
        <v>217.17429999999999</v>
      </c>
      <c r="M2677">
        <v>0.71906630000000005</v>
      </c>
      <c r="N2677">
        <v>-1.151639E-2</v>
      </c>
      <c r="O2677">
        <v>-0.69484609999999902</v>
      </c>
      <c r="P2677">
        <v>0.91102620000000001</v>
      </c>
      <c r="Q2677">
        <v>-0.1039006</v>
      </c>
      <c r="R2677">
        <v>-0.3990437</v>
      </c>
      <c r="S2677">
        <v>3.2239070000000001</v>
      </c>
      <c r="T2677">
        <v>-0.34650500000000001</v>
      </c>
      <c r="U2677">
        <v>-0.1164246</v>
      </c>
      <c r="V2677">
        <v>-0.34532469999999998</v>
      </c>
      <c r="W2677">
        <v>-9.6015139999999999E-2</v>
      </c>
      <c r="X2677">
        <v>0.93355880000000002</v>
      </c>
      <c r="Y2677">
        <v>-0.66184960000000004</v>
      </c>
      <c r="Z2677">
        <v>9.8745349999999996E-2</v>
      </c>
      <c r="AA2677">
        <v>0.743104599999999</v>
      </c>
      <c r="AB2677">
        <v>14</v>
      </c>
      <c r="AC2677">
        <v>10.256699999999899</v>
      </c>
      <c r="AD2677">
        <v>-1.124232437301</v>
      </c>
      <c r="AE2677">
        <v>-0.20509999999998699</v>
      </c>
      <c r="AF2677">
        <v>-6.8969811271259696</v>
      </c>
      <c r="AG2677">
        <v>-1.124232437301</v>
      </c>
      <c r="AH2677">
        <v>7.42903983845917</v>
      </c>
      <c r="AI2677">
        <v>96.328455231901003</v>
      </c>
      <c r="AJ2677">
        <v>132.873051134072</v>
      </c>
      <c r="AK2677">
        <v>10.1991607577498</v>
      </c>
      <c r="AL2677">
        <v>95.509749910205798</v>
      </c>
      <c r="AM2677">
        <v>110.299504072299</v>
      </c>
      <c r="AN2677">
        <v>1.0000000442983701</v>
      </c>
    </row>
    <row r="2678" spans="1:40" x14ac:dyDescent="0.25">
      <c r="A2678" t="str">
        <f>"20190303154519510"</f>
        <v>20190303154519510</v>
      </c>
      <c r="B2678" t="str">
        <f>"1551599119502945"</f>
        <v>1551599119502945</v>
      </c>
      <c r="C2678" t="s">
        <v>40</v>
      </c>
      <c r="D2678">
        <v>4.7052149999999999</v>
      </c>
      <c r="E2678">
        <v>0.34747749999999999</v>
      </c>
      <c r="F2678" t="s">
        <v>54</v>
      </c>
      <c r="G2678">
        <v>-475.38839999999999</v>
      </c>
      <c r="H2678" s="1">
        <v>3.6700890000000001E-6</v>
      </c>
      <c r="I2678">
        <v>216.9306</v>
      </c>
      <c r="J2678">
        <v>-485.79109999999997</v>
      </c>
      <c r="K2678">
        <v>1.124277</v>
      </c>
      <c r="L2678">
        <v>217.09139999999999</v>
      </c>
      <c r="M2678">
        <v>0.72481219999999902</v>
      </c>
      <c r="N2678">
        <v>-1.154786E-2</v>
      </c>
      <c r="O2678">
        <v>-0.68884999999999996</v>
      </c>
      <c r="P2678">
        <v>0.91425480000000003</v>
      </c>
      <c r="Q2678">
        <v>-0.1038336</v>
      </c>
      <c r="R2678">
        <v>-0.39160840000000002</v>
      </c>
      <c r="S2678">
        <v>3.220917</v>
      </c>
      <c r="T2678">
        <v>-0.34477619999999998</v>
      </c>
      <c r="U2678">
        <v>-7.473755E-2</v>
      </c>
      <c r="V2678">
        <v>-0.34517569999999997</v>
      </c>
      <c r="W2678">
        <v>-9.5943269999999997E-2</v>
      </c>
      <c r="X2678">
        <v>0.93362120000000004</v>
      </c>
      <c r="Y2678">
        <v>-0.66527729999999996</v>
      </c>
      <c r="Z2678">
        <v>9.8269480000000006E-2</v>
      </c>
      <c r="AA2678">
        <v>0.7401008</v>
      </c>
      <c r="AB2678">
        <v>14</v>
      </c>
      <c r="AC2678">
        <v>10.4026999999999</v>
      </c>
      <c r="AD2678">
        <v>-1.1242733299109999</v>
      </c>
      <c r="AE2678">
        <v>-0.160799999999994</v>
      </c>
      <c r="AF2678">
        <v>-6.9684451035514199</v>
      </c>
      <c r="AG2678">
        <v>-1.1242733299109999</v>
      </c>
      <c r="AH2678">
        <v>7.5629634902845604</v>
      </c>
      <c r="AI2678">
        <v>96.239034079497898</v>
      </c>
      <c r="AJ2678">
        <v>132.65718459864101</v>
      </c>
      <c r="AK2678">
        <v>10.345126119914401</v>
      </c>
      <c r="AL2678">
        <v>95.505613429335497</v>
      </c>
      <c r="AM2678">
        <v>110.29021400983601</v>
      </c>
      <c r="AN2678">
        <v>0.99999996000910996</v>
      </c>
    </row>
    <row r="2679" spans="1:40" x14ac:dyDescent="0.25">
      <c r="A2679" t="str">
        <f>"20190303154519556"</f>
        <v>20190303154519556</v>
      </c>
      <c r="B2679" t="str">
        <f>"1551599119553697"</f>
        <v>1551599119553697</v>
      </c>
      <c r="C2679" t="s">
        <v>40</v>
      </c>
      <c r="D2679">
        <v>4.6358990000000002</v>
      </c>
      <c r="E2679">
        <v>0.36745630000000001</v>
      </c>
      <c r="F2679" t="s">
        <v>54</v>
      </c>
      <c r="G2679">
        <v>-475.29680000000002</v>
      </c>
      <c r="H2679" s="1">
        <v>3.7098340000000001E-6</v>
      </c>
      <c r="I2679">
        <v>216.91050000000001</v>
      </c>
      <c r="J2679">
        <v>-485.57670000000002</v>
      </c>
      <c r="K2679">
        <v>1.1243799999999999</v>
      </c>
      <c r="L2679">
        <v>216.9186</v>
      </c>
      <c r="M2679">
        <v>0.73705390000000004</v>
      </c>
      <c r="N2679">
        <v>-1.1621930000000001E-2</v>
      </c>
      <c r="O2679">
        <v>-0.6757339</v>
      </c>
      <c r="P2679">
        <v>0.92155390000000004</v>
      </c>
      <c r="Q2679">
        <v>-0.1036257</v>
      </c>
      <c r="R2679">
        <v>-0.3741662</v>
      </c>
      <c r="S2679">
        <v>3.2184140000000001</v>
      </c>
      <c r="T2679">
        <v>-0.34479379999999998</v>
      </c>
      <c r="U2679">
        <v>-5.5465699999999903E-2</v>
      </c>
      <c r="V2679">
        <v>-0.34616039999999998</v>
      </c>
      <c r="W2679">
        <v>-9.5756560000000004E-2</v>
      </c>
      <c r="X2679">
        <v>0.93327579999999999</v>
      </c>
      <c r="Y2679">
        <v>-0.65641000000000005</v>
      </c>
      <c r="Z2679">
        <v>9.7051390000000001E-2</v>
      </c>
      <c r="AA2679">
        <v>0.74813560000000001</v>
      </c>
      <c r="AB2679">
        <v>14</v>
      </c>
      <c r="AC2679">
        <v>10.2798999999999</v>
      </c>
      <c r="AD2679">
        <v>-1.1243762901659999</v>
      </c>
      <c r="AE2679">
        <v>-8.0999999999846698E-3</v>
      </c>
      <c r="AF2679">
        <v>-6.8589218974513901</v>
      </c>
      <c r="AG2679">
        <v>-1.1243762901659999</v>
      </c>
      <c r="AH2679">
        <v>7.4931845762176197</v>
      </c>
      <c r="AI2679">
        <v>96.316053505892597</v>
      </c>
      <c r="AJ2679">
        <v>132.469573935195</v>
      </c>
      <c r="AK2679">
        <v>10.220413236777199</v>
      </c>
      <c r="AL2679">
        <v>95.494865865451899</v>
      </c>
      <c r="AM2679">
        <v>110.35027090939199</v>
      </c>
      <c r="AN2679">
        <v>1.00000003008841</v>
      </c>
    </row>
    <row r="2680" spans="1:40" x14ac:dyDescent="0.25">
      <c r="A2680" t="str">
        <f>"20190303154519578"</f>
        <v>20190303154519578</v>
      </c>
      <c r="B2680" t="str">
        <f>"1551599119573217"</f>
        <v>1551599119573217</v>
      </c>
      <c r="C2680" t="s">
        <v>40</v>
      </c>
      <c r="D2680">
        <v>4.6586080000000001</v>
      </c>
      <c r="E2680">
        <v>0.3673939</v>
      </c>
      <c r="F2680" t="s">
        <v>42</v>
      </c>
      <c r="G2680">
        <v>-484.63580000000002</v>
      </c>
      <c r="H2680">
        <v>1.0492159999999999</v>
      </c>
      <c r="I2680">
        <v>216.87540000000001</v>
      </c>
      <c r="J2680">
        <v>-485.47239999999999</v>
      </c>
      <c r="K2680">
        <v>1.1244479999999999</v>
      </c>
      <c r="L2680">
        <v>216.83709999999999</v>
      </c>
      <c r="M2680">
        <v>0.74296280000000003</v>
      </c>
      <c r="N2680">
        <v>-1.166378E-2</v>
      </c>
      <c r="O2680">
        <v>-0.66923140000000003</v>
      </c>
      <c r="P2680">
        <v>0.92507950000000005</v>
      </c>
      <c r="Q2680">
        <v>-0.1035817</v>
      </c>
      <c r="R2680">
        <v>-0.36537550000000002</v>
      </c>
      <c r="S2680">
        <v>3.1680299999999999</v>
      </c>
      <c r="T2680">
        <v>-0.25304080000000001</v>
      </c>
      <c r="U2680">
        <v>-0.14515690000000001</v>
      </c>
      <c r="V2680">
        <v>-0.3468349</v>
      </c>
      <c r="W2680">
        <v>-9.5728980000000005E-2</v>
      </c>
      <c r="X2680">
        <v>0.93302819999999997</v>
      </c>
      <c r="Y2680">
        <v>-0.63110069999999996</v>
      </c>
      <c r="Z2680">
        <v>6.9650329999999996E-2</v>
      </c>
      <c r="AA2680">
        <v>0.77256759999999902</v>
      </c>
      <c r="AB2680">
        <v>14</v>
      </c>
      <c r="AC2680">
        <v>0.83659999999997503</v>
      </c>
      <c r="AD2680">
        <v>-7.5231999999999896E-2</v>
      </c>
      <c r="AE2680">
        <v>3.8300000000020797E-2</v>
      </c>
      <c r="AF2680">
        <v>-0.58366433401868401</v>
      </c>
      <c r="AG2680">
        <v>-7.5231999999999896E-2</v>
      </c>
      <c r="AH2680">
        <v>0.59120068406470805</v>
      </c>
      <c r="AI2680">
        <v>95.174404556146897</v>
      </c>
      <c r="AJ2680">
        <v>134.63247256363701</v>
      </c>
      <c r="AK2680">
        <v>0.83417153959365797</v>
      </c>
      <c r="AL2680">
        <v>95.493278224768005</v>
      </c>
      <c r="AM2680">
        <v>110.39162817992</v>
      </c>
      <c r="AN2680">
        <v>1.00000005373254</v>
      </c>
    </row>
    <row r="2681" spans="1:40" x14ac:dyDescent="0.25">
      <c r="A2681" t="str">
        <f>"20190303154519602"</f>
        <v>20190303154519602</v>
      </c>
      <c r="B2681" t="str">
        <f>"1551599119593714"</f>
        <v>1551599119593714</v>
      </c>
      <c r="C2681" t="s">
        <v>40</v>
      </c>
      <c r="D2681">
        <v>4.6605489999999996</v>
      </c>
      <c r="E2681">
        <v>0.36841249999999998</v>
      </c>
      <c r="F2681" t="s">
        <v>42</v>
      </c>
      <c r="G2681">
        <v>-484.54199999999997</v>
      </c>
      <c r="H2681">
        <v>1.0501240000000001</v>
      </c>
      <c r="I2681">
        <v>216.80350000000001</v>
      </c>
      <c r="J2681">
        <v>-485.35489999999999</v>
      </c>
      <c r="K2681">
        <v>1.1245210000000001</v>
      </c>
      <c r="L2681">
        <v>216.74719999999999</v>
      </c>
      <c r="M2681">
        <v>0.74958319999999901</v>
      </c>
      <c r="N2681">
        <v>-1.1711579999999999E-2</v>
      </c>
      <c r="O2681">
        <v>-0.66180669999999897</v>
      </c>
      <c r="P2681">
        <v>0.92904390000000003</v>
      </c>
      <c r="Q2681">
        <v>-0.1037349</v>
      </c>
      <c r="R2681">
        <v>-0.35512880000000002</v>
      </c>
      <c r="S2681">
        <v>3.169495</v>
      </c>
      <c r="T2681">
        <v>-0.2531697</v>
      </c>
      <c r="U2681">
        <v>-0.1143646</v>
      </c>
      <c r="V2681">
        <v>-0.34783599999999998</v>
      </c>
      <c r="W2681">
        <v>-9.5906809999999995E-2</v>
      </c>
      <c r="X2681">
        <v>0.93263720000000006</v>
      </c>
      <c r="Y2681">
        <v>-0.63092040000000005</v>
      </c>
      <c r="Z2681">
        <v>6.9366849999999994E-2</v>
      </c>
      <c r="AA2681">
        <v>0.77274039999999999</v>
      </c>
      <c r="AB2681">
        <v>14</v>
      </c>
      <c r="AC2681">
        <v>0.81290000000001295</v>
      </c>
      <c r="AD2681">
        <v>-7.4396999999999797E-2</v>
      </c>
      <c r="AE2681">
        <v>5.63000000000215E-2</v>
      </c>
      <c r="AF2681">
        <v>-0.57542715510656295</v>
      </c>
      <c r="AG2681">
        <v>-7.4396999999999797E-2</v>
      </c>
      <c r="AH2681">
        <v>0.56738589751203505</v>
      </c>
      <c r="AI2681">
        <v>95.259986496636202</v>
      </c>
      <c r="AJ2681">
        <v>135.40314775688799</v>
      </c>
      <c r="AK2681">
        <v>0.81152823804139496</v>
      </c>
      <c r="AL2681">
        <v>95.503514123627198</v>
      </c>
      <c r="AM2681">
        <v>110.453483485578</v>
      </c>
      <c r="AN2681">
        <v>1.0000000729620999</v>
      </c>
    </row>
    <row r="2682" spans="1:40" x14ac:dyDescent="0.25">
      <c r="A2682" t="str">
        <f>"20190303154519645"</f>
        <v>20190303154519645</v>
      </c>
      <c r="B2682" t="str">
        <f>"1551599119633730"</f>
        <v>1551599119633730</v>
      </c>
      <c r="C2682" t="s">
        <v>40</v>
      </c>
      <c r="D2682">
        <v>4.646407</v>
      </c>
      <c r="E2682">
        <v>0.36999670000000001</v>
      </c>
      <c r="F2682" t="s">
        <v>54</v>
      </c>
      <c r="G2682">
        <v>-471.06639999999999</v>
      </c>
      <c r="H2682" s="1">
        <v>5.5615260000000003E-6</v>
      </c>
      <c r="I2682">
        <v>216.3546</v>
      </c>
      <c r="J2682">
        <v>-485.14370000000002</v>
      </c>
      <c r="K2682">
        <v>1.1246160000000001</v>
      </c>
      <c r="L2682">
        <v>216.5909</v>
      </c>
      <c r="M2682">
        <v>0.76141139999999996</v>
      </c>
      <c r="N2682">
        <v>-1.179174E-2</v>
      </c>
      <c r="O2682">
        <v>-0.64816189999999996</v>
      </c>
      <c r="P2682">
        <v>0.93610070000000001</v>
      </c>
      <c r="Q2682">
        <v>-0.1056309</v>
      </c>
      <c r="R2682">
        <v>-0.33549600000000002</v>
      </c>
      <c r="S2682">
        <v>3.1680299999999999</v>
      </c>
      <c r="T2682">
        <v>-0.2493254</v>
      </c>
      <c r="U2682">
        <v>-8.7036130000000003E-2</v>
      </c>
      <c r="V2682">
        <v>-0.350439</v>
      </c>
      <c r="W2682">
        <v>-9.7861210000000004E-2</v>
      </c>
      <c r="X2682">
        <v>0.93145889999999998</v>
      </c>
      <c r="Y2682">
        <v>-0.6237125</v>
      </c>
      <c r="Z2682">
        <v>6.7379439999999999E-2</v>
      </c>
      <c r="AA2682">
        <v>0.77874429999999994</v>
      </c>
      <c r="AB2682">
        <v>14</v>
      </c>
      <c r="AC2682">
        <v>14.077299999999999</v>
      </c>
      <c r="AD2682">
        <v>-1.1246104384739899</v>
      </c>
      <c r="AE2682">
        <v>-0.23629999999999901</v>
      </c>
      <c r="AF2682">
        <v>-8.8883582921664797</v>
      </c>
      <c r="AG2682">
        <v>-1.1246104384739899</v>
      </c>
      <c r="AH2682">
        <v>10.803601566123699</v>
      </c>
      <c r="AI2682">
        <v>94.595930771024101</v>
      </c>
      <c r="AJ2682">
        <v>129.444875344178</v>
      </c>
      <c r="AK2682">
        <v>14.0351511772335</v>
      </c>
      <c r="AL2682">
        <v>95.6160227147721</v>
      </c>
      <c r="AM2682">
        <v>110.617601689013</v>
      </c>
      <c r="AN2682">
        <v>0.99999999576643706</v>
      </c>
    </row>
    <row r="2683" spans="1:40" x14ac:dyDescent="0.25">
      <c r="A2683" t="str">
        <f>"20190303154519666"</f>
        <v>20190303154519666</v>
      </c>
      <c r="B2683" t="str">
        <f>"1551599119663010"</f>
        <v>1551599119663010</v>
      </c>
      <c r="C2683" t="s">
        <v>40</v>
      </c>
      <c r="D2683">
        <v>4.6570729999999996</v>
      </c>
      <c r="E2683">
        <v>0.3710118</v>
      </c>
      <c r="F2683" t="s">
        <v>54</v>
      </c>
      <c r="G2683">
        <v>-470.76760000000002</v>
      </c>
      <c r="H2683" s="1">
        <v>5.6979039999999901E-6</v>
      </c>
      <c r="I2683">
        <v>216.44370000000001</v>
      </c>
      <c r="J2683">
        <v>-485.0385</v>
      </c>
      <c r="K2683">
        <v>1.124654</v>
      </c>
      <c r="L2683">
        <v>216.5154</v>
      </c>
      <c r="M2683">
        <v>0.76724700000000001</v>
      </c>
      <c r="N2683">
        <v>-1.183186E-2</v>
      </c>
      <c r="O2683">
        <v>-0.6412426</v>
      </c>
      <c r="P2683">
        <v>0.93921429999999995</v>
      </c>
      <c r="Q2683">
        <v>-0.1074941</v>
      </c>
      <c r="R2683">
        <v>-0.32607019999999998</v>
      </c>
      <c r="S2683">
        <v>3.165222</v>
      </c>
      <c r="T2683">
        <v>-0.2476083</v>
      </c>
      <c r="U2683">
        <v>-3.2424929999999998E-2</v>
      </c>
      <c r="V2683">
        <v>-0.35120699999999999</v>
      </c>
      <c r="W2683">
        <v>-9.9732360000000006E-2</v>
      </c>
      <c r="X2683">
        <v>0.93097110000000005</v>
      </c>
      <c r="Y2683">
        <v>-0.63006859999999998</v>
      </c>
      <c r="Z2683">
        <v>6.7001279999999996E-2</v>
      </c>
      <c r="AA2683">
        <v>0.77364359999999999</v>
      </c>
      <c r="AB2683">
        <v>14</v>
      </c>
      <c r="AC2683">
        <v>14.2708999999999</v>
      </c>
      <c r="AD2683">
        <v>-1.1246483020960001</v>
      </c>
      <c r="AE2683">
        <v>-7.16999999999927E-2</v>
      </c>
      <c r="AF2683">
        <v>-9.0405883666801294</v>
      </c>
      <c r="AG2683">
        <v>-1.1246483020960001</v>
      </c>
      <c r="AH2683">
        <v>10.928183464307001</v>
      </c>
      <c r="AI2683">
        <v>94.533812382983498</v>
      </c>
      <c r="AJ2683">
        <v>129.60002728644699</v>
      </c>
      <c r="AK2683">
        <v>14.227517901893901</v>
      </c>
      <c r="AL2683">
        <v>95.723758532838204</v>
      </c>
      <c r="AM2683">
        <v>110.66888380598</v>
      </c>
      <c r="AN2683">
        <v>1.00000004475768</v>
      </c>
    </row>
    <row r="2684" spans="1:40" x14ac:dyDescent="0.25">
      <c r="A2684" t="str">
        <f>"20190303154519690"</f>
        <v>20190303154519690</v>
      </c>
      <c r="B2684" t="str">
        <f>"1551599119683505"</f>
        <v>1551599119683505</v>
      </c>
      <c r="C2684" t="s">
        <v>40</v>
      </c>
      <c r="D2684">
        <v>4.689476</v>
      </c>
      <c r="E2684">
        <v>0.37202960000000002</v>
      </c>
      <c r="F2684" t="s">
        <v>54</v>
      </c>
      <c r="G2684">
        <v>-470.80560000000003</v>
      </c>
      <c r="H2684" s="1">
        <v>5.6825570000000003E-6</v>
      </c>
      <c r="I2684">
        <v>216.47730000000001</v>
      </c>
      <c r="J2684">
        <v>-484.91800000000001</v>
      </c>
      <c r="K2684">
        <v>1.1246799999999999</v>
      </c>
      <c r="L2684">
        <v>216.43100000000001</v>
      </c>
      <c r="M2684">
        <v>0.77385509999999902</v>
      </c>
      <c r="N2684">
        <v>-1.187876E-2</v>
      </c>
      <c r="O2684">
        <v>-0.63325129999999996</v>
      </c>
      <c r="P2684">
        <v>0.94269440000000004</v>
      </c>
      <c r="Q2684">
        <v>-0.1090242</v>
      </c>
      <c r="R2684">
        <v>-0.31534279999999998</v>
      </c>
      <c r="S2684">
        <v>3.1626280000000002</v>
      </c>
      <c r="T2684">
        <v>-0.24990309999999999</v>
      </c>
      <c r="U2684">
        <v>-8.4686280000000006E-3</v>
      </c>
      <c r="V2684">
        <v>-0.3520317</v>
      </c>
      <c r="W2684">
        <v>-0.1012545</v>
      </c>
      <c r="X2684">
        <v>0.93049510000000002</v>
      </c>
      <c r="Y2684">
        <v>-0.62783549999999999</v>
      </c>
      <c r="Z2684">
        <v>6.7270720000000006E-2</v>
      </c>
      <c r="AA2684">
        <v>0.7754337</v>
      </c>
      <c r="AB2684">
        <v>14</v>
      </c>
      <c r="AC2684">
        <v>14.1123999999999</v>
      </c>
      <c r="AD2684">
        <v>-1.1246743174429901</v>
      </c>
      <c r="AE2684">
        <v>4.6300000000030601E-2</v>
      </c>
      <c r="AF2684">
        <v>-8.9165285781328993</v>
      </c>
      <c r="AG2684">
        <v>-1.1246743174429901</v>
      </c>
      <c r="AH2684">
        <v>10.8236596731773</v>
      </c>
      <c r="AI2684">
        <v>94.585293789119106</v>
      </c>
      <c r="AJ2684">
        <v>129.481689699003</v>
      </c>
      <c r="AK2684">
        <v>14.068439249815199</v>
      </c>
      <c r="AL2684">
        <v>95.811414960626195</v>
      </c>
      <c r="AM2684">
        <v>110.722998832117</v>
      </c>
      <c r="AN2684">
        <v>0.99999996134957403</v>
      </c>
    </row>
    <row r="2685" spans="1:40" x14ac:dyDescent="0.25">
      <c r="A2685" t="str">
        <f>"20190303154519712"</f>
        <v>20190303154519712</v>
      </c>
      <c r="B2685" t="str">
        <f>"1551599119703026"</f>
        <v>1551599119703026</v>
      </c>
      <c r="C2685" t="s">
        <v>40</v>
      </c>
      <c r="D2685">
        <v>4.7268080000000001</v>
      </c>
      <c r="E2685">
        <v>0.381853</v>
      </c>
      <c r="F2685" t="s">
        <v>54</v>
      </c>
      <c r="G2685">
        <v>-470.78120000000001</v>
      </c>
      <c r="H2685" s="1">
        <v>5.6951790000000002E-6</v>
      </c>
      <c r="I2685">
        <v>216.51900000000001</v>
      </c>
      <c r="J2685">
        <v>-484.80810000000002</v>
      </c>
      <c r="K2685">
        <v>1.124698</v>
      </c>
      <c r="L2685">
        <v>216.35560000000001</v>
      </c>
      <c r="M2685">
        <v>0.77982910000000005</v>
      </c>
      <c r="N2685">
        <v>-1.192036E-2</v>
      </c>
      <c r="O2685">
        <v>-0.62587930000000003</v>
      </c>
      <c r="P2685">
        <v>0.94576340000000003</v>
      </c>
      <c r="Q2685">
        <v>-0.10969909999999999</v>
      </c>
      <c r="R2685">
        <v>-0.30577379999999998</v>
      </c>
      <c r="S2685">
        <v>3.1598510000000002</v>
      </c>
      <c r="T2685">
        <v>-0.25138739999999998</v>
      </c>
      <c r="U2685">
        <v>1.9668580000000001E-2</v>
      </c>
      <c r="V2685">
        <v>-0.35257040000000001</v>
      </c>
      <c r="W2685">
        <v>-0.1019167</v>
      </c>
      <c r="X2685">
        <v>0.93021889999999996</v>
      </c>
      <c r="Y2685">
        <v>-0.62733499999999998</v>
      </c>
      <c r="Z2685">
        <v>6.7412029999999998E-2</v>
      </c>
      <c r="AA2685">
        <v>0.77582629999999997</v>
      </c>
      <c r="AB2685">
        <v>14</v>
      </c>
      <c r="AC2685">
        <v>14.026899999999999</v>
      </c>
      <c r="AD2685">
        <v>-1.124692304821</v>
      </c>
      <c r="AE2685">
        <v>0.16339999999999499</v>
      </c>
      <c r="AF2685">
        <v>-8.8503104148240404</v>
      </c>
      <c r="AG2685">
        <v>-1.124692304821</v>
      </c>
      <c r="AH2685">
        <v>10.767866513269</v>
      </c>
      <c r="AI2685">
        <v>94.613261137105695</v>
      </c>
      <c r="AJ2685">
        <v>129.41742336769099</v>
      </c>
      <c r="AK2685">
        <v>13.9835573609452</v>
      </c>
      <c r="AL2685">
        <v>95.849552998336407</v>
      </c>
      <c r="AM2685">
        <v>110.75764728308501</v>
      </c>
      <c r="AN2685">
        <v>1.00000005130612</v>
      </c>
    </row>
    <row r="2686" spans="1:40" x14ac:dyDescent="0.25">
      <c r="A2686" t="str">
        <f>"20190303154519737"</f>
        <v>20190303154519737</v>
      </c>
      <c r="B2686" t="str">
        <f>"1551599119733282"</f>
        <v>1551599119733282</v>
      </c>
      <c r="C2686" t="s">
        <v>40</v>
      </c>
      <c r="D2686">
        <v>4.7688689999999996</v>
      </c>
      <c r="E2686">
        <v>0.38159690000000002</v>
      </c>
      <c r="F2686" t="s">
        <v>42</v>
      </c>
      <c r="G2686">
        <v>-483.85509999999999</v>
      </c>
      <c r="H2686">
        <v>1.0575870000000001</v>
      </c>
      <c r="I2686">
        <v>216.34819999999999</v>
      </c>
      <c r="J2686">
        <v>-484.68560000000002</v>
      </c>
      <c r="K2686">
        <v>1.1247309999999999</v>
      </c>
      <c r="L2686">
        <v>216.27350000000001</v>
      </c>
      <c r="M2686">
        <v>0.78642789999999996</v>
      </c>
      <c r="N2686">
        <v>-1.196413E-2</v>
      </c>
      <c r="O2686">
        <v>-0.61756630000000001</v>
      </c>
      <c r="P2686">
        <v>0.94881499999999996</v>
      </c>
      <c r="Q2686">
        <v>-0.10968219999999999</v>
      </c>
      <c r="R2686">
        <v>-0.29617549999999998</v>
      </c>
      <c r="S2686">
        <v>3.138763</v>
      </c>
      <c r="T2686">
        <v>-0.22097600000000001</v>
      </c>
      <c r="U2686">
        <v>-2.362061E-2</v>
      </c>
      <c r="V2686">
        <v>-0.35211759999999998</v>
      </c>
      <c r="W2686">
        <v>-0.1018766</v>
      </c>
      <c r="X2686">
        <v>0.93039470000000002</v>
      </c>
      <c r="Y2686">
        <v>-0.60907389999999995</v>
      </c>
      <c r="Z2686">
        <v>5.8036829999999998E-2</v>
      </c>
      <c r="AA2686">
        <v>0.790987199999999</v>
      </c>
      <c r="AB2686">
        <v>14</v>
      </c>
      <c r="AC2686">
        <v>0.83050000000002899</v>
      </c>
      <c r="AD2686">
        <v>-6.7143999999999801E-2</v>
      </c>
      <c r="AE2686">
        <v>7.4699999999978603E-2</v>
      </c>
      <c r="AF2686">
        <v>-0.56799305391959498</v>
      </c>
      <c r="AG2686">
        <v>-6.7143999999999801E-2</v>
      </c>
      <c r="AH2686">
        <v>0.60312895760260898</v>
      </c>
      <c r="AI2686">
        <v>94.633393356365005</v>
      </c>
      <c r="AJ2686">
        <v>133.281532344374</v>
      </c>
      <c r="AK2686">
        <v>0.83119730842665596</v>
      </c>
      <c r="AL2686">
        <v>95.847243882679194</v>
      </c>
      <c r="AM2686">
        <v>110.72967236013599</v>
      </c>
      <c r="AN2686">
        <v>0.99999997182270395</v>
      </c>
    </row>
    <row r="2687" spans="1:40" x14ac:dyDescent="0.25">
      <c r="A2687" t="str">
        <f>"20190303154519758"</f>
        <v>20190303154519758</v>
      </c>
      <c r="B2687" t="str">
        <f>"1551599119753777"</f>
        <v>1551599119753777</v>
      </c>
      <c r="C2687" t="s">
        <v>40</v>
      </c>
      <c r="D2687">
        <v>4.7680319999999998</v>
      </c>
      <c r="E2687">
        <v>0.382712</v>
      </c>
      <c r="F2687" t="s">
        <v>42</v>
      </c>
      <c r="G2687">
        <v>-483.75959999999998</v>
      </c>
      <c r="H2687">
        <v>1.0477829999999999</v>
      </c>
      <c r="I2687">
        <v>216.27690000000001</v>
      </c>
      <c r="J2687">
        <v>-484.5788</v>
      </c>
      <c r="K2687">
        <v>1.124765</v>
      </c>
      <c r="L2687">
        <v>216.20349999999999</v>
      </c>
      <c r="M2687">
        <v>0.79212869999999902</v>
      </c>
      <c r="N2687">
        <v>-1.2000230000000001E-2</v>
      </c>
      <c r="O2687">
        <v>-0.61023649999999996</v>
      </c>
      <c r="P2687">
        <v>0.95131120000000002</v>
      </c>
      <c r="Q2687">
        <v>-0.10945249999999999</v>
      </c>
      <c r="R2687">
        <v>-0.2881455</v>
      </c>
      <c r="S2687">
        <v>3.1351930000000001</v>
      </c>
      <c r="T2687">
        <v>-0.26056839999999998</v>
      </c>
      <c r="U2687">
        <v>1.1169429999999999E-2</v>
      </c>
      <c r="V2687">
        <v>-0.35135359999999899</v>
      </c>
      <c r="W2687">
        <v>-0.10162930000000001</v>
      </c>
      <c r="X2687">
        <v>0.93071060000000005</v>
      </c>
      <c r="Y2687">
        <v>-0.60943059999999905</v>
      </c>
      <c r="Z2687">
        <v>6.8914399999999904E-2</v>
      </c>
      <c r="AA2687">
        <v>0.7898387</v>
      </c>
      <c r="AB2687">
        <v>14</v>
      </c>
      <c r="AC2687">
        <v>0.81920000000002302</v>
      </c>
      <c r="AD2687">
        <v>-7.6982000000000106E-2</v>
      </c>
      <c r="AE2687">
        <v>7.3400000000020699E-2</v>
      </c>
      <c r="AF2687">
        <v>-0.55324140443236702</v>
      </c>
      <c r="AG2687">
        <v>-7.6982000000000106E-2</v>
      </c>
      <c r="AH2687">
        <v>0.59891705713621002</v>
      </c>
      <c r="AI2687">
        <v>95.393715569650695</v>
      </c>
      <c r="AJ2687">
        <v>132.729780646801</v>
      </c>
      <c r="AK2687">
        <v>0.81896515263532199</v>
      </c>
      <c r="AL2687">
        <v>95.833000287712096</v>
      </c>
      <c r="AM2687">
        <v>110.682079281322</v>
      </c>
      <c r="AN2687">
        <v>1.0000000439018999</v>
      </c>
    </row>
    <row r="2688" spans="1:40" x14ac:dyDescent="0.25">
      <c r="A2688" t="str">
        <f>"20190303154519780"</f>
        <v>20190303154519780</v>
      </c>
      <c r="B2688" t="str">
        <f>"1551599119773298"</f>
        <v>1551599119773298</v>
      </c>
      <c r="C2688" t="s">
        <v>40</v>
      </c>
      <c r="D2688">
        <v>4.7950819999999998</v>
      </c>
      <c r="E2688">
        <v>0.38417879999999999</v>
      </c>
      <c r="F2688" t="s">
        <v>42</v>
      </c>
      <c r="G2688">
        <v>-483.66059999999999</v>
      </c>
      <c r="H2688">
        <v>1.044915</v>
      </c>
      <c r="I2688">
        <v>216.21199999999999</v>
      </c>
      <c r="J2688">
        <v>-484.46120000000002</v>
      </c>
      <c r="K2688">
        <v>1.1248100000000001</v>
      </c>
      <c r="L2688">
        <v>216.12819999999999</v>
      </c>
      <c r="M2688">
        <v>0.79833030000000005</v>
      </c>
      <c r="N2688">
        <v>-1.2038119999999999E-2</v>
      </c>
      <c r="O2688">
        <v>-0.60209969999999902</v>
      </c>
      <c r="P2688">
        <v>0.95373030000000003</v>
      </c>
      <c r="Q2688">
        <v>-0.1098421</v>
      </c>
      <c r="R2688">
        <v>-0.27988069999999998</v>
      </c>
      <c r="S2688">
        <v>3.1311339999999999</v>
      </c>
      <c r="T2688">
        <v>-0.27223560000000002</v>
      </c>
      <c r="U2688">
        <v>2.9434200000000001E-2</v>
      </c>
      <c r="V2688">
        <v>-0.34986689999999998</v>
      </c>
      <c r="W2688">
        <v>-0.1019979</v>
      </c>
      <c r="X2688">
        <v>0.93123009999999995</v>
      </c>
      <c r="Y2688">
        <v>-0.60561849999999995</v>
      </c>
      <c r="Z2688">
        <v>7.1646080000000001E-2</v>
      </c>
      <c r="AA2688">
        <v>0.79252319999999998</v>
      </c>
      <c r="AB2688">
        <v>14</v>
      </c>
      <c r="AC2688">
        <v>0.80060000000003095</v>
      </c>
      <c r="AD2688">
        <v>-7.9894999999999994E-2</v>
      </c>
      <c r="AE2688">
        <v>8.3800000000024896E-2</v>
      </c>
      <c r="AF2688">
        <v>-0.54362561531595999</v>
      </c>
      <c r="AG2688">
        <v>-7.9894999999999994E-2</v>
      </c>
      <c r="AH2688">
        <v>0.58298693107476396</v>
      </c>
      <c r="AI2688">
        <v>95.7236061815791</v>
      </c>
      <c r="AJ2688">
        <v>132.99902785422401</v>
      </c>
      <c r="AK2688">
        <v>0.80111533655062905</v>
      </c>
      <c r="AL2688">
        <v>95.854230328087795</v>
      </c>
      <c r="AM2688">
        <v>110.591401730458</v>
      </c>
      <c r="AN2688">
        <v>0.99999995923301399</v>
      </c>
    </row>
    <row r="2689" spans="1:40" x14ac:dyDescent="0.25">
      <c r="A2689" t="str">
        <f>"20190303154519808"</f>
        <v>20190303154519808</v>
      </c>
      <c r="B2689" t="str">
        <f>"1551599119803554"</f>
        <v>1551599119803554</v>
      </c>
      <c r="C2689" t="s">
        <v>40</v>
      </c>
      <c r="D2689">
        <v>4.8274210000000002</v>
      </c>
      <c r="E2689">
        <v>0.38678669999999998</v>
      </c>
      <c r="F2689" t="s">
        <v>42</v>
      </c>
      <c r="G2689">
        <v>-483.5641</v>
      </c>
      <c r="H2689">
        <v>1.0431159999999999</v>
      </c>
      <c r="I2689">
        <v>216.1412</v>
      </c>
      <c r="J2689">
        <v>-484.32839999999999</v>
      </c>
      <c r="K2689">
        <v>1.124857</v>
      </c>
      <c r="L2689">
        <v>216.0455</v>
      </c>
      <c r="M2689">
        <v>0.80525000000000002</v>
      </c>
      <c r="N2689">
        <v>-1.207781E-2</v>
      </c>
      <c r="O2689">
        <v>-0.59281240000000002</v>
      </c>
      <c r="P2689">
        <v>0.95638650000000003</v>
      </c>
      <c r="Q2689">
        <v>-0.110516</v>
      </c>
      <c r="R2689">
        <v>-0.27039059999999998</v>
      </c>
      <c r="S2689">
        <v>3.1261899999999998</v>
      </c>
      <c r="T2689">
        <v>-0.28468670000000001</v>
      </c>
      <c r="U2689">
        <v>4.5547490000000003E-2</v>
      </c>
      <c r="V2689">
        <v>-0.34827129999999901</v>
      </c>
      <c r="W2689">
        <v>-0.10265390000000001</v>
      </c>
      <c r="X2689">
        <v>0.93175600000000003</v>
      </c>
      <c r="Y2689">
        <v>-0.60015680000000005</v>
      </c>
      <c r="Z2689">
        <v>7.4394520000000006E-2</v>
      </c>
      <c r="AA2689">
        <v>0.79641530000000005</v>
      </c>
      <c r="AB2689">
        <v>14</v>
      </c>
      <c r="AC2689">
        <v>0.76429999999999099</v>
      </c>
      <c r="AD2689">
        <v>-8.1740999999999994E-2</v>
      </c>
      <c r="AE2689">
        <v>9.5699999999993596E-2</v>
      </c>
      <c r="AF2689">
        <v>-0.52428340495667802</v>
      </c>
      <c r="AG2689">
        <v>-8.1740999999999994E-2</v>
      </c>
      <c r="AH2689">
        <v>0.55253877768118698</v>
      </c>
      <c r="AI2689">
        <v>96.125269387036298</v>
      </c>
      <c r="AJ2689">
        <v>133.49692712888</v>
      </c>
      <c r="AK2689">
        <v>0.76606382282117202</v>
      </c>
      <c r="AL2689">
        <v>95.892014556588407</v>
      </c>
      <c r="AM2689">
        <v>110.494713021138</v>
      </c>
      <c r="AN2689">
        <v>0.99999998256244904</v>
      </c>
    </row>
    <row r="2690" spans="1:40" x14ac:dyDescent="0.25">
      <c r="A2690" t="str">
        <f>"20190303154519847"</f>
        <v>20190303154519847</v>
      </c>
      <c r="B2690" t="str">
        <f>"1551599119843164"</f>
        <v>1551599119843164</v>
      </c>
      <c r="C2690" t="s">
        <v>40</v>
      </c>
      <c r="D2690">
        <v>4.8741269999999997</v>
      </c>
      <c r="E2690">
        <v>0.40172190000000002</v>
      </c>
      <c r="F2690" t="s">
        <v>42</v>
      </c>
      <c r="G2690">
        <v>-483.34190000000001</v>
      </c>
      <c r="H2690">
        <v>1.032521</v>
      </c>
      <c r="I2690">
        <v>216.0634</v>
      </c>
      <c r="J2690">
        <v>-484.11509999999998</v>
      </c>
      <c r="K2690">
        <v>1.1249180000000001</v>
      </c>
      <c r="L2690">
        <v>215.91739999999999</v>
      </c>
      <c r="M2690">
        <v>0.81615979999999999</v>
      </c>
      <c r="N2690">
        <v>-1.213412E-2</v>
      </c>
      <c r="O2690">
        <v>-0.57769910000000002</v>
      </c>
      <c r="P2690">
        <v>0.96051419999999998</v>
      </c>
      <c r="Q2690">
        <v>-0.1098406</v>
      </c>
      <c r="R2690">
        <v>-0.25563259999999999</v>
      </c>
      <c r="S2690">
        <v>3.1191409999999999</v>
      </c>
      <c r="T2690">
        <v>-0.29189029999999999</v>
      </c>
      <c r="U2690">
        <v>5.673218E-2</v>
      </c>
      <c r="V2690">
        <v>-0.34529009999999999</v>
      </c>
      <c r="W2690">
        <v>-0.10193149999999999</v>
      </c>
      <c r="X2690">
        <v>0.93294410000000005</v>
      </c>
      <c r="Y2690">
        <v>-0.58795280000000005</v>
      </c>
      <c r="Z2690">
        <v>7.4957949999999995E-2</v>
      </c>
      <c r="AA2690">
        <v>0.80541470000000004</v>
      </c>
      <c r="AB2690">
        <v>14</v>
      </c>
      <c r="AC2690">
        <v>0.77319999999997402</v>
      </c>
      <c r="AD2690">
        <v>-9.2397000000000007E-2</v>
      </c>
      <c r="AE2690">
        <v>0.14600000000001501</v>
      </c>
      <c r="AF2690">
        <v>-0.55818136745313995</v>
      </c>
      <c r="AG2690">
        <v>-9.2397000000000007E-2</v>
      </c>
      <c r="AH2690">
        <v>0.53931452149552495</v>
      </c>
      <c r="AI2690">
        <v>96.788743670805999</v>
      </c>
      <c r="AJ2690">
        <v>135.98486398866501</v>
      </c>
      <c r="AK2690">
        <v>0.78164173230246903</v>
      </c>
      <c r="AL2690">
        <v>95.850405782099301</v>
      </c>
      <c r="AM2690">
        <v>110.309917692902</v>
      </c>
      <c r="AN2690">
        <v>0.99999998878753404</v>
      </c>
    </row>
    <row r="2691" spans="1:40" x14ac:dyDescent="0.25">
      <c r="A2691" t="str">
        <f>"20190303154519869"</f>
        <v>20190303154519869</v>
      </c>
      <c r="B2691" t="str">
        <f>"1551599119863659"</f>
        <v>1551599119863659</v>
      </c>
      <c r="C2691" t="s">
        <v>40</v>
      </c>
      <c r="D2691">
        <v>4.8708470000000004</v>
      </c>
      <c r="E2691">
        <v>0.40283390000000002</v>
      </c>
      <c r="F2691" t="s">
        <v>42</v>
      </c>
      <c r="G2691">
        <v>-483.1506</v>
      </c>
      <c r="H2691">
        <v>1.0312479999999999</v>
      </c>
      <c r="I2691">
        <v>215.91419999999999</v>
      </c>
      <c r="J2691">
        <v>-483.99540000000002</v>
      </c>
      <c r="K2691">
        <v>1.1249389999999999</v>
      </c>
      <c r="L2691">
        <v>215.84800000000001</v>
      </c>
      <c r="M2691">
        <v>0.82215919999999898</v>
      </c>
      <c r="N2691">
        <v>-1.2165520000000001E-2</v>
      </c>
      <c r="O2691">
        <v>-0.56912790000000002</v>
      </c>
      <c r="P2691">
        <v>0.96267729999999996</v>
      </c>
      <c r="Q2691">
        <v>-0.1104472</v>
      </c>
      <c r="R2691">
        <v>-0.24709130000000001</v>
      </c>
      <c r="S2691">
        <v>3.0864259999999999</v>
      </c>
      <c r="T2691">
        <v>-0.29974879999999998</v>
      </c>
      <c r="U2691">
        <v>-9.9334720000000005E-3</v>
      </c>
      <c r="V2691">
        <v>-0.34376760000000001</v>
      </c>
      <c r="W2691">
        <v>-0.1025003</v>
      </c>
      <c r="X2691">
        <v>0.93344389999999999</v>
      </c>
      <c r="Y2691">
        <v>-0.56179269999999903</v>
      </c>
      <c r="Z2691">
        <v>7.582875E-2</v>
      </c>
      <c r="AA2691">
        <v>0.82379539999999996</v>
      </c>
      <c r="AB2691">
        <v>14</v>
      </c>
      <c r="AC2691">
        <v>0.84480000000001998</v>
      </c>
      <c r="AD2691">
        <v>-9.3690999999999899E-2</v>
      </c>
      <c r="AE2691">
        <v>6.6200000000009099E-2</v>
      </c>
      <c r="AF2691">
        <v>-0.52880140964716504</v>
      </c>
      <c r="AG2691">
        <v>-9.3690999999999899E-2</v>
      </c>
      <c r="AH2691">
        <v>0.64899868484492296</v>
      </c>
      <c r="AI2691">
        <v>96.385731599216101</v>
      </c>
      <c r="AJ2691">
        <v>129.173003578372</v>
      </c>
      <c r="AK2691">
        <v>0.84238247088615803</v>
      </c>
      <c r="AL2691">
        <v>95.883167185919604</v>
      </c>
      <c r="AM2691">
        <v>110.217682740455</v>
      </c>
      <c r="AN2691">
        <v>0.99999999437853004</v>
      </c>
    </row>
    <row r="2692" spans="1:40" x14ac:dyDescent="0.25">
      <c r="A2692" t="str">
        <f>"20190303154519892"</f>
        <v>20190303154519892</v>
      </c>
      <c r="B2692" t="str">
        <f>"1551599119883180"</f>
        <v>1551599119883180</v>
      </c>
      <c r="C2692" t="s">
        <v>40</v>
      </c>
      <c r="D2692">
        <v>4.8865339999999904</v>
      </c>
      <c r="E2692">
        <v>0.4037384</v>
      </c>
      <c r="F2692" t="s">
        <v>42</v>
      </c>
      <c r="G2692">
        <v>-483.04969999999997</v>
      </c>
      <c r="H2692">
        <v>1.031803</v>
      </c>
      <c r="I2692">
        <v>215.85050000000001</v>
      </c>
      <c r="J2692">
        <v>-483.87099999999998</v>
      </c>
      <c r="K2692">
        <v>1.1249480000000001</v>
      </c>
      <c r="L2692">
        <v>215.77760000000001</v>
      </c>
      <c r="M2692">
        <v>0.82829719999999996</v>
      </c>
      <c r="N2692">
        <v>-1.220157E-2</v>
      </c>
      <c r="O2692">
        <v>-0.56015630000000005</v>
      </c>
      <c r="P2692">
        <v>0.9649624</v>
      </c>
      <c r="Q2692">
        <v>-0.11120919999999899</v>
      </c>
      <c r="R2692">
        <v>-0.23765620000000001</v>
      </c>
      <c r="S2692">
        <v>3.083771</v>
      </c>
      <c r="T2692">
        <v>-0.30360720000000002</v>
      </c>
      <c r="U2692">
        <v>8.8043210000000004E-3</v>
      </c>
      <c r="V2692">
        <v>-0.34270109999999998</v>
      </c>
      <c r="W2692">
        <v>-0.1032189</v>
      </c>
      <c r="X2692">
        <v>0.93375680000000005</v>
      </c>
      <c r="Y2692">
        <v>-0.55773439999999996</v>
      </c>
      <c r="Z2692">
        <v>7.6100440000000005E-2</v>
      </c>
      <c r="AA2692">
        <v>0.82652349999999997</v>
      </c>
      <c r="AB2692">
        <v>14</v>
      </c>
      <c r="AC2692">
        <v>0.82130000000000702</v>
      </c>
      <c r="AD2692">
        <v>-9.3145000000000006E-2</v>
      </c>
      <c r="AE2692">
        <v>7.29000000000041E-2</v>
      </c>
      <c r="AF2692">
        <v>-0.51391945976718401</v>
      </c>
      <c r="AG2692">
        <v>-9.3145000000000006E-2</v>
      </c>
      <c r="AH2692">
        <v>0.63143448108624001</v>
      </c>
      <c r="AI2692">
        <v>96.526784252652604</v>
      </c>
      <c r="AJ2692">
        <v>129.14186655949399</v>
      </c>
      <c r="AK2692">
        <v>0.81945024623648899</v>
      </c>
      <c r="AL2692">
        <v>95.924559608482895</v>
      </c>
      <c r="AM2692">
        <v>110.15380489407799</v>
      </c>
      <c r="AN2692">
        <v>0.99999997340232905</v>
      </c>
    </row>
    <row r="2693" spans="1:40" x14ac:dyDescent="0.25">
      <c r="A2693" t="str">
        <f>"20190303154519913"</f>
        <v>20190303154519913</v>
      </c>
      <c r="B2693" t="str">
        <f>"1551599119903675"</f>
        <v>1551599119903675</v>
      </c>
      <c r="C2693" t="s">
        <v>40</v>
      </c>
      <c r="D2693">
        <v>4.8804220000000003</v>
      </c>
      <c r="E2693">
        <v>0.40468900000000002</v>
      </c>
      <c r="F2693" t="s">
        <v>42</v>
      </c>
      <c r="G2693">
        <v>-482.94819999999999</v>
      </c>
      <c r="H2693">
        <v>1.0342249999999999</v>
      </c>
      <c r="I2693">
        <v>215.78729999999999</v>
      </c>
      <c r="J2693">
        <v>-483.76119999999997</v>
      </c>
      <c r="K2693">
        <v>1.124962</v>
      </c>
      <c r="L2693">
        <v>215.71709999999999</v>
      </c>
      <c r="M2693">
        <v>0.83363039999999999</v>
      </c>
      <c r="N2693">
        <v>-1.223783E-2</v>
      </c>
      <c r="O2693">
        <v>-0.55218699999999998</v>
      </c>
      <c r="P2693">
        <v>0.96706099999999995</v>
      </c>
      <c r="Q2693">
        <v>-0.1114555</v>
      </c>
      <c r="R2693">
        <v>-0.22884640000000001</v>
      </c>
      <c r="S2693">
        <v>3.0818789999999998</v>
      </c>
      <c r="T2693">
        <v>-0.30303380000000002</v>
      </c>
      <c r="U2693">
        <v>3.20282E-2</v>
      </c>
      <c r="V2693">
        <v>-0.34224290000000002</v>
      </c>
      <c r="W2693">
        <v>-0.10342899999999999</v>
      </c>
      <c r="X2693">
        <v>0.9339016</v>
      </c>
      <c r="Y2693">
        <v>-0.55606959999999905</v>
      </c>
      <c r="Z2693">
        <v>7.5379429999999997E-2</v>
      </c>
      <c r="AA2693">
        <v>0.82771039999999996</v>
      </c>
      <c r="AB2693">
        <v>14</v>
      </c>
      <c r="AC2693">
        <v>0.81299999999998795</v>
      </c>
      <c r="AD2693">
        <v>-9.0736999999999998E-2</v>
      </c>
      <c r="AE2693">
        <v>7.0199999999999804E-2</v>
      </c>
      <c r="AF2693">
        <v>-0.50128894012904301</v>
      </c>
      <c r="AG2693">
        <v>-9.0736999999999998E-2</v>
      </c>
      <c r="AH2693">
        <v>0.63122140512645397</v>
      </c>
      <c r="AI2693">
        <v>96.422672993857901</v>
      </c>
      <c r="AJ2693">
        <v>128.455094325338</v>
      </c>
      <c r="AK2693">
        <v>0.81114996576127296</v>
      </c>
      <c r="AL2693">
        <v>95.936662191562903</v>
      </c>
      <c r="AM2693">
        <v>110.12615263673101</v>
      </c>
      <c r="AN2693">
        <v>0.99999997956198405</v>
      </c>
    </row>
    <row r="2694" spans="1:40" x14ac:dyDescent="0.25">
      <c r="A2694" t="str">
        <f>"20190303154519959"</f>
        <v>20190303154519959</v>
      </c>
      <c r="B2694" t="str">
        <f>"1551599119953451"</f>
        <v>1551599119953451</v>
      </c>
      <c r="C2694" t="s">
        <v>40</v>
      </c>
      <c r="D2694">
        <v>4.9097910000000002</v>
      </c>
      <c r="E2694">
        <v>0.41569260000000002</v>
      </c>
      <c r="F2694" t="s">
        <v>42</v>
      </c>
      <c r="G2694">
        <v>-482.84309999999999</v>
      </c>
      <c r="H2694">
        <v>1.035199</v>
      </c>
      <c r="I2694">
        <v>215.73269999999999</v>
      </c>
      <c r="J2694">
        <v>-483.5145</v>
      </c>
      <c r="K2694">
        <v>1.1250290000000001</v>
      </c>
      <c r="L2694">
        <v>215.58619999999999</v>
      </c>
      <c r="M2694">
        <v>0.84533440000000004</v>
      </c>
      <c r="N2694">
        <v>-1.2324170000000001E-2</v>
      </c>
      <c r="O2694">
        <v>-0.53409549999999995</v>
      </c>
      <c r="P2694">
        <v>0.97217299999999995</v>
      </c>
      <c r="Q2694">
        <v>-0.1113162</v>
      </c>
      <c r="R2694">
        <v>-0.20612759999999999</v>
      </c>
      <c r="S2694">
        <v>3.0799259999999999</v>
      </c>
      <c r="T2694">
        <v>-0.30109819999999998</v>
      </c>
      <c r="U2694">
        <v>5.2658080000000003E-2</v>
      </c>
      <c r="V2694">
        <v>-0.34399940000000001</v>
      </c>
      <c r="W2694">
        <v>-0.1032604</v>
      </c>
      <c r="X2694">
        <v>0.93327470000000001</v>
      </c>
      <c r="Y2694">
        <v>-0.54387549999999996</v>
      </c>
      <c r="Z2694">
        <v>7.3002849999999994E-2</v>
      </c>
      <c r="AA2694">
        <v>0.83598449999999902</v>
      </c>
      <c r="AB2694">
        <v>14</v>
      </c>
      <c r="AC2694">
        <v>0.67140000000000499</v>
      </c>
      <c r="AD2694">
        <v>-8.9829999999999993E-2</v>
      </c>
      <c r="AE2694">
        <v>0.14650000000000299</v>
      </c>
      <c r="AF2694">
        <v>-0.47436409594812901</v>
      </c>
      <c r="AG2694">
        <v>-8.9829999999999993E-2</v>
      </c>
      <c r="AH2694">
        <v>0.48112835053400999</v>
      </c>
      <c r="AI2694">
        <v>97.573233436185006</v>
      </c>
      <c r="AJ2694">
        <v>134.59439055071701</v>
      </c>
      <c r="AK2694">
        <v>0.68159754555915497</v>
      </c>
      <c r="AL2694">
        <v>95.926950108897699</v>
      </c>
      <c r="AM2694">
        <v>110.233580870786</v>
      </c>
      <c r="AN2694">
        <v>0.99999998153430403</v>
      </c>
    </row>
    <row r="2695" spans="1:40" x14ac:dyDescent="0.25">
      <c r="A2695" t="str">
        <f>"20190303154519980"</f>
        <v>20190303154519980</v>
      </c>
      <c r="B2695" t="str">
        <f>"1551599119973947"</f>
        <v>1551599119973947</v>
      </c>
      <c r="C2695" t="s">
        <v>40</v>
      </c>
      <c r="D2695">
        <v>4.8987550000000004</v>
      </c>
      <c r="E2695">
        <v>0.41753899999999999</v>
      </c>
      <c r="F2695" t="s">
        <v>42</v>
      </c>
      <c r="G2695">
        <v>-482.64210000000003</v>
      </c>
      <c r="H2695">
        <v>1.044511</v>
      </c>
      <c r="I2695">
        <v>215.59710000000001</v>
      </c>
      <c r="J2695">
        <v>-483.39440000000002</v>
      </c>
      <c r="K2695">
        <v>1.1250690000000001</v>
      </c>
      <c r="L2695">
        <v>215.52500000000001</v>
      </c>
      <c r="M2695">
        <v>0.85088469999999905</v>
      </c>
      <c r="N2695">
        <v>-1.2362969999999999E-2</v>
      </c>
      <c r="O2695">
        <v>-0.52520699999999998</v>
      </c>
      <c r="P2695">
        <v>0.97383209999999998</v>
      </c>
      <c r="Q2695">
        <v>-0.1121854</v>
      </c>
      <c r="R2695">
        <v>-0.19765089999999999</v>
      </c>
      <c r="S2695">
        <v>3.0617369999999999</v>
      </c>
      <c r="T2695">
        <v>-0.28252509999999997</v>
      </c>
      <c r="U2695">
        <v>3.8696290000000001E-2</v>
      </c>
      <c r="V2695">
        <v>-0.3422848</v>
      </c>
      <c r="W2695">
        <v>-0.1040875</v>
      </c>
      <c r="X2695">
        <v>0.93381309999999995</v>
      </c>
      <c r="Y2695">
        <v>-0.53192019999999995</v>
      </c>
      <c r="Z2695">
        <v>6.7496310000000004E-2</v>
      </c>
      <c r="AA2695">
        <v>0.84410019999999997</v>
      </c>
      <c r="AB2695">
        <v>14</v>
      </c>
      <c r="AC2695">
        <v>0.75229999999999098</v>
      </c>
      <c r="AD2695">
        <v>-8.0558000000000102E-2</v>
      </c>
      <c r="AE2695">
        <v>7.2100000000006007E-2</v>
      </c>
      <c r="AF2695">
        <v>-0.45136833844067298</v>
      </c>
      <c r="AG2695">
        <v>-8.0558000000000102E-2</v>
      </c>
      <c r="AH2695">
        <v>0.59553257268124005</v>
      </c>
      <c r="AI2695">
        <v>96.1530085440166</v>
      </c>
      <c r="AJ2695">
        <v>127.159356144257</v>
      </c>
      <c r="AK2695">
        <v>0.75158633132530495</v>
      </c>
      <c r="AL2695">
        <v>95.974596095313899</v>
      </c>
      <c r="AM2695">
        <v>110.130173337434</v>
      </c>
      <c r="AN2695">
        <v>0.99999999884944901</v>
      </c>
    </row>
    <row r="2696" spans="1:40" x14ac:dyDescent="0.25">
      <c r="A2696" t="str">
        <f>"20190303154520003"</f>
        <v>20190303154520003</v>
      </c>
      <c r="B2696" t="str">
        <f>"1551599119993467"</f>
        <v>1551599119993467</v>
      </c>
      <c r="C2696" t="s">
        <v>40</v>
      </c>
      <c r="D2696">
        <v>4.9005669999999997</v>
      </c>
      <c r="E2696">
        <v>0.42622109999999902</v>
      </c>
      <c r="F2696" t="s">
        <v>42</v>
      </c>
      <c r="G2696">
        <v>-482.53739999999999</v>
      </c>
      <c r="H2696">
        <v>1.045817</v>
      </c>
      <c r="I2696">
        <v>215.53919999999999</v>
      </c>
      <c r="J2696">
        <v>-483.27719999999999</v>
      </c>
      <c r="K2696">
        <v>1.1251119999999999</v>
      </c>
      <c r="L2696">
        <v>215.46690000000001</v>
      </c>
      <c r="M2696">
        <v>0.85620359999999995</v>
      </c>
      <c r="N2696">
        <v>-1.239664E-2</v>
      </c>
      <c r="O2696">
        <v>-0.51649009999999995</v>
      </c>
      <c r="P2696">
        <v>0.97541679999999997</v>
      </c>
      <c r="Q2696">
        <v>-0.11043989999999999</v>
      </c>
      <c r="R2696">
        <v>-0.19069729999999999</v>
      </c>
      <c r="S2696">
        <v>3.0583800000000001</v>
      </c>
      <c r="T2696">
        <v>-0.28282030000000002</v>
      </c>
      <c r="U2696">
        <v>5.0796510000000003E-2</v>
      </c>
      <c r="V2696">
        <v>-0.33953030000000001</v>
      </c>
      <c r="W2696">
        <v>-0.1022822</v>
      </c>
      <c r="X2696">
        <v>0.9350174</v>
      </c>
      <c r="Y2696">
        <v>-0.52666290000000004</v>
      </c>
      <c r="Z2696">
        <v>6.6797930000000005E-2</v>
      </c>
      <c r="AA2696">
        <v>0.84744569999999997</v>
      </c>
      <c r="AB2696">
        <v>14</v>
      </c>
      <c r="AC2696">
        <v>0.73980000000000201</v>
      </c>
      <c r="AD2696">
        <v>-7.9295000000000102E-2</v>
      </c>
      <c r="AE2696">
        <v>7.2299999999984196E-2</v>
      </c>
      <c r="AF2696">
        <v>-0.43904075222835098</v>
      </c>
      <c r="AG2696">
        <v>-7.9295000000000102E-2</v>
      </c>
      <c r="AH2696">
        <v>0.58941547379780301</v>
      </c>
      <c r="AI2696">
        <v>96.157828578975298</v>
      </c>
      <c r="AJ2696">
        <v>126.681498541729</v>
      </c>
      <c r="AK2696">
        <v>0.73922600055363596</v>
      </c>
      <c r="AL2696">
        <v>95.870604885201601</v>
      </c>
      <c r="AM2696">
        <v>109.957339123879</v>
      </c>
      <c r="AN2696">
        <v>1.0000000056788401</v>
      </c>
    </row>
    <row r="2697" spans="1:40" x14ac:dyDescent="0.25">
      <c r="A2697" t="str">
        <f>"20190303154520047"</f>
        <v>20190303154520047</v>
      </c>
      <c r="B2697" t="str">
        <f>"1551599120043861"</f>
        <v>1551599120043861</v>
      </c>
      <c r="C2697" t="s">
        <v>40</v>
      </c>
      <c r="D2697">
        <v>4.90665</v>
      </c>
      <c r="E2697">
        <v>0.43347980000000003</v>
      </c>
      <c r="F2697" t="s">
        <v>42</v>
      </c>
      <c r="G2697">
        <v>-482.31200000000001</v>
      </c>
      <c r="H2697">
        <v>1.0357689999999999</v>
      </c>
      <c r="I2697">
        <v>215.4684</v>
      </c>
      <c r="J2697">
        <v>-483.03149999999999</v>
      </c>
      <c r="K2697">
        <v>1.1251409999999999</v>
      </c>
      <c r="L2697">
        <v>215.3503</v>
      </c>
      <c r="M2697">
        <v>0.86702049999999997</v>
      </c>
      <c r="N2697">
        <v>-1.245316E-2</v>
      </c>
      <c r="O2697">
        <v>-0.49811709999999898</v>
      </c>
      <c r="P2697">
        <v>0.97925689999999999</v>
      </c>
      <c r="Q2697">
        <v>-0.1015997</v>
      </c>
      <c r="R2697">
        <v>-0.175310299999999</v>
      </c>
      <c r="S2697">
        <v>3.0445859999999998</v>
      </c>
      <c r="T2697">
        <v>-0.28185080000000001</v>
      </c>
      <c r="U2697">
        <v>4.4708250000000003E-3</v>
      </c>
      <c r="V2697">
        <v>-0.33488869999999998</v>
      </c>
      <c r="W2697">
        <v>-9.3313569999999998E-2</v>
      </c>
      <c r="X2697">
        <v>0.93762579999999995</v>
      </c>
      <c r="Y2697">
        <v>-0.49559930000000002</v>
      </c>
      <c r="Z2697">
        <v>6.3950160000000006E-2</v>
      </c>
      <c r="AA2697">
        <v>0.86619380000000001</v>
      </c>
      <c r="AB2697">
        <v>14</v>
      </c>
      <c r="AC2697">
        <v>0.719500000000039</v>
      </c>
      <c r="AD2697">
        <v>-8.9371999999999702E-2</v>
      </c>
      <c r="AE2697">
        <v>0.118099999999998</v>
      </c>
      <c r="AF2697">
        <v>-0.45400492400185199</v>
      </c>
      <c r="AG2697">
        <v>-8.9371999999999702E-2</v>
      </c>
      <c r="AH2697">
        <v>0.55667370633975399</v>
      </c>
      <c r="AI2697">
        <v>97.092032956993407</v>
      </c>
      <c r="AJ2697">
        <v>129.19956284683499</v>
      </c>
      <c r="AK2697">
        <v>0.72387391217805697</v>
      </c>
      <c r="AL2697">
        <v>95.354263281783602</v>
      </c>
      <c r="AM2697">
        <v>109.655034913533</v>
      </c>
      <c r="AN2697">
        <v>1.00000000227973</v>
      </c>
    </row>
    <row r="2698" spans="1:40" x14ac:dyDescent="0.25">
      <c r="A2698" t="str">
        <f>"20190303154520073"</f>
        <v>20190303154520073</v>
      </c>
      <c r="B2698" t="str">
        <f>"1551599120063381"</f>
        <v>1551599120063381</v>
      </c>
      <c r="C2698" t="s">
        <v>40</v>
      </c>
      <c r="D2698">
        <v>4.8851719999999998</v>
      </c>
      <c r="E2698">
        <v>0.43456600000000001</v>
      </c>
      <c r="F2698" t="s">
        <v>42</v>
      </c>
      <c r="G2698">
        <v>-482.10219999999998</v>
      </c>
      <c r="H2698">
        <v>1.0441400000000001</v>
      </c>
      <c r="I2698">
        <v>215.34909999999999</v>
      </c>
      <c r="J2698">
        <v>-482.89150000000001</v>
      </c>
      <c r="K2698">
        <v>1.1251059999999999</v>
      </c>
      <c r="L2698">
        <v>215.2867</v>
      </c>
      <c r="M2698">
        <v>0.87297780000000003</v>
      </c>
      <c r="N2698">
        <v>-1.247682E-2</v>
      </c>
      <c r="O2698">
        <v>-0.48760049999999999</v>
      </c>
      <c r="P2698">
        <v>0.98051999999999995</v>
      </c>
      <c r="Q2698">
        <v>-0.1039901</v>
      </c>
      <c r="R2698">
        <v>-0.16663420000000001</v>
      </c>
      <c r="S2698">
        <v>3.035431</v>
      </c>
      <c r="T2698">
        <v>-0.2645979</v>
      </c>
      <c r="U2698">
        <v>-3.8909909999999999E-3</v>
      </c>
      <c r="V2698">
        <v>-0.33171539999999999</v>
      </c>
      <c r="W2698">
        <v>-9.5626470000000005E-2</v>
      </c>
      <c r="X2698">
        <v>0.93852040000000003</v>
      </c>
      <c r="Y2698">
        <v>-0.48320970000000002</v>
      </c>
      <c r="Z2698">
        <v>5.8741399999999999E-2</v>
      </c>
      <c r="AA2698">
        <v>0.87353179999999997</v>
      </c>
      <c r="AB2698">
        <v>14</v>
      </c>
      <c r="AC2698">
        <v>0.78930000000002498</v>
      </c>
      <c r="AD2698">
        <v>-8.0965999999999802E-2</v>
      </c>
      <c r="AE2698">
        <v>6.2399999999996597E-2</v>
      </c>
      <c r="AF2698">
        <v>-0.43482401482880001</v>
      </c>
      <c r="AG2698">
        <v>-8.0965999999999802E-2</v>
      </c>
      <c r="AH2698">
        <v>0.65184980295263895</v>
      </c>
      <c r="AI2698">
        <v>95.899424085552099</v>
      </c>
      <c r="AJ2698">
        <v>123.705732792033</v>
      </c>
      <c r="AK2698">
        <v>0.78774080930038803</v>
      </c>
      <c r="AL2698">
        <v>95.487377869832002</v>
      </c>
      <c r="AM2698">
        <v>109.465703264284</v>
      </c>
      <c r="AN2698">
        <v>1.0000000347889899</v>
      </c>
    </row>
    <row r="2699" spans="1:40" x14ac:dyDescent="0.25">
      <c r="A2699" t="str">
        <f>"20190303154520119"</f>
        <v>20190303154520119</v>
      </c>
      <c r="B2699" t="str">
        <f>"1551599120113157"</f>
        <v>1551599120113157</v>
      </c>
      <c r="C2699" t="s">
        <v>40</v>
      </c>
      <c r="D2699">
        <v>4.8745649999999996</v>
      </c>
      <c r="E2699">
        <v>0.43749870000000002</v>
      </c>
      <c r="F2699" t="s">
        <v>42</v>
      </c>
      <c r="G2699">
        <v>-481.99619999999999</v>
      </c>
      <c r="H2699">
        <v>1.0448649999999999</v>
      </c>
      <c r="I2699">
        <v>215.29089999999999</v>
      </c>
      <c r="J2699">
        <v>-482.62670000000003</v>
      </c>
      <c r="K2699">
        <v>1.124987</v>
      </c>
      <c r="L2699">
        <v>215.17160000000001</v>
      </c>
      <c r="M2699">
        <v>0.88380910000000001</v>
      </c>
      <c r="N2699">
        <v>-1.2506099999999999E-2</v>
      </c>
      <c r="O2699">
        <v>-0.46768090000000001</v>
      </c>
      <c r="P2699">
        <v>0.98175570000000001</v>
      </c>
      <c r="Q2699">
        <v>-0.115439</v>
      </c>
      <c r="R2699">
        <v>-0.1510946</v>
      </c>
      <c r="S2699">
        <v>3.0332340000000002</v>
      </c>
      <c r="T2699">
        <v>-0.27183000000000002</v>
      </c>
      <c r="U2699">
        <v>1.454163E-2</v>
      </c>
      <c r="V2699">
        <v>-0.32459009999999999</v>
      </c>
      <c r="W2699">
        <v>-0.10692020000000001</v>
      </c>
      <c r="X2699">
        <v>0.93979219999999997</v>
      </c>
      <c r="Y2699">
        <v>-0.468551</v>
      </c>
      <c r="Z2699">
        <v>5.8420550000000002E-2</v>
      </c>
      <c r="AA2699">
        <v>0.88150269999999997</v>
      </c>
      <c r="AB2699">
        <v>14</v>
      </c>
      <c r="AC2699">
        <v>0.63050000000004003</v>
      </c>
      <c r="AD2699">
        <v>-8.0122000000000193E-2</v>
      </c>
      <c r="AE2699">
        <v>0.119299999999981</v>
      </c>
      <c r="AF2699">
        <v>-0.39419679587134299</v>
      </c>
      <c r="AG2699">
        <v>-8.0122000000000193E-2</v>
      </c>
      <c r="AH2699">
        <v>0.49378809551163799</v>
      </c>
      <c r="AI2699">
        <v>97.226993605907197</v>
      </c>
      <c r="AJ2699">
        <v>128.60077516611699</v>
      </c>
      <c r="AK2699">
        <v>0.63689664155830195</v>
      </c>
      <c r="AL2699">
        <v>96.137808679741596</v>
      </c>
      <c r="AM2699">
        <v>109.054143019793</v>
      </c>
      <c r="AN2699">
        <v>1.0000000206834401</v>
      </c>
    </row>
    <row r="2700" spans="1:40" x14ac:dyDescent="0.25">
      <c r="A2700" t="str">
        <f>"20190303154520164"</f>
        <v>20190303154520164</v>
      </c>
      <c r="B2700" t="str">
        <f>"1551599120153681"</f>
        <v>1551599120153681</v>
      </c>
      <c r="C2700" t="s">
        <v>40</v>
      </c>
      <c r="D2700">
        <v>4.8975400000000002</v>
      </c>
      <c r="E2700">
        <v>0.43880190000000002</v>
      </c>
      <c r="F2700" t="s">
        <v>42</v>
      </c>
      <c r="G2700">
        <v>-481.72359999999998</v>
      </c>
      <c r="H2700">
        <v>1.0341089999999999</v>
      </c>
      <c r="I2700">
        <v>215.1832</v>
      </c>
      <c r="J2700">
        <v>-482.38029999999998</v>
      </c>
      <c r="K2700">
        <v>1.1249049999999901</v>
      </c>
      <c r="L2700">
        <v>215.07069999999999</v>
      </c>
      <c r="M2700">
        <v>0.8933295</v>
      </c>
      <c r="N2700">
        <v>-1.251531E-2</v>
      </c>
      <c r="O2700">
        <v>-0.44922800000000002</v>
      </c>
      <c r="P2700">
        <v>0.983456</v>
      </c>
      <c r="Q2700">
        <v>-0.1204354</v>
      </c>
      <c r="R2700">
        <v>-0.13531389999999999</v>
      </c>
      <c r="S2700">
        <v>3.0260009999999999</v>
      </c>
      <c r="T2700">
        <v>-0.30446519999999999</v>
      </c>
      <c r="U2700">
        <v>3.939819E-2</v>
      </c>
      <c r="V2700">
        <v>-0.3198645</v>
      </c>
      <c r="W2700">
        <v>-0.11179890000000001</v>
      </c>
      <c r="X2700">
        <v>0.94084409999999896</v>
      </c>
      <c r="Y2700">
        <v>-0.4566617</v>
      </c>
      <c r="Z2700">
        <v>6.3861760000000004E-2</v>
      </c>
      <c r="AA2700">
        <v>0.88734539999999995</v>
      </c>
      <c r="AB2700">
        <v>14</v>
      </c>
      <c r="AC2700">
        <v>0.65669999999999995</v>
      </c>
      <c r="AD2700">
        <v>-9.0795999999999794E-2</v>
      </c>
      <c r="AE2700">
        <v>0.11250000000001099</v>
      </c>
      <c r="AF2700">
        <v>-0.38832691590075502</v>
      </c>
      <c r="AG2700">
        <v>-9.0795999999999794E-2</v>
      </c>
      <c r="AH2700">
        <v>0.52637790603439905</v>
      </c>
      <c r="AI2700">
        <v>97.902535691730904</v>
      </c>
      <c r="AJ2700">
        <v>126.41746021444899</v>
      </c>
      <c r="AK2700">
        <v>0.66039034456157097</v>
      </c>
      <c r="AL2700">
        <v>96.419024958408897</v>
      </c>
      <c r="AM2700">
        <v>108.776805313067</v>
      </c>
      <c r="AN2700">
        <v>0.999999956453133</v>
      </c>
    </row>
    <row r="2701" spans="1:40" x14ac:dyDescent="0.25">
      <c r="A2701" t="str">
        <f>"20190303154520208"</f>
        <v>20190303154520208</v>
      </c>
      <c r="B2701" t="str">
        <f>"1551599120203457"</f>
        <v>1551599120203457</v>
      </c>
      <c r="C2701" t="s">
        <v>40</v>
      </c>
      <c r="D2701">
        <v>4.8828809999999896</v>
      </c>
      <c r="E2701">
        <v>0.44888929999999999</v>
      </c>
      <c r="F2701" t="s">
        <v>42</v>
      </c>
      <c r="G2701">
        <v>-481.43529999999998</v>
      </c>
      <c r="H2701">
        <v>1.0250060000000001</v>
      </c>
      <c r="I2701">
        <v>215.095</v>
      </c>
      <c r="J2701">
        <v>-482.12990000000002</v>
      </c>
      <c r="K2701">
        <v>1.1248610000000001</v>
      </c>
      <c r="L2701">
        <v>214.97409999999999</v>
      </c>
      <c r="M2701">
        <v>0.90245450000000005</v>
      </c>
      <c r="N2701">
        <v>-1.251184E-2</v>
      </c>
      <c r="O2701">
        <v>-0.43060320000000002</v>
      </c>
      <c r="P2701">
        <v>0.98603079999999999</v>
      </c>
      <c r="Q2701">
        <v>-0.115869899999999</v>
      </c>
      <c r="R2701">
        <v>-0.1196556</v>
      </c>
      <c r="S2701">
        <v>3.021973</v>
      </c>
      <c r="T2701">
        <v>-0.319441799999999</v>
      </c>
      <c r="U2701">
        <v>7.7728270000000002E-2</v>
      </c>
      <c r="V2701">
        <v>-0.31561470000000003</v>
      </c>
      <c r="W2701">
        <v>-0.10711909999999999</v>
      </c>
      <c r="X2701">
        <v>0.94282169999999998</v>
      </c>
      <c r="Y2701">
        <v>-0.44916410000000001</v>
      </c>
      <c r="Z2701">
        <v>6.5265539999999997E-2</v>
      </c>
      <c r="AA2701">
        <v>0.89106229999999997</v>
      </c>
      <c r="AB2701">
        <v>14</v>
      </c>
      <c r="AC2701">
        <v>0.69460000000003597</v>
      </c>
      <c r="AD2701">
        <v>-9.9855000000000194E-2</v>
      </c>
      <c r="AE2701">
        <v>0.120900000000006</v>
      </c>
      <c r="AF2701">
        <v>-0.40020797987930201</v>
      </c>
      <c r="AG2701">
        <v>-9.9855000000000194E-2</v>
      </c>
      <c r="AH2701">
        <v>0.56352628193524501</v>
      </c>
      <c r="AI2701">
        <v>98.220674531744393</v>
      </c>
      <c r="AJ2701">
        <v>125.381802996997</v>
      </c>
      <c r="AK2701">
        <v>0.69835472262728504</v>
      </c>
      <c r="AL2701">
        <v>96.149271078338998</v>
      </c>
      <c r="AM2701">
        <v>108.508250530396</v>
      </c>
      <c r="AN2701">
        <v>0.99999994921589297</v>
      </c>
    </row>
    <row r="2702" spans="1:40" x14ac:dyDescent="0.25">
      <c r="A2702" t="str">
        <f>"20190303154520254"</f>
        <v>20190303154520254</v>
      </c>
      <c r="B2702" t="str">
        <f>"1551599120243982"</f>
        <v>1551599120243982</v>
      </c>
      <c r="C2702" t="s">
        <v>40</v>
      </c>
      <c r="D2702">
        <v>4.8774449999999998</v>
      </c>
      <c r="E2702">
        <v>0.44955719999999999</v>
      </c>
      <c r="F2702" t="s">
        <v>55</v>
      </c>
      <c r="G2702">
        <v>-468.78769999999997</v>
      </c>
      <c r="H2702" s="1">
        <v>3.1150240000000001E-6</v>
      </c>
      <c r="I2702">
        <v>215.1781</v>
      </c>
      <c r="J2702">
        <v>-481.86630000000002</v>
      </c>
      <c r="K2702">
        <v>1.124811</v>
      </c>
      <c r="L2702">
        <v>214.8783</v>
      </c>
      <c r="M2702">
        <v>0.91148260000000003</v>
      </c>
      <c r="N2702">
        <v>-1.250186E-2</v>
      </c>
      <c r="O2702">
        <v>-0.41114849999999997</v>
      </c>
      <c r="P2702">
        <v>0.98699769999999998</v>
      </c>
      <c r="Q2702">
        <v>-0.1173757</v>
      </c>
      <c r="R2702">
        <v>-0.1098123</v>
      </c>
      <c r="S2702">
        <v>3.0181879999999999</v>
      </c>
      <c r="T2702">
        <v>-0.25445820000000002</v>
      </c>
      <c r="U2702">
        <v>4.6142580000000002E-2</v>
      </c>
      <c r="V2702">
        <v>-0.30472169999999998</v>
      </c>
      <c r="W2702">
        <v>-0.108444</v>
      </c>
      <c r="X2702">
        <v>0.94624759999999997</v>
      </c>
      <c r="Y2702">
        <v>-0.4223616</v>
      </c>
      <c r="Z2702">
        <v>4.8995560000000001E-2</v>
      </c>
      <c r="AA2702">
        <v>0.90510230000000003</v>
      </c>
      <c r="AB2702">
        <v>14</v>
      </c>
      <c r="AC2702">
        <v>13.0786</v>
      </c>
      <c r="AD2702">
        <v>-1.1248078849759999</v>
      </c>
      <c r="AE2702">
        <v>0.29980000000000401</v>
      </c>
      <c r="AF2702">
        <v>-5.6094816254835198</v>
      </c>
      <c r="AG2702">
        <v>-1.1248078849759999</v>
      </c>
      <c r="AH2702">
        <v>11.7119927445671</v>
      </c>
      <c r="AI2702">
        <v>94.950418309681595</v>
      </c>
      <c r="AJ2702">
        <v>115.592180999737</v>
      </c>
      <c r="AK2702">
        <v>13.034655765824199</v>
      </c>
      <c r="AL2702">
        <v>96.225626952749096</v>
      </c>
      <c r="AM2702">
        <v>107.850202907864</v>
      </c>
      <c r="AN2702">
        <v>0.99999996804632396</v>
      </c>
    </row>
    <row r="2703" spans="1:40" x14ac:dyDescent="0.25">
      <c r="A2703" t="str">
        <f>"20190303154520296"</f>
        <v>20190303154520296</v>
      </c>
      <c r="B2703" t="str">
        <f>"1551599120293757"</f>
        <v>1551599120293757</v>
      </c>
      <c r="C2703" t="s">
        <v>40</v>
      </c>
      <c r="D2703">
        <v>4.8779729999999999</v>
      </c>
      <c r="E2703">
        <v>0.48290139999999998</v>
      </c>
      <c r="F2703" t="s">
        <v>55</v>
      </c>
      <c r="G2703">
        <v>-468.8784</v>
      </c>
      <c r="H2703" s="1">
        <v>3.1632079999999999E-6</v>
      </c>
      <c r="I2703">
        <v>215.18010000000001</v>
      </c>
      <c r="J2703">
        <v>-481.61700000000002</v>
      </c>
      <c r="K2703">
        <v>1.1247560000000001</v>
      </c>
      <c r="L2703">
        <v>214.79329999999999</v>
      </c>
      <c r="M2703">
        <v>0.91948839999999998</v>
      </c>
      <c r="N2703">
        <v>-1.248786E-2</v>
      </c>
      <c r="O2703">
        <v>-0.39291920000000002</v>
      </c>
      <c r="P2703">
        <v>0.98786019999999997</v>
      </c>
      <c r="Q2703">
        <v>-0.1175201</v>
      </c>
      <c r="R2703">
        <v>-0.1015959</v>
      </c>
      <c r="S2703">
        <v>3.0162659999999999</v>
      </c>
      <c r="T2703">
        <v>-0.26122190000000001</v>
      </c>
      <c r="U2703">
        <v>7.0068359999999996E-2</v>
      </c>
      <c r="V2703">
        <v>-0.29375559999999901</v>
      </c>
      <c r="W2703">
        <v>-0.108417899999999</v>
      </c>
      <c r="X2703">
        <v>0.94971220000000001</v>
      </c>
      <c r="Y2703">
        <v>-0.4114254</v>
      </c>
      <c r="Z2703">
        <v>4.8645500000000001E-2</v>
      </c>
      <c r="AA2703">
        <v>0.91014430000000002</v>
      </c>
      <c r="AB2703">
        <v>14</v>
      </c>
      <c r="AC2703">
        <v>12.7385999999999</v>
      </c>
      <c r="AD2703">
        <v>-1.1247528367920001</v>
      </c>
      <c r="AE2703">
        <v>0.38680000000002202</v>
      </c>
      <c r="AF2703">
        <v>-5.3198802355281796</v>
      </c>
      <c r="AG2703">
        <v>-1.1247528367920001</v>
      </c>
      <c r="AH2703">
        <v>11.472555804037601</v>
      </c>
      <c r="AI2703">
        <v>95.082602773681302</v>
      </c>
      <c r="AJ2703">
        <v>114.877385473158</v>
      </c>
      <c r="AK2703">
        <v>12.695894271022899</v>
      </c>
      <c r="AL2703">
        <v>96.224122287655206</v>
      </c>
      <c r="AM2703">
        <v>107.187367774173</v>
      </c>
      <c r="AN2703">
        <v>1.0000000282003001</v>
      </c>
    </row>
    <row r="2704" spans="1:40" x14ac:dyDescent="0.25">
      <c r="A2704" t="str">
        <f>"20190303154520341"</f>
        <v>20190303154520341</v>
      </c>
      <c r="B2704" t="str">
        <f>"1551599120333773"</f>
        <v>1551599120333773</v>
      </c>
      <c r="C2704" t="s">
        <v>40</v>
      </c>
      <c r="D2704">
        <v>4.8825890000000003</v>
      </c>
      <c r="E2704">
        <v>0.48674040000000002</v>
      </c>
      <c r="F2704" t="s">
        <v>55</v>
      </c>
      <c r="G2704">
        <v>-465.21969999999999</v>
      </c>
      <c r="H2704" s="1">
        <v>1.273531E-6</v>
      </c>
      <c r="I2704">
        <v>213.86879999999999</v>
      </c>
      <c r="J2704">
        <v>-481.35629999999998</v>
      </c>
      <c r="K2704">
        <v>1.12469</v>
      </c>
      <c r="L2704">
        <v>214.7098</v>
      </c>
      <c r="M2704">
        <v>0.9273285</v>
      </c>
      <c r="N2704">
        <v>-1.2472189999999999E-2</v>
      </c>
      <c r="O2704">
        <v>-0.3740407</v>
      </c>
      <c r="P2704">
        <v>0.98874740000000005</v>
      </c>
      <c r="Q2704">
        <v>-0.116871699999999</v>
      </c>
      <c r="R2704">
        <v>-9.3379329999999997E-2</v>
      </c>
      <c r="S2704">
        <v>2.9950869999999998</v>
      </c>
      <c r="T2704">
        <v>-0.20544390000000001</v>
      </c>
      <c r="U2704">
        <v>-0.16886899999999999</v>
      </c>
      <c r="V2704">
        <v>-0.28228409999999998</v>
      </c>
      <c r="W2704">
        <v>-0.1075885</v>
      </c>
      <c r="X2704">
        <v>0.95327870000000003</v>
      </c>
      <c r="Y2704">
        <v>-0.31984439999999997</v>
      </c>
      <c r="Z2704">
        <v>3.3246650000000003E-2</v>
      </c>
      <c r="AA2704">
        <v>0.94688660000000002</v>
      </c>
      <c r="AB2704">
        <v>14</v>
      </c>
      <c r="AC2704">
        <v>16.136599999999898</v>
      </c>
      <c r="AD2704">
        <v>-1.124688726469</v>
      </c>
      <c r="AE2704">
        <v>-0.84100000000000796</v>
      </c>
      <c r="AF2704">
        <v>-5.23092831351775</v>
      </c>
      <c r="AG2704">
        <v>-1.124688726469</v>
      </c>
      <c r="AH2704">
        <v>15.2060167827126</v>
      </c>
      <c r="AI2704">
        <v>94.000794010791196</v>
      </c>
      <c r="AJ2704">
        <v>108.983414296517</v>
      </c>
      <c r="AK2704">
        <v>16.119878478101</v>
      </c>
      <c r="AL2704">
        <v>96.176322111999795</v>
      </c>
      <c r="AM2704">
        <v>106.49503153875899</v>
      </c>
      <c r="AN2704">
        <v>0.99999993915937302</v>
      </c>
    </row>
    <row r="2705" spans="1:40" x14ac:dyDescent="0.25">
      <c r="A2705" t="str">
        <f>"20190303154520387"</f>
        <v>20190303154520387</v>
      </c>
      <c r="B2705" t="str">
        <f>"1551599120383549"</f>
        <v>1551599120383549</v>
      </c>
      <c r="C2705" t="s">
        <v>40</v>
      </c>
      <c r="D2705">
        <v>4.9051640000000001</v>
      </c>
      <c r="E2705">
        <v>0.48917169999999999</v>
      </c>
      <c r="F2705" t="s">
        <v>55</v>
      </c>
      <c r="G2705">
        <v>-464.19799999999998</v>
      </c>
      <c r="H2705" s="1">
        <v>7.3667749999999999E-7</v>
      </c>
      <c r="I2705">
        <v>213.7122</v>
      </c>
      <c r="J2705">
        <v>-481.0924</v>
      </c>
      <c r="K2705">
        <v>1.124579</v>
      </c>
      <c r="L2705">
        <v>214.631</v>
      </c>
      <c r="M2705">
        <v>0.93469590000000002</v>
      </c>
      <c r="N2705">
        <v>-1.2466720000000001E-2</v>
      </c>
      <c r="O2705">
        <v>-0.35522979999999998</v>
      </c>
      <c r="P2705">
        <v>0.98909979999999997</v>
      </c>
      <c r="Q2705">
        <v>-0.1184717</v>
      </c>
      <c r="R2705">
        <v>-8.7444149999999998E-2</v>
      </c>
      <c r="S2705">
        <v>2.994507</v>
      </c>
      <c r="T2705">
        <v>-0.1962826</v>
      </c>
      <c r="U2705">
        <v>-0.17411799999999999</v>
      </c>
      <c r="V2705">
        <v>-0.26868039999999999</v>
      </c>
      <c r="W2705">
        <v>-0.1089585</v>
      </c>
      <c r="X2705">
        <v>0.95704699999999998</v>
      </c>
      <c r="Y2705">
        <v>-0.29917310000000003</v>
      </c>
      <c r="Z2705">
        <v>2.9936230000000001E-2</v>
      </c>
      <c r="AA2705">
        <v>0.95372920000000005</v>
      </c>
      <c r="AB2705">
        <v>14</v>
      </c>
      <c r="AC2705">
        <v>16.894399999999901</v>
      </c>
      <c r="AD2705">
        <v>-1.1245782633224899</v>
      </c>
      <c r="AE2705">
        <v>-0.91879999999997597</v>
      </c>
      <c r="AF2705">
        <v>-5.1203742156826504</v>
      </c>
      <c r="AG2705">
        <v>-1.1245782633224899</v>
      </c>
      <c r="AH2705">
        <v>16.0478666314071</v>
      </c>
      <c r="AI2705">
        <v>93.819431151029406</v>
      </c>
      <c r="AJ2705">
        <v>107.696262826021</v>
      </c>
      <c r="AK2705">
        <v>16.882444485275101</v>
      </c>
      <c r="AL2705">
        <v>96.255280923200701</v>
      </c>
      <c r="AM2705">
        <v>105.681501270271</v>
      </c>
      <c r="AN2705">
        <v>1.0000000361376999</v>
      </c>
    </row>
    <row r="2706" spans="1:40" x14ac:dyDescent="0.25">
      <c r="A2706" t="str">
        <f>"20190303154520436"</f>
        <v>20190303154520436</v>
      </c>
      <c r="B2706" t="str">
        <f>"1551599120423107"</f>
        <v>1551599120423107</v>
      </c>
      <c r="C2706" t="s">
        <v>40</v>
      </c>
      <c r="D2706">
        <v>4.9206919999999998</v>
      </c>
      <c r="E2706">
        <v>0.49052210000000002</v>
      </c>
      <c r="F2706" t="s">
        <v>55</v>
      </c>
      <c r="G2706">
        <v>-464.10469999999998</v>
      </c>
      <c r="H2706" s="1">
        <v>6.9081069999999997E-7</v>
      </c>
      <c r="I2706">
        <v>213.6266</v>
      </c>
      <c r="J2706">
        <v>-480.79899999999998</v>
      </c>
      <c r="K2706">
        <v>1.1244639999999999</v>
      </c>
      <c r="L2706">
        <v>214.54929999999999</v>
      </c>
      <c r="M2706">
        <v>0.94223590000000002</v>
      </c>
      <c r="N2706">
        <v>-1.245722E-2</v>
      </c>
      <c r="O2706">
        <v>-0.33471869999999998</v>
      </c>
      <c r="P2706">
        <v>0.99054949999999997</v>
      </c>
      <c r="Q2706">
        <v>-0.1151224</v>
      </c>
      <c r="R2706">
        <v>-7.4556170000000005E-2</v>
      </c>
      <c r="S2706">
        <v>2.9936829999999999</v>
      </c>
      <c r="T2706">
        <v>-0.19818089999999999</v>
      </c>
      <c r="U2706">
        <v>-0.1769867</v>
      </c>
      <c r="V2706">
        <v>-0.26042209999999999</v>
      </c>
      <c r="W2706">
        <v>-0.1054354</v>
      </c>
      <c r="X2706">
        <v>0.95972060000000003</v>
      </c>
      <c r="Y2706">
        <v>-0.2773795</v>
      </c>
      <c r="Z2706">
        <v>2.839179E-2</v>
      </c>
      <c r="AA2706">
        <v>0.96034090000000005</v>
      </c>
      <c r="AB2706">
        <v>14</v>
      </c>
      <c r="AC2706">
        <v>16.694299999999998</v>
      </c>
      <c r="AD2706">
        <v>-1.1244633091892999</v>
      </c>
      <c r="AE2706">
        <v>-0.92269999999999197</v>
      </c>
      <c r="AF2706">
        <v>-4.6976113816929503</v>
      </c>
      <c r="AG2706">
        <v>-1.1244633091892999</v>
      </c>
      <c r="AH2706">
        <v>15.9678330944073</v>
      </c>
      <c r="AI2706">
        <v>93.864896460677699</v>
      </c>
      <c r="AJ2706">
        <v>106.39346986273</v>
      </c>
      <c r="AK2706">
        <v>16.682435798107399</v>
      </c>
      <c r="AL2706">
        <v>96.052252620283795</v>
      </c>
      <c r="AM2706">
        <v>105.181750769853</v>
      </c>
      <c r="AN2706">
        <v>0.99999996190296403</v>
      </c>
    </row>
    <row r="2707" spans="1:40" x14ac:dyDescent="0.25">
      <c r="A2707" t="str">
        <f>"20190303154520480"</f>
        <v>20190303154520480</v>
      </c>
      <c r="B2707" t="str">
        <f>"1551599120473848"</f>
        <v>1551599120473848</v>
      </c>
      <c r="C2707" t="s">
        <v>40</v>
      </c>
      <c r="D2707">
        <v>4.9088159999999998</v>
      </c>
      <c r="E2707">
        <v>0.49210140000000002</v>
      </c>
      <c r="F2707" t="s">
        <v>55</v>
      </c>
      <c r="G2707">
        <v>-462.69110000000001</v>
      </c>
      <c r="H2707" s="1">
        <v>-6.3097830000000006E-8</v>
      </c>
      <c r="I2707">
        <v>213.66380000000001</v>
      </c>
      <c r="J2707">
        <v>-480.53719999999998</v>
      </c>
      <c r="K2707">
        <v>1.124309</v>
      </c>
      <c r="L2707">
        <v>214.48150000000001</v>
      </c>
      <c r="M2707">
        <v>0.94837919999999998</v>
      </c>
      <c r="N2707">
        <v>-1.2459909999999999E-2</v>
      </c>
      <c r="O2707">
        <v>-0.31689420000000001</v>
      </c>
      <c r="P2707">
        <v>0.98971659999999995</v>
      </c>
      <c r="Q2707">
        <v>-0.1234175</v>
      </c>
      <c r="R2707">
        <v>-7.2315329999999997E-2</v>
      </c>
      <c r="S2707">
        <v>2.9959720000000001</v>
      </c>
      <c r="T2707">
        <v>-0.1860434</v>
      </c>
      <c r="U2707">
        <v>-0.146514899999999</v>
      </c>
      <c r="V2707">
        <v>-0.2441353</v>
      </c>
      <c r="W2707">
        <v>-0.1134642</v>
      </c>
      <c r="X2707">
        <v>0.96308039999999995</v>
      </c>
      <c r="Y2707">
        <v>-0.26922509999999999</v>
      </c>
      <c r="Z2707">
        <v>2.5373159999999999E-2</v>
      </c>
      <c r="AA2707">
        <v>0.96274300000000002</v>
      </c>
      <c r="AB2707">
        <v>14</v>
      </c>
      <c r="AC2707">
        <v>17.8460999999999</v>
      </c>
      <c r="AD2707">
        <v>-1.1243090630978301</v>
      </c>
      <c r="AE2707">
        <v>-0.81770000000000198</v>
      </c>
      <c r="AF2707">
        <v>-4.8609611438634701</v>
      </c>
      <c r="AG2707">
        <v>-1.1243090630978301</v>
      </c>
      <c r="AH2707">
        <v>17.1175282817571</v>
      </c>
      <c r="AI2707">
        <v>93.615342184075004</v>
      </c>
      <c r="AJ2707">
        <v>105.85325516421</v>
      </c>
      <c r="AK2707">
        <v>17.829828619150199</v>
      </c>
      <c r="AL2707">
        <v>96.515050293676794</v>
      </c>
      <c r="AM2707">
        <v>104.224514520657</v>
      </c>
      <c r="AN2707">
        <v>1.0000000131259399</v>
      </c>
    </row>
    <row r="2708" spans="1:40" x14ac:dyDescent="0.25">
      <c r="A2708" t="str">
        <f>"20190303154520520"</f>
        <v>20190303154520520</v>
      </c>
      <c r="B2708" t="str">
        <f>"1551599120513864"</f>
        <v>1551599120513864</v>
      </c>
      <c r="C2708" t="s">
        <v>40</v>
      </c>
      <c r="D2708">
        <v>4.9698200000000003</v>
      </c>
      <c r="E2708">
        <v>0.49268000000000001</v>
      </c>
      <c r="F2708" t="s">
        <v>55</v>
      </c>
      <c r="G2708">
        <v>-464.33179999999999</v>
      </c>
      <c r="H2708" s="1">
        <v>8.1059569999999999E-7</v>
      </c>
      <c r="I2708">
        <v>213.65129999999999</v>
      </c>
      <c r="J2708">
        <v>-480.29719999999998</v>
      </c>
      <c r="K2708">
        <v>1.1241049999999999</v>
      </c>
      <c r="L2708">
        <v>214.42310000000001</v>
      </c>
      <c r="M2708">
        <v>0.95348540000000004</v>
      </c>
      <c r="N2708">
        <v>-1.249225E-2</v>
      </c>
      <c r="O2708">
        <v>-0.30118050000000002</v>
      </c>
      <c r="P2708">
        <v>0.98925439999999998</v>
      </c>
      <c r="Q2708">
        <v>-0.1265058</v>
      </c>
      <c r="R2708">
        <v>-7.3294230000000002E-2</v>
      </c>
      <c r="S2708">
        <v>2.994049</v>
      </c>
      <c r="T2708">
        <v>-0.20772409999999999</v>
      </c>
      <c r="U2708">
        <v>-0.1533813</v>
      </c>
      <c r="V2708">
        <v>-0.22717300000000001</v>
      </c>
      <c r="W2708">
        <v>-0.1162204</v>
      </c>
      <c r="X2708">
        <v>0.96689460000000005</v>
      </c>
      <c r="Y2708">
        <v>-0.25085269999999998</v>
      </c>
      <c r="Z2708">
        <v>2.701636E-2</v>
      </c>
      <c r="AA2708">
        <v>0.96764819999999996</v>
      </c>
      <c r="AB2708">
        <v>14</v>
      </c>
      <c r="AC2708">
        <v>15.965399999999899</v>
      </c>
      <c r="AD2708">
        <v>-1.1241041894043</v>
      </c>
      <c r="AE2708">
        <v>-0.77180000000001303</v>
      </c>
      <c r="AF2708">
        <v>-4.0528399285251497</v>
      </c>
      <c r="AG2708">
        <v>-1.1241041894043</v>
      </c>
      <c r="AH2708">
        <v>15.3803630128847</v>
      </c>
      <c r="AI2708">
        <v>94.042626855794595</v>
      </c>
      <c r="AJ2708">
        <v>104.762291036243</v>
      </c>
      <c r="AK2708">
        <v>15.9450521517804</v>
      </c>
      <c r="AL2708">
        <v>96.674021115855794</v>
      </c>
      <c r="AM2708">
        <v>103.22189884552</v>
      </c>
      <c r="AN2708">
        <v>0.99999996040715899</v>
      </c>
    </row>
    <row r="2709" spans="1:40" x14ac:dyDescent="0.25">
      <c r="A2709" t="str">
        <f>"20190303154520565"</f>
        <v>20190303154520565</v>
      </c>
      <c r="B2709" t="str">
        <f>"1551599120553409"</f>
        <v>1551599120553409</v>
      </c>
      <c r="C2709" t="s">
        <v>40</v>
      </c>
      <c r="D2709">
        <v>4.9542679999999999</v>
      </c>
      <c r="E2709">
        <v>0.47572439999999999</v>
      </c>
      <c r="F2709" t="s">
        <v>55</v>
      </c>
      <c r="G2709">
        <v>-464.65710000000001</v>
      </c>
      <c r="H2709" s="1">
        <v>9.8671749999999997E-7</v>
      </c>
      <c r="I2709">
        <v>213.5812</v>
      </c>
      <c r="J2709">
        <v>-480.03210000000001</v>
      </c>
      <c r="K2709">
        <v>1.123872</v>
      </c>
      <c r="L2709">
        <v>214.36240000000001</v>
      </c>
      <c r="M2709">
        <v>0.95857530000000002</v>
      </c>
      <c r="N2709">
        <v>-1.2593409999999999E-2</v>
      </c>
      <c r="O2709">
        <v>-0.28456090000000001</v>
      </c>
      <c r="P2709">
        <v>0.98941230000000002</v>
      </c>
      <c r="Q2709">
        <v>-0.12560539999999901</v>
      </c>
      <c r="R2709">
        <v>-7.2710750000000005E-2</v>
      </c>
      <c r="S2709">
        <v>2.9931030000000001</v>
      </c>
      <c r="T2709">
        <v>-0.21512290000000001</v>
      </c>
      <c r="U2709">
        <v>-0.1611176</v>
      </c>
      <c r="V2709">
        <v>-0.21104120000000001</v>
      </c>
      <c r="W2709">
        <v>-0.11491759999999999</v>
      </c>
      <c r="X2709">
        <v>0.97069850000000002</v>
      </c>
      <c r="Y2709">
        <v>-0.23146720000000001</v>
      </c>
      <c r="Z2709">
        <v>2.6296799999999999E-2</v>
      </c>
      <c r="AA2709">
        <v>0.9724872</v>
      </c>
      <c r="AB2709">
        <v>14</v>
      </c>
      <c r="AC2709">
        <v>15.375</v>
      </c>
      <c r="AD2709">
        <v>-1.1238710132825001</v>
      </c>
      <c r="AE2709">
        <v>-0.781200000000012</v>
      </c>
      <c r="AF2709">
        <v>-3.60734700925943</v>
      </c>
      <c r="AG2709">
        <v>-1.1238710132825001</v>
      </c>
      <c r="AH2709">
        <v>14.882265486853001</v>
      </c>
      <c r="AI2709">
        <v>94.197537308320804</v>
      </c>
      <c r="AJ2709">
        <v>103.62526790043199</v>
      </c>
      <c r="AK2709">
        <v>15.3544086346849</v>
      </c>
      <c r="AL2709">
        <v>96.598872298563094</v>
      </c>
      <c r="AM2709">
        <v>102.26588894993</v>
      </c>
      <c r="AN2709">
        <v>1.00000001039472</v>
      </c>
    </row>
    <row r="2710" spans="1:40" x14ac:dyDescent="0.25">
      <c r="A2710" t="str">
        <f>"20190303154520610"</f>
        <v>20190303154520610</v>
      </c>
      <c r="B2710" t="str">
        <f>"1551599120603186"</f>
        <v>1551599120603186</v>
      </c>
      <c r="C2710" t="s">
        <v>40</v>
      </c>
      <c r="D2710">
        <v>4.9684629999999999</v>
      </c>
      <c r="E2710">
        <v>0.47548119999999999</v>
      </c>
      <c r="F2710" t="s">
        <v>55</v>
      </c>
      <c r="G2710">
        <v>-459.68310000000002</v>
      </c>
      <c r="H2710" s="1">
        <v>3.6343699999999999E-6</v>
      </c>
      <c r="I2710">
        <v>214.19820000000001</v>
      </c>
      <c r="J2710">
        <v>-479.762</v>
      </c>
      <c r="K2710">
        <v>1.123739</v>
      </c>
      <c r="L2710">
        <v>214.30449999999999</v>
      </c>
      <c r="M2710">
        <v>0.96324430000000005</v>
      </c>
      <c r="N2710">
        <v>-1.272187E-2</v>
      </c>
      <c r="O2710">
        <v>-0.2683258</v>
      </c>
      <c r="P2710">
        <v>0.98896320000000004</v>
      </c>
      <c r="Q2710">
        <v>-0.12768109999999999</v>
      </c>
      <c r="R2710">
        <v>-7.5163160000000007E-2</v>
      </c>
      <c r="S2710">
        <v>3.0092469999999998</v>
      </c>
      <c r="T2710">
        <v>-0.16619990000000001</v>
      </c>
      <c r="U2710">
        <v>-2.427673E-2</v>
      </c>
      <c r="V2710">
        <v>-0.19218479999999999</v>
      </c>
      <c r="W2710">
        <v>-0.1166143</v>
      </c>
      <c r="X2710">
        <v>0.97440550000000004</v>
      </c>
      <c r="Y2710">
        <v>-0.25984780000000002</v>
      </c>
      <c r="Z2710">
        <v>2.0045739999999999E-2</v>
      </c>
      <c r="AA2710">
        <v>0.96544149999999995</v>
      </c>
      <c r="AB2710">
        <v>14</v>
      </c>
      <c r="AC2710">
        <v>20.078899999999901</v>
      </c>
      <c r="AD2710">
        <v>-1.12373536563</v>
      </c>
      <c r="AE2710">
        <v>-0.106299999999976</v>
      </c>
      <c r="AF2710">
        <v>-5.2692176264649504</v>
      </c>
      <c r="AG2710">
        <v>-1.12373536563</v>
      </c>
      <c r="AH2710">
        <v>19.3104925956339</v>
      </c>
      <c r="AI2710">
        <v>93.213240015774701</v>
      </c>
      <c r="AJ2710">
        <v>105.26262919045099</v>
      </c>
      <c r="AK2710">
        <v>20.048006381010801</v>
      </c>
      <c r="AL2710">
        <v>96.696744266375802</v>
      </c>
      <c r="AM2710">
        <v>101.15740505592299</v>
      </c>
      <c r="AN2710">
        <v>0.99999998537289003</v>
      </c>
    </row>
    <row r="2711" spans="1:40" x14ac:dyDescent="0.25">
      <c r="A2711" t="str">
        <f>"20190303154520658"</f>
        <v>20190303154520658</v>
      </c>
      <c r="B2711" t="str">
        <f>"1551599120653468"</f>
        <v>1551599120653468</v>
      </c>
      <c r="C2711" t="s">
        <v>40</v>
      </c>
      <c r="D2711">
        <v>5.0210339999999896</v>
      </c>
      <c r="E2711">
        <v>0.47556569999999998</v>
      </c>
      <c r="F2711" t="s">
        <v>55</v>
      </c>
      <c r="G2711">
        <v>-458.68340000000001</v>
      </c>
      <c r="H2711" s="1">
        <v>3.1068979999999998E-6</v>
      </c>
      <c r="I2711">
        <v>214.0943</v>
      </c>
      <c r="J2711">
        <v>-479.47739999999999</v>
      </c>
      <c r="K2711">
        <v>1.1236679999999999</v>
      </c>
      <c r="L2711">
        <v>214.24770000000001</v>
      </c>
      <c r="M2711">
        <v>0.96767910000000001</v>
      </c>
      <c r="N2711">
        <v>-1.28965E-2</v>
      </c>
      <c r="O2711">
        <v>-0.25185469999999999</v>
      </c>
      <c r="P2711">
        <v>0.98897239999999997</v>
      </c>
      <c r="Q2711">
        <v>-0.12984299999999999</v>
      </c>
      <c r="R2711">
        <v>-7.123554E-2</v>
      </c>
      <c r="S2711">
        <v>3.0104679999999999</v>
      </c>
      <c r="T2711">
        <v>-0.16049340000000001</v>
      </c>
      <c r="U2711">
        <v>-3.0014039999999999E-2</v>
      </c>
      <c r="V2711">
        <v>-0.17937420000000001</v>
      </c>
      <c r="W2711">
        <v>-0.1184553</v>
      </c>
      <c r="X2711">
        <v>0.97662340000000003</v>
      </c>
      <c r="Y2711">
        <v>-0.24159120000000001</v>
      </c>
      <c r="Z2711">
        <v>1.802322E-2</v>
      </c>
      <c r="AA2711">
        <v>0.97021069999999998</v>
      </c>
      <c r="AB2711">
        <v>14</v>
      </c>
      <c r="AC2711">
        <v>20.793999999999901</v>
      </c>
      <c r="AD2711">
        <v>-1.1236648931019999</v>
      </c>
      <c r="AE2711">
        <v>-0.15340000000000401</v>
      </c>
      <c r="AF2711">
        <v>-5.0742315555633803</v>
      </c>
      <c r="AG2711">
        <v>-1.1236648931019999</v>
      </c>
      <c r="AH2711">
        <v>20.103529877620701</v>
      </c>
      <c r="AI2711">
        <v>93.102067310836404</v>
      </c>
      <c r="AJ2711">
        <v>104.165860840112</v>
      </c>
      <c r="AK2711">
        <v>20.764449480105501</v>
      </c>
      <c r="AL2711">
        <v>96.802961841369793</v>
      </c>
      <c r="AM2711">
        <v>100.407393034225</v>
      </c>
      <c r="AN2711">
        <v>1.0000000135756399</v>
      </c>
    </row>
    <row r="2712" spans="1:40" x14ac:dyDescent="0.25">
      <c r="A2712" t="str">
        <f>"20190303154520700"</f>
        <v>20190303154520700</v>
      </c>
      <c r="B2712" t="str">
        <f>"1551599120693483"</f>
        <v>1551599120693483</v>
      </c>
      <c r="C2712" t="s">
        <v>40</v>
      </c>
      <c r="D2712">
        <v>5.0258940000000001</v>
      </c>
      <c r="E2712">
        <v>0.47580050000000002</v>
      </c>
      <c r="F2712" t="s">
        <v>55</v>
      </c>
      <c r="G2712">
        <v>-459.2937</v>
      </c>
      <c r="H2712" s="1">
        <v>3.4302280000000001E-6</v>
      </c>
      <c r="I2712">
        <v>214.12729999999999</v>
      </c>
      <c r="J2712">
        <v>-479.22030000000001</v>
      </c>
      <c r="K2712">
        <v>1.1235280000000001</v>
      </c>
      <c r="L2712">
        <v>214.20009999999999</v>
      </c>
      <c r="M2712">
        <v>0.97129600000000005</v>
      </c>
      <c r="N2712">
        <v>-1.3085070000000001E-2</v>
      </c>
      <c r="O2712">
        <v>-0.23751430000000001</v>
      </c>
      <c r="P2712">
        <v>0.98835419999999996</v>
      </c>
      <c r="Q2712">
        <v>-0.13554099999999999</v>
      </c>
      <c r="R2712">
        <v>-6.9171549999999998E-2</v>
      </c>
      <c r="S2712">
        <v>3.0101619999999998</v>
      </c>
      <c r="T2712">
        <v>-0.1675818</v>
      </c>
      <c r="U2712">
        <v>-1.7959590000000001E-2</v>
      </c>
      <c r="V2712">
        <v>-0.16679430000000001</v>
      </c>
      <c r="W2712">
        <v>-0.1238129</v>
      </c>
      <c r="X2712">
        <v>0.97818709999999998</v>
      </c>
      <c r="Y2712">
        <v>-0.2310844</v>
      </c>
      <c r="Z2712">
        <v>1.7925799999999999E-2</v>
      </c>
      <c r="AA2712">
        <v>0.97276850000000004</v>
      </c>
      <c r="AB2712">
        <v>14</v>
      </c>
      <c r="AC2712">
        <v>19.926600000000001</v>
      </c>
      <c r="AD2712">
        <v>-1.123524569772</v>
      </c>
      <c r="AE2712">
        <v>-7.2800000000000795E-2</v>
      </c>
      <c r="AF2712">
        <v>-4.64776552485315</v>
      </c>
      <c r="AG2712">
        <v>-1.123524569772</v>
      </c>
      <c r="AH2712">
        <v>19.312181025849799</v>
      </c>
      <c r="AI2712">
        <v>93.237315640224196</v>
      </c>
      <c r="AJ2712">
        <v>103.53175294036799</v>
      </c>
      <c r="AK2712">
        <v>19.895335327862298</v>
      </c>
      <c r="AL2712">
        <v>97.112207516810699</v>
      </c>
      <c r="AM2712">
        <v>99.676648913360793</v>
      </c>
      <c r="AN2712">
        <v>0.99999998766265397</v>
      </c>
    </row>
    <row r="2713" spans="1:40" x14ac:dyDescent="0.25">
      <c r="A2713" t="str">
        <f>"20190303154520745"</f>
        <v>20190303154520745</v>
      </c>
      <c r="B2713" t="str">
        <f>"1551599120733500"</f>
        <v>1551599120733500</v>
      </c>
      <c r="C2713" t="s">
        <v>40</v>
      </c>
      <c r="D2713">
        <v>5.0321199999999999</v>
      </c>
      <c r="E2713">
        <v>0.47621340000000001</v>
      </c>
      <c r="F2713" t="s">
        <v>55</v>
      </c>
      <c r="G2713">
        <v>-460.67349999999999</v>
      </c>
      <c r="H2713" s="1">
        <v>-1.1564259999999999E-6</v>
      </c>
      <c r="I2713">
        <v>214.1139</v>
      </c>
      <c r="J2713">
        <v>-478.95089999999999</v>
      </c>
      <c r="K2713">
        <v>1.12334</v>
      </c>
      <c r="L2713">
        <v>214.15360000000001</v>
      </c>
      <c r="M2713">
        <v>0.97470420000000002</v>
      </c>
      <c r="N2713">
        <v>-1.3270469999999999E-2</v>
      </c>
      <c r="O2713">
        <v>-0.22310440000000001</v>
      </c>
      <c r="P2713">
        <v>0.98850769999999999</v>
      </c>
      <c r="Q2713">
        <v>-0.13687939999999901</v>
      </c>
      <c r="R2713">
        <v>-6.4159910000000001E-2</v>
      </c>
      <c r="S2713">
        <v>3.009369</v>
      </c>
      <c r="T2713">
        <v>-0.18230189999999999</v>
      </c>
      <c r="U2713">
        <v>-1.3992310000000001E-2</v>
      </c>
      <c r="V2713">
        <v>-0.15729109999999999</v>
      </c>
      <c r="W2713">
        <v>-0.12481159999999999</v>
      </c>
      <c r="X2713">
        <v>0.97963339999999999</v>
      </c>
      <c r="Y2713">
        <v>-0.21785950000000001</v>
      </c>
      <c r="Z2713">
        <v>1.8476719999999999E-2</v>
      </c>
      <c r="AA2713">
        <v>0.97580520000000004</v>
      </c>
      <c r="AB2713">
        <v>14</v>
      </c>
      <c r="AC2713">
        <v>18.2774</v>
      </c>
      <c r="AD2713">
        <v>-1.1233411564260001</v>
      </c>
      <c r="AE2713">
        <v>-3.9700000000010498E-2</v>
      </c>
      <c r="AF2713">
        <v>-4.0242272924408402</v>
      </c>
      <c r="AG2713">
        <v>-1.1233411564260001</v>
      </c>
      <c r="AH2713">
        <v>17.758405311031598</v>
      </c>
      <c r="AI2713">
        <v>93.530256058862307</v>
      </c>
      <c r="AJ2713">
        <v>102.768139281231</v>
      </c>
      <c r="AK2713">
        <v>18.243279854396299</v>
      </c>
      <c r="AL2713">
        <v>97.169875966536907</v>
      </c>
      <c r="AM2713">
        <v>99.121625145515097</v>
      </c>
      <c r="AN2713">
        <v>1.0000000120146599</v>
      </c>
    </row>
    <row r="2714" spans="1:40" x14ac:dyDescent="0.25">
      <c r="A2714" t="str">
        <f>"20190303154520786"</f>
        <v>20190303154520786</v>
      </c>
      <c r="B2714" t="str">
        <f>"1551599120784252"</f>
        <v>1551599120784252</v>
      </c>
      <c r="C2714" t="s">
        <v>40</v>
      </c>
      <c r="D2714">
        <v>5.066999</v>
      </c>
      <c r="E2714">
        <v>0.4769832</v>
      </c>
      <c r="F2714" t="s">
        <v>55</v>
      </c>
      <c r="G2714">
        <v>-460.31259999999997</v>
      </c>
      <c r="H2714" s="1">
        <v>-1.3496120000000001E-6</v>
      </c>
      <c r="I2714">
        <v>214.13980000000001</v>
      </c>
      <c r="J2714">
        <v>-478.70139999999998</v>
      </c>
      <c r="K2714">
        <v>1.1231960000000001</v>
      </c>
      <c r="L2714">
        <v>214.11330000000001</v>
      </c>
      <c r="M2714">
        <v>0.9775355</v>
      </c>
      <c r="N2714">
        <v>-1.340905E-2</v>
      </c>
      <c r="O2714">
        <v>-0.21034369999999999</v>
      </c>
      <c r="P2714">
        <v>0.98839690000000002</v>
      </c>
      <c r="Q2714">
        <v>-0.13835320000000001</v>
      </c>
      <c r="R2714">
        <v>-6.2689060000000005E-2</v>
      </c>
      <c r="S2714">
        <v>3.0095830000000001</v>
      </c>
      <c r="T2714">
        <v>-0.18138960000000001</v>
      </c>
      <c r="U2714">
        <v>-2.2277830000000001E-3</v>
      </c>
      <c r="V2714">
        <v>-0.14594860000000001</v>
      </c>
      <c r="W2714">
        <v>-0.12600699999999901</v>
      </c>
      <c r="X2714">
        <v>0.98123459999999996</v>
      </c>
      <c r="Y2714">
        <v>-0.20894979999999999</v>
      </c>
      <c r="Z2714">
        <v>1.745304E-2</v>
      </c>
      <c r="AA2714">
        <v>0.97777060000000005</v>
      </c>
      <c r="AB2714">
        <v>14</v>
      </c>
      <c r="AC2714">
        <v>18.3888</v>
      </c>
      <c r="AD2714">
        <v>-1.12319734961199</v>
      </c>
      <c r="AE2714">
        <v>2.6499999999998601E-2</v>
      </c>
      <c r="AF2714">
        <v>-3.8797485232033799</v>
      </c>
      <c r="AG2714">
        <v>-1.12319734961199</v>
      </c>
      <c r="AH2714">
        <v>17.904946933841</v>
      </c>
      <c r="AI2714">
        <v>93.508317398888195</v>
      </c>
      <c r="AJ2714">
        <v>102.22617213746</v>
      </c>
      <c r="AK2714">
        <v>18.354867081870601</v>
      </c>
      <c r="AL2714">
        <v>97.238912111593905</v>
      </c>
      <c r="AM2714">
        <v>98.460135111648299</v>
      </c>
      <c r="AN2714">
        <v>1.0000000490640499</v>
      </c>
    </row>
    <row r="2715" spans="1:40" x14ac:dyDescent="0.25">
      <c r="A2715" t="str">
        <f>"20190303154520807"</f>
        <v>20190303154520807</v>
      </c>
      <c r="B2715" t="str">
        <f>"1551599120803771"</f>
        <v>1551599120803771</v>
      </c>
      <c r="C2715" t="s">
        <v>40</v>
      </c>
      <c r="D2715">
        <v>4.9927219999999997</v>
      </c>
      <c r="E2715">
        <v>0.47730739999999999</v>
      </c>
      <c r="F2715" t="s">
        <v>55</v>
      </c>
      <c r="G2715">
        <v>-459.9821</v>
      </c>
      <c r="H2715" s="1">
        <v>-1.5230319999999999E-6</v>
      </c>
      <c r="I2715">
        <v>214.0831</v>
      </c>
      <c r="J2715">
        <v>-478.57510000000002</v>
      </c>
      <c r="K2715">
        <v>1.123162</v>
      </c>
      <c r="L2715">
        <v>214.09389999999999</v>
      </c>
      <c r="M2715">
        <v>0.97886130000000005</v>
      </c>
      <c r="N2715">
        <v>-1.346702E-2</v>
      </c>
      <c r="O2715">
        <v>-0.2040816</v>
      </c>
      <c r="P2715">
        <v>0.98861379999999999</v>
      </c>
      <c r="Q2715">
        <v>-0.13656740000000001</v>
      </c>
      <c r="R2715">
        <v>-6.3185469999999994E-2</v>
      </c>
      <c r="S2715">
        <v>3.009674</v>
      </c>
      <c r="T2715">
        <v>-0.18058660000000001</v>
      </c>
      <c r="U2715">
        <v>-4.8522950000000004E-3</v>
      </c>
      <c r="V2715">
        <v>-0.13925969999999999</v>
      </c>
      <c r="W2715">
        <v>-0.124094</v>
      </c>
      <c r="X2715">
        <v>0.98244969999999998</v>
      </c>
      <c r="Y2715">
        <v>-0.20186090000000001</v>
      </c>
      <c r="Z2715">
        <v>1.681875E-2</v>
      </c>
      <c r="AA2715">
        <v>0.97926979999999997</v>
      </c>
      <c r="AB2715">
        <v>14</v>
      </c>
      <c r="AC2715">
        <v>18.593</v>
      </c>
      <c r="AD2715">
        <v>-1.1231635230320001</v>
      </c>
      <c r="AE2715">
        <v>-1.0799999999989001E-2</v>
      </c>
      <c r="AF2715">
        <v>-3.7705014892673501</v>
      </c>
      <c r="AG2715">
        <v>-1.1231635230320001</v>
      </c>
      <c r="AH2715">
        <v>18.137635862694601</v>
      </c>
      <c r="AI2715">
        <v>93.469498503149396</v>
      </c>
      <c r="AJ2715">
        <v>101.743543681845</v>
      </c>
      <c r="AK2715">
        <v>18.559418430213299</v>
      </c>
      <c r="AL2715">
        <v>97.128438452826899</v>
      </c>
      <c r="AM2715">
        <v>98.067781322857499</v>
      </c>
      <c r="AN2715">
        <v>0.99999999895508995</v>
      </c>
    </row>
    <row r="2716" spans="1:40" x14ac:dyDescent="0.25">
      <c r="A2716" t="str">
        <f>"20190303154520868"</f>
        <v>20190303154520868</v>
      </c>
      <c r="B2716" t="str">
        <f>"1551599120863308"</f>
        <v>1551599120863308</v>
      </c>
      <c r="C2716" t="s">
        <v>40</v>
      </c>
      <c r="D2716">
        <v>5.0104860000000002</v>
      </c>
      <c r="E2716">
        <v>0.4852765</v>
      </c>
      <c r="F2716" t="s">
        <v>55</v>
      </c>
      <c r="G2716">
        <v>-459.11450000000002</v>
      </c>
      <c r="H2716" s="1">
        <v>3.3388440000000001E-6</v>
      </c>
      <c r="I2716">
        <v>214.03630000000001</v>
      </c>
      <c r="J2716">
        <v>-478.22149999999999</v>
      </c>
      <c r="K2716">
        <v>1.123046</v>
      </c>
      <c r="L2716">
        <v>214.04320000000001</v>
      </c>
      <c r="M2716">
        <v>0.98221519999999995</v>
      </c>
      <c r="N2716">
        <v>-1.358869E-2</v>
      </c>
      <c r="O2716">
        <v>-0.18726670000000001</v>
      </c>
      <c r="P2716">
        <v>0.98935390000000001</v>
      </c>
      <c r="Q2716">
        <v>-0.13381479999999901</v>
      </c>
      <c r="R2716">
        <v>-5.7207519999999998E-2</v>
      </c>
      <c r="S2716">
        <v>3.009979</v>
      </c>
      <c r="T2716">
        <v>-0.17371900000000001</v>
      </c>
      <c r="U2716">
        <v>-8.9111329999999999E-3</v>
      </c>
      <c r="V2716">
        <v>-0.12848999999999999</v>
      </c>
      <c r="W2716">
        <v>-0.12109549999999999</v>
      </c>
      <c r="X2716">
        <v>0.98428970000000005</v>
      </c>
      <c r="Y2716">
        <v>-0.18381839999999999</v>
      </c>
      <c r="Z2716">
        <v>1.4745579999999999E-2</v>
      </c>
      <c r="AA2716">
        <v>0.98284959999999999</v>
      </c>
      <c r="AB2716">
        <v>14</v>
      </c>
      <c r="AC2716">
        <v>19.1069999999999</v>
      </c>
      <c r="AD2716">
        <v>-1.123042661156</v>
      </c>
      <c r="AE2716">
        <v>-6.90000000000168E-3</v>
      </c>
      <c r="AF2716">
        <v>-3.5593605829084698</v>
      </c>
      <c r="AG2716">
        <v>-1.123042661156</v>
      </c>
      <c r="AH2716">
        <v>18.705587684843898</v>
      </c>
      <c r="AI2716">
        <v>93.375369303292899</v>
      </c>
      <c r="AJ2716">
        <v>100.773631519312</v>
      </c>
      <c r="AK2716">
        <v>19.074309508166198</v>
      </c>
      <c r="AL2716">
        <v>96.955331153925798</v>
      </c>
      <c r="AM2716">
        <v>97.437382634189603</v>
      </c>
      <c r="AN2716">
        <v>1.00000000687317</v>
      </c>
    </row>
    <row r="2717" spans="1:40" x14ac:dyDescent="0.25">
      <c r="A2717" t="str">
        <f>"20190303154520898"</f>
        <v>20190303154520898</v>
      </c>
      <c r="B2717" t="str">
        <f>"1551599120893563"</f>
        <v>1551599120893563</v>
      </c>
      <c r="C2717" t="s">
        <v>40</v>
      </c>
      <c r="D2717">
        <v>4.9966229999999996</v>
      </c>
      <c r="E2717">
        <v>0.48530309999999999</v>
      </c>
      <c r="F2717" t="s">
        <v>55</v>
      </c>
      <c r="G2717">
        <v>-453.3639</v>
      </c>
      <c r="H2717" s="1">
        <v>2.9794360000000002E-7</v>
      </c>
      <c r="I2717">
        <v>213.59469999999999</v>
      </c>
      <c r="J2717">
        <v>-478.03489999999999</v>
      </c>
      <c r="K2717">
        <v>1.122967</v>
      </c>
      <c r="L2717">
        <v>214.01840000000001</v>
      </c>
      <c r="M2717">
        <v>0.98380040000000002</v>
      </c>
      <c r="N2717">
        <v>-1.3632089999999999E-2</v>
      </c>
      <c r="O2717">
        <v>-0.17874880000000001</v>
      </c>
      <c r="P2717">
        <v>0.9897357</v>
      </c>
      <c r="Q2717">
        <v>-0.13272129999999999</v>
      </c>
      <c r="R2717">
        <v>-5.2994939999999997E-2</v>
      </c>
      <c r="S2717">
        <v>3.010742</v>
      </c>
      <c r="T2717">
        <v>-0.13602239999999999</v>
      </c>
      <c r="U2717">
        <v>-5.4321290000000001E-2</v>
      </c>
      <c r="V2717">
        <v>-0.1242142</v>
      </c>
      <c r="W2717">
        <v>-0.1199037</v>
      </c>
      <c r="X2717">
        <v>0.98498419999999998</v>
      </c>
      <c r="Y2717">
        <v>-0.16068729999999901</v>
      </c>
      <c r="Z2717">
        <v>1.031208E-2</v>
      </c>
      <c r="AA2717">
        <v>0.98695149999999998</v>
      </c>
      <c r="AB2717">
        <v>14</v>
      </c>
      <c r="AC2717">
        <v>24.6709999999999</v>
      </c>
      <c r="AD2717">
        <v>-1.12296670205639</v>
      </c>
      <c r="AE2717">
        <v>-0.423700000000025</v>
      </c>
      <c r="AF2717">
        <v>-3.9851917811923601</v>
      </c>
      <c r="AG2717">
        <v>-1.12296670205639</v>
      </c>
      <c r="AH2717">
        <v>24.2990064614688</v>
      </c>
      <c r="AI2717">
        <v>92.611178166591799</v>
      </c>
      <c r="AJ2717">
        <v>99.313954178794106</v>
      </c>
      <c r="AK2717">
        <v>24.649229658577799</v>
      </c>
      <c r="AL2717">
        <v>96.8865450785284</v>
      </c>
      <c r="AM2717">
        <v>97.187504116636902</v>
      </c>
      <c r="AN2717">
        <v>0.99999996950248404</v>
      </c>
    </row>
    <row r="2718" spans="1:40" x14ac:dyDescent="0.25">
      <c r="A2718" t="str">
        <f>"20190303154520932"</f>
        <v>20190303154520932</v>
      </c>
      <c r="B2718" t="str">
        <f>"1551599120923820"</f>
        <v>1551599120923820</v>
      </c>
      <c r="C2718" t="s">
        <v>40</v>
      </c>
      <c r="D2718">
        <v>4.9729229999999998</v>
      </c>
      <c r="E2718">
        <v>0.48568070000000002</v>
      </c>
      <c r="F2718" t="s">
        <v>55</v>
      </c>
      <c r="G2718">
        <v>-453.3897</v>
      </c>
      <c r="H2718" s="1">
        <v>3.0799699999999998E-7</v>
      </c>
      <c r="I2718">
        <v>213.67910000000001</v>
      </c>
      <c r="J2718">
        <v>-477.8347</v>
      </c>
      <c r="K2718">
        <v>1.1229020000000001</v>
      </c>
      <c r="L2718">
        <v>213.9933</v>
      </c>
      <c r="M2718">
        <v>0.98536679999999999</v>
      </c>
      <c r="N2718">
        <v>-1.36671E-2</v>
      </c>
      <c r="O2718">
        <v>-0.16989860000000001</v>
      </c>
      <c r="P2718">
        <v>0.99017509999999997</v>
      </c>
      <c r="Q2718">
        <v>-0.13089809999999999</v>
      </c>
      <c r="R2718">
        <v>-4.9182589999999998E-2</v>
      </c>
      <c r="S2718">
        <v>3.010529</v>
      </c>
      <c r="T2718">
        <v>-0.13717589999999999</v>
      </c>
      <c r="U2718">
        <v>-4.144287E-2</v>
      </c>
      <c r="V2718">
        <v>-0.1192368</v>
      </c>
      <c r="W2718">
        <v>-0.1179848</v>
      </c>
      <c r="X2718">
        <v>0.98583069999999895</v>
      </c>
      <c r="Y2718">
        <v>-0.15603880000000001</v>
      </c>
      <c r="Z2718">
        <v>9.9962439999999996E-3</v>
      </c>
      <c r="AA2718">
        <v>0.98770029999999998</v>
      </c>
      <c r="AB2718">
        <v>14</v>
      </c>
      <c r="AC2718">
        <v>24.445</v>
      </c>
      <c r="AD2718">
        <v>-1.1229016920029999</v>
      </c>
      <c r="AE2718">
        <v>-0.31419999999999898</v>
      </c>
      <c r="AF2718">
        <v>-3.8358352778771598</v>
      </c>
      <c r="AG2718">
        <v>-1.1229016920029999</v>
      </c>
      <c r="AH2718">
        <v>24.0920994553396</v>
      </c>
      <c r="AI2718">
        <v>92.635404708458793</v>
      </c>
      <c r="AJ2718">
        <v>99.046444098076805</v>
      </c>
      <c r="AK2718">
        <v>24.421379908901201</v>
      </c>
      <c r="AL2718">
        <v>96.775813903548993</v>
      </c>
      <c r="AM2718">
        <v>96.896458720146796</v>
      </c>
      <c r="AN2718">
        <v>0.99999999828388397</v>
      </c>
    </row>
    <row r="2719" spans="1:40" x14ac:dyDescent="0.25">
      <c r="A2719" t="str">
        <f>"20190303154520966"</f>
        <v>20190303154520966</v>
      </c>
      <c r="B2719" t="str">
        <f>"1551599120954076"</f>
        <v>1551599120954076</v>
      </c>
      <c r="C2719" t="s">
        <v>40</v>
      </c>
      <c r="D2719">
        <v>4.9981679999999997</v>
      </c>
      <c r="E2719">
        <v>0.4858808</v>
      </c>
      <c r="F2719" t="s">
        <v>55</v>
      </c>
      <c r="G2719">
        <v>-451.87630000000001</v>
      </c>
      <c r="H2719" s="1">
        <v>-4.9859809999999997E-7</v>
      </c>
      <c r="I2719">
        <v>213.70740000000001</v>
      </c>
      <c r="J2719">
        <v>-477.63499999999999</v>
      </c>
      <c r="K2719">
        <v>1.122814</v>
      </c>
      <c r="L2719">
        <v>213.96950000000001</v>
      </c>
      <c r="M2719">
        <v>0.98679039999999996</v>
      </c>
      <c r="N2719">
        <v>-1.3689689999999999E-2</v>
      </c>
      <c r="O2719">
        <v>-0.1614225</v>
      </c>
      <c r="P2719">
        <v>0.99063239999999997</v>
      </c>
      <c r="Q2719">
        <v>-0.1271938</v>
      </c>
      <c r="R2719">
        <v>-4.9694049999999997E-2</v>
      </c>
      <c r="S2719">
        <v>3.0108640000000002</v>
      </c>
      <c r="T2719">
        <v>-0.1302431</v>
      </c>
      <c r="U2719">
        <v>-3.3157350000000002E-2</v>
      </c>
      <c r="V2719">
        <v>-0.11038820000000001</v>
      </c>
      <c r="W2719">
        <v>-0.11416900000000001</v>
      </c>
      <c r="X2719">
        <v>0.9873094</v>
      </c>
      <c r="Y2719">
        <v>-0.1503062</v>
      </c>
      <c r="Z2719">
        <v>9.0166259999999998E-3</v>
      </c>
      <c r="AA2719">
        <v>0.98859830000000004</v>
      </c>
      <c r="AB2719">
        <v>14</v>
      </c>
      <c r="AC2719">
        <v>25.758699999999902</v>
      </c>
      <c r="AD2719">
        <v>-1.1228144985980999</v>
      </c>
      <c r="AE2719">
        <v>-0.262100000000003</v>
      </c>
      <c r="AF2719">
        <v>-3.8923665949633999</v>
      </c>
      <c r="AG2719">
        <v>-1.1228144985980999</v>
      </c>
      <c r="AH2719">
        <v>25.414848946869501</v>
      </c>
      <c r="AI2719">
        <v>92.500533567568894</v>
      </c>
      <c r="AJ2719">
        <v>98.707375430015702</v>
      </c>
      <c r="AK2719">
        <v>25.735690725139701</v>
      </c>
      <c r="AL2719">
        <v>96.555696683863403</v>
      </c>
      <c r="AM2719">
        <v>96.379579602377305</v>
      </c>
      <c r="AN2719">
        <v>0.99999998329429896</v>
      </c>
    </row>
    <row r="2720" spans="1:40" x14ac:dyDescent="0.25">
      <c r="A2720" t="str">
        <f>"20190303154521132"</f>
        <v>20190303154521132</v>
      </c>
      <c r="B2720" t="str">
        <f>"1551599121123900"</f>
        <v>1551599121123900</v>
      </c>
      <c r="C2720" t="s">
        <v>40</v>
      </c>
      <c r="D2720">
        <v>4.9149289999999999</v>
      </c>
      <c r="E2720">
        <v>0.48460720000000002</v>
      </c>
      <c r="F2720" t="s">
        <v>55</v>
      </c>
      <c r="G2720">
        <v>-449.11540000000002</v>
      </c>
      <c r="H2720" s="1">
        <v>3.3574490000000001E-6</v>
      </c>
      <c r="I2720">
        <v>213.62209999999999</v>
      </c>
      <c r="J2720">
        <v>-476.66129999999998</v>
      </c>
      <c r="K2720">
        <v>1.122579</v>
      </c>
      <c r="L2720">
        <v>213.87260000000001</v>
      </c>
      <c r="M2720">
        <v>0.99218620000000002</v>
      </c>
      <c r="N2720">
        <v>-1.3714860000000001E-2</v>
      </c>
      <c r="O2720">
        <v>-0.12401180000000001</v>
      </c>
      <c r="P2720">
        <v>0.99185140000000005</v>
      </c>
      <c r="Q2720">
        <v>-0.11702650000000001</v>
      </c>
      <c r="R2720">
        <v>-5.0360660000000002E-2</v>
      </c>
      <c r="S2720">
        <v>3.0113219999999998</v>
      </c>
      <c r="T2720">
        <v>-0.1185553</v>
      </c>
      <c r="U2720">
        <v>-3.668213E-2</v>
      </c>
      <c r="V2720">
        <v>-7.2662850000000001E-2</v>
      </c>
      <c r="W2720">
        <v>-0.10369780000000001</v>
      </c>
      <c r="X2720">
        <v>0.99195100000000003</v>
      </c>
      <c r="Y2720">
        <v>-0.1117708</v>
      </c>
      <c r="Z2720">
        <v>6.1320580000000001E-3</v>
      </c>
      <c r="AA2720">
        <v>0.99371509999999996</v>
      </c>
      <c r="AB2720">
        <v>13</v>
      </c>
      <c r="AC2720">
        <v>27.5458999999999</v>
      </c>
      <c r="AD2720">
        <v>-1.1225756425510001</v>
      </c>
      <c r="AE2720">
        <v>-0.25050000000001599</v>
      </c>
      <c r="AF2720">
        <v>-3.1625193006432601</v>
      </c>
      <c r="AG2720">
        <v>-1.1225756425510001</v>
      </c>
      <c r="AH2720">
        <v>27.318926422822599</v>
      </c>
      <c r="AI2720">
        <v>92.337453129358394</v>
      </c>
      <c r="AJ2720">
        <v>96.603335461751897</v>
      </c>
      <c r="AK2720">
        <v>27.5242701137702</v>
      </c>
      <c r="AL2720">
        <v>95.952146706199699</v>
      </c>
      <c r="AM2720">
        <v>94.189573791709194</v>
      </c>
      <c r="AN2720">
        <v>0.99999995494798</v>
      </c>
    </row>
    <row r="2721" spans="1:40" x14ac:dyDescent="0.25">
      <c r="A2721" t="str">
        <f>"20190303154521167"</f>
        <v>20190303154521167</v>
      </c>
      <c r="B2721" t="str">
        <f>"1551599121163916"</f>
        <v>1551599121163916</v>
      </c>
      <c r="C2721" t="s">
        <v>40</v>
      </c>
      <c r="D2721">
        <v>4.9121560000000004</v>
      </c>
      <c r="E2721">
        <v>0.48172039999999999</v>
      </c>
      <c r="F2721" t="s">
        <v>57</v>
      </c>
      <c r="G2721">
        <v>-433.589</v>
      </c>
      <c r="H2721" s="1">
        <v>3.9089040000000001E-6</v>
      </c>
      <c r="I2721">
        <v>213.4683</v>
      </c>
      <c r="J2721">
        <v>-476.45530000000002</v>
      </c>
      <c r="K2721">
        <v>1.1225350000000001</v>
      </c>
      <c r="L2721">
        <v>213.85599999999999</v>
      </c>
      <c r="M2721">
        <v>0.99306810000000001</v>
      </c>
      <c r="N2721">
        <v>-1.3712770000000001E-2</v>
      </c>
      <c r="O2721">
        <v>-0.1167373</v>
      </c>
      <c r="P2721">
        <v>0.99160239999999999</v>
      </c>
      <c r="Q2721">
        <v>-0.1193767</v>
      </c>
      <c r="R2721">
        <v>-4.9740050000000001E-2</v>
      </c>
      <c r="S2721">
        <v>3.0139469999999999</v>
      </c>
      <c r="T2721">
        <v>-7.8551170000000003E-2</v>
      </c>
      <c r="U2721">
        <v>-2.8289789999999999E-2</v>
      </c>
      <c r="V2721">
        <v>-6.5993739999999995E-2</v>
      </c>
      <c r="W2721">
        <v>-0.1060152</v>
      </c>
      <c r="X2721">
        <v>0.99217219999999995</v>
      </c>
      <c r="Y2721">
        <v>-0.1073571</v>
      </c>
      <c r="Z2721">
        <v>3.567644E-3</v>
      </c>
      <c r="AA2721">
        <v>0.99421409999999999</v>
      </c>
      <c r="AB2721">
        <v>13</v>
      </c>
      <c r="AC2721">
        <v>42.866300000000003</v>
      </c>
      <c r="AD2721">
        <v>-1.122531091096</v>
      </c>
      <c r="AE2721">
        <v>-0.38769999999999499</v>
      </c>
      <c r="AF2721">
        <v>-4.6163528285102098</v>
      </c>
      <c r="AG2721">
        <v>-1.122531091096</v>
      </c>
      <c r="AH2721">
        <v>42.589220598022997</v>
      </c>
      <c r="AI2721">
        <v>91.501016856403396</v>
      </c>
      <c r="AJ2721">
        <v>96.186281798201904</v>
      </c>
      <c r="AK2721">
        <v>42.853383771119397</v>
      </c>
      <c r="AL2721">
        <v>96.085659501608404</v>
      </c>
      <c r="AM2721">
        <v>93.805389193696001</v>
      </c>
      <c r="AN2721">
        <v>1.0000000354015299</v>
      </c>
    </row>
    <row r="2722" spans="1:40" x14ac:dyDescent="0.25">
      <c r="A2722" t="str">
        <f>"20190303154521201"</f>
        <v>20190303154521201</v>
      </c>
      <c r="B2722" t="str">
        <f>"1551599121193196"</f>
        <v>1551599121193196</v>
      </c>
      <c r="C2722" t="s">
        <v>40</v>
      </c>
      <c r="D2722">
        <v>4.8933689999999999</v>
      </c>
      <c r="E2722">
        <v>0.48007749999999999</v>
      </c>
      <c r="F2722" t="s">
        <v>55</v>
      </c>
      <c r="G2722">
        <v>-448.91649999999998</v>
      </c>
      <c r="H2722" s="1">
        <v>3.242757E-6</v>
      </c>
      <c r="I2722">
        <v>213.82429999999999</v>
      </c>
      <c r="J2722">
        <v>-476.25670000000002</v>
      </c>
      <c r="K2722">
        <v>1.1225000000000001</v>
      </c>
      <c r="L2722">
        <v>213.84110000000001</v>
      </c>
      <c r="M2722">
        <v>0.99384830000000002</v>
      </c>
      <c r="N2722">
        <v>-1.370832E-2</v>
      </c>
      <c r="O2722">
        <v>-0.1098981</v>
      </c>
      <c r="P2722">
        <v>0.99182150000000002</v>
      </c>
      <c r="Q2722">
        <v>-0.1175741</v>
      </c>
      <c r="R2722">
        <v>-4.9665330000000001E-2</v>
      </c>
      <c r="S2722">
        <v>3.0104679999999999</v>
      </c>
      <c r="T2722">
        <v>-0.1227121</v>
      </c>
      <c r="U2722">
        <v>-3.4637449999999998E-3</v>
      </c>
      <c r="V2722">
        <v>-5.929098E-2</v>
      </c>
      <c r="W2722">
        <v>-0.10417700000000001</v>
      </c>
      <c r="X2722">
        <v>0.9927899</v>
      </c>
      <c r="Y2722">
        <v>-0.1086044</v>
      </c>
      <c r="Z2722">
        <v>5.9198019999999896E-3</v>
      </c>
      <c r="AA2722">
        <v>0.99406740000000005</v>
      </c>
      <c r="AB2722">
        <v>13</v>
      </c>
      <c r="AC2722">
        <v>27.340199999999999</v>
      </c>
      <c r="AD2722">
        <v>-1.122496757243</v>
      </c>
      <c r="AE2722">
        <v>-1.6800000000017599E-2</v>
      </c>
      <c r="AF2722">
        <v>-2.9831916263524301</v>
      </c>
      <c r="AG2722">
        <v>-1.122496757243</v>
      </c>
      <c r="AH2722">
        <v>27.130679046249401</v>
      </c>
      <c r="AI2722">
        <v>92.355009929867194</v>
      </c>
      <c r="AJ2722">
        <v>96.274829890424201</v>
      </c>
      <c r="AK2722">
        <v>27.3172688378644</v>
      </c>
      <c r="AL2722">
        <v>95.9797519319213</v>
      </c>
      <c r="AM2722">
        <v>93.417734947009095</v>
      </c>
      <c r="AN2722">
        <v>1.0000000265901801</v>
      </c>
    </row>
    <row r="2723" spans="1:40" x14ac:dyDescent="0.25">
      <c r="A2723" t="str">
        <f>"20190303154521234"</f>
        <v>20190303154521234</v>
      </c>
      <c r="B2723" t="str">
        <f>"1551599121223452"</f>
        <v>1551599121223452</v>
      </c>
      <c r="C2723" t="s">
        <v>40</v>
      </c>
      <c r="D2723">
        <v>4.9264900000000003</v>
      </c>
      <c r="E2723">
        <v>0.47870980000000002</v>
      </c>
      <c r="F2723" t="s">
        <v>55</v>
      </c>
      <c r="G2723">
        <v>-452.42</v>
      </c>
      <c r="H2723" s="1">
        <v>-2.1858809999999999E-7</v>
      </c>
      <c r="I2723">
        <v>213.9205</v>
      </c>
      <c r="J2723">
        <v>-476.07040000000001</v>
      </c>
      <c r="K2723">
        <v>1.1224529999999999</v>
      </c>
      <c r="L2723">
        <v>213.82830000000001</v>
      </c>
      <c r="M2723">
        <v>0.99451670000000003</v>
      </c>
      <c r="N2723">
        <v>-1.3702229999999999E-2</v>
      </c>
      <c r="O2723">
        <v>-0.1036767</v>
      </c>
      <c r="P2723">
        <v>0.99208189999999996</v>
      </c>
      <c r="Q2723">
        <v>-0.11661829999999999</v>
      </c>
      <c r="R2723">
        <v>-4.6620729999999999E-2</v>
      </c>
      <c r="S2723">
        <v>3.0084230000000001</v>
      </c>
      <c r="T2723">
        <v>-0.14167009999999999</v>
      </c>
      <c r="U2723">
        <v>1.0025020000000001E-2</v>
      </c>
      <c r="V2723">
        <v>-5.6157770000000003E-2</v>
      </c>
      <c r="W2723">
        <v>-0.1032054</v>
      </c>
      <c r="X2723">
        <v>0.99307350000000005</v>
      </c>
      <c r="Y2723">
        <v>-0.1067901</v>
      </c>
      <c r="Z2723">
        <v>6.696413E-3</v>
      </c>
      <c r="AA2723">
        <v>0.99425909999999995</v>
      </c>
      <c r="AB2723">
        <v>13</v>
      </c>
      <c r="AC2723">
        <v>23.650399999999902</v>
      </c>
      <c r="AD2723">
        <v>-1.1224532185881</v>
      </c>
      <c r="AE2723">
        <v>9.2199999999991095E-2</v>
      </c>
      <c r="AF2723">
        <v>-2.5382114280718802</v>
      </c>
      <c r="AG2723">
        <v>-1.1224532185881</v>
      </c>
      <c r="AH2723">
        <v>23.4605219324648</v>
      </c>
      <c r="AI2723">
        <v>92.723321967361002</v>
      </c>
      <c r="AJ2723">
        <v>96.174855299622905</v>
      </c>
      <c r="AK2723">
        <v>23.6241086144043</v>
      </c>
      <c r="AL2723">
        <v>95.923781726541904</v>
      </c>
      <c r="AM2723">
        <v>93.236598276675906</v>
      </c>
      <c r="AN2723">
        <v>1.00000001306139</v>
      </c>
    </row>
    <row r="2724" spans="1:40" x14ac:dyDescent="0.25">
      <c r="A2724" t="str">
        <f>"20190303154521271"</f>
        <v>20190303154521271</v>
      </c>
      <c r="B2724" t="str">
        <f>"1551599121263468"</f>
        <v>1551599121263468</v>
      </c>
      <c r="C2724" t="s">
        <v>40</v>
      </c>
      <c r="D2724">
        <v>4.9511510000000003</v>
      </c>
      <c r="E2724">
        <v>0.47718729999999998</v>
      </c>
      <c r="F2724" t="s">
        <v>55</v>
      </c>
      <c r="G2724">
        <v>-454.69740000000002</v>
      </c>
      <c r="H2724" s="1">
        <v>9.8781360000000009E-7</v>
      </c>
      <c r="I2724">
        <v>214.0472</v>
      </c>
      <c r="J2724">
        <v>-475.85820000000001</v>
      </c>
      <c r="K2724">
        <v>1.1223730000000001</v>
      </c>
      <c r="L2724">
        <v>213.81469999999999</v>
      </c>
      <c r="M2724">
        <v>0.99520649999999999</v>
      </c>
      <c r="N2724">
        <v>-1.369276E-2</v>
      </c>
      <c r="O2724">
        <v>-9.6833409999999995E-2</v>
      </c>
      <c r="P2724">
        <v>0.99198500000000001</v>
      </c>
      <c r="Q2724">
        <v>-0.1191348</v>
      </c>
      <c r="R2724">
        <v>-4.2106650000000002E-2</v>
      </c>
      <c r="S2724">
        <v>3.0068359999999998</v>
      </c>
      <c r="T2724">
        <v>-0.1579112</v>
      </c>
      <c r="U2724">
        <v>3.0807500000000002E-2</v>
      </c>
      <c r="V2724">
        <v>-5.3828699999999903E-2</v>
      </c>
      <c r="W2724">
        <v>-0.10571659999999999</v>
      </c>
      <c r="X2724">
        <v>0.99293830000000005</v>
      </c>
      <c r="Y2724">
        <v>-0.10677639999999999</v>
      </c>
      <c r="Z2724">
        <v>7.2833029999999997E-3</v>
      </c>
      <c r="AA2724">
        <v>0.99425640000000004</v>
      </c>
      <c r="AB2724">
        <v>13</v>
      </c>
      <c r="AC2724">
        <v>21.160799999999899</v>
      </c>
      <c r="AD2724">
        <v>-1.12237201218639</v>
      </c>
      <c r="AE2724">
        <v>0.232500000000015</v>
      </c>
      <c r="AF2724">
        <v>-2.27427419662554</v>
      </c>
      <c r="AG2724">
        <v>-1.12237201218639</v>
      </c>
      <c r="AH2724">
        <v>20.979807974066802</v>
      </c>
      <c r="AI2724">
        <v>93.044472678226398</v>
      </c>
      <c r="AJ2724">
        <v>96.1868756365064</v>
      </c>
      <c r="AK2724">
        <v>21.132543261138601</v>
      </c>
      <c r="AL2724">
        <v>96.068454523911498</v>
      </c>
      <c r="AM2724">
        <v>93.103054148084397</v>
      </c>
      <c r="AN2724">
        <v>0.99999999803307005</v>
      </c>
    </row>
    <row r="2725" spans="1:40" x14ac:dyDescent="0.25">
      <c r="A2725" t="str">
        <f>"20190303154521303"</f>
        <v>20190303154521303</v>
      </c>
      <c r="B2725" t="str">
        <f>"1551599121293724"</f>
        <v>1551599121293724</v>
      </c>
      <c r="C2725" t="s">
        <v>40</v>
      </c>
      <c r="D2725">
        <v>4.9465729999999999</v>
      </c>
      <c r="E2725">
        <v>0.4761802</v>
      </c>
      <c r="F2725" t="s">
        <v>55</v>
      </c>
      <c r="G2725">
        <v>-457.82929999999999</v>
      </c>
      <c r="H2725" s="1">
        <v>2.6497499999999999E-6</v>
      </c>
      <c r="I2725">
        <v>214.15530000000001</v>
      </c>
      <c r="J2725">
        <v>-475.66930000000002</v>
      </c>
      <c r="K2725">
        <v>1.1223030000000001</v>
      </c>
      <c r="L2725">
        <v>213.80359999999999</v>
      </c>
      <c r="M2725">
        <v>0.9957627</v>
      </c>
      <c r="N2725">
        <v>-1.368276E-2</v>
      </c>
      <c r="O2725">
        <v>-9.0937790000000004E-2</v>
      </c>
      <c r="P2725">
        <v>0.99178560000000004</v>
      </c>
      <c r="Q2725">
        <v>-0.121674</v>
      </c>
      <c r="R2725">
        <v>-3.9454839999999998E-2</v>
      </c>
      <c r="S2725">
        <v>3.0042420000000001</v>
      </c>
      <c r="T2725">
        <v>-0.187026</v>
      </c>
      <c r="U2725">
        <v>5.6762699999999902E-2</v>
      </c>
      <c r="V2725">
        <v>-5.0586909999999999E-2</v>
      </c>
      <c r="W2725">
        <v>-0.10825</v>
      </c>
      <c r="X2725">
        <v>0.99283580000000005</v>
      </c>
      <c r="Y2725">
        <v>-0.1093775</v>
      </c>
      <c r="Z2725">
        <v>8.5565599999999995E-3</v>
      </c>
      <c r="AA2725">
        <v>0.9939635</v>
      </c>
      <c r="AB2725">
        <v>13</v>
      </c>
      <c r="AC2725">
        <v>17.84</v>
      </c>
      <c r="AD2725">
        <v>-1.12230035025</v>
      </c>
      <c r="AE2725">
        <v>0.351700000000022</v>
      </c>
      <c r="AF2725">
        <v>-1.9649509298699299</v>
      </c>
      <c r="AG2725">
        <v>-1.12230035025</v>
      </c>
      <c r="AH2725">
        <v>17.664201501171402</v>
      </c>
      <c r="AI2725">
        <v>93.613191313146302</v>
      </c>
      <c r="AJ2725">
        <v>96.347438810409699</v>
      </c>
      <c r="AK2725">
        <v>17.8085542621223</v>
      </c>
      <c r="AL2725">
        <v>96.214445475555905</v>
      </c>
      <c r="AM2725">
        <v>92.916808749385694</v>
      </c>
      <c r="AN2725">
        <v>1.0000000118624901</v>
      </c>
    </row>
    <row r="2726" spans="1:40" x14ac:dyDescent="0.25">
      <c r="A2726" t="str">
        <f>"20190303154521333"</f>
        <v>20190303154521333</v>
      </c>
      <c r="B2726" t="str">
        <f>"1551599121323004"</f>
        <v>1551599121323004</v>
      </c>
      <c r="C2726" t="s">
        <v>40</v>
      </c>
      <c r="D2726">
        <v>4.9382299999999999</v>
      </c>
      <c r="E2726">
        <v>0.47662850000000001</v>
      </c>
      <c r="F2726" t="s">
        <v>55</v>
      </c>
      <c r="G2726">
        <v>-459.56310000000002</v>
      </c>
      <c r="H2726" s="1">
        <v>3.5707789999999998E-6</v>
      </c>
      <c r="I2726">
        <v>214.19200000000001</v>
      </c>
      <c r="J2726">
        <v>-475.4939</v>
      </c>
      <c r="K2726">
        <v>1.1222510000000001</v>
      </c>
      <c r="L2726">
        <v>213.79400000000001</v>
      </c>
      <c r="M2726">
        <v>0.99623159999999999</v>
      </c>
      <c r="N2726">
        <v>-1.3673060000000001E-2</v>
      </c>
      <c r="O2726">
        <v>-8.5649379999999997E-2</v>
      </c>
      <c r="P2726">
        <v>0.99176920000000002</v>
      </c>
      <c r="Q2726">
        <v>-0.1225668</v>
      </c>
      <c r="R2726">
        <v>-3.7032790000000003E-2</v>
      </c>
      <c r="S2726">
        <v>3.002075</v>
      </c>
      <c r="T2726">
        <v>-0.20918929999999999</v>
      </c>
      <c r="U2726">
        <v>7.2402949999999994E-2</v>
      </c>
      <c r="V2726">
        <v>-4.774436E-2</v>
      </c>
      <c r="W2726">
        <v>-0.1091379</v>
      </c>
      <c r="X2726">
        <v>0.99287930000000002</v>
      </c>
      <c r="Y2726">
        <v>-0.10920390000000001</v>
      </c>
      <c r="Z2726">
        <v>9.3329190000000003E-3</v>
      </c>
      <c r="AA2726">
        <v>0.99397559999999996</v>
      </c>
      <c r="AB2726">
        <v>13</v>
      </c>
      <c r="AC2726">
        <v>15.9307999999999</v>
      </c>
      <c r="AD2726">
        <v>-1.1222474292209901</v>
      </c>
      <c r="AE2726">
        <v>0.39799999999999602</v>
      </c>
      <c r="AF2726">
        <v>-1.75243672793601</v>
      </c>
      <c r="AG2726">
        <v>-1.1222474292209901</v>
      </c>
      <c r="AH2726">
        <v>15.7599966592356</v>
      </c>
      <c r="AI2726">
        <v>94.0482113854506</v>
      </c>
      <c r="AJ2726">
        <v>96.344953569114097</v>
      </c>
      <c r="AK2726">
        <v>15.896791137739999</v>
      </c>
      <c r="AL2726">
        <v>96.265621963804705</v>
      </c>
      <c r="AM2726">
        <v>92.753048370324805</v>
      </c>
      <c r="AN2726">
        <v>0.99999995474835301</v>
      </c>
    </row>
    <row r="2727" spans="1:40" x14ac:dyDescent="0.25">
      <c r="A2727" t="str">
        <f>"20190303154521368"</f>
        <v>20190303154521368</v>
      </c>
      <c r="B2727" t="str">
        <f>"1551599121363996"</f>
        <v>1551599121363996</v>
      </c>
      <c r="C2727" t="s">
        <v>40</v>
      </c>
      <c r="D2727">
        <v>4.9110880000000003</v>
      </c>
      <c r="E2727">
        <v>0.47789039999999999</v>
      </c>
      <c r="F2727" t="s">
        <v>55</v>
      </c>
      <c r="G2727">
        <v>-459.67149999999998</v>
      </c>
      <c r="H2727" s="1">
        <v>3.6283590000000002E-6</v>
      </c>
      <c r="I2727">
        <v>214.19460000000001</v>
      </c>
      <c r="J2727">
        <v>-475.29680000000002</v>
      </c>
      <c r="K2727">
        <v>1.1222019999999999</v>
      </c>
      <c r="L2727">
        <v>213.7842</v>
      </c>
      <c r="M2727">
        <v>0.99671080000000001</v>
      </c>
      <c r="N2727">
        <v>-1.3662540000000001E-2</v>
      </c>
      <c r="O2727">
        <v>-7.9881140000000003E-2</v>
      </c>
      <c r="P2727">
        <v>0.99172990000000005</v>
      </c>
      <c r="Q2727">
        <v>-0.1235738</v>
      </c>
      <c r="R2727">
        <v>-3.4659139999999998E-2</v>
      </c>
      <c r="S2727">
        <v>3.001404</v>
      </c>
      <c r="T2727">
        <v>-0.21288309999999999</v>
      </c>
      <c r="U2727">
        <v>7.5988769999999997E-2</v>
      </c>
      <c r="V2727">
        <v>-4.4377239999999998E-2</v>
      </c>
      <c r="W2727">
        <v>-0.1101404</v>
      </c>
      <c r="X2727">
        <v>0.9929249</v>
      </c>
      <c r="Y2727">
        <v>-0.104647699999999</v>
      </c>
      <c r="Z2727">
        <v>8.9859989999999997E-3</v>
      </c>
      <c r="AA2727">
        <v>0.99446869999999998</v>
      </c>
      <c r="AB2727">
        <v>13</v>
      </c>
      <c r="AC2727">
        <v>15.625299999999999</v>
      </c>
      <c r="AD2727">
        <v>-1.122198371641</v>
      </c>
      <c r="AE2727">
        <v>0.41040000000000898</v>
      </c>
      <c r="AF2727">
        <v>-1.6488724717715599</v>
      </c>
      <c r="AG2727">
        <v>-1.122198371641</v>
      </c>
      <c r="AH2727">
        <v>15.462869395891699</v>
      </c>
      <c r="AI2727">
        <v>94.127572938759599</v>
      </c>
      <c r="AJ2727">
        <v>96.086695334729697</v>
      </c>
      <c r="AK2727">
        <v>15.5909730154305</v>
      </c>
      <c r="AL2727">
        <v>96.323408743700597</v>
      </c>
      <c r="AM2727">
        <v>92.559043099725997</v>
      </c>
      <c r="AN2727">
        <v>1.0000000520910901</v>
      </c>
    </row>
    <row r="2728" spans="1:40" x14ac:dyDescent="0.25">
      <c r="A2728" t="str">
        <f>"20190303154521401"</f>
        <v>20190303154521401</v>
      </c>
      <c r="B2728" t="str">
        <f>"1551599121393277"</f>
        <v>1551599121393277</v>
      </c>
      <c r="C2728" t="s">
        <v>40</v>
      </c>
      <c r="D2728">
        <v>4.8603779999999999</v>
      </c>
      <c r="E2728">
        <v>0.47843659999999999</v>
      </c>
      <c r="F2728" t="s">
        <v>55</v>
      </c>
      <c r="G2728">
        <v>-458.87959999999998</v>
      </c>
      <c r="H2728" s="1">
        <v>3.2073920000000002E-6</v>
      </c>
      <c r="I2728">
        <v>214.18389999999999</v>
      </c>
      <c r="J2728">
        <v>-475.10860000000002</v>
      </c>
      <c r="K2728">
        <v>1.122155</v>
      </c>
      <c r="L2728">
        <v>213.7757</v>
      </c>
      <c r="M2728">
        <v>0.99712429999999996</v>
      </c>
      <c r="N2728">
        <v>-1.3652579999999999E-2</v>
      </c>
      <c r="O2728">
        <v>-7.4543670000000006E-2</v>
      </c>
      <c r="P2728">
        <v>0.9916874</v>
      </c>
      <c r="Q2728">
        <v>-0.1245761</v>
      </c>
      <c r="R2728">
        <v>-3.2199579999999998E-2</v>
      </c>
      <c r="S2728">
        <v>3.002014</v>
      </c>
      <c r="T2728">
        <v>-0.2052022</v>
      </c>
      <c r="U2728">
        <v>7.3074340000000002E-2</v>
      </c>
      <c r="V2728">
        <v>-4.1527380000000003E-2</v>
      </c>
      <c r="W2728">
        <v>-0.1111405</v>
      </c>
      <c r="X2728">
        <v>0.99293670000000001</v>
      </c>
      <c r="Y2728">
        <v>-9.840873E-2</v>
      </c>
      <c r="Z2728">
        <v>8.1009749999999998E-3</v>
      </c>
      <c r="AA2728">
        <v>0.99511309999999997</v>
      </c>
      <c r="AB2728">
        <v>13</v>
      </c>
      <c r="AC2728">
        <v>16.228999999999999</v>
      </c>
      <c r="AD2728">
        <v>-1.122151792608</v>
      </c>
      <c r="AE2728">
        <v>0.40819999999999301</v>
      </c>
      <c r="AF2728">
        <v>-1.6092570328517599</v>
      </c>
      <c r="AG2728">
        <v>-1.122151792608</v>
      </c>
      <c r="AH2728">
        <v>16.076593113128801</v>
      </c>
      <c r="AI2728">
        <v>93.972998514920405</v>
      </c>
      <c r="AJ2728">
        <v>95.716230864652005</v>
      </c>
      <c r="AK2728">
        <v>16.1958568457658</v>
      </c>
      <c r="AL2728">
        <v>96.381064484329002</v>
      </c>
      <c r="AM2728">
        <v>92.394873499609901</v>
      </c>
      <c r="AN2728">
        <v>1.0000000121184001</v>
      </c>
    </row>
    <row r="2729" spans="1:40" x14ac:dyDescent="0.25">
      <c r="A2729" t="str">
        <f>"20190303154521436"</f>
        <v>20190303154521436</v>
      </c>
      <c r="B2729" t="str">
        <f>"1551599121433293"</f>
        <v>1551599121433293</v>
      </c>
      <c r="C2729" t="s">
        <v>40</v>
      </c>
      <c r="D2729">
        <v>4.7596679999999996</v>
      </c>
      <c r="E2729">
        <v>0.47917910000000002</v>
      </c>
      <c r="F2729" t="s">
        <v>55</v>
      </c>
      <c r="G2729">
        <v>-458.53050000000002</v>
      </c>
      <c r="H2729" s="1">
        <v>3.0211179999999998E-6</v>
      </c>
      <c r="I2729">
        <v>214.19579999999999</v>
      </c>
      <c r="J2729">
        <v>-474.91090000000003</v>
      </c>
      <c r="K2729">
        <v>1.122126</v>
      </c>
      <c r="L2729">
        <v>213.76769999999999</v>
      </c>
      <c r="M2729">
        <v>0.99751630000000002</v>
      </c>
      <c r="N2729">
        <v>-1.364219E-2</v>
      </c>
      <c r="O2729">
        <v>-6.9103769999999995E-2</v>
      </c>
      <c r="P2729">
        <v>0.99152379999999996</v>
      </c>
      <c r="Q2729">
        <v>-0.12625169999999999</v>
      </c>
      <c r="R2729">
        <v>-3.0681969999999999E-2</v>
      </c>
      <c r="S2729">
        <v>3.0020449999999999</v>
      </c>
      <c r="T2729">
        <v>-0.2032051</v>
      </c>
      <c r="U2729">
        <v>7.6065060000000004E-2</v>
      </c>
      <c r="V2729">
        <v>-3.7628479999999999E-2</v>
      </c>
      <c r="W2729">
        <v>-0.112813</v>
      </c>
      <c r="X2729">
        <v>0.99290350000000005</v>
      </c>
      <c r="Y2729">
        <v>-9.3998020000000002E-2</v>
      </c>
      <c r="Z2729">
        <v>7.5469209999999998E-3</v>
      </c>
      <c r="AA2729">
        <v>0.99554379999999998</v>
      </c>
      <c r="AB2729">
        <v>13</v>
      </c>
      <c r="AC2729">
        <v>16.380400000000002</v>
      </c>
      <c r="AD2729">
        <v>-1.122122978882</v>
      </c>
      <c r="AE2729">
        <v>0.42809999999999998</v>
      </c>
      <c r="AF2729">
        <v>-1.5518514945294399</v>
      </c>
      <c r="AG2729">
        <v>-1.122122978882</v>
      </c>
      <c r="AH2729">
        <v>16.235510939917202</v>
      </c>
      <c r="AI2729">
        <v>93.9358483185854</v>
      </c>
      <c r="AJ2729">
        <v>95.459959594145403</v>
      </c>
      <c r="AK2729">
        <v>16.3480646720332</v>
      </c>
      <c r="AL2729">
        <v>96.477498136728201</v>
      </c>
      <c r="AM2729">
        <v>92.170323546110296</v>
      </c>
      <c r="AN2729">
        <v>1.0000000178941799</v>
      </c>
    </row>
    <row r="2730" spans="1:40" x14ac:dyDescent="0.25">
      <c r="A2730" t="str">
        <f>"20190303154521472"</f>
        <v>20190303154521472</v>
      </c>
      <c r="B2730" t="str">
        <f>"1551599121463549"</f>
        <v>1551599121463549</v>
      </c>
      <c r="C2730" t="s">
        <v>40</v>
      </c>
      <c r="D2730">
        <v>4.7068070000000004</v>
      </c>
      <c r="E2730">
        <v>0.479599</v>
      </c>
      <c r="F2730" t="s">
        <v>55</v>
      </c>
      <c r="G2730">
        <v>-458.22859999999997</v>
      </c>
      <c r="H2730" s="1">
        <v>2.8610790000000001E-6</v>
      </c>
      <c r="I2730">
        <v>214.18129999999999</v>
      </c>
      <c r="J2730">
        <v>-474.7099</v>
      </c>
      <c r="K2730">
        <v>1.12209</v>
      </c>
      <c r="L2730">
        <v>213.76050000000001</v>
      </c>
      <c r="M2730">
        <v>0.99787539999999997</v>
      </c>
      <c r="N2730">
        <v>-1.3632409999999999E-2</v>
      </c>
      <c r="O2730">
        <v>-6.3711840000000006E-2</v>
      </c>
      <c r="P2730">
        <v>0.99152359999999995</v>
      </c>
      <c r="Q2730">
        <v>-0.12701279999999901</v>
      </c>
      <c r="R2730">
        <v>-2.7367659999999999E-2</v>
      </c>
      <c r="S2730">
        <v>3.0022579999999999</v>
      </c>
      <c r="T2730">
        <v>-0.20194419999999999</v>
      </c>
      <c r="U2730">
        <v>7.4432369999999998E-2</v>
      </c>
      <c r="V2730">
        <v>-3.5585659999999998E-2</v>
      </c>
      <c r="W2730">
        <v>-0.1135761</v>
      </c>
      <c r="X2730">
        <v>0.99289179999999999</v>
      </c>
      <c r="Y2730">
        <v>-8.8101529999999997E-2</v>
      </c>
      <c r="Z2730">
        <v>6.9714429999999999E-3</v>
      </c>
      <c r="AA2730">
        <v>0.9960871</v>
      </c>
      <c r="AB2730">
        <v>13</v>
      </c>
      <c r="AC2730">
        <v>16.481300000000001</v>
      </c>
      <c r="AD2730">
        <v>-1.1220871389210001</v>
      </c>
      <c r="AE2730">
        <v>0.42079999999998502</v>
      </c>
      <c r="AF2730">
        <v>-1.4633178856057401</v>
      </c>
      <c r="AG2730">
        <v>-1.1220871389210001</v>
      </c>
      <c r="AH2730">
        <v>16.3452823003859</v>
      </c>
      <c r="AI2730">
        <v>93.911541105960794</v>
      </c>
      <c r="AJ2730">
        <v>95.115789154626299</v>
      </c>
      <c r="AK2730">
        <v>16.4489705532283</v>
      </c>
      <c r="AL2730">
        <v>96.521503504645594</v>
      </c>
      <c r="AM2730">
        <v>92.0526262626164</v>
      </c>
      <c r="AN2730">
        <v>0.99999999809804196</v>
      </c>
    </row>
    <row r="2731" spans="1:40" x14ac:dyDescent="0.25">
      <c r="A2731" t="str">
        <f>"20190303154521504"</f>
        <v>20190303154521504</v>
      </c>
      <c r="B2731" t="str">
        <f>"1551599121493804"</f>
        <v>1551599121493804</v>
      </c>
      <c r="C2731" t="s">
        <v>40</v>
      </c>
      <c r="D2731">
        <v>4.6321570000000003</v>
      </c>
      <c r="E2731">
        <v>0.4800314</v>
      </c>
      <c r="F2731" t="s">
        <v>55</v>
      </c>
      <c r="G2731">
        <v>-457.87009999999998</v>
      </c>
      <c r="H2731" s="1">
        <v>2.6687879999999998E-6</v>
      </c>
      <c r="I2731">
        <v>214.21600000000001</v>
      </c>
      <c r="J2731">
        <v>-474.52620000000002</v>
      </c>
      <c r="K2731">
        <v>1.122072</v>
      </c>
      <c r="L2731">
        <v>213.75460000000001</v>
      </c>
      <c r="M2731">
        <v>0.99817109999999998</v>
      </c>
      <c r="N2731">
        <v>-1.3624209999999999E-2</v>
      </c>
      <c r="O2731">
        <v>-5.8898499999999999E-2</v>
      </c>
      <c r="P2731">
        <v>0.99150780000000005</v>
      </c>
      <c r="Q2731">
        <v>-0.12782959999999999</v>
      </c>
      <c r="R2731">
        <v>-2.3918999999999999E-2</v>
      </c>
      <c r="S2731">
        <v>3.0022579999999999</v>
      </c>
      <c r="T2731">
        <v>-0.20005000000000001</v>
      </c>
      <c r="U2731">
        <v>8.1222530000000001E-2</v>
      </c>
      <c r="V2731">
        <v>-3.4250099999999999E-2</v>
      </c>
      <c r="W2731">
        <v>-0.1143966</v>
      </c>
      <c r="X2731">
        <v>0.99284459999999997</v>
      </c>
      <c r="Y2731">
        <v>-8.5568320000000003E-2</v>
      </c>
      <c r="Z2731">
        <v>6.5477699999999996E-3</v>
      </c>
      <c r="AA2731">
        <v>0.99631080000000005</v>
      </c>
      <c r="AB2731">
        <v>13</v>
      </c>
      <c r="AC2731">
        <v>16.656099999999999</v>
      </c>
      <c r="AD2731">
        <v>-1.122069331212</v>
      </c>
      <c r="AE2731">
        <v>0.461399999999969</v>
      </c>
      <c r="AF2731">
        <v>-1.43520074939903</v>
      </c>
      <c r="AG2731">
        <v>-1.122069331212</v>
      </c>
      <c r="AH2731">
        <v>16.525062855081501</v>
      </c>
      <c r="AI2731">
        <v>93.869958332835594</v>
      </c>
      <c r="AJ2731">
        <v>94.963679927238303</v>
      </c>
      <c r="AK2731">
        <v>16.6251779882056</v>
      </c>
      <c r="AL2731">
        <v>96.568822926017504</v>
      </c>
      <c r="AM2731">
        <v>91.975745544337798</v>
      </c>
      <c r="AN2731">
        <v>1.0000000255953601</v>
      </c>
    </row>
    <row r="2732" spans="1:40" x14ac:dyDescent="0.25">
      <c r="A2732" t="str">
        <f>"20190303154521531"</f>
        <v>20190303154521531</v>
      </c>
      <c r="B2732" t="str">
        <f>"1551599121523084"</f>
        <v>1551599121523084</v>
      </c>
      <c r="C2732" t="s">
        <v>40</v>
      </c>
      <c r="D2732">
        <v>4.5335150000000004</v>
      </c>
      <c r="E2732">
        <v>0.48049449999999999</v>
      </c>
      <c r="F2732" t="s">
        <v>55</v>
      </c>
      <c r="G2732">
        <v>-457.46690000000001</v>
      </c>
      <c r="H2732" s="1">
        <v>2.4525179999999999E-6</v>
      </c>
      <c r="I2732">
        <v>214.255</v>
      </c>
      <c r="J2732">
        <v>-474.36770000000001</v>
      </c>
      <c r="K2732">
        <v>1.12205</v>
      </c>
      <c r="L2732">
        <v>213.75020000000001</v>
      </c>
      <c r="M2732">
        <v>0.99840269999999998</v>
      </c>
      <c r="N2732">
        <v>-1.3617509999999999E-2</v>
      </c>
      <c r="O2732">
        <v>-5.4834319999999999E-2</v>
      </c>
      <c r="P2732">
        <v>0.99143669999999995</v>
      </c>
      <c r="Q2732">
        <v>-0.12876769999999901</v>
      </c>
      <c r="R2732">
        <v>-2.173276E-2</v>
      </c>
      <c r="S2732">
        <v>3.002319</v>
      </c>
      <c r="T2732">
        <v>-0.1974766</v>
      </c>
      <c r="U2732">
        <v>8.805847E-2</v>
      </c>
      <c r="V2732">
        <v>-3.239587E-2</v>
      </c>
      <c r="W2732">
        <v>-0.1153362</v>
      </c>
      <c r="X2732">
        <v>0.99279810000000002</v>
      </c>
      <c r="Y2732">
        <v>-8.3796350000000006E-2</v>
      </c>
      <c r="Z2732">
        <v>6.1790550000000001E-3</v>
      </c>
      <c r="AA2732">
        <v>0.99646369999999895</v>
      </c>
      <c r="AB2732">
        <v>13</v>
      </c>
      <c r="AC2732">
        <v>16.9008</v>
      </c>
      <c r="AD2732">
        <v>-1.122047547482</v>
      </c>
      <c r="AE2732">
        <v>0.50479999999998804</v>
      </c>
      <c r="AF2732">
        <v>-1.4245965568199901</v>
      </c>
      <c r="AG2732">
        <v>-1.122047547482</v>
      </c>
      <c r="AH2732">
        <v>16.773817173582</v>
      </c>
      <c r="AI2732">
        <v>93.813286313590993</v>
      </c>
      <c r="AJ2732">
        <v>94.854468291351907</v>
      </c>
      <c r="AK2732">
        <v>16.8715562003411</v>
      </c>
      <c r="AL2732">
        <v>96.623016927145997</v>
      </c>
      <c r="AM2732">
        <v>91.868948231284804</v>
      </c>
      <c r="AN2732">
        <v>0.999999999393553</v>
      </c>
    </row>
    <row r="2733" spans="1:40" x14ac:dyDescent="0.25">
      <c r="A2733" t="str">
        <f>"20190303154521567"</f>
        <v>20190303154521567</v>
      </c>
      <c r="B2733" t="str">
        <f>"1551599121563100"</f>
        <v>1551599121563100</v>
      </c>
      <c r="C2733" t="s">
        <v>40</v>
      </c>
      <c r="D2733">
        <v>4.4812390000000004</v>
      </c>
      <c r="E2733">
        <v>0.4810449</v>
      </c>
      <c r="F2733" t="s">
        <v>55</v>
      </c>
      <c r="G2733">
        <v>-457.09210000000002</v>
      </c>
      <c r="H2733" s="1">
        <v>2.2522939999999999E-6</v>
      </c>
      <c r="I2733">
        <v>214.27279999999999</v>
      </c>
      <c r="J2733">
        <v>-474.1728</v>
      </c>
      <c r="K2733">
        <v>1.122009</v>
      </c>
      <c r="L2733">
        <v>213.74549999999999</v>
      </c>
      <c r="M2733">
        <v>0.99865999999999999</v>
      </c>
      <c r="N2733">
        <v>-1.360949E-2</v>
      </c>
      <c r="O2733">
        <v>-4.9932459999999998E-2</v>
      </c>
      <c r="P2733">
        <v>0.99111769999999999</v>
      </c>
      <c r="Q2733">
        <v>-0.1317226</v>
      </c>
      <c r="R2733">
        <v>-1.830391E-2</v>
      </c>
      <c r="S2733">
        <v>3.0025629999999999</v>
      </c>
      <c r="T2733">
        <v>-0.19501640000000001</v>
      </c>
      <c r="U2733">
        <v>9.0835570000000004E-2</v>
      </c>
      <c r="V2733">
        <v>-3.0938739999999999E-2</v>
      </c>
      <c r="W2733">
        <v>-0.11829820000000001</v>
      </c>
      <c r="X2733">
        <v>0.99249600000000004</v>
      </c>
      <c r="Y2733">
        <v>-7.984629E-2</v>
      </c>
      <c r="Z2733">
        <v>5.6934709999999899E-3</v>
      </c>
      <c r="AA2733">
        <v>0.99679090000000004</v>
      </c>
      <c r="AB2733">
        <v>13</v>
      </c>
      <c r="AC2733">
        <v>17.080699999999901</v>
      </c>
      <c r="AD2733">
        <v>-1.1220067477060001</v>
      </c>
      <c r="AE2733">
        <v>0.52729999999999599</v>
      </c>
      <c r="AF2733">
        <v>-1.3736806028678901</v>
      </c>
      <c r="AG2733">
        <v>-1.1220067477060001</v>
      </c>
      <c r="AH2733">
        <v>16.959945427618401</v>
      </c>
      <c r="AI2733">
        <v>93.772641019757003</v>
      </c>
      <c r="AJ2733">
        <v>94.630596491352506</v>
      </c>
      <c r="AK2733">
        <v>17.052438137943501</v>
      </c>
      <c r="AL2733">
        <v>96.793897098646696</v>
      </c>
      <c r="AM2733">
        <v>91.785483644429206</v>
      </c>
      <c r="AN2733">
        <v>0.99999998988601302</v>
      </c>
    </row>
    <row r="2734" spans="1:40" x14ac:dyDescent="0.25">
      <c r="A2734" t="str">
        <f>"20190303154521599"</f>
        <v>20190303154521599</v>
      </c>
      <c r="B2734" t="str">
        <f>"1551599121593357"</f>
        <v>1551599121593357</v>
      </c>
      <c r="C2734" t="s">
        <v>40</v>
      </c>
      <c r="D2734">
        <v>4.3957759999999997</v>
      </c>
      <c r="E2734">
        <v>0.48149229999999998</v>
      </c>
      <c r="F2734" t="s">
        <v>55</v>
      </c>
      <c r="G2734">
        <v>-457.11529999999999</v>
      </c>
      <c r="H2734" s="1">
        <v>2.2635270000000001E-6</v>
      </c>
      <c r="I2734">
        <v>214.29849999999999</v>
      </c>
      <c r="J2734">
        <v>-473.9932</v>
      </c>
      <c r="K2734">
        <v>1.1219680000000001</v>
      </c>
      <c r="L2734">
        <v>213.74189999999999</v>
      </c>
      <c r="M2734">
        <v>0.99887040000000005</v>
      </c>
      <c r="N2734">
        <v>-1.3601469999999999E-2</v>
      </c>
      <c r="O2734">
        <v>-4.5527909999999998E-2</v>
      </c>
      <c r="P2734">
        <v>0.99089059999999995</v>
      </c>
      <c r="Q2734">
        <v>-0.13377269999999999</v>
      </c>
      <c r="R2734">
        <v>-1.5512980000000001E-2</v>
      </c>
      <c r="S2734">
        <v>3.0024410000000001</v>
      </c>
      <c r="T2734">
        <v>-0.1974947</v>
      </c>
      <c r="U2734">
        <v>9.7335820000000003E-2</v>
      </c>
      <c r="V2734">
        <v>-2.9351180000000001E-2</v>
      </c>
      <c r="W2734">
        <v>-0.1203531</v>
      </c>
      <c r="X2734">
        <v>0.99229719999999999</v>
      </c>
      <c r="Y2734">
        <v>-7.7612319999999999E-2</v>
      </c>
      <c r="Z2734">
        <v>5.4497089999999996E-3</v>
      </c>
      <c r="AA2734">
        <v>0.99696870000000004</v>
      </c>
      <c r="AB2734">
        <v>13</v>
      </c>
      <c r="AC2734">
        <v>16.8779</v>
      </c>
      <c r="AD2734">
        <v>-1.121965736473</v>
      </c>
      <c r="AE2734">
        <v>0.55660000000000298</v>
      </c>
      <c r="AF2734">
        <v>-1.3186884561443499</v>
      </c>
      <c r="AG2734">
        <v>-1.121965736473</v>
      </c>
      <c r="AH2734">
        <v>16.761065918937</v>
      </c>
      <c r="AI2734">
        <v>93.8178353228422</v>
      </c>
      <c r="AJ2734">
        <v>94.498518620317398</v>
      </c>
      <c r="AK2734">
        <v>16.850254511346101</v>
      </c>
      <c r="AL2734">
        <v>96.912481089088701</v>
      </c>
      <c r="AM2734">
        <v>91.694259084124198</v>
      </c>
      <c r="AN2734">
        <v>1.0000000467874199</v>
      </c>
    </row>
    <row r="2735" spans="1:40" x14ac:dyDescent="0.25">
      <c r="A2735" t="str">
        <f>"20190303154521632"</f>
        <v>20190303154521632</v>
      </c>
      <c r="B2735" t="str">
        <f>"1551599121623613"</f>
        <v>1551599121623613</v>
      </c>
      <c r="C2735" t="s">
        <v>40</v>
      </c>
      <c r="D2735">
        <v>4.3804499999999997</v>
      </c>
      <c r="E2735">
        <v>0.48199059999999999</v>
      </c>
      <c r="F2735" t="s">
        <v>55</v>
      </c>
      <c r="G2735">
        <v>-457.0061</v>
      </c>
      <c r="H2735" s="1">
        <v>2.204515E-6</v>
      </c>
      <c r="I2735">
        <v>214.3185</v>
      </c>
      <c r="J2735">
        <v>-473.8075</v>
      </c>
      <c r="K2735">
        <v>1.121929</v>
      </c>
      <c r="L2735">
        <v>213.7389</v>
      </c>
      <c r="M2735">
        <v>0.99906249999999996</v>
      </c>
      <c r="N2735">
        <v>-1.3592760000000001E-2</v>
      </c>
      <c r="O2735">
        <v>-4.1105139999999998E-2</v>
      </c>
      <c r="P2735">
        <v>0.99088019999999999</v>
      </c>
      <c r="Q2735">
        <v>-0.13410169999999999</v>
      </c>
      <c r="R2735">
        <v>-1.31725E-2</v>
      </c>
      <c r="S2735">
        <v>3.0024410000000001</v>
      </c>
      <c r="T2735">
        <v>-0.1983057</v>
      </c>
      <c r="U2735">
        <v>0.10189819999999999</v>
      </c>
      <c r="V2735">
        <v>-2.7314939999999999E-2</v>
      </c>
      <c r="W2735">
        <v>-0.1206832</v>
      </c>
      <c r="X2735">
        <v>0.99231519999999995</v>
      </c>
      <c r="Y2735">
        <v>-7.4722869999999997E-2</v>
      </c>
      <c r="Z2735">
        <v>5.1258909999999996E-3</v>
      </c>
      <c r="AA2735">
        <v>0.99719120000000006</v>
      </c>
      <c r="AB2735">
        <v>13</v>
      </c>
      <c r="AC2735">
        <v>16.801400000000001</v>
      </c>
      <c r="AD2735">
        <v>-1.1219267954850001</v>
      </c>
      <c r="AE2735">
        <v>0.579599999999999</v>
      </c>
      <c r="AF2735">
        <v>-1.2641674307356801</v>
      </c>
      <c r="AG2735">
        <v>-1.1219267954850001</v>
      </c>
      <c r="AH2735">
        <v>16.689042451437501</v>
      </c>
      <c r="AI2735">
        <v>93.834988904294093</v>
      </c>
      <c r="AJ2735">
        <v>94.331788408956996</v>
      </c>
      <c r="AK2735">
        <v>16.774414355596601</v>
      </c>
      <c r="AL2735">
        <v>96.931533631096102</v>
      </c>
      <c r="AM2735">
        <v>91.576752710305598</v>
      </c>
      <c r="AN2735">
        <v>0.99999999843024101</v>
      </c>
    </row>
    <row r="2736" spans="1:40" x14ac:dyDescent="0.25">
      <c r="A2736" t="str">
        <f>"20190303154521655"</f>
        <v>20190303154521655</v>
      </c>
      <c r="B2736" t="str">
        <f>"1551599121643132"</f>
        <v>1551599121643132</v>
      </c>
      <c r="C2736" t="s">
        <v>40</v>
      </c>
      <c r="D2736">
        <v>4.3711039999999999</v>
      </c>
      <c r="E2736">
        <v>0.4823191</v>
      </c>
      <c r="F2736" t="s">
        <v>55</v>
      </c>
      <c r="G2736">
        <v>-456.36</v>
      </c>
      <c r="H2736" s="1">
        <v>1.85947E-6</v>
      </c>
      <c r="I2736">
        <v>214.3466</v>
      </c>
      <c r="J2736">
        <v>-473.67649999999998</v>
      </c>
      <c r="K2736">
        <v>1.121893</v>
      </c>
      <c r="L2736">
        <v>213.7372</v>
      </c>
      <c r="M2736">
        <v>0.99918280000000004</v>
      </c>
      <c r="N2736">
        <v>-1.3586320000000001E-2</v>
      </c>
      <c r="O2736">
        <v>-3.807087E-2</v>
      </c>
      <c r="P2736">
        <v>0.99087539999999996</v>
      </c>
      <c r="Q2736">
        <v>-0.13429749999999999</v>
      </c>
      <c r="R2736">
        <v>-1.141372E-2</v>
      </c>
      <c r="S2736">
        <v>3.002869</v>
      </c>
      <c r="T2736">
        <v>-0.1930935</v>
      </c>
      <c r="U2736">
        <v>0.1045837</v>
      </c>
      <c r="V2736">
        <v>-2.6073160000000001E-2</v>
      </c>
      <c r="W2736">
        <v>-0.1208805</v>
      </c>
      <c r="X2736">
        <v>0.9923246</v>
      </c>
      <c r="Y2736">
        <v>-7.2602529999999998E-2</v>
      </c>
      <c r="Z2736">
        <v>4.7532290000000003E-3</v>
      </c>
      <c r="AA2736">
        <v>0.99734959999999995</v>
      </c>
      <c r="AB2736">
        <v>13</v>
      </c>
      <c r="AC2736">
        <v>17.316499999999898</v>
      </c>
      <c r="AD2736">
        <v>-1.1218911405299901</v>
      </c>
      <c r="AE2736">
        <v>0.60939999999999295</v>
      </c>
      <c r="AF2736">
        <v>-1.26297844272406</v>
      </c>
      <c r="AG2736">
        <v>-1.1218911405299901</v>
      </c>
      <c r="AH2736">
        <v>17.208599247212302</v>
      </c>
      <c r="AI2736">
        <v>93.720064368677399</v>
      </c>
      <c r="AJ2736">
        <v>94.197542462298301</v>
      </c>
      <c r="AK2736">
        <v>17.2913169634109</v>
      </c>
      <c r="AL2736">
        <v>96.942921388591003</v>
      </c>
      <c r="AM2736">
        <v>91.505090565565098</v>
      </c>
      <c r="AN2736">
        <v>1.00000000835889</v>
      </c>
    </row>
    <row r="2737" spans="1:40" x14ac:dyDescent="0.25">
      <c r="A2737" t="str">
        <f>"20190303154521678"</f>
        <v>20190303154521678</v>
      </c>
      <c r="B2737" t="str">
        <f>"1551599121673388"</f>
        <v>1551599121673388</v>
      </c>
      <c r="C2737" t="s">
        <v>40</v>
      </c>
      <c r="D2737">
        <v>4.3245639999999996</v>
      </c>
      <c r="E2737">
        <v>0.48279329999999998</v>
      </c>
      <c r="F2737" t="s">
        <v>55</v>
      </c>
      <c r="G2737">
        <v>-455.8725</v>
      </c>
      <c r="H2737" s="1">
        <v>1.598912E-6</v>
      </c>
      <c r="I2737">
        <v>214.37299999999999</v>
      </c>
      <c r="J2737">
        <v>-473.55149999999998</v>
      </c>
      <c r="K2737">
        <v>1.1218549999999901</v>
      </c>
      <c r="L2737">
        <v>213.73580000000001</v>
      </c>
      <c r="M2737">
        <v>0.99928649999999997</v>
      </c>
      <c r="N2737">
        <v>-1.3580149999999999E-2</v>
      </c>
      <c r="O2737">
        <v>-3.5243400000000001E-2</v>
      </c>
      <c r="P2737">
        <v>0.99093799999999999</v>
      </c>
      <c r="Q2737">
        <v>-0.13390489999999999</v>
      </c>
      <c r="R2737">
        <v>-1.0563690000000001E-2</v>
      </c>
      <c r="S2737">
        <v>3.003174</v>
      </c>
      <c r="T2737">
        <v>-0.18924079999999999</v>
      </c>
      <c r="U2737">
        <v>0.107254</v>
      </c>
      <c r="V2737">
        <v>-2.4131880000000001E-2</v>
      </c>
      <c r="W2737">
        <v>-0.1204867</v>
      </c>
      <c r="X2737">
        <v>0.99242160000000001</v>
      </c>
      <c r="Y2737">
        <v>-7.0679569999999997E-2</v>
      </c>
      <c r="Z2737">
        <v>4.4444519999999998E-3</v>
      </c>
      <c r="AA2737">
        <v>0.99748919999999996</v>
      </c>
      <c r="AB2737">
        <v>13</v>
      </c>
      <c r="AC2737">
        <v>17.678999999999899</v>
      </c>
      <c r="AD2737">
        <v>-1.1218534010879999</v>
      </c>
      <c r="AE2737">
        <v>0.63719999999997801</v>
      </c>
      <c r="AF2737">
        <v>-1.25488302384494</v>
      </c>
      <c r="AG2737">
        <v>-1.1218534010879999</v>
      </c>
      <c r="AH2737">
        <v>17.5748777045285</v>
      </c>
      <c r="AI2737">
        <v>93.643143915038493</v>
      </c>
      <c r="AJ2737">
        <v>94.084107283587798</v>
      </c>
      <c r="AK2737">
        <v>17.655299849795799</v>
      </c>
      <c r="AL2737">
        <v>96.920192155834997</v>
      </c>
      <c r="AM2737">
        <v>91.392938709072197</v>
      </c>
      <c r="AN2737">
        <v>1.00000001232789</v>
      </c>
    </row>
    <row r="2738" spans="1:40" x14ac:dyDescent="0.25">
      <c r="A2738" t="str">
        <f>"20190303154521722"</f>
        <v>20190303154521722</v>
      </c>
      <c r="B2738" t="str">
        <f>"1551599121713404"</f>
        <v>1551599121713404</v>
      </c>
      <c r="C2738" t="s">
        <v>40</v>
      </c>
      <c r="D2738">
        <v>4.3023930000000004</v>
      </c>
      <c r="E2738">
        <v>0.48334650000000001</v>
      </c>
      <c r="F2738" t="s">
        <v>55</v>
      </c>
      <c r="G2738">
        <v>-455.017</v>
      </c>
      <c r="H2738" s="1">
        <v>1.142974E-6</v>
      </c>
      <c r="I2738">
        <v>214.38820000000001</v>
      </c>
      <c r="J2738">
        <v>-473.31139999999999</v>
      </c>
      <c r="K2738">
        <v>1.121788</v>
      </c>
      <c r="L2738">
        <v>213.73390000000001</v>
      </c>
      <c r="M2738">
        <v>0.99945720000000005</v>
      </c>
      <c r="N2738">
        <v>-1.356752E-2</v>
      </c>
      <c r="O2738">
        <v>-3.002262E-2</v>
      </c>
      <c r="P2738">
        <v>0.99083010000000005</v>
      </c>
      <c r="Q2738">
        <v>-0.13467989999999999</v>
      </c>
      <c r="R2738">
        <v>-1.082704E-2</v>
      </c>
      <c r="S2738">
        <v>3.0039370000000001</v>
      </c>
      <c r="T2738">
        <v>-0.1818217</v>
      </c>
      <c r="U2738">
        <v>0.10572810000000001</v>
      </c>
      <c r="V2738">
        <v>-1.8707100000000001E-2</v>
      </c>
      <c r="W2738">
        <v>-0.1212603</v>
      </c>
      <c r="X2738">
        <v>0.99244449999999995</v>
      </c>
      <c r="Y2738">
        <v>-6.4987139999999999E-2</v>
      </c>
      <c r="Z2738">
        <v>3.8139549999999999E-3</v>
      </c>
      <c r="AA2738">
        <v>0.99787879999999995</v>
      </c>
      <c r="AB2738">
        <v>13</v>
      </c>
      <c r="AC2738">
        <v>18.2944</v>
      </c>
      <c r="AD2738">
        <v>-1.1217868570259999</v>
      </c>
      <c r="AE2738">
        <v>0.65430000000000599</v>
      </c>
      <c r="AF2738">
        <v>-1.19879965044333</v>
      </c>
      <c r="AG2738">
        <v>-1.1217868570259999</v>
      </c>
      <c r="AH2738">
        <v>18.198168964571099</v>
      </c>
      <c r="AI2738">
        <v>93.519801796203694</v>
      </c>
      <c r="AJ2738">
        <v>93.768899188096</v>
      </c>
      <c r="AK2738">
        <v>18.272079247244399</v>
      </c>
      <c r="AL2738">
        <v>96.964843290175395</v>
      </c>
      <c r="AM2738">
        <v>91.079869918279002</v>
      </c>
      <c r="AN2738">
        <v>1.00000005076337</v>
      </c>
    </row>
    <row r="2739" spans="1:40" x14ac:dyDescent="0.25">
      <c r="A2739" t="str">
        <f>"20190303154521744"</f>
        <v>20190303154521744</v>
      </c>
      <c r="B2739" t="str">
        <f>"1551599121732924"</f>
        <v>1551599121732924</v>
      </c>
      <c r="C2739" t="s">
        <v>40</v>
      </c>
      <c r="D2739">
        <v>4.3307869999999999</v>
      </c>
      <c r="E2739">
        <v>0.48359780000000002</v>
      </c>
      <c r="F2739" t="s">
        <v>55</v>
      </c>
      <c r="G2739">
        <v>-454.30099999999999</v>
      </c>
      <c r="H2739" s="1">
        <v>7.6260120000000002E-7</v>
      </c>
      <c r="I2739">
        <v>214.37360000000001</v>
      </c>
      <c r="J2739">
        <v>-473.18560000000002</v>
      </c>
      <c r="K2739">
        <v>1.1217600000000001</v>
      </c>
      <c r="L2739">
        <v>213.73330000000001</v>
      </c>
      <c r="M2739">
        <v>0.99953289999999995</v>
      </c>
      <c r="N2739">
        <v>-1.356106E-2</v>
      </c>
      <c r="O2739">
        <v>-2.7390100000000001E-2</v>
      </c>
      <c r="P2739">
        <v>0.99075959999999996</v>
      </c>
      <c r="Q2739">
        <v>-0.1351647</v>
      </c>
      <c r="R2739">
        <v>-1.122563E-2</v>
      </c>
      <c r="S2739">
        <v>3.004791</v>
      </c>
      <c r="T2739">
        <v>-0.17730989999999999</v>
      </c>
      <c r="U2739">
        <v>0.10112</v>
      </c>
      <c r="V2739">
        <v>-1.5703890000000002E-2</v>
      </c>
      <c r="W2739">
        <v>-0.1217452</v>
      </c>
      <c r="X2739">
        <v>0.99243709999999996</v>
      </c>
      <c r="Y2739">
        <v>-6.0840060000000001E-2</v>
      </c>
      <c r="Z2739">
        <v>3.449438E-3</v>
      </c>
      <c r="AA2739">
        <v>0.99814159999999996</v>
      </c>
      <c r="AB2739">
        <v>12</v>
      </c>
      <c r="AC2739">
        <v>18.884599999999999</v>
      </c>
      <c r="AD2739">
        <v>-1.1217592373987999</v>
      </c>
      <c r="AE2739">
        <v>0.64029999999999598</v>
      </c>
      <c r="AF2739">
        <v>-1.1532936796997699</v>
      </c>
      <c r="AG2739">
        <v>-1.1217592373987999</v>
      </c>
      <c r="AH2739">
        <v>18.793737516115801</v>
      </c>
      <c r="AI2739">
        <v>93.409415388147593</v>
      </c>
      <c r="AJ2739">
        <v>93.511600678858997</v>
      </c>
      <c r="AK2739">
        <v>18.862475975411702</v>
      </c>
      <c r="AL2739">
        <v>96.992834084902498</v>
      </c>
      <c r="AM2739">
        <v>90.906547663485497</v>
      </c>
      <c r="AN2739">
        <v>0.99999995167028899</v>
      </c>
    </row>
    <row r="2740" spans="1:40" x14ac:dyDescent="0.25">
      <c r="A2740" t="str">
        <f>"20190303154521766"</f>
        <v>20190303154521766</v>
      </c>
      <c r="B2740" t="str">
        <f>"1551599121753421"</f>
        <v>1551599121753421</v>
      </c>
      <c r="C2740" t="s">
        <v>40</v>
      </c>
      <c r="D2740">
        <v>4.3253469999999998</v>
      </c>
      <c r="E2740">
        <v>0.48384519999999998</v>
      </c>
      <c r="F2740" t="s">
        <v>55</v>
      </c>
      <c r="G2740">
        <v>-454.03660000000002</v>
      </c>
      <c r="H2740" s="1">
        <v>6.2253239999999997E-7</v>
      </c>
      <c r="I2740">
        <v>214.3586</v>
      </c>
      <c r="J2740">
        <v>-473.06549999999999</v>
      </c>
      <c r="K2740">
        <v>1.1217569999999999</v>
      </c>
      <c r="L2740">
        <v>213.7329</v>
      </c>
      <c r="M2740">
        <v>0.99959759999999998</v>
      </c>
      <c r="N2740">
        <v>-1.355525E-2</v>
      </c>
      <c r="O2740">
        <v>-2.4919920000000002E-2</v>
      </c>
      <c r="P2740">
        <v>0.99076560000000002</v>
      </c>
      <c r="Q2740">
        <v>-0.1350102</v>
      </c>
      <c r="R2740">
        <v>-1.2493829999999999E-2</v>
      </c>
      <c r="S2740">
        <v>3.0050349999999999</v>
      </c>
      <c r="T2740">
        <v>-0.1760362</v>
      </c>
      <c r="U2740">
        <v>9.8129270000000005E-2</v>
      </c>
      <c r="V2740">
        <v>-1.1993409999999999E-2</v>
      </c>
      <c r="W2740">
        <v>-0.1215885</v>
      </c>
      <c r="X2740">
        <v>0.9925081</v>
      </c>
      <c r="Y2740">
        <v>-5.7390040000000003E-2</v>
      </c>
      <c r="Z2740">
        <v>3.1893059999999998E-3</v>
      </c>
      <c r="AA2740">
        <v>0.99834670000000003</v>
      </c>
      <c r="AB2740">
        <v>12</v>
      </c>
      <c r="AC2740">
        <v>19.028899999999901</v>
      </c>
      <c r="AD2740">
        <v>-1.12175637746759</v>
      </c>
      <c r="AE2740">
        <v>0.62569999999999404</v>
      </c>
      <c r="AF2740">
        <v>-1.09594344414803</v>
      </c>
      <c r="AG2740">
        <v>-1.12175637746759</v>
      </c>
      <c r="AH2740">
        <v>18.941642299018401</v>
      </c>
      <c r="AI2740">
        <v>93.383549748411099</v>
      </c>
      <c r="AJ2740">
        <v>93.311381537266101</v>
      </c>
      <c r="AK2740">
        <v>19.0064526513267</v>
      </c>
      <c r="AL2740">
        <v>96.983788530289004</v>
      </c>
      <c r="AM2740">
        <v>90.692325161459195</v>
      </c>
      <c r="AN2740">
        <v>0.99999996689064297</v>
      </c>
    </row>
    <row r="2741" spans="1:40" x14ac:dyDescent="0.25">
      <c r="A2741" t="str">
        <f>"20190303154521788"</f>
        <v>20190303154521788</v>
      </c>
      <c r="B2741" t="str">
        <f>"1551599121783677"</f>
        <v>1551599121783677</v>
      </c>
      <c r="C2741" t="s">
        <v>40</v>
      </c>
      <c r="D2741">
        <v>4.3197229999999998</v>
      </c>
      <c r="E2741">
        <v>0.48420010000000002</v>
      </c>
      <c r="F2741" t="s">
        <v>55</v>
      </c>
      <c r="G2741">
        <v>-453.55529999999999</v>
      </c>
      <c r="H2741" s="1">
        <v>3.675206E-7</v>
      </c>
      <c r="I2741">
        <v>214.33359999999999</v>
      </c>
      <c r="J2741">
        <v>-472.93979999999999</v>
      </c>
      <c r="K2741">
        <v>1.1217520000000001</v>
      </c>
      <c r="L2741">
        <v>213.7328</v>
      </c>
      <c r="M2741">
        <v>0.99965749999999998</v>
      </c>
      <c r="N2741">
        <v>-1.354963E-2</v>
      </c>
      <c r="O2741">
        <v>-2.2395129999999999E-2</v>
      </c>
      <c r="P2741">
        <v>0.99094640000000001</v>
      </c>
      <c r="Q2741">
        <v>-0.13361339999999999</v>
      </c>
      <c r="R2741">
        <v>-1.3137360000000001E-2</v>
      </c>
      <c r="S2741">
        <v>3.0056150000000001</v>
      </c>
      <c r="T2741">
        <v>-0.17281070000000001</v>
      </c>
      <c r="U2741">
        <v>9.2544559999999998E-2</v>
      </c>
      <c r="V2741">
        <v>-8.8585529999999999E-3</v>
      </c>
      <c r="W2741">
        <v>-0.12018860000000001</v>
      </c>
      <c r="X2741">
        <v>0.99271149999999997</v>
      </c>
      <c r="Y2741">
        <v>-5.3025059999999999E-2</v>
      </c>
      <c r="Z2741">
        <v>2.865551E-3</v>
      </c>
      <c r="AA2741">
        <v>0.99858910000000001</v>
      </c>
      <c r="AB2741">
        <v>12</v>
      </c>
      <c r="AC2741">
        <v>19.384499999999999</v>
      </c>
      <c r="AD2741">
        <v>-1.1217516324793999</v>
      </c>
      <c r="AE2741">
        <v>0.60079999999999201</v>
      </c>
      <c r="AF2741">
        <v>-1.0313570349444301</v>
      </c>
      <c r="AG2741">
        <v>-1.1217516324793999</v>
      </c>
      <c r="AH2741">
        <v>19.301606756461599</v>
      </c>
      <c r="AI2741">
        <v>93.321390339536194</v>
      </c>
      <c r="AJ2741">
        <v>93.058619038941998</v>
      </c>
      <c r="AK2741">
        <v>19.3616643767932</v>
      </c>
      <c r="AL2741">
        <v>96.902987703493906</v>
      </c>
      <c r="AM2741">
        <v>90.5112706237189</v>
      </c>
      <c r="AN2741">
        <v>0.99999994788172997</v>
      </c>
    </row>
    <row r="2742" spans="1:40" x14ac:dyDescent="0.25">
      <c r="A2742" t="str">
        <f>"20190303154521811"</f>
        <v>20190303154521811</v>
      </c>
      <c r="B2742" t="str">
        <f>"1551599121803197"</f>
        <v>1551599121803197</v>
      </c>
      <c r="C2742" t="s">
        <v>40</v>
      </c>
      <c r="D2742">
        <v>4.3400980000000002</v>
      </c>
      <c r="E2742">
        <v>0.48441260000000003</v>
      </c>
      <c r="F2742" t="s">
        <v>55</v>
      </c>
      <c r="G2742">
        <v>-452.4092</v>
      </c>
      <c r="H2742" s="1">
        <v>-2.423729E-7</v>
      </c>
      <c r="I2742">
        <v>214.3331</v>
      </c>
      <c r="J2742">
        <v>-472.82310000000001</v>
      </c>
      <c r="K2742">
        <v>1.1217490000000001</v>
      </c>
      <c r="L2742">
        <v>213.733</v>
      </c>
      <c r="M2742">
        <v>0.99970610000000004</v>
      </c>
      <c r="N2742">
        <v>-1.354443E-2</v>
      </c>
      <c r="O2742">
        <v>-2.0111199999999999E-2</v>
      </c>
      <c r="P2742">
        <v>0.99115430000000004</v>
      </c>
      <c r="Q2742">
        <v>-0.1320431</v>
      </c>
      <c r="R2742">
        <v>-1.334669E-2</v>
      </c>
      <c r="S2742">
        <v>3.0064389999999999</v>
      </c>
      <c r="T2742">
        <v>-0.16426550000000001</v>
      </c>
      <c r="U2742">
        <v>8.7905880000000006E-2</v>
      </c>
      <c r="V2742">
        <v>-6.3977940000000001E-3</v>
      </c>
      <c r="W2742">
        <v>-0.1186161</v>
      </c>
      <c r="X2742">
        <v>0.99291960000000001</v>
      </c>
      <c r="Y2742">
        <v>-4.921673E-2</v>
      </c>
      <c r="Z2742">
        <v>2.502579E-3</v>
      </c>
      <c r="AA2742">
        <v>0.99878500000000003</v>
      </c>
      <c r="AB2742">
        <v>12</v>
      </c>
      <c r="AC2742">
        <v>20.413900000000002</v>
      </c>
      <c r="AD2742">
        <v>-1.1217492423729001</v>
      </c>
      <c r="AE2742">
        <v>0.60009999999999697</v>
      </c>
      <c r="AF2742">
        <v>-1.0075246292284701</v>
      </c>
      <c r="AG2742">
        <v>-1.1217492423729001</v>
      </c>
      <c r="AH2742">
        <v>20.336347453715199</v>
      </c>
      <c r="AI2742">
        <v>93.153365553223196</v>
      </c>
      <c r="AJ2742">
        <v>92.836288477214396</v>
      </c>
      <c r="AK2742">
        <v>20.392166510684799</v>
      </c>
      <c r="AL2742">
        <v>96.812240364227804</v>
      </c>
      <c r="AM2742">
        <v>90.369175431254405</v>
      </c>
      <c r="AN2742">
        <v>1.0000000215057101</v>
      </c>
    </row>
    <row r="2743" spans="1:40" x14ac:dyDescent="0.25">
      <c r="A2743" t="str">
        <f>"20190303154521834"</f>
        <v>20190303154521834</v>
      </c>
      <c r="B2743" t="str">
        <f>"1551599121823693"</f>
        <v>1551599121823693</v>
      </c>
      <c r="C2743" t="s">
        <v>40</v>
      </c>
      <c r="D2743">
        <v>4.3488389999999999</v>
      </c>
      <c r="E2743">
        <v>0.4845951</v>
      </c>
      <c r="F2743" t="s">
        <v>55</v>
      </c>
      <c r="G2743">
        <v>-451.3175</v>
      </c>
      <c r="H2743" s="1">
        <v>-8.2398580000000002E-7</v>
      </c>
      <c r="I2743">
        <v>214.34909999999999</v>
      </c>
      <c r="J2743">
        <v>-472.69150000000002</v>
      </c>
      <c r="K2743">
        <v>1.1217299999999999</v>
      </c>
      <c r="L2743">
        <v>213.73330000000001</v>
      </c>
      <c r="M2743">
        <v>0.99975340000000001</v>
      </c>
      <c r="N2743">
        <v>-1.353817E-2</v>
      </c>
      <c r="O2743">
        <v>-1.7610819999999999E-2</v>
      </c>
      <c r="P2743">
        <v>0.99136820000000003</v>
      </c>
      <c r="Q2743">
        <v>-0.1304583</v>
      </c>
      <c r="R2743">
        <v>-1.302885E-2</v>
      </c>
      <c r="S2743">
        <v>3.00705</v>
      </c>
      <c r="T2743">
        <v>-0.15685070000000001</v>
      </c>
      <c r="U2743">
        <v>8.6151119999999998E-2</v>
      </c>
      <c r="V2743">
        <v>-4.2509660000000001E-3</v>
      </c>
      <c r="W2743">
        <v>-0.1170307</v>
      </c>
      <c r="X2743">
        <v>0.99311919999999998</v>
      </c>
      <c r="Y2743">
        <v>-4.6146630000000001E-2</v>
      </c>
      <c r="Z2743">
        <v>2.1947329999999999E-3</v>
      </c>
      <c r="AA2743">
        <v>0.99893220000000005</v>
      </c>
      <c r="AB2743">
        <v>12</v>
      </c>
      <c r="AC2743">
        <v>21.373999999999999</v>
      </c>
      <c r="AD2743">
        <v>-1.1217308239857999</v>
      </c>
      <c r="AE2743">
        <v>0.61579999999997803</v>
      </c>
      <c r="AF2743">
        <v>-0.98942970433595601</v>
      </c>
      <c r="AG2743">
        <v>-1.1217308239857999</v>
      </c>
      <c r="AH2743">
        <v>21.301218385732099</v>
      </c>
      <c r="AI2743">
        <v>93.011193982222295</v>
      </c>
      <c r="AJ2743">
        <v>92.659445447419202</v>
      </c>
      <c r="AK2743">
        <v>21.353668441229399</v>
      </c>
      <c r="AL2743">
        <v>96.720766614110104</v>
      </c>
      <c r="AM2743">
        <v>90.245248428541501</v>
      </c>
      <c r="AN2743">
        <v>1.0000000004315299</v>
      </c>
    </row>
    <row r="2744" spans="1:40" x14ac:dyDescent="0.25">
      <c r="A2744" t="str">
        <f>"20190303154521856"</f>
        <v>20190303154521856</v>
      </c>
      <c r="B2744" t="str">
        <f>"1551599121843213"</f>
        <v>1551599121843213</v>
      </c>
      <c r="C2744" t="s">
        <v>40</v>
      </c>
      <c r="D2744">
        <v>4.3568579999999999</v>
      </c>
      <c r="E2744">
        <v>0.48477779999999998</v>
      </c>
      <c r="F2744" t="s">
        <v>55</v>
      </c>
      <c r="G2744">
        <v>-450.15190000000001</v>
      </c>
      <c r="H2744" s="1">
        <v>-1.4455669999999999E-6</v>
      </c>
      <c r="I2744">
        <v>214.37899999999999</v>
      </c>
      <c r="J2744">
        <v>-472.57470000000001</v>
      </c>
      <c r="K2744">
        <v>1.1217029999999999</v>
      </c>
      <c r="L2744">
        <v>213.73390000000001</v>
      </c>
      <c r="M2744">
        <v>0.99978909999999999</v>
      </c>
      <c r="N2744">
        <v>-1.353243E-2</v>
      </c>
      <c r="O2744">
        <v>-1.545592E-2</v>
      </c>
      <c r="P2744">
        <v>0.99135469999999903</v>
      </c>
      <c r="Q2744">
        <v>-0.1305114</v>
      </c>
      <c r="R2744">
        <v>-1.3531909999999999E-2</v>
      </c>
      <c r="S2744">
        <v>3.007568</v>
      </c>
      <c r="T2744">
        <v>-0.14967849999999999</v>
      </c>
      <c r="U2744">
        <v>8.6151119999999998E-2</v>
      </c>
      <c r="V2744">
        <v>-1.6203389999999999E-3</v>
      </c>
      <c r="W2744">
        <v>-0.1170853</v>
      </c>
      <c r="X2744">
        <v>0.99312060000000002</v>
      </c>
      <c r="Y2744">
        <v>-4.4001239999999997E-2</v>
      </c>
      <c r="Z2744">
        <v>1.9516030000000001E-3</v>
      </c>
      <c r="AA2744">
        <v>0.99902959999999996</v>
      </c>
      <c r="AB2744">
        <v>12</v>
      </c>
      <c r="AC2744">
        <v>22.422799999999899</v>
      </c>
      <c r="AD2744">
        <v>-1.121704445567</v>
      </c>
      <c r="AE2744">
        <v>0.645100000000013</v>
      </c>
      <c r="AF2744">
        <v>-0.98914631508879702</v>
      </c>
      <c r="AG2744">
        <v>-1.121704445567</v>
      </c>
      <c r="AH2744">
        <v>22.354253927850198</v>
      </c>
      <c r="AI2744">
        <v>92.869807411201194</v>
      </c>
      <c r="AJ2744">
        <v>92.533610139636195</v>
      </c>
      <c r="AK2744">
        <v>22.404225047224099</v>
      </c>
      <c r="AL2744">
        <v>96.723916220300396</v>
      </c>
      <c r="AM2744">
        <v>90.093481601027904</v>
      </c>
      <c r="AN2744">
        <v>1.00000005955946</v>
      </c>
    </row>
    <row r="2745" spans="1:40" x14ac:dyDescent="0.25">
      <c r="A2745" t="str">
        <f>"20190303154521903"</f>
        <v>20190303154521903</v>
      </c>
      <c r="B2745" t="str">
        <f>"1551599121892989"</f>
        <v>1551599121892989</v>
      </c>
      <c r="C2745" t="s">
        <v>40</v>
      </c>
      <c r="D2745">
        <v>4.3943539999999999</v>
      </c>
      <c r="E2745">
        <v>0.48527209999999898</v>
      </c>
      <c r="F2745" t="s">
        <v>55</v>
      </c>
      <c r="G2745">
        <v>-449.77510000000001</v>
      </c>
      <c r="H2745" s="1">
        <v>3.6760029999999999E-6</v>
      </c>
      <c r="I2745">
        <v>214.3656</v>
      </c>
      <c r="J2745">
        <v>-472.32119999999998</v>
      </c>
      <c r="K2745">
        <v>1.1216330000000001</v>
      </c>
      <c r="L2745">
        <v>213.73560000000001</v>
      </c>
      <c r="M2745">
        <v>0.99984830000000002</v>
      </c>
      <c r="N2745">
        <v>-1.35201E-2</v>
      </c>
      <c r="O2745">
        <v>-1.0982179999999999E-2</v>
      </c>
      <c r="P2745">
        <v>0.99127790000000005</v>
      </c>
      <c r="Q2745">
        <v>-0.13097</v>
      </c>
      <c r="R2745">
        <v>-1.467192E-2</v>
      </c>
      <c r="S2745">
        <v>3.0078429999999998</v>
      </c>
      <c r="T2745">
        <v>-0.14798059999999999</v>
      </c>
      <c r="U2745">
        <v>8.3343509999999996E-2</v>
      </c>
      <c r="V2745">
        <v>3.9382430000000001E-3</v>
      </c>
      <c r="W2745">
        <v>-0.1175494</v>
      </c>
      <c r="X2745">
        <v>0.99305920000000003</v>
      </c>
      <c r="Y2745">
        <v>-3.8608900000000002E-2</v>
      </c>
      <c r="Z2745">
        <v>1.6017469999999999E-3</v>
      </c>
      <c r="AA2745">
        <v>0.99925310000000001</v>
      </c>
      <c r="AB2745">
        <v>12</v>
      </c>
      <c r="AC2745">
        <v>22.5460999999999</v>
      </c>
      <c r="AD2745">
        <v>-1.1216293239970001</v>
      </c>
      <c r="AE2745">
        <v>0.62999999999999501</v>
      </c>
      <c r="AF2745">
        <v>-0.87542506898894701</v>
      </c>
      <c r="AG2745">
        <v>-1.1216293239970001</v>
      </c>
      <c r="AH2745">
        <v>22.482223069191999</v>
      </c>
      <c r="AI2745">
        <v>92.853936855060098</v>
      </c>
      <c r="AJ2745">
        <v>92.229887787683595</v>
      </c>
      <c r="AK2745">
        <v>22.527200792037402</v>
      </c>
      <c r="AL2745">
        <v>96.750692679010001</v>
      </c>
      <c r="AM2745">
        <v>89.772779387493401</v>
      </c>
      <c r="AN2745">
        <v>0.99999997295146303</v>
      </c>
    </row>
    <row r="2746" spans="1:40" x14ac:dyDescent="0.25">
      <c r="A2746" t="str">
        <f>"20190303154521923"</f>
        <v>20190303154521923</v>
      </c>
      <c r="B2746" t="str">
        <f>"1551599121913484"</f>
        <v>1551599121913484</v>
      </c>
      <c r="C2746" t="s">
        <v>40</v>
      </c>
      <c r="D2746">
        <v>4.3943960000000004</v>
      </c>
      <c r="E2746">
        <v>0.48544039999999999</v>
      </c>
      <c r="F2746" t="s">
        <v>55</v>
      </c>
      <c r="G2746">
        <v>-448.99360000000001</v>
      </c>
      <c r="H2746" s="1">
        <v>3.2621620000000001E-6</v>
      </c>
      <c r="I2746">
        <v>214.31899999999999</v>
      </c>
      <c r="J2746">
        <v>-472.21120000000002</v>
      </c>
      <c r="K2746">
        <v>1.121613</v>
      </c>
      <c r="L2746">
        <v>213.73660000000001</v>
      </c>
      <c r="M2746">
        <v>0.99986710000000001</v>
      </c>
      <c r="N2746">
        <v>-1.35151E-2</v>
      </c>
      <c r="O2746">
        <v>-9.1235599999999993E-3</v>
      </c>
      <c r="P2746">
        <v>0.99123170000000005</v>
      </c>
      <c r="Q2746">
        <v>-0.13122339999999999</v>
      </c>
      <c r="R2746">
        <v>-1.549885E-2</v>
      </c>
      <c r="S2746">
        <v>3.0084230000000001</v>
      </c>
      <c r="T2746">
        <v>-0.1446499</v>
      </c>
      <c r="U2746">
        <v>7.5241089999999997E-2</v>
      </c>
      <c r="V2746">
        <v>6.6035740000000001E-3</v>
      </c>
      <c r="W2746">
        <v>-0.1178051</v>
      </c>
      <c r="X2746">
        <v>0.99301479999999998</v>
      </c>
      <c r="Y2746">
        <v>-3.4066979999999997E-2</v>
      </c>
      <c r="Z2746">
        <v>1.363946E-3</v>
      </c>
      <c r="AA2746">
        <v>0.99941860000000005</v>
      </c>
      <c r="AB2746">
        <v>12</v>
      </c>
      <c r="AC2746">
        <v>23.217600000000001</v>
      </c>
      <c r="AD2746">
        <v>-1.1216097378380001</v>
      </c>
      <c r="AE2746">
        <v>0.58240000000000602</v>
      </c>
      <c r="AF2746">
        <v>-0.79237424145100199</v>
      </c>
      <c r="AG2746">
        <v>-1.1216097378380001</v>
      </c>
      <c r="AH2746">
        <v>23.157310734719601</v>
      </c>
      <c r="AI2746">
        <v>92.771298655369804</v>
      </c>
      <c r="AJ2746">
        <v>91.959726443442193</v>
      </c>
      <c r="AK2746">
        <v>23.197993572869301</v>
      </c>
      <c r="AL2746">
        <v>96.765445390043993</v>
      </c>
      <c r="AM2746">
        <v>89.618987206725606</v>
      </c>
      <c r="AN2746">
        <v>1.0000000208973101</v>
      </c>
    </row>
    <row r="2747" spans="1:40" x14ac:dyDescent="0.25">
      <c r="A2747" t="str">
        <f>"20190303154521947"</f>
        <v>20190303154521947</v>
      </c>
      <c r="B2747" t="str">
        <f>"1551599121943363"</f>
        <v>1551599121943363</v>
      </c>
      <c r="C2747" t="s">
        <v>40</v>
      </c>
      <c r="D2747">
        <v>4.4139249999999999</v>
      </c>
      <c r="E2747">
        <v>0.48569309999999899</v>
      </c>
      <c r="F2747" t="s">
        <v>55</v>
      </c>
      <c r="G2747">
        <v>-448.8193</v>
      </c>
      <c r="H2747" s="1">
        <v>3.1704519999999999E-6</v>
      </c>
      <c r="I2747">
        <v>214.2953</v>
      </c>
      <c r="J2747">
        <v>-472.08109999999999</v>
      </c>
      <c r="K2747">
        <v>1.1216029999999999</v>
      </c>
      <c r="L2747">
        <v>213.738</v>
      </c>
      <c r="M2747">
        <v>0.99988449999999995</v>
      </c>
      <c r="N2747">
        <v>-1.350969E-2</v>
      </c>
      <c r="O2747">
        <v>-6.9710500000000003E-3</v>
      </c>
      <c r="P2747">
        <v>0.99124000000000001</v>
      </c>
      <c r="Q2747">
        <v>-0.13122249999999999</v>
      </c>
      <c r="R2747">
        <v>-1.4963779999999999E-2</v>
      </c>
      <c r="S2747">
        <v>3.008575</v>
      </c>
      <c r="T2747">
        <v>-0.14425739999999901</v>
      </c>
      <c r="U2747">
        <v>7.1853639999999996E-2</v>
      </c>
      <c r="V2747">
        <v>8.200387E-3</v>
      </c>
      <c r="W2747">
        <v>-0.11780789999999999</v>
      </c>
      <c r="X2747">
        <v>0.99300250000000001</v>
      </c>
      <c r="Y2747">
        <v>-3.0795779999999998E-2</v>
      </c>
      <c r="Z2747">
        <v>1.185885E-3</v>
      </c>
      <c r="AA2747">
        <v>0.999525</v>
      </c>
      <c r="AB2747">
        <v>12</v>
      </c>
      <c r="AC2747">
        <v>23.261799999999901</v>
      </c>
      <c r="AD2747">
        <v>-1.1215998295479901</v>
      </c>
      <c r="AE2747">
        <v>0.55729999999999702</v>
      </c>
      <c r="AF2747">
        <v>-0.71779263629226497</v>
      </c>
      <c r="AG2747">
        <v>-1.1215998295479901</v>
      </c>
      <c r="AH2747">
        <v>23.203436503211101</v>
      </c>
      <c r="AI2747">
        <v>92.766068766242498</v>
      </c>
      <c r="AJ2747">
        <v>91.771865876744997</v>
      </c>
      <c r="AK2747">
        <v>23.2416152193626</v>
      </c>
      <c r="AL2747">
        <v>96.765607382081001</v>
      </c>
      <c r="AM2747">
        <v>89.526852263602507</v>
      </c>
      <c r="AN2747">
        <v>0.99999995632780303</v>
      </c>
    </row>
    <row r="2748" spans="1:40" x14ac:dyDescent="0.25">
      <c r="A2748" t="str">
        <f>"20190303154521967"</f>
        <v>20190303154521967</v>
      </c>
      <c r="B2748" t="str">
        <f>"1551599121963858"</f>
        <v>1551599121963858</v>
      </c>
      <c r="C2748" t="s">
        <v>40</v>
      </c>
      <c r="D2748">
        <v>4.4298120000000001</v>
      </c>
      <c r="E2748">
        <v>0.48584870000000002</v>
      </c>
      <c r="F2748" t="s">
        <v>55</v>
      </c>
      <c r="G2748">
        <v>-448.3064</v>
      </c>
      <c r="H2748" s="1">
        <v>2.8971370000000001E-6</v>
      </c>
      <c r="I2748">
        <v>214.303</v>
      </c>
      <c r="J2748">
        <v>-471.97250000000003</v>
      </c>
      <c r="K2748">
        <v>1.121594</v>
      </c>
      <c r="L2748">
        <v>213.73929999999999</v>
      </c>
      <c r="M2748">
        <v>0.99989519999999998</v>
      </c>
      <c r="N2748">
        <v>-1.3505390000000001E-2</v>
      </c>
      <c r="O2748">
        <v>-5.2126799999999999E-3</v>
      </c>
      <c r="P2748">
        <v>0.99132160000000002</v>
      </c>
      <c r="Q2748">
        <v>-0.13055439999999999</v>
      </c>
      <c r="R2748">
        <v>-1.540386E-2</v>
      </c>
      <c r="S2748">
        <v>3.0088200000000001</v>
      </c>
      <c r="T2748">
        <v>-0.14194479999999901</v>
      </c>
      <c r="U2748">
        <v>7.1502689999999994E-2</v>
      </c>
      <c r="V2748">
        <v>1.038176E-2</v>
      </c>
      <c r="W2748">
        <v>-0.1171406</v>
      </c>
      <c r="X2748">
        <v>0.99306110000000003</v>
      </c>
      <c r="Y2748">
        <v>-2.8924700000000001E-2</v>
      </c>
      <c r="Z2748">
        <v>1.0526820000000001E-3</v>
      </c>
      <c r="AA2748">
        <v>0.99958100000000005</v>
      </c>
      <c r="AB2748">
        <v>12</v>
      </c>
      <c r="AC2748">
        <v>23.6661</v>
      </c>
      <c r="AD2748">
        <v>-1.1215911028629999</v>
      </c>
      <c r="AE2748">
        <v>0.56370000000001097</v>
      </c>
      <c r="AF2748">
        <v>-0.68552855438085403</v>
      </c>
      <c r="AG2748">
        <v>-1.1215911028629999</v>
      </c>
      <c r="AH2748">
        <v>23.609841390869999</v>
      </c>
      <c r="AI2748">
        <v>92.718660771848803</v>
      </c>
      <c r="AJ2748">
        <v>91.6631564691085</v>
      </c>
      <c r="AK2748">
        <v>23.646406206925601</v>
      </c>
      <c r="AL2748">
        <v>96.727106866648896</v>
      </c>
      <c r="AM2748">
        <v>89.401034474953207</v>
      </c>
      <c r="AN2748">
        <v>1.00000002472113</v>
      </c>
    </row>
    <row r="2749" spans="1:40" x14ac:dyDescent="0.25">
      <c r="A2749" t="str">
        <f>"20190303154521991"</f>
        <v>20190303154521991</v>
      </c>
      <c r="B2749" t="str">
        <f>"1551599121983379"</f>
        <v>1551599121983379</v>
      </c>
      <c r="C2749" t="s">
        <v>40</v>
      </c>
      <c r="D2749">
        <v>4.4551339999999904</v>
      </c>
      <c r="E2749">
        <v>0.48596210000000001</v>
      </c>
      <c r="F2749" t="s">
        <v>55</v>
      </c>
      <c r="G2749">
        <v>-447.58569999999997</v>
      </c>
      <c r="H2749" s="1">
        <v>2.5139979999999999E-6</v>
      </c>
      <c r="I2749">
        <v>214.29470000000001</v>
      </c>
      <c r="J2749">
        <v>-471.84570000000002</v>
      </c>
      <c r="K2749">
        <v>1.121583</v>
      </c>
      <c r="L2749">
        <v>213.74109999999999</v>
      </c>
      <c r="M2749">
        <v>0.99990380000000001</v>
      </c>
      <c r="N2749">
        <v>-1.350052E-2</v>
      </c>
      <c r="O2749">
        <v>-3.2058099999999999E-3</v>
      </c>
      <c r="P2749">
        <v>0.99123539999999999</v>
      </c>
      <c r="Q2749">
        <v>-0.131131</v>
      </c>
      <c r="R2749">
        <v>-1.6046020000000001E-2</v>
      </c>
      <c r="S2749">
        <v>3.0090940000000002</v>
      </c>
      <c r="T2749">
        <v>-0.13839360000000001</v>
      </c>
      <c r="U2749">
        <v>6.852722E-2</v>
      </c>
      <c r="V2749">
        <v>1.3013220000000001E-2</v>
      </c>
      <c r="W2749">
        <v>-0.1177202</v>
      </c>
      <c r="X2749">
        <v>0.99296150000000005</v>
      </c>
      <c r="Y2749">
        <v>-2.5935469999999999E-2</v>
      </c>
      <c r="Z2749">
        <v>8.7532409999999995E-4</v>
      </c>
      <c r="AA2749">
        <v>0.99966319999999997</v>
      </c>
      <c r="AB2749">
        <v>12</v>
      </c>
      <c r="AC2749">
        <v>24.26</v>
      </c>
      <c r="AD2749">
        <v>-1.121580486002</v>
      </c>
      <c r="AE2749">
        <v>0.55360000000001697</v>
      </c>
      <c r="AF2749">
        <v>-0.63003128023676702</v>
      </c>
      <c r="AG2749">
        <v>-1.121580486002</v>
      </c>
      <c r="AH2749">
        <v>24.206389382409</v>
      </c>
      <c r="AI2749">
        <v>92.651952376121201</v>
      </c>
      <c r="AJ2749">
        <v>91.490928066349099</v>
      </c>
      <c r="AK2749">
        <v>24.240548036986802</v>
      </c>
      <c r="AL2749">
        <v>96.7605472737214</v>
      </c>
      <c r="AM2749">
        <v>89.249155277680401</v>
      </c>
      <c r="AN2749">
        <v>0.99999996493252796</v>
      </c>
    </row>
    <row r="2750" spans="1:40" x14ac:dyDescent="0.25">
      <c r="A2750" t="str">
        <f>"20190303154522012"</f>
        <v>20190303154522012</v>
      </c>
      <c r="B2750" t="str">
        <f>"1551599122003874"</f>
        <v>1551599122003874</v>
      </c>
      <c r="C2750" t="s">
        <v>40</v>
      </c>
      <c r="D2750">
        <v>4.4596780000000003</v>
      </c>
      <c r="E2750">
        <v>0.48595769999999999</v>
      </c>
      <c r="F2750" t="s">
        <v>55</v>
      </c>
      <c r="G2750">
        <v>-447.59469999999999</v>
      </c>
      <c r="H2750" s="1">
        <v>2.5197720000000001E-6</v>
      </c>
      <c r="I2750">
        <v>214.27260000000001</v>
      </c>
      <c r="J2750">
        <v>-471.73219999999998</v>
      </c>
      <c r="K2750">
        <v>1.1215660000000001</v>
      </c>
      <c r="L2750">
        <v>213.74279999999999</v>
      </c>
      <c r="M2750">
        <v>0.99990800000000002</v>
      </c>
      <c r="N2750">
        <v>-1.349639E-2</v>
      </c>
      <c r="O2750">
        <v>-1.448155E-3</v>
      </c>
      <c r="P2750">
        <v>0.99107999999999996</v>
      </c>
      <c r="Q2750">
        <v>-0.1321861</v>
      </c>
      <c r="R2750">
        <v>-1.6958540000000001E-2</v>
      </c>
      <c r="S2750">
        <v>3.0091549999999998</v>
      </c>
      <c r="T2750">
        <v>-0.13917009999999999</v>
      </c>
      <c r="U2750">
        <v>6.5948489999999999E-2</v>
      </c>
      <c r="V2750">
        <v>1.5667E-2</v>
      </c>
      <c r="W2750">
        <v>-0.11877890000000001</v>
      </c>
      <c r="X2750">
        <v>0.99279709999999999</v>
      </c>
      <c r="Y2750">
        <v>-2.3325619999999998E-2</v>
      </c>
      <c r="Z2750">
        <v>7.4397560000000001E-4</v>
      </c>
      <c r="AA2750">
        <v>0.9997277</v>
      </c>
      <c r="AB2750">
        <v>12</v>
      </c>
      <c r="AC2750">
        <v>24.1374999999999</v>
      </c>
      <c r="AD2750">
        <v>-1.1215634802279999</v>
      </c>
      <c r="AE2750">
        <v>0.52980000000002203</v>
      </c>
      <c r="AF2750">
        <v>-0.56354133587819</v>
      </c>
      <c r="AG2750">
        <v>-1.1215634802279999</v>
      </c>
      <c r="AH2750">
        <v>24.084732228636099</v>
      </c>
      <c r="AI2750">
        <v>92.665461161374097</v>
      </c>
      <c r="AJ2750">
        <v>91.340378183023901</v>
      </c>
      <c r="AK2750">
        <v>24.117417150319501</v>
      </c>
      <c r="AL2750">
        <v>96.821634800998098</v>
      </c>
      <c r="AM2750">
        <v>89.095909451429705</v>
      </c>
      <c r="AN2750">
        <v>0.99999998187130901</v>
      </c>
    </row>
    <row r="2751" spans="1:40" x14ac:dyDescent="0.25">
      <c r="A2751" t="str">
        <f>"20190303154522035"</f>
        <v>20190303154522035</v>
      </c>
      <c r="B2751" t="str">
        <f>"1551599122023394"</f>
        <v>1551599122023394</v>
      </c>
      <c r="C2751" t="s">
        <v>40</v>
      </c>
      <c r="D2751">
        <v>4.4755880000000001</v>
      </c>
      <c r="E2751">
        <v>0.48592920000000001</v>
      </c>
      <c r="F2751" t="s">
        <v>55</v>
      </c>
      <c r="G2751">
        <v>-447.91180000000003</v>
      </c>
      <c r="H2751" s="1">
        <v>2.6897400000000001E-6</v>
      </c>
      <c r="I2751">
        <v>214.2448</v>
      </c>
      <c r="J2751">
        <v>-471.60939999999999</v>
      </c>
      <c r="K2751">
        <v>1.121545</v>
      </c>
      <c r="L2751">
        <v>213.7449</v>
      </c>
      <c r="M2751">
        <v>0.99990900000000005</v>
      </c>
      <c r="N2751">
        <v>-1.3491879999999999E-2</v>
      </c>
      <c r="O2751">
        <v>4.1566550000000002E-4</v>
      </c>
      <c r="P2751">
        <v>0.99095540000000004</v>
      </c>
      <c r="Q2751">
        <v>-0.133021</v>
      </c>
      <c r="R2751">
        <v>-1.7688269999999999E-2</v>
      </c>
      <c r="S2751">
        <v>3.0091860000000001</v>
      </c>
      <c r="T2751">
        <v>-0.14168499999999901</v>
      </c>
      <c r="U2751">
        <v>6.3415529999999998E-2</v>
      </c>
      <c r="V2751">
        <v>1.8239999999999999E-2</v>
      </c>
      <c r="W2751">
        <v>-0.1196179</v>
      </c>
      <c r="X2751">
        <v>0.99265239999999999</v>
      </c>
      <c r="Y2751">
        <v>-2.0624529999999999E-2</v>
      </c>
      <c r="Z2751">
        <v>6.1052190000000003E-4</v>
      </c>
      <c r="AA2751">
        <v>0.99978710000000004</v>
      </c>
      <c r="AB2751">
        <v>12</v>
      </c>
      <c r="AC2751">
        <v>23.697599999999898</v>
      </c>
      <c r="AD2751">
        <v>-1.12154231026</v>
      </c>
      <c r="AE2751">
        <v>0.49989999999999601</v>
      </c>
      <c r="AF2751">
        <v>-0.48895408056322798</v>
      </c>
      <c r="AG2751">
        <v>-1.12154231026</v>
      </c>
      <c r="AH2751">
        <v>23.644867916008199</v>
      </c>
      <c r="AI2751">
        <v>92.715084300028096</v>
      </c>
      <c r="AJ2751">
        <v>91.184655081045307</v>
      </c>
      <c r="AK2751">
        <v>23.6765012620547</v>
      </c>
      <c r="AL2751">
        <v>96.870051276311997</v>
      </c>
      <c r="AM2751">
        <v>88.947307816858398</v>
      </c>
      <c r="AN2751">
        <v>0.99999996341308395</v>
      </c>
    </row>
    <row r="2752" spans="1:40" x14ac:dyDescent="0.25">
      <c r="A2752" t="str">
        <f>"20190303154522056"</f>
        <v>20190303154522056</v>
      </c>
      <c r="B2752" t="str">
        <f>"1551599122053618"</f>
        <v>1551599122053618</v>
      </c>
      <c r="C2752" t="s">
        <v>40</v>
      </c>
      <c r="D2752">
        <v>4.4928589999999904</v>
      </c>
      <c r="E2752">
        <v>0.48588049999999999</v>
      </c>
      <c r="F2752" t="s">
        <v>55</v>
      </c>
      <c r="G2752">
        <v>-448.06479999999999</v>
      </c>
      <c r="H2752" s="1">
        <v>2.771942E-6</v>
      </c>
      <c r="I2752">
        <v>214.227</v>
      </c>
      <c r="J2752">
        <v>-471.49439999999998</v>
      </c>
      <c r="K2752">
        <v>1.121529</v>
      </c>
      <c r="L2752">
        <v>213.74700000000001</v>
      </c>
      <c r="M2752">
        <v>0.99990679999999998</v>
      </c>
      <c r="N2752">
        <v>-1.3487529999999999E-2</v>
      </c>
      <c r="O2752">
        <v>2.11677E-3</v>
      </c>
      <c r="P2752">
        <v>0.9908768</v>
      </c>
      <c r="Q2752">
        <v>-0.1335191</v>
      </c>
      <c r="R2752">
        <v>-1.8327699999999999E-2</v>
      </c>
      <c r="S2752">
        <v>3.009277</v>
      </c>
      <c r="T2752">
        <v>-0.1433468</v>
      </c>
      <c r="U2752">
        <v>6.1614990000000001E-2</v>
      </c>
      <c r="V2752">
        <v>2.055947E-2</v>
      </c>
      <c r="W2752">
        <v>-0.1201202</v>
      </c>
      <c r="X2752">
        <v>0.99254640000000005</v>
      </c>
      <c r="Y2752">
        <v>-1.832872E-2</v>
      </c>
      <c r="Z2752">
        <v>4.8773689999999999E-4</v>
      </c>
      <c r="AA2752">
        <v>0.9998319</v>
      </c>
      <c r="AB2752">
        <v>12</v>
      </c>
      <c r="AC2752">
        <v>23.429599999999901</v>
      </c>
      <c r="AD2752">
        <v>-1.1215262280580001</v>
      </c>
      <c r="AE2752">
        <v>0.47999999999998899</v>
      </c>
      <c r="AF2752">
        <v>-0.42941581459733802</v>
      </c>
      <c r="AG2752">
        <v>-1.1215262280580001</v>
      </c>
      <c r="AH2752">
        <v>23.377021461071301</v>
      </c>
      <c r="AI2752">
        <v>92.746229814874894</v>
      </c>
      <c r="AJ2752">
        <v>91.052355926867406</v>
      </c>
      <c r="AK2752">
        <v>23.407848073102301</v>
      </c>
      <c r="AL2752">
        <v>96.8990400214728</v>
      </c>
      <c r="AM2752">
        <v>88.813352777888596</v>
      </c>
      <c r="AN2752">
        <v>0.999999955203839</v>
      </c>
    </row>
    <row r="2753" spans="1:40" x14ac:dyDescent="0.25">
      <c r="A2753" t="str">
        <f>"20190303154522083"</f>
        <v>20190303154522083</v>
      </c>
      <c r="B2753" t="str">
        <f>"1551599122073138"</f>
        <v>1551599122073138</v>
      </c>
      <c r="C2753" t="s">
        <v>40</v>
      </c>
      <c r="D2753">
        <v>4.5277419999999999</v>
      </c>
      <c r="E2753">
        <v>0.4858654</v>
      </c>
      <c r="F2753" t="s">
        <v>55</v>
      </c>
      <c r="G2753">
        <v>-448.04790000000003</v>
      </c>
      <c r="H2753" s="1">
        <v>2.7635209999999998E-6</v>
      </c>
      <c r="I2753">
        <v>214.21350000000001</v>
      </c>
      <c r="J2753">
        <v>-471.35820000000001</v>
      </c>
      <c r="K2753">
        <v>1.1215040000000001</v>
      </c>
      <c r="L2753">
        <v>213.74959999999999</v>
      </c>
      <c r="M2753">
        <v>0.99990089999999998</v>
      </c>
      <c r="N2753">
        <v>-1.348221E-2</v>
      </c>
      <c r="O2753">
        <v>4.0625669999999996E-3</v>
      </c>
      <c r="P2753">
        <v>0.99085400000000001</v>
      </c>
      <c r="Q2753">
        <v>-0.13371350000000001</v>
      </c>
      <c r="R2753">
        <v>-1.814501E-2</v>
      </c>
      <c r="S2753">
        <v>3.0093079999999999</v>
      </c>
      <c r="T2753">
        <v>-0.14394570000000001</v>
      </c>
      <c r="U2753">
        <v>5.9875490000000003E-2</v>
      </c>
      <c r="V2753">
        <v>2.2295679999999998E-2</v>
      </c>
      <c r="W2753">
        <v>-0.12032039999999999</v>
      </c>
      <c r="X2753">
        <v>0.9924847</v>
      </c>
      <c r="Y2753">
        <v>-1.5809759999999999E-2</v>
      </c>
      <c r="Z2753">
        <v>3.4508679999999998E-4</v>
      </c>
      <c r="AA2753">
        <v>0.99987490000000001</v>
      </c>
      <c r="AB2753">
        <v>12</v>
      </c>
      <c r="AC2753">
        <v>23.310299999999899</v>
      </c>
      <c r="AD2753">
        <v>-1.121501236479</v>
      </c>
      <c r="AE2753">
        <v>0.46390000000002302</v>
      </c>
      <c r="AF2753">
        <v>-0.36833564478837799</v>
      </c>
      <c r="AG2753">
        <v>-1.121501236479</v>
      </c>
      <c r="AH2753">
        <v>23.258176885108998</v>
      </c>
      <c r="AI2753">
        <v>92.760298760202801</v>
      </c>
      <c r="AJ2753">
        <v>90.907307306343995</v>
      </c>
      <c r="AK2753">
        <v>23.288113452782401</v>
      </c>
      <c r="AL2753">
        <v>96.910594211671494</v>
      </c>
      <c r="AM2753">
        <v>88.713094982152299</v>
      </c>
      <c r="AN2753">
        <v>0.99999998786845601</v>
      </c>
    </row>
    <row r="2754" spans="1:40" x14ac:dyDescent="0.25">
      <c r="A2754" t="str">
        <f>"20190303154522106"</f>
        <v>20190303154522106</v>
      </c>
      <c r="B2754" t="str">
        <f>"1551599122093634"</f>
        <v>1551599122093634</v>
      </c>
      <c r="C2754" t="s">
        <v>40</v>
      </c>
      <c r="D2754">
        <v>4.5166890000000004</v>
      </c>
      <c r="E2754">
        <v>0.48583730000000003</v>
      </c>
      <c r="F2754" t="s">
        <v>55</v>
      </c>
      <c r="G2754">
        <v>-447.94349999999997</v>
      </c>
      <c r="H2754" s="1">
        <v>2.7074699999999999E-6</v>
      </c>
      <c r="I2754">
        <v>214.22409999999999</v>
      </c>
      <c r="J2754">
        <v>-471.23520000000002</v>
      </c>
      <c r="K2754">
        <v>1.121478</v>
      </c>
      <c r="L2754">
        <v>213.75219999999999</v>
      </c>
      <c r="M2754">
        <v>0.99989280000000003</v>
      </c>
      <c r="N2754">
        <v>-1.347712E-2</v>
      </c>
      <c r="O2754">
        <v>5.7332629999999997E-3</v>
      </c>
      <c r="P2754">
        <v>0.99096110000000004</v>
      </c>
      <c r="Q2754">
        <v>-0.13309299999999999</v>
      </c>
      <c r="R2754">
        <v>-1.6807949999999999E-2</v>
      </c>
      <c r="S2754">
        <v>3.009369</v>
      </c>
      <c r="T2754">
        <v>-0.1441404</v>
      </c>
      <c r="U2754">
        <v>6.097412E-2</v>
      </c>
      <c r="V2754">
        <v>2.2604280000000001E-2</v>
      </c>
      <c r="W2754">
        <v>-0.1197056</v>
      </c>
      <c r="X2754">
        <v>0.99255210000000005</v>
      </c>
      <c r="Y2754">
        <v>-1.4506420000000001E-2</v>
      </c>
      <c r="Z2754">
        <v>2.4782880000000001E-4</v>
      </c>
      <c r="AA2754">
        <v>0.99989470000000003</v>
      </c>
      <c r="AB2754">
        <v>12</v>
      </c>
      <c r="AC2754">
        <v>23.291699999999999</v>
      </c>
      <c r="AD2754">
        <v>-1.12147529253</v>
      </c>
      <c r="AE2754">
        <v>0.47190000000000498</v>
      </c>
      <c r="AF2754">
        <v>-0.33756042100461597</v>
      </c>
      <c r="AG2754">
        <v>-1.12147529253</v>
      </c>
      <c r="AH2754">
        <v>23.240166407429101</v>
      </c>
      <c r="AI2754">
        <v>92.762425716648707</v>
      </c>
      <c r="AJ2754">
        <v>90.832155293837303</v>
      </c>
      <c r="AK2754">
        <v>23.269658109103698</v>
      </c>
      <c r="AL2754">
        <v>96.875112038578806</v>
      </c>
      <c r="AM2754">
        <v>88.695377294512397</v>
      </c>
      <c r="AN2754">
        <v>1.00000002768004</v>
      </c>
    </row>
    <row r="2755" spans="1:40" x14ac:dyDescent="0.25">
      <c r="A2755" t="str">
        <f>"20190303154522147"</f>
        <v>20190303154522147</v>
      </c>
      <c r="B2755" t="str">
        <f>"1551599122143396"</f>
        <v>1551599122143396</v>
      </c>
      <c r="C2755" t="s">
        <v>40</v>
      </c>
      <c r="D2755">
        <v>4.5485519999999999</v>
      </c>
      <c r="E2755">
        <v>0.485792</v>
      </c>
      <c r="F2755" t="s">
        <v>55</v>
      </c>
      <c r="G2755">
        <v>-447.43490000000003</v>
      </c>
      <c r="H2755" s="1">
        <v>2.4348069999999999E-6</v>
      </c>
      <c r="I2755">
        <v>214.2704</v>
      </c>
      <c r="J2755">
        <v>-471.01960000000003</v>
      </c>
      <c r="K2755">
        <v>1.121432</v>
      </c>
      <c r="L2755">
        <v>213.7569</v>
      </c>
      <c r="M2755">
        <v>0.99987320000000002</v>
      </c>
      <c r="N2755">
        <v>-1.3468269999999999E-2</v>
      </c>
      <c r="O2755">
        <v>8.4941879999999997E-3</v>
      </c>
      <c r="P2755">
        <v>0.99112469999999997</v>
      </c>
      <c r="Q2755">
        <v>-0.13222039999999999</v>
      </c>
      <c r="R2755">
        <v>-1.3779609999999999E-2</v>
      </c>
      <c r="S2755">
        <v>3.00943</v>
      </c>
      <c r="T2755">
        <v>-0.14180479999999901</v>
      </c>
      <c r="U2755">
        <v>6.5536499999999998E-2</v>
      </c>
      <c r="V2755">
        <v>2.2296440000000001E-2</v>
      </c>
      <c r="W2755">
        <v>-0.1188434</v>
      </c>
      <c r="X2755">
        <v>0.99266270000000001</v>
      </c>
      <c r="Y2755">
        <v>-1.326404E-2</v>
      </c>
      <c r="Z2755">
        <v>1.160784E-4</v>
      </c>
      <c r="AA2755">
        <v>0.99991200000000002</v>
      </c>
      <c r="AB2755">
        <v>12</v>
      </c>
      <c r="AC2755">
        <v>23.584700000000002</v>
      </c>
      <c r="AD2755">
        <v>-1.121429565193</v>
      </c>
      <c r="AE2755">
        <v>0.51349999999999296</v>
      </c>
      <c r="AF2755">
        <v>-0.312424391046766</v>
      </c>
      <c r="AG2755">
        <v>-1.121429565193</v>
      </c>
      <c r="AH2755">
        <v>23.535025794164898</v>
      </c>
      <c r="AI2755">
        <v>92.727805432561297</v>
      </c>
      <c r="AJ2755">
        <v>90.760549310529498</v>
      </c>
      <c r="AK2755">
        <v>23.563799617248002</v>
      </c>
      <c r="AL2755">
        <v>96.825356202849306</v>
      </c>
      <c r="AM2755">
        <v>88.713281822299393</v>
      </c>
      <c r="AN2755">
        <v>1.00000006046576</v>
      </c>
    </row>
    <row r="2756" spans="1:40" x14ac:dyDescent="0.25">
      <c r="A2756" t="str">
        <f>"20190303154522169"</f>
        <v>20190303154522169</v>
      </c>
      <c r="B2756" t="str">
        <f>"1551599122163892"</f>
        <v>1551599122163892</v>
      </c>
      <c r="C2756" t="s">
        <v>40</v>
      </c>
      <c r="D2756">
        <v>4.5221910000000003</v>
      </c>
      <c r="E2756">
        <v>0.48576320000000001</v>
      </c>
      <c r="F2756" t="s">
        <v>55</v>
      </c>
      <c r="G2756">
        <v>-446.49869999999999</v>
      </c>
      <c r="H2756" s="1">
        <v>1.9322669999999998E-6</v>
      </c>
      <c r="I2756">
        <v>214.37049999999999</v>
      </c>
      <c r="J2756">
        <v>-470.89580000000001</v>
      </c>
      <c r="K2756">
        <v>1.1214090000000001</v>
      </c>
      <c r="L2756">
        <v>213.75970000000001</v>
      </c>
      <c r="M2756">
        <v>0.99985970000000002</v>
      </c>
      <c r="N2756">
        <v>-1.346317E-2</v>
      </c>
      <c r="O2756">
        <v>9.9647659999999999E-3</v>
      </c>
      <c r="P2756">
        <v>0.99109769999999997</v>
      </c>
      <c r="Q2756">
        <v>-0.13266269999999999</v>
      </c>
      <c r="R2756">
        <v>-1.121087E-2</v>
      </c>
      <c r="S2756">
        <v>3.0095830000000001</v>
      </c>
      <c r="T2756">
        <v>-0.1376395</v>
      </c>
      <c r="U2756">
        <v>7.5317380000000003E-2</v>
      </c>
      <c r="V2756">
        <v>2.1176259999999999E-2</v>
      </c>
      <c r="W2756">
        <v>-0.11929380000000001</v>
      </c>
      <c r="X2756">
        <v>0.99263319999999999</v>
      </c>
      <c r="Y2756">
        <v>-1.503907E-2</v>
      </c>
      <c r="Z2756">
        <v>1.236907E-4</v>
      </c>
      <c r="AA2756">
        <v>0.99988690000000002</v>
      </c>
      <c r="AB2756">
        <v>12</v>
      </c>
      <c r="AC2756">
        <v>24.397099999999998</v>
      </c>
      <c r="AD2756">
        <v>-1.1214070677329999</v>
      </c>
      <c r="AE2756">
        <v>0.61079999999998302</v>
      </c>
      <c r="AF2756">
        <v>-0.366861631864563</v>
      </c>
      <c r="AG2756">
        <v>-1.1214070677329999</v>
      </c>
      <c r="AH2756">
        <v>24.350560842386699</v>
      </c>
      <c r="AI2756">
        <v>92.636458857183399</v>
      </c>
      <c r="AJ2756">
        <v>90.863143694409004</v>
      </c>
      <c r="AK2756">
        <v>24.379129488299402</v>
      </c>
      <c r="AL2756">
        <v>96.851347141505997</v>
      </c>
      <c r="AM2756">
        <v>88.777870507485403</v>
      </c>
      <c r="AN2756">
        <v>1.0000000572241301</v>
      </c>
    </row>
    <row r="2757" spans="1:40" x14ac:dyDescent="0.25">
      <c r="A2757" t="str">
        <f>"20190303154522190"</f>
        <v>20190303154522190</v>
      </c>
      <c r="B2757" t="str">
        <f>"1551599122183412"</f>
        <v>1551599122183412</v>
      </c>
      <c r="C2757" t="s">
        <v>40</v>
      </c>
      <c r="D2757">
        <v>4.5675610000000004</v>
      </c>
      <c r="E2757">
        <v>0.48574899999999999</v>
      </c>
      <c r="F2757" t="s">
        <v>55</v>
      </c>
      <c r="G2757">
        <v>-446.57839999999999</v>
      </c>
      <c r="H2757" s="1">
        <v>1.9718759999999999E-6</v>
      </c>
      <c r="I2757">
        <v>214.43430000000001</v>
      </c>
      <c r="J2757">
        <v>-470.78640000000001</v>
      </c>
      <c r="K2757">
        <v>1.1213799999999901</v>
      </c>
      <c r="L2757">
        <v>213.76230000000001</v>
      </c>
      <c r="M2757">
        <v>0.99984689999999998</v>
      </c>
      <c r="N2757">
        <v>-1.345874E-2</v>
      </c>
      <c r="O2757">
        <v>1.119466E-2</v>
      </c>
      <c r="P2757">
        <v>0.99118810000000002</v>
      </c>
      <c r="Q2757">
        <v>-0.13216929999999999</v>
      </c>
      <c r="R2757">
        <v>-8.8313609999999994E-3</v>
      </c>
      <c r="S2757">
        <v>3.0093380000000001</v>
      </c>
      <c r="T2757">
        <v>-0.13877690000000001</v>
      </c>
      <c r="U2757">
        <v>8.3480830000000006E-2</v>
      </c>
      <c r="V2757">
        <v>2.0008060000000001E-2</v>
      </c>
      <c r="W2757">
        <v>-0.1188058</v>
      </c>
      <c r="X2757">
        <v>0.99271589999999998</v>
      </c>
      <c r="Y2757">
        <v>-1.6520110000000001E-2</v>
      </c>
      <c r="Z2757">
        <v>1.266634E-4</v>
      </c>
      <c r="AA2757">
        <v>0.99986350000000002</v>
      </c>
      <c r="AB2757">
        <v>12</v>
      </c>
      <c r="AC2757">
        <v>24.207999999999998</v>
      </c>
      <c r="AD2757">
        <v>-1.12137802812399</v>
      </c>
      <c r="AE2757">
        <v>0.67199999999999704</v>
      </c>
      <c r="AF2757">
        <v>-0.40007523023821201</v>
      </c>
      <c r="AG2757">
        <v>-1.12137802812399</v>
      </c>
      <c r="AH2757">
        <v>24.162199321521602</v>
      </c>
      <c r="AI2757">
        <v>92.656851306720199</v>
      </c>
      <c r="AJ2757">
        <v>90.948610983935396</v>
      </c>
      <c r="AK2757">
        <v>24.1915155565903</v>
      </c>
      <c r="AL2757">
        <v>96.823186928978799</v>
      </c>
      <c r="AM2757">
        <v>88.845367334814995</v>
      </c>
      <c r="AN2757">
        <v>0.99999999934570605</v>
      </c>
    </row>
    <row r="2758" spans="1:40" x14ac:dyDescent="0.25">
      <c r="A2758" t="str">
        <f>"20190303154522213"</f>
        <v>20190303154522213</v>
      </c>
      <c r="B2758" t="str">
        <f>"1551599122203907"</f>
        <v>1551599122203907</v>
      </c>
      <c r="C2758" t="s">
        <v>40</v>
      </c>
      <c r="D2758">
        <v>4.57294</v>
      </c>
      <c r="E2758">
        <v>0.48574339999999999</v>
      </c>
      <c r="F2758" t="s">
        <v>55</v>
      </c>
      <c r="G2758">
        <v>-446.19470000000001</v>
      </c>
      <c r="H2758" s="1">
        <v>1.7645849999999901E-6</v>
      </c>
      <c r="I2758">
        <v>214.50489999999999</v>
      </c>
      <c r="J2758">
        <v>-470.66520000000003</v>
      </c>
      <c r="K2758">
        <v>1.1213390000000001</v>
      </c>
      <c r="L2758">
        <v>213.76519999999999</v>
      </c>
      <c r="M2758">
        <v>0.9998319</v>
      </c>
      <c r="N2758">
        <v>-1.3444569999999999E-2</v>
      </c>
      <c r="O2758">
        <v>1.2467209999999999E-2</v>
      </c>
      <c r="P2758">
        <v>0.99120540000000001</v>
      </c>
      <c r="Q2758">
        <v>-0.13220190000000001</v>
      </c>
      <c r="R2758">
        <v>-5.8796019999999899E-3</v>
      </c>
      <c r="S2758">
        <v>3.0091860000000001</v>
      </c>
      <c r="T2758">
        <v>-0.13721849999999999</v>
      </c>
      <c r="U2758">
        <v>9.0866089999999997E-2</v>
      </c>
      <c r="V2758">
        <v>1.8307609999999998E-2</v>
      </c>
      <c r="W2758">
        <v>-0.1188549</v>
      </c>
      <c r="X2758">
        <v>0.99274280000000004</v>
      </c>
      <c r="Y2758">
        <v>-1.7700110000000002E-2</v>
      </c>
      <c r="Z2758">
        <v>1.2185210000000001E-4</v>
      </c>
      <c r="AA2758">
        <v>0.99984340000000005</v>
      </c>
      <c r="AB2758">
        <v>12</v>
      </c>
      <c r="AC2758">
        <v>24.470500000000001</v>
      </c>
      <c r="AD2758">
        <v>-1.121337235415</v>
      </c>
      <c r="AE2758">
        <v>0.73969999999999902</v>
      </c>
      <c r="AF2758">
        <v>-0.43362634906048902</v>
      </c>
      <c r="AG2758">
        <v>-1.121337235415</v>
      </c>
      <c r="AH2758">
        <v>24.426575524171</v>
      </c>
      <c r="AI2758">
        <v>92.627986716861599</v>
      </c>
      <c r="AJ2758">
        <v>91.017021410129701</v>
      </c>
      <c r="AK2758">
        <v>24.456144848363898</v>
      </c>
      <c r="AL2758">
        <v>96.826020487168194</v>
      </c>
      <c r="AM2758">
        <v>88.943502890166897</v>
      </c>
      <c r="AN2758">
        <v>0.99999996139488001</v>
      </c>
    </row>
    <row r="2759" spans="1:40" x14ac:dyDescent="0.25">
      <c r="A2759" t="str">
        <f>"20190303154522236"</f>
        <v>20190303154522236</v>
      </c>
      <c r="B2759" t="str">
        <f>"1551599122223428"</f>
        <v>1551599122223428</v>
      </c>
      <c r="C2759" t="s">
        <v>40</v>
      </c>
      <c r="D2759">
        <v>4.5584350000000002</v>
      </c>
      <c r="E2759">
        <v>0.48576459999999999</v>
      </c>
      <c r="F2759" t="s">
        <v>55</v>
      </c>
      <c r="G2759">
        <v>-446.0575</v>
      </c>
      <c r="H2759" s="1">
        <v>1.688271E-6</v>
      </c>
      <c r="I2759">
        <v>214.58109999999999</v>
      </c>
      <c r="J2759">
        <v>-470.55200000000002</v>
      </c>
      <c r="K2759">
        <v>1.1212799999999901</v>
      </c>
      <c r="L2759">
        <v>213.768</v>
      </c>
      <c r="M2759">
        <v>0.9998184</v>
      </c>
      <c r="N2759">
        <v>-1.3386459999999999E-2</v>
      </c>
      <c r="O2759">
        <v>1.3561449999999999E-2</v>
      </c>
      <c r="P2759">
        <v>0.99134599999999995</v>
      </c>
      <c r="Q2759">
        <v>-0.131235299999999</v>
      </c>
      <c r="R2759">
        <v>-3.2471240000000001E-3</v>
      </c>
      <c r="S2759">
        <v>3.0089109999999999</v>
      </c>
      <c r="T2759">
        <v>-0.13711209999999999</v>
      </c>
      <c r="U2759">
        <v>9.9761959999999997E-2</v>
      </c>
      <c r="V2759">
        <v>1.6750049999999999E-2</v>
      </c>
      <c r="W2759">
        <v>-0.1179466</v>
      </c>
      <c r="X2759">
        <v>0.9928787</v>
      </c>
      <c r="Y2759">
        <v>-1.9559799999999999E-2</v>
      </c>
      <c r="Z2759">
        <v>1.403593E-4</v>
      </c>
      <c r="AA2759">
        <v>0.99980869999999999</v>
      </c>
      <c r="AB2759">
        <v>12</v>
      </c>
      <c r="AC2759">
        <v>24.494499999999899</v>
      </c>
      <c r="AD2759">
        <v>-1.12127831172899</v>
      </c>
      <c r="AE2759">
        <v>0.81309999999999105</v>
      </c>
      <c r="AF2759">
        <v>-0.47981015976569702</v>
      </c>
      <c r="AG2759">
        <v>-1.12127831172899</v>
      </c>
      <c r="AH2759">
        <v>24.452091671721501</v>
      </c>
      <c r="AI2759">
        <v>92.625018867361803</v>
      </c>
      <c r="AJ2759">
        <v>91.124139803957107</v>
      </c>
      <c r="AK2759">
        <v>24.482489047563</v>
      </c>
      <c r="AL2759">
        <v>96.773609539572703</v>
      </c>
      <c r="AM2759">
        <v>89.033501129671905</v>
      </c>
      <c r="AN2759">
        <v>1.00000003877012</v>
      </c>
    </row>
    <row r="2760" spans="1:40" x14ac:dyDescent="0.25">
      <c r="A2760" t="str">
        <f>"20190303154522258"</f>
        <v>20190303154522258</v>
      </c>
      <c r="B2760" t="str">
        <f>"1551599122253685"</f>
        <v>1551599122253685</v>
      </c>
      <c r="C2760" t="s">
        <v>40</v>
      </c>
      <c r="D2760">
        <v>4.5845320000000003</v>
      </c>
      <c r="E2760">
        <v>0.48580649999999997</v>
      </c>
      <c r="F2760" t="s">
        <v>55</v>
      </c>
      <c r="G2760">
        <v>-445.36559999999997</v>
      </c>
      <c r="H2760" s="1">
        <v>1.316153E-6</v>
      </c>
      <c r="I2760">
        <v>214.67019999999999</v>
      </c>
      <c r="J2760">
        <v>-470.43340000000001</v>
      </c>
      <c r="K2760">
        <v>1.1212059999999999</v>
      </c>
      <c r="L2760">
        <v>213.77090000000001</v>
      </c>
      <c r="M2760">
        <v>0.99980559999999996</v>
      </c>
      <c r="N2760">
        <v>-1.322596E-2</v>
      </c>
      <c r="O2760">
        <v>1.462397E-2</v>
      </c>
      <c r="P2760">
        <v>0.99134409999999895</v>
      </c>
      <c r="Q2760">
        <v>-0.13128580000000001</v>
      </c>
      <c r="R2760">
        <v>-1.1781109999999999E-3</v>
      </c>
      <c r="S2760">
        <v>3.0087890000000002</v>
      </c>
      <c r="T2760">
        <v>-0.13394879999999901</v>
      </c>
      <c r="U2760">
        <v>0.1077728</v>
      </c>
      <c r="V2760">
        <v>1.5723979999999999E-2</v>
      </c>
      <c r="W2760">
        <v>-0.1181581</v>
      </c>
      <c r="X2760">
        <v>0.99287029999999998</v>
      </c>
      <c r="Y2760">
        <v>-2.1156660000000001E-2</v>
      </c>
      <c r="Z2760">
        <v>1.53461E-4</v>
      </c>
      <c r="AA2760">
        <v>0.9997762</v>
      </c>
      <c r="AB2760">
        <v>12</v>
      </c>
      <c r="AC2760">
        <v>25.067799999999998</v>
      </c>
      <c r="AD2760">
        <v>-1.121204683847</v>
      </c>
      <c r="AE2760">
        <v>0.899299999999982</v>
      </c>
      <c r="AF2760">
        <v>-0.53151906334813503</v>
      </c>
      <c r="AG2760">
        <v>-1.121204683847</v>
      </c>
      <c r="AH2760">
        <v>25.028266813239501</v>
      </c>
      <c r="AI2760">
        <v>92.564417398007805</v>
      </c>
      <c r="AJ2760">
        <v>91.216593314646801</v>
      </c>
      <c r="AK2760">
        <v>25.059005409881902</v>
      </c>
      <c r="AL2760">
        <v>96.785813151057994</v>
      </c>
      <c r="AM2760">
        <v>89.092688759436101</v>
      </c>
      <c r="AN2760">
        <v>1.00000000638237</v>
      </c>
    </row>
    <row r="2761" spans="1:40" x14ac:dyDescent="0.25">
      <c r="A2761" t="str">
        <f>"20190303154522285"</f>
        <v>20190303154522285</v>
      </c>
      <c r="B2761" t="str">
        <f>"1551599122273204"</f>
        <v>1551599122273204</v>
      </c>
      <c r="C2761" t="s">
        <v>40</v>
      </c>
      <c r="D2761">
        <v>4.6012370000000002</v>
      </c>
      <c r="E2761">
        <v>0.4858536</v>
      </c>
      <c r="F2761" t="s">
        <v>55</v>
      </c>
      <c r="G2761">
        <v>-445.19880000000001</v>
      </c>
      <c r="H2761" s="1">
        <v>1.2250740000000001E-6</v>
      </c>
      <c r="I2761">
        <v>214.72309999999999</v>
      </c>
      <c r="J2761">
        <v>-470.29109999999997</v>
      </c>
      <c r="K2761">
        <v>1.121089</v>
      </c>
      <c r="L2761">
        <v>213.77440000000001</v>
      </c>
      <c r="M2761">
        <v>0.99979229999999997</v>
      </c>
      <c r="N2761">
        <v>-1.2864830000000001E-2</v>
      </c>
      <c r="O2761">
        <v>1.5809739999999999E-2</v>
      </c>
      <c r="P2761">
        <v>0.99139270000000002</v>
      </c>
      <c r="Q2761">
        <v>-0.13092119999999999</v>
      </c>
      <c r="R2761">
        <v>4.2648239999999997E-4</v>
      </c>
      <c r="S2761">
        <v>3.0086360000000001</v>
      </c>
      <c r="T2761">
        <v>-0.1336772</v>
      </c>
      <c r="U2761">
        <v>0.113525399999999</v>
      </c>
      <c r="V2761">
        <v>1.528705E-2</v>
      </c>
      <c r="W2761">
        <v>-0.11815290000000001</v>
      </c>
      <c r="X2761">
        <v>0.99287769999999997</v>
      </c>
      <c r="Y2761">
        <v>-2.1881870000000001E-2</v>
      </c>
      <c r="Z2761">
        <v>1.281055E-4</v>
      </c>
      <c r="AA2761">
        <v>0.9997606</v>
      </c>
      <c r="AB2761">
        <v>12</v>
      </c>
      <c r="AC2761">
        <v>25.092299999999899</v>
      </c>
      <c r="AD2761">
        <v>-1.121087774926</v>
      </c>
      <c r="AE2761">
        <v>0.94869999999997401</v>
      </c>
      <c r="AF2761">
        <v>-0.55074803867955402</v>
      </c>
      <c r="AG2761">
        <v>-1.121087774926</v>
      </c>
      <c r="AH2761">
        <v>25.054222157338302</v>
      </c>
      <c r="AI2761">
        <v>92.561456335569204</v>
      </c>
      <c r="AJ2761">
        <v>91.259287026372206</v>
      </c>
      <c r="AK2761">
        <v>25.0853385289188</v>
      </c>
      <c r="AL2761">
        <v>96.785513397356397</v>
      </c>
      <c r="AM2761">
        <v>89.117903197821704</v>
      </c>
      <c r="AN2761">
        <v>0.99999996441670003</v>
      </c>
    </row>
    <row r="2762" spans="1:40" x14ac:dyDescent="0.25">
      <c r="A2762" t="str">
        <f>"20190303154522324"</f>
        <v>20190303154522324</v>
      </c>
      <c r="B2762" t="str">
        <f>"1551599122314195"</f>
        <v>1551599122314195</v>
      </c>
      <c r="C2762" t="s">
        <v>40</v>
      </c>
      <c r="D2762">
        <v>4.5892609999999996</v>
      </c>
      <c r="E2762">
        <v>0.48594130000000002</v>
      </c>
      <c r="F2762" t="s">
        <v>55</v>
      </c>
      <c r="G2762">
        <v>-444.77940000000001</v>
      </c>
      <c r="H2762" s="1">
        <v>9.9964470000000008E-7</v>
      </c>
      <c r="I2762">
        <v>214.77539999999999</v>
      </c>
      <c r="J2762">
        <v>-470.08080000000001</v>
      </c>
      <c r="K2762">
        <v>1.1209249999999999</v>
      </c>
      <c r="L2762">
        <v>213.77969999999999</v>
      </c>
      <c r="M2762">
        <v>0.99977459999999996</v>
      </c>
      <c r="N2762">
        <v>-1.2130149999999999E-2</v>
      </c>
      <c r="O2762">
        <v>1.7431660000000002E-2</v>
      </c>
      <c r="P2762">
        <v>0.99147249999999998</v>
      </c>
      <c r="Q2762">
        <v>-0.13031569999999901</v>
      </c>
      <c r="R2762">
        <v>-3.9581860000000003E-4</v>
      </c>
      <c r="S2762">
        <v>3.0085449999999998</v>
      </c>
      <c r="T2762">
        <v>-0.13220779999999999</v>
      </c>
      <c r="U2762">
        <v>0.11804199999999999</v>
      </c>
      <c r="V2762">
        <v>1.7715040000000001E-2</v>
      </c>
      <c r="W2762">
        <v>-0.1182761</v>
      </c>
      <c r="X2762">
        <v>0.99282269999999995</v>
      </c>
      <c r="Y2762">
        <v>-2.176194E-2</v>
      </c>
      <c r="Z2762" s="1">
        <v>5.5931799999999999E-5</v>
      </c>
      <c r="AA2762">
        <v>0.99976319999999996</v>
      </c>
      <c r="AB2762">
        <v>12</v>
      </c>
      <c r="AC2762">
        <v>25.301400000000001</v>
      </c>
      <c r="AD2762">
        <v>-1.1209240003553</v>
      </c>
      <c r="AE2762">
        <v>0.99569999999999903</v>
      </c>
      <c r="AF2762">
        <v>-0.55338641524712595</v>
      </c>
      <c r="AG2762">
        <v>-1.1209240003553</v>
      </c>
      <c r="AH2762">
        <v>25.265400261717701</v>
      </c>
      <c r="AI2762">
        <v>92.539708669859905</v>
      </c>
      <c r="AJ2762">
        <v>91.254745100189595</v>
      </c>
      <c r="AK2762">
        <v>25.296307191445099</v>
      </c>
      <c r="AL2762">
        <v>96.792621935501501</v>
      </c>
      <c r="AM2762">
        <v>88.977773846788594</v>
      </c>
      <c r="AN2762">
        <v>0.99999998605435003</v>
      </c>
    </row>
    <row r="2763" spans="1:40" x14ac:dyDescent="0.25">
      <c r="A2763" t="str">
        <f>"20190303154522347"</f>
        <v>20190303154522347</v>
      </c>
      <c r="B2763" t="str">
        <f>"1551599122343983"</f>
        <v>1551599122343983</v>
      </c>
      <c r="C2763" t="s">
        <v>40</v>
      </c>
      <c r="D2763">
        <v>4.634449</v>
      </c>
      <c r="E2763">
        <v>0.48604819999999999</v>
      </c>
      <c r="F2763" t="s">
        <v>55</v>
      </c>
      <c r="G2763">
        <v>-444.1232</v>
      </c>
      <c r="H2763" s="1">
        <v>6.5054719999999901E-7</v>
      </c>
      <c r="I2763">
        <v>214.7722</v>
      </c>
      <c r="J2763">
        <v>-469.95729999999998</v>
      </c>
      <c r="K2763">
        <v>1.120859</v>
      </c>
      <c r="L2763">
        <v>213.78290000000001</v>
      </c>
      <c r="M2763">
        <v>0.99976399999999999</v>
      </c>
      <c r="N2763">
        <v>-1.1663679999999999E-2</v>
      </c>
      <c r="O2763">
        <v>1.8330539999999999E-2</v>
      </c>
      <c r="P2763">
        <v>0.99152470000000004</v>
      </c>
      <c r="Q2763">
        <v>-0.1299177</v>
      </c>
      <c r="R2763">
        <v>-6.2711629999999895E-4</v>
      </c>
      <c r="S2763">
        <v>3.008759</v>
      </c>
      <c r="T2763">
        <v>-0.1299266</v>
      </c>
      <c r="U2763">
        <v>0.115036</v>
      </c>
      <c r="V2763">
        <v>1.8842080000000001E-2</v>
      </c>
      <c r="W2763">
        <v>-0.118339899999999</v>
      </c>
      <c r="X2763">
        <v>0.99279430000000002</v>
      </c>
      <c r="Y2763">
        <v>-1.986657E-2</v>
      </c>
      <c r="Z2763" s="1">
        <v>-3.2554059999999998E-5</v>
      </c>
      <c r="AA2763">
        <v>0.99980259999999999</v>
      </c>
      <c r="AB2763">
        <v>12</v>
      </c>
      <c r="AC2763">
        <v>25.8340999999999</v>
      </c>
      <c r="AD2763">
        <v>-1.1208583494527999</v>
      </c>
      <c r="AE2763">
        <v>0.98929999999998597</v>
      </c>
      <c r="AF2763">
        <v>-0.51458132778482601</v>
      </c>
      <c r="AG2763">
        <v>-1.1208583494527999</v>
      </c>
      <c r="AH2763">
        <v>25.7994004413382</v>
      </c>
      <c r="AI2763">
        <v>92.487164284218196</v>
      </c>
      <c r="AJ2763">
        <v>91.142640100928404</v>
      </c>
      <c r="AK2763">
        <v>25.8288633221628</v>
      </c>
      <c r="AL2763">
        <v>96.796303581651799</v>
      </c>
      <c r="AM2763">
        <v>88.912723340527407</v>
      </c>
      <c r="AN2763">
        <v>0.99999993901161099</v>
      </c>
    </row>
    <row r="2764" spans="1:40" x14ac:dyDescent="0.25">
      <c r="A2764" t="str">
        <f>"20190303154522370"</f>
        <v>20190303154522370</v>
      </c>
      <c r="B2764" t="str">
        <f>"1551599122363503"</f>
        <v>1551599122363503</v>
      </c>
      <c r="C2764" t="s">
        <v>40</v>
      </c>
      <c r="D2764">
        <v>4.6678129999999998</v>
      </c>
      <c r="E2764">
        <v>0.48613840000000003</v>
      </c>
      <c r="F2764" t="s">
        <v>55</v>
      </c>
      <c r="G2764">
        <v>-443.6508</v>
      </c>
      <c r="H2764" s="1">
        <v>3.9902479999999998E-7</v>
      </c>
      <c r="I2764">
        <v>214.77529999999999</v>
      </c>
      <c r="J2764">
        <v>-469.8347</v>
      </c>
      <c r="K2764">
        <v>1.1208070000000001</v>
      </c>
      <c r="L2764">
        <v>213.78620000000001</v>
      </c>
      <c r="M2764">
        <v>0.99975320000000001</v>
      </c>
      <c r="N2764">
        <v>-1.118888E-2</v>
      </c>
      <c r="O2764">
        <v>1.920086E-2</v>
      </c>
      <c r="P2764">
        <v>0.99162939999999999</v>
      </c>
      <c r="Q2764">
        <v>-0.1291186</v>
      </c>
      <c r="R2764">
        <v>-2.4362609999999999E-4</v>
      </c>
      <c r="S2764">
        <v>3.0089109999999999</v>
      </c>
      <c r="T2764">
        <v>-0.1282027</v>
      </c>
      <c r="U2764">
        <v>0.1135101</v>
      </c>
      <c r="V2764">
        <v>1.932973E-2</v>
      </c>
      <c r="W2764">
        <v>-0.11801</v>
      </c>
      <c r="X2764">
        <v>0.99282429999999999</v>
      </c>
      <c r="Y2764">
        <v>-1.8490779999999998E-2</v>
      </c>
      <c r="Z2764">
        <v>-1.0545589999999999E-4</v>
      </c>
      <c r="AA2764">
        <v>0.99982910000000003</v>
      </c>
      <c r="AB2764">
        <v>12</v>
      </c>
      <c r="AC2764">
        <v>26.183899999999898</v>
      </c>
      <c r="AD2764">
        <v>-1.12080660097519</v>
      </c>
      <c r="AE2764">
        <v>0.989099999999979</v>
      </c>
      <c r="AF2764">
        <v>-0.485245004112836</v>
      </c>
      <c r="AG2764">
        <v>-1.12080660097519</v>
      </c>
      <c r="AH2764">
        <v>26.1502187179114</v>
      </c>
      <c r="AI2764">
        <v>92.453791167652199</v>
      </c>
      <c r="AJ2764">
        <v>91.063061868505997</v>
      </c>
      <c r="AK2764">
        <v>26.178724360545299</v>
      </c>
      <c r="AL2764">
        <v>96.777267599580199</v>
      </c>
      <c r="AM2764">
        <v>88.884624356495706</v>
      </c>
      <c r="AN2764">
        <v>1.0000000446161801</v>
      </c>
    </row>
    <row r="2765" spans="1:40" x14ac:dyDescent="0.25">
      <c r="A2765" t="str">
        <f>"20190303154522391"</f>
        <v>20190303154522391</v>
      </c>
      <c r="B2765" t="str">
        <f>"1551599122384000"</f>
        <v>1551599122384000</v>
      </c>
      <c r="C2765" t="s">
        <v>40</v>
      </c>
      <c r="D2765">
        <v>4.6777509999999998</v>
      </c>
      <c r="E2765">
        <v>0.4862302</v>
      </c>
      <c r="F2765" t="s">
        <v>55</v>
      </c>
      <c r="G2765">
        <v>-442.95600000000002</v>
      </c>
      <c r="H2765" s="1">
        <v>2.801906E-8</v>
      </c>
      <c r="I2765">
        <v>214.8049</v>
      </c>
      <c r="J2765">
        <v>-469.71480000000003</v>
      </c>
      <c r="K2765">
        <v>1.120763</v>
      </c>
      <c r="L2765">
        <v>213.7895</v>
      </c>
      <c r="M2765">
        <v>0.99974189999999996</v>
      </c>
      <c r="N2765">
        <v>-1.070486E-2</v>
      </c>
      <c r="O2765">
        <v>2.004185E-2</v>
      </c>
      <c r="P2765">
        <v>0.99179830000000002</v>
      </c>
      <c r="Q2765">
        <v>-0.12781329999999999</v>
      </c>
      <c r="R2765">
        <v>-2.6269999999999999E-4</v>
      </c>
      <c r="S2765">
        <v>3.0090029999999999</v>
      </c>
      <c r="T2765">
        <v>-0.12547179999999999</v>
      </c>
      <c r="U2765">
        <v>0.1140442</v>
      </c>
      <c r="V2765">
        <v>2.019284E-2</v>
      </c>
      <c r="W2765">
        <v>-0.1171823</v>
      </c>
      <c r="X2765">
        <v>0.99290509999999998</v>
      </c>
      <c r="Y2765">
        <v>-1.782773E-2</v>
      </c>
      <c r="Z2765">
        <v>-1.535877E-4</v>
      </c>
      <c r="AA2765">
        <v>0.99984099999999998</v>
      </c>
      <c r="AB2765">
        <v>12</v>
      </c>
      <c r="AC2765">
        <v>26.758800000000001</v>
      </c>
      <c r="AD2765">
        <v>-1.12076297198094</v>
      </c>
      <c r="AE2765">
        <v>1.0153999999999901</v>
      </c>
      <c r="AF2765">
        <v>-0.47803208798657498</v>
      </c>
      <c r="AG2765">
        <v>-1.12076297198094</v>
      </c>
      <c r="AH2765">
        <v>26.726957671764499</v>
      </c>
      <c r="AI2765">
        <v>92.400839570898995</v>
      </c>
      <c r="AJ2765">
        <v>91.024669601414004</v>
      </c>
      <c r="AK2765">
        <v>26.7547171673482</v>
      </c>
      <c r="AL2765">
        <v>96.729512904969098</v>
      </c>
      <c r="AM2765">
        <v>88.834928895463904</v>
      </c>
      <c r="AN2765">
        <v>0.99999998991328198</v>
      </c>
    </row>
    <row r="2766" spans="1:40" x14ac:dyDescent="0.25">
      <c r="A2766" t="str">
        <f>"20190303154522416"</f>
        <v>20190303154522416</v>
      </c>
      <c r="B2766" t="str">
        <f>"1551599122403519"</f>
        <v>1551599122403519</v>
      </c>
      <c r="C2766" t="s">
        <v>40</v>
      </c>
      <c r="D2766">
        <v>4.6884690000000004</v>
      </c>
      <c r="E2766">
        <v>0.48631570000000002</v>
      </c>
      <c r="F2766" t="s">
        <v>55</v>
      </c>
      <c r="G2766">
        <v>-441.91820000000001</v>
      </c>
      <c r="H2766" s="1">
        <v>-5.2576919999999999E-7</v>
      </c>
      <c r="I2766">
        <v>214.83969999999999</v>
      </c>
      <c r="J2766">
        <v>-469.58229999999998</v>
      </c>
      <c r="K2766">
        <v>1.120714</v>
      </c>
      <c r="L2766">
        <v>213.79320000000001</v>
      </c>
      <c r="M2766">
        <v>0.99972859999999997</v>
      </c>
      <c r="N2766">
        <v>-1.014899E-2</v>
      </c>
      <c r="O2766">
        <v>2.097183E-2</v>
      </c>
      <c r="P2766">
        <v>0.99191560000000001</v>
      </c>
      <c r="Q2766">
        <v>-0.1268968</v>
      </c>
      <c r="R2766">
        <v>-8.2651570000000002E-4</v>
      </c>
      <c r="S2766">
        <v>3.0092159999999999</v>
      </c>
      <c r="T2766">
        <v>-0.121332</v>
      </c>
      <c r="U2766">
        <v>0.11369319999999999</v>
      </c>
      <c r="V2766">
        <v>2.168896E-2</v>
      </c>
      <c r="W2766">
        <v>-0.1168148</v>
      </c>
      <c r="X2766">
        <v>0.99291689999999999</v>
      </c>
      <c r="Y2766">
        <v>-1.6780960000000001E-2</v>
      </c>
      <c r="Z2766">
        <v>-2.087941E-4</v>
      </c>
      <c r="AA2766">
        <v>0.99985919999999895</v>
      </c>
      <c r="AB2766">
        <v>12</v>
      </c>
      <c r="AC2766">
        <v>27.664099999999902</v>
      </c>
      <c r="AD2766">
        <v>-1.1207145257691999</v>
      </c>
      <c r="AE2766">
        <v>1.04649999999998</v>
      </c>
      <c r="AF2766">
        <v>-0.46531059129540697</v>
      </c>
      <c r="AG2766">
        <v>-1.1207145257691999</v>
      </c>
      <c r="AH2766">
        <v>27.634674535731399</v>
      </c>
      <c r="AI2766">
        <v>92.322008838295403</v>
      </c>
      <c r="AJ2766">
        <v>90.964650909736406</v>
      </c>
      <c r="AK2766">
        <v>27.661304229743799</v>
      </c>
      <c r="AL2766">
        <v>96.708310759963595</v>
      </c>
      <c r="AM2766">
        <v>88.748648271676004</v>
      </c>
      <c r="AN2766">
        <v>1.0000000393952599</v>
      </c>
    </row>
    <row r="2767" spans="1:40" x14ac:dyDescent="0.25">
      <c r="A2767" t="str">
        <f>"20190303154522462"</f>
        <v>20190303154522462</v>
      </c>
      <c r="B2767" t="str">
        <f>"1551599122453624"</f>
        <v>1551599122453624</v>
      </c>
      <c r="C2767" t="s">
        <v>40</v>
      </c>
      <c r="D2767">
        <v>4.71706</v>
      </c>
      <c r="E2767">
        <v>0.48651680000000003</v>
      </c>
      <c r="F2767" t="s">
        <v>55</v>
      </c>
      <c r="G2767">
        <v>-441.10239999999999</v>
      </c>
      <c r="H2767" s="1">
        <v>-9.6040860000000001E-7</v>
      </c>
      <c r="I2767">
        <v>214.85069999999999</v>
      </c>
      <c r="J2767">
        <v>-469.32889999999998</v>
      </c>
      <c r="K2767">
        <v>1.120635</v>
      </c>
      <c r="L2767">
        <v>213.80070000000001</v>
      </c>
      <c r="M2767">
        <v>0.99969929999999996</v>
      </c>
      <c r="N2767">
        <v>-9.0939100000000002E-3</v>
      </c>
      <c r="O2767">
        <v>2.277291E-2</v>
      </c>
      <c r="P2767">
        <v>0.9920274</v>
      </c>
      <c r="Q2767">
        <v>-0.12601010000000001</v>
      </c>
      <c r="R2767">
        <v>-1.79608E-3</v>
      </c>
      <c r="S2767">
        <v>3.009369</v>
      </c>
      <c r="T2767">
        <v>-0.1184217</v>
      </c>
      <c r="U2767">
        <v>0.11174009999999999</v>
      </c>
      <c r="V2767">
        <v>2.4460389999999999E-2</v>
      </c>
      <c r="W2767">
        <v>-0.11697109999999999</v>
      </c>
      <c r="X2767">
        <v>0.99283399999999999</v>
      </c>
      <c r="Y2767">
        <v>-1.433415E-2</v>
      </c>
      <c r="Z2767">
        <v>-3.4127069999999999E-4</v>
      </c>
      <c r="AA2767">
        <v>0.99989720000000004</v>
      </c>
      <c r="AB2767">
        <v>12</v>
      </c>
      <c r="AC2767">
        <v>28.226499999999898</v>
      </c>
      <c r="AD2767">
        <v>-1.1206359604086</v>
      </c>
      <c r="AE2767">
        <v>1.0499999999999801</v>
      </c>
      <c r="AF2767">
        <v>-0.40626207656006202</v>
      </c>
      <c r="AG2767">
        <v>-1.1206359604086</v>
      </c>
      <c r="AH2767">
        <v>28.198706019625501</v>
      </c>
      <c r="AI2767">
        <v>92.275540203869298</v>
      </c>
      <c r="AJ2767">
        <v>90.825409933463703</v>
      </c>
      <c r="AK2767">
        <v>28.2238887294412</v>
      </c>
      <c r="AL2767">
        <v>96.7173285084979</v>
      </c>
      <c r="AM2767">
        <v>88.588692913550602</v>
      </c>
      <c r="AN2767">
        <v>0.99999995023507904</v>
      </c>
    </row>
    <row r="2768" spans="1:40" x14ac:dyDescent="0.25">
      <c r="A2768" t="str">
        <f>"20190303154522485"</f>
        <v>20190303154522485</v>
      </c>
      <c r="B2768" t="str">
        <f>"1551599122474120"</f>
        <v>1551599122474120</v>
      </c>
      <c r="C2768" t="s">
        <v>40</v>
      </c>
      <c r="D2768">
        <v>4.7505699999999997</v>
      </c>
      <c r="E2768">
        <v>0.48659459999999999</v>
      </c>
      <c r="F2768" t="s">
        <v>55</v>
      </c>
      <c r="G2768">
        <v>-440.2364</v>
      </c>
      <c r="H2768" s="1">
        <v>-1.421022E-6</v>
      </c>
      <c r="I2768">
        <v>214.84559999999999</v>
      </c>
      <c r="J2768">
        <v>-469.19139999999999</v>
      </c>
      <c r="K2768">
        <v>1.120598</v>
      </c>
      <c r="L2768">
        <v>213.80500000000001</v>
      </c>
      <c r="M2768">
        <v>0.99968089999999998</v>
      </c>
      <c r="N2768">
        <v>-8.5716019999999993E-3</v>
      </c>
      <c r="O2768">
        <v>2.376263E-2</v>
      </c>
      <c r="P2768">
        <v>0.99221079999999995</v>
      </c>
      <c r="Q2768">
        <v>-0.1245658</v>
      </c>
      <c r="R2768">
        <v>-1.114369E-3</v>
      </c>
      <c r="S2768">
        <v>3.0095830000000001</v>
      </c>
      <c r="T2768">
        <v>-0.1159283</v>
      </c>
      <c r="U2768">
        <v>0.1080933</v>
      </c>
      <c r="V2768">
        <v>2.4770259999999999E-2</v>
      </c>
      <c r="W2768">
        <v>-0.1160424</v>
      </c>
      <c r="X2768">
        <v>0.99293540000000002</v>
      </c>
      <c r="Y2768">
        <v>-1.2134539999999999E-2</v>
      </c>
      <c r="Z2768">
        <v>-4.2533959999999999E-4</v>
      </c>
      <c r="AA2768">
        <v>0.99992630000000005</v>
      </c>
      <c r="AB2768">
        <v>13</v>
      </c>
      <c r="AC2768">
        <v>28.954999999999899</v>
      </c>
      <c r="AD2768">
        <v>-1.1205994210220001</v>
      </c>
      <c r="AE2768">
        <v>1.04059999999998</v>
      </c>
      <c r="AF2768">
        <v>-0.35170781813533197</v>
      </c>
      <c r="AG2768">
        <v>-1.1205994210220001</v>
      </c>
      <c r="AH2768">
        <v>28.928278775318201</v>
      </c>
      <c r="AI2768">
        <v>92.218202960723403</v>
      </c>
      <c r="AJ2768">
        <v>90.696563419929006</v>
      </c>
      <c r="AK2768">
        <v>28.952111397172001</v>
      </c>
      <c r="AL2768">
        <v>96.663752348016104</v>
      </c>
      <c r="AM2768">
        <v>88.570967399971096</v>
      </c>
      <c r="AN2768">
        <v>1.0000000564756899</v>
      </c>
    </row>
    <row r="2769" spans="1:40" x14ac:dyDescent="0.25">
      <c r="A2769" t="str">
        <f>"20190303154522526"</f>
        <v>20190303154522526</v>
      </c>
      <c r="B2769" t="str">
        <f>"1551599122523896"</f>
        <v>1551599122523896</v>
      </c>
      <c r="C2769" t="s">
        <v>40</v>
      </c>
      <c r="D2769">
        <v>4.7451949999999998</v>
      </c>
      <c r="E2769">
        <v>0.47367530000000002</v>
      </c>
      <c r="F2769" t="s">
        <v>57</v>
      </c>
      <c r="G2769">
        <v>-439.04649999999998</v>
      </c>
      <c r="H2769" s="1">
        <v>6.2032500000000003E-6</v>
      </c>
      <c r="I2769">
        <v>214.90799999999999</v>
      </c>
      <c r="J2769">
        <v>-468.95569999999998</v>
      </c>
      <c r="K2769">
        <v>1.120552</v>
      </c>
      <c r="L2769">
        <v>213.81270000000001</v>
      </c>
      <c r="M2769">
        <v>0.99964549999999996</v>
      </c>
      <c r="N2769">
        <v>-7.7813169999999899E-3</v>
      </c>
      <c r="O2769">
        <v>2.5463840000000001E-2</v>
      </c>
      <c r="P2769">
        <v>0.99225019999999997</v>
      </c>
      <c r="Q2769">
        <v>-0.12425750000000001</v>
      </c>
      <c r="R2769" s="1">
        <v>3.0803489999999997E-5</v>
      </c>
      <c r="S2769">
        <v>3.009674</v>
      </c>
      <c r="T2769">
        <v>-0.1118803</v>
      </c>
      <c r="U2769">
        <v>0.1101227</v>
      </c>
      <c r="V2769">
        <v>2.5322089999999998E-2</v>
      </c>
      <c r="W2769">
        <v>-0.1165166</v>
      </c>
      <c r="X2769">
        <v>0.99286589999999997</v>
      </c>
      <c r="Y2769">
        <v>-1.110737E-2</v>
      </c>
      <c r="Z2769">
        <v>-4.9812960000000003E-4</v>
      </c>
      <c r="AA2769">
        <v>0.9999382</v>
      </c>
      <c r="AB2769">
        <v>13</v>
      </c>
      <c r="AC2769">
        <v>29.909199999999998</v>
      </c>
      <c r="AD2769">
        <v>-1.1205457967499901</v>
      </c>
      <c r="AE2769">
        <v>1.09529999999998</v>
      </c>
      <c r="AF2769">
        <v>-0.33285213810499598</v>
      </c>
      <c r="AG2769">
        <v>-1.1205457967499901</v>
      </c>
      <c r="AH2769">
        <v>29.885500844717299</v>
      </c>
      <c r="AI2769">
        <v>92.147145139122301</v>
      </c>
      <c r="AJ2769">
        <v>90.638109908674494</v>
      </c>
      <c r="AK2769">
        <v>29.9083529163352</v>
      </c>
      <c r="AL2769">
        <v>96.691107875340506</v>
      </c>
      <c r="AM2769">
        <v>88.539042949249705</v>
      </c>
      <c r="AN2769">
        <v>1.0000000108501601</v>
      </c>
    </row>
    <row r="2770" spans="1:40" x14ac:dyDescent="0.25">
      <c r="A2770" t="str">
        <f>"20190303154522548"</f>
        <v>20190303154522548</v>
      </c>
      <c r="B2770" t="str">
        <f>"1551599122543924"</f>
        <v>1551599122543924</v>
      </c>
      <c r="C2770" t="s">
        <v>40</v>
      </c>
      <c r="D2770">
        <v>4.735989</v>
      </c>
      <c r="E2770">
        <v>0.47359970000000001</v>
      </c>
      <c r="F2770" t="s">
        <v>55</v>
      </c>
      <c r="G2770">
        <v>-457.4323</v>
      </c>
      <c r="H2770" s="1">
        <v>2.417639E-6</v>
      </c>
      <c r="I2770">
        <v>214.6319</v>
      </c>
      <c r="J2770">
        <v>-468.82429999999999</v>
      </c>
      <c r="K2770">
        <v>1.120533</v>
      </c>
      <c r="L2770">
        <v>213.81720000000001</v>
      </c>
      <c r="M2770">
        <v>0.99962399999999996</v>
      </c>
      <c r="N2770">
        <v>-7.4023889999999997E-3</v>
      </c>
      <c r="O2770">
        <v>2.640549E-2</v>
      </c>
      <c r="P2770">
        <v>0.99249799999999999</v>
      </c>
      <c r="Q2770">
        <v>-0.1222549</v>
      </c>
      <c r="R2770">
        <v>1.1976560000000001E-3</v>
      </c>
      <c r="S2770">
        <v>2.9870299999999999</v>
      </c>
      <c r="T2770">
        <v>-0.29046319999999998</v>
      </c>
      <c r="U2770">
        <v>0.21235660000000001</v>
      </c>
      <c r="V2770">
        <v>2.5097589999999999E-2</v>
      </c>
      <c r="W2770">
        <v>-0.11488810000000001</v>
      </c>
      <c r="X2770">
        <v>0.99306139999999998</v>
      </c>
      <c r="Y2770">
        <v>-4.4430709999999998E-2</v>
      </c>
      <c r="Z2770" s="1">
        <v>-4.523457E-5</v>
      </c>
      <c r="AA2770">
        <v>0.99901249999999997</v>
      </c>
      <c r="AB2770">
        <v>13</v>
      </c>
      <c r="AC2770">
        <v>11.3919999999999</v>
      </c>
      <c r="AD2770">
        <v>-1.1205305823609999</v>
      </c>
      <c r="AE2770">
        <v>0.81469999999998699</v>
      </c>
      <c r="AF2770">
        <v>-0.508699766880918</v>
      </c>
      <c r="AG2770">
        <v>-1.1205305823609999</v>
      </c>
      <c r="AH2770">
        <v>11.300763027038199</v>
      </c>
      <c r="AI2770">
        <v>95.656979446617399</v>
      </c>
      <c r="AJ2770">
        <v>92.577408881491607</v>
      </c>
      <c r="AK2770">
        <v>11.367568307782699</v>
      </c>
      <c r="AL2770">
        <v>96.597170512311493</v>
      </c>
      <c r="AM2770">
        <v>88.552274871935097</v>
      </c>
      <c r="AN2770">
        <v>1.0000000543576799</v>
      </c>
    </row>
    <row r="2771" spans="1:40" x14ac:dyDescent="0.25">
      <c r="A2771" t="str">
        <f>"20190303154522571"</f>
        <v>20190303154522571</v>
      </c>
      <c r="B2771" t="str">
        <f>"1551599122563444"</f>
        <v>1551599122563444</v>
      </c>
      <c r="C2771" t="s">
        <v>40</v>
      </c>
      <c r="D2771">
        <v>4.7773909999999997</v>
      </c>
      <c r="E2771">
        <v>0.47316279999999999</v>
      </c>
      <c r="F2771" t="s">
        <v>55</v>
      </c>
      <c r="G2771">
        <v>-457.19220000000001</v>
      </c>
      <c r="H2771" s="1">
        <v>2.2886789999999998E-6</v>
      </c>
      <c r="I2771">
        <v>214.6591</v>
      </c>
      <c r="J2771">
        <v>-468.6952</v>
      </c>
      <c r="K2771">
        <v>1.1205130000000001</v>
      </c>
      <c r="L2771">
        <v>213.82159999999999</v>
      </c>
      <c r="M2771">
        <v>0.99960179999999998</v>
      </c>
      <c r="N2771">
        <v>-7.0709709999999997E-3</v>
      </c>
      <c r="O2771">
        <v>2.7316279999999998E-2</v>
      </c>
      <c r="P2771">
        <v>0.99263049999999997</v>
      </c>
      <c r="Q2771">
        <v>-0.1211443</v>
      </c>
      <c r="R2771">
        <v>2.986931E-3</v>
      </c>
      <c r="S2771">
        <v>2.9869379999999999</v>
      </c>
      <c r="T2771">
        <v>-0.28773369999999998</v>
      </c>
      <c r="U2771">
        <v>0.2162018</v>
      </c>
      <c r="V2771">
        <v>2.4216080000000001E-2</v>
      </c>
      <c r="W2771">
        <v>-0.1141062</v>
      </c>
      <c r="X2771">
        <v>0.99317339999999998</v>
      </c>
      <c r="Y2771">
        <v>-4.4807310000000003E-2</v>
      </c>
      <c r="Z2771">
        <v>-1.190675E-4</v>
      </c>
      <c r="AA2771">
        <v>0.99899570000000004</v>
      </c>
      <c r="AB2771">
        <v>13</v>
      </c>
      <c r="AC2771">
        <v>11.502999999999901</v>
      </c>
      <c r="AD2771">
        <v>-1.12051071132099</v>
      </c>
      <c r="AE2771">
        <v>0.83750000000000502</v>
      </c>
      <c r="AF2771">
        <v>-0.51807049972160601</v>
      </c>
      <c r="AG2771">
        <v>-1.12051071132099</v>
      </c>
      <c r="AH2771">
        <v>11.4138529751121</v>
      </c>
      <c r="AI2771">
        <v>95.601094715313707</v>
      </c>
      <c r="AJ2771">
        <v>92.598850159760403</v>
      </c>
      <c r="AK2771">
        <v>11.480417284852599</v>
      </c>
      <c r="AL2771">
        <v>96.552074579031199</v>
      </c>
      <c r="AM2771">
        <v>88.603260696797605</v>
      </c>
      <c r="AN2771">
        <v>1.0000000229382799</v>
      </c>
    </row>
    <row r="2772" spans="1:40" x14ac:dyDescent="0.25">
      <c r="A2772" t="str">
        <f>"20190303154522595"</f>
        <v>20190303154522595</v>
      </c>
      <c r="B2772" t="str">
        <f>"1551599122583940"</f>
        <v>1551599122583940</v>
      </c>
      <c r="C2772" t="s">
        <v>40</v>
      </c>
      <c r="D2772">
        <v>4.772653</v>
      </c>
      <c r="E2772">
        <v>0.47299439999999998</v>
      </c>
      <c r="F2772" t="s">
        <v>55</v>
      </c>
      <c r="G2772">
        <v>-457.2937</v>
      </c>
      <c r="H2772" s="1">
        <v>2.341778E-6</v>
      </c>
      <c r="I2772">
        <v>214.6799</v>
      </c>
      <c r="J2772">
        <v>-468.5487</v>
      </c>
      <c r="K2772">
        <v>1.120484</v>
      </c>
      <c r="L2772">
        <v>213.82689999999999</v>
      </c>
      <c r="M2772">
        <v>0.99957660000000004</v>
      </c>
      <c r="N2772">
        <v>-6.7414619999999897E-3</v>
      </c>
      <c r="O2772">
        <v>2.8310769999999999E-2</v>
      </c>
      <c r="P2772">
        <v>0.99285129999999999</v>
      </c>
      <c r="Q2772">
        <v>-0.11918620000000001</v>
      </c>
      <c r="R2772">
        <v>6.4260690000000004E-3</v>
      </c>
      <c r="S2772">
        <v>2.985779</v>
      </c>
      <c r="T2772">
        <v>-0.29343590000000003</v>
      </c>
      <c r="U2772">
        <v>0.22476199999999999</v>
      </c>
      <c r="V2772">
        <v>2.1767330000000001E-2</v>
      </c>
      <c r="W2772">
        <v>-0.1124758</v>
      </c>
      <c r="X2772">
        <v>0.99341599999999997</v>
      </c>
      <c r="Y2772">
        <v>-4.6682050000000003E-2</v>
      </c>
      <c r="Z2772">
        <v>-1.3733260000000001E-4</v>
      </c>
      <c r="AA2772">
        <v>0.99890979999999996</v>
      </c>
      <c r="AB2772">
        <v>13</v>
      </c>
      <c r="AC2772">
        <v>11.2549999999999</v>
      </c>
      <c r="AD2772">
        <v>-1.1204816582220001</v>
      </c>
      <c r="AE2772">
        <v>0.85300000000000797</v>
      </c>
      <c r="AF2772">
        <v>-0.52880213254841901</v>
      </c>
      <c r="AG2772">
        <v>-1.1204816582220001</v>
      </c>
      <c r="AH2772">
        <v>11.164617249654199</v>
      </c>
      <c r="AI2772">
        <v>95.724643155836802</v>
      </c>
      <c r="AJ2772">
        <v>92.711736877146393</v>
      </c>
      <c r="AK2772">
        <v>11.233155797596501</v>
      </c>
      <c r="AL2772">
        <v>96.458054456004703</v>
      </c>
      <c r="AM2772">
        <v>88.744758892051706</v>
      </c>
      <c r="AN2772">
        <v>0.99999998564848402</v>
      </c>
    </row>
    <row r="2773" spans="1:40" x14ac:dyDescent="0.25">
      <c r="A2773" t="str">
        <f>"20190303154522638"</f>
        <v>20190303154522638</v>
      </c>
      <c r="B2773" t="str">
        <f>"1551599122633273"</f>
        <v>1551599122633273</v>
      </c>
      <c r="C2773" t="s">
        <v>40</v>
      </c>
      <c r="D2773">
        <v>4.7169239999999997</v>
      </c>
      <c r="E2773">
        <v>0.473632</v>
      </c>
      <c r="F2773" t="s">
        <v>55</v>
      </c>
      <c r="G2773">
        <v>-457.14060000000001</v>
      </c>
      <c r="H2773" s="1">
        <v>2.2581169999999999E-6</v>
      </c>
      <c r="I2773">
        <v>214.7295</v>
      </c>
      <c r="J2773">
        <v>-468.29230000000001</v>
      </c>
      <c r="K2773">
        <v>1.120403</v>
      </c>
      <c r="L2773">
        <v>213.83619999999999</v>
      </c>
      <c r="M2773">
        <v>0.99953380000000003</v>
      </c>
      <c r="N2773">
        <v>-6.2690050000000002E-3</v>
      </c>
      <c r="O2773">
        <v>2.9881379999999999E-2</v>
      </c>
      <c r="P2773">
        <v>0.99293319999999996</v>
      </c>
      <c r="Q2773">
        <v>-0.1181334</v>
      </c>
      <c r="R2773">
        <v>1.1327210000000001E-2</v>
      </c>
      <c r="S2773">
        <v>2.9848940000000002</v>
      </c>
      <c r="T2773">
        <v>-0.29316959999999997</v>
      </c>
      <c r="U2773">
        <v>0.23617550000000001</v>
      </c>
      <c r="V2773">
        <v>1.8413570000000001E-2</v>
      </c>
      <c r="W2773">
        <v>-0.11189639999999999</v>
      </c>
      <c r="X2773">
        <v>0.99354929999999997</v>
      </c>
      <c r="Y2773">
        <v>-4.8929189999999997E-2</v>
      </c>
      <c r="Z2773">
        <v>-1.8804609999999999E-4</v>
      </c>
      <c r="AA2773">
        <v>0.99880219999999997</v>
      </c>
      <c r="AB2773">
        <v>13</v>
      </c>
      <c r="AC2773">
        <v>11.1517</v>
      </c>
      <c r="AD2773">
        <v>-1.120400741883</v>
      </c>
      <c r="AE2773">
        <v>0.89330000000000997</v>
      </c>
      <c r="AF2773">
        <v>-0.55410882139723705</v>
      </c>
      <c r="AG2773">
        <v>-1.120400741883</v>
      </c>
      <c r="AH2773">
        <v>11.0624607291322</v>
      </c>
      <c r="AI2773">
        <v>95.775977158480401</v>
      </c>
      <c r="AJ2773">
        <v>92.867498144972402</v>
      </c>
      <c r="AK2773">
        <v>11.132851018133399</v>
      </c>
      <c r="AL2773">
        <v>96.424646046462101</v>
      </c>
      <c r="AM2773">
        <v>88.938251901426497</v>
      </c>
      <c r="AN2773">
        <v>1.0000000377117899</v>
      </c>
    </row>
    <row r="2774" spans="1:40" x14ac:dyDescent="0.25">
      <c r="A2774" t="str">
        <f>"20190303154522659"</f>
        <v>20190303154522659</v>
      </c>
      <c r="B2774" t="str">
        <f>"1551599122653743"</f>
        <v>1551599122653743</v>
      </c>
      <c r="C2774" t="s">
        <v>40</v>
      </c>
      <c r="D2774">
        <v>4.7341509999999998</v>
      </c>
      <c r="E2774">
        <v>0.47411199999999998</v>
      </c>
      <c r="F2774" t="s">
        <v>55</v>
      </c>
      <c r="G2774">
        <v>-456.8075</v>
      </c>
      <c r="H2774" s="1">
        <v>2.078512E-6</v>
      </c>
      <c r="I2774">
        <v>214.78370000000001</v>
      </c>
      <c r="J2774">
        <v>-468.1592</v>
      </c>
      <c r="K2774">
        <v>1.120344</v>
      </c>
      <c r="L2774">
        <v>213.84100000000001</v>
      </c>
      <c r="M2774">
        <v>0.9995136</v>
      </c>
      <c r="N2774">
        <v>-6.0668769999999896E-3</v>
      </c>
      <c r="O2774">
        <v>3.0594719999999999E-2</v>
      </c>
      <c r="P2774">
        <v>0.99291490000000004</v>
      </c>
      <c r="Q2774">
        <v>-0.1180679</v>
      </c>
      <c r="R2774">
        <v>1.342134E-2</v>
      </c>
      <c r="S2774">
        <v>2.9838870000000002</v>
      </c>
      <c r="T2774">
        <v>-0.29109439999999998</v>
      </c>
      <c r="U2774">
        <v>0.24617</v>
      </c>
      <c r="V2774">
        <v>1.7017049999999999E-2</v>
      </c>
      <c r="W2774">
        <v>-0.11203399999999999</v>
      </c>
      <c r="X2774">
        <v>0.99355859999999996</v>
      </c>
      <c r="Y2774">
        <v>-5.1558800000000002E-2</v>
      </c>
      <c r="Z2774">
        <v>-1.245467E-4</v>
      </c>
      <c r="AA2774">
        <v>0.99866999999999995</v>
      </c>
      <c r="AB2774">
        <v>14</v>
      </c>
      <c r="AC2774">
        <v>11.3516999999999</v>
      </c>
      <c r="AD2774">
        <v>-1.1203419214879999</v>
      </c>
      <c r="AE2774">
        <v>0.94270000000002996</v>
      </c>
      <c r="AF2774">
        <v>-0.58925000031635899</v>
      </c>
      <c r="AG2774">
        <v>-1.1203419214879999</v>
      </c>
      <c r="AH2774">
        <v>11.266241201588</v>
      </c>
      <c r="AI2774">
        <v>95.671257858925401</v>
      </c>
      <c r="AJ2774">
        <v>92.993971344705002</v>
      </c>
      <c r="AK2774">
        <v>11.3371324591484</v>
      </c>
      <c r="AL2774">
        <v>96.432580434887001</v>
      </c>
      <c r="AM2774">
        <v>89.018769679736707</v>
      </c>
      <c r="AN2774">
        <v>0.99999994439032902</v>
      </c>
    </row>
    <row r="2775" spans="1:40" x14ac:dyDescent="0.25">
      <c r="A2775" t="str">
        <f>"20190303154522685"</f>
        <v>20190303154522685</v>
      </c>
      <c r="B2775" t="str">
        <f>"1551599122673263"</f>
        <v>1551599122673263</v>
      </c>
      <c r="C2775" t="s">
        <v>40</v>
      </c>
      <c r="D2775">
        <v>4.7245509999999999</v>
      </c>
      <c r="E2775">
        <v>0.4743829</v>
      </c>
      <c r="F2775" t="s">
        <v>55</v>
      </c>
      <c r="G2775">
        <v>-456.55489999999998</v>
      </c>
      <c r="H2775" s="1">
        <v>1.9429690000000001E-6</v>
      </c>
      <c r="I2775">
        <v>214.80889999999999</v>
      </c>
      <c r="J2775">
        <v>-468.00029999999998</v>
      </c>
      <c r="K2775">
        <v>1.1202589999999999</v>
      </c>
      <c r="L2775">
        <v>213.8468</v>
      </c>
      <c r="M2775">
        <v>0.99949180000000004</v>
      </c>
      <c r="N2775">
        <v>-5.8587029999999998E-3</v>
      </c>
      <c r="O2775">
        <v>3.1333720000000002E-2</v>
      </c>
      <c r="P2775">
        <v>0.99276609999999998</v>
      </c>
      <c r="Q2775">
        <v>-0.1191347</v>
      </c>
      <c r="R2775">
        <v>1.4920559999999999E-2</v>
      </c>
      <c r="S2775">
        <v>2.9837950000000002</v>
      </c>
      <c r="T2775">
        <v>-0.28806999999999999</v>
      </c>
      <c r="U2775">
        <v>0.24885560000000001</v>
      </c>
      <c r="V2775">
        <v>1.623264E-2</v>
      </c>
      <c r="W2775">
        <v>-0.113311</v>
      </c>
      <c r="X2775">
        <v>0.99342699999999995</v>
      </c>
      <c r="Y2775">
        <v>-5.1721370000000003E-2</v>
      </c>
      <c r="Z2775">
        <v>-1.8982189999999999E-4</v>
      </c>
      <c r="AA2775">
        <v>0.99866149999999998</v>
      </c>
      <c r="AB2775">
        <v>14</v>
      </c>
      <c r="AC2775">
        <v>11.445399999999999</v>
      </c>
      <c r="AD2775">
        <v>-1.120257057031</v>
      </c>
      <c r="AE2775">
        <v>0.96209999999999196</v>
      </c>
      <c r="AF2775">
        <v>-0.59731225054009096</v>
      </c>
      <c r="AG2775">
        <v>-1.120257057031</v>
      </c>
      <c r="AH2775">
        <v>11.3618418640756</v>
      </c>
      <c r="AI2775">
        <v>95.623344009279293</v>
      </c>
      <c r="AJ2775">
        <v>93.009370729202104</v>
      </c>
      <c r="AK2775">
        <v>11.4325503866256</v>
      </c>
      <c r="AL2775">
        <v>96.506215409880994</v>
      </c>
      <c r="AM2775">
        <v>89.063867802019004</v>
      </c>
      <c r="AN2775">
        <v>1.0000000428256799</v>
      </c>
    </row>
    <row r="2776" spans="1:40" x14ac:dyDescent="0.25">
      <c r="A2776" t="str">
        <f>"20190303154522707"</f>
        <v>20190303154522707</v>
      </c>
      <c r="B2776" t="str">
        <f>"1551599122703519"</f>
        <v>1551599122703519</v>
      </c>
      <c r="C2776" t="s">
        <v>40</v>
      </c>
      <c r="D2776">
        <v>4.734972</v>
      </c>
      <c r="E2776">
        <v>0.47486810000000002</v>
      </c>
      <c r="F2776" t="s">
        <v>55</v>
      </c>
      <c r="G2776">
        <v>-456.45569999999998</v>
      </c>
      <c r="H2776" s="1">
        <v>1.889741E-6</v>
      </c>
      <c r="I2776">
        <v>214.81979999999999</v>
      </c>
      <c r="J2776">
        <v>-467.86189999999999</v>
      </c>
      <c r="K2776">
        <v>1.1201829999999999</v>
      </c>
      <c r="L2776">
        <v>213.8518</v>
      </c>
      <c r="M2776">
        <v>0.99947589999999997</v>
      </c>
      <c r="N2776">
        <v>-5.7031429999999999E-3</v>
      </c>
      <c r="O2776">
        <v>3.1869010000000003E-2</v>
      </c>
      <c r="P2776">
        <v>0.9925737</v>
      </c>
      <c r="Q2776">
        <v>-0.120619</v>
      </c>
      <c r="R2776">
        <v>1.5763360000000001E-2</v>
      </c>
      <c r="S2776">
        <v>2.983276</v>
      </c>
      <c r="T2776">
        <v>-0.28949000000000003</v>
      </c>
      <c r="U2776">
        <v>0.25141910000000001</v>
      </c>
      <c r="V2776">
        <v>1.590192E-2</v>
      </c>
      <c r="W2776">
        <v>-0.1149529</v>
      </c>
      <c r="X2776">
        <v>0.9932436</v>
      </c>
      <c r="Y2776">
        <v>-5.2053370000000002E-2</v>
      </c>
      <c r="Z2776">
        <v>-2.3299829999999999E-4</v>
      </c>
      <c r="AA2776">
        <v>0.99864430000000004</v>
      </c>
      <c r="AB2776">
        <v>14</v>
      </c>
      <c r="AC2776">
        <v>11.4062</v>
      </c>
      <c r="AD2776">
        <v>-1.120181110259</v>
      </c>
      <c r="AE2776">
        <v>0.96799999999998898</v>
      </c>
      <c r="AF2776">
        <v>-0.59826917892389198</v>
      </c>
      <c r="AG2776">
        <v>-1.120181110259</v>
      </c>
      <c r="AH2776">
        <v>11.322829934415999</v>
      </c>
      <c r="AI2776">
        <v>95.642135652181693</v>
      </c>
      <c r="AJ2776">
        <v>93.024548914028003</v>
      </c>
      <c r="AK2776">
        <v>11.393823302734701</v>
      </c>
      <c r="AL2776">
        <v>96.6009087685579</v>
      </c>
      <c r="AM2776">
        <v>89.082767744259996</v>
      </c>
      <c r="AN2776">
        <v>0.99999994460952601</v>
      </c>
    </row>
    <row r="2777" spans="1:40" x14ac:dyDescent="0.25">
      <c r="A2777" t="str">
        <f>"20190303154522748"</f>
        <v>20190303154522748</v>
      </c>
      <c r="B2777" t="str">
        <f>"1551599122743839"</f>
        <v>1551599122743839</v>
      </c>
      <c r="C2777" t="s">
        <v>40</v>
      </c>
      <c r="D2777">
        <v>4.7714819999999998</v>
      </c>
      <c r="E2777">
        <v>0.47540880000000002</v>
      </c>
      <c r="F2777" t="s">
        <v>55</v>
      </c>
      <c r="G2777">
        <v>-456.36070000000001</v>
      </c>
      <c r="H2777" s="1">
        <v>1.839294E-6</v>
      </c>
      <c r="I2777">
        <v>214.81639999999999</v>
      </c>
      <c r="J2777">
        <v>-467.59739999999999</v>
      </c>
      <c r="K2777">
        <v>1.120047</v>
      </c>
      <c r="L2777">
        <v>213.8613</v>
      </c>
      <c r="M2777">
        <v>0.9994518</v>
      </c>
      <c r="N2777">
        <v>-5.4590819999999997E-3</v>
      </c>
      <c r="O2777">
        <v>3.2657440000000003E-2</v>
      </c>
      <c r="P2777">
        <v>0.99202860000000004</v>
      </c>
      <c r="Q2777">
        <v>-0.1249504</v>
      </c>
      <c r="R2777">
        <v>1.6333429999999999E-2</v>
      </c>
      <c r="S2777">
        <v>2.9831240000000001</v>
      </c>
      <c r="T2777">
        <v>-0.290545</v>
      </c>
      <c r="U2777">
        <v>0.25018309999999999</v>
      </c>
      <c r="V2777">
        <v>1.6075799999999901E-2</v>
      </c>
      <c r="W2777">
        <v>-0.1195326</v>
      </c>
      <c r="X2777">
        <v>0.99270009999999997</v>
      </c>
      <c r="Y2777">
        <v>-5.0868700000000003E-2</v>
      </c>
      <c r="Z2777">
        <v>-3.820222E-4</v>
      </c>
      <c r="AA2777">
        <v>0.99870530000000002</v>
      </c>
      <c r="AB2777">
        <v>14</v>
      </c>
      <c r="AC2777">
        <v>11.2366999999999</v>
      </c>
      <c r="AD2777">
        <v>-1.120045160706</v>
      </c>
      <c r="AE2777">
        <v>0.95509999999998696</v>
      </c>
      <c r="AF2777">
        <v>-0.58188336899455595</v>
      </c>
      <c r="AG2777">
        <v>-1.120045160706</v>
      </c>
      <c r="AH2777">
        <v>11.1518919648446</v>
      </c>
      <c r="AI2777">
        <v>95.727554297414997</v>
      </c>
      <c r="AJ2777">
        <v>92.986870264170406</v>
      </c>
      <c r="AK2777">
        <v>11.2230915443428</v>
      </c>
      <c r="AL2777">
        <v>96.865128504298696</v>
      </c>
      <c r="AM2777">
        <v>89.072232400492695</v>
      </c>
      <c r="AN2777">
        <v>0.99999998117420397</v>
      </c>
    </row>
    <row r="2778" spans="1:40" x14ac:dyDescent="0.25">
      <c r="A2778" t="str">
        <f>"20190303154522772"</f>
        <v>20190303154522772</v>
      </c>
      <c r="B2778" t="str">
        <f>"1551599122763360"</f>
        <v>1551599122763360</v>
      </c>
      <c r="C2778" t="s">
        <v>40</v>
      </c>
      <c r="D2778">
        <v>4.8639739999999998</v>
      </c>
      <c r="E2778">
        <v>0.4990079</v>
      </c>
      <c r="F2778" t="s">
        <v>55</v>
      </c>
      <c r="G2778">
        <v>-456.50670000000002</v>
      </c>
      <c r="H2778" s="1">
        <v>1.9184799999999998E-6</v>
      </c>
      <c r="I2778">
        <v>214.78309999999999</v>
      </c>
      <c r="J2778">
        <v>-467.44170000000003</v>
      </c>
      <c r="K2778">
        <v>1.1199779999999999</v>
      </c>
      <c r="L2778">
        <v>213.86680000000001</v>
      </c>
      <c r="M2778">
        <v>0.99944140000000004</v>
      </c>
      <c r="N2778">
        <v>-5.3430719999999999E-3</v>
      </c>
      <c r="O2778">
        <v>3.299117E-2</v>
      </c>
      <c r="P2778">
        <v>0.99165420000000004</v>
      </c>
      <c r="Q2778">
        <v>-0.12795019999999999</v>
      </c>
      <c r="R2778">
        <v>1.5843110000000001E-2</v>
      </c>
      <c r="S2778">
        <v>2.9821170000000001</v>
      </c>
      <c r="T2778">
        <v>-0.3011624</v>
      </c>
      <c r="U2778">
        <v>0.2478485</v>
      </c>
      <c r="V2778">
        <v>1.687541E-2</v>
      </c>
      <c r="W2778">
        <v>-0.1226508</v>
      </c>
      <c r="X2778">
        <v>0.99230640000000003</v>
      </c>
      <c r="Y2778">
        <v>-4.9787230000000002E-2</v>
      </c>
      <c r="Z2778">
        <v>-5.0348839999999999E-4</v>
      </c>
      <c r="AA2778">
        <v>0.99875970000000003</v>
      </c>
      <c r="AB2778">
        <v>14</v>
      </c>
      <c r="AC2778">
        <v>10.935</v>
      </c>
      <c r="AD2778">
        <v>-1.1199760815199999</v>
      </c>
      <c r="AE2778">
        <v>0.91629999999997802</v>
      </c>
      <c r="AF2778">
        <v>-0.54931541371293102</v>
      </c>
      <c r="AG2778">
        <v>-1.1199760815199999</v>
      </c>
      <c r="AH2778">
        <v>10.846292104243201</v>
      </c>
      <c r="AI2778">
        <v>95.887911595928799</v>
      </c>
      <c r="AJ2778">
        <v>92.899293735996196</v>
      </c>
      <c r="AK2778">
        <v>10.9177903559964</v>
      </c>
      <c r="AL2778">
        <v>97.045112632757196</v>
      </c>
      <c r="AM2778">
        <v>89.025707609547595</v>
      </c>
      <c r="AN2778">
        <v>0.99999999484213398</v>
      </c>
    </row>
    <row r="2779" spans="1:40" x14ac:dyDescent="0.25">
      <c r="A2779" t="str">
        <f>"20190303154522793"</f>
        <v>20190303154522793</v>
      </c>
      <c r="B2779" t="str">
        <f>"1551599122783855"</f>
        <v>1551599122783855</v>
      </c>
      <c r="C2779" t="s">
        <v>40</v>
      </c>
      <c r="D2779">
        <v>4.8414580000000003</v>
      </c>
      <c r="E2779">
        <v>0.50143079999999995</v>
      </c>
      <c r="F2779" t="s">
        <v>55</v>
      </c>
      <c r="G2779">
        <v>-447.72680000000003</v>
      </c>
      <c r="H2779" s="1">
        <v>2.5896039999999998E-6</v>
      </c>
      <c r="I2779">
        <v>214.28299999999999</v>
      </c>
      <c r="J2779">
        <v>-467.3032</v>
      </c>
      <c r="K2779">
        <v>1.119929</v>
      </c>
      <c r="L2779">
        <v>213.8717</v>
      </c>
      <c r="M2779">
        <v>0.99943439999999995</v>
      </c>
      <c r="N2779">
        <v>-5.2538840000000003E-3</v>
      </c>
      <c r="O2779">
        <v>3.3218190000000002E-2</v>
      </c>
      <c r="P2779">
        <v>0.99129869999999998</v>
      </c>
      <c r="Q2779">
        <v>-0.13085150000000001</v>
      </c>
      <c r="R2779">
        <v>1.4321800000000001E-2</v>
      </c>
      <c r="S2779">
        <v>3.0022579999999999</v>
      </c>
      <c r="T2779">
        <v>-0.1705545</v>
      </c>
      <c r="U2779">
        <v>6.3385010000000006E-2</v>
      </c>
      <c r="V2779">
        <v>1.8602540000000001E-2</v>
      </c>
      <c r="W2779">
        <v>-0.1256438</v>
      </c>
      <c r="X2779">
        <v>0.99190100000000003</v>
      </c>
      <c r="Y2779">
        <v>1.2049870000000001E-2</v>
      </c>
      <c r="Z2779">
        <v>-2.0841520000000001E-3</v>
      </c>
      <c r="AA2779">
        <v>0.99992519999999996</v>
      </c>
      <c r="AB2779">
        <v>14</v>
      </c>
      <c r="AC2779">
        <v>19.5763999999999</v>
      </c>
      <c r="AD2779">
        <v>-1.119926410396</v>
      </c>
      <c r="AE2779">
        <v>0.41129999999998201</v>
      </c>
      <c r="AF2779">
        <v>0.23844844857101199</v>
      </c>
      <c r="AG2779">
        <v>-1.119926410396</v>
      </c>
      <c r="AH2779">
        <v>19.515417806509799</v>
      </c>
      <c r="AI2779">
        <v>93.284171699365302</v>
      </c>
      <c r="AJ2779">
        <v>89.299968360619005</v>
      </c>
      <c r="AK2779">
        <v>19.548980152170799</v>
      </c>
      <c r="AL2779">
        <v>97.217935881973403</v>
      </c>
      <c r="AM2779">
        <v>88.925576147636804</v>
      </c>
      <c r="AN2779">
        <v>1.0000000063869401</v>
      </c>
    </row>
    <row r="2780" spans="1:40" x14ac:dyDescent="0.25">
      <c r="A2780" t="str">
        <f>"20190303154522818"</f>
        <v>20190303154522818</v>
      </c>
      <c r="B2780" t="str">
        <f>"1551599122814112"</f>
        <v>1551599122814112</v>
      </c>
      <c r="C2780" t="s">
        <v>40</v>
      </c>
      <c r="D2780">
        <v>4.7708399999999997</v>
      </c>
      <c r="E2780">
        <v>0.50390630000000003</v>
      </c>
      <c r="F2780" t="s">
        <v>55</v>
      </c>
      <c r="G2780">
        <v>-447.43450000000001</v>
      </c>
      <c r="H2780" s="1">
        <v>2.4405440000000001E-6</v>
      </c>
      <c r="I2780">
        <v>214.13480000000001</v>
      </c>
      <c r="J2780">
        <v>-467.14409999999998</v>
      </c>
      <c r="K2780">
        <v>1.1198809999999999</v>
      </c>
      <c r="L2780">
        <v>213.87719999999999</v>
      </c>
      <c r="M2780">
        <v>0.99942889999999995</v>
      </c>
      <c r="N2780">
        <v>-5.1609899999999998E-3</v>
      </c>
      <c r="O2780">
        <v>3.3396629999999997E-2</v>
      </c>
      <c r="P2780">
        <v>0.99106910000000004</v>
      </c>
      <c r="Q2780">
        <v>-0.13267409999999999</v>
      </c>
      <c r="R2780">
        <v>1.340702E-2</v>
      </c>
      <c r="S2780">
        <v>3.0034179999999999</v>
      </c>
      <c r="T2780">
        <v>-0.16929229999999901</v>
      </c>
      <c r="U2780">
        <v>3.9779660000000001E-2</v>
      </c>
      <c r="V2780">
        <v>1.9678669999999999E-2</v>
      </c>
      <c r="W2780">
        <v>-0.12756120000000001</v>
      </c>
      <c r="X2780">
        <v>0.99163539999999994</v>
      </c>
      <c r="Y2780">
        <v>2.0079389999999999E-2</v>
      </c>
      <c r="Z2780">
        <v>-2.3255400000000001E-3</v>
      </c>
      <c r="AA2780">
        <v>0.99979569999999995</v>
      </c>
      <c r="AB2780">
        <v>15</v>
      </c>
      <c r="AC2780">
        <v>19.709599999999899</v>
      </c>
      <c r="AD2780">
        <v>-1.1198785594559999</v>
      </c>
      <c r="AE2780">
        <v>0.25760000000002398</v>
      </c>
      <c r="AF2780">
        <v>0.39949713924632402</v>
      </c>
      <c r="AG2780">
        <v>-1.1198785594559999</v>
      </c>
      <c r="AH2780">
        <v>19.643801269058901</v>
      </c>
      <c r="AI2780">
        <v>93.262185097480895</v>
      </c>
      <c r="AJ2780">
        <v>88.834932974145303</v>
      </c>
      <c r="AK2780">
        <v>19.679752393017399</v>
      </c>
      <c r="AL2780">
        <v>97.328686476773498</v>
      </c>
      <c r="AM2780">
        <v>88.863133804413295</v>
      </c>
      <c r="AN2780">
        <v>0.99999993816578203</v>
      </c>
    </row>
    <row r="2781" spans="1:40" x14ac:dyDescent="0.25">
      <c r="A2781" t="str">
        <f>"20190303154522839"</f>
        <v>20190303154522839</v>
      </c>
      <c r="B2781" t="str">
        <f>"1551599122833631"</f>
        <v>1551599122833631</v>
      </c>
      <c r="C2781" t="s">
        <v>40</v>
      </c>
      <c r="D2781">
        <v>4.9130539999999998</v>
      </c>
      <c r="E2781">
        <v>0.50365039999999905</v>
      </c>
      <c r="F2781" t="s">
        <v>55</v>
      </c>
      <c r="G2781">
        <v>-443.86869999999999</v>
      </c>
      <c r="H2781" s="1">
        <v>5.4793379999999998E-7</v>
      </c>
      <c r="I2781">
        <v>214.02209999999999</v>
      </c>
      <c r="J2781">
        <v>-466.99590000000001</v>
      </c>
      <c r="K2781">
        <v>1.1198330000000001</v>
      </c>
      <c r="L2781">
        <v>213.88229999999999</v>
      </c>
      <c r="M2781">
        <v>0.99942629999999999</v>
      </c>
      <c r="N2781">
        <v>-5.0691340000000003E-3</v>
      </c>
      <c r="O2781">
        <v>3.3487740000000002E-2</v>
      </c>
      <c r="P2781">
        <v>0.99108620000000003</v>
      </c>
      <c r="Q2781">
        <v>-0.1325865</v>
      </c>
      <c r="R2781">
        <v>1.2998910000000001E-2</v>
      </c>
      <c r="S2781">
        <v>3.0074160000000001</v>
      </c>
      <c r="T2781">
        <v>-0.1447001</v>
      </c>
      <c r="U2781">
        <v>1.8722530000000001E-2</v>
      </c>
      <c r="V2781">
        <v>2.0169900000000001E-2</v>
      </c>
      <c r="W2781">
        <v>-0.12756589999999901</v>
      </c>
      <c r="X2781">
        <v>0.99162499999999998</v>
      </c>
      <c r="Y2781">
        <v>2.7199910000000001E-2</v>
      </c>
      <c r="Z2781">
        <v>-2.1632890000000001E-3</v>
      </c>
      <c r="AA2781">
        <v>0.99962759999999995</v>
      </c>
      <c r="AB2781">
        <v>15</v>
      </c>
      <c r="AC2781">
        <v>23.127199999999998</v>
      </c>
      <c r="AD2781">
        <v>-1.1198324520662</v>
      </c>
      <c r="AE2781">
        <v>0.139800000000008</v>
      </c>
      <c r="AF2781">
        <v>0.63328129514563503</v>
      </c>
      <c r="AG2781">
        <v>-1.1198324520662</v>
      </c>
      <c r="AH2781">
        <v>23.064835178423699</v>
      </c>
      <c r="AI2781">
        <v>92.778568104650006</v>
      </c>
      <c r="AJ2781">
        <v>88.427249469358401</v>
      </c>
      <c r="AK2781">
        <v>23.100685957939302</v>
      </c>
      <c r="AL2781">
        <v>97.328957439739895</v>
      </c>
      <c r="AM2781">
        <v>88.8347502244536</v>
      </c>
      <c r="AN2781">
        <v>1.0000000121669099</v>
      </c>
    </row>
    <row r="2782" spans="1:40" x14ac:dyDescent="0.25">
      <c r="A2782" t="str">
        <f>"20190303154522861"</f>
        <v>20190303154522861</v>
      </c>
      <c r="B2782" t="str">
        <f>"1551599122853152"</f>
        <v>1551599122853152</v>
      </c>
      <c r="C2782" t="s">
        <v>40</v>
      </c>
      <c r="D2782">
        <v>4.8763880000000004</v>
      </c>
      <c r="E2782">
        <v>0.50331970000000004</v>
      </c>
      <c r="F2782" t="s">
        <v>55</v>
      </c>
      <c r="G2782">
        <v>-444.92660000000001</v>
      </c>
      <c r="H2782" s="1">
        <v>1.110846E-6</v>
      </c>
      <c r="I2782">
        <v>214.0223</v>
      </c>
      <c r="J2782">
        <v>-466.85300000000001</v>
      </c>
      <c r="K2782">
        <v>1.119801</v>
      </c>
      <c r="L2782">
        <v>213.88720000000001</v>
      </c>
      <c r="M2782">
        <v>0.99942589999999998</v>
      </c>
      <c r="N2782">
        <v>-4.9675209999999999E-3</v>
      </c>
      <c r="O2782">
        <v>3.3517030000000003E-2</v>
      </c>
      <c r="P2782">
        <v>0.99116579999999999</v>
      </c>
      <c r="Q2782">
        <v>-0.13202459999999999</v>
      </c>
      <c r="R2782">
        <v>1.265604E-2</v>
      </c>
      <c r="S2782">
        <v>3.006256</v>
      </c>
      <c r="T2782">
        <v>-0.15254189999999901</v>
      </c>
      <c r="U2782">
        <v>1.9073489999999999E-2</v>
      </c>
      <c r="V2782">
        <v>2.0537719999999999E-2</v>
      </c>
      <c r="W2782">
        <v>-0.12710560000000001</v>
      </c>
      <c r="X2782">
        <v>0.99167660000000002</v>
      </c>
      <c r="Y2782">
        <v>2.7102500000000002E-2</v>
      </c>
      <c r="Z2782">
        <v>-2.2874079999999999E-3</v>
      </c>
      <c r="AA2782">
        <v>0.99963000000000002</v>
      </c>
      <c r="AB2782">
        <v>15</v>
      </c>
      <c r="AC2782">
        <v>21.926400000000001</v>
      </c>
      <c r="AD2782">
        <v>-1.119799889154</v>
      </c>
      <c r="AE2782">
        <v>0.135099999999994</v>
      </c>
      <c r="AF2782">
        <v>0.59833218022925705</v>
      </c>
      <c r="AG2782">
        <v>-1.119799889154</v>
      </c>
      <c r="AH2782">
        <v>21.861590550513</v>
      </c>
      <c r="AI2782">
        <v>92.931160448757595</v>
      </c>
      <c r="AJ2782">
        <v>88.432257130896502</v>
      </c>
      <c r="AK2782">
        <v>21.898426760567201</v>
      </c>
      <c r="AL2782">
        <v>97.302367427375003</v>
      </c>
      <c r="AM2782">
        <v>88.813568370484106</v>
      </c>
      <c r="AN2782">
        <v>1.0000000552408499</v>
      </c>
    </row>
    <row r="2783" spans="1:40" x14ac:dyDescent="0.25">
      <c r="A2783" t="str">
        <f>"20190303154522886"</f>
        <v>20190303154522886</v>
      </c>
      <c r="B2783" t="str">
        <f>"1551599122883407"</f>
        <v>1551599122883407</v>
      </c>
      <c r="C2783" t="s">
        <v>40</v>
      </c>
      <c r="D2783">
        <v>4.9622210000000004</v>
      </c>
      <c r="E2783">
        <v>0.50320089999999995</v>
      </c>
      <c r="F2783" t="s">
        <v>55</v>
      </c>
      <c r="G2783">
        <v>-445.28899999999999</v>
      </c>
      <c r="H2783" s="1">
        <v>1.3031610000000001E-6</v>
      </c>
      <c r="I2783">
        <v>214.03550000000001</v>
      </c>
      <c r="J2783">
        <v>-466.68650000000002</v>
      </c>
      <c r="K2783">
        <v>1.119764</v>
      </c>
      <c r="L2783">
        <v>213.89269999999999</v>
      </c>
      <c r="M2783">
        <v>0.99942710000000001</v>
      </c>
      <c r="N2783">
        <v>-4.8353119999999996E-3</v>
      </c>
      <c r="O2783">
        <v>3.3501549999999998E-2</v>
      </c>
      <c r="P2783">
        <v>0.99116749999999998</v>
      </c>
      <c r="Q2783">
        <v>-0.13200309999999901</v>
      </c>
      <c r="R2783">
        <v>1.2754140000000001E-2</v>
      </c>
      <c r="S2783">
        <v>3.0056150000000001</v>
      </c>
      <c r="T2783">
        <v>-0.15607939999999901</v>
      </c>
      <c r="U2783">
        <v>2.0675659999999998E-2</v>
      </c>
      <c r="V2783">
        <v>2.041929E-2</v>
      </c>
      <c r="W2783">
        <v>-0.127216</v>
      </c>
      <c r="X2783">
        <v>0.99166480000000001</v>
      </c>
      <c r="Y2783">
        <v>2.6549940000000001E-2</v>
      </c>
      <c r="Z2783">
        <v>-2.3294309999999999E-3</v>
      </c>
      <c r="AA2783">
        <v>0.9996448</v>
      </c>
      <c r="AB2783">
        <v>15</v>
      </c>
      <c r="AC2783">
        <v>21.397500000000001</v>
      </c>
      <c r="AD2783">
        <v>-1.119762696839</v>
      </c>
      <c r="AE2783">
        <v>0.14280000000002199</v>
      </c>
      <c r="AF2783">
        <v>0.57256990230940297</v>
      </c>
      <c r="AG2783">
        <v>-1.119762696839</v>
      </c>
      <c r="AH2783">
        <v>21.331856185745298</v>
      </c>
      <c r="AI2783">
        <v>93.003761611713202</v>
      </c>
      <c r="AJ2783">
        <v>88.462488976624897</v>
      </c>
      <c r="AK2783">
        <v>21.3688977984262</v>
      </c>
      <c r="AL2783">
        <v>97.308745300494095</v>
      </c>
      <c r="AM2783">
        <v>88.820393913568793</v>
      </c>
      <c r="AN2783">
        <v>0.99999996680957104</v>
      </c>
    </row>
    <row r="2784" spans="1:40" x14ac:dyDescent="0.25">
      <c r="A2784" t="str">
        <f>"20190303154522930"</f>
        <v>20190303154522930</v>
      </c>
      <c r="B2784" t="str">
        <f>"1551599122923424"</f>
        <v>1551599122923424</v>
      </c>
      <c r="C2784" t="s">
        <v>40</v>
      </c>
      <c r="D2784">
        <v>5.0217890000000001</v>
      </c>
      <c r="E2784">
        <v>0.50291699999999995</v>
      </c>
      <c r="F2784" t="s">
        <v>55</v>
      </c>
      <c r="G2784">
        <v>-445.65280000000001</v>
      </c>
      <c r="H2784" s="1">
        <v>1.4962200000000001E-6</v>
      </c>
      <c r="I2784">
        <v>214.04679999999999</v>
      </c>
      <c r="J2784">
        <v>-466.38290000000001</v>
      </c>
      <c r="K2784">
        <v>1.119718</v>
      </c>
      <c r="L2784">
        <v>213.90280000000001</v>
      </c>
      <c r="M2784">
        <v>0.99943079999999995</v>
      </c>
      <c r="N2784">
        <v>-4.5970150000000003E-3</v>
      </c>
      <c r="O2784">
        <v>3.3419169999999998E-2</v>
      </c>
      <c r="P2784">
        <v>0.99116380000000004</v>
      </c>
      <c r="Q2784">
        <v>-0.13210669999999999</v>
      </c>
      <c r="R2784">
        <v>1.191482E-2</v>
      </c>
      <c r="S2784">
        <v>3.0051570000000001</v>
      </c>
      <c r="T2784">
        <v>-0.15998419999999999</v>
      </c>
      <c r="U2784">
        <v>2.2018429999999999E-2</v>
      </c>
      <c r="V2784">
        <v>2.1178160000000001E-2</v>
      </c>
      <c r="W2784">
        <v>-0.127556</v>
      </c>
      <c r="X2784">
        <v>0.99160519999999996</v>
      </c>
      <c r="Y2784">
        <v>2.601653E-2</v>
      </c>
      <c r="Z2784">
        <v>-2.3758439999999998E-3</v>
      </c>
      <c r="AA2784">
        <v>0.99965870000000001</v>
      </c>
      <c r="AB2784">
        <v>15</v>
      </c>
      <c r="AC2784">
        <v>20.7301</v>
      </c>
      <c r="AD2784">
        <v>-1.1197165037799901</v>
      </c>
      <c r="AE2784">
        <v>0.14399999999997701</v>
      </c>
      <c r="AF2784">
        <v>0.54727392467916203</v>
      </c>
      <c r="AG2784">
        <v>-1.1197165037799901</v>
      </c>
      <c r="AH2784">
        <v>20.663050930283401</v>
      </c>
      <c r="AI2784">
        <v>93.100699867775504</v>
      </c>
      <c r="AJ2784">
        <v>88.482839865257006</v>
      </c>
      <c r="AK2784">
        <v>20.7006025889334</v>
      </c>
      <c r="AL2784">
        <v>97.328385922949494</v>
      </c>
      <c r="AM2784">
        <v>88.776494173598493</v>
      </c>
      <c r="AN2784">
        <v>0.99999996013201198</v>
      </c>
    </row>
    <row r="2785" spans="1:40" x14ac:dyDescent="0.25">
      <c r="A2785" t="str">
        <f>"20190303154522951"</f>
        <v>20190303154522951</v>
      </c>
      <c r="B2785" t="str">
        <f>"1551599122943919"</f>
        <v>1551599122943919</v>
      </c>
      <c r="C2785" t="s">
        <v>40</v>
      </c>
      <c r="D2785">
        <v>4.9306809999999999</v>
      </c>
      <c r="E2785">
        <v>0.5027876</v>
      </c>
      <c r="F2785" t="s">
        <v>55</v>
      </c>
      <c r="G2785">
        <v>-445.88630000000001</v>
      </c>
      <c r="H2785" s="1">
        <v>1.620307E-6</v>
      </c>
      <c r="I2785">
        <v>214.0506</v>
      </c>
      <c r="J2785">
        <v>-466.2319</v>
      </c>
      <c r="K2785">
        <v>1.119713</v>
      </c>
      <c r="L2785">
        <v>213.90780000000001</v>
      </c>
      <c r="M2785">
        <v>0.99943289999999996</v>
      </c>
      <c r="N2785">
        <v>-4.4905939999999997E-3</v>
      </c>
      <c r="O2785">
        <v>3.3371779999999997E-2</v>
      </c>
      <c r="P2785">
        <v>0.99110279999999995</v>
      </c>
      <c r="Q2785">
        <v>-0.1326223</v>
      </c>
      <c r="R2785">
        <v>1.125292E-2</v>
      </c>
      <c r="S2785">
        <v>3.0046080000000002</v>
      </c>
      <c r="T2785">
        <v>-0.16413939999999999</v>
      </c>
      <c r="U2785">
        <v>2.1667479999999999E-2</v>
      </c>
      <c r="V2785">
        <v>2.1795510000000001E-2</v>
      </c>
      <c r="W2785">
        <v>-0.1281767</v>
      </c>
      <c r="X2785">
        <v>0.99151180000000005</v>
      </c>
      <c r="Y2785">
        <v>2.6080059999999999E-2</v>
      </c>
      <c r="Z2785">
        <v>-2.4420359999999999E-3</v>
      </c>
      <c r="AA2785">
        <v>0.99965689999999996</v>
      </c>
      <c r="AB2785">
        <v>15</v>
      </c>
      <c r="AC2785">
        <v>20.345599999999902</v>
      </c>
      <c r="AD2785">
        <v>-1.1197113796930001</v>
      </c>
      <c r="AE2785">
        <v>0.14279999999999399</v>
      </c>
      <c r="AF2785">
        <v>0.53463605787601198</v>
      </c>
      <c r="AG2785">
        <v>-1.1197113796930001</v>
      </c>
      <c r="AH2785">
        <v>20.2776190434341</v>
      </c>
      <c r="AI2785">
        <v>93.159514440804799</v>
      </c>
      <c r="AJ2785">
        <v>88.489699679041806</v>
      </c>
      <c r="AK2785">
        <v>20.315546346550398</v>
      </c>
      <c r="AL2785">
        <v>97.364243609755405</v>
      </c>
      <c r="AM2785">
        <v>88.740721341082903</v>
      </c>
      <c r="AN2785">
        <v>0.99999998010914404</v>
      </c>
    </row>
    <row r="2786" spans="1:40" x14ac:dyDescent="0.25">
      <c r="A2786" t="str">
        <f>"20190303154522974"</f>
        <v>20190303154522974</v>
      </c>
      <c r="B2786" t="str">
        <f>"1551599122963440"</f>
        <v>1551599122963440</v>
      </c>
      <c r="C2786" t="s">
        <v>40</v>
      </c>
      <c r="D2786">
        <v>5.0107460000000001</v>
      </c>
      <c r="E2786">
        <v>0.50267829999999902</v>
      </c>
      <c r="F2786" t="s">
        <v>55</v>
      </c>
      <c r="G2786">
        <v>-446.10379999999998</v>
      </c>
      <c r="H2786" s="1">
        <v>1.736375E-6</v>
      </c>
      <c r="I2786">
        <v>214.0438</v>
      </c>
      <c r="J2786">
        <v>-466.07709999999997</v>
      </c>
      <c r="K2786">
        <v>1.119715</v>
      </c>
      <c r="L2786">
        <v>213.91290000000001</v>
      </c>
      <c r="M2786">
        <v>0.99943490000000001</v>
      </c>
      <c r="N2786">
        <v>-4.3925259999999999E-3</v>
      </c>
      <c r="O2786">
        <v>3.3328089999999998E-2</v>
      </c>
      <c r="P2786">
        <v>0.9911141</v>
      </c>
      <c r="Q2786">
        <v>-0.1325925</v>
      </c>
      <c r="R2786">
        <v>1.058774E-2</v>
      </c>
      <c r="S2786">
        <v>3.0043329999999999</v>
      </c>
      <c r="T2786">
        <v>-0.16712859999999999</v>
      </c>
      <c r="U2786">
        <v>2.029419E-2</v>
      </c>
      <c r="V2786">
        <v>2.242386E-2</v>
      </c>
      <c r="W2786">
        <v>-0.1282432</v>
      </c>
      <c r="X2786">
        <v>0.99148919999999996</v>
      </c>
      <c r="Y2786">
        <v>2.64887E-2</v>
      </c>
      <c r="Z2786">
        <v>-2.5003569999999999E-3</v>
      </c>
      <c r="AA2786">
        <v>0.99964600000000003</v>
      </c>
      <c r="AB2786">
        <v>16</v>
      </c>
      <c r="AC2786">
        <v>19.973299999999899</v>
      </c>
      <c r="AD2786">
        <v>-1.119713263625</v>
      </c>
      <c r="AE2786">
        <v>0.13089999999999599</v>
      </c>
      <c r="AF2786">
        <v>0.53317544333483402</v>
      </c>
      <c r="AG2786">
        <v>-1.119713263625</v>
      </c>
      <c r="AH2786">
        <v>19.904015350498401</v>
      </c>
      <c r="AI2786">
        <v>93.218665273238599</v>
      </c>
      <c r="AJ2786">
        <v>88.465565947569999</v>
      </c>
      <c r="AK2786">
        <v>19.942614194708501</v>
      </c>
      <c r="AL2786">
        <v>97.368085406927307</v>
      </c>
      <c r="AM2786">
        <v>88.704399857400603</v>
      </c>
      <c r="AN2786">
        <v>0.99999999078008905</v>
      </c>
    </row>
    <row r="2787" spans="1:40" x14ac:dyDescent="0.25">
      <c r="A2787" t="str">
        <f>"20190303154522996"</f>
        <v>20190303154522996</v>
      </c>
      <c r="B2787" t="str">
        <f>"1551599122993695"</f>
        <v>1551599122993695</v>
      </c>
      <c r="C2787" t="s">
        <v>40</v>
      </c>
      <c r="D2787">
        <v>5.0147440000000003</v>
      </c>
      <c r="E2787">
        <v>0.50277729999999998</v>
      </c>
      <c r="F2787" t="s">
        <v>55</v>
      </c>
      <c r="G2787">
        <v>-445.93450000000001</v>
      </c>
      <c r="H2787" s="1">
        <v>1.6463839999999901E-6</v>
      </c>
      <c r="I2787">
        <v>214.0411</v>
      </c>
      <c r="J2787">
        <v>-465.9162</v>
      </c>
      <c r="K2787">
        <v>1.119712</v>
      </c>
      <c r="L2787">
        <v>213.91820000000001</v>
      </c>
      <c r="M2787">
        <v>0.99943649999999995</v>
      </c>
      <c r="N2787">
        <v>-4.3034149999999997E-3</v>
      </c>
      <c r="O2787">
        <v>3.3293070000000001E-2</v>
      </c>
      <c r="P2787">
        <v>0.99120319999999995</v>
      </c>
      <c r="Q2787">
        <v>-0.13192419999999999</v>
      </c>
      <c r="R2787">
        <v>1.0605170000000001E-2</v>
      </c>
      <c r="S2787">
        <v>3.0043950000000001</v>
      </c>
      <c r="T2787">
        <v>-0.16701150000000001</v>
      </c>
      <c r="U2787">
        <v>1.9119259999999999E-2</v>
      </c>
      <c r="V2787">
        <v>2.2381439999999999E-2</v>
      </c>
      <c r="W2787">
        <v>-0.12766169999999999</v>
      </c>
      <c r="X2787">
        <v>0.99156520000000004</v>
      </c>
      <c r="Y2787">
        <v>2.684421E-2</v>
      </c>
      <c r="Z2787">
        <v>-2.5091330000000002E-3</v>
      </c>
      <c r="AA2787">
        <v>0.99963650000000004</v>
      </c>
      <c r="AB2787">
        <v>16</v>
      </c>
      <c r="AC2787">
        <v>19.981699999999901</v>
      </c>
      <c r="AD2787">
        <v>-1.119710353616</v>
      </c>
      <c r="AE2787">
        <v>0.12289999999998701</v>
      </c>
      <c r="AF2787">
        <v>0.54072845263526303</v>
      </c>
      <c r="AG2787">
        <v>-1.119710353616</v>
      </c>
      <c r="AH2787">
        <v>19.912189999717899</v>
      </c>
      <c r="AI2787">
        <v>93.217306460436205</v>
      </c>
      <c r="AJ2787">
        <v>88.444478180358502</v>
      </c>
      <c r="AK2787">
        <v>19.950976144548701</v>
      </c>
      <c r="AL2787">
        <v>97.334491770615699</v>
      </c>
      <c r="AM2787">
        <v>88.706949038232807</v>
      </c>
      <c r="AN2787">
        <v>0.99999999217720104</v>
      </c>
    </row>
    <row r="2788" spans="1:40" x14ac:dyDescent="0.25">
      <c r="A2788" t="str">
        <f>"20190303154523018"</f>
        <v>20190303154523018</v>
      </c>
      <c r="B2788" t="str">
        <f>"1551599123013216"</f>
        <v>1551599123013216</v>
      </c>
      <c r="C2788" t="s">
        <v>40</v>
      </c>
      <c r="D2788">
        <v>4.9447469999999996</v>
      </c>
      <c r="E2788">
        <v>0.50250479999999997</v>
      </c>
      <c r="F2788" t="s">
        <v>55</v>
      </c>
      <c r="G2788">
        <v>-445.46080000000001</v>
      </c>
      <c r="H2788" s="1">
        <v>1.394049E-6</v>
      </c>
      <c r="I2788">
        <v>214.04660000000001</v>
      </c>
      <c r="J2788">
        <v>-465.76280000000003</v>
      </c>
      <c r="K2788">
        <v>1.1197159999999999</v>
      </c>
      <c r="L2788">
        <v>213.92330000000001</v>
      </c>
      <c r="M2788">
        <v>0.99943749999999998</v>
      </c>
      <c r="N2788">
        <v>-4.2307580000000003E-3</v>
      </c>
      <c r="O2788">
        <v>3.327128E-2</v>
      </c>
      <c r="P2788">
        <v>0.99125050000000003</v>
      </c>
      <c r="Q2788">
        <v>-0.13160429999999901</v>
      </c>
      <c r="R2788">
        <v>1.013286E-2</v>
      </c>
      <c r="S2788">
        <v>3.0045169999999999</v>
      </c>
      <c r="T2788">
        <v>-0.1644639</v>
      </c>
      <c r="U2788">
        <v>1.8859859999999999E-2</v>
      </c>
      <c r="V2788">
        <v>2.2839089999999999E-2</v>
      </c>
      <c r="W2788">
        <v>-0.1274129</v>
      </c>
      <c r="X2788">
        <v>0.99158679999999999</v>
      </c>
      <c r="Y2788">
        <v>2.6911560000000001E-2</v>
      </c>
      <c r="Z2788">
        <v>-2.4718359999999998E-3</v>
      </c>
      <c r="AA2788">
        <v>0.99963469999999999</v>
      </c>
      <c r="AB2788">
        <v>16</v>
      </c>
      <c r="AC2788">
        <v>20.302</v>
      </c>
      <c r="AD2788">
        <v>-1.1197146059509999</v>
      </c>
      <c r="AE2788">
        <v>0.12330000000000001</v>
      </c>
      <c r="AF2788">
        <v>0.55057307571896896</v>
      </c>
      <c r="AG2788">
        <v>-1.1197146059509999</v>
      </c>
      <c r="AH2788">
        <v>20.233317799402901</v>
      </c>
      <c r="AI2788">
        <v>93.166355791506803</v>
      </c>
      <c r="AJ2788">
        <v>88.4412971039295</v>
      </c>
      <c r="AK2788">
        <v>20.271754750936601</v>
      </c>
      <c r="AL2788">
        <v>97.320118958146594</v>
      </c>
      <c r="AM2788">
        <v>88.6805470467568</v>
      </c>
      <c r="AN2788">
        <v>1.00000002652633</v>
      </c>
    </row>
    <row r="2789" spans="1:40" x14ac:dyDescent="0.25">
      <c r="A2789" t="str">
        <f>"20190303154523041"</f>
        <v>20190303154523041</v>
      </c>
      <c r="B2789" t="str">
        <f>"1551599123033712"</f>
        <v>1551599123033712</v>
      </c>
      <c r="C2789" t="s">
        <v>40</v>
      </c>
      <c r="D2789">
        <v>4.9268679999999998</v>
      </c>
      <c r="E2789">
        <v>0.50236919999999996</v>
      </c>
      <c r="F2789" t="s">
        <v>55</v>
      </c>
      <c r="G2789">
        <v>-445.33710000000002</v>
      </c>
      <c r="H2789" s="1">
        <v>1.3277659999999999E-6</v>
      </c>
      <c r="I2789">
        <v>214.05719999999999</v>
      </c>
      <c r="J2789">
        <v>-465.58969999999999</v>
      </c>
      <c r="K2789">
        <v>1.11972</v>
      </c>
      <c r="L2789">
        <v>213.92910000000001</v>
      </c>
      <c r="M2789">
        <v>0.9994383</v>
      </c>
      <c r="N2789">
        <v>-4.1614549999999997E-3</v>
      </c>
      <c r="O2789">
        <v>3.3259110000000001E-2</v>
      </c>
      <c r="P2789">
        <v>0.99118119999999998</v>
      </c>
      <c r="Q2789">
        <v>-0.13213459999999999</v>
      </c>
      <c r="R2789">
        <v>1.002274E-2</v>
      </c>
      <c r="S2789">
        <v>3.0044249999999999</v>
      </c>
      <c r="T2789">
        <v>-0.16469909999999999</v>
      </c>
      <c r="U2789">
        <v>1.9699100000000001E-2</v>
      </c>
      <c r="V2789">
        <v>2.2939109999999999E-2</v>
      </c>
      <c r="W2789">
        <v>-0.1280114</v>
      </c>
      <c r="X2789">
        <v>0.99150740000000004</v>
      </c>
      <c r="Y2789">
        <v>2.6620120000000001E-2</v>
      </c>
      <c r="Z2789">
        <v>-2.4677259999999999E-3</v>
      </c>
      <c r="AA2789">
        <v>0.99964260000000005</v>
      </c>
      <c r="AB2789">
        <v>16</v>
      </c>
      <c r="AC2789">
        <v>20.252599999999902</v>
      </c>
      <c r="AD2789">
        <v>-1.119718672234</v>
      </c>
      <c r="AE2789">
        <v>0.128099999999989</v>
      </c>
      <c r="AF2789">
        <v>0.54389754102472199</v>
      </c>
      <c r="AG2789">
        <v>-1.119718672234</v>
      </c>
      <c r="AH2789">
        <v>20.183961508466201</v>
      </c>
      <c r="AI2789">
        <v>93.1741168875987</v>
      </c>
      <c r="AJ2789">
        <v>88.456423238130895</v>
      </c>
      <c r="AK2789">
        <v>20.222311851401301</v>
      </c>
      <c r="AL2789">
        <v>97.354693631781302</v>
      </c>
      <c r="AM2789">
        <v>88.6746646912936</v>
      </c>
      <c r="AN2789">
        <v>1.0000000227761501</v>
      </c>
    </row>
    <row r="2790" spans="1:40" x14ac:dyDescent="0.25">
      <c r="A2790" t="str">
        <f>"20190303154523061"</f>
        <v>20190303154523061</v>
      </c>
      <c r="B2790" t="str">
        <f>"1551599123053232"</f>
        <v>1551599123053232</v>
      </c>
      <c r="C2790" t="s">
        <v>40</v>
      </c>
      <c r="D2790">
        <v>4.9647389999999998</v>
      </c>
      <c r="E2790">
        <v>0.50221949999999904</v>
      </c>
      <c r="F2790" t="s">
        <v>55</v>
      </c>
      <c r="G2790">
        <v>-445.38869999999997</v>
      </c>
      <c r="H2790" s="1">
        <v>1.354795E-6</v>
      </c>
      <c r="I2790">
        <v>214.06729999999999</v>
      </c>
      <c r="J2790">
        <v>-465.44240000000002</v>
      </c>
      <c r="K2790">
        <v>1.1197109999999999</v>
      </c>
      <c r="L2790">
        <v>213.934</v>
      </c>
      <c r="M2790">
        <v>0.9994383</v>
      </c>
      <c r="N2790">
        <v>-4.1126729999999998E-3</v>
      </c>
      <c r="O2790">
        <v>3.3258059999999999E-2</v>
      </c>
      <c r="P2790">
        <v>0.99112529999999999</v>
      </c>
      <c r="Q2790">
        <v>-0.1326184</v>
      </c>
      <c r="R2790">
        <v>9.1139930000000008E-3</v>
      </c>
      <c r="S2790">
        <v>3.0042719999999998</v>
      </c>
      <c r="T2790">
        <v>-0.166523</v>
      </c>
      <c r="U2790">
        <v>2.055359E-2</v>
      </c>
      <c r="V2790">
        <v>2.3846760000000002E-2</v>
      </c>
      <c r="W2790">
        <v>-0.1285435</v>
      </c>
      <c r="X2790">
        <v>0.99141710000000005</v>
      </c>
      <c r="Y2790">
        <v>2.6332899999999999E-2</v>
      </c>
      <c r="Z2790">
        <v>-2.4884310000000001E-3</v>
      </c>
      <c r="AA2790">
        <v>0.99965009999999999</v>
      </c>
      <c r="AB2790">
        <v>16</v>
      </c>
      <c r="AC2790">
        <v>20.053699999999999</v>
      </c>
      <c r="AD2790">
        <v>-1.1197096452049999</v>
      </c>
      <c r="AE2790">
        <v>0.133299999999962</v>
      </c>
      <c r="AF2790">
        <v>0.53206785849088101</v>
      </c>
      <c r="AG2790">
        <v>-1.1197096452049999</v>
      </c>
      <c r="AH2790">
        <v>19.9847375273085</v>
      </c>
      <c r="AI2790">
        <v>93.205695268725904</v>
      </c>
      <c r="AJ2790">
        <v>88.474934041210105</v>
      </c>
      <c r="AK2790">
        <v>20.0231510989409</v>
      </c>
      <c r="AL2790">
        <v>97.3854349856624</v>
      </c>
      <c r="AM2790">
        <v>88.622118483870295</v>
      </c>
      <c r="AN2790">
        <v>0.99999998276357804</v>
      </c>
    </row>
    <row r="2791" spans="1:40" x14ac:dyDescent="0.25">
      <c r="A2791" t="str">
        <f>"20190303154523086"</f>
        <v>20190303154523086</v>
      </c>
      <c r="B2791" t="str">
        <f>"1551599123073727"</f>
        <v>1551599123073727</v>
      </c>
      <c r="C2791" t="s">
        <v>40</v>
      </c>
      <c r="D2791">
        <v>4.9370430000000001</v>
      </c>
      <c r="E2791">
        <v>0.50214380000000003</v>
      </c>
      <c r="F2791" t="s">
        <v>55</v>
      </c>
      <c r="G2791">
        <v>-445.4753</v>
      </c>
      <c r="H2791" s="1">
        <v>1.4012020000000001E-6</v>
      </c>
      <c r="I2791">
        <v>214.05959999999999</v>
      </c>
      <c r="J2791">
        <v>-465.26139999999998</v>
      </c>
      <c r="K2791">
        <v>1.1197060000000001</v>
      </c>
      <c r="L2791">
        <v>213.94</v>
      </c>
      <c r="M2791">
        <v>0.99943859999999995</v>
      </c>
      <c r="N2791">
        <v>-4.0631010000000004E-3</v>
      </c>
      <c r="O2791">
        <v>3.3260869999999998E-2</v>
      </c>
      <c r="P2791">
        <v>0.99112869999999997</v>
      </c>
      <c r="Q2791">
        <v>-0.1326214</v>
      </c>
      <c r="R2791">
        <v>8.692211E-3</v>
      </c>
      <c r="S2791">
        <v>3.0041500000000001</v>
      </c>
      <c r="T2791">
        <v>-0.1684657</v>
      </c>
      <c r="U2791">
        <v>1.8905640000000001E-2</v>
      </c>
      <c r="V2791">
        <v>2.4272479999999999E-2</v>
      </c>
      <c r="W2791">
        <v>-0.1285954</v>
      </c>
      <c r="X2791">
        <v>0.99140010000000001</v>
      </c>
      <c r="Y2791">
        <v>2.6880689999999999E-2</v>
      </c>
      <c r="Z2791">
        <v>-2.5360980000000001E-3</v>
      </c>
      <c r="AA2791">
        <v>0.99963550000000001</v>
      </c>
      <c r="AB2791">
        <v>16</v>
      </c>
      <c r="AC2791">
        <v>19.786099999999902</v>
      </c>
      <c r="AD2791">
        <v>-1.1197045987980001</v>
      </c>
      <c r="AE2791">
        <v>0.11959999999999101</v>
      </c>
      <c r="AF2791">
        <v>0.53685520003005804</v>
      </c>
      <c r="AG2791">
        <v>-1.1197045987980001</v>
      </c>
      <c r="AH2791">
        <v>19.7159925096887</v>
      </c>
      <c r="AI2791">
        <v>93.249231046185798</v>
      </c>
      <c r="AJ2791">
        <v>88.440254103295203</v>
      </c>
      <c r="AK2791">
        <v>19.755057897573199</v>
      </c>
      <c r="AL2791">
        <v>97.388433066310995</v>
      </c>
      <c r="AM2791">
        <v>88.597505800647596</v>
      </c>
      <c r="AN2791">
        <v>1.00000004423325</v>
      </c>
    </row>
    <row r="2792" spans="1:40" x14ac:dyDescent="0.25">
      <c r="A2792" t="str">
        <f>"20190303154523131"</f>
        <v>20190303154523131</v>
      </c>
      <c r="B2792" t="str">
        <f>"1551599123123504"</f>
        <v>1551599123123504</v>
      </c>
      <c r="C2792" t="s">
        <v>40</v>
      </c>
      <c r="D2792">
        <v>4.9145899999999996</v>
      </c>
      <c r="E2792">
        <v>0.50193149999999997</v>
      </c>
      <c r="F2792" t="s">
        <v>55</v>
      </c>
      <c r="G2792">
        <v>-445.36700000000002</v>
      </c>
      <c r="H2792" s="1">
        <v>1.3435679999999999E-6</v>
      </c>
      <c r="I2792">
        <v>214.0599</v>
      </c>
      <c r="J2792">
        <v>-464.92239999999998</v>
      </c>
      <c r="K2792">
        <v>1.1197090000000001</v>
      </c>
      <c r="L2792">
        <v>213.9513</v>
      </c>
      <c r="M2792">
        <v>0.99943890000000002</v>
      </c>
      <c r="N2792">
        <v>-3.9936140000000004E-3</v>
      </c>
      <c r="O2792">
        <v>3.3256710000000002E-2</v>
      </c>
      <c r="P2792">
        <v>0.99139120000000003</v>
      </c>
      <c r="Q2792">
        <v>-0.1306303</v>
      </c>
      <c r="R2792">
        <v>8.9049609999999994E-3</v>
      </c>
      <c r="S2792">
        <v>3.0040279999999999</v>
      </c>
      <c r="T2792">
        <v>-0.16907420000000001</v>
      </c>
      <c r="U2792">
        <v>1.8112179999999999E-2</v>
      </c>
      <c r="V2792">
        <v>2.4063149999999998E-2</v>
      </c>
      <c r="W2792">
        <v>-0.12667249999999999</v>
      </c>
      <c r="X2792">
        <v>0.99165270000000005</v>
      </c>
      <c r="Y2792">
        <v>2.7139110000000001E-2</v>
      </c>
      <c r="Z2792">
        <v>-2.5545860000000002E-3</v>
      </c>
      <c r="AA2792">
        <v>0.99962839999999997</v>
      </c>
      <c r="AB2792">
        <v>17</v>
      </c>
      <c r="AC2792">
        <v>19.555399999999999</v>
      </c>
      <c r="AD2792">
        <v>-1.1197076564319901</v>
      </c>
      <c r="AE2792">
        <v>0.10859999999999501</v>
      </c>
      <c r="AF2792">
        <v>0.54004302393117798</v>
      </c>
      <c r="AG2792">
        <v>-1.1197076564319901</v>
      </c>
      <c r="AH2792">
        <v>19.484316856147402</v>
      </c>
      <c r="AI2792">
        <v>93.287746399746496</v>
      </c>
      <c r="AJ2792">
        <v>88.412350485622795</v>
      </c>
      <c r="AK2792">
        <v>19.5239339031436</v>
      </c>
      <c r="AL2792">
        <v>97.277350688472396</v>
      </c>
      <c r="AM2792">
        <v>88.609950414104205</v>
      </c>
      <c r="AN2792">
        <v>1.00000001743073</v>
      </c>
    </row>
    <row r="2793" spans="1:40" x14ac:dyDescent="0.25">
      <c r="A2793" t="str">
        <f>"20190303154523151"</f>
        <v>20190303154523151</v>
      </c>
      <c r="B2793" t="str">
        <f>"1551599123144000"</f>
        <v>1551599123144000</v>
      </c>
      <c r="C2793" t="s">
        <v>40</v>
      </c>
      <c r="D2793">
        <v>4.9827070000000004</v>
      </c>
      <c r="E2793">
        <v>0.50209219999999999</v>
      </c>
      <c r="F2793" t="s">
        <v>55</v>
      </c>
      <c r="G2793">
        <v>-444.36840000000001</v>
      </c>
      <c r="H2793" s="1">
        <v>8.1070560000000001E-7</v>
      </c>
      <c r="I2793">
        <v>214.09399999999999</v>
      </c>
      <c r="J2793">
        <v>-464.76609999999999</v>
      </c>
      <c r="K2793">
        <v>1.1197029999999999</v>
      </c>
      <c r="L2793">
        <v>213.95650000000001</v>
      </c>
      <c r="M2793">
        <v>0.99943950000000004</v>
      </c>
      <c r="N2793">
        <v>-3.9704270000000003E-3</v>
      </c>
      <c r="O2793">
        <v>3.3243429999999997E-2</v>
      </c>
      <c r="P2793">
        <v>0.99152269999999998</v>
      </c>
      <c r="Q2793">
        <v>-0.12959309999999999</v>
      </c>
      <c r="R2793">
        <v>9.4146950000000007E-3</v>
      </c>
      <c r="S2793">
        <v>3.0042719999999998</v>
      </c>
      <c r="T2793">
        <v>-0.16366259999999999</v>
      </c>
      <c r="U2793">
        <v>2.085876E-2</v>
      </c>
      <c r="V2793">
        <v>2.3543310000000001E-2</v>
      </c>
      <c r="W2793">
        <v>-0.12565789999999999</v>
      </c>
      <c r="X2793">
        <v>0.99179419999999996</v>
      </c>
      <c r="Y2793">
        <v>2.621981E-2</v>
      </c>
      <c r="Z2793">
        <v>-2.4431420000000001E-3</v>
      </c>
      <c r="AA2793">
        <v>0.99965320000000002</v>
      </c>
      <c r="AB2793">
        <v>17</v>
      </c>
      <c r="AC2793">
        <v>20.397699999999901</v>
      </c>
      <c r="AD2793">
        <v>-1.1197021892943999</v>
      </c>
      <c r="AE2793">
        <v>0.137500000000017</v>
      </c>
      <c r="AF2793">
        <v>0.53904655112586397</v>
      </c>
      <c r="AG2793">
        <v>-1.1197021892943999</v>
      </c>
      <c r="AH2793">
        <v>20.329739843959299</v>
      </c>
      <c r="AI2793">
        <v>93.151392291915201</v>
      </c>
      <c r="AJ2793">
        <v>88.481148422799507</v>
      </c>
      <c r="AK2793">
        <v>20.367685835657799</v>
      </c>
      <c r="AL2793">
        <v>97.218750505152798</v>
      </c>
      <c r="AM2793">
        <v>88.640162433779693</v>
      </c>
      <c r="AN2793">
        <v>0.99999996521590195</v>
      </c>
    </row>
    <row r="2794" spans="1:40" x14ac:dyDescent="0.25">
      <c r="A2794" t="str">
        <f>"20190303154523175"</f>
        <v>20190303154523175</v>
      </c>
      <c r="B2794" t="str">
        <f>"1551599123163520"</f>
        <v>1551599123163520</v>
      </c>
      <c r="C2794" t="s">
        <v>40</v>
      </c>
      <c r="D2794">
        <v>4.9926789999999999</v>
      </c>
      <c r="E2794">
        <v>0.50189870000000003</v>
      </c>
      <c r="F2794" t="s">
        <v>55</v>
      </c>
      <c r="G2794">
        <v>-443.55900000000003</v>
      </c>
      <c r="H2794" s="1">
        <v>3.7937079999999998E-7</v>
      </c>
      <c r="I2794">
        <v>214.10720000000001</v>
      </c>
      <c r="J2794">
        <v>-464.58879999999999</v>
      </c>
      <c r="K2794">
        <v>1.119686</v>
      </c>
      <c r="L2794">
        <v>213.9624</v>
      </c>
      <c r="M2794">
        <v>0.99944069999999996</v>
      </c>
      <c r="N2794">
        <v>-3.9496729999999999E-3</v>
      </c>
      <c r="O2794">
        <v>3.3212909999999998E-2</v>
      </c>
      <c r="P2794">
        <v>0.99152479999999998</v>
      </c>
      <c r="Q2794">
        <v>-0.12950970000000001</v>
      </c>
      <c r="R2794">
        <v>1.032394E-2</v>
      </c>
      <c r="S2794">
        <v>3.0047000000000001</v>
      </c>
      <c r="T2794">
        <v>-0.15864300000000001</v>
      </c>
      <c r="U2794">
        <v>2.1362300000000001E-2</v>
      </c>
      <c r="V2794">
        <v>2.2601199999999998E-2</v>
      </c>
      <c r="W2794">
        <v>-0.1255955</v>
      </c>
      <c r="X2794">
        <v>0.99182400000000004</v>
      </c>
      <c r="Y2794">
        <v>2.6028249999999999E-2</v>
      </c>
      <c r="Z2794">
        <v>-2.3590099999999999E-3</v>
      </c>
      <c r="AA2794">
        <v>0.99965839999999995</v>
      </c>
      <c r="AB2794">
        <v>17</v>
      </c>
      <c r="AC2794">
        <v>21.029799999999899</v>
      </c>
      <c r="AD2794">
        <v>-1.1196856206292001</v>
      </c>
      <c r="AE2794">
        <v>0.14480000000000301</v>
      </c>
      <c r="AF2794">
        <v>0.55218080091913901</v>
      </c>
      <c r="AG2794">
        <v>-1.1196856206292001</v>
      </c>
      <c r="AH2794">
        <v>20.963582254122802</v>
      </c>
      <c r="AI2794">
        <v>93.056261091977007</v>
      </c>
      <c r="AJ2794">
        <v>88.491177919985901</v>
      </c>
      <c r="AK2794">
        <v>21.0007233316217</v>
      </c>
      <c r="AL2794">
        <v>97.215146841118695</v>
      </c>
      <c r="AM2794">
        <v>88.694597733082503</v>
      </c>
      <c r="AN2794">
        <v>0.99999994541884296</v>
      </c>
    </row>
    <row r="2795" spans="1:40" x14ac:dyDescent="0.25">
      <c r="A2795" t="str">
        <f>"20190303154523196"</f>
        <v>20190303154523196</v>
      </c>
      <c r="B2795" t="str">
        <f>"1551599123193776"</f>
        <v>1551599123193776</v>
      </c>
      <c r="C2795" t="s">
        <v>40</v>
      </c>
      <c r="D2795">
        <v>4.97567</v>
      </c>
      <c r="E2795">
        <v>0.50142259999999905</v>
      </c>
      <c r="F2795" t="s">
        <v>55</v>
      </c>
      <c r="G2795">
        <v>-443.56279999999998</v>
      </c>
      <c r="H2795" s="1">
        <v>3.7988030000000001E-7</v>
      </c>
      <c r="I2795">
        <v>214.14240000000001</v>
      </c>
      <c r="J2795">
        <v>-464.42</v>
      </c>
      <c r="K2795">
        <v>1.119667</v>
      </c>
      <c r="L2795">
        <v>213.96789999999999</v>
      </c>
      <c r="M2795">
        <v>0.99944219999999895</v>
      </c>
      <c r="N2795">
        <v>-3.9368880000000004E-3</v>
      </c>
      <c r="O2795">
        <v>3.3160000000000002E-2</v>
      </c>
      <c r="P2795">
        <v>0.99156330000000004</v>
      </c>
      <c r="Q2795">
        <v>-0.1291803</v>
      </c>
      <c r="R2795">
        <v>1.0710020000000001E-2</v>
      </c>
      <c r="S2795">
        <v>3.0045169999999999</v>
      </c>
      <c r="T2795">
        <v>-0.1599978</v>
      </c>
      <c r="U2795">
        <v>2.572632E-2</v>
      </c>
      <c r="V2795">
        <v>2.216013E-2</v>
      </c>
      <c r="W2795">
        <v>-0.12527919999999901</v>
      </c>
      <c r="X2795">
        <v>0.99187400000000003</v>
      </c>
      <c r="Y2795">
        <v>2.4523929999999999E-2</v>
      </c>
      <c r="Z2795">
        <v>-2.3345979999999998E-3</v>
      </c>
      <c r="AA2795">
        <v>0.99969649999999999</v>
      </c>
      <c r="AB2795">
        <v>17</v>
      </c>
      <c r="AC2795">
        <v>20.857199999999999</v>
      </c>
      <c r="AD2795">
        <v>-1.1196666201197001</v>
      </c>
      <c r="AE2795">
        <v>0.174500000000023</v>
      </c>
      <c r="AF2795">
        <v>0.51573998818967004</v>
      </c>
      <c r="AG2795">
        <v>-1.1196666201197001</v>
      </c>
      <c r="AH2795">
        <v>20.7916027232197</v>
      </c>
      <c r="AI2795">
        <v>93.081561139405906</v>
      </c>
      <c r="AJ2795">
        <v>88.579057774047897</v>
      </c>
      <c r="AK2795">
        <v>20.828115250205101</v>
      </c>
      <c r="AL2795">
        <v>97.196879577505996</v>
      </c>
      <c r="AM2795">
        <v>88.720129037010693</v>
      </c>
      <c r="AN2795">
        <v>0.99999999059512801</v>
      </c>
    </row>
    <row r="2796" spans="1:40" x14ac:dyDescent="0.25">
      <c r="A2796" t="str">
        <f>"20190303154523219"</f>
        <v>20190303154523219</v>
      </c>
      <c r="B2796" t="str">
        <f>"1551599123213295"</f>
        <v>1551599123213295</v>
      </c>
      <c r="C2796" t="s">
        <v>40</v>
      </c>
      <c r="D2796">
        <v>5.0226739999999896</v>
      </c>
      <c r="E2796">
        <v>0.50119259999999999</v>
      </c>
      <c r="F2796" t="s">
        <v>55</v>
      </c>
      <c r="G2796">
        <v>-443.89330000000001</v>
      </c>
      <c r="H2796" s="1">
        <v>5.5432709999999998E-7</v>
      </c>
      <c r="I2796">
        <v>214.1755</v>
      </c>
      <c r="J2796">
        <v>-464.24810000000002</v>
      </c>
      <c r="K2796">
        <v>1.11965</v>
      </c>
      <c r="L2796">
        <v>213.9735</v>
      </c>
      <c r="M2796">
        <v>0.99944520000000003</v>
      </c>
      <c r="N2796">
        <v>-3.9347519999999997E-3</v>
      </c>
      <c r="O2796">
        <v>3.307438E-2</v>
      </c>
      <c r="P2796">
        <v>0.99158780000000002</v>
      </c>
      <c r="Q2796">
        <v>-0.1289604</v>
      </c>
      <c r="R2796">
        <v>1.109416E-2</v>
      </c>
      <c r="S2796">
        <v>3.0038450000000001</v>
      </c>
      <c r="T2796">
        <v>-0.163851</v>
      </c>
      <c r="U2796">
        <v>3.0380250000000001E-2</v>
      </c>
      <c r="V2796">
        <v>2.1686420000000001E-2</v>
      </c>
      <c r="W2796">
        <v>-0.12506220000000001</v>
      </c>
      <c r="X2796">
        <v>0.99191189999999996</v>
      </c>
      <c r="Y2796">
        <v>2.2886429999999999E-2</v>
      </c>
      <c r="Z2796">
        <v>-2.3411109999999999E-3</v>
      </c>
      <c r="AA2796">
        <v>0.99973540000000005</v>
      </c>
      <c r="AB2796">
        <v>17</v>
      </c>
      <c r="AC2796">
        <v>20.354800000000001</v>
      </c>
      <c r="AD2796">
        <v>-1.1196494456729</v>
      </c>
      <c r="AE2796">
        <v>0.20199999999999799</v>
      </c>
      <c r="AF2796">
        <v>0.46991638263330499</v>
      </c>
      <c r="AG2796">
        <v>-1.1196494456729</v>
      </c>
      <c r="AH2796">
        <v>20.288961736193599</v>
      </c>
      <c r="AI2796">
        <v>93.157827285033804</v>
      </c>
      <c r="AJ2796">
        <v>88.673199105339506</v>
      </c>
      <c r="AK2796">
        <v>20.325265179588499</v>
      </c>
      <c r="AL2796">
        <v>97.184347505727004</v>
      </c>
      <c r="AM2796">
        <v>88.747527460179001</v>
      </c>
      <c r="AN2796">
        <v>1.0000000360214301</v>
      </c>
    </row>
    <row r="2797" spans="1:40" x14ac:dyDescent="0.25">
      <c r="A2797" t="str">
        <f>"20190303154523239"</f>
        <v>20190303154523239</v>
      </c>
      <c r="B2797" t="str">
        <f>"1551599123233792"</f>
        <v>1551599123233792</v>
      </c>
      <c r="C2797" t="s">
        <v>40</v>
      </c>
      <c r="D2797">
        <v>4.9807629999999996</v>
      </c>
      <c r="E2797">
        <v>0.50097179999999997</v>
      </c>
      <c r="F2797" t="s">
        <v>55</v>
      </c>
      <c r="G2797">
        <v>-443.95</v>
      </c>
      <c r="H2797" s="1">
        <v>5.8343460000000004E-7</v>
      </c>
      <c r="I2797">
        <v>214.19890000000001</v>
      </c>
      <c r="J2797">
        <v>-464.08170000000001</v>
      </c>
      <c r="K2797">
        <v>1.1196360000000001</v>
      </c>
      <c r="L2797">
        <v>213.97890000000001</v>
      </c>
      <c r="M2797">
        <v>0.99944889999999997</v>
      </c>
      <c r="N2797">
        <v>-3.9441600000000004E-3</v>
      </c>
      <c r="O2797">
        <v>3.2957899999999998E-2</v>
      </c>
      <c r="P2797">
        <v>0.99160919999999997</v>
      </c>
      <c r="Q2797">
        <v>-0.12872639999999999</v>
      </c>
      <c r="R2797">
        <v>1.186209E-2</v>
      </c>
      <c r="S2797">
        <v>3.0035400000000001</v>
      </c>
      <c r="T2797">
        <v>-0.16567560000000001</v>
      </c>
      <c r="U2797">
        <v>3.3355709999999997E-2</v>
      </c>
      <c r="V2797">
        <v>2.0797280000000001E-2</v>
      </c>
      <c r="W2797">
        <v>-0.12481970000000001</v>
      </c>
      <c r="X2797">
        <v>0.99196139999999999</v>
      </c>
      <c r="Y2797">
        <v>2.1778740000000001E-2</v>
      </c>
      <c r="Z2797">
        <v>-2.3294460000000002E-3</v>
      </c>
      <c r="AA2797">
        <v>0.99976010000000004</v>
      </c>
      <c r="AB2797">
        <v>17</v>
      </c>
      <c r="AC2797">
        <v>20.131699999999999</v>
      </c>
      <c r="AD2797">
        <v>-1.1196354165653899</v>
      </c>
      <c r="AE2797">
        <v>0.219999999999998</v>
      </c>
      <c r="AF2797">
        <v>0.44225550182962797</v>
      </c>
      <c r="AG2797">
        <v>-1.1196354165653899</v>
      </c>
      <c r="AH2797">
        <v>20.065955526642</v>
      </c>
      <c r="AI2797">
        <v>93.192890858517202</v>
      </c>
      <c r="AJ2797">
        <v>88.737400175934894</v>
      </c>
      <c r="AK2797">
        <v>20.102033344716698</v>
      </c>
      <c r="AL2797">
        <v>97.170344154758496</v>
      </c>
      <c r="AM2797">
        <v>88.798923203536802</v>
      </c>
      <c r="AN2797">
        <v>0.99999995172672296</v>
      </c>
    </row>
    <row r="2798" spans="1:40" x14ac:dyDescent="0.25">
      <c r="A2798" t="str">
        <f>"20190303154523265"</f>
        <v>20190303154523265</v>
      </c>
      <c r="B2798" t="str">
        <f>"1551599123253311"</f>
        <v>1551599123253311</v>
      </c>
      <c r="C2798" t="s">
        <v>40</v>
      </c>
      <c r="D2798">
        <v>5.0426140000000004</v>
      </c>
      <c r="E2798">
        <v>0.50081790000000004</v>
      </c>
      <c r="F2798" t="s">
        <v>55</v>
      </c>
      <c r="G2798">
        <v>-444.0548</v>
      </c>
      <c r="H2798" s="1">
        <v>6.3801469999999898E-7</v>
      </c>
      <c r="I2798">
        <v>214.22630000000001</v>
      </c>
      <c r="J2798">
        <v>-463.88529999999997</v>
      </c>
      <c r="K2798">
        <v>1.119604</v>
      </c>
      <c r="L2798">
        <v>213.98519999999999</v>
      </c>
      <c r="M2798">
        <v>0.99945510000000004</v>
      </c>
      <c r="N2798">
        <v>-3.9655109999999997E-3</v>
      </c>
      <c r="O2798">
        <v>3.2771670000000003E-2</v>
      </c>
      <c r="P2798">
        <v>0.99168029999999996</v>
      </c>
      <c r="Q2798">
        <v>-0.12807489999999999</v>
      </c>
      <c r="R2798">
        <v>1.2928E-2</v>
      </c>
      <c r="S2798">
        <v>3.0031430000000001</v>
      </c>
      <c r="T2798">
        <v>-0.16789509999999999</v>
      </c>
      <c r="U2798">
        <v>3.7094120000000001E-2</v>
      </c>
      <c r="V2798">
        <v>1.9540660000000001E-2</v>
      </c>
      <c r="W2798">
        <v>-0.1241478</v>
      </c>
      <c r="X2798">
        <v>0.99207129999999999</v>
      </c>
      <c r="Y2798">
        <v>2.0347069999999998E-2</v>
      </c>
      <c r="Z2798">
        <v>-2.3091079999999998E-3</v>
      </c>
      <c r="AA2798">
        <v>0.99979030000000002</v>
      </c>
      <c r="AB2798">
        <v>17</v>
      </c>
      <c r="AC2798">
        <v>19.830499999999901</v>
      </c>
      <c r="AD2798">
        <v>-1.1196033619853001</v>
      </c>
      <c r="AE2798">
        <v>0.241100000000017</v>
      </c>
      <c r="AF2798">
        <v>0.40761404042430499</v>
      </c>
      <c r="AG2798">
        <v>-1.1196033619853001</v>
      </c>
      <c r="AH2798">
        <v>19.764757053468401</v>
      </c>
      <c r="AI2798">
        <v>93.241449991917406</v>
      </c>
      <c r="AJ2798">
        <v>88.818540803841799</v>
      </c>
      <c r="AK2798">
        <v>19.8006384310392</v>
      </c>
      <c r="AL2798">
        <v>97.131545059933998</v>
      </c>
      <c r="AM2798">
        <v>88.871600667861301</v>
      </c>
      <c r="AN2798">
        <v>0.99999998896088205</v>
      </c>
    </row>
    <row r="2799" spans="1:40" x14ac:dyDescent="0.25">
      <c r="A2799" t="str">
        <f>"20190303154523289"</f>
        <v>20190303154523289</v>
      </c>
      <c r="B2799" t="str">
        <f>"1551599123283568"</f>
        <v>1551599123283568</v>
      </c>
      <c r="C2799" t="s">
        <v>40</v>
      </c>
      <c r="D2799">
        <v>5.0263220000000004</v>
      </c>
      <c r="E2799">
        <v>0.50052790000000003</v>
      </c>
      <c r="F2799" t="s">
        <v>55</v>
      </c>
      <c r="G2799">
        <v>-443.88479999999998</v>
      </c>
      <c r="H2799" s="1">
        <v>5.4593990000000004E-7</v>
      </c>
      <c r="I2799">
        <v>214.26339999999999</v>
      </c>
      <c r="J2799">
        <v>-463.69479999999999</v>
      </c>
      <c r="K2799">
        <v>1.1195809999999999</v>
      </c>
      <c r="L2799">
        <v>213.99119999999999</v>
      </c>
      <c r="M2799">
        <v>0.99946239999999997</v>
      </c>
      <c r="N2799">
        <v>-3.9905390000000004E-3</v>
      </c>
      <c r="O2799">
        <v>3.2544799999999999E-2</v>
      </c>
      <c r="P2799">
        <v>0.9916121</v>
      </c>
      <c r="Q2799">
        <v>-0.12850329999999999</v>
      </c>
      <c r="R2799">
        <v>1.3877260000000001E-2</v>
      </c>
      <c r="S2799">
        <v>3.0029300000000001</v>
      </c>
      <c r="T2799">
        <v>-0.16810079999999999</v>
      </c>
      <c r="U2799">
        <v>4.1763309999999998E-2</v>
      </c>
      <c r="V2799">
        <v>1.835591E-2</v>
      </c>
      <c r="W2799">
        <v>-0.1245523</v>
      </c>
      <c r="X2799">
        <v>0.99204329999999996</v>
      </c>
      <c r="Y2799">
        <v>1.8568040000000001E-2</v>
      </c>
      <c r="Z2799">
        <v>-2.2465300000000001E-3</v>
      </c>
      <c r="AA2799">
        <v>0.99982510000000002</v>
      </c>
      <c r="AB2799">
        <v>18</v>
      </c>
      <c r="AC2799">
        <v>19.809999999999999</v>
      </c>
      <c r="AD2799">
        <v>-1.1195804540601</v>
      </c>
      <c r="AE2799">
        <v>0.272199999999998</v>
      </c>
      <c r="AF2799">
        <v>0.37147546975462897</v>
      </c>
      <c r="AG2799">
        <v>-1.1195804540601</v>
      </c>
      <c r="AH2799">
        <v>19.745309206943201</v>
      </c>
      <c r="AI2799">
        <v>93.244685049689494</v>
      </c>
      <c r="AJ2799">
        <v>88.922201429201493</v>
      </c>
      <c r="AK2799">
        <v>19.780512887575401</v>
      </c>
      <c r="AL2799">
        <v>97.154901968855498</v>
      </c>
      <c r="AM2799">
        <v>88.939969482349198</v>
      </c>
      <c r="AN2799">
        <v>1.0000000619710501</v>
      </c>
    </row>
    <row r="2800" spans="1:40" x14ac:dyDescent="0.25">
      <c r="A2800" t="str">
        <f>"20190303154523311"</f>
        <v>20190303154523311</v>
      </c>
      <c r="B2800" t="str">
        <f>"1551599123304064"</f>
        <v>1551599123304064</v>
      </c>
      <c r="C2800" t="s">
        <v>40</v>
      </c>
      <c r="D2800">
        <v>4.9301339999999998</v>
      </c>
      <c r="E2800">
        <v>0.5004767</v>
      </c>
      <c r="F2800" t="s">
        <v>55</v>
      </c>
      <c r="G2800">
        <v>-444.24380000000002</v>
      </c>
      <c r="H2800" s="1">
        <v>7.3559359999999997E-7</v>
      </c>
      <c r="I2800">
        <v>214.29509999999999</v>
      </c>
      <c r="J2800">
        <v>-463.50979999999998</v>
      </c>
      <c r="K2800">
        <v>1.1195580000000001</v>
      </c>
      <c r="L2800">
        <v>213.99690000000001</v>
      </c>
      <c r="M2800">
        <v>0.99947070000000005</v>
      </c>
      <c r="N2800">
        <v>-4.0164429999999997E-3</v>
      </c>
      <c r="O2800">
        <v>3.2289209999999999E-2</v>
      </c>
      <c r="P2800">
        <v>0.99160179999999998</v>
      </c>
      <c r="Q2800">
        <v>-0.12859569999999901</v>
      </c>
      <c r="R2800">
        <v>1.374475E-2</v>
      </c>
      <c r="S2800">
        <v>3.0022890000000002</v>
      </c>
      <c r="T2800">
        <v>-0.1728085</v>
      </c>
      <c r="U2800">
        <v>4.6905519999999999E-2</v>
      </c>
      <c r="V2800">
        <v>1.8227739999999999E-2</v>
      </c>
      <c r="W2800">
        <v>-0.12461999999999999</v>
      </c>
      <c r="X2800">
        <v>0.99203710000000001</v>
      </c>
      <c r="Y2800">
        <v>1.6596739999999999E-2</v>
      </c>
      <c r="Z2800">
        <v>-2.2374999999999999E-3</v>
      </c>
      <c r="AA2800">
        <v>0.99985979999999997</v>
      </c>
      <c r="AB2800">
        <v>18</v>
      </c>
      <c r="AC2800">
        <v>19.265999999999899</v>
      </c>
      <c r="AD2800">
        <v>-1.11955726440639</v>
      </c>
      <c r="AE2800">
        <v>0.29819999999997998</v>
      </c>
      <c r="AF2800">
        <v>0.322954004852812</v>
      </c>
      <c r="AG2800">
        <v>-1.11955726440639</v>
      </c>
      <c r="AH2800">
        <v>19.200760420389599</v>
      </c>
      <c r="AI2800">
        <v>93.336551098055097</v>
      </c>
      <c r="AJ2800">
        <v>89.036384164914907</v>
      </c>
      <c r="AK2800">
        <v>19.236083501553399</v>
      </c>
      <c r="AL2800">
        <v>97.158811788003803</v>
      </c>
      <c r="AM2800">
        <v>88.947362888809295</v>
      </c>
      <c r="AN2800">
        <v>1.00000000134095</v>
      </c>
    </row>
    <row r="2801" spans="1:40" x14ac:dyDescent="0.25">
      <c r="A2801" t="str">
        <f>"20190303154523335"</f>
        <v>20190303154523335</v>
      </c>
      <c r="B2801" t="str">
        <f>"1551599123323583"</f>
        <v>1551599123323583</v>
      </c>
      <c r="C2801" t="s">
        <v>40</v>
      </c>
      <c r="D2801">
        <v>5.0613270000000004</v>
      </c>
      <c r="E2801">
        <v>0.50047029999999904</v>
      </c>
      <c r="F2801" t="s">
        <v>55</v>
      </c>
      <c r="G2801">
        <v>-443.8972</v>
      </c>
      <c r="H2801" s="1">
        <v>5.5093239999999999E-7</v>
      </c>
      <c r="I2801">
        <v>214.3005</v>
      </c>
      <c r="J2801">
        <v>-463.32010000000002</v>
      </c>
      <c r="K2801">
        <v>1.1195389999999901</v>
      </c>
      <c r="L2801">
        <v>214.0027</v>
      </c>
      <c r="M2801">
        <v>0.99948000000000004</v>
      </c>
      <c r="N2801">
        <v>-4.0442519999999999E-3</v>
      </c>
      <c r="O2801">
        <v>3.1994010000000003E-2</v>
      </c>
      <c r="P2801">
        <v>0.99143990000000004</v>
      </c>
      <c r="Q2801">
        <v>-0.129957399999999</v>
      </c>
      <c r="R2801">
        <v>1.257805E-2</v>
      </c>
      <c r="S2801">
        <v>3.0025019999999998</v>
      </c>
      <c r="T2801">
        <v>-0.17139380000000001</v>
      </c>
      <c r="U2801">
        <v>4.6478270000000002E-2</v>
      </c>
      <c r="V2801">
        <v>1.9089800000000001E-2</v>
      </c>
      <c r="W2801">
        <v>-0.12595609999999999</v>
      </c>
      <c r="X2801">
        <v>0.99185210000000001</v>
      </c>
      <c r="Y2801">
        <v>1.6446769999999999E-2</v>
      </c>
      <c r="Z2801">
        <v>-2.1973819999999999E-3</v>
      </c>
      <c r="AA2801">
        <v>0.99986229999999998</v>
      </c>
      <c r="AB2801">
        <v>18</v>
      </c>
      <c r="AC2801">
        <v>19.422899999999998</v>
      </c>
      <c r="AD2801">
        <v>-1.1195384490675999</v>
      </c>
      <c r="AE2801">
        <v>0.29779999999999501</v>
      </c>
      <c r="AF2801">
        <v>0.32270203309488898</v>
      </c>
      <c r="AG2801">
        <v>-1.1195384490675999</v>
      </c>
      <c r="AH2801">
        <v>19.358184172156101</v>
      </c>
      <c r="AI2801">
        <v>93.309431089904507</v>
      </c>
      <c r="AJ2801">
        <v>89.044964549686497</v>
      </c>
      <c r="AK2801">
        <v>19.393215241011902</v>
      </c>
      <c r="AL2801">
        <v>97.235972880690198</v>
      </c>
      <c r="AM2801">
        <v>88.897386065479196</v>
      </c>
      <c r="AN2801">
        <v>0.99999997393282902</v>
      </c>
    </row>
    <row r="2802" spans="1:40" x14ac:dyDescent="0.25">
      <c r="A2802" t="str">
        <f>"20190303154523377"</f>
        <v>20190303154523377</v>
      </c>
      <c r="B2802" t="str">
        <f>"1551599123373359"</f>
        <v>1551599123373359</v>
      </c>
      <c r="C2802" t="s">
        <v>40</v>
      </c>
      <c r="D2802">
        <v>4.9495889999999996</v>
      </c>
      <c r="E2802">
        <v>0.50034579999999995</v>
      </c>
      <c r="F2802" t="s">
        <v>55</v>
      </c>
      <c r="G2802">
        <v>-443.80470000000003</v>
      </c>
      <c r="H2802" s="1">
        <v>5.0257220000000002E-7</v>
      </c>
      <c r="I2802">
        <v>214.28030000000001</v>
      </c>
      <c r="J2802">
        <v>-462.98180000000002</v>
      </c>
      <c r="K2802">
        <v>1.119521</v>
      </c>
      <c r="L2802">
        <v>214.0128</v>
      </c>
      <c r="M2802">
        <v>0.99949869999999996</v>
      </c>
      <c r="N2802">
        <v>-4.0956400000000002E-3</v>
      </c>
      <c r="O2802">
        <v>3.1391219999999997E-2</v>
      </c>
      <c r="P2802">
        <v>0.99150269999999996</v>
      </c>
      <c r="Q2802">
        <v>-0.1295116</v>
      </c>
      <c r="R2802">
        <v>1.221239E-2</v>
      </c>
      <c r="S2802">
        <v>3.0027469999999998</v>
      </c>
      <c r="T2802">
        <v>-0.1722581</v>
      </c>
      <c r="U2802">
        <v>4.270935E-2</v>
      </c>
      <c r="V2802">
        <v>1.8852250000000001E-2</v>
      </c>
      <c r="W2802">
        <v>-0.12546009999999999</v>
      </c>
      <c r="X2802">
        <v>0.99191949999999995</v>
      </c>
      <c r="Y2802">
        <v>1.7098740000000001E-2</v>
      </c>
      <c r="Z2802">
        <v>-2.1955080000000001E-3</v>
      </c>
      <c r="AA2802">
        <v>0.99985139999999995</v>
      </c>
      <c r="AB2802">
        <v>18</v>
      </c>
      <c r="AC2802">
        <v>19.177099999999999</v>
      </c>
      <c r="AD2802">
        <v>-1.1195204974277999</v>
      </c>
      <c r="AE2802">
        <v>0.26750000000001201</v>
      </c>
      <c r="AF2802">
        <v>0.33349317702652898</v>
      </c>
      <c r="AG2802">
        <v>-1.1195204974277999</v>
      </c>
      <c r="AH2802">
        <v>19.1109289201083</v>
      </c>
      <c r="AI2802">
        <v>93.352053013985596</v>
      </c>
      <c r="AJ2802">
        <v>89.000267729808698</v>
      </c>
      <c r="AK2802">
        <v>19.146596251885502</v>
      </c>
      <c r="AL2802">
        <v>97.207326966415394</v>
      </c>
      <c r="AM2802">
        <v>88.911177440104396</v>
      </c>
      <c r="AN2802">
        <v>0.99999996925115997</v>
      </c>
    </row>
    <row r="2803" spans="1:40" x14ac:dyDescent="0.25">
      <c r="A2803" t="str">
        <f>"20190303154523397"</f>
        <v>20190303154523397</v>
      </c>
      <c r="B2803" t="str">
        <f>"1551599123393856"</f>
        <v>1551599123393856</v>
      </c>
      <c r="C2803" t="s">
        <v>40</v>
      </c>
      <c r="D2803">
        <v>4.969354</v>
      </c>
      <c r="E2803">
        <v>0.50035549999999995</v>
      </c>
      <c r="F2803" t="s">
        <v>55</v>
      </c>
      <c r="G2803">
        <v>-442.55270000000002</v>
      </c>
      <c r="H2803" s="1">
        <v>-1.6466590000000001E-7</v>
      </c>
      <c r="I2803">
        <v>214.30240000000001</v>
      </c>
      <c r="J2803">
        <v>-462.80430000000001</v>
      </c>
      <c r="K2803">
        <v>1.1195010000000001</v>
      </c>
      <c r="L2803">
        <v>214.018</v>
      </c>
      <c r="M2803">
        <v>0.9995096</v>
      </c>
      <c r="N2803">
        <v>-4.1223509999999998E-3</v>
      </c>
      <c r="O2803">
        <v>3.1046170000000001E-2</v>
      </c>
      <c r="P2803">
        <v>0.99168590000000001</v>
      </c>
      <c r="Q2803">
        <v>-0.12807199999999999</v>
      </c>
      <c r="R2803">
        <v>1.253662E-2</v>
      </c>
      <c r="S2803">
        <v>3.0036930000000002</v>
      </c>
      <c r="T2803">
        <v>-0.1646029</v>
      </c>
      <c r="U2803">
        <v>4.2572020000000002E-2</v>
      </c>
      <c r="V2803">
        <v>1.8189569999999999E-2</v>
      </c>
      <c r="W2803">
        <v>-0.1239932</v>
      </c>
      <c r="X2803">
        <v>0.99211629999999995</v>
      </c>
      <c r="Y2803">
        <v>1.6811420000000001E-2</v>
      </c>
      <c r="Z2803">
        <v>-2.0667120000000001E-3</v>
      </c>
      <c r="AA2803">
        <v>0.99985650000000004</v>
      </c>
      <c r="AB2803">
        <v>18</v>
      </c>
      <c r="AC2803">
        <v>20.2516</v>
      </c>
      <c r="AD2803">
        <v>-1.1195011646658899</v>
      </c>
      <c r="AE2803">
        <v>0.28440000000000498</v>
      </c>
      <c r="AF2803">
        <v>0.34342770890361002</v>
      </c>
      <c r="AG2803">
        <v>-1.1195011646658899</v>
      </c>
      <c r="AH2803">
        <v>20.188985071607998</v>
      </c>
      <c r="AI2803">
        <v>93.173404727016006</v>
      </c>
      <c r="AJ2803">
        <v>89.025455681625303</v>
      </c>
      <c r="AK2803">
        <v>20.2229162998451</v>
      </c>
      <c r="AL2803">
        <v>97.122618340659599</v>
      </c>
      <c r="AM2803">
        <v>88.949650517367402</v>
      </c>
      <c r="AN2803">
        <v>0.99999996341435604</v>
      </c>
    </row>
    <row r="2804" spans="1:40" x14ac:dyDescent="0.25">
      <c r="A2804" t="str">
        <f>"20190303154523533"</f>
        <v>20190303154523533</v>
      </c>
      <c r="B2804" t="str">
        <f>"1551599123523664"</f>
        <v>1551599123523664</v>
      </c>
      <c r="C2804" t="s">
        <v>40</v>
      </c>
      <c r="D2804">
        <v>4.9341989999999996</v>
      </c>
      <c r="E2804">
        <v>0.5006912</v>
      </c>
      <c r="F2804" t="s">
        <v>55</v>
      </c>
      <c r="G2804">
        <v>-441.55829999999997</v>
      </c>
      <c r="H2804" s="1">
        <v>-6.9479190000000005E-7</v>
      </c>
      <c r="I2804">
        <v>214.32509999999999</v>
      </c>
      <c r="J2804">
        <v>-461.6533</v>
      </c>
      <c r="K2804">
        <v>1.119461</v>
      </c>
      <c r="L2804">
        <v>214.0497</v>
      </c>
      <c r="M2804">
        <v>0.99958380000000002</v>
      </c>
      <c r="N2804">
        <v>-4.3007080000000003E-3</v>
      </c>
      <c r="O2804">
        <v>2.8528669999999999E-2</v>
      </c>
      <c r="P2804">
        <v>0.99189349999999998</v>
      </c>
      <c r="Q2804">
        <v>-0.12683710000000001</v>
      </c>
      <c r="R2804">
        <v>7.7459640000000001E-3</v>
      </c>
      <c r="S2804">
        <v>3.0041199999999999</v>
      </c>
      <c r="T2804">
        <v>-0.1582943</v>
      </c>
      <c r="U2804">
        <v>4.3426510000000001E-2</v>
      </c>
      <c r="V2804">
        <v>2.047409E-2</v>
      </c>
      <c r="W2804">
        <v>-0.1225844</v>
      </c>
      <c r="X2804">
        <v>0.99224690000000004</v>
      </c>
      <c r="Y2804">
        <v>1.4023290000000001E-2</v>
      </c>
      <c r="Z2804">
        <v>-1.77863E-3</v>
      </c>
      <c r="AA2804">
        <v>0.99990009999999996</v>
      </c>
      <c r="AB2804">
        <v>19</v>
      </c>
      <c r="AC2804">
        <v>20.094999999999999</v>
      </c>
      <c r="AD2804">
        <v>-1.1194616947918901</v>
      </c>
      <c r="AE2804">
        <v>0.27539999999998999</v>
      </c>
      <c r="AF2804">
        <v>0.29707918569029301</v>
      </c>
      <c r="AG2804">
        <v>-1.1194616947918901</v>
      </c>
      <c r="AH2804">
        <v>20.0325196242697</v>
      </c>
      <c r="AI2804">
        <v>93.198137835763305</v>
      </c>
      <c r="AJ2804">
        <v>89.150374680789696</v>
      </c>
      <c r="AK2804">
        <v>20.065973513025199</v>
      </c>
      <c r="AL2804">
        <v>97.041279109392704</v>
      </c>
      <c r="AM2804">
        <v>88.817922733079698</v>
      </c>
      <c r="AN2804">
        <v>1.0000000170221399</v>
      </c>
    </row>
    <row r="2805" spans="1:40" x14ac:dyDescent="0.25">
      <c r="A2805" t="str">
        <f>"20190303154523575"</f>
        <v>20190303154523575</v>
      </c>
      <c r="B2805" t="str">
        <f>"1551599123563680"</f>
        <v>1551599123563680</v>
      </c>
      <c r="C2805" t="s">
        <v>40</v>
      </c>
      <c r="D2805">
        <v>4.7535610000000004</v>
      </c>
      <c r="E2805">
        <v>0.50112999999999996</v>
      </c>
      <c r="F2805" t="s">
        <v>57</v>
      </c>
      <c r="G2805">
        <v>-439.36079999999998</v>
      </c>
      <c r="H2805" s="1">
        <v>6.3999959999999996E-6</v>
      </c>
      <c r="I2805">
        <v>214.25149999999999</v>
      </c>
      <c r="J2805">
        <v>-461.28129999999999</v>
      </c>
      <c r="K2805">
        <v>1.1194539999999999</v>
      </c>
      <c r="L2805">
        <v>214.0592</v>
      </c>
      <c r="M2805">
        <v>0.99960899999999997</v>
      </c>
      <c r="N2805">
        <v>-4.3936000000000001E-3</v>
      </c>
      <c r="O2805">
        <v>2.761953E-2</v>
      </c>
      <c r="P2805">
        <v>0.99188730000000003</v>
      </c>
      <c r="Q2805">
        <v>-0.1270319</v>
      </c>
      <c r="R2805">
        <v>4.7556309999999997E-3</v>
      </c>
      <c r="S2805">
        <v>3.0049739999999998</v>
      </c>
      <c r="T2805">
        <v>-0.15089939999999999</v>
      </c>
      <c r="U2805">
        <v>2.7191159999999999E-2</v>
      </c>
      <c r="V2805">
        <v>2.2555639999999998E-2</v>
      </c>
      <c r="W2805">
        <v>-0.1226897</v>
      </c>
      <c r="X2805">
        <v>0.99218879999999998</v>
      </c>
      <c r="Y2805">
        <v>1.851943E-2</v>
      </c>
      <c r="Z2805">
        <v>-1.7699879999999999E-3</v>
      </c>
      <c r="AA2805">
        <v>0.99982689999999996</v>
      </c>
      <c r="AB2805">
        <v>19</v>
      </c>
      <c r="AC2805">
        <v>21.920500000000001</v>
      </c>
      <c r="AD2805">
        <v>-1.1194476000039999</v>
      </c>
      <c r="AE2805">
        <v>0.19229999999998801</v>
      </c>
      <c r="AF2805">
        <v>0.412138252527399</v>
      </c>
      <c r="AG2805">
        <v>-1.1194476000039999</v>
      </c>
      <c r="AH2805">
        <v>21.860441114828301</v>
      </c>
      <c r="AI2805">
        <v>92.930969191732302</v>
      </c>
      <c r="AJ2805">
        <v>88.919921828371997</v>
      </c>
      <c r="AK2805">
        <v>21.8929647741741</v>
      </c>
      <c r="AL2805">
        <v>97.047357887874597</v>
      </c>
      <c r="AM2805">
        <v>88.697707111755903</v>
      </c>
      <c r="AN2805">
        <v>1.00000006711366</v>
      </c>
    </row>
    <row r="2806" spans="1:40" x14ac:dyDescent="0.25">
      <c r="A2806" t="str">
        <f>"20190303154523597"</f>
        <v>20190303154523597</v>
      </c>
      <c r="B2806" t="str">
        <f>"1551599123593936"</f>
        <v>1551599123593936</v>
      </c>
      <c r="C2806" t="s">
        <v>40</v>
      </c>
      <c r="D2806">
        <v>4.6961620000000002</v>
      </c>
      <c r="E2806">
        <v>0.50251509999999999</v>
      </c>
      <c r="F2806" t="s">
        <v>57</v>
      </c>
      <c r="G2806">
        <v>-439.27420000000001</v>
      </c>
      <c r="H2806" s="1">
        <v>6.3694660000000001E-6</v>
      </c>
      <c r="I2806">
        <v>214.16149999999999</v>
      </c>
      <c r="J2806">
        <v>-461.07990000000001</v>
      </c>
      <c r="K2806">
        <v>1.119462</v>
      </c>
      <c r="L2806">
        <v>214.0642</v>
      </c>
      <c r="M2806">
        <v>0.99962269999999998</v>
      </c>
      <c r="N2806">
        <v>-4.4653230000000002E-3</v>
      </c>
      <c r="O2806">
        <v>2.7103209999999999E-2</v>
      </c>
      <c r="P2806">
        <v>0.9919462</v>
      </c>
      <c r="Q2806">
        <v>-0.12662370000000001</v>
      </c>
      <c r="R2806">
        <v>3.0564070000000001E-3</v>
      </c>
      <c r="S2806">
        <v>3.004883</v>
      </c>
      <c r="T2806">
        <v>-0.15285090000000001</v>
      </c>
      <c r="U2806">
        <v>1.396179E-2</v>
      </c>
      <c r="V2806">
        <v>2.3740089999999998E-2</v>
      </c>
      <c r="W2806">
        <v>-0.1222118</v>
      </c>
      <c r="X2806">
        <v>0.99221999999999999</v>
      </c>
      <c r="Y2806">
        <v>2.2397920000000002E-2</v>
      </c>
      <c r="Z2806">
        <v>-1.875994E-3</v>
      </c>
      <c r="AA2806">
        <v>0.99974739999999995</v>
      </c>
      <c r="AB2806">
        <v>20</v>
      </c>
      <c r="AC2806">
        <v>21.805700000000002</v>
      </c>
      <c r="AD2806">
        <v>-1.119455630534</v>
      </c>
      <c r="AE2806">
        <v>9.7299999999989895E-2</v>
      </c>
      <c r="AF2806">
        <v>0.49244823048184999</v>
      </c>
      <c r="AG2806">
        <v>-1.119455630534</v>
      </c>
      <c r="AH2806">
        <v>21.743022474359201</v>
      </c>
      <c r="AI2806">
        <v>92.946558992215301</v>
      </c>
      <c r="AJ2806">
        <v>88.702554699879698</v>
      </c>
      <c r="AK2806">
        <v>21.7773899374771</v>
      </c>
      <c r="AL2806">
        <v>97.019769638498602</v>
      </c>
      <c r="AM2806">
        <v>88.629389153091793</v>
      </c>
      <c r="AN2806">
        <v>0.99999992216622102</v>
      </c>
    </row>
    <row r="2807" spans="1:40" x14ac:dyDescent="0.25">
      <c r="A2807" t="str">
        <f>"20190303154523621"</f>
        <v>20190303154523621</v>
      </c>
      <c r="B2807" t="str">
        <f>"1551599123613456"</f>
        <v>1551599123613456</v>
      </c>
      <c r="C2807" t="s">
        <v>40</v>
      </c>
      <c r="D2807">
        <v>4.8449210000000003</v>
      </c>
      <c r="E2807">
        <v>0.50307259999999998</v>
      </c>
      <c r="F2807" t="s">
        <v>57</v>
      </c>
      <c r="G2807">
        <v>-439.32100000000003</v>
      </c>
      <c r="H2807" s="1">
        <v>6.4002199999999897E-6</v>
      </c>
      <c r="I2807">
        <v>214.04740000000001</v>
      </c>
      <c r="J2807">
        <v>-460.87869999999998</v>
      </c>
      <c r="K2807">
        <v>1.119469</v>
      </c>
      <c r="L2807">
        <v>214.06909999999999</v>
      </c>
      <c r="M2807">
        <v>0.99963670000000004</v>
      </c>
      <c r="N2807">
        <v>-4.5617699999999997E-3</v>
      </c>
      <c r="O2807">
        <v>2.656731E-2</v>
      </c>
      <c r="P2807">
        <v>0.99208220000000003</v>
      </c>
      <c r="Q2807">
        <v>-0.12557939999999901</v>
      </c>
      <c r="R2807">
        <v>1.6771920000000001E-3</v>
      </c>
      <c r="S2807">
        <v>3.0046390000000001</v>
      </c>
      <c r="T2807">
        <v>-0.15458359999999999</v>
      </c>
      <c r="U2807">
        <v>-2.319336E-3</v>
      </c>
      <c r="V2807">
        <v>2.4587600000000001E-2</v>
      </c>
      <c r="W2807">
        <v>-0.12107279999999999</v>
      </c>
      <c r="X2807">
        <v>0.99233910000000003</v>
      </c>
      <c r="Y2807">
        <v>2.7270780000000001E-2</v>
      </c>
      <c r="Z2807">
        <v>-2.0079920000000001E-3</v>
      </c>
      <c r="AA2807">
        <v>0.99962600000000001</v>
      </c>
      <c r="AB2807">
        <v>20</v>
      </c>
      <c r="AC2807">
        <v>21.557700000000001</v>
      </c>
      <c r="AD2807">
        <v>-1.1194625997799901</v>
      </c>
      <c r="AE2807">
        <v>-2.1699999999981401E-2</v>
      </c>
      <c r="AF2807">
        <v>0.59282973656020099</v>
      </c>
      <c r="AG2807">
        <v>-1.1194625997799901</v>
      </c>
      <c r="AH2807">
        <v>21.491560245315402</v>
      </c>
      <c r="AI2807">
        <v>92.980623314202305</v>
      </c>
      <c r="AJ2807">
        <v>88.419936458070097</v>
      </c>
      <c r="AK2807">
        <v>21.528859825519699</v>
      </c>
      <c r="AL2807">
        <v>96.954020729334502</v>
      </c>
      <c r="AM2807">
        <v>88.580648969193007</v>
      </c>
      <c r="AN2807">
        <v>1.0000000311812001</v>
      </c>
    </row>
    <row r="2808" spans="1:40" x14ac:dyDescent="0.25">
      <c r="A2808" t="str">
        <f>"20190303154523643"</f>
        <v>20190303154523643</v>
      </c>
      <c r="B2808" t="str">
        <f>"1551599123633952"</f>
        <v>1551599123633952</v>
      </c>
      <c r="C2808" t="s">
        <v>40</v>
      </c>
      <c r="D2808">
        <v>4.8480600000000003</v>
      </c>
      <c r="E2808">
        <v>0.50345929999999905</v>
      </c>
      <c r="F2808" t="s">
        <v>57</v>
      </c>
      <c r="G2808">
        <v>-439.18380000000002</v>
      </c>
      <c r="H2808" s="1">
        <v>6.344723E-6</v>
      </c>
      <c r="I2808">
        <v>213.98589999999999</v>
      </c>
      <c r="J2808">
        <v>-460.67559999999997</v>
      </c>
      <c r="K2808">
        <v>1.11948</v>
      </c>
      <c r="L2808">
        <v>214.07380000000001</v>
      </c>
      <c r="M2808">
        <v>0.99965079999999995</v>
      </c>
      <c r="N2808">
        <v>-4.6911740000000002E-3</v>
      </c>
      <c r="O2808">
        <v>2.600156E-2</v>
      </c>
      <c r="P2808">
        <v>0.99220969999999997</v>
      </c>
      <c r="Q2808">
        <v>-0.12457509999999999</v>
      </c>
      <c r="R2808">
        <v>1.0428799999999999E-3</v>
      </c>
      <c r="S2808">
        <v>3.0043329999999999</v>
      </c>
      <c r="T2808">
        <v>-0.15502439999999901</v>
      </c>
      <c r="U2808">
        <v>-1.152039E-2</v>
      </c>
      <c r="V2808">
        <v>2.4659830000000001E-2</v>
      </c>
      <c r="W2808">
        <v>-0.11994050000000001</v>
      </c>
      <c r="X2808">
        <v>0.99247479999999999</v>
      </c>
      <c r="Y2808">
        <v>2.9763149999999999E-2</v>
      </c>
      <c r="Z2808">
        <v>-2.056025E-3</v>
      </c>
      <c r="AA2808">
        <v>0.99955490000000002</v>
      </c>
      <c r="AB2808">
        <v>20</v>
      </c>
      <c r="AC2808">
        <v>21.491799999999898</v>
      </c>
      <c r="AD2808">
        <v>-1.1194736552769999</v>
      </c>
      <c r="AE2808">
        <v>-8.7900000000018894E-2</v>
      </c>
      <c r="AF2808">
        <v>0.64494696759455294</v>
      </c>
      <c r="AG2808">
        <v>-1.1194736552769999</v>
      </c>
      <c r="AH2808">
        <v>21.424120946046699</v>
      </c>
      <c r="AI2808">
        <v>92.989801552351693</v>
      </c>
      <c r="AJ2808">
        <v>88.275701357360802</v>
      </c>
      <c r="AK2808">
        <v>21.463041167707502</v>
      </c>
      <c r="AL2808">
        <v>96.8886684735226</v>
      </c>
      <c r="AM2808">
        <v>88.5766756682183</v>
      </c>
      <c r="AN2808">
        <v>1.0000000296954501</v>
      </c>
    </row>
    <row r="2809" spans="1:40" x14ac:dyDescent="0.25">
      <c r="A2809" t="str">
        <f>"20190303154523664"</f>
        <v>20190303154523664</v>
      </c>
      <c r="B2809" t="str">
        <f>"1551599123653472"</f>
        <v>1551599123653472</v>
      </c>
      <c r="C2809" t="s">
        <v>40</v>
      </c>
      <c r="D2809">
        <v>4.8378500000000004</v>
      </c>
      <c r="E2809">
        <v>0.50377640000000001</v>
      </c>
      <c r="F2809" t="s">
        <v>57</v>
      </c>
      <c r="G2809">
        <v>-439.15069999999997</v>
      </c>
      <c r="H2809" s="1">
        <v>6.3326799999999998E-6</v>
      </c>
      <c r="I2809">
        <v>213.95570000000001</v>
      </c>
      <c r="J2809">
        <v>-460.48570000000001</v>
      </c>
      <c r="K2809">
        <v>1.11948</v>
      </c>
      <c r="L2809">
        <v>214.07810000000001</v>
      </c>
      <c r="M2809">
        <v>0.99966449999999996</v>
      </c>
      <c r="N2809">
        <v>-4.8403869999999998E-3</v>
      </c>
      <c r="O2809">
        <v>2.5449920000000001E-2</v>
      </c>
      <c r="P2809">
        <v>0.99228749999999999</v>
      </c>
      <c r="Q2809">
        <v>-0.1239581</v>
      </c>
      <c r="R2809">
        <v>7.2359989999999999E-4</v>
      </c>
      <c r="S2809">
        <v>3.0039669999999998</v>
      </c>
      <c r="T2809">
        <v>-0.1562308</v>
      </c>
      <c r="U2809">
        <v>-1.6479489999999999E-2</v>
      </c>
      <c r="V2809">
        <v>2.4429309999999999E-2</v>
      </c>
      <c r="W2809">
        <v>-0.1191757</v>
      </c>
      <c r="X2809">
        <v>0.99257260000000003</v>
      </c>
      <c r="Y2809">
        <v>3.086001E-2</v>
      </c>
      <c r="Z2809">
        <v>-2.0761769999999998E-3</v>
      </c>
      <c r="AA2809">
        <v>0.99952160000000001</v>
      </c>
      <c r="AB2809">
        <v>20</v>
      </c>
      <c r="AC2809">
        <v>21.335000000000001</v>
      </c>
      <c r="AD2809">
        <v>-1.1194736673200001</v>
      </c>
      <c r="AE2809">
        <v>-0.122399999999998</v>
      </c>
      <c r="AF2809">
        <v>0.663513946060168</v>
      </c>
      <c r="AG2809">
        <v>-1.1194736673200001</v>
      </c>
      <c r="AH2809">
        <v>21.266424862483799</v>
      </c>
      <c r="AI2809">
        <v>93.011830142968407</v>
      </c>
      <c r="AJ2809">
        <v>88.212947378896203</v>
      </c>
      <c r="AK2809">
        <v>21.306203286369598</v>
      </c>
      <c r="AL2809">
        <v>96.844532267555493</v>
      </c>
      <c r="AM2809">
        <v>88.590114378335798</v>
      </c>
      <c r="AN2809">
        <v>1.00000000246416</v>
      </c>
    </row>
    <row r="2810" spans="1:40" x14ac:dyDescent="0.25">
      <c r="A2810" t="str">
        <f>"20190303154523688"</f>
        <v>20190303154523688</v>
      </c>
      <c r="B2810" t="str">
        <f>"1551599123683729"</f>
        <v>1551599123683729</v>
      </c>
      <c r="C2810" t="s">
        <v>40</v>
      </c>
      <c r="D2810">
        <v>4.8747989999999897</v>
      </c>
      <c r="E2810">
        <v>0.50397780000000003</v>
      </c>
      <c r="F2810" t="s">
        <v>57</v>
      </c>
      <c r="G2810">
        <v>-439.37520000000001</v>
      </c>
      <c r="H2810" s="1">
        <v>6.4338479999999998E-6</v>
      </c>
      <c r="I2810">
        <v>213.9374</v>
      </c>
      <c r="J2810">
        <v>-460.27550000000002</v>
      </c>
      <c r="K2810">
        <v>1.1194919999999999</v>
      </c>
      <c r="L2810">
        <v>214.08279999999999</v>
      </c>
      <c r="M2810">
        <v>0.9996794</v>
      </c>
      <c r="N2810">
        <v>-5.0298019999999999E-3</v>
      </c>
      <c r="O2810">
        <v>2.4817079999999998E-2</v>
      </c>
      <c r="P2810">
        <v>0.99230370000000001</v>
      </c>
      <c r="Q2810">
        <v>-0.12382600000000001</v>
      </c>
      <c r="R2810">
        <v>4.8817789999999999E-4</v>
      </c>
      <c r="S2810">
        <v>3.003479</v>
      </c>
      <c r="T2810">
        <v>-0.15927259999999999</v>
      </c>
      <c r="U2810">
        <v>-2.0019530000000001E-2</v>
      </c>
      <c r="V2810">
        <v>2.403272E-2</v>
      </c>
      <c r="W2810">
        <v>-0.1188563</v>
      </c>
      <c r="X2810">
        <v>0.99262059999999996</v>
      </c>
      <c r="Y2810">
        <v>3.1403210000000001E-2</v>
      </c>
      <c r="Z2810">
        <v>-2.1013590000000001E-3</v>
      </c>
      <c r="AA2810">
        <v>0.99950459999999997</v>
      </c>
      <c r="AB2810">
        <v>20</v>
      </c>
      <c r="AC2810">
        <v>20.900300000000001</v>
      </c>
      <c r="AD2810">
        <v>-1.119485566152</v>
      </c>
      <c r="AE2810">
        <v>-0.14539999999999501</v>
      </c>
      <c r="AF2810">
        <v>0.66214655945303003</v>
      </c>
      <c r="AG2810">
        <v>-1.119485566152</v>
      </c>
      <c r="AH2810">
        <v>20.830494291411199</v>
      </c>
      <c r="AI2810">
        <v>93.074716482826204</v>
      </c>
      <c r="AJ2810">
        <v>88.1793311077613</v>
      </c>
      <c r="AK2810">
        <v>20.8710607881711</v>
      </c>
      <c r="AL2810">
        <v>96.826100847191995</v>
      </c>
      <c r="AM2810">
        <v>88.613060756296505</v>
      </c>
      <c r="AN2810">
        <v>1.0000000236123201</v>
      </c>
    </row>
    <row r="2811" spans="1:40" x14ac:dyDescent="0.25">
      <c r="A2811" t="str">
        <f>"20190303154523712"</f>
        <v>20190303154523712</v>
      </c>
      <c r="B2811" t="str">
        <f>"1551599123703248"</f>
        <v>1551599123703248</v>
      </c>
      <c r="C2811" t="s">
        <v>40</v>
      </c>
      <c r="D2811">
        <v>4.8443759999999996</v>
      </c>
      <c r="E2811">
        <v>0.50406410000000001</v>
      </c>
      <c r="F2811" t="s">
        <v>55</v>
      </c>
      <c r="G2811">
        <v>-440.26350000000002</v>
      </c>
      <c r="H2811" s="1">
        <v>-1.3666580000000001E-6</v>
      </c>
      <c r="I2811">
        <v>213.93170000000001</v>
      </c>
      <c r="J2811">
        <v>-460.06299999999999</v>
      </c>
      <c r="K2811">
        <v>1.119516</v>
      </c>
      <c r="L2811">
        <v>214.0873</v>
      </c>
      <c r="M2811">
        <v>0.99969450000000004</v>
      </c>
      <c r="N2811">
        <v>-5.252296E-3</v>
      </c>
      <c r="O2811">
        <v>2.415084E-2</v>
      </c>
      <c r="P2811">
        <v>0.99224909999999999</v>
      </c>
      <c r="Q2811">
        <v>-0.124264899999999</v>
      </c>
      <c r="R2811">
        <v>-1.904164E-4</v>
      </c>
      <c r="S2811">
        <v>3.002319</v>
      </c>
      <c r="T2811">
        <v>-0.1679533</v>
      </c>
      <c r="U2811">
        <v>-2.26593E-2</v>
      </c>
      <c r="V2811">
        <v>2.404338E-2</v>
      </c>
      <c r="W2811">
        <v>-0.1190756</v>
      </c>
      <c r="X2811">
        <v>0.99259410000000003</v>
      </c>
      <c r="Y2811">
        <v>3.1610270000000003E-2</v>
      </c>
      <c r="Z2811">
        <v>-2.1896609999999999E-3</v>
      </c>
      <c r="AA2811">
        <v>0.99949790000000005</v>
      </c>
      <c r="AB2811">
        <v>20</v>
      </c>
      <c r="AC2811">
        <v>19.799499999999998</v>
      </c>
      <c r="AD2811">
        <v>-1.1195173666580001</v>
      </c>
      <c r="AE2811">
        <v>-0.15559999999999199</v>
      </c>
      <c r="AF2811">
        <v>0.63171625882002602</v>
      </c>
      <c r="AG2811">
        <v>-1.1195173666580001</v>
      </c>
      <c r="AH2811">
        <v>19.726902367386302</v>
      </c>
      <c r="AI2811">
        <v>93.246436370007899</v>
      </c>
      <c r="AJ2811">
        <v>88.165839211198005</v>
      </c>
      <c r="AK2811">
        <v>19.768739504032599</v>
      </c>
      <c r="AL2811">
        <v>96.838755397401997</v>
      </c>
      <c r="AM2811">
        <v>88.612408773229802</v>
      </c>
      <c r="AN2811">
        <v>1.0000000649959899</v>
      </c>
    </row>
    <row r="2812" spans="1:40" x14ac:dyDescent="0.25">
      <c r="A2812" t="str">
        <f>"20190303154523736"</f>
        <v>20190303154523736</v>
      </c>
      <c r="B2812" t="str">
        <f>"1551599123723744"</f>
        <v>1551599123723744</v>
      </c>
      <c r="C2812" t="s">
        <v>40</v>
      </c>
      <c r="D2812">
        <v>4.8249170000000001</v>
      </c>
      <c r="E2812">
        <v>0.50427349999999904</v>
      </c>
      <c r="F2812" t="s">
        <v>55</v>
      </c>
      <c r="G2812">
        <v>-440.85829999999999</v>
      </c>
      <c r="H2812" s="1">
        <v>-1.049711E-6</v>
      </c>
      <c r="I2812">
        <v>213.9228</v>
      </c>
      <c r="J2812">
        <v>-459.83819999999997</v>
      </c>
      <c r="K2812">
        <v>1.119543</v>
      </c>
      <c r="L2812">
        <v>214.09190000000001</v>
      </c>
      <c r="M2812">
        <v>0.9997106</v>
      </c>
      <c r="N2812">
        <v>-5.5371480000000004E-3</v>
      </c>
      <c r="O2812">
        <v>2.3412579999999999E-2</v>
      </c>
      <c r="P2812">
        <v>0.99224210000000002</v>
      </c>
      <c r="Q2812">
        <v>-0.124318899999999</v>
      </c>
      <c r="R2812">
        <v>-8.6112089999999895E-4</v>
      </c>
      <c r="S2812">
        <v>3.0015869999999998</v>
      </c>
      <c r="T2812">
        <v>-0.1749744</v>
      </c>
      <c r="U2812">
        <v>-2.5711060000000001E-2</v>
      </c>
      <c r="V2812">
        <v>2.3975429999999999E-2</v>
      </c>
      <c r="W2812">
        <v>-0.118848</v>
      </c>
      <c r="X2812">
        <v>0.99262300000000003</v>
      </c>
      <c r="Y2812">
        <v>3.1883410000000001E-2</v>
      </c>
      <c r="Z2812">
        <v>-2.250883E-3</v>
      </c>
      <c r="AA2812">
        <v>0.99948910000000002</v>
      </c>
      <c r="AB2812">
        <v>20</v>
      </c>
      <c r="AC2812">
        <v>18.979899999999901</v>
      </c>
      <c r="AD2812">
        <v>-1.1195440497110001</v>
      </c>
      <c r="AE2812">
        <v>-0.16910000000001399</v>
      </c>
      <c r="AF2812">
        <v>0.61130211747544705</v>
      </c>
      <c r="AG2812">
        <v>-1.1195440497110001</v>
      </c>
      <c r="AH2812">
        <v>18.904966861862199</v>
      </c>
      <c r="AI2812">
        <v>93.387307196674399</v>
      </c>
      <c r="AJ2812">
        <v>88.147955930628299</v>
      </c>
      <c r="AK2812">
        <v>18.947950844515699</v>
      </c>
      <c r="AL2812">
        <v>96.825621755964605</v>
      </c>
      <c r="AM2812">
        <v>88.616369045665905</v>
      </c>
      <c r="AN2812">
        <v>1.0000000442383401</v>
      </c>
    </row>
    <row r="2813" spans="1:40" x14ac:dyDescent="0.25">
      <c r="A2813" t="str">
        <f>"20190303154523756"</f>
        <v>20190303154523756</v>
      </c>
      <c r="B2813" t="str">
        <f>"1551599123754000"</f>
        <v>1551599123754000</v>
      </c>
      <c r="C2813" t="s">
        <v>40</v>
      </c>
      <c r="D2813">
        <v>4.8577380000000003</v>
      </c>
      <c r="E2813">
        <v>0.50444960000000005</v>
      </c>
      <c r="F2813" t="s">
        <v>55</v>
      </c>
      <c r="G2813">
        <v>-441.05810000000002</v>
      </c>
      <c r="H2813" s="1">
        <v>-9.4272050000000003E-7</v>
      </c>
      <c r="I2813">
        <v>213.90690000000001</v>
      </c>
      <c r="J2813">
        <v>-459.64879999999999</v>
      </c>
      <c r="K2813">
        <v>1.1195710000000001</v>
      </c>
      <c r="L2813">
        <v>214.09559999999999</v>
      </c>
      <c r="M2813">
        <v>0.9997241</v>
      </c>
      <c r="N2813">
        <v>-5.8268060000000003E-3</v>
      </c>
      <c r="O2813">
        <v>2.2756370000000001E-2</v>
      </c>
      <c r="P2813">
        <v>0.99232790000000004</v>
      </c>
      <c r="Q2813">
        <v>-0.1236304</v>
      </c>
      <c r="R2813">
        <v>-9.1468639999999998E-4</v>
      </c>
      <c r="S2813">
        <v>3.001007</v>
      </c>
      <c r="T2813">
        <v>-0.1788999</v>
      </c>
      <c r="U2813">
        <v>-2.9556269999999999E-2</v>
      </c>
      <c r="V2813">
        <v>2.3375030000000002E-2</v>
      </c>
      <c r="W2813">
        <v>-0.117872</v>
      </c>
      <c r="X2813">
        <v>0.99275360000000001</v>
      </c>
      <c r="Y2813">
        <v>3.2505180000000002E-2</v>
      </c>
      <c r="Z2813">
        <v>-2.2855869999999999E-3</v>
      </c>
      <c r="AA2813">
        <v>0.99946900000000005</v>
      </c>
      <c r="AB2813">
        <v>20</v>
      </c>
      <c r="AC2813">
        <v>18.590699999999899</v>
      </c>
      <c r="AD2813">
        <v>-1.1195719427205</v>
      </c>
      <c r="AE2813">
        <v>-0.18869999999998299</v>
      </c>
      <c r="AF2813">
        <v>0.60950487719826896</v>
      </c>
      <c r="AG2813">
        <v>-1.1195719427205</v>
      </c>
      <c r="AH2813">
        <v>18.514451811224301</v>
      </c>
      <c r="AI2813">
        <v>93.458602318809895</v>
      </c>
      <c r="AJ2813">
        <v>88.114475658634305</v>
      </c>
      <c r="AK2813">
        <v>18.5582828785532</v>
      </c>
      <c r="AL2813">
        <v>96.769305816702797</v>
      </c>
      <c r="AM2813">
        <v>88.651182783500701</v>
      </c>
      <c r="AN2813">
        <v>0.99999995536222896</v>
      </c>
    </row>
    <row r="2814" spans="1:40" x14ac:dyDescent="0.25">
      <c r="A2814" t="str">
        <f>"20190303154523778"</f>
        <v>20190303154523778</v>
      </c>
      <c r="B2814" t="str">
        <f>"1551599123773520"</f>
        <v>1551599123773520</v>
      </c>
      <c r="C2814" t="s">
        <v>40</v>
      </c>
      <c r="D2814">
        <v>4.8465049999999996</v>
      </c>
      <c r="E2814">
        <v>0.50465280000000001</v>
      </c>
      <c r="F2814" t="s">
        <v>55</v>
      </c>
      <c r="G2814">
        <v>-441.38990000000001</v>
      </c>
      <c r="H2814" s="1">
        <v>-7.6602209999999997E-7</v>
      </c>
      <c r="I2814">
        <v>213.9041</v>
      </c>
      <c r="J2814">
        <v>-459.45729999999998</v>
      </c>
      <c r="K2814">
        <v>1.1196010000000001</v>
      </c>
      <c r="L2814">
        <v>214.0992</v>
      </c>
      <c r="M2814">
        <v>0.99973769999999995</v>
      </c>
      <c r="N2814">
        <v>-6.1583469999999998E-3</v>
      </c>
      <c r="O2814">
        <v>2.2057589999999998E-2</v>
      </c>
      <c r="P2814">
        <v>0.99238899999999997</v>
      </c>
      <c r="Q2814">
        <v>-0.1231405</v>
      </c>
      <c r="R2814">
        <v>-7.8623509999999996E-4</v>
      </c>
      <c r="S2814">
        <v>3.0002140000000002</v>
      </c>
      <c r="T2814">
        <v>-0.18396219999999999</v>
      </c>
      <c r="U2814">
        <v>-3.1463619999999998E-2</v>
      </c>
      <c r="V2814">
        <v>2.2547890000000001E-2</v>
      </c>
      <c r="W2814">
        <v>-0.11705309999999999</v>
      </c>
      <c r="X2814">
        <v>0.99286969999999997</v>
      </c>
      <c r="Y2814">
        <v>3.244023E-2</v>
      </c>
      <c r="Z2814">
        <v>-2.309012E-3</v>
      </c>
      <c r="AA2814">
        <v>0.999471</v>
      </c>
      <c r="AB2814">
        <v>20</v>
      </c>
      <c r="AC2814">
        <v>18.0673999999999</v>
      </c>
      <c r="AD2814">
        <v>-1.1196017660221</v>
      </c>
      <c r="AE2814">
        <v>-0.195099999999996</v>
      </c>
      <c r="AF2814">
        <v>0.59131300195828895</v>
      </c>
      <c r="AG2814">
        <v>-1.1196017660221</v>
      </c>
      <c r="AH2814">
        <v>17.989627700194799</v>
      </c>
      <c r="AI2814">
        <v>93.559347345372402</v>
      </c>
      <c r="AJ2814">
        <v>88.117384836351604</v>
      </c>
      <c r="AK2814">
        <v>18.0341305299807</v>
      </c>
      <c r="AL2814">
        <v>96.7220586654241</v>
      </c>
      <c r="AM2814">
        <v>88.699046904371798</v>
      </c>
      <c r="AN2814">
        <v>1.0000000383705701</v>
      </c>
    </row>
    <row r="2815" spans="1:40" x14ac:dyDescent="0.25">
      <c r="A2815" t="str">
        <f>"20190303154523800"</f>
        <v>20190303154523800</v>
      </c>
      <c r="B2815" t="str">
        <f>"1551599123794016"</f>
        <v>1551599123794016</v>
      </c>
      <c r="C2815" t="s">
        <v>40</v>
      </c>
      <c r="D2815">
        <v>4.9190529999999999</v>
      </c>
      <c r="E2815">
        <v>0.50472890000000004</v>
      </c>
      <c r="F2815" t="s">
        <v>55</v>
      </c>
      <c r="G2815">
        <v>-441.3999</v>
      </c>
      <c r="H2815" s="1">
        <v>-7.6059339999999996E-7</v>
      </c>
      <c r="I2815">
        <v>213.9015</v>
      </c>
      <c r="J2815">
        <v>-459.24689999999998</v>
      </c>
      <c r="K2815">
        <v>1.1196410000000001</v>
      </c>
      <c r="L2815">
        <v>214.10290000000001</v>
      </c>
      <c r="M2815">
        <v>0.99975290000000006</v>
      </c>
      <c r="N2815">
        <v>-6.5543519999999899E-3</v>
      </c>
      <c r="O2815">
        <v>2.1247370000000002E-2</v>
      </c>
      <c r="P2815">
        <v>0.99254569999999998</v>
      </c>
      <c r="Q2815">
        <v>-0.121873</v>
      </c>
      <c r="R2815">
        <v>-7.7262330000000005E-4</v>
      </c>
      <c r="S2815">
        <v>2.9999389999999999</v>
      </c>
      <c r="T2815">
        <v>-0.1860029</v>
      </c>
      <c r="U2815">
        <v>-3.2836909999999997E-2</v>
      </c>
      <c r="V2815">
        <v>2.1726269999999999E-2</v>
      </c>
      <c r="W2815">
        <v>-0.11539199999999999</v>
      </c>
      <c r="X2815">
        <v>0.99308240000000003</v>
      </c>
      <c r="Y2815">
        <v>3.2088520000000002E-2</v>
      </c>
      <c r="Z2815">
        <v>-2.2759719999999998E-3</v>
      </c>
      <c r="AA2815">
        <v>0.99948250000000005</v>
      </c>
      <c r="AB2815">
        <v>20</v>
      </c>
      <c r="AC2815">
        <v>17.846999999999898</v>
      </c>
      <c r="AD2815">
        <v>-1.1196417605933999</v>
      </c>
      <c r="AE2815">
        <v>-0.20140000000000599</v>
      </c>
      <c r="AF2815">
        <v>0.57828872697602496</v>
      </c>
      <c r="AG2815">
        <v>-1.1196417605933999</v>
      </c>
      <c r="AH2815">
        <v>17.768766984643701</v>
      </c>
      <c r="AI2815">
        <v>93.603639641993198</v>
      </c>
      <c r="AJ2815">
        <v>88.135953237433498</v>
      </c>
      <c r="AK2815">
        <v>17.813396522796399</v>
      </c>
      <c r="AL2815">
        <v>96.626235525065098</v>
      </c>
      <c r="AM2815">
        <v>88.746705178403303</v>
      </c>
      <c r="AN2815">
        <v>0.99999999883093604</v>
      </c>
    </row>
    <row r="2816" spans="1:40" x14ac:dyDescent="0.25">
      <c r="A2816" t="str">
        <f>"20190303154523825"</f>
        <v>20190303154523825</v>
      </c>
      <c r="B2816" t="str">
        <f>"1551599123813537"</f>
        <v>1551599123813537</v>
      </c>
      <c r="C2816" t="s">
        <v>40</v>
      </c>
      <c r="D2816">
        <v>5.005242</v>
      </c>
      <c r="E2816">
        <v>0.5046602</v>
      </c>
      <c r="F2816" t="s">
        <v>55</v>
      </c>
      <c r="G2816">
        <v>-440.9991</v>
      </c>
      <c r="H2816" s="1">
        <v>-9.7390229999999998E-7</v>
      </c>
      <c r="I2816">
        <v>213.90190000000001</v>
      </c>
      <c r="J2816">
        <v>-459.0317</v>
      </c>
      <c r="K2816">
        <v>1.119683</v>
      </c>
      <c r="L2816">
        <v>214.10650000000001</v>
      </c>
      <c r="M2816">
        <v>0.99976810000000005</v>
      </c>
      <c r="N2816">
        <v>-7.0077819999999997E-3</v>
      </c>
      <c r="O2816">
        <v>2.036752E-2</v>
      </c>
      <c r="P2816">
        <v>0.99265320000000001</v>
      </c>
      <c r="Q2816">
        <v>-0.1209918</v>
      </c>
      <c r="R2816">
        <v>-9.0788489999999995E-4</v>
      </c>
      <c r="S2816">
        <v>2.9998779999999998</v>
      </c>
      <c r="T2816">
        <v>-0.18406520000000001</v>
      </c>
      <c r="U2816">
        <v>-3.3050540000000003E-2</v>
      </c>
      <c r="V2816">
        <v>2.0982480000000001E-2</v>
      </c>
      <c r="W2816">
        <v>-0.1140606</v>
      </c>
      <c r="X2816">
        <v>0.99325220000000003</v>
      </c>
      <c r="Y2816">
        <v>3.1285510000000002E-2</v>
      </c>
      <c r="Z2816">
        <v>-2.1744580000000002E-3</v>
      </c>
      <c r="AA2816">
        <v>0.99950810000000001</v>
      </c>
      <c r="AB2816">
        <v>20</v>
      </c>
      <c r="AC2816">
        <v>18.032599999999999</v>
      </c>
      <c r="AD2816">
        <v>-1.1196839739022999</v>
      </c>
      <c r="AE2816">
        <v>-0.204599999999999</v>
      </c>
      <c r="AF2816">
        <v>0.56964990942368599</v>
      </c>
      <c r="AG2816">
        <v>-1.1196839739022999</v>
      </c>
      <c r="AH2816">
        <v>17.955474459916999</v>
      </c>
      <c r="AI2816">
        <v>93.5664926138151</v>
      </c>
      <c r="AJ2816">
        <v>88.182861062915407</v>
      </c>
      <c r="AK2816">
        <v>17.999368219508501</v>
      </c>
      <c r="AL2816">
        <v>96.549444814199603</v>
      </c>
      <c r="AM2816">
        <v>88.789805086273006</v>
      </c>
      <c r="AN2816">
        <v>1.00000000887207</v>
      </c>
    </row>
    <row r="2817" spans="1:40" x14ac:dyDescent="0.25">
      <c r="A2817" t="str">
        <f>"20190303154523866"</f>
        <v>20190303154523866</v>
      </c>
      <c r="B2817" t="str">
        <f>"1551599123853553"</f>
        <v>1551599123853553</v>
      </c>
      <c r="C2817" t="s">
        <v>40</v>
      </c>
      <c r="D2817">
        <v>4.9302080000000004</v>
      </c>
      <c r="E2817">
        <v>0.50457479999999999</v>
      </c>
      <c r="F2817" t="s">
        <v>55</v>
      </c>
      <c r="G2817">
        <v>-440.3168</v>
      </c>
      <c r="H2817" s="1">
        <v>-1.3369559999999999E-6</v>
      </c>
      <c r="I2817">
        <v>213.9015</v>
      </c>
      <c r="J2817">
        <v>-458.654</v>
      </c>
      <c r="K2817">
        <v>1.1197919999999999</v>
      </c>
      <c r="L2817">
        <v>214.1121</v>
      </c>
      <c r="M2817">
        <v>0.99979280000000004</v>
      </c>
      <c r="N2817">
        <v>-7.9665389999999999E-3</v>
      </c>
      <c r="O2817">
        <v>1.873383E-2</v>
      </c>
      <c r="P2817">
        <v>0.99270740000000002</v>
      </c>
      <c r="Q2817">
        <v>-0.12053609999999999</v>
      </c>
      <c r="R2817">
        <v>-1.819329E-3</v>
      </c>
      <c r="S2817">
        <v>3.0002749999999998</v>
      </c>
      <c r="T2817">
        <v>-0.1795022</v>
      </c>
      <c r="U2817">
        <v>-3.285217E-2</v>
      </c>
      <c r="V2817">
        <v>2.0261040000000001E-2</v>
      </c>
      <c r="W2817">
        <v>-0.11265360000000001</v>
      </c>
      <c r="X2817">
        <v>0.99342779999999997</v>
      </c>
      <c r="Y2817">
        <v>2.959531E-2</v>
      </c>
      <c r="Z2817">
        <v>-1.9731520000000002E-3</v>
      </c>
      <c r="AA2817">
        <v>0.99956</v>
      </c>
      <c r="AB2817">
        <v>20</v>
      </c>
      <c r="AC2817">
        <v>18.337199999999999</v>
      </c>
      <c r="AD2817">
        <v>-1.11979333695599</v>
      </c>
      <c r="AE2817">
        <v>-0.21059999999999901</v>
      </c>
      <c r="AF2817">
        <v>0.55204154302844299</v>
      </c>
      <c r="AG2817">
        <v>-1.11979333695599</v>
      </c>
      <c r="AH2817">
        <v>18.261943740856601</v>
      </c>
      <c r="AI2817">
        <v>93.507294588138294</v>
      </c>
      <c r="AJ2817">
        <v>88.268529248384397</v>
      </c>
      <c r="AK2817">
        <v>18.304569816767899</v>
      </c>
      <c r="AL2817">
        <v>96.468306266948105</v>
      </c>
      <c r="AM2817">
        <v>88.831609944690101</v>
      </c>
      <c r="AN2817">
        <v>1.0000000685738299</v>
      </c>
    </row>
    <row r="2818" spans="1:40" x14ac:dyDescent="0.25">
      <c r="A2818" t="str">
        <f>"20190303154523888"</f>
        <v>20190303154523888</v>
      </c>
      <c r="B2818" t="str">
        <f>"1551599123883808"</f>
        <v>1551599123883808</v>
      </c>
      <c r="C2818" t="s">
        <v>40</v>
      </c>
      <c r="D2818">
        <v>4.9014749999999996</v>
      </c>
      <c r="E2818">
        <v>0.50444279999999997</v>
      </c>
      <c r="F2818" t="s">
        <v>57</v>
      </c>
      <c r="G2818">
        <v>-439.40570000000002</v>
      </c>
      <c r="H2818" s="1">
        <v>6.4515120000000003E-6</v>
      </c>
      <c r="I2818">
        <v>213.89</v>
      </c>
      <c r="J2818">
        <v>-458.4468</v>
      </c>
      <c r="K2818">
        <v>1.1198760000000001</v>
      </c>
      <c r="L2818">
        <v>214.1148</v>
      </c>
      <c r="M2818">
        <v>0.9998049</v>
      </c>
      <c r="N2818">
        <v>-8.5700020000000002E-3</v>
      </c>
      <c r="O2818">
        <v>1.7801230000000001E-2</v>
      </c>
      <c r="P2818">
        <v>0.99274960000000001</v>
      </c>
      <c r="Q2818">
        <v>-0.12017319999999999</v>
      </c>
      <c r="R2818">
        <v>-2.6262759999999999E-3</v>
      </c>
      <c r="S2818">
        <v>3.0008240000000002</v>
      </c>
      <c r="T2818">
        <v>-0.17457539999999999</v>
      </c>
      <c r="U2818">
        <v>-3.4622189999999997E-2</v>
      </c>
      <c r="V2818">
        <v>2.0142719999999999E-2</v>
      </c>
      <c r="W2818">
        <v>-0.111690899999999</v>
      </c>
      <c r="X2818">
        <v>0.9935389</v>
      </c>
      <c r="Y2818">
        <v>2.925703E-2</v>
      </c>
      <c r="Z2818">
        <v>-1.858005E-3</v>
      </c>
      <c r="AA2818">
        <v>0.99957019999999996</v>
      </c>
      <c r="AB2818">
        <v>20</v>
      </c>
      <c r="AC2818">
        <v>19.041099999999901</v>
      </c>
      <c r="AD2818">
        <v>-1.1198695484879999</v>
      </c>
      <c r="AE2818">
        <v>-0.22480000000001599</v>
      </c>
      <c r="AF2818">
        <v>0.56178883920256995</v>
      </c>
      <c r="AG2818">
        <v>-1.1198695484879999</v>
      </c>
      <c r="AH2818">
        <v>18.968477911106799</v>
      </c>
      <c r="AI2818">
        <v>93.377254680497202</v>
      </c>
      <c r="AJ2818">
        <v>88.303568523933507</v>
      </c>
      <c r="AK2818">
        <v>19.009809803615301</v>
      </c>
      <c r="AL2818">
        <v>96.412797308277604</v>
      </c>
      <c r="AM2818">
        <v>88.838561063688701</v>
      </c>
      <c r="AN2818">
        <v>1.0000000660624999</v>
      </c>
    </row>
    <row r="2819" spans="1:40" x14ac:dyDescent="0.25">
      <c r="A2819" t="str">
        <f>"20190303154523914"</f>
        <v>20190303154523914</v>
      </c>
      <c r="B2819" t="str">
        <f>"1551599123903328"</f>
        <v>1551599123903328</v>
      </c>
      <c r="C2819" t="s">
        <v>40</v>
      </c>
      <c r="D2819">
        <v>4.9599869999999999</v>
      </c>
      <c r="E2819">
        <v>0.50432840000000001</v>
      </c>
      <c r="F2819" t="s">
        <v>57</v>
      </c>
      <c r="G2819">
        <v>-438.85590000000002</v>
      </c>
      <c r="H2819" s="1">
        <v>6.2086350000000001E-6</v>
      </c>
      <c r="I2819">
        <v>213.8793</v>
      </c>
      <c r="J2819">
        <v>-458.21859999999998</v>
      </c>
      <c r="K2819">
        <v>1.1199870000000001</v>
      </c>
      <c r="L2819">
        <v>214.11760000000001</v>
      </c>
      <c r="M2819">
        <v>0.99981710000000001</v>
      </c>
      <c r="N2819">
        <v>-9.2591559999999993E-3</v>
      </c>
      <c r="O2819">
        <v>1.674556E-2</v>
      </c>
      <c r="P2819">
        <v>0.99278929999999999</v>
      </c>
      <c r="Q2819">
        <v>-0.1198056</v>
      </c>
      <c r="R2819">
        <v>-4.0570659999999998E-3</v>
      </c>
      <c r="S2819">
        <v>3.0010379999999999</v>
      </c>
      <c r="T2819">
        <v>-0.17154739999999999</v>
      </c>
      <c r="U2819">
        <v>-3.6071779999999998E-2</v>
      </c>
      <c r="V2819">
        <v>2.0530130000000001E-2</v>
      </c>
      <c r="W2819">
        <v>-0.11063829999999999</v>
      </c>
      <c r="X2819">
        <v>0.99364859999999999</v>
      </c>
      <c r="Y2819">
        <v>2.8688669999999999E-2</v>
      </c>
      <c r="Z2819">
        <v>-1.7536660000000001E-3</v>
      </c>
      <c r="AA2819">
        <v>0.99958689999999994</v>
      </c>
      <c r="AB2819">
        <v>20</v>
      </c>
      <c r="AC2819">
        <v>19.362699999999901</v>
      </c>
      <c r="AD2819">
        <v>-1.119980791365</v>
      </c>
      <c r="AE2819">
        <v>-0.238300000000009</v>
      </c>
      <c r="AF2819">
        <v>0.56064420310604501</v>
      </c>
      <c r="AG2819">
        <v>-1.119980791365</v>
      </c>
      <c r="AH2819">
        <v>19.2914601485991</v>
      </c>
      <c r="AI2819">
        <v>93.321222563779401</v>
      </c>
      <c r="AJ2819">
        <v>88.335351106188099</v>
      </c>
      <c r="AK2819">
        <v>19.332074735022399</v>
      </c>
      <c r="AL2819">
        <v>96.352112510632395</v>
      </c>
      <c r="AM2819">
        <v>88.816359765499101</v>
      </c>
      <c r="AN2819">
        <v>0.99999992997333098</v>
      </c>
    </row>
    <row r="2820" spans="1:40" x14ac:dyDescent="0.25">
      <c r="A2820" t="str">
        <f>"20190303154523937"</f>
        <v>20190303154523937</v>
      </c>
      <c r="B2820" t="str">
        <f>"1551599123933584"</f>
        <v>1551599123933584</v>
      </c>
      <c r="C2820" t="s">
        <v>40</v>
      </c>
      <c r="D2820">
        <v>5.0289099999999998</v>
      </c>
      <c r="E2820">
        <v>0.50426510000000002</v>
      </c>
      <c r="F2820" t="s">
        <v>57</v>
      </c>
      <c r="G2820">
        <v>-438.37959999999998</v>
      </c>
      <c r="H2820" s="1">
        <v>5.9994849999999997E-6</v>
      </c>
      <c r="I2820">
        <v>213.85570000000001</v>
      </c>
      <c r="J2820">
        <v>-458.00459999999998</v>
      </c>
      <c r="K2820">
        <v>1.120082</v>
      </c>
      <c r="L2820">
        <v>214.12</v>
      </c>
      <c r="M2820">
        <v>0.99982729999999997</v>
      </c>
      <c r="N2820">
        <v>-9.8846349999999993E-3</v>
      </c>
      <c r="O2820">
        <v>1.5741689999999999E-2</v>
      </c>
      <c r="P2820">
        <v>0.99266620000000005</v>
      </c>
      <c r="Q2820">
        <v>-0.12071320000000001</v>
      </c>
      <c r="R2820">
        <v>-6.5089859999999996E-3</v>
      </c>
      <c r="S2820">
        <v>3.0011899999999998</v>
      </c>
      <c r="T2820">
        <v>-0.1694273</v>
      </c>
      <c r="U2820">
        <v>-3.9627080000000002E-2</v>
      </c>
      <c r="V2820">
        <v>2.1985810000000001E-2</v>
      </c>
      <c r="W2820">
        <v>-0.1109271</v>
      </c>
      <c r="X2820">
        <v>0.9935853</v>
      </c>
      <c r="Y2820">
        <v>2.8871009999999999E-2</v>
      </c>
      <c r="Z2820">
        <v>-1.689507E-3</v>
      </c>
      <c r="AA2820">
        <v>0.99958170000000002</v>
      </c>
      <c r="AB2820">
        <v>20</v>
      </c>
      <c r="AC2820">
        <v>19.625</v>
      </c>
      <c r="AD2820">
        <v>-1.1200760005149999</v>
      </c>
      <c r="AE2820">
        <v>-0.26429999999999099</v>
      </c>
      <c r="AF2820">
        <v>0.57135218169712998</v>
      </c>
      <c r="AG2820">
        <v>-1.1200760005149999</v>
      </c>
      <c r="AH2820">
        <v>19.554720670065201</v>
      </c>
      <c r="AI2820">
        <v>93.276870877835293</v>
      </c>
      <c r="AJ2820">
        <v>88.326401160642803</v>
      </c>
      <c r="AK2820">
        <v>19.595104338756101</v>
      </c>
      <c r="AL2820">
        <v>96.368761742179402</v>
      </c>
      <c r="AM2820">
        <v>88.732380013320196</v>
      </c>
      <c r="AN2820">
        <v>0.99999997286592701</v>
      </c>
    </row>
    <row r="2821" spans="1:40" x14ac:dyDescent="0.25">
      <c r="A2821" t="str">
        <f>"20190303154523958"</f>
        <v>20190303154523958</v>
      </c>
      <c r="B2821" t="str">
        <f>"1551599123953105"</f>
        <v>1551599123953105</v>
      </c>
      <c r="C2821" t="s">
        <v>40</v>
      </c>
      <c r="D2821">
        <v>4.9242999999999997</v>
      </c>
      <c r="E2821">
        <v>0.50419139999999996</v>
      </c>
      <c r="F2821" t="s">
        <v>57</v>
      </c>
      <c r="G2821">
        <v>-438.26220000000001</v>
      </c>
      <c r="H2821" s="1">
        <v>5.951137E-6</v>
      </c>
      <c r="I2821">
        <v>213.81319999999999</v>
      </c>
      <c r="J2821">
        <v>-457.80689999999998</v>
      </c>
      <c r="K2821">
        <v>1.1201399999999999</v>
      </c>
      <c r="L2821">
        <v>214.12209999999999</v>
      </c>
      <c r="M2821">
        <v>0.99983599999999995</v>
      </c>
      <c r="N2821">
        <v>-1.041737E-2</v>
      </c>
      <c r="O2821">
        <v>1.4817469999999999E-2</v>
      </c>
      <c r="P2821">
        <v>0.99251639999999997</v>
      </c>
      <c r="Q2821">
        <v>-0.1217539</v>
      </c>
      <c r="R2821">
        <v>-9.34194E-3</v>
      </c>
      <c r="S2821">
        <v>3.00116</v>
      </c>
      <c r="T2821">
        <v>-0.17026929999999901</v>
      </c>
      <c r="U2821">
        <v>-4.6646119999999999E-2</v>
      </c>
      <c r="V2821">
        <v>2.3900480000000002E-2</v>
      </c>
      <c r="W2821">
        <v>-0.11144229999999999</v>
      </c>
      <c r="X2821">
        <v>0.99348349999999996</v>
      </c>
      <c r="Y2821">
        <v>3.0282079999999999E-2</v>
      </c>
      <c r="Z2821">
        <v>-1.7018549999999999E-3</v>
      </c>
      <c r="AA2821">
        <v>0.99953999999999998</v>
      </c>
      <c r="AB2821">
        <v>20</v>
      </c>
      <c r="AC2821">
        <v>19.544699999999899</v>
      </c>
      <c r="AD2821">
        <v>-1.1201340488629901</v>
      </c>
      <c r="AE2821">
        <v>-0.30889999999999401</v>
      </c>
      <c r="AF2821">
        <v>0.59652593228056805</v>
      </c>
      <c r="AG2821">
        <v>-1.1201340488629901</v>
      </c>
      <c r="AH2821">
        <v>19.474028348124701</v>
      </c>
      <c r="AI2821">
        <v>93.290450475352998</v>
      </c>
      <c r="AJ2821">
        <v>88.245471676851693</v>
      </c>
      <c r="AK2821">
        <v>19.515335599954899</v>
      </c>
      <c r="AL2821">
        <v>96.398464250352404</v>
      </c>
      <c r="AM2821">
        <v>88.621886982481897</v>
      </c>
      <c r="AN2821">
        <v>1.0000000419728801</v>
      </c>
    </row>
    <row r="2822" spans="1:40" x14ac:dyDescent="0.25">
      <c r="A2822" t="str">
        <f>"20190303154523979"</f>
        <v>20190303154523979</v>
      </c>
      <c r="B2822" t="str">
        <f>"1551599123973600"</f>
        <v>1551599123973600</v>
      </c>
      <c r="C2822" t="s">
        <v>40</v>
      </c>
      <c r="D2822">
        <v>4.8540619999999999</v>
      </c>
      <c r="E2822">
        <v>0.50412789999999996</v>
      </c>
      <c r="F2822" t="s">
        <v>57</v>
      </c>
      <c r="G2822">
        <v>-438.32</v>
      </c>
      <c r="H2822" s="1">
        <v>5.9807519999999999E-6</v>
      </c>
      <c r="I2822">
        <v>213.76759999999999</v>
      </c>
      <c r="J2822">
        <v>-457.61509999999998</v>
      </c>
      <c r="K2822">
        <v>1.1201810000000001</v>
      </c>
      <c r="L2822">
        <v>214.12389999999999</v>
      </c>
      <c r="M2822">
        <v>0.9998437</v>
      </c>
      <c r="N2822">
        <v>-1.088417E-2</v>
      </c>
      <c r="O2822">
        <v>1.3934169999999999E-2</v>
      </c>
      <c r="P2822">
        <v>0.99240539999999999</v>
      </c>
      <c r="Q2822">
        <v>-0.122531</v>
      </c>
      <c r="R2822">
        <v>-1.0860399999999999E-2</v>
      </c>
      <c r="S2822">
        <v>3.0009769999999998</v>
      </c>
      <c r="T2822">
        <v>-0.17250009999999999</v>
      </c>
      <c r="U2822">
        <v>-5.4595949999999997E-2</v>
      </c>
      <c r="V2822">
        <v>2.4540960000000001E-2</v>
      </c>
      <c r="W2822">
        <v>-0.11175739999999899</v>
      </c>
      <c r="X2822">
        <v>0.99343250000000005</v>
      </c>
      <c r="Y2822">
        <v>3.2042620000000001E-2</v>
      </c>
      <c r="Z2822">
        <v>-1.7433419999999999E-3</v>
      </c>
      <c r="AA2822">
        <v>0.99948499999999996</v>
      </c>
      <c r="AB2822">
        <v>20</v>
      </c>
      <c r="AC2822">
        <v>19.295099999999898</v>
      </c>
      <c r="AD2822">
        <v>-1.12017501924799</v>
      </c>
      <c r="AE2822">
        <v>-0.356300000000004</v>
      </c>
      <c r="AF2822">
        <v>0.62304335651319698</v>
      </c>
      <c r="AG2822">
        <v>-1.12017501924799</v>
      </c>
      <c r="AH2822">
        <v>19.223493252032299</v>
      </c>
      <c r="AI2822">
        <v>93.333173409990493</v>
      </c>
      <c r="AJ2822">
        <v>88.143663967990094</v>
      </c>
      <c r="AK2822">
        <v>19.266179380167099</v>
      </c>
      <c r="AL2822">
        <v>96.416631562342403</v>
      </c>
      <c r="AM2822">
        <v>88.5848988069379</v>
      </c>
      <c r="AN2822">
        <v>1.0000000536143601</v>
      </c>
    </row>
    <row r="2823" spans="1:40" x14ac:dyDescent="0.25">
      <c r="A2823" t="str">
        <f>"20190303154523998"</f>
        <v>20190303154523998</v>
      </c>
      <c r="B2823" t="str">
        <f>"1551599123993120"</f>
        <v>1551599123993120</v>
      </c>
      <c r="C2823" t="s">
        <v>40</v>
      </c>
      <c r="D2823">
        <v>4.8857520000000001</v>
      </c>
      <c r="E2823">
        <v>0.50406320000000004</v>
      </c>
      <c r="F2823" t="s">
        <v>57</v>
      </c>
      <c r="G2823">
        <v>-438.28129999999999</v>
      </c>
      <c r="H2823" s="1">
        <v>5.9653350000000002E-6</v>
      </c>
      <c r="I2823">
        <v>213.7474</v>
      </c>
      <c r="J2823">
        <v>-457.44529999999997</v>
      </c>
      <c r="K2823">
        <v>1.120206</v>
      </c>
      <c r="L2823">
        <v>214.12530000000001</v>
      </c>
      <c r="M2823">
        <v>0.99985000000000002</v>
      </c>
      <c r="N2823">
        <v>-1.1256510000000001E-2</v>
      </c>
      <c r="O2823">
        <v>1.3162500000000001E-2</v>
      </c>
      <c r="P2823">
        <v>0.99239169999999999</v>
      </c>
      <c r="Q2823">
        <v>-0.122576</v>
      </c>
      <c r="R2823">
        <v>-1.1572610000000001E-2</v>
      </c>
      <c r="S2823">
        <v>3.0008539999999999</v>
      </c>
      <c r="T2823">
        <v>-0.17386499999999999</v>
      </c>
      <c r="U2823">
        <v>-5.8425900000000003E-2</v>
      </c>
      <c r="V2823">
        <v>2.4488079999999999E-2</v>
      </c>
      <c r="W2823">
        <v>-0.1114324</v>
      </c>
      <c r="X2823">
        <v>0.99347030000000003</v>
      </c>
      <c r="Y2823">
        <v>3.2545709999999999E-2</v>
      </c>
      <c r="Z2823">
        <v>-1.7391869999999999E-3</v>
      </c>
      <c r="AA2823">
        <v>0.99946869999999999</v>
      </c>
      <c r="AB2823">
        <v>20</v>
      </c>
      <c r="AC2823">
        <v>19.163999999999898</v>
      </c>
      <c r="AD2823">
        <v>-1.1202000346650001</v>
      </c>
      <c r="AE2823">
        <v>-0.37790000000001001</v>
      </c>
      <c r="AF2823">
        <v>0.62798453321134495</v>
      </c>
      <c r="AG2823">
        <v>-1.1202000346650001</v>
      </c>
      <c r="AH2823">
        <v>19.092156582496301</v>
      </c>
      <c r="AI2823">
        <v>93.356072539375106</v>
      </c>
      <c r="AJ2823">
        <v>88.116090464101006</v>
      </c>
      <c r="AK2823">
        <v>19.135298682335002</v>
      </c>
      <c r="AL2823">
        <v>96.397893470648896</v>
      </c>
      <c r="AM2823">
        <v>88.588000486183802</v>
      </c>
      <c r="AN2823">
        <v>1.0000000414069601</v>
      </c>
    </row>
    <row r="2824" spans="1:40" x14ac:dyDescent="0.25">
      <c r="A2824" t="str">
        <f>"20190303154524045"</f>
        <v>20190303154524045</v>
      </c>
      <c r="B2824" t="str">
        <f>"1551599124033136"</f>
        <v>1551599124033136</v>
      </c>
      <c r="C2824" t="s">
        <v>40</v>
      </c>
      <c r="D2824">
        <v>4.8504329999999998</v>
      </c>
      <c r="E2824">
        <v>0.5039304</v>
      </c>
      <c r="F2824" t="s">
        <v>57</v>
      </c>
      <c r="G2824">
        <v>-438.03089999999997</v>
      </c>
      <c r="H2824" s="1">
        <v>5.8551099999999999E-6</v>
      </c>
      <c r="I2824">
        <v>213.73859999999999</v>
      </c>
      <c r="J2824">
        <v>-457.03039999999999</v>
      </c>
      <c r="K2824">
        <v>1.1202650000000001</v>
      </c>
      <c r="L2824">
        <v>214.1283</v>
      </c>
      <c r="M2824">
        <v>0.99986390000000003</v>
      </c>
      <c r="N2824">
        <v>-1.202431E-2</v>
      </c>
      <c r="O2824">
        <v>1.1293249999999999E-2</v>
      </c>
      <c r="P2824">
        <v>0.99226630000000005</v>
      </c>
      <c r="Q2824">
        <v>-0.1234997</v>
      </c>
      <c r="R2824">
        <v>-1.247202E-2</v>
      </c>
      <c r="S2824">
        <v>3.0009160000000001</v>
      </c>
      <c r="T2824">
        <v>-0.17315150000000001</v>
      </c>
      <c r="U2824">
        <v>-5.9768679999999998E-2</v>
      </c>
      <c r="V2824">
        <v>2.3534530000000001E-2</v>
      </c>
      <c r="W2824">
        <v>-0.1115922</v>
      </c>
      <c r="X2824">
        <v>0.99347540000000001</v>
      </c>
      <c r="Y2824">
        <v>3.1129090000000002E-2</v>
      </c>
      <c r="Z2824">
        <v>-1.5999219999999999E-3</v>
      </c>
      <c r="AA2824">
        <v>0.99951409999999996</v>
      </c>
      <c r="AB2824">
        <v>20</v>
      </c>
      <c r="AC2824">
        <v>18.999500000000001</v>
      </c>
      <c r="AD2824">
        <v>-1.1202591448899999</v>
      </c>
      <c r="AE2824">
        <v>-0.38970000000000399</v>
      </c>
      <c r="AF2824">
        <v>0.60216417423009105</v>
      </c>
      <c r="AG2824">
        <v>-1.1202591448899999</v>
      </c>
      <c r="AH2824">
        <v>18.928109435769802</v>
      </c>
      <c r="AI2824">
        <v>93.385387771226604</v>
      </c>
      <c r="AJ2824">
        <v>88.177851120883403</v>
      </c>
      <c r="AK2824">
        <v>18.970790944420699</v>
      </c>
      <c r="AL2824">
        <v>96.407106860658601</v>
      </c>
      <c r="AM2824">
        <v>88.642968821716195</v>
      </c>
      <c r="AN2824">
        <v>1.00000003180416</v>
      </c>
    </row>
    <row r="2825" spans="1:40" x14ac:dyDescent="0.25">
      <c r="A2825" t="str">
        <f>"20190303154524068"</f>
        <v>20190303154524068</v>
      </c>
      <c r="B2825" t="str">
        <f>"1551599124063392"</f>
        <v>1551599124063392</v>
      </c>
      <c r="C2825" t="s">
        <v>40</v>
      </c>
      <c r="D2825">
        <v>4.8245899999999997</v>
      </c>
      <c r="E2825">
        <v>0.50382139999999997</v>
      </c>
      <c r="F2825" t="s">
        <v>57</v>
      </c>
      <c r="G2825">
        <v>-437.70119999999997</v>
      </c>
      <c r="H2825" s="1">
        <v>5.7097370000000001E-6</v>
      </c>
      <c r="I2825">
        <v>213.72880000000001</v>
      </c>
      <c r="J2825">
        <v>-456.82049999999998</v>
      </c>
      <c r="K2825">
        <v>1.1202859999999999</v>
      </c>
      <c r="L2825">
        <v>214.12950000000001</v>
      </c>
      <c r="M2825">
        <v>0.99987029999999999</v>
      </c>
      <c r="N2825">
        <v>-1.234009E-2</v>
      </c>
      <c r="O2825">
        <v>1.0347490000000001E-2</v>
      </c>
      <c r="P2825">
        <v>0.99211760000000004</v>
      </c>
      <c r="Q2825">
        <v>-0.1246041</v>
      </c>
      <c r="R2825">
        <v>-1.3281859999999999E-2</v>
      </c>
      <c r="S2825">
        <v>3.0009769999999998</v>
      </c>
      <c r="T2825">
        <v>-0.17392669999999999</v>
      </c>
      <c r="U2825">
        <v>-6.2026980000000002E-2</v>
      </c>
      <c r="V2825">
        <v>2.3406710000000001E-2</v>
      </c>
      <c r="W2825">
        <v>-0.1123837</v>
      </c>
      <c r="X2825">
        <v>0.99338919999999997</v>
      </c>
      <c r="Y2825">
        <v>3.093576E-2</v>
      </c>
      <c r="Z2825">
        <v>-1.558271E-3</v>
      </c>
      <c r="AA2825">
        <v>0.99952019999999997</v>
      </c>
      <c r="AB2825">
        <v>20</v>
      </c>
      <c r="AC2825">
        <v>19.119299999999999</v>
      </c>
      <c r="AD2825">
        <v>-1.120280290263</v>
      </c>
      <c r="AE2825">
        <v>-0.4007</v>
      </c>
      <c r="AF2825">
        <v>0.59648338210959495</v>
      </c>
      <c r="AG2825">
        <v>-1.120280290263</v>
      </c>
      <c r="AH2825">
        <v>19.048758666773601</v>
      </c>
      <c r="AI2825">
        <v>93.364111358020807</v>
      </c>
      <c r="AJ2825">
        <v>88.206454433335594</v>
      </c>
      <c r="AK2825">
        <v>19.0909933502389</v>
      </c>
      <c r="AL2825">
        <v>96.452743514830502</v>
      </c>
      <c r="AM2825">
        <v>88.650219281326301</v>
      </c>
      <c r="AN2825">
        <v>1.00000003638767</v>
      </c>
    </row>
    <row r="2826" spans="1:40" x14ac:dyDescent="0.25">
      <c r="A2826" t="str">
        <f>"20190303154524089"</f>
        <v>20190303154524089</v>
      </c>
      <c r="B2826" t="str">
        <f>"1551599124083889"</f>
        <v>1551599124083889</v>
      </c>
      <c r="C2826" t="s">
        <v>40</v>
      </c>
      <c r="D2826">
        <v>4.8077750000000004</v>
      </c>
      <c r="E2826">
        <v>0.50371849999999996</v>
      </c>
      <c r="F2826" t="s">
        <v>57</v>
      </c>
      <c r="G2826">
        <v>-437.69630000000001</v>
      </c>
      <c r="H2826" s="1">
        <v>5.7079739999999999E-6</v>
      </c>
      <c r="I2826">
        <v>213.7242</v>
      </c>
      <c r="J2826">
        <v>-456.62479999999999</v>
      </c>
      <c r="K2826">
        <v>1.1203069999999999</v>
      </c>
      <c r="L2826">
        <v>214.13040000000001</v>
      </c>
      <c r="M2826">
        <v>0.99987590000000004</v>
      </c>
      <c r="N2826">
        <v>-1.2597000000000001E-2</v>
      </c>
      <c r="O2826">
        <v>9.4681239999999996E-3</v>
      </c>
      <c r="P2826">
        <v>0.99195580000000005</v>
      </c>
      <c r="Q2826">
        <v>-0.12583169999999999</v>
      </c>
      <c r="R2826">
        <v>-1.37994E-2</v>
      </c>
      <c r="S2826">
        <v>3.0009459999999999</v>
      </c>
      <c r="T2826">
        <v>-0.1757928</v>
      </c>
      <c r="U2826">
        <v>-6.3598630000000003E-2</v>
      </c>
      <c r="V2826">
        <v>2.305198E-2</v>
      </c>
      <c r="W2826">
        <v>-0.1133567</v>
      </c>
      <c r="X2826">
        <v>0.99328689999999997</v>
      </c>
      <c r="Y2826">
        <v>3.058021E-2</v>
      </c>
      <c r="Z2826">
        <v>-1.522579E-3</v>
      </c>
      <c r="AA2826">
        <v>0.99953110000000001</v>
      </c>
      <c r="AB2826">
        <v>20</v>
      </c>
      <c r="AC2826">
        <v>18.9284999999999</v>
      </c>
      <c r="AD2826">
        <v>-1.120301292026</v>
      </c>
      <c r="AE2826">
        <v>-0.406200000000012</v>
      </c>
      <c r="AF2826">
        <v>0.58337078929326003</v>
      </c>
      <c r="AG2826">
        <v>-1.120301292026</v>
      </c>
      <c r="AH2826">
        <v>18.8577772123028</v>
      </c>
      <c r="AI2826">
        <v>93.398205260542596</v>
      </c>
      <c r="AJ2826">
        <v>88.228103584355296</v>
      </c>
      <c r="AK2826">
        <v>18.9000306309688</v>
      </c>
      <c r="AL2826">
        <v>96.508851083768704</v>
      </c>
      <c r="AM2826">
        <v>88.670531026442802</v>
      </c>
      <c r="AN2826">
        <v>1.00000000046421</v>
      </c>
    </row>
    <row r="2827" spans="1:40" x14ac:dyDescent="0.25">
      <c r="A2827" t="str">
        <f>"20190303154524113"</f>
        <v>20190303154524113</v>
      </c>
      <c r="B2827" t="str">
        <f>"1551599124103408"</f>
        <v>1551599124103408</v>
      </c>
      <c r="C2827" t="s">
        <v>40</v>
      </c>
      <c r="D2827">
        <v>4.8149089999999903</v>
      </c>
      <c r="E2827">
        <v>0.50360499999999997</v>
      </c>
      <c r="F2827" t="s">
        <v>57</v>
      </c>
      <c r="G2827">
        <v>-437.81060000000002</v>
      </c>
      <c r="H2827" s="1">
        <v>5.7582829999999997E-6</v>
      </c>
      <c r="I2827">
        <v>213.72839999999999</v>
      </c>
      <c r="J2827">
        <v>-456.41919999999999</v>
      </c>
      <c r="K2827">
        <v>1.120322</v>
      </c>
      <c r="L2827">
        <v>214.13130000000001</v>
      </c>
      <c r="M2827">
        <v>0.99988129999999997</v>
      </c>
      <c r="N2827">
        <v>-1.283222E-2</v>
      </c>
      <c r="O2827">
        <v>8.5528879999999998E-3</v>
      </c>
      <c r="P2827">
        <v>0.9919114</v>
      </c>
      <c r="Q2827">
        <v>-0.12618859999999901</v>
      </c>
      <c r="R2827">
        <v>-1.3741079999999999E-2</v>
      </c>
      <c r="S2827">
        <v>3.0007320000000002</v>
      </c>
      <c r="T2827">
        <v>-0.1786797</v>
      </c>
      <c r="U2827">
        <v>-6.4117430000000003E-2</v>
      </c>
      <c r="V2827">
        <v>2.208823E-2</v>
      </c>
      <c r="W2827">
        <v>-0.11347839999999999</v>
      </c>
      <c r="X2827">
        <v>0.99329489999999998</v>
      </c>
      <c r="Y2827">
        <v>2.983968E-2</v>
      </c>
      <c r="Z2827">
        <v>-1.478327E-3</v>
      </c>
      <c r="AA2827">
        <v>0.99955360000000004</v>
      </c>
      <c r="AB2827">
        <v>20</v>
      </c>
      <c r="AC2827">
        <v>18.6085999999999</v>
      </c>
      <c r="AD2827">
        <v>-1.1203162417170001</v>
      </c>
      <c r="AE2827">
        <v>-0.40290000000001602</v>
      </c>
      <c r="AF2827">
        <v>0.56002671099614598</v>
      </c>
      <c r="AG2827">
        <v>-1.1203162417170001</v>
      </c>
      <c r="AH2827">
        <v>18.537315099607099</v>
      </c>
      <c r="AI2827">
        <v>93.456932500982205</v>
      </c>
      <c r="AJ2827">
        <v>88.269576244782897</v>
      </c>
      <c r="AK2827">
        <v>18.579579906462001</v>
      </c>
      <c r="AL2827">
        <v>96.515869283214997</v>
      </c>
      <c r="AM2827">
        <v>88.726104592558897</v>
      </c>
      <c r="AN2827">
        <v>0.99999999776855097</v>
      </c>
    </row>
    <row r="2828" spans="1:40" x14ac:dyDescent="0.25">
      <c r="A2828" t="str">
        <f>"20190303154524137"</f>
        <v>20190303154524137</v>
      </c>
      <c r="B2828" t="str">
        <f>"1551599124133665"</f>
        <v>1551599124133665</v>
      </c>
      <c r="C2828" t="s">
        <v>40</v>
      </c>
      <c r="D2828">
        <v>4.7914599999999998</v>
      </c>
      <c r="E2828">
        <v>0.50347140000000001</v>
      </c>
      <c r="F2828" t="s">
        <v>57</v>
      </c>
      <c r="G2828">
        <v>-437.6497</v>
      </c>
      <c r="H2828" s="1">
        <v>5.6863610000000003E-6</v>
      </c>
      <c r="I2828">
        <v>213.73480000000001</v>
      </c>
      <c r="J2828">
        <v>-456.20249999999999</v>
      </c>
      <c r="K2828">
        <v>1.1203399999999999</v>
      </c>
      <c r="L2828">
        <v>214.13200000000001</v>
      </c>
      <c r="M2828">
        <v>0.9998861</v>
      </c>
      <c r="N2828">
        <v>-1.304657E-2</v>
      </c>
      <c r="O2828">
        <v>7.6036330000000003E-3</v>
      </c>
      <c r="P2828">
        <v>0.99188330000000002</v>
      </c>
      <c r="Q2828">
        <v>-0.12629080000000001</v>
      </c>
      <c r="R2828">
        <v>-1.4783900000000001E-2</v>
      </c>
      <c r="S2828">
        <v>3.0007630000000001</v>
      </c>
      <c r="T2828">
        <v>-0.17911009999999999</v>
      </c>
      <c r="U2828">
        <v>-6.3385010000000006E-2</v>
      </c>
      <c r="V2828">
        <v>2.219225E-2</v>
      </c>
      <c r="W2828">
        <v>-0.11336739999999999</v>
      </c>
      <c r="X2828">
        <v>0.99330529999999995</v>
      </c>
      <c r="Y2828">
        <v>2.8649830000000001E-2</v>
      </c>
      <c r="Z2828">
        <v>-1.3955700000000001E-3</v>
      </c>
      <c r="AA2828">
        <v>0.99958849999999999</v>
      </c>
      <c r="AB2828">
        <v>20</v>
      </c>
      <c r="AC2828">
        <v>18.552799999999898</v>
      </c>
      <c r="AD2828">
        <v>-1.1203343136389901</v>
      </c>
      <c r="AE2828">
        <v>-0.397199999999998</v>
      </c>
      <c r="AF2828">
        <v>0.53631441334963204</v>
      </c>
      <c r="AG2828">
        <v>-1.1203343136389901</v>
      </c>
      <c r="AH2828">
        <v>18.4818798449223</v>
      </c>
      <c r="AI2828">
        <v>93.467453927101502</v>
      </c>
      <c r="AJ2828">
        <v>88.337835121580198</v>
      </c>
      <c r="AK2828">
        <v>18.52357051776</v>
      </c>
      <c r="AL2828">
        <v>96.509467860067105</v>
      </c>
      <c r="AM2828">
        <v>88.720120829760305</v>
      </c>
      <c r="AN2828">
        <v>1.0000000411754499</v>
      </c>
    </row>
    <row r="2829" spans="1:40" x14ac:dyDescent="0.25">
      <c r="A2829" t="str">
        <f>"20190303154524180"</f>
        <v>20190303154524180</v>
      </c>
      <c r="B2829" t="str">
        <f>"1551599124173681"</f>
        <v>1551599124173681</v>
      </c>
      <c r="C2829" t="s">
        <v>40</v>
      </c>
      <c r="D2829">
        <v>4.7831700000000001</v>
      </c>
      <c r="E2829">
        <v>0.50329860000000004</v>
      </c>
      <c r="F2829" t="s">
        <v>57</v>
      </c>
      <c r="G2829">
        <v>-437.34480000000002</v>
      </c>
      <c r="H2829" s="1">
        <v>5.5525050000000001E-6</v>
      </c>
      <c r="I2829">
        <v>213.71979999999999</v>
      </c>
      <c r="J2829">
        <v>-455.8261</v>
      </c>
      <c r="K2829">
        <v>1.1203719999999999</v>
      </c>
      <c r="L2829">
        <v>214.1327</v>
      </c>
      <c r="M2829">
        <v>0.99989300000000003</v>
      </c>
      <c r="N2829">
        <v>-1.334659E-2</v>
      </c>
      <c r="O2829">
        <v>5.9933649999999996E-3</v>
      </c>
      <c r="P2829">
        <v>0.99171330000000002</v>
      </c>
      <c r="Q2829">
        <v>-0.1275124</v>
      </c>
      <c r="R2829">
        <v>-1.5667589999999999E-2</v>
      </c>
      <c r="S2829">
        <v>3.0008849999999998</v>
      </c>
      <c r="T2829">
        <v>-0.17828269999999999</v>
      </c>
      <c r="U2829">
        <v>-6.5597530000000001E-2</v>
      </c>
      <c r="V2829">
        <v>2.1482850000000001E-2</v>
      </c>
      <c r="W2829">
        <v>-0.1142908</v>
      </c>
      <c r="X2829">
        <v>0.99321499999999996</v>
      </c>
      <c r="Y2829">
        <v>2.777992E-2</v>
      </c>
      <c r="Z2829">
        <v>-1.2857770000000001E-3</v>
      </c>
      <c r="AA2829">
        <v>0.99961319999999998</v>
      </c>
      <c r="AB2829">
        <v>20</v>
      </c>
      <c r="AC2829">
        <v>18.481299999999901</v>
      </c>
      <c r="AD2829">
        <v>-1.1203664474949999</v>
      </c>
      <c r="AE2829">
        <v>-0.41290000000000698</v>
      </c>
      <c r="AF2829">
        <v>0.52175115337287603</v>
      </c>
      <c r="AG2829">
        <v>-1.1203664474949999</v>
      </c>
      <c r="AH2829">
        <v>18.410867287715899</v>
      </c>
      <c r="AI2829">
        <v>93.480962586142297</v>
      </c>
      <c r="AJ2829">
        <v>88.376711992444399</v>
      </c>
      <c r="AK2829">
        <v>18.452302824542201</v>
      </c>
      <c r="AL2829">
        <v>96.562721391305203</v>
      </c>
      <c r="AM2829">
        <v>88.760908021212899</v>
      </c>
      <c r="AN2829">
        <v>0.99999996801687996</v>
      </c>
    </row>
    <row r="2830" spans="1:40" x14ac:dyDescent="0.25">
      <c r="A2830" t="str">
        <f>"20190303154524200"</f>
        <v>20190303154524200</v>
      </c>
      <c r="B2830" t="str">
        <f>"1551599124194176"</f>
        <v>1551599124194176</v>
      </c>
      <c r="C2830" t="s">
        <v>40</v>
      </c>
      <c r="D2830">
        <v>4.7609339999999998</v>
      </c>
      <c r="E2830">
        <v>0.50319139999999996</v>
      </c>
      <c r="F2830" t="s">
        <v>57</v>
      </c>
      <c r="G2830">
        <v>-437.16629999999998</v>
      </c>
      <c r="H2830" s="1">
        <v>5.4735619999999998E-6</v>
      </c>
      <c r="I2830">
        <v>213.71680000000001</v>
      </c>
      <c r="J2830">
        <v>-455.64550000000003</v>
      </c>
      <c r="K2830">
        <v>1.1203989999999999</v>
      </c>
      <c r="L2830">
        <v>214.13290000000001</v>
      </c>
      <c r="M2830">
        <v>0.9998958</v>
      </c>
      <c r="N2830">
        <v>-1.346286E-2</v>
      </c>
      <c r="O2830">
        <v>5.2376189999999998E-3</v>
      </c>
      <c r="P2830">
        <v>0.99157039999999996</v>
      </c>
      <c r="Q2830">
        <v>-0.1285444</v>
      </c>
      <c r="R2830">
        <v>-1.6277400000000001E-2</v>
      </c>
      <c r="S2830">
        <v>3.0008539999999999</v>
      </c>
      <c r="T2830">
        <v>-0.180176</v>
      </c>
      <c r="U2830">
        <v>-6.6879270000000005E-2</v>
      </c>
      <c r="V2830">
        <v>2.1344490000000001E-2</v>
      </c>
      <c r="W2830">
        <v>-0.1152083</v>
      </c>
      <c r="X2830">
        <v>0.99311199999999999</v>
      </c>
      <c r="Y2830">
        <v>2.74515E-2</v>
      </c>
      <c r="Z2830">
        <v>-1.251994E-3</v>
      </c>
      <c r="AA2830">
        <v>0.99962229999999996</v>
      </c>
      <c r="AB2830">
        <v>20</v>
      </c>
      <c r="AC2830">
        <v>18.479199999999999</v>
      </c>
      <c r="AD2830">
        <v>-1.1203935264379901</v>
      </c>
      <c r="AE2830">
        <v>-0.41610000000000003</v>
      </c>
      <c r="AF2830">
        <v>0.51101253160648696</v>
      </c>
      <c r="AG2830">
        <v>-1.1203935264379901</v>
      </c>
      <c r="AH2830">
        <v>18.409129351299299</v>
      </c>
      <c r="AI2830">
        <v>93.481430854374395</v>
      </c>
      <c r="AJ2830">
        <v>88.409954971079102</v>
      </c>
      <c r="AK2830">
        <v>18.450269887847501</v>
      </c>
      <c r="AL2830">
        <v>96.615639667843197</v>
      </c>
      <c r="AM2830">
        <v>88.768758267090902</v>
      </c>
      <c r="AN2830">
        <v>0.99999999209312496</v>
      </c>
    </row>
    <row r="2831" spans="1:40" x14ac:dyDescent="0.25">
      <c r="A2831" t="str">
        <f>"20190303154524225"</f>
        <v>20190303154524225</v>
      </c>
      <c r="B2831" t="str">
        <f>"1551599124213697"</f>
        <v>1551599124213697</v>
      </c>
      <c r="C2831" t="s">
        <v>40</v>
      </c>
      <c r="D2831">
        <v>4.7790619999999997</v>
      </c>
      <c r="E2831">
        <v>0.50313009999999903</v>
      </c>
      <c r="F2831" t="s">
        <v>57</v>
      </c>
      <c r="G2831">
        <v>-437.22840000000002</v>
      </c>
      <c r="H2831" s="1">
        <v>5.5012960000000001E-6</v>
      </c>
      <c r="I2831">
        <v>213.7149</v>
      </c>
      <c r="J2831">
        <v>-455.43130000000002</v>
      </c>
      <c r="K2831">
        <v>1.1204209999999999</v>
      </c>
      <c r="L2831">
        <v>214.13290000000001</v>
      </c>
      <c r="M2831">
        <v>0.99989839999999997</v>
      </c>
      <c r="N2831">
        <v>-1.3580750000000001E-2</v>
      </c>
      <c r="O2831">
        <v>4.3635729999999999E-3</v>
      </c>
      <c r="P2831">
        <v>0.99153840000000004</v>
      </c>
      <c r="Q2831">
        <v>-0.1286844</v>
      </c>
      <c r="R2831">
        <v>-1.7094600000000001E-2</v>
      </c>
      <c r="S2831">
        <v>3.0007320000000002</v>
      </c>
      <c r="T2831">
        <v>-0.1825476</v>
      </c>
      <c r="U2831">
        <v>-6.8099980000000004E-2</v>
      </c>
      <c r="V2831">
        <v>2.1299519999999999E-2</v>
      </c>
      <c r="W2831">
        <v>-0.115230399999999</v>
      </c>
      <c r="X2831">
        <v>0.99311039999999995</v>
      </c>
      <c r="Y2831">
        <v>2.698536E-2</v>
      </c>
      <c r="Z2831">
        <v>-1.2094009999999999E-3</v>
      </c>
      <c r="AA2831">
        <v>0.9996351</v>
      </c>
      <c r="AB2831">
        <v>20</v>
      </c>
      <c r="AC2831">
        <v>18.2029</v>
      </c>
      <c r="AD2831">
        <v>-1.12041549870399</v>
      </c>
      <c r="AE2831">
        <v>-0.41800000000000598</v>
      </c>
      <c r="AF2831">
        <v>0.49555654847172398</v>
      </c>
      <c r="AG2831">
        <v>-1.12041549870399</v>
      </c>
      <c r="AH2831">
        <v>18.132243185666301</v>
      </c>
      <c r="AI2831">
        <v>93.534570574246302</v>
      </c>
      <c r="AJ2831">
        <v>88.434488646106303</v>
      </c>
      <c r="AK2831">
        <v>18.173583854777</v>
      </c>
      <c r="AL2831">
        <v>96.616914404006806</v>
      </c>
      <c r="AM2831">
        <v>88.771349554697693</v>
      </c>
      <c r="AN2831">
        <v>0.99999999061227496</v>
      </c>
    </row>
    <row r="2832" spans="1:40" x14ac:dyDescent="0.25">
      <c r="A2832" t="str">
        <f>"20190303154524245"</f>
        <v>20190303154524245</v>
      </c>
      <c r="B2832" t="str">
        <f>"1551599124243952"</f>
        <v>1551599124243952</v>
      </c>
      <c r="C2832" t="s">
        <v>40</v>
      </c>
      <c r="D2832">
        <v>4.7724000000000002</v>
      </c>
      <c r="E2832">
        <v>0.5030249</v>
      </c>
      <c r="F2832" t="s">
        <v>57</v>
      </c>
      <c r="G2832">
        <v>-436.9649</v>
      </c>
      <c r="H2832" s="1">
        <v>5.3855369999999999E-6</v>
      </c>
      <c r="I2832">
        <v>213.70249999999999</v>
      </c>
      <c r="J2832">
        <v>-455.24509999999998</v>
      </c>
      <c r="K2832">
        <v>1.120452</v>
      </c>
      <c r="L2832">
        <v>214.1328</v>
      </c>
      <c r="M2832">
        <v>0.99990000000000001</v>
      </c>
      <c r="N2832">
        <v>-1.366885E-2</v>
      </c>
      <c r="O2832">
        <v>3.6285039999999998E-3</v>
      </c>
      <c r="P2832">
        <v>0.99148369999999997</v>
      </c>
      <c r="Q2832">
        <v>-0.12901569999999901</v>
      </c>
      <c r="R2832">
        <v>-1.7742029999999999E-2</v>
      </c>
      <c r="S2832">
        <v>3.0007630000000001</v>
      </c>
      <c r="T2832">
        <v>-0.18206610000000001</v>
      </c>
      <c r="U2832">
        <v>-6.9931030000000005E-2</v>
      </c>
      <c r="V2832">
        <v>2.1222100000000001E-2</v>
      </c>
      <c r="W2832">
        <v>-0.1154738</v>
      </c>
      <c r="X2832">
        <v>0.99308379999999996</v>
      </c>
      <c r="Y2832">
        <v>2.686127E-2</v>
      </c>
      <c r="Z2832">
        <v>-1.1682089999999999E-3</v>
      </c>
      <c r="AA2832">
        <v>0.99963849999999999</v>
      </c>
      <c r="AB2832">
        <v>20</v>
      </c>
      <c r="AC2832">
        <v>18.280199999999901</v>
      </c>
      <c r="AD2832">
        <v>-1.1204466144630001</v>
      </c>
      <c r="AE2832">
        <v>-0.430300000000016</v>
      </c>
      <c r="AF2832">
        <v>0.494775389482703</v>
      </c>
      <c r="AG2832">
        <v>-1.1204466144630001</v>
      </c>
      <c r="AH2832">
        <v>18.210143790128601</v>
      </c>
      <c r="AI2832">
        <v>93.519601007082301</v>
      </c>
      <c r="AJ2832">
        <v>88.443638383042398</v>
      </c>
      <c r="AK2832">
        <v>18.2512887259793</v>
      </c>
      <c r="AL2832">
        <v>96.630953820039196</v>
      </c>
      <c r="AM2832">
        <v>88.775781340789706</v>
      </c>
      <c r="AN2832">
        <v>1.0000000049186399</v>
      </c>
    </row>
    <row r="2833" spans="1:40" x14ac:dyDescent="0.25">
      <c r="A2833" t="str">
        <f>"20190303154524268"</f>
        <v>20190303154524268</v>
      </c>
      <c r="B2833" t="str">
        <f>"1551599124263473"</f>
        <v>1551599124263473</v>
      </c>
      <c r="C2833" t="s">
        <v>40</v>
      </c>
      <c r="D2833">
        <v>4.8241860000000001</v>
      </c>
      <c r="E2833">
        <v>0.50293859999999901</v>
      </c>
      <c r="F2833" t="s">
        <v>57</v>
      </c>
      <c r="G2833">
        <v>-436.74200000000002</v>
      </c>
      <c r="H2833" s="1">
        <v>5.2873199999999999E-6</v>
      </c>
      <c r="I2833">
        <v>213.69499999999999</v>
      </c>
      <c r="J2833">
        <v>-455.05099999999999</v>
      </c>
      <c r="K2833">
        <v>1.1204829999999999</v>
      </c>
      <c r="L2833">
        <v>214.1326</v>
      </c>
      <c r="M2833">
        <v>0.99990140000000005</v>
      </c>
      <c r="N2833">
        <v>-1.3747870000000001E-2</v>
      </c>
      <c r="O2833">
        <v>2.8863750000000001E-3</v>
      </c>
      <c r="P2833">
        <v>0.99154549999999997</v>
      </c>
      <c r="Q2833">
        <v>-0.1284332</v>
      </c>
      <c r="R2833">
        <v>-1.8508549999999999E-2</v>
      </c>
      <c r="S2833">
        <v>3.0008849999999998</v>
      </c>
      <c r="T2833">
        <v>-0.18171670000000001</v>
      </c>
      <c r="U2833">
        <v>-7.1014399999999894E-2</v>
      </c>
      <c r="V2833">
        <v>2.1258630000000001E-2</v>
      </c>
      <c r="W2833">
        <v>-0.1148111</v>
      </c>
      <c r="X2833">
        <v>0.99315980000000004</v>
      </c>
      <c r="Y2833">
        <v>2.648093E-2</v>
      </c>
      <c r="Z2833">
        <v>-1.1181400000000001E-3</v>
      </c>
      <c r="AA2833">
        <v>0.99964869999999995</v>
      </c>
      <c r="AB2833">
        <v>20</v>
      </c>
      <c r="AC2833">
        <v>18.309000000000001</v>
      </c>
      <c r="AD2833">
        <v>-1.1204777126799901</v>
      </c>
      <c r="AE2833">
        <v>-0.43760000000000299</v>
      </c>
      <c r="AF2833">
        <v>0.488620860409125</v>
      </c>
      <c r="AG2833">
        <v>-1.1204777126799901</v>
      </c>
      <c r="AH2833">
        <v>18.239389018083301</v>
      </c>
      <c r="AI2833">
        <v>93.514105085738905</v>
      </c>
      <c r="AJ2833">
        <v>88.465451957662594</v>
      </c>
      <c r="AK2833">
        <v>18.2803044942588</v>
      </c>
      <c r="AL2833">
        <v>96.592730019845504</v>
      </c>
      <c r="AM2833">
        <v>88.773768527106895</v>
      </c>
      <c r="AN2833">
        <v>0.99999995318436197</v>
      </c>
    </row>
    <row r="2834" spans="1:40" x14ac:dyDescent="0.25">
      <c r="A2834" t="str">
        <f>"20190303154524291"</f>
        <v>20190303154524291</v>
      </c>
      <c r="B2834" t="str">
        <f>"1551599124283969"</f>
        <v>1551599124283969</v>
      </c>
      <c r="C2834" t="s">
        <v>40</v>
      </c>
      <c r="D2834">
        <v>4.7888500000000001</v>
      </c>
      <c r="E2834">
        <v>0.50283859999999903</v>
      </c>
      <c r="F2834" t="s">
        <v>57</v>
      </c>
      <c r="G2834">
        <v>-436.28769999999997</v>
      </c>
      <c r="H2834" s="1">
        <v>5.0875979999999997E-6</v>
      </c>
      <c r="I2834">
        <v>213.67529999999999</v>
      </c>
      <c r="J2834">
        <v>-454.84769999999997</v>
      </c>
      <c r="K2834">
        <v>1.12052</v>
      </c>
      <c r="L2834">
        <v>214.13229999999999</v>
      </c>
      <c r="M2834">
        <v>0.99990230000000002</v>
      </c>
      <c r="N2834">
        <v>-1.381862E-2</v>
      </c>
      <c r="O2834">
        <v>2.1373730000000001E-3</v>
      </c>
      <c r="P2834">
        <v>0.99157360000000005</v>
      </c>
      <c r="Q2834">
        <v>-0.12820719999999999</v>
      </c>
      <c r="R2834">
        <v>-1.857748E-2</v>
      </c>
      <c r="S2834">
        <v>3.0010379999999999</v>
      </c>
      <c r="T2834">
        <v>-0.1792117</v>
      </c>
      <c r="U2834">
        <v>-7.313538E-2</v>
      </c>
      <c r="V2834">
        <v>2.0590669999999998E-2</v>
      </c>
      <c r="W2834">
        <v>-0.1145125</v>
      </c>
      <c r="X2834">
        <v>0.99320839999999999</v>
      </c>
      <c r="Y2834">
        <v>2.643945E-2</v>
      </c>
      <c r="Z2834">
        <v>-1.069525E-3</v>
      </c>
      <c r="AA2834">
        <v>0.99964980000000003</v>
      </c>
      <c r="AB2834">
        <v>20</v>
      </c>
      <c r="AC2834">
        <v>18.559999999999999</v>
      </c>
      <c r="AD2834">
        <v>-1.120514912402</v>
      </c>
      <c r="AE2834">
        <v>-0.45699999999999302</v>
      </c>
      <c r="AF2834">
        <v>0.49486975250167198</v>
      </c>
      <c r="AG2834">
        <v>-1.120514912402</v>
      </c>
      <c r="AH2834">
        <v>18.491622423115899</v>
      </c>
      <c r="AI2834">
        <v>93.466406255467504</v>
      </c>
      <c r="AJ2834">
        <v>88.467025689117094</v>
      </c>
      <c r="AK2834">
        <v>18.532149081526899</v>
      </c>
      <c r="AL2834">
        <v>96.575507556261798</v>
      </c>
      <c r="AM2834">
        <v>88.812344403979594</v>
      </c>
      <c r="AN2834">
        <v>1.0000000070889199</v>
      </c>
    </row>
    <row r="2835" spans="1:40" x14ac:dyDescent="0.25">
      <c r="A2835" t="str">
        <f>"20190303154524315"</f>
        <v>20190303154524315</v>
      </c>
      <c r="B2835" t="str">
        <f>"1551599124303489"</f>
        <v>1551599124303489</v>
      </c>
      <c r="C2835" t="s">
        <v>40</v>
      </c>
      <c r="D2835">
        <v>4.8213499999999998</v>
      </c>
      <c r="E2835">
        <v>0.50273270000000003</v>
      </c>
      <c r="F2835" t="s">
        <v>57</v>
      </c>
      <c r="G2835">
        <v>-435.93610000000001</v>
      </c>
      <c r="H2835" s="1">
        <v>4.9317410000000002E-6</v>
      </c>
      <c r="I2835">
        <v>213.6746</v>
      </c>
      <c r="J2835">
        <v>-454.64010000000002</v>
      </c>
      <c r="K2835">
        <v>1.1205499999999999</v>
      </c>
      <c r="L2835">
        <v>214.1318</v>
      </c>
      <c r="M2835">
        <v>0.99990270000000003</v>
      </c>
      <c r="N2835">
        <v>-1.387998E-2</v>
      </c>
      <c r="O2835">
        <v>1.4091679999999999E-3</v>
      </c>
      <c r="P2835">
        <v>0.99161140000000003</v>
      </c>
      <c r="Q2835">
        <v>-0.12792700000000001</v>
      </c>
      <c r="R2835">
        <v>-1.8483619999999999E-2</v>
      </c>
      <c r="S2835">
        <v>3.001099</v>
      </c>
      <c r="T2835">
        <v>-0.17781620000000001</v>
      </c>
      <c r="U2835">
        <v>-7.2631840000000003E-2</v>
      </c>
      <c r="V2835">
        <v>1.9781460000000001E-2</v>
      </c>
      <c r="W2835">
        <v>-0.1141688</v>
      </c>
      <c r="X2835">
        <v>0.99326440000000005</v>
      </c>
      <c r="Y2835">
        <v>2.554679E-2</v>
      </c>
      <c r="Z2835">
        <v>-9.9744000000000005E-4</v>
      </c>
      <c r="AA2835">
        <v>0.99967309999999998</v>
      </c>
      <c r="AB2835">
        <v>20</v>
      </c>
      <c r="AC2835">
        <v>18.704000000000001</v>
      </c>
      <c r="AD2835">
        <v>-1.1205450682589999</v>
      </c>
      <c r="AE2835">
        <v>-0.4572</v>
      </c>
      <c r="AF2835">
        <v>0.48183084010697003</v>
      </c>
      <c r="AG2835">
        <v>-1.1205450682589999</v>
      </c>
      <c r="AH2835">
        <v>18.6364881818843</v>
      </c>
      <c r="AI2835">
        <v>93.439700239982301</v>
      </c>
      <c r="AJ2835">
        <v>88.518995391507502</v>
      </c>
      <c r="AK2835">
        <v>18.6763613683712</v>
      </c>
      <c r="AL2835">
        <v>96.5556850743166</v>
      </c>
      <c r="AM2835">
        <v>88.859070797527707</v>
      </c>
      <c r="AN2835">
        <v>0.99999999468026501</v>
      </c>
    </row>
    <row r="2836" spans="1:40" x14ac:dyDescent="0.25">
      <c r="A2836" t="str">
        <f>"20190303154524339"</f>
        <v>20190303154524339</v>
      </c>
      <c r="B2836" t="str">
        <f>"1551599124333745"</f>
        <v>1551599124333745</v>
      </c>
      <c r="C2836" t="s">
        <v>40</v>
      </c>
      <c r="D2836">
        <v>4.836748</v>
      </c>
      <c r="E2836">
        <v>0.50256800000000001</v>
      </c>
      <c r="F2836" t="s">
        <v>57</v>
      </c>
      <c r="G2836">
        <v>-435.55439999999999</v>
      </c>
      <c r="H2836" s="1">
        <v>4.7620180000000004E-6</v>
      </c>
      <c r="I2836">
        <v>213.67939999999999</v>
      </c>
      <c r="J2836">
        <v>-454.43049999999999</v>
      </c>
      <c r="K2836">
        <v>1.12059</v>
      </c>
      <c r="L2836">
        <v>214.13130000000001</v>
      </c>
      <c r="M2836">
        <v>0.99990270000000003</v>
      </c>
      <c r="N2836">
        <v>-1.393234E-2</v>
      </c>
      <c r="O2836">
        <v>7.1864929999999904E-4</v>
      </c>
      <c r="P2836">
        <v>0.9916026</v>
      </c>
      <c r="Q2836">
        <v>-0.12798760000000001</v>
      </c>
      <c r="R2836">
        <v>-1.8534100000000001E-2</v>
      </c>
      <c r="S2836">
        <v>3.0013429999999999</v>
      </c>
      <c r="T2836">
        <v>-0.17621239999999999</v>
      </c>
      <c r="U2836">
        <v>-7.1136469999999993E-2</v>
      </c>
      <c r="V2836">
        <v>1.915441E-2</v>
      </c>
      <c r="W2836">
        <v>-0.1141756</v>
      </c>
      <c r="X2836">
        <v>0.99327589999999999</v>
      </c>
      <c r="Y2836">
        <v>2.436079E-2</v>
      </c>
      <c r="Z2836">
        <v>-9.1646999999999996E-4</v>
      </c>
      <c r="AA2836">
        <v>0.9997028</v>
      </c>
      <c r="AB2836">
        <v>20</v>
      </c>
      <c r="AC2836">
        <v>18.876100000000001</v>
      </c>
      <c r="AD2836">
        <v>-1.120585237982</v>
      </c>
      <c r="AE2836">
        <v>-0.45190000000002301</v>
      </c>
      <c r="AF2836">
        <v>0.46383277502574299</v>
      </c>
      <c r="AG2836">
        <v>-1.120585237982</v>
      </c>
      <c r="AH2836">
        <v>18.8095190809717</v>
      </c>
      <c r="AI2836">
        <v>93.408357401086107</v>
      </c>
      <c r="AJ2836">
        <v>88.587402715301195</v>
      </c>
      <c r="AK2836">
        <v>18.848577139301799</v>
      </c>
      <c r="AL2836">
        <v>96.556077305319505</v>
      </c>
      <c r="AM2836">
        <v>88.895240645621897</v>
      </c>
      <c r="AN2836">
        <v>0.99999998628930897</v>
      </c>
    </row>
    <row r="2837" spans="1:40" x14ac:dyDescent="0.25">
      <c r="A2837" t="str">
        <f>"20190303154524365"</f>
        <v>20190303154524365</v>
      </c>
      <c r="B2837" t="str">
        <f>"1551599124353265"</f>
        <v>1551599124353265</v>
      </c>
      <c r="C2837" t="s">
        <v>40</v>
      </c>
      <c r="D2837">
        <v>4.8562659999999997</v>
      </c>
      <c r="E2837">
        <v>0.5024708</v>
      </c>
      <c r="F2837" t="s">
        <v>57</v>
      </c>
      <c r="G2837">
        <v>-435.2801</v>
      </c>
      <c r="H2837" s="1">
        <v>4.6399479999999999E-6</v>
      </c>
      <c r="I2837">
        <v>213.68469999999999</v>
      </c>
      <c r="J2837">
        <v>-454.20909999999998</v>
      </c>
      <c r="K2837">
        <v>1.1206259999999999</v>
      </c>
      <c r="L2837">
        <v>214.13059999999999</v>
      </c>
      <c r="M2837">
        <v>0.99990239999999997</v>
      </c>
      <c r="N2837">
        <v>-1.3966249999999999E-2</v>
      </c>
      <c r="O2837" s="1">
        <v>4.8716320000000001E-5</v>
      </c>
      <c r="P2837">
        <v>0.99164509999999995</v>
      </c>
      <c r="Q2837">
        <v>-0.12754269999999901</v>
      </c>
      <c r="R2837">
        <v>-1.9301700000000001E-2</v>
      </c>
      <c r="S2837">
        <v>3.0014340000000002</v>
      </c>
      <c r="T2837">
        <v>-0.1756287</v>
      </c>
      <c r="U2837">
        <v>-6.9992070000000003E-2</v>
      </c>
      <c r="V2837">
        <v>1.9267469999999998E-2</v>
      </c>
      <c r="W2837">
        <v>-0.1136948</v>
      </c>
      <c r="X2837">
        <v>0.99332889999999996</v>
      </c>
      <c r="Y2837">
        <v>2.3312469999999998E-2</v>
      </c>
      <c r="Z2837">
        <v>-8.4655240000000001E-4</v>
      </c>
      <c r="AA2837">
        <v>0.99972780000000006</v>
      </c>
      <c r="AB2837">
        <v>19</v>
      </c>
      <c r="AC2837">
        <v>18.928999999999899</v>
      </c>
      <c r="AD2837">
        <v>-1.1206213600520001</v>
      </c>
      <c r="AE2837">
        <v>-0.44589999999999402</v>
      </c>
      <c r="AF2837">
        <v>0.44526255282622501</v>
      </c>
      <c r="AG2837">
        <v>-1.1206213600520001</v>
      </c>
      <c r="AH2837">
        <v>18.862904330815201</v>
      </c>
      <c r="AI2837">
        <v>93.398929333632395</v>
      </c>
      <c r="AJ2837">
        <v>88.647773016450401</v>
      </c>
      <c r="AK2837">
        <v>18.901407639830499</v>
      </c>
      <c r="AL2837">
        <v>96.528348689363995</v>
      </c>
      <c r="AM2837">
        <v>88.888780649285394</v>
      </c>
      <c r="AN2837">
        <v>1.0000000232612201</v>
      </c>
    </row>
    <row r="2838" spans="1:40" x14ac:dyDescent="0.25">
      <c r="A2838" t="str">
        <f>"20190303154524403"</f>
        <v>20190303154524403</v>
      </c>
      <c r="B2838" t="str">
        <f>"1551599124393281"</f>
        <v>1551599124393281</v>
      </c>
      <c r="C2838" t="s">
        <v>40</v>
      </c>
      <c r="D2838">
        <v>4.8373850000000003</v>
      </c>
      <c r="E2838">
        <v>0.50226939999999998</v>
      </c>
      <c r="F2838" t="s">
        <v>57</v>
      </c>
      <c r="G2838">
        <v>-434.84829999999999</v>
      </c>
      <c r="H2838" s="1">
        <v>4.4499320000000004E-6</v>
      </c>
      <c r="I2838">
        <v>213.6678</v>
      </c>
      <c r="J2838">
        <v>-453.88060000000002</v>
      </c>
      <c r="K2838">
        <v>1.1206640000000001</v>
      </c>
      <c r="L2838">
        <v>214.1294</v>
      </c>
      <c r="M2838">
        <v>0.99990330000000005</v>
      </c>
      <c r="N2838">
        <v>-1.388442E-2</v>
      </c>
      <c r="O2838">
        <v>-8.3395899999999903E-4</v>
      </c>
      <c r="P2838">
        <v>0.99172400000000005</v>
      </c>
      <c r="Q2838">
        <v>-0.126749</v>
      </c>
      <c r="R2838">
        <v>-2.045655E-2</v>
      </c>
      <c r="S2838">
        <v>3.0015260000000001</v>
      </c>
      <c r="T2838">
        <v>-0.1737311</v>
      </c>
      <c r="U2838">
        <v>-7.1746829999999998E-2</v>
      </c>
      <c r="V2838">
        <v>1.9561329999999998E-2</v>
      </c>
      <c r="W2838">
        <v>-0.11297889999999999</v>
      </c>
      <c r="X2838">
        <v>0.99340479999999998</v>
      </c>
      <c r="Y2838">
        <v>2.3015870000000001E-2</v>
      </c>
      <c r="Z2838">
        <v>-7.8876289999999904E-4</v>
      </c>
      <c r="AA2838">
        <v>0.99973480000000003</v>
      </c>
      <c r="AB2838">
        <v>19</v>
      </c>
      <c r="AC2838">
        <v>19.032299999999999</v>
      </c>
      <c r="AD2838">
        <v>-1.1206595500680001</v>
      </c>
      <c r="AE2838">
        <v>-0.46160000000000401</v>
      </c>
      <c r="AF2838">
        <v>0.44418702205802002</v>
      </c>
      <c r="AG2838">
        <v>-1.1206595500680001</v>
      </c>
      <c r="AH2838">
        <v>18.966956926901499</v>
      </c>
      <c r="AI2838">
        <v>93.380455877673398</v>
      </c>
      <c r="AJ2838">
        <v>88.658435793266605</v>
      </c>
      <c r="AK2838">
        <v>19.005226518109701</v>
      </c>
      <c r="AL2838">
        <v>96.487064867796803</v>
      </c>
      <c r="AM2838">
        <v>88.871923282587503</v>
      </c>
      <c r="AN2838">
        <v>0.99999998706980897</v>
      </c>
    </row>
    <row r="2839" spans="1:40" x14ac:dyDescent="0.25">
      <c r="A2839" t="str">
        <f>"20190303154524426"</f>
        <v>20190303154524426</v>
      </c>
      <c r="B2839" t="str">
        <f>"1551599124423537"</f>
        <v>1551599124423537</v>
      </c>
      <c r="C2839" t="s">
        <v>40</v>
      </c>
      <c r="D2839">
        <v>4.8307200000000003</v>
      </c>
      <c r="E2839">
        <v>0.50213160000000001</v>
      </c>
      <c r="F2839" t="s">
        <v>57</v>
      </c>
      <c r="G2839">
        <v>-434.14179999999999</v>
      </c>
      <c r="H2839" s="1">
        <v>4.1386889999999998E-6</v>
      </c>
      <c r="I2839">
        <v>213.64400000000001</v>
      </c>
      <c r="J2839">
        <v>-453.67430000000002</v>
      </c>
      <c r="K2839">
        <v>1.12066</v>
      </c>
      <c r="L2839">
        <v>214.12860000000001</v>
      </c>
      <c r="M2839">
        <v>0.99990489999999999</v>
      </c>
      <c r="N2839">
        <v>-1.373271E-2</v>
      </c>
      <c r="O2839">
        <v>-1.310058E-3</v>
      </c>
      <c r="P2839">
        <v>0.99175800000000003</v>
      </c>
      <c r="Q2839">
        <v>-0.12635360000000001</v>
      </c>
      <c r="R2839">
        <v>-2.12374E-2</v>
      </c>
      <c r="S2839">
        <v>3.001709</v>
      </c>
      <c r="T2839">
        <v>-0.1704205</v>
      </c>
      <c r="U2839">
        <v>-7.3806759999999999E-2</v>
      </c>
      <c r="V2839">
        <v>1.9877229999999999E-2</v>
      </c>
      <c r="W2839">
        <v>-0.1127325</v>
      </c>
      <c r="X2839">
        <v>0.99342660000000005</v>
      </c>
      <c r="Y2839">
        <v>2.3225780000000001E-2</v>
      </c>
      <c r="Z2839">
        <v>-7.6202509999999998E-4</v>
      </c>
      <c r="AA2839">
        <v>0.99972989999999995</v>
      </c>
      <c r="AB2839">
        <v>19</v>
      </c>
      <c r="AC2839">
        <v>19.532499999999999</v>
      </c>
      <c r="AD2839">
        <v>-1.120655861311</v>
      </c>
      <c r="AE2839">
        <v>-0.48459999999999998</v>
      </c>
      <c r="AF2839">
        <v>0.457503397029215</v>
      </c>
      <c r="AG2839">
        <v>-1.120655861311</v>
      </c>
      <c r="AH2839">
        <v>19.4690699635042</v>
      </c>
      <c r="AI2839">
        <v>93.293450395487298</v>
      </c>
      <c r="AJ2839">
        <v>88.653855040463696</v>
      </c>
      <c r="AK2839">
        <v>19.506662045609101</v>
      </c>
      <c r="AL2839">
        <v>96.472855907275104</v>
      </c>
      <c r="AM2839">
        <v>88.853735706217293</v>
      </c>
      <c r="AN2839">
        <v>1.00000006520813</v>
      </c>
    </row>
    <row r="2840" spans="1:40" x14ac:dyDescent="0.25">
      <c r="A2840" t="str">
        <f>"20190303154524447"</f>
        <v>20190303154524447</v>
      </c>
      <c r="B2840" t="str">
        <f>"1551599124444033"</f>
        <v>1551599124444033</v>
      </c>
      <c r="C2840" t="s">
        <v>40</v>
      </c>
      <c r="D2840">
        <v>4.8143349999999998</v>
      </c>
      <c r="E2840">
        <v>0.5020289</v>
      </c>
      <c r="F2840" t="s">
        <v>57</v>
      </c>
      <c r="G2840">
        <v>-433.72770000000003</v>
      </c>
      <c r="H2840" s="1">
        <v>3.956301E-6</v>
      </c>
      <c r="I2840">
        <v>213.62979999999999</v>
      </c>
      <c r="J2840">
        <v>-453.48599999999999</v>
      </c>
      <c r="K2840">
        <v>1.120644</v>
      </c>
      <c r="L2840">
        <v>214.12780000000001</v>
      </c>
      <c r="M2840">
        <v>0.99990670000000004</v>
      </c>
      <c r="N2840">
        <v>-1.3552130000000001E-2</v>
      </c>
      <c r="O2840">
        <v>-1.7151309999999999E-3</v>
      </c>
      <c r="P2840">
        <v>0.99173719999999999</v>
      </c>
      <c r="Q2840">
        <v>-0.1263774</v>
      </c>
      <c r="R2840">
        <v>-2.2047250000000001E-2</v>
      </c>
      <c r="S2840">
        <v>3.0018310000000001</v>
      </c>
      <c r="T2840">
        <v>-0.168651</v>
      </c>
      <c r="U2840">
        <v>-7.5057979999999996E-2</v>
      </c>
      <c r="V2840">
        <v>2.029121E-2</v>
      </c>
      <c r="W2840">
        <v>-0.11293499999999999</v>
      </c>
      <c r="X2840">
        <v>0.99339509999999998</v>
      </c>
      <c r="Y2840">
        <v>2.3237549999999999E-2</v>
      </c>
      <c r="Z2840">
        <v>-7.3676130000000005E-4</v>
      </c>
      <c r="AA2840">
        <v>0.99972969999999906</v>
      </c>
      <c r="AB2840">
        <v>19</v>
      </c>
      <c r="AC2840">
        <v>19.758299999999899</v>
      </c>
      <c r="AD2840">
        <v>-1.1206400436990001</v>
      </c>
      <c r="AE2840">
        <v>-0.49800000000001798</v>
      </c>
      <c r="AF2840">
        <v>0.46262083739405602</v>
      </c>
      <c r="AG2840">
        <v>-1.1206400436990001</v>
      </c>
      <c r="AH2840">
        <v>19.695806578735102</v>
      </c>
      <c r="AI2840">
        <v>93.255573437856299</v>
      </c>
      <c r="AJ2840">
        <v>88.654467461794297</v>
      </c>
      <c r="AK2840">
        <v>19.7330851347091</v>
      </c>
      <c r="AL2840">
        <v>96.484533713387194</v>
      </c>
      <c r="AM2840">
        <v>88.829832112708203</v>
      </c>
      <c r="AN2840">
        <v>0.99999993606613402</v>
      </c>
    </row>
    <row r="2841" spans="1:40" x14ac:dyDescent="0.25">
      <c r="A2841" t="str">
        <f>"20190303154524471"</f>
        <v>20190303154524471</v>
      </c>
      <c r="B2841" t="str">
        <f>"1551599124463553"</f>
        <v>1551599124463553</v>
      </c>
      <c r="C2841" t="s">
        <v>40</v>
      </c>
      <c r="D2841">
        <v>4.7970430000000004</v>
      </c>
      <c r="E2841">
        <v>0.50185299999999999</v>
      </c>
      <c r="F2841" t="s">
        <v>57</v>
      </c>
      <c r="G2841">
        <v>-433.49880000000002</v>
      </c>
      <c r="H2841" s="1">
        <v>3.8560290000000002E-6</v>
      </c>
      <c r="I2841">
        <v>213.61580000000001</v>
      </c>
      <c r="J2841">
        <v>-453.28680000000003</v>
      </c>
      <c r="K2841">
        <v>1.1206309999999999</v>
      </c>
      <c r="L2841">
        <v>214.12690000000001</v>
      </c>
      <c r="M2841">
        <v>0.9999091</v>
      </c>
      <c r="N2841">
        <v>-1.332709E-2</v>
      </c>
      <c r="O2841">
        <v>-2.1036399999999999E-3</v>
      </c>
      <c r="P2841">
        <v>0.99160510000000002</v>
      </c>
      <c r="Q2841">
        <v>-0.12721399999999999</v>
      </c>
      <c r="R2841">
        <v>-2.3153159999999999E-2</v>
      </c>
      <c r="S2841">
        <v>3.001862</v>
      </c>
      <c r="T2841">
        <v>-0.1683085</v>
      </c>
      <c r="U2841">
        <v>-7.6889040000000006E-2</v>
      </c>
      <c r="V2841">
        <v>2.1019090000000001E-2</v>
      </c>
      <c r="W2841">
        <v>-0.11399570000000001</v>
      </c>
      <c r="X2841">
        <v>0.9932588</v>
      </c>
      <c r="Y2841">
        <v>2.3458529999999998E-2</v>
      </c>
      <c r="Z2841">
        <v>-7.2369579999999995E-4</v>
      </c>
      <c r="AA2841">
        <v>0.99972459999999996</v>
      </c>
      <c r="AB2841">
        <v>19</v>
      </c>
      <c r="AC2841">
        <v>19.788</v>
      </c>
      <c r="AD2841">
        <v>-1.1206271439709901</v>
      </c>
      <c r="AE2841">
        <v>-0.511099999999999</v>
      </c>
      <c r="AF2841">
        <v>0.46796850665367601</v>
      </c>
      <c r="AG2841">
        <v>-1.1206271439709901</v>
      </c>
      <c r="AH2841">
        <v>19.725810135242</v>
      </c>
      <c r="AI2841">
        <v>93.250576888714406</v>
      </c>
      <c r="AJ2841">
        <v>88.640989052758897</v>
      </c>
      <c r="AK2841">
        <v>19.7631572682767</v>
      </c>
      <c r="AL2841">
        <v>96.545702405407795</v>
      </c>
      <c r="AM2841">
        <v>88.787702234241195</v>
      </c>
      <c r="AN2841">
        <v>0.99999993277017596</v>
      </c>
    </row>
    <row r="2842" spans="1:40" x14ac:dyDescent="0.25">
      <c r="A2842" t="str">
        <f>"20190303154524492"</f>
        <v>20190303154524492</v>
      </c>
      <c r="B2842" t="str">
        <f>"1551599124484049"</f>
        <v>1551599124484049</v>
      </c>
      <c r="C2842" t="s">
        <v>40</v>
      </c>
      <c r="D2842">
        <v>4.8613379999999999</v>
      </c>
      <c r="E2842">
        <v>0.47475240000000002</v>
      </c>
      <c r="F2842" t="s">
        <v>57</v>
      </c>
      <c r="G2842">
        <v>-433.59300000000002</v>
      </c>
      <c r="H2842" s="1">
        <v>3.8983009999999998E-6</v>
      </c>
      <c r="I2842">
        <v>213.60990000000001</v>
      </c>
      <c r="J2842">
        <v>-453.10019999999997</v>
      </c>
      <c r="K2842">
        <v>1.120614</v>
      </c>
      <c r="L2842">
        <v>214.12610000000001</v>
      </c>
      <c r="M2842">
        <v>0.99991129999999995</v>
      </c>
      <c r="N2842">
        <v>-1.3096790000000001E-2</v>
      </c>
      <c r="O2842">
        <v>-2.4196479999999999E-3</v>
      </c>
      <c r="P2842">
        <v>0.99149560000000003</v>
      </c>
      <c r="Q2842">
        <v>-0.12781680000000001</v>
      </c>
      <c r="R2842">
        <v>-2.4480760000000001E-2</v>
      </c>
      <c r="S2842">
        <v>3.0016479999999999</v>
      </c>
      <c r="T2842">
        <v>-0.17080100000000001</v>
      </c>
      <c r="U2842">
        <v>-7.8796389999999994E-2</v>
      </c>
      <c r="V2842">
        <v>2.2040819999999999E-2</v>
      </c>
      <c r="W2842">
        <v>-0.1148275</v>
      </c>
      <c r="X2842">
        <v>0.99314089999999999</v>
      </c>
      <c r="Y2842">
        <v>2.3777909999999999E-2</v>
      </c>
      <c r="Z2842">
        <v>-7.2586129999999995E-4</v>
      </c>
      <c r="AA2842">
        <v>0.99971699999999997</v>
      </c>
      <c r="AB2842">
        <v>19</v>
      </c>
      <c r="AC2842">
        <v>19.507199999999902</v>
      </c>
      <c r="AD2842">
        <v>-1.120610101699</v>
      </c>
      <c r="AE2842">
        <v>-0.51619999999999699</v>
      </c>
      <c r="AF2842">
        <v>0.467452350349366</v>
      </c>
      <c r="AG2842">
        <v>-1.120610101699</v>
      </c>
      <c r="AH2842">
        <v>19.444270048592699</v>
      </c>
      <c r="AI2842">
        <v>93.2974650238301</v>
      </c>
      <c r="AJ2842">
        <v>88.622839080480404</v>
      </c>
      <c r="AK2842">
        <v>19.482143527406802</v>
      </c>
      <c r="AL2842">
        <v>96.593675617280994</v>
      </c>
      <c r="AM2842">
        <v>88.728640927079397</v>
      </c>
      <c r="AN2842">
        <v>0.99999999987766597</v>
      </c>
    </row>
    <row r="2843" spans="1:40" x14ac:dyDescent="0.25">
      <c r="A2843" t="str">
        <f>"20190303154524518"</f>
        <v>20190303154524518</v>
      </c>
      <c r="B2843" t="str">
        <f>"1551599124513329"</f>
        <v>1551599124513329</v>
      </c>
      <c r="C2843" t="s">
        <v>40</v>
      </c>
      <c r="D2843">
        <v>4.8063269999999996</v>
      </c>
      <c r="E2843">
        <v>0.4749176</v>
      </c>
      <c r="F2843" t="s">
        <v>55</v>
      </c>
      <c r="G2843">
        <v>-441.5838</v>
      </c>
      <c r="H2843" s="1">
        <v>-6.9444990000000004E-7</v>
      </c>
      <c r="I2843">
        <v>214.62690000000001</v>
      </c>
      <c r="J2843">
        <v>-452.88389999999998</v>
      </c>
      <c r="K2843">
        <v>1.120611</v>
      </c>
      <c r="L2843">
        <v>214.12520000000001</v>
      </c>
      <c r="M2843">
        <v>0.99991419999999998</v>
      </c>
      <c r="N2843">
        <v>-1.2822139999999999E-2</v>
      </c>
      <c r="O2843">
        <v>-2.7243219999999999E-3</v>
      </c>
      <c r="P2843">
        <v>0.99149160000000003</v>
      </c>
      <c r="Q2843">
        <v>-0.1276542</v>
      </c>
      <c r="R2843">
        <v>-2.5477079999999999E-2</v>
      </c>
      <c r="S2843">
        <v>2.9913940000000001</v>
      </c>
      <c r="T2843">
        <v>-0.29108079999999997</v>
      </c>
      <c r="U2843">
        <v>0.13008119999999901</v>
      </c>
      <c r="V2843">
        <v>2.2745250000000002E-2</v>
      </c>
      <c r="W2843">
        <v>-0.1149358</v>
      </c>
      <c r="X2843">
        <v>0.99311249999999995</v>
      </c>
      <c r="Y2843">
        <v>-4.5911069999999998E-2</v>
      </c>
      <c r="Z2843">
        <v>2.7521830000000001E-3</v>
      </c>
      <c r="AA2843">
        <v>0.99894170000000004</v>
      </c>
      <c r="AB2843">
        <v>19</v>
      </c>
      <c r="AC2843">
        <v>11.300099999999899</v>
      </c>
      <c r="AD2843">
        <v>-1.1206116944498901</v>
      </c>
      <c r="AE2843">
        <v>0.50169999999999904</v>
      </c>
      <c r="AF2843">
        <v>-0.52731022403565098</v>
      </c>
      <c r="AG2843">
        <v>-1.1206116944498901</v>
      </c>
      <c r="AH2843">
        <v>11.1888723221759</v>
      </c>
      <c r="AI2843">
        <v>95.713037210993207</v>
      </c>
      <c r="AJ2843">
        <v>92.6982443998631</v>
      </c>
      <c r="AK2843">
        <v>11.257206158015601</v>
      </c>
      <c r="AL2843">
        <v>96.599922032740807</v>
      </c>
      <c r="AM2843">
        <v>88.687984456763999</v>
      </c>
      <c r="AN2843">
        <v>1.0000000110877201</v>
      </c>
    </row>
    <row r="2844" spans="1:40" x14ac:dyDescent="0.25">
      <c r="A2844" t="str">
        <f>"20190303154524559"</f>
        <v>20190303154524559</v>
      </c>
      <c r="B2844" t="str">
        <f>"1551599124553345"</f>
        <v>1551599124553345</v>
      </c>
      <c r="C2844" t="s">
        <v>40</v>
      </c>
      <c r="D2844">
        <v>4.8078529999999997</v>
      </c>
      <c r="E2844">
        <v>0.47538950000000002</v>
      </c>
      <c r="F2844" t="s">
        <v>55</v>
      </c>
      <c r="G2844">
        <v>-440.90170000000001</v>
      </c>
      <c r="H2844" s="1">
        <v>-1.0575400000000001E-6</v>
      </c>
      <c r="I2844">
        <v>214.63</v>
      </c>
      <c r="J2844">
        <v>-452.517</v>
      </c>
      <c r="K2844">
        <v>1.120628</v>
      </c>
      <c r="L2844">
        <v>214.12370000000001</v>
      </c>
      <c r="M2844">
        <v>0.999919</v>
      </c>
      <c r="N2844">
        <v>-1.235298E-2</v>
      </c>
      <c r="O2844">
        <v>-3.0870799999999999E-3</v>
      </c>
      <c r="P2844">
        <v>0.991564</v>
      </c>
      <c r="Q2844">
        <v>-0.12701089999999901</v>
      </c>
      <c r="R2844">
        <v>-2.5871390000000001E-2</v>
      </c>
      <c r="S2844">
        <v>2.99295</v>
      </c>
      <c r="T2844">
        <v>-0.27991139999999998</v>
      </c>
      <c r="U2844">
        <v>0.12608339999999901</v>
      </c>
      <c r="V2844">
        <v>2.2796139999999999E-2</v>
      </c>
      <c r="W2844">
        <v>-0.1147542</v>
      </c>
      <c r="X2844">
        <v>0.99313229999999997</v>
      </c>
      <c r="Y2844">
        <v>-4.4941910000000002E-2</v>
      </c>
      <c r="Z2844">
        <v>2.6243830000000001E-3</v>
      </c>
      <c r="AA2844">
        <v>0.99898609999999999</v>
      </c>
      <c r="AB2844">
        <v>19</v>
      </c>
      <c r="AC2844">
        <v>11.6152999999999</v>
      </c>
      <c r="AD2844">
        <v>-1.12062905754</v>
      </c>
      <c r="AE2844">
        <v>0.50629999999998099</v>
      </c>
      <c r="AF2844">
        <v>-0.53716713647022196</v>
      </c>
      <c r="AG2844">
        <v>-1.12062905754</v>
      </c>
      <c r="AH2844">
        <v>11.5067779562472</v>
      </c>
      <c r="AI2844">
        <v>95.556401439805398</v>
      </c>
      <c r="AJ2844">
        <v>92.672779614830603</v>
      </c>
      <c r="AK2844">
        <v>11.573689858963901</v>
      </c>
      <c r="AL2844">
        <v>96.589448035748404</v>
      </c>
      <c r="AM2844">
        <v>88.685076202377005</v>
      </c>
      <c r="AN2844">
        <v>0.99999997785991401</v>
      </c>
    </row>
    <row r="2845" spans="1:40" x14ac:dyDescent="0.25">
      <c r="A2845" t="str">
        <f>"20190303154524580"</f>
        <v>20190303154524580</v>
      </c>
      <c r="B2845" t="str">
        <f>"1551599124573842"</f>
        <v>1551599124573842</v>
      </c>
      <c r="C2845" t="s">
        <v>40</v>
      </c>
      <c r="D2845">
        <v>4.8575489999999997</v>
      </c>
      <c r="E2845">
        <v>0.475325</v>
      </c>
      <c r="F2845" t="s">
        <v>57</v>
      </c>
      <c r="G2845">
        <v>-439.42500000000001</v>
      </c>
      <c r="H2845" s="1">
        <v>6.3931520000000004E-6</v>
      </c>
      <c r="I2845">
        <v>214.6559</v>
      </c>
      <c r="J2845">
        <v>-452.3304</v>
      </c>
      <c r="K2845">
        <v>1.1206290000000001</v>
      </c>
      <c r="L2845">
        <v>214.12299999999999</v>
      </c>
      <c r="M2845">
        <v>0.99992159999999997</v>
      </c>
      <c r="N2845">
        <v>-1.2110070000000001E-2</v>
      </c>
      <c r="O2845">
        <v>-3.210418E-3</v>
      </c>
      <c r="P2845">
        <v>0.99158290000000004</v>
      </c>
      <c r="Q2845">
        <v>-0.12688479999999999</v>
      </c>
      <c r="R2845">
        <v>-2.5767580000000002E-2</v>
      </c>
      <c r="S2845">
        <v>2.995819</v>
      </c>
      <c r="T2845">
        <v>-0.25643169999999998</v>
      </c>
      <c r="U2845">
        <v>0.121780399999999</v>
      </c>
      <c r="V2845">
        <v>2.2576300000000001E-2</v>
      </c>
      <c r="W2845">
        <v>-0.114867899999999</v>
      </c>
      <c r="X2845">
        <v>0.99312420000000001</v>
      </c>
      <c r="Y2845">
        <v>-4.3633779999999997E-2</v>
      </c>
      <c r="Z2845">
        <v>2.3635370000000002E-3</v>
      </c>
      <c r="AA2845">
        <v>0.99904479999999996</v>
      </c>
      <c r="AB2845">
        <v>19</v>
      </c>
      <c r="AC2845">
        <v>12.905399999999901</v>
      </c>
      <c r="AD2845">
        <v>-1.1206226068480001</v>
      </c>
      <c r="AE2845">
        <v>0.53290000000001203</v>
      </c>
      <c r="AF2845">
        <v>-0.57004117827689604</v>
      </c>
      <c r="AG2845">
        <v>-1.1206226068480001</v>
      </c>
      <c r="AH2845">
        <v>12.807219473317099</v>
      </c>
      <c r="AI2845">
        <v>94.995683291046404</v>
      </c>
      <c r="AJ2845">
        <v>92.548516585383496</v>
      </c>
      <c r="AK2845">
        <v>12.8687844262627</v>
      </c>
      <c r="AL2845">
        <v>96.596005783107699</v>
      </c>
      <c r="AM2845">
        <v>88.697741977373596</v>
      </c>
      <c r="AN2845">
        <v>1.00000000019887</v>
      </c>
    </row>
    <row r="2846" spans="1:40" x14ac:dyDescent="0.25">
      <c r="A2846" t="str">
        <f>"20190303154524603"</f>
        <v>20190303154524603</v>
      </c>
      <c r="B2846" t="str">
        <f>"1551599124593361"</f>
        <v>1551599124593361</v>
      </c>
      <c r="C2846" t="s">
        <v>40</v>
      </c>
      <c r="D2846">
        <v>4.8330820000000001</v>
      </c>
      <c r="E2846">
        <v>0.47506789999999999</v>
      </c>
      <c r="F2846" t="s">
        <v>57</v>
      </c>
      <c r="G2846">
        <v>-439.16989999999998</v>
      </c>
      <c r="H2846" s="1">
        <v>6.27944499999999E-6</v>
      </c>
      <c r="I2846">
        <v>214.66200000000001</v>
      </c>
      <c r="J2846">
        <v>-452.13740000000001</v>
      </c>
      <c r="K2846">
        <v>1.1206149999999999</v>
      </c>
      <c r="L2846">
        <v>214.1223</v>
      </c>
      <c r="M2846">
        <v>0.99992479999999995</v>
      </c>
      <c r="N2846">
        <v>-1.182068E-2</v>
      </c>
      <c r="O2846">
        <v>-3.299771E-3</v>
      </c>
      <c r="P2846">
        <v>0.99172780000000005</v>
      </c>
      <c r="Q2846">
        <v>-0.1258243</v>
      </c>
      <c r="R2846">
        <v>-2.5389269999999999E-2</v>
      </c>
      <c r="S2846">
        <v>2.9960019999999998</v>
      </c>
      <c r="T2846">
        <v>-0.25510969999999999</v>
      </c>
      <c r="U2846">
        <v>0.122695899999999</v>
      </c>
      <c r="V2846">
        <v>2.211318E-2</v>
      </c>
      <c r="W2846">
        <v>-0.11409229999999999</v>
      </c>
      <c r="X2846">
        <v>0.993224</v>
      </c>
      <c r="Y2846">
        <v>-4.4025839999999997E-2</v>
      </c>
      <c r="Z2846">
        <v>2.3725220000000002E-3</v>
      </c>
      <c r="AA2846">
        <v>0.99902760000000002</v>
      </c>
      <c r="AB2846">
        <v>20</v>
      </c>
      <c r="AC2846">
        <v>12.967499999999999</v>
      </c>
      <c r="AD2846">
        <v>-1.1206087205549999</v>
      </c>
      <c r="AE2846">
        <v>0.53970000000000995</v>
      </c>
      <c r="AF2846">
        <v>-0.57817953596242699</v>
      </c>
      <c r="AG2846">
        <v>-1.1206087205549999</v>
      </c>
      <c r="AH2846">
        <v>12.869705563314399</v>
      </c>
      <c r="AI2846">
        <v>94.971396493761205</v>
      </c>
      <c r="AJ2846">
        <v>92.572318920865001</v>
      </c>
      <c r="AK2846">
        <v>12.931333139579801</v>
      </c>
      <c r="AL2846">
        <v>96.551273215554403</v>
      </c>
      <c r="AM2846">
        <v>88.724575117166495</v>
      </c>
      <c r="AN2846">
        <v>0.9999999799125</v>
      </c>
    </row>
    <row r="2847" spans="1:40" x14ac:dyDescent="0.25">
      <c r="A2847" t="str">
        <f>"20190303154524624"</f>
        <v>20190303154524624</v>
      </c>
      <c r="B2847" t="str">
        <f>"1551599124613857"</f>
        <v>1551599124613857</v>
      </c>
      <c r="C2847" t="s">
        <v>40</v>
      </c>
      <c r="D2847">
        <v>4.7747669999999998</v>
      </c>
      <c r="E2847">
        <v>0.47530709999999998</v>
      </c>
      <c r="F2847" t="s">
        <v>57</v>
      </c>
      <c r="G2847">
        <v>-439.04930000000002</v>
      </c>
      <c r="H2847" s="1">
        <v>6.225157E-6</v>
      </c>
      <c r="I2847">
        <v>214.67160000000001</v>
      </c>
      <c r="J2847">
        <v>-451.94510000000002</v>
      </c>
      <c r="K2847">
        <v>1.120566</v>
      </c>
      <c r="L2847">
        <v>214.1216</v>
      </c>
      <c r="M2847">
        <v>0.9999287</v>
      </c>
      <c r="N2847">
        <v>-1.14641E-2</v>
      </c>
      <c r="O2847">
        <v>-3.3575430000000002E-3</v>
      </c>
      <c r="P2847">
        <v>0.99182179999999998</v>
      </c>
      <c r="Q2847">
        <v>-0.1252249</v>
      </c>
      <c r="R2847">
        <v>-2.4667290000000001E-2</v>
      </c>
      <c r="S2847">
        <v>2.9956969999999998</v>
      </c>
      <c r="T2847">
        <v>-0.25649420000000001</v>
      </c>
      <c r="U2847">
        <v>0.12573239999999999</v>
      </c>
      <c r="V2847">
        <v>2.1335880000000002E-2</v>
      </c>
      <c r="W2847">
        <v>-0.11384560000000001</v>
      </c>
      <c r="X2847">
        <v>0.99326930000000002</v>
      </c>
      <c r="Y2847">
        <v>-4.5092599999999997E-2</v>
      </c>
      <c r="Z2847">
        <v>2.433611E-3</v>
      </c>
      <c r="AA2847">
        <v>0.99897990000000003</v>
      </c>
      <c r="AB2847">
        <v>20</v>
      </c>
      <c r="AC2847">
        <v>12.895799999999999</v>
      </c>
      <c r="AD2847">
        <v>-1.1205597748429901</v>
      </c>
      <c r="AE2847">
        <v>0.55000000000001104</v>
      </c>
      <c r="AF2847">
        <v>-0.58885985512392902</v>
      </c>
      <c r="AG2847">
        <v>-1.1205597748429901</v>
      </c>
      <c r="AH2847">
        <v>12.7974294810233</v>
      </c>
      <c r="AI2847">
        <v>94.998868706550496</v>
      </c>
      <c r="AJ2847">
        <v>92.634544922047695</v>
      </c>
      <c r="AK2847">
        <v>12.859883804286</v>
      </c>
      <c r="AL2847">
        <v>96.537045700103107</v>
      </c>
      <c r="AM2847">
        <v>88.769449624181703</v>
      </c>
      <c r="AN2847">
        <v>0.99999997136861096</v>
      </c>
    </row>
    <row r="2848" spans="1:40" x14ac:dyDescent="0.25">
      <c r="A2848" t="str">
        <f>"20190303154524648"</f>
        <v>20190303154524648</v>
      </c>
      <c r="B2848" t="str">
        <f>"1551599124643137"</f>
        <v>1551599124643137</v>
      </c>
      <c r="C2848" t="s">
        <v>40</v>
      </c>
      <c r="D2848">
        <v>4.7123999999999997</v>
      </c>
      <c r="E2848">
        <v>0.47558289999999998</v>
      </c>
      <c r="F2848" t="s">
        <v>57</v>
      </c>
      <c r="G2848">
        <v>-438.50479999999999</v>
      </c>
      <c r="H2848" s="1">
        <v>5.9822029999999898E-6</v>
      </c>
      <c r="I2848">
        <v>214.6884</v>
      </c>
      <c r="J2848">
        <v>-451.73840000000001</v>
      </c>
      <c r="K2848">
        <v>1.120506</v>
      </c>
      <c r="L2848">
        <v>214.1208</v>
      </c>
      <c r="M2848">
        <v>0.99993339999999997</v>
      </c>
      <c r="N2848">
        <v>-1.103203E-2</v>
      </c>
      <c r="O2848">
        <v>-3.4001499999999998E-3</v>
      </c>
      <c r="P2848">
        <v>0.9918245</v>
      </c>
      <c r="Q2848">
        <v>-0.12530179999999999</v>
      </c>
      <c r="R2848">
        <v>-2.416198E-2</v>
      </c>
      <c r="S2848">
        <v>2.9963069999999998</v>
      </c>
      <c r="T2848">
        <v>-0.24981159999999999</v>
      </c>
      <c r="U2848">
        <v>0.126358</v>
      </c>
      <c r="V2848">
        <v>2.0788750000000002E-2</v>
      </c>
      <c r="W2848">
        <v>-0.1143516</v>
      </c>
      <c r="X2848">
        <v>0.99322279999999996</v>
      </c>
      <c r="Y2848">
        <v>-4.5344099999999998E-2</v>
      </c>
      <c r="Z2848">
        <v>2.3822919999999998E-3</v>
      </c>
      <c r="AA2848">
        <v>0.99896859999999998</v>
      </c>
      <c r="AB2848">
        <v>20</v>
      </c>
      <c r="AC2848">
        <v>13.233599999999999</v>
      </c>
      <c r="AD2848">
        <v>-1.1205000177969999</v>
      </c>
      <c r="AE2848">
        <v>0.567599999999998</v>
      </c>
      <c r="AF2848">
        <v>-0.608243100872781</v>
      </c>
      <c r="AG2848">
        <v>-1.1205000177969999</v>
      </c>
      <c r="AH2848">
        <v>13.137581095441099</v>
      </c>
      <c r="AI2848">
        <v>94.869749362868106</v>
      </c>
      <c r="AJ2848">
        <v>92.650784353710804</v>
      </c>
      <c r="AK2848">
        <v>13.199299867755601</v>
      </c>
      <c r="AL2848">
        <v>96.566227783249602</v>
      </c>
      <c r="AM2848">
        <v>88.800939985882906</v>
      </c>
      <c r="AN2848">
        <v>0.99999999549448104</v>
      </c>
    </row>
    <row r="2849" spans="1:40" x14ac:dyDescent="0.25">
      <c r="A2849" t="str">
        <f>"20190303154524692"</f>
        <v>20190303154524692</v>
      </c>
      <c r="B2849" t="str">
        <f>"1551599124684129"</f>
        <v>1551599124684129</v>
      </c>
      <c r="C2849" t="s">
        <v>40</v>
      </c>
      <c r="D2849">
        <v>4.7664689999999998</v>
      </c>
      <c r="E2849">
        <v>0.475742</v>
      </c>
      <c r="F2849" t="s">
        <v>57</v>
      </c>
      <c r="G2849">
        <v>-438.04379999999998</v>
      </c>
      <c r="H2849" s="1">
        <v>5.7771259999999996E-6</v>
      </c>
      <c r="I2849">
        <v>214.69589999999999</v>
      </c>
      <c r="J2849">
        <v>-451.34140000000002</v>
      </c>
      <c r="K2849">
        <v>1.120371</v>
      </c>
      <c r="L2849">
        <v>214.11940000000001</v>
      </c>
      <c r="M2849">
        <v>0.99994280000000002</v>
      </c>
      <c r="N2849">
        <v>-1.012994E-2</v>
      </c>
      <c r="O2849">
        <v>-3.4648539999999999E-3</v>
      </c>
      <c r="P2849">
        <v>0.99202290000000004</v>
      </c>
      <c r="Q2849">
        <v>-0.1239808</v>
      </c>
      <c r="R2849">
        <v>-2.2796799999999999E-2</v>
      </c>
      <c r="S2849">
        <v>2.9968569999999999</v>
      </c>
      <c r="T2849">
        <v>-0.24520459999999999</v>
      </c>
      <c r="U2849">
        <v>0.12583920000000001</v>
      </c>
      <c r="V2849">
        <v>1.9356950000000001E-2</v>
      </c>
      <c r="W2849">
        <v>-0.1139249</v>
      </c>
      <c r="X2849">
        <v>0.99330079999999998</v>
      </c>
      <c r="Y2849">
        <v>-4.5236619999999998E-2</v>
      </c>
      <c r="Z2849">
        <v>2.324277E-3</v>
      </c>
      <c r="AA2849">
        <v>0.99897360000000002</v>
      </c>
      <c r="AB2849">
        <v>20</v>
      </c>
      <c r="AC2849">
        <v>13.297599999999999</v>
      </c>
      <c r="AD2849">
        <v>-1.120365222874</v>
      </c>
      <c r="AE2849">
        <v>0.57649999999998103</v>
      </c>
      <c r="AF2849">
        <v>-0.61819306784712302</v>
      </c>
      <c r="AG2849">
        <v>-1.120365222874</v>
      </c>
      <c r="AH2849">
        <v>13.2019827966959</v>
      </c>
      <c r="AI2849">
        <v>94.845408772360102</v>
      </c>
      <c r="AJ2849">
        <v>92.680960916522196</v>
      </c>
      <c r="AK2849">
        <v>13.2638505218513</v>
      </c>
      <c r="AL2849">
        <v>96.541618645608906</v>
      </c>
      <c r="AM2849">
        <v>88.883589768007496</v>
      </c>
      <c r="AN2849">
        <v>1.00000002681697</v>
      </c>
    </row>
    <row r="2850" spans="1:40" x14ac:dyDescent="0.25">
      <c r="A2850" t="str">
        <f>"20190303154524717"</f>
        <v>20190303154524717</v>
      </c>
      <c r="B2850" t="str">
        <f>"1551599124713409"</f>
        <v>1551599124713409</v>
      </c>
      <c r="C2850" t="s">
        <v>40</v>
      </c>
      <c r="D2850">
        <v>4.7574569999999996</v>
      </c>
      <c r="E2850">
        <v>0.48932619999999999</v>
      </c>
      <c r="F2850" t="s">
        <v>57</v>
      </c>
      <c r="G2850">
        <v>-437.17720000000003</v>
      </c>
      <c r="H2850" s="1">
        <v>5.3898770000000003E-6</v>
      </c>
      <c r="I2850">
        <v>214.7294</v>
      </c>
      <c r="J2850">
        <v>-451.12490000000003</v>
      </c>
      <c r="K2850">
        <v>1.1202989999999999</v>
      </c>
      <c r="L2850">
        <v>214.11859999999999</v>
      </c>
      <c r="M2850">
        <v>0.99994769999999999</v>
      </c>
      <c r="N2850">
        <v>-9.6187630000000007E-3</v>
      </c>
      <c r="O2850">
        <v>-3.5035410000000002E-3</v>
      </c>
      <c r="P2850">
        <v>0.99205319999999997</v>
      </c>
      <c r="Q2850">
        <v>-0.12389029999999999</v>
      </c>
      <c r="R2850">
        <v>-2.1957270000000001E-2</v>
      </c>
      <c r="S2850">
        <v>2.9974669999999999</v>
      </c>
      <c r="T2850">
        <v>-0.2370939</v>
      </c>
      <c r="U2850">
        <v>0.12910460000000001</v>
      </c>
      <c r="V2850">
        <v>1.8477190000000001E-2</v>
      </c>
      <c r="W2850">
        <v>-0.1143422</v>
      </c>
      <c r="X2850">
        <v>0.99326959999999997</v>
      </c>
      <c r="Y2850">
        <v>-4.6360899999999997E-2</v>
      </c>
      <c r="Z2850">
        <v>2.2962220000000001E-3</v>
      </c>
      <c r="AA2850">
        <v>0.99892210000000004</v>
      </c>
      <c r="AB2850">
        <v>20</v>
      </c>
      <c r="AC2850">
        <v>13.9476999999999</v>
      </c>
      <c r="AD2850">
        <v>-1.1202936101230001</v>
      </c>
      <c r="AE2850">
        <v>0.610800000000011</v>
      </c>
      <c r="AF2850">
        <v>-0.65544436138019502</v>
      </c>
      <c r="AG2850">
        <v>-1.1202936101230001</v>
      </c>
      <c r="AH2850">
        <v>13.8562522705385</v>
      </c>
      <c r="AI2850">
        <v>94.617233343604894</v>
      </c>
      <c r="AJ2850">
        <v>92.708251997321199</v>
      </c>
      <c r="AK2850">
        <v>13.9169102917476</v>
      </c>
      <c r="AL2850">
        <v>96.565685473723704</v>
      </c>
      <c r="AM2850">
        <v>88.934284394725196</v>
      </c>
      <c r="AN2850">
        <v>1.0000000217676399</v>
      </c>
    </row>
    <row r="2851" spans="1:40" x14ac:dyDescent="0.25">
      <c r="A2851" t="str">
        <f>"20190303154524739"</f>
        <v>20190303154524739</v>
      </c>
      <c r="B2851" t="str">
        <f>"1551599124733905"</f>
        <v>1551599124733905</v>
      </c>
      <c r="C2851" t="s">
        <v>40</v>
      </c>
      <c r="D2851">
        <v>4.7540190000000004</v>
      </c>
      <c r="E2851">
        <v>0.48974309999999899</v>
      </c>
      <c r="F2851" t="s">
        <v>57</v>
      </c>
      <c r="G2851">
        <v>-408.25549999999998</v>
      </c>
      <c r="H2851" s="1">
        <v>4.7616530000000003E-6</v>
      </c>
      <c r="I2851">
        <v>214.51779999999999</v>
      </c>
      <c r="J2851">
        <v>-450.91539999999998</v>
      </c>
      <c r="K2851">
        <v>1.1202299999999901</v>
      </c>
      <c r="L2851">
        <v>214.11779999999999</v>
      </c>
      <c r="M2851">
        <v>0.99995199999999995</v>
      </c>
      <c r="N2851">
        <v>-9.1369929999999995E-3</v>
      </c>
      <c r="O2851">
        <v>-3.5465409999999998E-3</v>
      </c>
      <c r="P2851">
        <v>0.99203419999999998</v>
      </c>
      <c r="Q2851">
        <v>-0.1241025</v>
      </c>
      <c r="R2851">
        <v>-2.1606130000000001E-2</v>
      </c>
      <c r="S2851">
        <v>3.0148009999999998</v>
      </c>
      <c r="T2851">
        <v>-7.8784820000000005E-2</v>
      </c>
      <c r="U2851">
        <v>2.8076170000000001E-2</v>
      </c>
      <c r="V2851">
        <v>1.8081219999999999E-2</v>
      </c>
      <c r="W2851">
        <v>-0.11503339999999899</v>
      </c>
      <c r="X2851">
        <v>0.993197</v>
      </c>
      <c r="Y2851">
        <v>-1.285242E-2</v>
      </c>
      <c r="Z2851">
        <v>2.8689600000000003E-4</v>
      </c>
      <c r="AA2851">
        <v>0.99991739999999996</v>
      </c>
      <c r="AB2851">
        <v>20</v>
      </c>
      <c r="AC2851">
        <v>42.659899999999901</v>
      </c>
      <c r="AD2851">
        <v>-1.1202252383469999</v>
      </c>
      <c r="AE2851">
        <v>0.40000000000000502</v>
      </c>
      <c r="AF2851">
        <v>-0.55091902205980403</v>
      </c>
      <c r="AG2851">
        <v>-1.1202252383469999</v>
      </c>
      <c r="AH2851">
        <v>42.628820537862197</v>
      </c>
      <c r="AI2851">
        <v>91.505180145298496</v>
      </c>
      <c r="AJ2851">
        <v>90.740428124593194</v>
      </c>
      <c r="AK2851">
        <v>42.647095525988099</v>
      </c>
      <c r="AL2851">
        <v>96.605551862825095</v>
      </c>
      <c r="AM2851">
        <v>88.957041586175805</v>
      </c>
      <c r="AN2851">
        <v>0.99999994722062202</v>
      </c>
    </row>
    <row r="2852" spans="1:40" x14ac:dyDescent="0.25">
      <c r="A2852" t="str">
        <f>"20190303154524760"</f>
        <v>20190303154524760</v>
      </c>
      <c r="B2852" t="str">
        <f>"1551599124753425"</f>
        <v>1551599124753425</v>
      </c>
      <c r="C2852" t="s">
        <v>40</v>
      </c>
      <c r="D2852">
        <v>4.7538609999999997</v>
      </c>
      <c r="E2852">
        <v>0.48969869999999999</v>
      </c>
      <c r="F2852" t="s">
        <v>55</v>
      </c>
      <c r="G2852">
        <v>-395.4298</v>
      </c>
      <c r="H2852" s="1">
        <v>1.352671E-6</v>
      </c>
      <c r="I2852">
        <v>214.59039999999999</v>
      </c>
      <c r="J2852">
        <v>-450.72579999999999</v>
      </c>
      <c r="K2852">
        <v>1.120177</v>
      </c>
      <c r="L2852">
        <v>214.11709999999999</v>
      </c>
      <c r="M2852">
        <v>0.9999555</v>
      </c>
      <c r="N2852">
        <v>-8.7252519999999993E-3</v>
      </c>
      <c r="O2852">
        <v>-3.5910159999999998E-3</v>
      </c>
      <c r="P2852">
        <v>0.99191470000000004</v>
      </c>
      <c r="Q2852">
        <v>-0.1249454</v>
      </c>
      <c r="R2852">
        <v>-2.2229240000000001E-2</v>
      </c>
      <c r="S2852">
        <v>3.017029</v>
      </c>
      <c r="T2852">
        <v>-6.091237E-2</v>
      </c>
      <c r="U2852">
        <v>2.5695800000000001E-2</v>
      </c>
      <c r="V2852">
        <v>1.8658839999999999E-2</v>
      </c>
      <c r="W2852">
        <v>-0.1162866</v>
      </c>
      <c r="X2852">
        <v>0.99304040000000005</v>
      </c>
      <c r="Y2852">
        <v>-1.210381E-2</v>
      </c>
      <c r="Z2852">
        <v>2.161462E-4</v>
      </c>
      <c r="AA2852">
        <v>0.99992669999999995</v>
      </c>
      <c r="AB2852">
        <v>20</v>
      </c>
      <c r="AC2852">
        <v>55.2959999999999</v>
      </c>
      <c r="AD2852">
        <v>-1.1201756473290001</v>
      </c>
      <c r="AE2852">
        <v>0.473299999999994</v>
      </c>
      <c r="AF2852">
        <v>-0.67159773581269999</v>
      </c>
      <c r="AG2852">
        <v>-1.1201756473290001</v>
      </c>
      <c r="AH2852">
        <v>55.271263259248897</v>
      </c>
      <c r="AI2852">
        <v>91.160961633721499</v>
      </c>
      <c r="AJ2852">
        <v>90.696163248461403</v>
      </c>
      <c r="AK2852">
        <v>55.286692605660697</v>
      </c>
      <c r="AL2852">
        <v>96.677839853129797</v>
      </c>
      <c r="AM2852">
        <v>88.923561420634996</v>
      </c>
      <c r="AN2852">
        <v>0.999999980840932</v>
      </c>
    </row>
    <row r="2853" spans="1:40" x14ac:dyDescent="0.25">
      <c r="A2853" t="str">
        <f>"20190303154524782"</f>
        <v>20190303154524782</v>
      </c>
      <c r="B2853" t="str">
        <f>"1551599124773921"</f>
        <v>1551599124773921</v>
      </c>
      <c r="C2853" t="s">
        <v>40</v>
      </c>
      <c r="D2853">
        <v>4.7676160000000003</v>
      </c>
      <c r="E2853">
        <v>0.49000050000000001</v>
      </c>
      <c r="F2853" t="s">
        <v>55</v>
      </c>
      <c r="G2853">
        <v>-393.5976</v>
      </c>
      <c r="H2853" s="1">
        <v>3.7769630000000003E-7</v>
      </c>
      <c r="I2853">
        <v>214.5703</v>
      </c>
      <c r="J2853">
        <v>-450.52789999999999</v>
      </c>
      <c r="K2853">
        <v>1.120128</v>
      </c>
      <c r="L2853">
        <v>214.1163</v>
      </c>
      <c r="M2853">
        <v>0.99995880000000004</v>
      </c>
      <c r="N2853">
        <v>-8.3244129999999993E-3</v>
      </c>
      <c r="O2853">
        <v>-3.6424029999999998E-3</v>
      </c>
      <c r="P2853">
        <v>0.99182389999999998</v>
      </c>
      <c r="Q2853">
        <v>-0.1255174</v>
      </c>
      <c r="R2853">
        <v>-2.3048869999999999E-2</v>
      </c>
      <c r="S2853">
        <v>3.0175779999999999</v>
      </c>
      <c r="T2853">
        <v>-5.9169050000000001E-2</v>
      </c>
      <c r="U2853">
        <v>2.394104E-2</v>
      </c>
      <c r="V2853">
        <v>1.9426240000000001E-2</v>
      </c>
      <c r="W2853">
        <v>-0.1172576</v>
      </c>
      <c r="X2853">
        <v>0.99291149999999995</v>
      </c>
      <c r="Y2853">
        <v>-1.1572570000000001E-2</v>
      </c>
      <c r="Z2853">
        <v>2.027148E-4</v>
      </c>
      <c r="AA2853">
        <v>0.99993299999999996</v>
      </c>
      <c r="AB2853">
        <v>20</v>
      </c>
      <c r="AC2853">
        <v>56.930299999999903</v>
      </c>
      <c r="AD2853">
        <v>-1.1201276223037</v>
      </c>
      <c r="AE2853">
        <v>0.45400000000000701</v>
      </c>
      <c r="AF2853">
        <v>-0.66111133706718905</v>
      </c>
      <c r="AG2853">
        <v>-1.1201276223037</v>
      </c>
      <c r="AH2853">
        <v>56.9062403468673</v>
      </c>
      <c r="AI2853">
        <v>91.127573518387706</v>
      </c>
      <c r="AJ2853">
        <v>90.665606885445001</v>
      </c>
      <c r="AK2853">
        <v>56.9211028047215</v>
      </c>
      <c r="AL2853">
        <v>96.733857258981701</v>
      </c>
      <c r="AM2853">
        <v>88.879155315065006</v>
      </c>
      <c r="AN2853">
        <v>0.999999985195273</v>
      </c>
    </row>
    <row r="2854" spans="1:40" x14ac:dyDescent="0.25">
      <c r="A2854" t="str">
        <f>"20190303154524828"</f>
        <v>20190303154524828</v>
      </c>
      <c r="B2854" t="str">
        <f>"1551599124823698"</f>
        <v>1551599124823698</v>
      </c>
      <c r="C2854" t="s">
        <v>40</v>
      </c>
      <c r="D2854">
        <v>4.7641669999999996</v>
      </c>
      <c r="E2854">
        <v>0.49039529999999998</v>
      </c>
      <c r="F2854" t="s">
        <v>55</v>
      </c>
      <c r="G2854">
        <v>-391.34449999999998</v>
      </c>
      <c r="H2854" s="1">
        <v>-8.2131599999999999E-7</v>
      </c>
      <c r="I2854">
        <v>214.50139999999999</v>
      </c>
      <c r="J2854">
        <v>-450.10210000000001</v>
      </c>
      <c r="K2854">
        <v>1.1200600000000001</v>
      </c>
      <c r="L2854">
        <v>214.1146</v>
      </c>
      <c r="M2854">
        <v>0.99996439999999998</v>
      </c>
      <c r="N2854">
        <v>-7.5708440000000002E-3</v>
      </c>
      <c r="O2854">
        <v>-3.7630850000000002E-3</v>
      </c>
      <c r="P2854">
        <v>0.99191759999999995</v>
      </c>
      <c r="Q2854">
        <v>-0.1245542</v>
      </c>
      <c r="R2854">
        <v>-2.4207800000000002E-2</v>
      </c>
      <c r="S2854">
        <v>3.0179749999999999</v>
      </c>
      <c r="T2854">
        <v>-5.7119370000000003E-2</v>
      </c>
      <c r="U2854">
        <v>1.9638059999999999E-2</v>
      </c>
      <c r="V2854">
        <v>2.0462600000000001E-2</v>
      </c>
      <c r="W2854">
        <v>-0.1170424</v>
      </c>
      <c r="X2854">
        <v>0.99291609999999997</v>
      </c>
      <c r="Y2854">
        <v>-1.0267149999999999E-2</v>
      </c>
      <c r="Z2854">
        <v>1.787479E-4</v>
      </c>
      <c r="AA2854">
        <v>0.99994720000000004</v>
      </c>
      <c r="AB2854">
        <v>20</v>
      </c>
      <c r="AC2854">
        <v>58.757599999999996</v>
      </c>
      <c r="AD2854">
        <v>-1.1200608213159999</v>
      </c>
      <c r="AE2854">
        <v>0.38679999999999298</v>
      </c>
      <c r="AF2854">
        <v>-0.60769259965710298</v>
      </c>
      <c r="AG2854">
        <v>-1.1200608213159999</v>
      </c>
      <c r="AH2854">
        <v>58.7343866580512</v>
      </c>
      <c r="AI2854">
        <v>91.092435802808595</v>
      </c>
      <c r="AJ2854">
        <v>90.592786965912097</v>
      </c>
      <c r="AK2854">
        <v>58.748208505762904</v>
      </c>
      <c r="AL2854">
        <v>96.721441538731199</v>
      </c>
      <c r="AM2854">
        <v>88.819381940711395</v>
      </c>
      <c r="AN2854">
        <v>1.00000001151786</v>
      </c>
    </row>
    <row r="2855" spans="1:40" x14ac:dyDescent="0.25">
      <c r="A2855" t="str">
        <f>"20190303154524848"</f>
        <v>20190303154524848</v>
      </c>
      <c r="B2855" t="str">
        <f>"1551599124844193"</f>
        <v>1551599124844193</v>
      </c>
      <c r="C2855" t="s">
        <v>40</v>
      </c>
      <c r="D2855">
        <v>4.7601300000000002</v>
      </c>
      <c r="E2855">
        <v>0.49039630000000001</v>
      </c>
      <c r="F2855" t="s">
        <v>55</v>
      </c>
      <c r="G2855">
        <v>-384.61239999999998</v>
      </c>
      <c r="H2855" s="1">
        <v>9.270071E-7</v>
      </c>
      <c r="I2855">
        <v>214.40360000000001</v>
      </c>
      <c r="J2855">
        <v>-449.9178</v>
      </c>
      <c r="K2855">
        <v>1.1200330000000001</v>
      </c>
      <c r="L2855">
        <v>214.1139</v>
      </c>
      <c r="M2855">
        <v>0.99996609999999997</v>
      </c>
      <c r="N2855">
        <v>-7.2888429999999997E-3</v>
      </c>
      <c r="O2855">
        <v>-3.8171239999999999E-3</v>
      </c>
      <c r="P2855">
        <v>0.9919327</v>
      </c>
      <c r="Q2855">
        <v>-0.12439210000000001</v>
      </c>
      <c r="R2855">
        <v>-2.442418E-2</v>
      </c>
      <c r="S2855">
        <v>3.0183110000000002</v>
      </c>
      <c r="T2855">
        <v>-5.1621680000000003E-2</v>
      </c>
      <c r="U2855">
        <v>1.332092E-2</v>
      </c>
      <c r="V2855">
        <v>2.0624529999999999E-2</v>
      </c>
      <c r="W2855">
        <v>-0.1171604</v>
      </c>
      <c r="X2855">
        <v>0.99289879999999997</v>
      </c>
      <c r="Y2855">
        <v>-8.2285840000000006E-3</v>
      </c>
      <c r="Z2855">
        <v>1.378098E-4</v>
      </c>
      <c r="AA2855">
        <v>0.99996609999999997</v>
      </c>
      <c r="AB2855">
        <v>21</v>
      </c>
      <c r="AC2855">
        <v>65.305400000000006</v>
      </c>
      <c r="AD2855">
        <v>-1.1200320729928901</v>
      </c>
      <c r="AE2855">
        <v>0.28970000000001001</v>
      </c>
      <c r="AF2855">
        <v>-0.53882484367017902</v>
      </c>
      <c r="AG2855">
        <v>-1.1200320729928901</v>
      </c>
      <c r="AH2855">
        <v>65.284615537552796</v>
      </c>
      <c r="AI2855">
        <v>90.982844583176401</v>
      </c>
      <c r="AJ2855">
        <v>90.4728784600522</v>
      </c>
      <c r="AK2855">
        <v>65.296445768072005</v>
      </c>
      <c r="AL2855">
        <v>96.7282494992605</v>
      </c>
      <c r="AM2855">
        <v>88.810021113275297</v>
      </c>
      <c r="AN2855">
        <v>0.99999997880365998</v>
      </c>
    </row>
    <row r="2856" spans="1:40" x14ac:dyDescent="0.25">
      <c r="A2856" t="str">
        <f>"20190303154524872"</f>
        <v>20190303154524872</v>
      </c>
      <c r="B2856" t="str">
        <f>"1551599124863714"</f>
        <v>1551599124863714</v>
      </c>
      <c r="C2856" t="s">
        <v>40</v>
      </c>
      <c r="D2856">
        <v>4.9309219999999998</v>
      </c>
      <c r="E2856">
        <v>0.49054120000000001</v>
      </c>
      <c r="F2856" t="s">
        <v>55</v>
      </c>
      <c r="G2856">
        <v>-384.00310000000002</v>
      </c>
      <c r="H2856" s="1">
        <v>6.0304750000000003E-7</v>
      </c>
      <c r="I2856">
        <v>214.39750000000001</v>
      </c>
      <c r="J2856">
        <v>-449.6943</v>
      </c>
      <c r="K2856">
        <v>1.119998</v>
      </c>
      <c r="L2856">
        <v>214.1129</v>
      </c>
      <c r="M2856">
        <v>0.99996810000000003</v>
      </c>
      <c r="N2856">
        <v>-6.9830880000000001E-3</v>
      </c>
      <c r="O2856">
        <v>-3.8835110000000001E-3</v>
      </c>
      <c r="P2856">
        <v>0.99190219999999996</v>
      </c>
      <c r="Q2856">
        <v>-0.1246408</v>
      </c>
      <c r="R2856">
        <v>-2.4388690000000001E-2</v>
      </c>
      <c r="S2856">
        <v>3.0182500000000001</v>
      </c>
      <c r="T2856">
        <v>-5.1286579999999998E-2</v>
      </c>
      <c r="U2856">
        <v>1.298523E-2</v>
      </c>
      <c r="V2856">
        <v>2.052292E-2</v>
      </c>
      <c r="W2856">
        <v>-0.117713</v>
      </c>
      <c r="X2856">
        <v>0.99283560000000004</v>
      </c>
      <c r="Y2856">
        <v>-8.1838759999999997E-3</v>
      </c>
      <c r="Z2856">
        <v>1.369695E-4</v>
      </c>
      <c r="AA2856">
        <v>0.99996649999999998</v>
      </c>
      <c r="AB2856">
        <v>21</v>
      </c>
      <c r="AC2856">
        <v>65.691199999999895</v>
      </c>
      <c r="AD2856">
        <v>-1.1199973969524999</v>
      </c>
      <c r="AE2856">
        <v>0.28460000000001101</v>
      </c>
      <c r="AF2856">
        <v>-0.53955972809945396</v>
      </c>
      <c r="AG2856">
        <v>-1.1199973969524999</v>
      </c>
      <c r="AH2856">
        <v>65.670510390968502</v>
      </c>
      <c r="AI2856">
        <v>90.977040343828094</v>
      </c>
      <c r="AJ2856">
        <v>90.470740967719806</v>
      </c>
      <c r="AK2856">
        <v>65.6822765582898</v>
      </c>
      <c r="AL2856">
        <v>96.760131382488694</v>
      </c>
      <c r="AM2856">
        <v>88.815806703802096</v>
      </c>
      <c r="AN2856">
        <v>1.00000003462084</v>
      </c>
    </row>
    <row r="2857" spans="1:40" x14ac:dyDescent="0.25">
      <c r="A2857" t="str">
        <f>"20190303154524892"</f>
        <v>20190303154524892</v>
      </c>
      <c r="B2857" t="str">
        <f>"1551599124884209"</f>
        <v>1551599124884209</v>
      </c>
      <c r="C2857" t="s">
        <v>40</v>
      </c>
      <c r="D2857">
        <v>4.7729589999999904</v>
      </c>
      <c r="E2857">
        <v>0.49075360000000001</v>
      </c>
      <c r="F2857" t="s">
        <v>55</v>
      </c>
      <c r="G2857">
        <v>-383.01010000000002</v>
      </c>
      <c r="H2857" s="1">
        <v>7.5323259999999996E-8</v>
      </c>
      <c r="I2857">
        <v>214.38130000000001</v>
      </c>
      <c r="J2857">
        <v>-449.49349999999998</v>
      </c>
      <c r="K2857">
        <v>1.119983</v>
      </c>
      <c r="L2857">
        <v>214.1121</v>
      </c>
      <c r="M2857">
        <v>0.99996949999999996</v>
      </c>
      <c r="N2857">
        <v>-6.7407450000000002E-3</v>
      </c>
      <c r="O2857">
        <v>-3.9430000000000003E-3</v>
      </c>
      <c r="P2857">
        <v>0.99183849999999996</v>
      </c>
      <c r="Q2857">
        <v>-0.1251902</v>
      </c>
      <c r="R2857">
        <v>-2.4162400000000001E-2</v>
      </c>
      <c r="S2857">
        <v>3.0183719999999998</v>
      </c>
      <c r="T2857">
        <v>-5.0695179999999999E-2</v>
      </c>
      <c r="U2857">
        <v>1.2146000000000001E-2</v>
      </c>
      <c r="V2857">
        <v>2.023732E-2</v>
      </c>
      <c r="W2857">
        <v>-0.1185035</v>
      </c>
      <c r="X2857">
        <v>0.99274739999999995</v>
      </c>
      <c r="Y2857">
        <v>-7.9652430000000003E-3</v>
      </c>
      <c r="Z2857">
        <v>1.3337630000000001E-4</v>
      </c>
      <c r="AA2857">
        <v>0.99996830000000003</v>
      </c>
      <c r="AB2857">
        <v>21</v>
      </c>
      <c r="AC2857">
        <v>66.483399999999904</v>
      </c>
      <c r="AD2857">
        <v>-1.1199829246767401</v>
      </c>
      <c r="AE2857">
        <v>0.26920000000001199</v>
      </c>
      <c r="AF2857">
        <v>-0.53119716538289896</v>
      </c>
      <c r="AG2857">
        <v>-1.1199829246767401</v>
      </c>
      <c r="AH2857">
        <v>66.462960495083806</v>
      </c>
      <c r="AI2857">
        <v>90.9653824083139</v>
      </c>
      <c r="AJ2857">
        <v>90.457919831027198</v>
      </c>
      <c r="AK2857">
        <v>66.474518801952598</v>
      </c>
      <c r="AL2857">
        <v>96.805743081810107</v>
      </c>
      <c r="AM2857">
        <v>88.832177801835698</v>
      </c>
      <c r="AN2857">
        <v>1.0000000144198899</v>
      </c>
    </row>
    <row r="2858" spans="1:40" x14ac:dyDescent="0.25">
      <c r="A2858" t="str">
        <f>"20190303154524918"</f>
        <v>20190303154524918</v>
      </c>
      <c r="B2858" t="str">
        <f>"1551599124913490"</f>
        <v>1551599124913490</v>
      </c>
      <c r="C2858" t="s">
        <v>40</v>
      </c>
      <c r="D2858">
        <v>4.7703689999999996</v>
      </c>
      <c r="E2858">
        <v>0.49081530000000001</v>
      </c>
      <c r="F2858" t="s">
        <v>55</v>
      </c>
      <c r="G2858">
        <v>-384.4119</v>
      </c>
      <c r="H2858" s="1">
        <v>8.2249640000000003E-7</v>
      </c>
      <c r="I2858">
        <v>214.35329999999999</v>
      </c>
      <c r="J2858">
        <v>-449.26119999999997</v>
      </c>
      <c r="K2858">
        <v>1.119966</v>
      </c>
      <c r="L2858">
        <v>214.11109999999999</v>
      </c>
      <c r="M2858">
        <v>0.9999709</v>
      </c>
      <c r="N2858">
        <v>-6.4962619999999896E-3</v>
      </c>
      <c r="O2858">
        <v>-4.0110930000000003E-3</v>
      </c>
      <c r="P2858">
        <v>0.99186490000000005</v>
      </c>
      <c r="Q2858">
        <v>-0.1250252</v>
      </c>
      <c r="R2858">
        <v>-2.3934560000000001E-2</v>
      </c>
      <c r="S2858">
        <v>3.0183719999999998</v>
      </c>
      <c r="T2858">
        <v>-5.1942830000000002E-2</v>
      </c>
      <c r="U2858">
        <v>1.1184690000000001E-2</v>
      </c>
      <c r="V2858">
        <v>1.9941360000000002E-2</v>
      </c>
      <c r="W2858">
        <v>-0.11858109999999999</v>
      </c>
      <c r="X2858">
        <v>0.99274410000000002</v>
      </c>
      <c r="Y2858">
        <v>-7.7148299999999998E-3</v>
      </c>
      <c r="Z2858">
        <v>1.3440340000000001E-4</v>
      </c>
      <c r="AA2858">
        <v>0.99997029999999998</v>
      </c>
      <c r="AB2858">
        <v>21</v>
      </c>
      <c r="AC2858">
        <v>64.8492999999999</v>
      </c>
      <c r="AD2858">
        <v>-1.1199651775035999</v>
      </c>
      <c r="AE2858">
        <v>0.242199999999996</v>
      </c>
      <c r="AF2858">
        <v>-0.50217032537925099</v>
      </c>
      <c r="AG2858">
        <v>-1.1199651775035999</v>
      </c>
      <c r="AH2858">
        <v>64.828471169587004</v>
      </c>
      <c r="AI2858">
        <v>90.989703590024803</v>
      </c>
      <c r="AJ2858">
        <v>90.443812174993894</v>
      </c>
      <c r="AK2858">
        <v>64.840089228967699</v>
      </c>
      <c r="AL2858">
        <v>96.810220962801907</v>
      </c>
      <c r="AM2858">
        <v>88.8492481272433</v>
      </c>
      <c r="AN2858">
        <v>0.99999999160033404</v>
      </c>
    </row>
    <row r="2859" spans="1:40" x14ac:dyDescent="0.25">
      <c r="A2859" t="str">
        <f>"20190303154524960"</f>
        <v>20190303154524960</v>
      </c>
      <c r="B2859" t="str">
        <f>"1551599124953506"</f>
        <v>1551599124953506</v>
      </c>
      <c r="C2859" t="s">
        <v>40</v>
      </c>
      <c r="D2859">
        <v>4.8935919999999999</v>
      </c>
      <c r="E2859">
        <v>0.49097469999999999</v>
      </c>
      <c r="F2859" t="s">
        <v>55</v>
      </c>
      <c r="G2859">
        <v>-383.60750000000002</v>
      </c>
      <c r="H2859" s="1">
        <v>3.942903E-7</v>
      </c>
      <c r="I2859">
        <v>214.35669999999999</v>
      </c>
      <c r="J2859">
        <v>-448.85629999999998</v>
      </c>
      <c r="K2859">
        <v>1.1199330000000001</v>
      </c>
      <c r="L2859">
        <v>214.10939999999999</v>
      </c>
      <c r="M2859">
        <v>0.99997259999999999</v>
      </c>
      <c r="N2859">
        <v>-6.1563659999999999E-3</v>
      </c>
      <c r="O2859">
        <v>-4.1280300000000004E-3</v>
      </c>
      <c r="P2859">
        <v>0.99179329999999999</v>
      </c>
      <c r="Q2859">
        <v>-0.12588369999999999</v>
      </c>
      <c r="R2859">
        <v>-2.235287E-2</v>
      </c>
      <c r="S2859">
        <v>3.018402</v>
      </c>
      <c r="T2859">
        <v>-5.148995E-2</v>
      </c>
      <c r="U2859">
        <v>1.1291499999999999E-2</v>
      </c>
      <c r="V2859">
        <v>1.824336E-2</v>
      </c>
      <c r="W2859">
        <v>-0.1197772</v>
      </c>
      <c r="X2859">
        <v>0.99263319999999999</v>
      </c>
      <c r="Y2859">
        <v>-7.8671049999999992E-3</v>
      </c>
      <c r="Z2859">
        <v>1.3631590000000001E-4</v>
      </c>
      <c r="AA2859">
        <v>0.99996910000000006</v>
      </c>
      <c r="AB2859">
        <v>21</v>
      </c>
      <c r="AC2859">
        <v>65.248799999999903</v>
      </c>
      <c r="AD2859">
        <v>-1.1199326057096901</v>
      </c>
      <c r="AE2859">
        <v>0.247299999999995</v>
      </c>
      <c r="AF2859">
        <v>-0.51649982121253502</v>
      </c>
      <c r="AG2859">
        <v>-1.1199326057096901</v>
      </c>
      <c r="AH2859">
        <v>65.228006995855594</v>
      </c>
      <c r="AI2859">
        <v>90.983612705482997</v>
      </c>
      <c r="AJ2859">
        <v>90.453679987404996</v>
      </c>
      <c r="AK2859">
        <v>65.239665218010103</v>
      </c>
      <c r="AL2859">
        <v>96.879244104128801</v>
      </c>
      <c r="AM2859">
        <v>88.947093582670306</v>
      </c>
      <c r="AN2859">
        <v>1.0000000337830799</v>
      </c>
    </row>
    <row r="2860" spans="1:40" x14ac:dyDescent="0.25">
      <c r="A2860" t="str">
        <f>"20190303154524985"</f>
        <v>20190303154524985</v>
      </c>
      <c r="B2860" t="str">
        <f>"1551599124974001"</f>
        <v>1551599124974001</v>
      </c>
      <c r="C2860" t="s">
        <v>40</v>
      </c>
      <c r="D2860">
        <v>4.8062329999999998</v>
      </c>
      <c r="E2860">
        <v>0.49108760000000001</v>
      </c>
      <c r="F2860" t="s">
        <v>55</v>
      </c>
      <c r="G2860">
        <v>-388.75200000000001</v>
      </c>
      <c r="H2860" s="1">
        <v>3.129582E-6</v>
      </c>
      <c r="I2860">
        <v>214.4102</v>
      </c>
      <c r="J2860">
        <v>-448.61439999999999</v>
      </c>
      <c r="K2860">
        <v>1.119923</v>
      </c>
      <c r="L2860">
        <v>214.10830000000001</v>
      </c>
      <c r="M2860">
        <v>0.99997320000000001</v>
      </c>
      <c r="N2860">
        <v>-5.9984280000000001E-3</v>
      </c>
      <c r="O2860">
        <v>-4.1968070000000003E-3</v>
      </c>
      <c r="P2860">
        <v>0.99186189999999996</v>
      </c>
      <c r="Q2860">
        <v>-0.1255281</v>
      </c>
      <c r="R2860">
        <v>-2.1276690000000001E-2</v>
      </c>
      <c r="S2860">
        <v>3.0180660000000001</v>
      </c>
      <c r="T2860">
        <v>-5.623591E-2</v>
      </c>
      <c r="U2860">
        <v>1.51062E-2</v>
      </c>
      <c r="V2860">
        <v>1.7098579999999999E-2</v>
      </c>
      <c r="W2860">
        <v>-0.1195779</v>
      </c>
      <c r="X2860">
        <v>0.99267760000000005</v>
      </c>
      <c r="Y2860">
        <v>-9.199535E-3</v>
      </c>
      <c r="Z2860">
        <v>1.663143E-4</v>
      </c>
      <c r="AA2860">
        <v>0.99995769999999995</v>
      </c>
      <c r="AB2860">
        <v>21</v>
      </c>
      <c r="AC2860">
        <v>59.862400000000001</v>
      </c>
      <c r="AD2860">
        <v>-1.119919870418</v>
      </c>
      <c r="AE2860">
        <v>0.30189999999998901</v>
      </c>
      <c r="AF2860">
        <v>-0.55293927831148304</v>
      </c>
      <c r="AG2860">
        <v>-1.119919870418</v>
      </c>
      <c r="AH2860">
        <v>59.839662522182699</v>
      </c>
      <c r="AI2860">
        <v>91.0721392936683</v>
      </c>
      <c r="AJ2860">
        <v>90.529417847610404</v>
      </c>
      <c r="AK2860">
        <v>59.852695621253098</v>
      </c>
      <c r="AL2860">
        <v>96.867742440439699</v>
      </c>
      <c r="AM2860">
        <v>89.013194616249194</v>
      </c>
      <c r="AN2860">
        <v>1.00000002657409</v>
      </c>
    </row>
    <row r="2861" spans="1:40" x14ac:dyDescent="0.25">
      <c r="A2861" t="str">
        <f>"20190303154525008"</f>
        <v>20190303154525008</v>
      </c>
      <c r="B2861" t="str">
        <f>"1551599125004257"</f>
        <v>1551599125004257</v>
      </c>
      <c r="C2861" t="s">
        <v>40</v>
      </c>
      <c r="D2861">
        <v>4.8053119999999998</v>
      </c>
      <c r="E2861">
        <v>0.49131799999999998</v>
      </c>
      <c r="F2861" t="s">
        <v>55</v>
      </c>
      <c r="G2861">
        <v>-388.74270000000001</v>
      </c>
      <c r="H2861" s="1">
        <v>3.122915E-6</v>
      </c>
      <c r="I2861">
        <v>214.4495</v>
      </c>
      <c r="J2861">
        <v>-448.3929</v>
      </c>
      <c r="K2861">
        <v>1.119915</v>
      </c>
      <c r="L2861">
        <v>214.10730000000001</v>
      </c>
      <c r="M2861">
        <v>0.99997369999999997</v>
      </c>
      <c r="N2861">
        <v>-5.8782180000000002E-3</v>
      </c>
      <c r="O2861">
        <v>-4.2595089999999999E-3</v>
      </c>
      <c r="P2861">
        <v>0.99188969999999999</v>
      </c>
      <c r="Q2861">
        <v>-0.12545010000000001</v>
      </c>
      <c r="R2861">
        <v>-2.0427669999999998E-2</v>
      </c>
      <c r="S2861">
        <v>3.0178530000000001</v>
      </c>
      <c r="T2861">
        <v>-5.6449890000000003E-2</v>
      </c>
      <c r="U2861">
        <v>1.7196659999999999E-2</v>
      </c>
      <c r="V2861">
        <v>1.6187099999999999E-2</v>
      </c>
      <c r="W2861">
        <v>-0.119619</v>
      </c>
      <c r="X2861">
        <v>0.99268789999999996</v>
      </c>
      <c r="Y2861">
        <v>-9.9550400000000001E-3</v>
      </c>
      <c r="Z2861">
        <v>1.7699109999999999E-4</v>
      </c>
      <c r="AA2861">
        <v>0.99995040000000002</v>
      </c>
      <c r="AB2861">
        <v>22</v>
      </c>
      <c r="AC2861">
        <v>59.650199999999899</v>
      </c>
      <c r="AD2861">
        <v>-1.1199118770850001</v>
      </c>
      <c r="AE2861">
        <v>0.34219999999999101</v>
      </c>
      <c r="AF2861">
        <v>-0.59607173568668803</v>
      </c>
      <c r="AG2861">
        <v>-1.1199118770850001</v>
      </c>
      <c r="AH2861">
        <v>59.627184066893001</v>
      </c>
      <c r="AI2861">
        <v>91.075943409172993</v>
      </c>
      <c r="AJ2861">
        <v>90.572746435964206</v>
      </c>
      <c r="AK2861">
        <v>59.640678935384798</v>
      </c>
      <c r="AL2861">
        <v>96.870114525012298</v>
      </c>
      <c r="AM2861">
        <v>89.065798703159103</v>
      </c>
      <c r="AN2861">
        <v>0.99999999708691001</v>
      </c>
    </row>
    <row r="2862" spans="1:40" x14ac:dyDescent="0.25">
      <c r="A2862" t="str">
        <f>"20190303154525028"</f>
        <v>20190303154525028</v>
      </c>
      <c r="B2862" t="str">
        <f>"1551599125023777"</f>
        <v>1551599125023777</v>
      </c>
      <c r="C2862" t="s">
        <v>40</v>
      </c>
      <c r="D2862">
        <v>4.8521280000000004</v>
      </c>
      <c r="E2862">
        <v>0.491454</v>
      </c>
      <c r="F2862" t="s">
        <v>55</v>
      </c>
      <c r="G2862">
        <v>-389.23160000000001</v>
      </c>
      <c r="H2862" s="1">
        <v>3.3822980000000002E-6</v>
      </c>
      <c r="I2862">
        <v>214.4675</v>
      </c>
      <c r="J2862">
        <v>-448.18880000000001</v>
      </c>
      <c r="K2862">
        <v>1.119901</v>
      </c>
      <c r="L2862">
        <v>214.10640000000001</v>
      </c>
      <c r="M2862">
        <v>0.99997409999999998</v>
      </c>
      <c r="N2862">
        <v>-5.7847019999999897E-3</v>
      </c>
      <c r="O2862">
        <v>-4.3171700000000004E-3</v>
      </c>
      <c r="P2862">
        <v>0.99192020000000003</v>
      </c>
      <c r="Q2862">
        <v>-0.12528049999999999</v>
      </c>
      <c r="R2862">
        <v>-1.9994169999999999E-2</v>
      </c>
      <c r="S2862">
        <v>3.0176699999999999</v>
      </c>
      <c r="T2862">
        <v>-5.7123899999999998E-2</v>
      </c>
      <c r="U2862">
        <v>1.8371579999999998E-2</v>
      </c>
      <c r="V2862">
        <v>1.5696020000000001E-2</v>
      </c>
      <c r="W2862">
        <v>-0.119542</v>
      </c>
      <c r="X2862">
        <v>0.99270499999999995</v>
      </c>
      <c r="Y2862">
        <v>-1.040219E-2</v>
      </c>
      <c r="Z2862">
        <v>1.8527999999999999E-4</v>
      </c>
      <c r="AA2862">
        <v>0.99994590000000005</v>
      </c>
      <c r="AB2862">
        <v>22</v>
      </c>
      <c r="AC2862">
        <v>58.9572</v>
      </c>
      <c r="AD2862">
        <v>-1.1198976177019999</v>
      </c>
      <c r="AE2862">
        <v>0.36109999999999298</v>
      </c>
      <c r="AF2862">
        <v>-0.61540707133810901</v>
      </c>
      <c r="AG2862">
        <v>-1.1198976177019999</v>
      </c>
      <c r="AH2862">
        <v>58.933828271208</v>
      </c>
      <c r="AI2862">
        <v>91.088580028383603</v>
      </c>
      <c r="AJ2862">
        <v>90.598280263943593</v>
      </c>
      <c r="AK2862">
        <v>58.947680287164999</v>
      </c>
      <c r="AL2862">
        <v>96.865671286524403</v>
      </c>
      <c r="AM2862">
        <v>89.094151062351301</v>
      </c>
      <c r="AN2862">
        <v>0.999999935916418</v>
      </c>
    </row>
    <row r="2863" spans="1:40" x14ac:dyDescent="0.25">
      <c r="A2863" t="str">
        <f>"20190303154525049"</f>
        <v>20190303154525049</v>
      </c>
      <c r="B2863" t="str">
        <f>"1551599125043297"</f>
        <v>1551599125043297</v>
      </c>
      <c r="C2863" t="s">
        <v>40</v>
      </c>
      <c r="D2863">
        <v>4.8399830000000001</v>
      </c>
      <c r="E2863">
        <v>0.49153839999999999</v>
      </c>
      <c r="F2863" t="s">
        <v>55</v>
      </c>
      <c r="G2863">
        <v>-389.26060000000001</v>
      </c>
      <c r="H2863" s="1">
        <v>3.3974190000000002E-6</v>
      </c>
      <c r="I2863">
        <v>214.47499999999999</v>
      </c>
      <c r="J2863">
        <v>-447.988</v>
      </c>
      <c r="K2863">
        <v>1.119893</v>
      </c>
      <c r="L2863">
        <v>214.1054</v>
      </c>
      <c r="M2863">
        <v>0.99997420000000004</v>
      </c>
      <c r="N2863">
        <v>-5.7068400000000003E-3</v>
      </c>
      <c r="O2863">
        <v>-4.3736879999999997E-3</v>
      </c>
      <c r="P2863">
        <v>0.99192709999999995</v>
      </c>
      <c r="Q2863">
        <v>-0.12507679999999999</v>
      </c>
      <c r="R2863">
        <v>-2.0891739999999999E-2</v>
      </c>
      <c r="S2863">
        <v>3.0175779999999999</v>
      </c>
      <c r="T2863">
        <v>-5.7347420000000003E-2</v>
      </c>
      <c r="U2863">
        <v>1.8875119999999999E-2</v>
      </c>
      <c r="V2863">
        <v>1.6537469999999999E-2</v>
      </c>
      <c r="W2863">
        <v>-0.1194157</v>
      </c>
      <c r="X2863">
        <v>0.99270659999999999</v>
      </c>
      <c r="Y2863">
        <v>-1.062567E-2</v>
      </c>
      <c r="Z2863">
        <v>1.8943399999999999E-4</v>
      </c>
      <c r="AA2863">
        <v>0.99994360000000004</v>
      </c>
      <c r="AB2863">
        <v>22</v>
      </c>
      <c r="AC2863">
        <v>58.727400000000003</v>
      </c>
      <c r="AD2863">
        <v>-1.1198896025809999</v>
      </c>
      <c r="AE2863">
        <v>0.36959999999999099</v>
      </c>
      <c r="AF2863">
        <v>-0.62622824845747005</v>
      </c>
      <c r="AG2863">
        <v>-1.1198896025809999</v>
      </c>
      <c r="AH2863">
        <v>58.703875639613898</v>
      </c>
      <c r="AI2863">
        <v>91.092832724565397</v>
      </c>
      <c r="AJ2863">
        <v>90.611184088383496</v>
      </c>
      <c r="AK2863">
        <v>58.717896161667703</v>
      </c>
      <c r="AL2863">
        <v>96.858382207892802</v>
      </c>
      <c r="AM2863">
        <v>89.045599579553297</v>
      </c>
      <c r="AN2863">
        <v>0.99999999550202501</v>
      </c>
    </row>
    <row r="2864" spans="1:40" x14ac:dyDescent="0.25">
      <c r="A2864" t="str">
        <f>"20190303154525071"</f>
        <v>20190303154525071</v>
      </c>
      <c r="B2864" t="str">
        <f>"1551599125063794"</f>
        <v>1551599125063794</v>
      </c>
      <c r="C2864" t="s">
        <v>40</v>
      </c>
      <c r="D2864">
        <v>4.8303339999999997</v>
      </c>
      <c r="E2864">
        <v>0.49166480000000001</v>
      </c>
      <c r="F2864" t="s">
        <v>55</v>
      </c>
      <c r="G2864">
        <v>-389.00490000000002</v>
      </c>
      <c r="H2864" s="1">
        <v>3.264453E-6</v>
      </c>
      <c r="I2864">
        <v>214.404</v>
      </c>
      <c r="J2864">
        <v>-447.7645</v>
      </c>
      <c r="K2864">
        <v>1.119888</v>
      </c>
      <c r="L2864">
        <v>214.1044</v>
      </c>
      <c r="M2864">
        <v>0.99997440000000004</v>
      </c>
      <c r="N2864">
        <v>-5.6347180000000004E-3</v>
      </c>
      <c r="O2864">
        <v>-4.4368999999999997E-3</v>
      </c>
      <c r="P2864">
        <v>0.99191719999999906</v>
      </c>
      <c r="Q2864">
        <v>-0.12500839999999999</v>
      </c>
      <c r="R2864">
        <v>-2.1754260000000001E-2</v>
      </c>
      <c r="S2864">
        <v>3.0175169999999998</v>
      </c>
      <c r="T2864">
        <v>-5.7292460000000003E-2</v>
      </c>
      <c r="U2864">
        <v>1.5274050000000001E-2</v>
      </c>
      <c r="V2864">
        <v>1.733724E-2</v>
      </c>
      <c r="W2864">
        <v>-0.119419</v>
      </c>
      <c r="X2864">
        <v>0.99269260000000004</v>
      </c>
      <c r="Y2864">
        <v>-9.4959769999999992E-3</v>
      </c>
      <c r="Z2864">
        <v>1.7613119999999901E-4</v>
      </c>
      <c r="AA2864">
        <v>0.99995489999999998</v>
      </c>
      <c r="AB2864">
        <v>22</v>
      </c>
      <c r="AC2864">
        <v>58.759599999999899</v>
      </c>
      <c r="AD2864">
        <v>-1.1198847355470001</v>
      </c>
      <c r="AE2864">
        <v>0.29960000000002601</v>
      </c>
      <c r="AF2864">
        <v>-0.560108181958058</v>
      </c>
      <c r="AG2864">
        <v>-1.1198847355470001</v>
      </c>
      <c r="AH2864">
        <v>58.736357679501197</v>
      </c>
      <c r="AI2864">
        <v>91.092236254582502</v>
      </c>
      <c r="AJ2864">
        <v>90.546354310407494</v>
      </c>
      <c r="AK2864">
        <v>58.749702777552002</v>
      </c>
      <c r="AL2864">
        <v>96.8585723554054</v>
      </c>
      <c r="AM2864">
        <v>88.999438797935198</v>
      </c>
      <c r="AN2864">
        <v>1.0000000377732801</v>
      </c>
    </row>
    <row r="2865" spans="1:40" x14ac:dyDescent="0.25">
      <c r="A2865" t="str">
        <f>"20190303154525096"</f>
        <v>20190303154525096</v>
      </c>
      <c r="B2865" t="str">
        <f>"1551599125083314"</f>
        <v>1551599125083314</v>
      </c>
      <c r="C2865" t="s">
        <v>40</v>
      </c>
      <c r="D2865">
        <v>4.8444699999999896</v>
      </c>
      <c r="E2865">
        <v>0.49176760000000003</v>
      </c>
      <c r="F2865" t="s">
        <v>55</v>
      </c>
      <c r="G2865">
        <v>-390.03989999999999</v>
      </c>
      <c r="H2865" s="1">
        <v>-1.515541E-6</v>
      </c>
      <c r="I2865">
        <v>214.32650000000001</v>
      </c>
      <c r="J2865">
        <v>-447.52010000000001</v>
      </c>
      <c r="K2865">
        <v>1.11988</v>
      </c>
      <c r="L2865">
        <v>214.10319999999999</v>
      </c>
      <c r="M2865">
        <v>0.99997440000000004</v>
      </c>
      <c r="N2865">
        <v>-5.5707530000000003E-3</v>
      </c>
      <c r="O2865">
        <v>-4.5059799999999997E-3</v>
      </c>
      <c r="P2865">
        <v>0.99194720000000003</v>
      </c>
      <c r="Q2865">
        <v>-0.1246169</v>
      </c>
      <c r="R2865">
        <v>-2.262105E-2</v>
      </c>
      <c r="S2865">
        <v>3.017334</v>
      </c>
      <c r="T2865">
        <v>-5.853796E-2</v>
      </c>
      <c r="U2865">
        <v>1.1611939999999999E-2</v>
      </c>
      <c r="V2865">
        <v>1.813526E-2</v>
      </c>
      <c r="W2865">
        <v>-0.1190909</v>
      </c>
      <c r="X2865">
        <v>0.99271770000000004</v>
      </c>
      <c r="Y2865">
        <v>-8.3519059999999992E-3</v>
      </c>
      <c r="Z2865">
        <v>1.66584E-4</v>
      </c>
      <c r="AA2865">
        <v>0.99996510000000005</v>
      </c>
      <c r="AB2865">
        <v>22</v>
      </c>
      <c r="AC2865">
        <v>57.480200000000004</v>
      </c>
      <c r="AD2865">
        <v>-1.119881515541</v>
      </c>
      <c r="AE2865">
        <v>0.22330000000002301</v>
      </c>
      <c r="AF2865">
        <v>-0.482123362287256</v>
      </c>
      <c r="AG2865">
        <v>-1.119881515541</v>
      </c>
      <c r="AH2865">
        <v>57.4568009044986</v>
      </c>
      <c r="AI2865">
        <v>91.116562392880994</v>
      </c>
      <c r="AJ2865">
        <v>90.480760939190404</v>
      </c>
      <c r="AK2865">
        <v>57.469735928787003</v>
      </c>
      <c r="AL2865">
        <v>96.839638882510101</v>
      </c>
      <c r="AM2865">
        <v>88.953420200665505</v>
      </c>
      <c r="AN2865">
        <v>0.99999998100568299</v>
      </c>
    </row>
    <row r="2866" spans="1:40" x14ac:dyDescent="0.25">
      <c r="A2866" t="str">
        <f>"20190303154525117"</f>
        <v>20190303154525117</v>
      </c>
      <c r="B2866" t="str">
        <f>"1551599125113569"</f>
        <v>1551599125113569</v>
      </c>
      <c r="C2866" t="s">
        <v>40</v>
      </c>
      <c r="D2866">
        <v>4.8853299999999997</v>
      </c>
      <c r="E2866">
        <v>0.49189460000000002</v>
      </c>
      <c r="F2866" t="s">
        <v>55</v>
      </c>
      <c r="G2866">
        <v>-389.9162</v>
      </c>
      <c r="H2866" s="1">
        <v>3.7556379999999999E-6</v>
      </c>
      <c r="I2866">
        <v>214.26079999999999</v>
      </c>
      <c r="J2866">
        <v>-447.31330000000003</v>
      </c>
      <c r="K2866">
        <v>1.119874</v>
      </c>
      <c r="L2866">
        <v>214.10220000000001</v>
      </c>
      <c r="M2866">
        <v>0.99997449999999999</v>
      </c>
      <c r="N2866">
        <v>-5.5296640000000001E-3</v>
      </c>
      <c r="O2866">
        <v>-4.564635E-3</v>
      </c>
      <c r="P2866">
        <v>0.9919</v>
      </c>
      <c r="Q2866">
        <v>-0.1248934</v>
      </c>
      <c r="R2866">
        <v>-2.315828E-2</v>
      </c>
      <c r="S2866">
        <v>3.0171510000000001</v>
      </c>
      <c r="T2866">
        <v>-5.865633E-2</v>
      </c>
      <c r="U2866">
        <v>8.2550049999999993E-3</v>
      </c>
      <c r="V2866">
        <v>1.8614530000000001E-2</v>
      </c>
      <c r="W2866">
        <v>-0.1194085</v>
      </c>
      <c r="X2866">
        <v>0.99267070000000002</v>
      </c>
      <c r="Y2866">
        <v>-7.2984629999999998E-3</v>
      </c>
      <c r="Z2866">
        <v>1.5461239999999999E-4</v>
      </c>
      <c r="AA2866">
        <v>0.99997340000000001</v>
      </c>
      <c r="AB2866">
        <v>22</v>
      </c>
      <c r="AC2866">
        <v>57.397100000000002</v>
      </c>
      <c r="AD2866">
        <v>-1.1198702443619999</v>
      </c>
      <c r="AE2866">
        <v>0.15859999999997801</v>
      </c>
      <c r="AF2866">
        <v>-0.420439060825196</v>
      </c>
      <c r="AG2866">
        <v>-1.1198702443619999</v>
      </c>
      <c r="AH2866">
        <v>57.373937342039198</v>
      </c>
      <c r="AI2866">
        <v>91.118172691320495</v>
      </c>
      <c r="AJ2866">
        <v>90.419858800966395</v>
      </c>
      <c r="AK2866">
        <v>57.386405746451103</v>
      </c>
      <c r="AL2866">
        <v>96.857966642440502</v>
      </c>
      <c r="AM2866">
        <v>88.925717237060297</v>
      </c>
      <c r="AN2866">
        <v>1.0000000046189299</v>
      </c>
    </row>
    <row r="2867" spans="1:40" x14ac:dyDescent="0.25">
      <c r="A2867" t="str">
        <f>"20190303154525140"</f>
        <v>20190303154525140</v>
      </c>
      <c r="B2867" t="str">
        <f>"1551599125134066"</f>
        <v>1551599125134066</v>
      </c>
      <c r="C2867" t="s">
        <v>40</v>
      </c>
      <c r="D2867">
        <v>4.8758720000000002</v>
      </c>
      <c r="E2867">
        <v>0.49192799999999998</v>
      </c>
      <c r="F2867" t="s">
        <v>55</v>
      </c>
      <c r="G2867">
        <v>-391.87849999999997</v>
      </c>
      <c r="H2867" s="1">
        <v>-5.3715800000000002E-7</v>
      </c>
      <c r="I2867">
        <v>214.20570000000001</v>
      </c>
      <c r="J2867">
        <v>-447.07459999999998</v>
      </c>
      <c r="K2867">
        <v>1.1198699999999999</v>
      </c>
      <c r="L2867">
        <v>214.101</v>
      </c>
      <c r="M2867">
        <v>0.99997409999999998</v>
      </c>
      <c r="N2867">
        <v>-5.4992749999999996E-3</v>
      </c>
      <c r="O2867">
        <v>-4.6320249999999997E-3</v>
      </c>
      <c r="P2867">
        <v>0.99185840000000003</v>
      </c>
      <c r="Q2867">
        <v>-0.12517349999999999</v>
      </c>
      <c r="R2867">
        <v>-2.3425919999999999E-2</v>
      </c>
      <c r="S2867">
        <v>3.0169980000000001</v>
      </c>
      <c r="T2867">
        <v>-6.0948370000000002E-2</v>
      </c>
      <c r="U2867">
        <v>5.6304930000000003E-3</v>
      </c>
      <c r="V2867">
        <v>1.8815200000000001E-2</v>
      </c>
      <c r="W2867">
        <v>-0.11971909999999999</v>
      </c>
      <c r="X2867">
        <v>0.99262950000000005</v>
      </c>
      <c r="Y2867">
        <v>-6.4961350000000001E-3</v>
      </c>
      <c r="Z2867">
        <v>1.515678E-4</v>
      </c>
      <c r="AA2867">
        <v>0.9999789</v>
      </c>
      <c r="AB2867">
        <v>22</v>
      </c>
      <c r="AC2867">
        <v>55.196100000000001</v>
      </c>
      <c r="AD2867">
        <v>-1.119870537158</v>
      </c>
      <c r="AE2867">
        <v>0.104700000000008</v>
      </c>
      <c r="AF2867">
        <v>-0.36022418833701603</v>
      </c>
      <c r="AG2867">
        <v>-1.119870537158</v>
      </c>
      <c r="AH2867">
        <v>55.172311748458597</v>
      </c>
      <c r="AI2867">
        <v>91.162787578778605</v>
      </c>
      <c r="AJ2867">
        <v>90.374083154156807</v>
      </c>
      <c r="AK2867">
        <v>55.184851681915099</v>
      </c>
      <c r="AL2867">
        <v>96.875891329309098</v>
      </c>
      <c r="AM2867">
        <v>88.914093858378195</v>
      </c>
      <c r="AN2867">
        <v>0.99999999946304996</v>
      </c>
    </row>
    <row r="2868" spans="1:40" x14ac:dyDescent="0.25">
      <c r="A2868" t="str">
        <f>"20190303154525184"</f>
        <v>20190303154525184</v>
      </c>
      <c r="B2868" t="str">
        <f>"1551599125174082"</f>
        <v>1551599125174082</v>
      </c>
      <c r="C2868" t="s">
        <v>40</v>
      </c>
      <c r="D2868">
        <v>4.9383379999999999</v>
      </c>
      <c r="E2868">
        <v>0.4920079</v>
      </c>
      <c r="F2868" t="s">
        <v>55</v>
      </c>
      <c r="G2868">
        <v>-393.48110000000003</v>
      </c>
      <c r="H2868" s="1">
        <v>3.1570390000000001E-7</v>
      </c>
      <c r="I2868">
        <v>214.17609999999999</v>
      </c>
      <c r="J2868">
        <v>-446.63569999999999</v>
      </c>
      <c r="K2868">
        <v>1.119861</v>
      </c>
      <c r="L2868">
        <v>214.09880000000001</v>
      </c>
      <c r="M2868">
        <v>0.99997380000000002</v>
      </c>
      <c r="N2868">
        <v>-5.4884590000000002E-3</v>
      </c>
      <c r="O2868">
        <v>-4.7559780000000001E-3</v>
      </c>
      <c r="P2868">
        <v>0.99191929999999995</v>
      </c>
      <c r="Q2868">
        <v>-0.1246458</v>
      </c>
      <c r="R2868">
        <v>-2.3666039999999999E-2</v>
      </c>
      <c r="S2868">
        <v>3.016724</v>
      </c>
      <c r="T2868">
        <v>-6.3036439999999999E-2</v>
      </c>
      <c r="U2868">
        <v>4.226685E-3</v>
      </c>
      <c r="V2868">
        <v>1.893191E-2</v>
      </c>
      <c r="W2868">
        <v>-0.1192018</v>
      </c>
      <c r="X2868">
        <v>0.9926895</v>
      </c>
      <c r="Y2868">
        <v>-6.1548499999999999E-3</v>
      </c>
      <c r="Z2868">
        <v>1.5445770000000001E-4</v>
      </c>
      <c r="AA2868">
        <v>0.99998100000000001</v>
      </c>
      <c r="AB2868">
        <v>22</v>
      </c>
      <c r="AC2868">
        <v>53.154599999999903</v>
      </c>
      <c r="AD2868">
        <v>-1.1198606842961001</v>
      </c>
      <c r="AE2868">
        <v>7.7299999999979704E-2</v>
      </c>
      <c r="AF2868">
        <v>-0.32995854305361699</v>
      </c>
      <c r="AG2868">
        <v>-1.1198606842961001</v>
      </c>
      <c r="AH2868">
        <v>53.130048906749899</v>
      </c>
      <c r="AI2868">
        <v>91.207462744322299</v>
      </c>
      <c r="AJ2868">
        <v>90.355824797340702</v>
      </c>
      <c r="AK2868">
        <v>53.142874004197402</v>
      </c>
      <c r="AL2868">
        <v>96.846038682430105</v>
      </c>
      <c r="AM2868">
        <v>88.907425675294306</v>
      </c>
      <c r="AN2868">
        <v>0.99999996487486797</v>
      </c>
    </row>
    <row r="2869" spans="1:40" x14ac:dyDescent="0.25">
      <c r="A2869" t="str">
        <f>"20190303154525205"</f>
        <v>20190303154525205</v>
      </c>
      <c r="B2869" t="str">
        <f>"1551599125193602"</f>
        <v>1551599125193602</v>
      </c>
      <c r="C2869" t="s">
        <v>40</v>
      </c>
      <c r="D2869">
        <v>4.9258499999999996</v>
      </c>
      <c r="E2869">
        <v>0.49207230000000002</v>
      </c>
      <c r="F2869" t="s">
        <v>55</v>
      </c>
      <c r="G2869">
        <v>-394.04570000000001</v>
      </c>
      <c r="H2869" s="1">
        <v>6.1613480000000005E-7</v>
      </c>
      <c r="I2869">
        <v>214.15180000000001</v>
      </c>
      <c r="J2869">
        <v>-446.41609999999997</v>
      </c>
      <c r="K2869">
        <v>1.1198600000000001</v>
      </c>
      <c r="L2869">
        <v>214.0977</v>
      </c>
      <c r="M2869">
        <v>0.99997340000000001</v>
      </c>
      <c r="N2869">
        <v>-5.4949990000000004E-3</v>
      </c>
      <c r="O2869">
        <v>-4.8179870000000001E-3</v>
      </c>
      <c r="P2869">
        <v>0.99193560000000003</v>
      </c>
      <c r="Q2869">
        <v>-0.1245845</v>
      </c>
      <c r="R2869">
        <v>-2.3302179999999999E-2</v>
      </c>
      <c r="S2869">
        <v>3.0164490000000002</v>
      </c>
      <c r="T2869">
        <v>-6.4232709999999998E-2</v>
      </c>
      <c r="U2869">
        <v>3.0364989999999998E-3</v>
      </c>
      <c r="V2869">
        <v>1.8506330000000001E-2</v>
      </c>
      <c r="W2869">
        <v>-0.1191339</v>
      </c>
      <c r="X2869">
        <v>0.99270570000000002</v>
      </c>
      <c r="Y2869">
        <v>-5.82243E-3</v>
      </c>
      <c r="Z2869">
        <v>1.540945E-4</v>
      </c>
      <c r="AA2869">
        <v>0.99998299999999996</v>
      </c>
      <c r="AB2869">
        <v>23</v>
      </c>
      <c r="AC2869">
        <v>52.370399999999897</v>
      </c>
      <c r="AD2869">
        <v>-1.1198593838652</v>
      </c>
      <c r="AE2869">
        <v>5.4100000000005297E-2</v>
      </c>
      <c r="AF2869">
        <v>-0.30628301336603297</v>
      </c>
      <c r="AG2869">
        <v>-1.1198593838652</v>
      </c>
      <c r="AH2869">
        <v>52.345596403646603</v>
      </c>
      <c r="AI2869">
        <v>91.225553566478595</v>
      </c>
      <c r="AJ2869">
        <v>90.335243553326293</v>
      </c>
      <c r="AK2869">
        <v>52.358469774978801</v>
      </c>
      <c r="AL2869">
        <v>96.842120214423602</v>
      </c>
      <c r="AM2869">
        <v>88.931997877989602</v>
      </c>
      <c r="AN2869">
        <v>0.99999998859588402</v>
      </c>
    </row>
    <row r="2870" spans="1:40" x14ac:dyDescent="0.25">
      <c r="A2870" t="str">
        <f>"20190303154525229"</f>
        <v>20190303154525229</v>
      </c>
      <c r="B2870" t="str">
        <f>"1551599125223858"</f>
        <v>1551599125223858</v>
      </c>
      <c r="C2870" t="s">
        <v>40</v>
      </c>
      <c r="D2870">
        <v>4.955972</v>
      </c>
      <c r="E2870">
        <v>0.49216650000000001</v>
      </c>
      <c r="F2870" t="s">
        <v>55</v>
      </c>
      <c r="G2870">
        <v>-394.93029999999999</v>
      </c>
      <c r="H2870" s="1">
        <v>1.0868819999999901E-6</v>
      </c>
      <c r="I2870">
        <v>214.1636</v>
      </c>
      <c r="J2870">
        <v>-446.1703</v>
      </c>
      <c r="K2870">
        <v>1.1198600000000001</v>
      </c>
      <c r="L2870">
        <v>214.09649999999999</v>
      </c>
      <c r="M2870">
        <v>0.99997290000000005</v>
      </c>
      <c r="N2870">
        <v>-5.5073500000000003E-3</v>
      </c>
      <c r="O2870">
        <v>-4.887522E-3</v>
      </c>
      <c r="P2870">
        <v>0.99194210000000005</v>
      </c>
      <c r="Q2870">
        <v>-0.1245516</v>
      </c>
      <c r="R2870">
        <v>-2.3194559999999999E-2</v>
      </c>
      <c r="S2870">
        <v>3.0162659999999999</v>
      </c>
      <c r="T2870">
        <v>-6.5606360000000002E-2</v>
      </c>
      <c r="U2870">
        <v>3.860474E-3</v>
      </c>
      <c r="V2870">
        <v>1.8329580000000002E-2</v>
      </c>
      <c r="W2870">
        <v>-0.11908870000000001</v>
      </c>
      <c r="X2870">
        <v>0.9927144</v>
      </c>
      <c r="Y2870">
        <v>-6.1649890000000001E-3</v>
      </c>
      <c r="Z2870">
        <v>1.6339769999999999E-4</v>
      </c>
      <c r="AA2870">
        <v>0.99998100000000001</v>
      </c>
      <c r="AB2870">
        <v>23</v>
      </c>
      <c r="AC2870">
        <v>51.24</v>
      </c>
      <c r="AD2870">
        <v>-1.1198589131179999</v>
      </c>
      <c r="AE2870">
        <v>6.7100000000010596E-2</v>
      </c>
      <c r="AF2870">
        <v>-0.31738802180167602</v>
      </c>
      <c r="AG2870">
        <v>-1.1198589131179999</v>
      </c>
      <c r="AH2870">
        <v>51.214597481284699</v>
      </c>
      <c r="AI2870">
        <v>91.252606444661694</v>
      </c>
      <c r="AJ2870">
        <v>90.355069886626097</v>
      </c>
      <c r="AK2870">
        <v>51.227822658314203</v>
      </c>
      <c r="AL2870">
        <v>96.839511894212706</v>
      </c>
      <c r="AM2870">
        <v>88.942205077318704</v>
      </c>
      <c r="AN2870">
        <v>0.99999998596901296</v>
      </c>
    </row>
    <row r="2871" spans="1:40" x14ac:dyDescent="0.25">
      <c r="A2871" t="str">
        <f>"20190303154525250"</f>
        <v>20190303154525250</v>
      </c>
      <c r="B2871" t="str">
        <f>"1551599125243378"</f>
        <v>1551599125243378</v>
      </c>
      <c r="C2871" t="s">
        <v>40</v>
      </c>
      <c r="D2871">
        <v>4.9679599999999997</v>
      </c>
      <c r="E2871">
        <v>0.49219829999999998</v>
      </c>
      <c r="F2871" t="s">
        <v>55</v>
      </c>
      <c r="G2871">
        <v>-396.00970000000001</v>
      </c>
      <c r="H2871" s="1">
        <v>1.661297E-6</v>
      </c>
      <c r="I2871">
        <v>214.1523</v>
      </c>
      <c r="J2871">
        <v>-445.95499999999998</v>
      </c>
      <c r="K2871">
        <v>1.1198549999999901</v>
      </c>
      <c r="L2871">
        <v>214.09540000000001</v>
      </c>
      <c r="M2871">
        <v>0.99997259999999999</v>
      </c>
      <c r="N2871">
        <v>-5.5211919999999899E-3</v>
      </c>
      <c r="O2871">
        <v>-4.9482409999999999E-3</v>
      </c>
      <c r="P2871">
        <v>0.99194819999999995</v>
      </c>
      <c r="Q2871">
        <v>-0.12461129999999999</v>
      </c>
      <c r="R2871">
        <v>-2.2602899999999999E-2</v>
      </c>
      <c r="S2871">
        <v>3.0159609999999999</v>
      </c>
      <c r="T2871">
        <v>-6.7332740000000002E-2</v>
      </c>
      <c r="U2871">
        <v>3.3569339999999998E-3</v>
      </c>
      <c r="V2871">
        <v>1.767782E-2</v>
      </c>
      <c r="W2871">
        <v>-0.11913459999999999</v>
      </c>
      <c r="X2871">
        <v>0.99272070000000001</v>
      </c>
      <c r="Y2871">
        <v>-6.0587729999999999E-3</v>
      </c>
      <c r="Z2871">
        <v>1.674925E-4</v>
      </c>
      <c r="AA2871">
        <v>0.99998160000000003</v>
      </c>
      <c r="AB2871">
        <v>23</v>
      </c>
      <c r="AC2871">
        <v>49.945299999999897</v>
      </c>
      <c r="AD2871">
        <v>-1.1198533387030001</v>
      </c>
      <c r="AE2871">
        <v>5.6899999999984602E-2</v>
      </c>
      <c r="AF2871">
        <v>-0.30389165598183099</v>
      </c>
      <c r="AG2871">
        <v>-1.1198533387030001</v>
      </c>
      <c r="AH2871">
        <v>49.919311159730697</v>
      </c>
      <c r="AI2871">
        <v>91.285092283763603</v>
      </c>
      <c r="AJ2871">
        <v>90.348792758295701</v>
      </c>
      <c r="AK2871">
        <v>49.932795318315499</v>
      </c>
      <c r="AL2871">
        <v>96.842160714842805</v>
      </c>
      <c r="AM2871">
        <v>88.979816341240706</v>
      </c>
      <c r="AN2871">
        <v>0.99999997322279999</v>
      </c>
    </row>
    <row r="2872" spans="1:40" x14ac:dyDescent="0.25">
      <c r="A2872" t="str">
        <f>"20190303154525272"</f>
        <v>20190303154525272</v>
      </c>
      <c r="B2872" t="str">
        <f>"1551599125263873"</f>
        <v>1551599125263873</v>
      </c>
      <c r="C2872" t="s">
        <v>40</v>
      </c>
      <c r="D2872">
        <v>4.9618180000000001</v>
      </c>
      <c r="E2872">
        <v>0.49225590000000002</v>
      </c>
      <c r="F2872" t="s">
        <v>55</v>
      </c>
      <c r="G2872">
        <v>-396.80939999999998</v>
      </c>
      <c r="H2872" s="1">
        <v>2.0868239999999999E-6</v>
      </c>
      <c r="I2872">
        <v>214.1754</v>
      </c>
      <c r="J2872">
        <v>-445.7244</v>
      </c>
      <c r="K2872">
        <v>1.1198539999999999</v>
      </c>
      <c r="L2872">
        <v>214.0941</v>
      </c>
      <c r="M2872">
        <v>0.99997219999999998</v>
      </c>
      <c r="N2872">
        <v>-5.5382519999999996E-3</v>
      </c>
      <c r="O2872">
        <v>-5.0118239999999998E-3</v>
      </c>
      <c r="P2872">
        <v>0.99198350000000002</v>
      </c>
      <c r="Q2872">
        <v>-0.1244899</v>
      </c>
      <c r="R2872">
        <v>-2.1704899999999999E-2</v>
      </c>
      <c r="S2872">
        <v>3.0158390000000002</v>
      </c>
      <c r="T2872">
        <v>-6.8720219999999999E-2</v>
      </c>
      <c r="U2872">
        <v>4.9133299999999996E-3</v>
      </c>
      <c r="V2872">
        <v>1.671657E-2</v>
      </c>
      <c r="W2872">
        <v>-0.118996</v>
      </c>
      <c r="X2872">
        <v>0.99275400000000003</v>
      </c>
      <c r="Y2872">
        <v>-6.6381599999999997E-3</v>
      </c>
      <c r="Z2872">
        <v>1.8043740000000001E-4</v>
      </c>
      <c r="AA2872">
        <v>0.99997789999999998</v>
      </c>
      <c r="AB2872">
        <v>23</v>
      </c>
      <c r="AC2872">
        <v>48.914999999999999</v>
      </c>
      <c r="AD2872">
        <v>-1.1198519131760001</v>
      </c>
      <c r="AE2872">
        <v>8.1299999999998804E-2</v>
      </c>
      <c r="AF2872">
        <v>-0.326285071629354</v>
      </c>
      <c r="AG2872">
        <v>-1.1198519131760001</v>
      </c>
      <c r="AH2872">
        <v>48.888354509230901</v>
      </c>
      <c r="AI2872">
        <v>91.312176329291006</v>
      </c>
      <c r="AJ2872">
        <v>90.382391269688199</v>
      </c>
      <c r="AK2872">
        <v>48.902267195659199</v>
      </c>
      <c r="AL2872">
        <v>96.834162453591702</v>
      </c>
      <c r="AM2872">
        <v>89.035311465686405</v>
      </c>
      <c r="AN2872">
        <v>0.99999999812228202</v>
      </c>
    </row>
    <row r="2873" spans="1:40" x14ac:dyDescent="0.25">
      <c r="A2873" t="str">
        <f>"20190303154525295"</f>
        <v>20190303154525295</v>
      </c>
      <c r="B2873" t="str">
        <f>"1551599125283394"</f>
        <v>1551599125283394</v>
      </c>
      <c r="C2873" t="s">
        <v>40</v>
      </c>
      <c r="D2873">
        <v>4.9772600000000002</v>
      </c>
      <c r="E2873">
        <v>0.49231000000000003</v>
      </c>
      <c r="F2873" t="s">
        <v>55</v>
      </c>
      <c r="G2873">
        <v>-396.97910000000002</v>
      </c>
      <c r="H2873" s="1">
        <v>2.1771159999999999E-6</v>
      </c>
      <c r="I2873">
        <v>214.21299999999999</v>
      </c>
      <c r="J2873">
        <v>-445.488</v>
      </c>
      <c r="K2873">
        <v>1.1198490000000001</v>
      </c>
      <c r="L2873">
        <v>214.09289999999999</v>
      </c>
      <c r="M2873">
        <v>0.99997190000000002</v>
      </c>
      <c r="N2873">
        <v>-5.5572919999999897E-3</v>
      </c>
      <c r="O2873">
        <v>-5.072661E-3</v>
      </c>
      <c r="P2873">
        <v>0.99211479999999996</v>
      </c>
      <c r="Q2873">
        <v>-0.12362869999999999</v>
      </c>
      <c r="R2873">
        <v>-2.059764E-2</v>
      </c>
      <c r="S2873">
        <v>3.0156860000000001</v>
      </c>
      <c r="T2873">
        <v>-6.928086E-2</v>
      </c>
      <c r="U2873">
        <v>7.3547359999999997E-3</v>
      </c>
      <c r="V2873">
        <v>1.554904E-2</v>
      </c>
      <c r="W2873">
        <v>-0.11811489999999999</v>
      </c>
      <c r="X2873">
        <v>0.99287820000000004</v>
      </c>
      <c r="Y2873">
        <v>-7.5082819999999998E-3</v>
      </c>
      <c r="Z2873">
        <v>1.9543410000000001E-4</v>
      </c>
      <c r="AA2873">
        <v>0.99997179999999997</v>
      </c>
      <c r="AB2873">
        <v>23</v>
      </c>
      <c r="AC2873">
        <v>48.508899999999997</v>
      </c>
      <c r="AD2873">
        <v>-1.1198468228839999</v>
      </c>
      <c r="AE2873">
        <v>0.12010000000000701</v>
      </c>
      <c r="AF2873">
        <v>-0.36597636805955303</v>
      </c>
      <c r="AG2873">
        <v>-1.1198468228839999</v>
      </c>
      <c r="AH2873">
        <v>48.481829114232902</v>
      </c>
      <c r="AI2873">
        <v>91.323160935720793</v>
      </c>
      <c r="AJ2873">
        <v>90.432502308497803</v>
      </c>
      <c r="AK2873">
        <v>48.496141597764002</v>
      </c>
      <c r="AL2873">
        <v>96.783320485971103</v>
      </c>
      <c r="AM2873">
        <v>89.102788693978596</v>
      </c>
      <c r="AN2873">
        <v>1.0000000111410801</v>
      </c>
    </row>
    <row r="2874" spans="1:40" x14ac:dyDescent="0.25">
      <c r="A2874" t="str">
        <f>"20190303154525318"</f>
        <v>20190303154525318</v>
      </c>
      <c r="B2874" t="str">
        <f>"1551599125313650"</f>
        <v>1551599125313650</v>
      </c>
      <c r="C2874" t="s">
        <v>40</v>
      </c>
      <c r="D2874">
        <v>4.9504380000000001</v>
      </c>
      <c r="E2874">
        <v>0.49237510000000001</v>
      </c>
      <c r="F2874" t="s">
        <v>55</v>
      </c>
      <c r="G2874">
        <v>-395.66930000000002</v>
      </c>
      <c r="H2874" s="1">
        <v>1.480139E-6</v>
      </c>
      <c r="I2874">
        <v>214.26179999999999</v>
      </c>
      <c r="J2874">
        <v>-445.25510000000003</v>
      </c>
      <c r="K2874">
        <v>1.119848</v>
      </c>
      <c r="L2874">
        <v>214.0916</v>
      </c>
      <c r="M2874">
        <v>0.99997150000000001</v>
      </c>
      <c r="N2874">
        <v>-5.5772089999999996E-3</v>
      </c>
      <c r="O2874">
        <v>-5.123463E-3</v>
      </c>
      <c r="P2874">
        <v>0.99217900000000003</v>
      </c>
      <c r="Q2874">
        <v>-0.1231966</v>
      </c>
      <c r="R2874">
        <v>-2.0092680000000002E-2</v>
      </c>
      <c r="S2874">
        <v>3.0155639999999999</v>
      </c>
      <c r="T2874">
        <v>-6.778526E-2</v>
      </c>
      <c r="U2874">
        <v>1.0223390000000001E-2</v>
      </c>
      <c r="V2874">
        <v>1.499488E-2</v>
      </c>
      <c r="W2874">
        <v>-0.1176623</v>
      </c>
      <c r="X2874">
        <v>0.99294039999999995</v>
      </c>
      <c r="Y2874">
        <v>-8.5102440000000001E-3</v>
      </c>
      <c r="Z2874">
        <v>2.059525E-4</v>
      </c>
      <c r="AA2874">
        <v>0.99996379999999996</v>
      </c>
      <c r="AB2874">
        <v>23</v>
      </c>
      <c r="AC2874">
        <v>49.585799999999999</v>
      </c>
      <c r="AD2874">
        <v>-1.1198465198609999</v>
      </c>
      <c r="AE2874">
        <v>0.17019999999999399</v>
      </c>
      <c r="AF2874">
        <v>-0.424036411666258</v>
      </c>
      <c r="AG2874">
        <v>-1.1198465198609999</v>
      </c>
      <c r="AH2874">
        <v>49.559000472840999</v>
      </c>
      <c r="AI2874">
        <v>91.294400906019504</v>
      </c>
      <c r="AJ2874">
        <v>90.490221829819404</v>
      </c>
      <c r="AK2874">
        <v>49.573464585133799</v>
      </c>
      <c r="AL2874">
        <v>96.757206728522704</v>
      </c>
      <c r="AM2874">
        <v>89.134814097007805</v>
      </c>
      <c r="AN2874">
        <v>0.99999995060983105</v>
      </c>
    </row>
    <row r="2875" spans="1:40" x14ac:dyDescent="0.25">
      <c r="A2875" t="str">
        <f>"20190303154525343"</f>
        <v>20190303154525343</v>
      </c>
      <c r="B2875" t="str">
        <f>"1551599125334147"</f>
        <v>1551599125334147</v>
      </c>
      <c r="C2875" t="s">
        <v>40</v>
      </c>
      <c r="D2875">
        <v>4.984966</v>
      </c>
      <c r="E2875">
        <v>0.49238789999999999</v>
      </c>
      <c r="F2875" t="s">
        <v>55</v>
      </c>
      <c r="G2875">
        <v>-395.39060000000001</v>
      </c>
      <c r="H2875" s="1">
        <v>1.331826E-6</v>
      </c>
      <c r="I2875">
        <v>214.27180000000001</v>
      </c>
      <c r="J2875">
        <v>-444.98860000000002</v>
      </c>
      <c r="K2875">
        <v>1.119848</v>
      </c>
      <c r="L2875">
        <v>214.09020000000001</v>
      </c>
      <c r="M2875">
        <v>0.99997100000000005</v>
      </c>
      <c r="N2875">
        <v>-5.6007840000000001E-3</v>
      </c>
      <c r="O2875">
        <v>-5.1650569999999998E-3</v>
      </c>
      <c r="P2875">
        <v>0.99201300000000003</v>
      </c>
      <c r="Q2875">
        <v>-0.124434199999999</v>
      </c>
      <c r="R2875">
        <v>-2.0658280000000001E-2</v>
      </c>
      <c r="S2875">
        <v>3.0155029999999998</v>
      </c>
      <c r="T2875">
        <v>-6.7721610000000002E-2</v>
      </c>
      <c r="U2875">
        <v>1.089478E-2</v>
      </c>
      <c r="V2875">
        <v>1.552312E-2</v>
      </c>
      <c r="W2875">
        <v>-0.1188771</v>
      </c>
      <c r="X2875">
        <v>0.99278759999999999</v>
      </c>
      <c r="Y2875">
        <v>-8.7744580000000006E-3</v>
      </c>
      <c r="Z2875">
        <v>2.101459E-4</v>
      </c>
      <c r="AA2875">
        <v>0.99996149999999995</v>
      </c>
      <c r="AB2875">
        <v>23</v>
      </c>
      <c r="AC2875">
        <v>49.597999999999999</v>
      </c>
      <c r="AD2875">
        <v>-1.119846668174</v>
      </c>
      <c r="AE2875">
        <v>0.18160000000000301</v>
      </c>
      <c r="AF2875">
        <v>-0.43755502974307497</v>
      </c>
      <c r="AG2875">
        <v>-1.119846668174</v>
      </c>
      <c r="AH2875">
        <v>49.571130021539702</v>
      </c>
      <c r="AI2875">
        <v>91.294081415882403</v>
      </c>
      <c r="AJ2875">
        <v>90.505725922273896</v>
      </c>
      <c r="AK2875">
        <v>49.585708047548003</v>
      </c>
      <c r="AL2875">
        <v>96.827301439445193</v>
      </c>
      <c r="AM2875">
        <v>89.104202358847303</v>
      </c>
      <c r="AN2875">
        <v>0.999999975436351</v>
      </c>
    </row>
    <row r="2876" spans="1:40" x14ac:dyDescent="0.25">
      <c r="A2876" t="str">
        <f>"20190303154525384"</f>
        <v>20190303154525384</v>
      </c>
      <c r="B2876" t="str">
        <f>"1551599125374162"</f>
        <v>1551599125374162</v>
      </c>
      <c r="C2876" t="s">
        <v>40</v>
      </c>
      <c r="D2876">
        <v>4.9865629999999896</v>
      </c>
      <c r="E2876">
        <v>0.49241269999999998</v>
      </c>
      <c r="F2876" t="s">
        <v>55</v>
      </c>
      <c r="G2876">
        <v>-398.28269999999998</v>
      </c>
      <c r="H2876" s="1">
        <v>2.8708670000000001E-6</v>
      </c>
      <c r="I2876">
        <v>214.22900000000001</v>
      </c>
      <c r="J2876">
        <v>-444.5419</v>
      </c>
      <c r="K2876">
        <v>1.1198459999999999</v>
      </c>
      <c r="L2876">
        <v>214.08789999999999</v>
      </c>
      <c r="M2876">
        <v>0.99997069999999999</v>
      </c>
      <c r="N2876">
        <v>-5.6420029999999996E-3</v>
      </c>
      <c r="O2876">
        <v>-5.196745E-3</v>
      </c>
      <c r="P2876">
        <v>0.99193030000000004</v>
      </c>
      <c r="Q2876">
        <v>-0.12495100000000001</v>
      </c>
      <c r="R2876">
        <v>-2.1487599999999999E-2</v>
      </c>
      <c r="S2876">
        <v>3.0152890000000001</v>
      </c>
      <c r="T2876">
        <v>-7.2296139999999995E-2</v>
      </c>
      <c r="U2876">
        <v>8.9569090000000007E-3</v>
      </c>
      <c r="V2876">
        <v>1.6327069999999999E-2</v>
      </c>
      <c r="W2876">
        <v>-0.11935270000000001</v>
      </c>
      <c r="X2876">
        <v>0.99271770000000004</v>
      </c>
      <c r="Y2876">
        <v>-8.1634780000000001E-3</v>
      </c>
      <c r="Z2876">
        <v>2.1614959999999999E-4</v>
      </c>
      <c r="AA2876">
        <v>0.99996669999999999</v>
      </c>
      <c r="AB2876">
        <v>24</v>
      </c>
      <c r="AC2876">
        <v>46.2592</v>
      </c>
      <c r="AD2876">
        <v>-1.119843129133</v>
      </c>
      <c r="AE2876">
        <v>0.14110000000002201</v>
      </c>
      <c r="AF2876">
        <v>-0.38127572241435498</v>
      </c>
      <c r="AG2876">
        <v>-1.119843129133</v>
      </c>
      <c r="AH2876">
        <v>46.230749814225902</v>
      </c>
      <c r="AI2876">
        <v>91.387551791099099</v>
      </c>
      <c r="AJ2876">
        <v>90.4725208772538</v>
      </c>
      <c r="AK2876">
        <v>46.2458824999147</v>
      </c>
      <c r="AL2876">
        <v>96.854746292880606</v>
      </c>
      <c r="AM2876">
        <v>89.057750387107802</v>
      </c>
      <c r="AN2876">
        <v>1.00000003605268</v>
      </c>
    </row>
    <row r="2877" spans="1:40" x14ac:dyDescent="0.25">
      <c r="A2877" t="str">
        <f>"20190303154525407"</f>
        <v>20190303154525407</v>
      </c>
      <c r="B2877" t="str">
        <f>"1551599125403443"</f>
        <v>1551599125403443</v>
      </c>
      <c r="C2877" t="s">
        <v>40</v>
      </c>
      <c r="D2877">
        <v>5.0078329999999998</v>
      </c>
      <c r="E2877">
        <v>0.49244860000000001</v>
      </c>
      <c r="F2877" t="s">
        <v>55</v>
      </c>
      <c r="G2877">
        <v>-399.95049999999998</v>
      </c>
      <c r="H2877" s="1">
        <v>3.7583640000000002E-6</v>
      </c>
      <c r="I2877">
        <v>214.1806</v>
      </c>
      <c r="J2877">
        <v>-444.29930000000002</v>
      </c>
      <c r="K2877">
        <v>1.1198570000000001</v>
      </c>
      <c r="L2877">
        <v>214.0866</v>
      </c>
      <c r="M2877">
        <v>0.99997049999999998</v>
      </c>
      <c r="N2877">
        <v>-5.665036E-3</v>
      </c>
      <c r="O2877">
        <v>-5.1986649999999999E-3</v>
      </c>
      <c r="P2877">
        <v>0.99183239999999995</v>
      </c>
      <c r="Q2877">
        <v>-0.12562780000000001</v>
      </c>
      <c r="R2877">
        <v>-2.205754E-2</v>
      </c>
      <c r="S2877">
        <v>3.0149840000000001</v>
      </c>
      <c r="T2877">
        <v>-7.5716499999999895E-2</v>
      </c>
      <c r="U2877">
        <v>6.2713619999999999E-3</v>
      </c>
      <c r="V2877">
        <v>1.6897889999999999E-2</v>
      </c>
      <c r="W2877">
        <v>-0.1200069</v>
      </c>
      <c r="X2877">
        <v>0.99262919999999999</v>
      </c>
      <c r="Y2877">
        <v>-7.2749759999999998E-3</v>
      </c>
      <c r="Z2877">
        <v>2.1303380000000001E-4</v>
      </c>
      <c r="AA2877">
        <v>0.99997349999999996</v>
      </c>
      <c r="AB2877">
        <v>24</v>
      </c>
      <c r="AC2877">
        <v>44.348799999999997</v>
      </c>
      <c r="AD2877">
        <v>-1.1198532416360001</v>
      </c>
      <c r="AE2877">
        <v>9.3999999999994005E-2</v>
      </c>
      <c r="AF2877">
        <v>-0.32435016035014103</v>
      </c>
      <c r="AG2877">
        <v>-1.1198532416360001</v>
      </c>
      <c r="AH2877">
        <v>44.3194533883606</v>
      </c>
      <c r="AI2877">
        <v>91.447389182395696</v>
      </c>
      <c r="AJ2877">
        <v>90.419309402050899</v>
      </c>
      <c r="AK2877">
        <v>44.334785698730897</v>
      </c>
      <c r="AL2877">
        <v>96.892501063132997</v>
      </c>
      <c r="AM2877">
        <v>89.0247271875742</v>
      </c>
      <c r="AN2877">
        <v>0.99999996171335004</v>
      </c>
    </row>
    <row r="2878" spans="1:40" x14ac:dyDescent="0.25">
      <c r="A2878" t="str">
        <f>"20190303154525430"</f>
        <v>20190303154525430</v>
      </c>
      <c r="B2878" t="str">
        <f>"1551599125423938"</f>
        <v>1551599125423938</v>
      </c>
      <c r="C2878" t="s">
        <v>40</v>
      </c>
      <c r="D2878">
        <v>4.9945199999999996</v>
      </c>
      <c r="E2878">
        <v>0.49247869999999999</v>
      </c>
      <c r="F2878" t="s">
        <v>57</v>
      </c>
      <c r="G2878">
        <v>-401.47519999999997</v>
      </c>
      <c r="H2878" s="1">
        <v>7.8452199999999903E-6</v>
      </c>
      <c r="I2878">
        <v>214.14619999999999</v>
      </c>
      <c r="J2878">
        <v>-444.05290000000002</v>
      </c>
      <c r="K2878">
        <v>1.1198600000000001</v>
      </c>
      <c r="L2878">
        <v>214.08529999999999</v>
      </c>
      <c r="M2878">
        <v>0.99997049999999998</v>
      </c>
      <c r="N2878">
        <v>-5.6887159999999999E-3</v>
      </c>
      <c r="O2878">
        <v>-5.1826980000000003E-3</v>
      </c>
      <c r="P2878">
        <v>0.99177820000000005</v>
      </c>
      <c r="Q2878">
        <v>-0.12600039999999901</v>
      </c>
      <c r="R2878">
        <v>-2.23661E-2</v>
      </c>
      <c r="S2878">
        <v>3.0148320000000002</v>
      </c>
      <c r="T2878">
        <v>-7.8837749999999998E-2</v>
      </c>
      <c r="U2878">
        <v>4.1961669999999998E-3</v>
      </c>
      <c r="V2878">
        <v>1.7224949999999999E-2</v>
      </c>
      <c r="W2878">
        <v>-0.1203559</v>
      </c>
      <c r="X2878">
        <v>0.99258139999999995</v>
      </c>
      <c r="Y2878">
        <v>-6.5707789999999997E-3</v>
      </c>
      <c r="Z2878">
        <v>2.1061640000000001E-4</v>
      </c>
      <c r="AA2878">
        <v>0.99997840000000005</v>
      </c>
      <c r="AB2878">
        <v>24</v>
      </c>
      <c r="AC2878">
        <v>42.5777</v>
      </c>
      <c r="AD2878">
        <v>-1.11985215477999</v>
      </c>
      <c r="AE2878">
        <v>6.0900000000003701E-2</v>
      </c>
      <c r="AF2878">
        <v>-0.28137544421056399</v>
      </c>
      <c r="AG2878">
        <v>-1.11985215477999</v>
      </c>
      <c r="AH2878">
        <v>42.547379900668098</v>
      </c>
      <c r="AI2878">
        <v>91.507650768725995</v>
      </c>
      <c r="AJ2878">
        <v>90.378904422094806</v>
      </c>
      <c r="AK2878">
        <v>42.563044738375403</v>
      </c>
      <c r="AL2878">
        <v>96.912642748854793</v>
      </c>
      <c r="AM2878">
        <v>89.005806591756496</v>
      </c>
      <c r="AN2878">
        <v>1.0000000385966299</v>
      </c>
    </row>
    <row r="2879" spans="1:40" x14ac:dyDescent="0.25">
      <c r="A2879" t="str">
        <f>"20190303154525475"</f>
        <v>20190303154525475</v>
      </c>
      <c r="B2879" t="str">
        <f>"1551599125463954"</f>
        <v>1551599125463954</v>
      </c>
      <c r="C2879" t="s">
        <v>40</v>
      </c>
      <c r="D2879">
        <v>4.9784079999999999</v>
      </c>
      <c r="E2879">
        <v>0.4843075</v>
      </c>
      <c r="F2879" t="s">
        <v>57</v>
      </c>
      <c r="G2879">
        <v>-402.02210000000002</v>
      </c>
      <c r="H2879" s="1">
        <v>7.6072889999999999E-6</v>
      </c>
      <c r="I2879">
        <v>214.12379999999999</v>
      </c>
      <c r="J2879">
        <v>-443.5686</v>
      </c>
      <c r="K2879">
        <v>1.119902</v>
      </c>
      <c r="L2879">
        <v>214.083</v>
      </c>
      <c r="M2879">
        <v>0.9999711</v>
      </c>
      <c r="N2879">
        <v>-5.7358640000000002E-3</v>
      </c>
      <c r="O2879">
        <v>-5.0172439999999997E-3</v>
      </c>
      <c r="P2879">
        <v>0.99150430000000001</v>
      </c>
      <c r="Q2879">
        <v>-0.1278724</v>
      </c>
      <c r="R2879">
        <v>-2.3841959999999999E-2</v>
      </c>
      <c r="S2879">
        <v>3.0147400000000002</v>
      </c>
      <c r="T2879">
        <v>-8.0323699999999998E-2</v>
      </c>
      <c r="U2879">
        <v>2.7618410000000001E-3</v>
      </c>
      <c r="V2879">
        <v>1.8882090000000001E-2</v>
      </c>
      <c r="W2879">
        <v>-0.1221801</v>
      </c>
      <c r="X2879">
        <v>0.99232830000000005</v>
      </c>
      <c r="Y2879">
        <v>-5.9297710000000003E-3</v>
      </c>
      <c r="Z2879">
        <v>2.0087039999999999E-4</v>
      </c>
      <c r="AA2879">
        <v>0.99998240000000005</v>
      </c>
      <c r="AB2879">
        <v>24</v>
      </c>
      <c r="AC2879">
        <v>41.546499999999902</v>
      </c>
      <c r="AD2879">
        <v>-1.1198943927110001</v>
      </c>
      <c r="AE2879">
        <v>4.0799999999990101E-2</v>
      </c>
      <c r="AF2879">
        <v>-0.249070844381691</v>
      </c>
      <c r="AG2879">
        <v>-1.1198943927110001</v>
      </c>
      <c r="AH2879">
        <v>41.515607845915603</v>
      </c>
      <c r="AI2879">
        <v>91.545166139693507</v>
      </c>
      <c r="AJ2879">
        <v>90.343739082957498</v>
      </c>
      <c r="AK2879">
        <v>41.531456687096799</v>
      </c>
      <c r="AL2879">
        <v>97.017939222145898</v>
      </c>
      <c r="AM2879">
        <v>88.909903582793504</v>
      </c>
      <c r="AN2879">
        <v>0.99999998256983402</v>
      </c>
    </row>
    <row r="2880" spans="1:40" x14ac:dyDescent="0.25">
      <c r="A2880" t="str">
        <f>"20190303154525497"</f>
        <v>20190303154525497</v>
      </c>
      <c r="B2880" t="str">
        <f>"1551599125493234"</f>
        <v>1551599125493234</v>
      </c>
      <c r="C2880" t="s">
        <v>40</v>
      </c>
      <c r="D2880">
        <v>4.9960969999999998</v>
      </c>
      <c r="E2880">
        <v>0.48264040000000002</v>
      </c>
      <c r="F2880" t="s">
        <v>57</v>
      </c>
      <c r="G2880">
        <v>-424.13729999999998</v>
      </c>
      <c r="H2880" s="1">
        <v>3.243279E-6</v>
      </c>
      <c r="I2880">
        <v>214.4725</v>
      </c>
      <c r="J2880">
        <v>-443.3372</v>
      </c>
      <c r="K2880">
        <v>1.119939</v>
      </c>
      <c r="L2880">
        <v>214.08189999999999</v>
      </c>
      <c r="M2880">
        <v>0.99997170000000002</v>
      </c>
      <c r="N2880">
        <v>-5.7588910000000004E-3</v>
      </c>
      <c r="O2880">
        <v>-4.8664850000000003E-3</v>
      </c>
      <c r="P2880">
        <v>0.99142019999999997</v>
      </c>
      <c r="Q2880">
        <v>-0.12847720000000001</v>
      </c>
      <c r="R2880">
        <v>-2.408223E-2</v>
      </c>
      <c r="S2880">
        <v>3.0048219999999999</v>
      </c>
      <c r="T2880">
        <v>-0.17317929999999901</v>
      </c>
      <c r="U2880">
        <v>6.0241699999999898E-2</v>
      </c>
      <c r="V2880">
        <v>1.9283870000000002E-2</v>
      </c>
      <c r="W2880">
        <v>-0.1227608</v>
      </c>
      <c r="X2880">
        <v>0.99224889999999999</v>
      </c>
      <c r="Y2880">
        <v>-2.4857770000000001E-2</v>
      </c>
      <c r="Z2880">
        <v>1.039522E-3</v>
      </c>
      <c r="AA2880">
        <v>0.99969050000000004</v>
      </c>
      <c r="AB2880">
        <v>24</v>
      </c>
      <c r="AC2880">
        <v>19.1999</v>
      </c>
      <c r="AD2880">
        <v>-1.119935756721</v>
      </c>
      <c r="AE2880">
        <v>0.390600000000006</v>
      </c>
      <c r="AF2880">
        <v>-0.48239231414775502</v>
      </c>
      <c r="AG2880">
        <v>-1.119935756721</v>
      </c>
      <c r="AH2880">
        <v>19.132701149435501</v>
      </c>
      <c r="AI2880">
        <v>93.348933253565704</v>
      </c>
      <c r="AJ2880">
        <v>91.444291061056404</v>
      </c>
      <c r="AK2880">
        <v>19.171520850405699</v>
      </c>
      <c r="AL2880">
        <v>97.051463259797799</v>
      </c>
      <c r="AM2880">
        <v>88.886624827496306</v>
      </c>
      <c r="AN2880">
        <v>0.99999998060501305</v>
      </c>
    </row>
    <row r="2881" spans="1:40" x14ac:dyDescent="0.25">
      <c r="A2881" t="str">
        <f>"20190303154525518"</f>
        <v>20190303154525518</v>
      </c>
      <c r="B2881" t="str">
        <f>"1551599125513730"</f>
        <v>1551599125513730</v>
      </c>
      <c r="C2881" t="s">
        <v>40</v>
      </c>
      <c r="D2881">
        <v>4.9876930000000002</v>
      </c>
      <c r="E2881">
        <v>0.48215920000000001</v>
      </c>
      <c r="F2881" t="s">
        <v>57</v>
      </c>
      <c r="G2881">
        <v>-424.91210000000001</v>
      </c>
      <c r="H2881" s="1">
        <v>3.1008870000000001E-6</v>
      </c>
      <c r="I2881">
        <v>214.52930000000001</v>
      </c>
      <c r="J2881">
        <v>-443.10140000000001</v>
      </c>
      <c r="K2881">
        <v>1.1199760000000001</v>
      </c>
      <c r="L2881">
        <v>214.08099999999999</v>
      </c>
      <c r="M2881">
        <v>0.99997250000000004</v>
      </c>
      <c r="N2881">
        <v>-5.7824259999999898E-3</v>
      </c>
      <c r="O2881">
        <v>-4.6608600000000002E-3</v>
      </c>
      <c r="P2881">
        <v>0.99136760000000002</v>
      </c>
      <c r="Q2881">
        <v>-0.1288647</v>
      </c>
      <c r="R2881">
        <v>-2.417563E-2</v>
      </c>
      <c r="S2881">
        <v>3.004089</v>
      </c>
      <c r="T2881">
        <v>-0.18259839999999999</v>
      </c>
      <c r="U2881">
        <v>7.2937009999999997E-2</v>
      </c>
      <c r="V2881">
        <v>1.9594730000000001E-2</v>
      </c>
      <c r="W2881">
        <v>-0.123123</v>
      </c>
      <c r="X2881">
        <v>0.99219789999999997</v>
      </c>
      <c r="Y2881">
        <v>-2.8866019999999999E-2</v>
      </c>
      <c r="Z2881">
        <v>1.2159810000000001E-3</v>
      </c>
      <c r="AA2881">
        <v>0.99958250000000004</v>
      </c>
      <c r="AB2881">
        <v>24</v>
      </c>
      <c r="AC2881">
        <v>18.189299999999999</v>
      </c>
      <c r="AD2881">
        <v>-1.119972899113</v>
      </c>
      <c r="AE2881">
        <v>0.44830000000001702</v>
      </c>
      <c r="AF2881">
        <v>-0.53106215177659999</v>
      </c>
      <c r="AG2881">
        <v>-1.119972899113</v>
      </c>
      <c r="AH2881">
        <v>18.118363281281301</v>
      </c>
      <c r="AI2881">
        <v>93.535679972618894</v>
      </c>
      <c r="AJ2881">
        <v>91.6788994863808</v>
      </c>
      <c r="AK2881">
        <v>18.160711833413401</v>
      </c>
      <c r="AL2881">
        <v>97.072374646409102</v>
      </c>
      <c r="AM2881">
        <v>88.868623479631097</v>
      </c>
      <c r="AN2881">
        <v>0.99999994966858996</v>
      </c>
    </row>
    <row r="2882" spans="1:40" x14ac:dyDescent="0.25">
      <c r="A2882" t="str">
        <f>"20190303154525543"</f>
        <v>20190303154525543</v>
      </c>
      <c r="B2882" t="str">
        <f>"1551599125534226"</f>
        <v>1551599125534226</v>
      </c>
      <c r="C2882" t="s">
        <v>40</v>
      </c>
      <c r="D2882">
        <v>4.9679010000000003</v>
      </c>
      <c r="E2882">
        <v>0.48186469999999998</v>
      </c>
      <c r="F2882" t="s">
        <v>57</v>
      </c>
      <c r="G2882">
        <v>-424.8372</v>
      </c>
      <c r="H2882" s="1">
        <v>3.1126679999999998E-6</v>
      </c>
      <c r="I2882">
        <v>214.54650000000001</v>
      </c>
      <c r="J2882">
        <v>-442.83780000000002</v>
      </c>
      <c r="K2882">
        <v>1.120015</v>
      </c>
      <c r="L2882">
        <v>214.08009999999999</v>
      </c>
      <c r="M2882">
        <v>0.99997369999999997</v>
      </c>
      <c r="N2882">
        <v>-5.8088810000000001E-3</v>
      </c>
      <c r="O2882">
        <v>-4.3605509999999998E-3</v>
      </c>
      <c r="P2882">
        <v>0.99128579999999999</v>
      </c>
      <c r="Q2882">
        <v>-0.1297201</v>
      </c>
      <c r="R2882">
        <v>-2.2921339999999998E-2</v>
      </c>
      <c r="S2882">
        <v>3.0039980000000002</v>
      </c>
      <c r="T2882">
        <v>-0.1842068</v>
      </c>
      <c r="U2882">
        <v>7.6568600000000001E-2</v>
      </c>
      <c r="V2882">
        <v>1.8654090000000002E-2</v>
      </c>
      <c r="W2882">
        <v>-0.1239508</v>
      </c>
      <c r="X2882">
        <v>0.99211300000000002</v>
      </c>
      <c r="Y2882">
        <v>-2.977169E-2</v>
      </c>
      <c r="Z2882">
        <v>1.240175E-3</v>
      </c>
      <c r="AA2882">
        <v>0.99955590000000005</v>
      </c>
      <c r="AB2882">
        <v>24</v>
      </c>
      <c r="AC2882">
        <v>18.000599999999999</v>
      </c>
      <c r="AD2882">
        <v>-1.120011887332</v>
      </c>
      <c r="AE2882">
        <v>0.46640000000002102</v>
      </c>
      <c r="AF2882">
        <v>-0.54278945704896697</v>
      </c>
      <c r="AG2882">
        <v>-1.120011887332</v>
      </c>
      <c r="AH2882">
        <v>17.929030660455901</v>
      </c>
      <c r="AI2882">
        <v>93.572942780507802</v>
      </c>
      <c r="AJ2882">
        <v>91.734061901431005</v>
      </c>
      <c r="AK2882">
        <v>17.972178149740699</v>
      </c>
      <c r="AL2882">
        <v>97.120169920548406</v>
      </c>
      <c r="AM2882">
        <v>88.922829654021598</v>
      </c>
      <c r="AN2882">
        <v>0.99999999033168396</v>
      </c>
    </row>
    <row r="2883" spans="1:40" x14ac:dyDescent="0.25">
      <c r="A2883" t="str">
        <f>"20190303154525567"</f>
        <v>20190303154525567</v>
      </c>
      <c r="B2883" t="str">
        <f>"1551599125563506"</f>
        <v>1551599125563506</v>
      </c>
      <c r="C2883" t="s">
        <v>40</v>
      </c>
      <c r="D2883">
        <v>4.9555040000000004</v>
      </c>
      <c r="E2883">
        <v>0.4820121</v>
      </c>
      <c r="F2883" t="s">
        <v>57</v>
      </c>
      <c r="G2883">
        <v>-424.81450000000001</v>
      </c>
      <c r="H2883" s="1">
        <v>3.1139520000000001E-6</v>
      </c>
      <c r="I2883">
        <v>214.5778</v>
      </c>
      <c r="J2883">
        <v>-442.5702</v>
      </c>
      <c r="K2883">
        <v>1.1200570000000001</v>
      </c>
      <c r="L2883">
        <v>214.07929999999999</v>
      </c>
      <c r="M2883">
        <v>0.99997499999999995</v>
      </c>
      <c r="N2883">
        <v>-5.8359650000000002E-3</v>
      </c>
      <c r="O2883">
        <v>-3.9775430000000001E-3</v>
      </c>
      <c r="P2883">
        <v>0.99123669999999997</v>
      </c>
      <c r="Q2883">
        <v>-0.13048019999999999</v>
      </c>
      <c r="R2883">
        <v>-2.06064E-2</v>
      </c>
      <c r="S2883">
        <v>3.003876</v>
      </c>
      <c r="T2883">
        <v>-0.18666820000000001</v>
      </c>
      <c r="U2883">
        <v>8.2946779999999998E-2</v>
      </c>
      <c r="V2883">
        <v>1.6733649999999999E-2</v>
      </c>
      <c r="W2883">
        <v>-0.1246834</v>
      </c>
      <c r="X2883">
        <v>0.99205549999999998</v>
      </c>
      <c r="Y2883">
        <v>-3.1505859999999997E-2</v>
      </c>
      <c r="Z2883">
        <v>1.293549E-3</v>
      </c>
      <c r="AA2883">
        <v>0.99950269999999997</v>
      </c>
      <c r="AB2883">
        <v>25</v>
      </c>
      <c r="AC2883">
        <v>17.755699999999901</v>
      </c>
      <c r="AD2883">
        <v>-1.120053886048</v>
      </c>
      <c r="AE2883">
        <v>0.49850000000000699</v>
      </c>
      <c r="AF2883">
        <v>-0.56686738800805903</v>
      </c>
      <c r="AG2883">
        <v>-1.120053886048</v>
      </c>
      <c r="AH2883">
        <v>17.683265822292299</v>
      </c>
      <c r="AI2883">
        <v>93.622403766065702</v>
      </c>
      <c r="AJ2883">
        <v>91.836085626039093</v>
      </c>
      <c r="AK2883">
        <v>17.727767752458</v>
      </c>
      <c r="AL2883">
        <v>97.162472615365402</v>
      </c>
      <c r="AM2883">
        <v>89.033646194629497</v>
      </c>
      <c r="AN2883">
        <v>1.0000000401790601</v>
      </c>
    </row>
    <row r="2884" spans="1:40" x14ac:dyDescent="0.25">
      <c r="A2884" t="str">
        <f>"20190303154525609"</f>
        <v>20190303154525609</v>
      </c>
      <c r="B2884" t="str">
        <f>"1551599125603522"</f>
        <v>1551599125603522</v>
      </c>
      <c r="C2884" t="s">
        <v>40</v>
      </c>
      <c r="D2884">
        <v>4.8697599999999897</v>
      </c>
      <c r="E2884">
        <v>0.48191040000000002</v>
      </c>
      <c r="F2884" t="s">
        <v>57</v>
      </c>
      <c r="G2884">
        <v>-424.80799999999999</v>
      </c>
      <c r="H2884" s="1">
        <v>3.1128309999999999E-6</v>
      </c>
      <c r="I2884">
        <v>214.60390000000001</v>
      </c>
      <c r="J2884">
        <v>-442.10739999999998</v>
      </c>
      <c r="K2884">
        <v>1.1201139999999901</v>
      </c>
      <c r="L2884">
        <v>214.07839999999999</v>
      </c>
      <c r="M2884">
        <v>0.99997769999999997</v>
      </c>
      <c r="N2884">
        <v>-5.8826729999999997E-3</v>
      </c>
      <c r="O2884">
        <v>-3.19076E-3</v>
      </c>
      <c r="P2884">
        <v>0.99125890000000005</v>
      </c>
      <c r="Q2884">
        <v>-0.130983399999999</v>
      </c>
      <c r="R2884">
        <v>-1.5789009999999999E-2</v>
      </c>
      <c r="S2884">
        <v>3.003479</v>
      </c>
      <c r="T2884">
        <v>-0.1893938</v>
      </c>
      <c r="U2884">
        <v>8.8699340000000002E-2</v>
      </c>
      <c r="V2884">
        <v>1.2714029999999999E-2</v>
      </c>
      <c r="W2884">
        <v>-0.12514069999999999</v>
      </c>
      <c r="X2884">
        <v>0.99205759999999998</v>
      </c>
      <c r="Y2884">
        <v>-3.2632580000000001E-2</v>
      </c>
      <c r="Z2884">
        <v>1.3059530000000001E-3</v>
      </c>
      <c r="AA2884">
        <v>0.99946650000000004</v>
      </c>
      <c r="AB2884">
        <v>25</v>
      </c>
      <c r="AC2884">
        <v>17.299399999999899</v>
      </c>
      <c r="AD2884">
        <v>-1.12011088716899</v>
      </c>
      <c r="AE2884">
        <v>0.52550000000002195</v>
      </c>
      <c r="AF2884">
        <v>-0.57827440113166095</v>
      </c>
      <c r="AG2884">
        <v>-1.12011088716899</v>
      </c>
      <c r="AH2884">
        <v>17.225486067411801</v>
      </c>
      <c r="AI2884">
        <v>93.718409834308105</v>
      </c>
      <c r="AJ2884">
        <v>91.922746562335504</v>
      </c>
      <c r="AK2884">
        <v>17.2715494366069</v>
      </c>
      <c r="AL2884">
        <v>97.1888806539271</v>
      </c>
      <c r="AM2884">
        <v>89.265747894579107</v>
      </c>
      <c r="AN2884">
        <v>1.0000000615365401</v>
      </c>
    </row>
    <row r="2885" spans="1:40" x14ac:dyDescent="0.25">
      <c r="A2885" t="str">
        <f>"20190303154525628"</f>
        <v>20190303154525628</v>
      </c>
      <c r="B2885" t="str">
        <f>"1551599125624018"</f>
        <v>1551599125624018</v>
      </c>
      <c r="C2885" t="s">
        <v>40</v>
      </c>
      <c r="D2885">
        <v>4.8432579999999996</v>
      </c>
      <c r="E2885">
        <v>0.48174240000000002</v>
      </c>
      <c r="F2885" t="s">
        <v>57</v>
      </c>
      <c r="G2885">
        <v>-424.78269999999998</v>
      </c>
      <c r="H2885" s="1">
        <v>3.110827E-6</v>
      </c>
      <c r="I2885">
        <v>214.6782</v>
      </c>
      <c r="J2885">
        <v>-441.87630000000001</v>
      </c>
      <c r="K2885">
        <v>1.1201289999999999</v>
      </c>
      <c r="L2885">
        <v>214.07810000000001</v>
      </c>
      <c r="M2885">
        <v>0.99997879999999995</v>
      </c>
      <c r="N2885">
        <v>-5.9059169999999897E-3</v>
      </c>
      <c r="O2885">
        <v>-2.7499830000000001E-3</v>
      </c>
      <c r="P2885">
        <v>0.99122259999999995</v>
      </c>
      <c r="Q2885">
        <v>-0.13138179999999999</v>
      </c>
      <c r="R2885">
        <v>-1.4724599999999999E-2</v>
      </c>
      <c r="S2885">
        <v>3.0025019999999998</v>
      </c>
      <c r="T2885">
        <v>-0.19412370000000001</v>
      </c>
      <c r="U2885">
        <v>0.1039429</v>
      </c>
      <c r="V2885">
        <v>1.2092779999999999E-2</v>
      </c>
      <c r="W2885">
        <v>-0.12551609999999999</v>
      </c>
      <c r="X2885">
        <v>0.99201790000000001</v>
      </c>
      <c r="Y2885">
        <v>-3.7256730000000002E-2</v>
      </c>
      <c r="Z2885">
        <v>1.4742990000000001E-3</v>
      </c>
      <c r="AA2885">
        <v>0.99930469999999905</v>
      </c>
      <c r="AB2885">
        <v>25</v>
      </c>
      <c r="AC2885">
        <v>17.093599999999999</v>
      </c>
      <c r="AD2885">
        <v>-1.1201258891729999</v>
      </c>
      <c r="AE2885">
        <v>0.60009999999999697</v>
      </c>
      <c r="AF2885">
        <v>-0.64434223035339899</v>
      </c>
      <c r="AG2885">
        <v>-1.1201258891729999</v>
      </c>
      <c r="AH2885">
        <v>17.0188951260862</v>
      </c>
      <c r="AI2885">
        <v>93.762894476814495</v>
      </c>
      <c r="AJ2885">
        <v>92.168205729871403</v>
      </c>
      <c r="AK2885">
        <v>17.0678835896585</v>
      </c>
      <c r="AL2885">
        <v>97.210560725481301</v>
      </c>
      <c r="AM2885">
        <v>89.301594315837903</v>
      </c>
      <c r="AN2885">
        <v>1.0000000203038699</v>
      </c>
    </row>
    <row r="2886" spans="1:40" x14ac:dyDescent="0.25">
      <c r="A2886" t="str">
        <f>"20190303154525652"</f>
        <v>20190303154525652</v>
      </c>
      <c r="B2886" t="str">
        <f>"1551599125643538"</f>
        <v>1551599125643538</v>
      </c>
      <c r="C2886" t="s">
        <v>40</v>
      </c>
      <c r="D2886">
        <v>4.8416959999999998</v>
      </c>
      <c r="E2886">
        <v>0.4820064</v>
      </c>
      <c r="F2886" t="s">
        <v>57</v>
      </c>
      <c r="G2886">
        <v>-424.83749999999998</v>
      </c>
      <c r="H2886" s="1">
        <v>3.0997160000000002E-6</v>
      </c>
      <c r="I2886">
        <v>214.69399999999999</v>
      </c>
      <c r="J2886">
        <v>-441.62189999999998</v>
      </c>
      <c r="K2886">
        <v>1.120144</v>
      </c>
      <c r="L2886">
        <v>214.078</v>
      </c>
      <c r="M2886">
        <v>0.99997999999999998</v>
      </c>
      <c r="N2886">
        <v>-5.9315260000000003E-3</v>
      </c>
      <c r="O2886">
        <v>-2.2393740000000001E-3</v>
      </c>
      <c r="P2886">
        <v>0.99129610000000001</v>
      </c>
      <c r="Q2886">
        <v>-0.13085930000000001</v>
      </c>
      <c r="R2886">
        <v>-1.4432240000000001E-2</v>
      </c>
      <c r="S2886">
        <v>3.002014</v>
      </c>
      <c r="T2886">
        <v>-0.1973512</v>
      </c>
      <c r="U2886">
        <v>0.1085052</v>
      </c>
      <c r="V2886">
        <v>1.231112E-2</v>
      </c>
      <c r="W2886">
        <v>-0.1249671</v>
      </c>
      <c r="X2886">
        <v>0.99208450000000004</v>
      </c>
      <c r="Y2886">
        <v>-3.8264470000000002E-2</v>
      </c>
      <c r="Z2886">
        <v>1.503381E-3</v>
      </c>
      <c r="AA2886">
        <v>0.99926649999999995</v>
      </c>
      <c r="AB2886">
        <v>25</v>
      </c>
      <c r="AC2886">
        <v>16.784400000000002</v>
      </c>
      <c r="AD2886">
        <v>-1.1201409002839999</v>
      </c>
      <c r="AE2886">
        <v>0.61600000000001298</v>
      </c>
      <c r="AF2886">
        <v>-0.65069149064107101</v>
      </c>
      <c r="AG2886">
        <v>-1.1201409002839999</v>
      </c>
      <c r="AH2886">
        <v>16.708660995163001</v>
      </c>
      <c r="AI2886">
        <v>93.832447334591095</v>
      </c>
      <c r="AJ2886">
        <v>92.230163522223506</v>
      </c>
      <c r="AK2886">
        <v>16.758802681091598</v>
      </c>
      <c r="AL2886">
        <v>97.178855871025306</v>
      </c>
      <c r="AM2886">
        <v>89.289033330251598</v>
      </c>
      <c r="AN2886">
        <v>0.99999999744915702</v>
      </c>
    </row>
    <row r="2887" spans="1:40" x14ac:dyDescent="0.25">
      <c r="A2887" t="str">
        <f>"20190303154525674"</f>
        <v>20190303154525674</v>
      </c>
      <c r="B2887" t="str">
        <f>"1551599125664034"</f>
        <v>1551599125664034</v>
      </c>
      <c r="C2887" t="s">
        <v>40</v>
      </c>
      <c r="D2887">
        <v>4.8215139999999996</v>
      </c>
      <c r="E2887">
        <v>0.48214669999999998</v>
      </c>
      <c r="F2887" t="s">
        <v>57</v>
      </c>
      <c r="G2887">
        <v>-424.33839999999998</v>
      </c>
      <c r="H2887" s="1">
        <v>3.1880889999999999E-6</v>
      </c>
      <c r="I2887">
        <v>214.69579999999999</v>
      </c>
      <c r="J2887">
        <v>-441.3612</v>
      </c>
      <c r="K2887">
        <v>1.1201639999999999</v>
      </c>
      <c r="L2887">
        <v>214.078</v>
      </c>
      <c r="M2887">
        <v>0.99998089999999995</v>
      </c>
      <c r="N2887">
        <v>-5.9578929999999997E-3</v>
      </c>
      <c r="O2887">
        <v>-1.6944480000000001E-3</v>
      </c>
      <c r="P2887">
        <v>0.99135359999999995</v>
      </c>
      <c r="Q2887">
        <v>-0.13039249999999999</v>
      </c>
      <c r="R2887">
        <v>-1.47017E-2</v>
      </c>
      <c r="S2887">
        <v>3.0022280000000001</v>
      </c>
      <c r="T2887">
        <v>-0.19457440000000001</v>
      </c>
      <c r="U2887">
        <v>0.1073151</v>
      </c>
      <c r="V2887">
        <v>1.3124739999999999E-2</v>
      </c>
      <c r="W2887">
        <v>-0.12447279999999999</v>
      </c>
      <c r="X2887">
        <v>0.99213620000000002</v>
      </c>
      <c r="Y2887">
        <v>-3.7327319999999997E-2</v>
      </c>
      <c r="Z2887">
        <v>1.4188849999999999E-3</v>
      </c>
      <c r="AA2887">
        <v>0.99930209999999997</v>
      </c>
      <c r="AB2887">
        <v>25</v>
      </c>
      <c r="AC2887">
        <v>17.0228</v>
      </c>
      <c r="AD2887">
        <v>-1.120160811911</v>
      </c>
      <c r="AE2887">
        <v>0.61779999999998803</v>
      </c>
      <c r="AF2887">
        <v>-0.64385955775194303</v>
      </c>
      <c r="AG2887">
        <v>-1.120160811911</v>
      </c>
      <c r="AH2887">
        <v>16.9484366833357</v>
      </c>
      <c r="AI2887">
        <v>93.778591517409296</v>
      </c>
      <c r="AJ2887">
        <v>92.175581422845198</v>
      </c>
      <c r="AK2887">
        <v>16.997612225947801</v>
      </c>
      <c r="AL2887">
        <v>97.150311761043099</v>
      </c>
      <c r="AM2887">
        <v>89.242091612501099</v>
      </c>
      <c r="AN2887">
        <v>0.99999998804517298</v>
      </c>
    </row>
    <row r="2888" spans="1:40" x14ac:dyDescent="0.25">
      <c r="A2888" t="str">
        <f>"20190303154525697"</f>
        <v>20190303154525697</v>
      </c>
      <c r="B2888" t="str">
        <f>"1551599125694290"</f>
        <v>1551599125694290</v>
      </c>
      <c r="C2888" t="s">
        <v>40</v>
      </c>
      <c r="D2888">
        <v>4.801094</v>
      </c>
      <c r="E2888">
        <v>0.48241010000000001</v>
      </c>
      <c r="F2888" t="s">
        <v>57</v>
      </c>
      <c r="G2888">
        <v>-423.89699999999999</v>
      </c>
      <c r="H2888" s="1">
        <v>3.26687E-6</v>
      </c>
      <c r="I2888">
        <v>214.69040000000001</v>
      </c>
      <c r="J2888">
        <v>-441.11950000000002</v>
      </c>
      <c r="K2888">
        <v>1.1201840000000001</v>
      </c>
      <c r="L2888">
        <v>214.07810000000001</v>
      </c>
      <c r="M2888">
        <v>0.99998149999999997</v>
      </c>
      <c r="N2888">
        <v>-5.9826489999999996E-3</v>
      </c>
      <c r="O2888">
        <v>-1.175167E-3</v>
      </c>
      <c r="P2888">
        <v>0.99143840000000005</v>
      </c>
      <c r="Q2888">
        <v>-0.1296774</v>
      </c>
      <c r="R2888">
        <v>-1.5293090000000001E-2</v>
      </c>
      <c r="S2888">
        <v>3.00238</v>
      </c>
      <c r="T2888">
        <v>-0.19257299999999999</v>
      </c>
      <c r="U2888">
        <v>0.10528559999999999</v>
      </c>
      <c r="V2888">
        <v>1.423394E-2</v>
      </c>
      <c r="W2888">
        <v>-0.12373140000000001</v>
      </c>
      <c r="X2888">
        <v>0.99221369999999998</v>
      </c>
      <c r="Y2888">
        <v>-3.6137200000000001E-2</v>
      </c>
      <c r="Z2888">
        <v>1.333884E-3</v>
      </c>
      <c r="AA2888">
        <v>0.99934599999999996</v>
      </c>
      <c r="AB2888">
        <v>25</v>
      </c>
      <c r="AC2888">
        <v>17.2225</v>
      </c>
      <c r="AD2888">
        <v>-1.12018073313</v>
      </c>
      <c r="AE2888">
        <v>0.61230000000000395</v>
      </c>
      <c r="AF2888">
        <v>-0.62987796475735602</v>
      </c>
      <c r="AG2888">
        <v>-1.12018073313</v>
      </c>
      <c r="AH2888">
        <v>17.1493112798819</v>
      </c>
      <c r="AI2888">
        <v>93.734699138812204</v>
      </c>
      <c r="AJ2888">
        <v>92.103474190012406</v>
      </c>
      <c r="AK2888">
        <v>17.197395980195601</v>
      </c>
      <c r="AL2888">
        <v>97.107501313612403</v>
      </c>
      <c r="AM2888">
        <v>89.178111782674904</v>
      </c>
      <c r="AN2888">
        <v>1.00000004543078</v>
      </c>
    </row>
    <row r="2889" spans="1:40" x14ac:dyDescent="0.25">
      <c r="A2889" t="str">
        <f>"20190303154525718"</f>
        <v>20190303154525718</v>
      </c>
      <c r="B2889" t="str">
        <f>"1551599125713810"</f>
        <v>1551599125713810</v>
      </c>
      <c r="C2889" t="s">
        <v>40</v>
      </c>
      <c r="D2889">
        <v>4.8084480000000003</v>
      </c>
      <c r="E2889">
        <v>0.48262719999999998</v>
      </c>
      <c r="F2889" t="s">
        <v>57</v>
      </c>
      <c r="G2889">
        <v>-423.3818</v>
      </c>
      <c r="H2889" s="1">
        <v>3.3592820000000001E-6</v>
      </c>
      <c r="I2889">
        <v>214.67859999999999</v>
      </c>
      <c r="J2889">
        <v>-440.87049999999999</v>
      </c>
      <c r="K2889">
        <v>1.120185</v>
      </c>
      <c r="L2889">
        <v>214.07839999999999</v>
      </c>
      <c r="M2889">
        <v>0.99998180000000003</v>
      </c>
      <c r="N2889">
        <v>-6.0081559999999997E-3</v>
      </c>
      <c r="O2889">
        <v>-6.3277479999999996E-4</v>
      </c>
      <c r="P2889">
        <v>0.99134849999999997</v>
      </c>
      <c r="Q2889">
        <v>-0.13029279999999999</v>
      </c>
      <c r="R2889">
        <v>-1.5883089999999999E-2</v>
      </c>
      <c r="S2889">
        <v>3.0026860000000002</v>
      </c>
      <c r="T2889">
        <v>-0.18962709999999999</v>
      </c>
      <c r="U2889">
        <v>0.1016541</v>
      </c>
      <c r="V2889">
        <v>1.5365E-2</v>
      </c>
      <c r="W2889">
        <v>-0.12432070000000001</v>
      </c>
      <c r="X2889">
        <v>0.99212310000000004</v>
      </c>
      <c r="Y2889">
        <v>-3.4391430000000001E-2</v>
      </c>
      <c r="Z2889">
        <v>1.224132E-3</v>
      </c>
      <c r="AA2889">
        <v>0.99940770000000001</v>
      </c>
      <c r="AB2889">
        <v>25</v>
      </c>
      <c r="AC2889">
        <v>17.488699999999898</v>
      </c>
      <c r="AD2889">
        <v>-1.1201816407179901</v>
      </c>
      <c r="AE2889">
        <v>0.60020000000000095</v>
      </c>
      <c r="AF2889">
        <v>-0.60877186308438103</v>
      </c>
      <c r="AG2889">
        <v>-1.1201816407179901</v>
      </c>
      <c r="AH2889">
        <v>17.416945562235799</v>
      </c>
      <c r="AI2889">
        <v>93.677705425480099</v>
      </c>
      <c r="AJ2889">
        <v>92.001835762649804</v>
      </c>
      <c r="AK2889">
        <v>17.463544966797802</v>
      </c>
      <c r="AL2889">
        <v>97.141528891118597</v>
      </c>
      <c r="AM2889">
        <v>89.112731797780597</v>
      </c>
      <c r="AN2889">
        <v>0.99999998261354905</v>
      </c>
    </row>
    <row r="2890" spans="1:40" x14ac:dyDescent="0.25">
      <c r="A2890" t="str">
        <f>"20190303154525744"</f>
        <v>20190303154525744</v>
      </c>
      <c r="B2890" t="str">
        <f>"1551599125733332"</f>
        <v>1551599125733332</v>
      </c>
      <c r="C2890" t="s">
        <v>40</v>
      </c>
      <c r="D2890">
        <v>4.781282</v>
      </c>
      <c r="E2890">
        <v>0.48280139999999999</v>
      </c>
      <c r="F2890" t="s">
        <v>57</v>
      </c>
      <c r="G2890">
        <v>-423.28640000000001</v>
      </c>
      <c r="H2890" s="1">
        <v>3.3784020000000002E-6</v>
      </c>
      <c r="I2890">
        <v>214.6534</v>
      </c>
      <c r="J2890">
        <v>-440.58800000000002</v>
      </c>
      <c r="K2890">
        <v>1.120187</v>
      </c>
      <c r="L2890">
        <v>214.0789</v>
      </c>
      <c r="M2890">
        <v>0.99998180000000003</v>
      </c>
      <c r="N2890">
        <v>-6.0399850000000003E-3</v>
      </c>
      <c r="O2890" s="1">
        <v>-1.2928750000000001E-5</v>
      </c>
      <c r="P2890">
        <v>0.9913476</v>
      </c>
      <c r="Q2890">
        <v>-0.1303414</v>
      </c>
      <c r="R2890">
        <v>-1.553118E-2</v>
      </c>
      <c r="S2890">
        <v>3.0026549999999999</v>
      </c>
      <c r="T2890">
        <v>-0.1912817</v>
      </c>
      <c r="U2890">
        <v>9.8190310000000003E-2</v>
      </c>
      <c r="V2890">
        <v>1.563001E-2</v>
      </c>
      <c r="W2890">
        <v>-0.1243373</v>
      </c>
      <c r="X2890">
        <v>0.99211689999999997</v>
      </c>
      <c r="Y2890">
        <v>-3.262425E-2</v>
      </c>
      <c r="Z2890">
        <v>1.1372279999999999E-3</v>
      </c>
      <c r="AA2890">
        <v>0.99946699999999999</v>
      </c>
      <c r="AB2890">
        <v>25</v>
      </c>
      <c r="AC2890">
        <v>17.301600000000001</v>
      </c>
      <c r="AD2890">
        <v>-1.1201836215979999</v>
      </c>
      <c r="AE2890">
        <v>0.57450000000000001</v>
      </c>
      <c r="AF2890">
        <v>-0.57232722356153298</v>
      </c>
      <c r="AG2890">
        <v>-1.1201836215979999</v>
      </c>
      <c r="AH2890">
        <v>17.229448821501599</v>
      </c>
      <c r="AI2890">
        <v>93.717841367455307</v>
      </c>
      <c r="AJ2890">
        <v>91.902549611012802</v>
      </c>
      <c r="AK2890">
        <v>17.275308289280002</v>
      </c>
      <c r="AL2890">
        <v>97.142487296875601</v>
      </c>
      <c r="AM2890">
        <v>89.097425385227595</v>
      </c>
      <c r="AN2890">
        <v>1.0000000023247499</v>
      </c>
    </row>
    <row r="2891" spans="1:40" x14ac:dyDescent="0.25">
      <c r="A2891" t="str">
        <f>"20190303154525767"</f>
        <v>20190303154525767</v>
      </c>
      <c r="B2891" t="str">
        <f>"1551599125763586"</f>
        <v>1551599125763586</v>
      </c>
      <c r="C2891" t="s">
        <v>40</v>
      </c>
      <c r="D2891">
        <v>4.8615649999999997</v>
      </c>
      <c r="E2891">
        <v>0.48307689999999998</v>
      </c>
      <c r="F2891" t="s">
        <v>57</v>
      </c>
      <c r="G2891">
        <v>-423.0437</v>
      </c>
      <c r="H2891" s="1">
        <v>3.4217159999999998E-6</v>
      </c>
      <c r="I2891">
        <v>214.65049999999999</v>
      </c>
      <c r="J2891">
        <v>-440.31330000000003</v>
      </c>
      <c r="K2891">
        <v>1.1201970000000001</v>
      </c>
      <c r="L2891">
        <v>214.0795</v>
      </c>
      <c r="M2891">
        <v>0.99998149999999997</v>
      </c>
      <c r="N2891">
        <v>-6.0753919999999998E-3</v>
      </c>
      <c r="O2891">
        <v>5.9126920000000002E-4</v>
      </c>
      <c r="P2891">
        <v>0.99137529999999996</v>
      </c>
      <c r="Q2891">
        <v>-0.1302314</v>
      </c>
      <c r="R2891">
        <v>-1.4675759999999999E-2</v>
      </c>
      <c r="S2891">
        <v>3.0025019999999998</v>
      </c>
      <c r="T2891">
        <v>-0.19170570000000001</v>
      </c>
      <c r="U2891">
        <v>9.7824099999999997E-2</v>
      </c>
      <c r="V2891">
        <v>1.537433E-2</v>
      </c>
      <c r="W2891">
        <v>-0.1241922</v>
      </c>
      <c r="X2891">
        <v>0.99213910000000005</v>
      </c>
      <c r="Y2891">
        <v>-3.1902510000000002E-2</v>
      </c>
      <c r="Z2891">
        <v>1.0800899999999999E-3</v>
      </c>
      <c r="AA2891">
        <v>0.9994904</v>
      </c>
      <c r="AB2891">
        <v>26</v>
      </c>
      <c r="AC2891">
        <v>17.269600000000001</v>
      </c>
      <c r="AD2891">
        <v>-1.12019357828399</v>
      </c>
      <c r="AE2891">
        <v>0.57099999999999795</v>
      </c>
      <c r="AF2891">
        <v>-0.55844166669007</v>
      </c>
      <c r="AG2891">
        <v>-1.12019357828399</v>
      </c>
      <c r="AH2891">
        <v>17.197654907259899</v>
      </c>
      <c r="AI2891">
        <v>93.724819266075997</v>
      </c>
      <c r="AJ2891">
        <v>91.859853098113405</v>
      </c>
      <c r="AK2891">
        <v>17.243144291489401</v>
      </c>
      <c r="AL2891">
        <v>97.1341085167887</v>
      </c>
      <c r="AM2891">
        <v>89.112207428422295</v>
      </c>
      <c r="AN2891">
        <v>1.0000000331562899</v>
      </c>
    </row>
    <row r="2892" spans="1:40" x14ac:dyDescent="0.25">
      <c r="A2892" t="str">
        <f>"20190303154525787"</f>
        <v>20190303154525787</v>
      </c>
      <c r="B2892" t="str">
        <f>"1551599125784081"</f>
        <v>1551599125784081</v>
      </c>
      <c r="C2892" t="s">
        <v>40</v>
      </c>
      <c r="D2892">
        <v>4.7720089999999997</v>
      </c>
      <c r="E2892">
        <v>0.48317690000000002</v>
      </c>
      <c r="F2892" t="s">
        <v>57</v>
      </c>
      <c r="G2892">
        <v>-422.7047</v>
      </c>
      <c r="H2892" s="1">
        <v>3.481369E-6</v>
      </c>
      <c r="I2892">
        <v>214.65600000000001</v>
      </c>
      <c r="J2892">
        <v>-440.07990000000001</v>
      </c>
      <c r="K2892">
        <v>1.120201</v>
      </c>
      <c r="L2892">
        <v>214.08019999999999</v>
      </c>
      <c r="M2892">
        <v>0.99998069999999895</v>
      </c>
      <c r="N2892">
        <v>-6.107215E-3</v>
      </c>
      <c r="O2892">
        <v>1.104626E-3</v>
      </c>
      <c r="P2892">
        <v>0.99138440000000005</v>
      </c>
      <c r="Q2892">
        <v>-0.1302364</v>
      </c>
      <c r="R2892">
        <v>-1.398713E-2</v>
      </c>
      <c r="S2892">
        <v>3.002472</v>
      </c>
      <c r="T2892">
        <v>-0.1910058</v>
      </c>
      <c r="U2892">
        <v>9.8297120000000002E-2</v>
      </c>
      <c r="V2892">
        <v>1.5195230000000001E-2</v>
      </c>
      <c r="W2892">
        <v>-0.1241657</v>
      </c>
      <c r="X2892">
        <v>0.9921451</v>
      </c>
      <c r="Y2892">
        <v>-3.1549099999999997E-2</v>
      </c>
      <c r="Z2892">
        <v>1.0352639999999999E-3</v>
      </c>
      <c r="AA2892">
        <v>0.99950159999999999</v>
      </c>
      <c r="AB2892">
        <v>26</v>
      </c>
      <c r="AC2892">
        <v>17.3752</v>
      </c>
      <c r="AD2892">
        <v>-1.120197518631</v>
      </c>
      <c r="AE2892">
        <v>0.57579999999998599</v>
      </c>
      <c r="AF2892">
        <v>-0.55430474252965001</v>
      </c>
      <c r="AG2892">
        <v>-1.120197518631</v>
      </c>
      <c r="AH2892">
        <v>17.303980063795802</v>
      </c>
      <c r="AI2892">
        <v>93.702060927132294</v>
      </c>
      <c r="AJ2892">
        <v>91.834749331831404</v>
      </c>
      <c r="AK2892">
        <v>17.349058253305301</v>
      </c>
      <c r="AL2892">
        <v>97.132578875374605</v>
      </c>
      <c r="AM2892">
        <v>89.122553258961105</v>
      </c>
      <c r="AN2892">
        <v>0.99999995776262496</v>
      </c>
    </row>
    <row r="2893" spans="1:40" x14ac:dyDescent="0.25">
      <c r="A2893" t="str">
        <f>"20190303154525811"</f>
        <v>20190303154525811</v>
      </c>
      <c r="B2893" t="str">
        <f>"1551599125803602"</f>
        <v>1551599125803602</v>
      </c>
      <c r="C2893" t="s">
        <v>40</v>
      </c>
      <c r="D2893">
        <v>4.776224</v>
      </c>
      <c r="E2893">
        <v>0.48516150000000002</v>
      </c>
      <c r="F2893" t="s">
        <v>57</v>
      </c>
      <c r="G2893">
        <v>-422.38279999999997</v>
      </c>
      <c r="H2893" s="1">
        <v>3.5376339999999999E-6</v>
      </c>
      <c r="I2893">
        <v>214.66540000000001</v>
      </c>
      <c r="J2893">
        <v>-439.8175</v>
      </c>
      <c r="K2893">
        <v>1.120204</v>
      </c>
      <c r="L2893">
        <v>214.08109999999999</v>
      </c>
      <c r="M2893">
        <v>0.99997970000000003</v>
      </c>
      <c r="N2893">
        <v>-6.1437030000000004E-3</v>
      </c>
      <c r="O2893">
        <v>1.6808490000000001E-3</v>
      </c>
      <c r="P2893">
        <v>0.99142059999999999</v>
      </c>
      <c r="Q2893">
        <v>-0.13007189999999999</v>
      </c>
      <c r="R2893">
        <v>-1.289736E-2</v>
      </c>
      <c r="S2893">
        <v>3.0025019999999998</v>
      </c>
      <c r="T2893">
        <v>-0.19005349999999999</v>
      </c>
      <c r="U2893">
        <v>9.9288940000000006E-2</v>
      </c>
      <c r="V2893">
        <v>1.4676979999999999E-2</v>
      </c>
      <c r="W2893">
        <v>-0.1239653</v>
      </c>
      <c r="X2893">
        <v>0.992178</v>
      </c>
      <c r="Y2893">
        <v>-3.1304720000000001E-2</v>
      </c>
      <c r="Z2893">
        <v>9.8986049999999991E-4</v>
      </c>
      <c r="AA2893">
        <v>0.99950939999999999</v>
      </c>
      <c r="AB2893">
        <v>26</v>
      </c>
      <c r="AC2893">
        <v>17.434699999999999</v>
      </c>
      <c r="AD2893">
        <v>-1.120200462366</v>
      </c>
      <c r="AE2893">
        <v>0.58430000000001303</v>
      </c>
      <c r="AF2893">
        <v>-0.55271435796677104</v>
      </c>
      <c r="AG2893">
        <v>-1.120200462366</v>
      </c>
      <c r="AH2893">
        <v>17.364055338200799</v>
      </c>
      <c r="AI2893">
        <v>93.689321584284997</v>
      </c>
      <c r="AJ2893">
        <v>91.823163446761896</v>
      </c>
      <c r="AK2893">
        <v>17.408927595503599</v>
      </c>
      <c r="AL2893">
        <v>97.121007122394602</v>
      </c>
      <c r="AM2893">
        <v>89.152503200362801</v>
      </c>
      <c r="AN2893">
        <v>0.99999999651500504</v>
      </c>
    </row>
    <row r="2894" spans="1:40" x14ac:dyDescent="0.25">
      <c r="A2894" t="str">
        <f>"20190303154525831"</f>
        <v>20190303154525831</v>
      </c>
      <c r="B2894" t="str">
        <f>"1551599125824098"</f>
        <v>1551599125824098</v>
      </c>
      <c r="C2894" t="s">
        <v>40</v>
      </c>
      <c r="D2894">
        <v>4.7977589999999903</v>
      </c>
      <c r="E2894">
        <v>0.4853519</v>
      </c>
      <c r="F2894" t="s">
        <v>57</v>
      </c>
      <c r="G2894">
        <v>-414.39010000000002</v>
      </c>
      <c r="H2894" s="1">
        <v>2.9658870000000001E-6</v>
      </c>
      <c r="I2894">
        <v>214.82910000000001</v>
      </c>
      <c r="J2894">
        <v>-439.56939999999997</v>
      </c>
      <c r="K2894">
        <v>1.120214</v>
      </c>
      <c r="L2894">
        <v>214.0821</v>
      </c>
      <c r="M2894">
        <v>0.99997860000000005</v>
      </c>
      <c r="N2894">
        <v>-6.178116E-3</v>
      </c>
      <c r="O2894">
        <v>2.22346E-3</v>
      </c>
      <c r="P2894">
        <v>0.99147350000000001</v>
      </c>
      <c r="Q2894">
        <v>-0.12975010000000001</v>
      </c>
      <c r="R2894">
        <v>-1.206783E-2</v>
      </c>
      <c r="S2894">
        <v>3.0097049999999999</v>
      </c>
      <c r="T2894">
        <v>-0.132592299999999</v>
      </c>
      <c r="U2894">
        <v>8.8531490000000004E-2</v>
      </c>
      <c r="V2894">
        <v>1.438541E-2</v>
      </c>
      <c r="W2894">
        <v>-0.1236092</v>
      </c>
      <c r="X2894">
        <v>0.99222670000000002</v>
      </c>
      <c r="Y2894">
        <v>-2.7151600000000001E-2</v>
      </c>
      <c r="Z2894">
        <v>5.9744360000000001E-4</v>
      </c>
      <c r="AA2894">
        <v>0.99963120000000005</v>
      </c>
      <c r="AB2894">
        <v>26</v>
      </c>
      <c r="AC2894">
        <v>25.179299999999898</v>
      </c>
      <c r="AD2894">
        <v>-1.120211034113</v>
      </c>
      <c r="AE2894">
        <v>0.74700000000001399</v>
      </c>
      <c r="AF2894">
        <v>-0.68964810480763195</v>
      </c>
      <c r="AG2894">
        <v>-1.120211034113</v>
      </c>
      <c r="AH2894">
        <v>25.131200183191201</v>
      </c>
      <c r="AI2894">
        <v>92.551282899042207</v>
      </c>
      <c r="AJ2894">
        <v>91.571911058042801</v>
      </c>
      <c r="AK2894">
        <v>25.165605693427</v>
      </c>
      <c r="AL2894">
        <v>97.100445935021497</v>
      </c>
      <c r="AM2894">
        <v>89.169377786744803</v>
      </c>
      <c r="AN2894">
        <v>0.99999999926919803</v>
      </c>
    </row>
    <row r="2895" spans="1:40" x14ac:dyDescent="0.25">
      <c r="A2895" t="str">
        <f>"20190303154525854"</f>
        <v>20190303154525854</v>
      </c>
      <c r="B2895" t="str">
        <f>"1551599125843618"</f>
        <v>1551599125843618</v>
      </c>
      <c r="C2895" t="s">
        <v>40</v>
      </c>
      <c r="D2895">
        <v>4.8038449999999999</v>
      </c>
      <c r="E2895">
        <v>0.48547499999999999</v>
      </c>
      <c r="F2895" t="s">
        <v>57</v>
      </c>
      <c r="G2895">
        <v>-414.04230000000001</v>
      </c>
      <c r="H2895" s="1">
        <v>2.9032049999999999E-6</v>
      </c>
      <c r="I2895">
        <v>214.84030000000001</v>
      </c>
      <c r="J2895">
        <v>-439.30970000000002</v>
      </c>
      <c r="K2895">
        <v>1.120217</v>
      </c>
      <c r="L2895">
        <v>214.08330000000001</v>
      </c>
      <c r="M2895">
        <v>0.99997689999999995</v>
      </c>
      <c r="N2895">
        <v>-6.2136429999999996E-3</v>
      </c>
      <c r="O2895">
        <v>2.789911E-3</v>
      </c>
      <c r="P2895">
        <v>0.9915041</v>
      </c>
      <c r="Q2895">
        <v>-0.129577</v>
      </c>
      <c r="R2895">
        <v>-1.139622E-2</v>
      </c>
      <c r="S2895">
        <v>3.0095830000000001</v>
      </c>
      <c r="T2895">
        <v>-0.13206979999999999</v>
      </c>
      <c r="U2895">
        <v>8.9385989999999999E-2</v>
      </c>
      <c r="V2895">
        <v>1.427558E-2</v>
      </c>
      <c r="W2895">
        <v>-0.1234008</v>
      </c>
      <c r="X2895">
        <v>0.99225430000000003</v>
      </c>
      <c r="Y2895">
        <v>-2.6870999999999999E-2</v>
      </c>
      <c r="Z2895">
        <v>5.6770870000000001E-4</v>
      </c>
      <c r="AA2895">
        <v>0.99963869999999999</v>
      </c>
      <c r="AB2895">
        <v>26</v>
      </c>
      <c r="AC2895">
        <v>25.267399999999999</v>
      </c>
      <c r="AD2895">
        <v>-1.1202140967950001</v>
      </c>
      <c r="AE2895">
        <v>0.757000000000005</v>
      </c>
      <c r="AF2895">
        <v>-0.68515641074010303</v>
      </c>
      <c r="AG2895">
        <v>-1.1202140967950001</v>
      </c>
      <c r="AH2895">
        <v>25.219887525410599</v>
      </c>
      <c r="AI2895">
        <v>92.542348906986206</v>
      </c>
      <c r="AJ2895">
        <v>91.556189215441904</v>
      </c>
      <c r="AK2895">
        <v>25.254050085564401</v>
      </c>
      <c r="AL2895">
        <v>97.088412849126399</v>
      </c>
      <c r="AM2895">
        <v>89.175741483158006</v>
      </c>
      <c r="AN2895">
        <v>1.00000007274673</v>
      </c>
    </row>
    <row r="2896" spans="1:40" x14ac:dyDescent="0.25">
      <c r="A2896" t="str">
        <f>"20190303154525875"</f>
        <v>20190303154525875</v>
      </c>
      <c r="B2896" t="str">
        <f>"1551599125864114"</f>
        <v>1551599125864114</v>
      </c>
      <c r="C2896" t="s">
        <v>40</v>
      </c>
      <c r="D2896">
        <v>4.806578</v>
      </c>
      <c r="E2896">
        <v>0.48568129999999998</v>
      </c>
      <c r="F2896" t="s">
        <v>57</v>
      </c>
      <c r="G2896">
        <v>-414.28789999999998</v>
      </c>
      <c r="H2896" s="1">
        <v>2.9470840000000001E-6</v>
      </c>
      <c r="I2896">
        <v>214.83670000000001</v>
      </c>
      <c r="J2896">
        <v>-439.05810000000002</v>
      </c>
      <c r="K2896">
        <v>1.1202219999999901</v>
      </c>
      <c r="L2896">
        <v>214.08459999999999</v>
      </c>
      <c r="M2896">
        <v>0.9999749</v>
      </c>
      <c r="N2896">
        <v>-6.2473069999999997E-3</v>
      </c>
      <c r="O2896">
        <v>3.3369379999999998E-3</v>
      </c>
      <c r="P2896">
        <v>0.99146129999999999</v>
      </c>
      <c r="Q2896">
        <v>-0.1299051</v>
      </c>
      <c r="R2896">
        <v>-1.1363389999999999E-2</v>
      </c>
      <c r="S2896">
        <v>3.0091860000000001</v>
      </c>
      <c r="T2896">
        <v>-0.134719799999999</v>
      </c>
      <c r="U2896">
        <v>9.0606690000000004E-2</v>
      </c>
      <c r="V2896">
        <v>1.478588E-2</v>
      </c>
      <c r="W2896">
        <v>-0.12369529999999999</v>
      </c>
      <c r="X2896">
        <v>0.99221009999999998</v>
      </c>
      <c r="Y2896">
        <v>-2.6732720000000001E-2</v>
      </c>
      <c r="Z2896">
        <v>5.5309320000000001E-4</v>
      </c>
      <c r="AA2896">
        <v>0.99964249999999999</v>
      </c>
      <c r="AB2896">
        <v>26</v>
      </c>
      <c r="AC2896">
        <v>24.770199999999999</v>
      </c>
      <c r="AD2896">
        <v>-1.1202190529160001</v>
      </c>
      <c r="AE2896">
        <v>0.75210000000001198</v>
      </c>
      <c r="AF2896">
        <v>-0.66807245811123905</v>
      </c>
      <c r="AG2896">
        <v>-1.1202190529160001</v>
      </c>
      <c r="AH2896">
        <v>24.722055575841502</v>
      </c>
      <c r="AI2896">
        <v>92.593496931372897</v>
      </c>
      <c r="AJ2896">
        <v>91.547946474197602</v>
      </c>
      <c r="AK2896">
        <v>24.756438423787799</v>
      </c>
      <c r="AL2896">
        <v>97.105417133862503</v>
      </c>
      <c r="AM2896">
        <v>89.146243503355507</v>
      </c>
      <c r="AN2896">
        <v>1.0000000160157301</v>
      </c>
    </row>
    <row r="2897" spans="1:40" x14ac:dyDescent="0.25">
      <c r="A2897" t="str">
        <f>"20190303154525898"</f>
        <v>20190303154525898</v>
      </c>
      <c r="B2897" t="str">
        <f>"1551599125893394"</f>
        <v>1551599125893394</v>
      </c>
      <c r="C2897" t="s">
        <v>40</v>
      </c>
      <c r="D2897">
        <v>4.8195180000000004</v>
      </c>
      <c r="E2897">
        <v>0.48572369999999998</v>
      </c>
      <c r="F2897" t="s">
        <v>57</v>
      </c>
      <c r="G2897">
        <v>-414.51229999999998</v>
      </c>
      <c r="H2897" s="1">
        <v>2.9891420000000002E-6</v>
      </c>
      <c r="I2897">
        <v>214.8109</v>
      </c>
      <c r="J2897">
        <v>-438.80020000000002</v>
      </c>
      <c r="K2897">
        <v>1.1202209999999999</v>
      </c>
      <c r="L2897">
        <v>214.08600000000001</v>
      </c>
      <c r="M2897">
        <v>0.99997290000000005</v>
      </c>
      <c r="N2897">
        <v>-6.2808650000000001E-3</v>
      </c>
      <c r="O2897">
        <v>3.8965419999999998E-3</v>
      </c>
      <c r="P2897">
        <v>0.99139370000000004</v>
      </c>
      <c r="Q2897">
        <v>-0.13034809999999999</v>
      </c>
      <c r="R2897">
        <v>-1.218955E-2</v>
      </c>
      <c r="S2897">
        <v>3.0088499999999998</v>
      </c>
      <c r="T2897">
        <v>-0.137317299999999</v>
      </c>
      <c r="U2897">
        <v>8.9035030000000001E-2</v>
      </c>
      <c r="V2897">
        <v>1.616747E-2</v>
      </c>
      <c r="W2897">
        <v>-0.12410409999999999</v>
      </c>
      <c r="X2897">
        <v>0.99213750000000001</v>
      </c>
      <c r="Y2897">
        <v>-2.5655620000000001E-2</v>
      </c>
      <c r="Z2897">
        <v>5.123991E-4</v>
      </c>
      <c r="AA2897">
        <v>0.99967070000000002</v>
      </c>
      <c r="AB2897">
        <v>26</v>
      </c>
      <c r="AC2897">
        <v>24.2879</v>
      </c>
      <c r="AD2897">
        <v>-1.120218010858</v>
      </c>
      <c r="AE2897">
        <v>0.72490000000001897</v>
      </c>
      <c r="AF2897">
        <v>-0.62891713424620599</v>
      </c>
      <c r="AG2897">
        <v>-1.120218010858</v>
      </c>
      <c r="AH2897">
        <v>24.239022910149199</v>
      </c>
      <c r="AI2897">
        <v>92.645179998889802</v>
      </c>
      <c r="AJ2897">
        <v>91.486289877461502</v>
      </c>
      <c r="AK2897">
        <v>24.273043830396201</v>
      </c>
      <c r="AL2897">
        <v>97.129021520416302</v>
      </c>
      <c r="AM2897">
        <v>89.0664138638721</v>
      </c>
      <c r="AN2897">
        <v>1.0000000168146299</v>
      </c>
    </row>
    <row r="2898" spans="1:40" x14ac:dyDescent="0.25">
      <c r="A2898" t="str">
        <f>"20190303154525919"</f>
        <v>20190303154525919</v>
      </c>
      <c r="B2898" t="str">
        <f>"1551599125913890"</f>
        <v>1551599125913890</v>
      </c>
      <c r="C2898" t="s">
        <v>40</v>
      </c>
      <c r="D2898">
        <v>4.8170679999999999</v>
      </c>
      <c r="E2898">
        <v>0.48560989999999998</v>
      </c>
      <c r="F2898" t="s">
        <v>57</v>
      </c>
      <c r="G2898">
        <v>-415.0095</v>
      </c>
      <c r="H2898" s="1">
        <v>3.0810490000000001E-6</v>
      </c>
      <c r="I2898">
        <v>214.76849999999999</v>
      </c>
      <c r="J2898">
        <v>-438.53680000000003</v>
      </c>
      <c r="K2898">
        <v>1.1202240000000001</v>
      </c>
      <c r="L2898">
        <v>214.08770000000001</v>
      </c>
      <c r="M2898">
        <v>0.99997020000000003</v>
      </c>
      <c r="N2898">
        <v>-6.3145049999999998E-3</v>
      </c>
      <c r="O2898">
        <v>4.4674129999999999E-3</v>
      </c>
      <c r="P2898">
        <v>0.99135439999999997</v>
      </c>
      <c r="Q2898">
        <v>-0.1305897</v>
      </c>
      <c r="R2898">
        <v>-1.277707E-2</v>
      </c>
      <c r="S2898">
        <v>3.0084840000000002</v>
      </c>
      <c r="T2898">
        <v>-0.1416589</v>
      </c>
      <c r="U2898">
        <v>8.6303710000000006E-2</v>
      </c>
      <c r="V2898">
        <v>1.73215E-2</v>
      </c>
      <c r="W2898">
        <v>-0.12431150000000001</v>
      </c>
      <c r="X2898">
        <v>0.99209199999999997</v>
      </c>
      <c r="Y2898">
        <v>-2.4182370000000002E-2</v>
      </c>
      <c r="Z2898">
        <v>4.6331330000000002E-4</v>
      </c>
      <c r="AA2898">
        <v>0.99970749999999997</v>
      </c>
      <c r="AB2898">
        <v>26</v>
      </c>
      <c r="AC2898">
        <v>23.5273</v>
      </c>
      <c r="AD2898">
        <v>-1.120220918951</v>
      </c>
      <c r="AE2898">
        <v>0.68079999999997598</v>
      </c>
      <c r="AF2898">
        <v>-0.57438388306993604</v>
      </c>
      <c r="AG2898">
        <v>-1.120220918951</v>
      </c>
      <c r="AH2898">
        <v>23.4769275932073</v>
      </c>
      <c r="AI2898">
        <v>92.731027229415602</v>
      </c>
      <c r="AJ2898">
        <v>91.401512534944899</v>
      </c>
      <c r="AK2898">
        <v>23.510655902570701</v>
      </c>
      <c r="AL2898">
        <v>97.1409978117468</v>
      </c>
      <c r="AM2898">
        <v>88.999741940900705</v>
      </c>
      <c r="AN2898">
        <v>0.99999995992924895</v>
      </c>
    </row>
    <row r="2899" spans="1:40" x14ac:dyDescent="0.25">
      <c r="A2899" t="str">
        <f>"20190303154525946"</f>
        <v>20190303154525946</v>
      </c>
      <c r="B2899" t="str">
        <f>"1551599125933410"</f>
        <v>1551599125933410</v>
      </c>
      <c r="C2899" t="s">
        <v>40</v>
      </c>
      <c r="D2899">
        <v>4.8624349999999996</v>
      </c>
      <c r="E2899">
        <v>0.48550660000000001</v>
      </c>
      <c r="F2899" t="s">
        <v>57</v>
      </c>
      <c r="G2899">
        <v>-415.07670000000002</v>
      </c>
      <c r="H2899" s="1">
        <v>3.0943760000000002E-6</v>
      </c>
      <c r="I2899">
        <v>214.75239999999999</v>
      </c>
      <c r="J2899">
        <v>-438.23840000000001</v>
      </c>
      <c r="K2899">
        <v>1.120228</v>
      </c>
      <c r="L2899">
        <v>214.08969999999999</v>
      </c>
      <c r="M2899">
        <v>0.99996669999999999</v>
      </c>
      <c r="N2899">
        <v>-6.3510709999999998E-3</v>
      </c>
      <c r="O2899">
        <v>5.113678E-3</v>
      </c>
      <c r="P2899">
        <v>0.99130799999999997</v>
      </c>
      <c r="Q2899">
        <v>-0.1309343</v>
      </c>
      <c r="R2899">
        <v>-1.283692E-2</v>
      </c>
      <c r="S2899">
        <v>3.0083310000000001</v>
      </c>
      <c r="T2899">
        <v>-0.14364779999999999</v>
      </c>
      <c r="U2899">
        <v>8.5235599999999995E-2</v>
      </c>
      <c r="V2899">
        <v>1.8022989999999999E-2</v>
      </c>
      <c r="W2899">
        <v>-0.12461949999999999</v>
      </c>
      <c r="X2899">
        <v>0.9920409</v>
      </c>
      <c r="Y2899">
        <v>-2.318419E-2</v>
      </c>
      <c r="Z2899">
        <v>4.1525250000000002E-4</v>
      </c>
      <c r="AA2899">
        <v>0.99973109999999998</v>
      </c>
      <c r="AB2899">
        <v>26</v>
      </c>
      <c r="AC2899">
        <v>23.1617</v>
      </c>
      <c r="AD2899">
        <v>-1.1202249056239999</v>
      </c>
      <c r="AE2899">
        <v>0.66270000000000095</v>
      </c>
      <c r="AF2899">
        <v>-0.54297836109182496</v>
      </c>
      <c r="AG2899">
        <v>-1.1202249056239999</v>
      </c>
      <c r="AH2899">
        <v>23.110769284337501</v>
      </c>
      <c r="AI2899">
        <v>92.774303860499302</v>
      </c>
      <c r="AJ2899">
        <v>91.345894015881498</v>
      </c>
      <c r="AK2899">
        <v>23.144273292840101</v>
      </c>
      <c r="AL2899">
        <v>97.158782941880204</v>
      </c>
      <c r="AM2899">
        <v>88.959188404347202</v>
      </c>
      <c r="AN2899">
        <v>0.99999999761079905</v>
      </c>
    </row>
    <row r="2900" spans="1:40" x14ac:dyDescent="0.25">
      <c r="A2900" t="str">
        <f>"20190303154525988"</f>
        <v>20190303154525988</v>
      </c>
      <c r="B2900" t="str">
        <f>"1551599125984142"</f>
        <v>1551599125984142</v>
      </c>
      <c r="C2900" t="s">
        <v>40</v>
      </c>
      <c r="D2900">
        <v>4.8635780000000004</v>
      </c>
      <c r="E2900">
        <v>0.48584050000000001</v>
      </c>
      <c r="F2900" t="s">
        <v>57</v>
      </c>
      <c r="G2900">
        <v>-415.16649999999998</v>
      </c>
      <c r="H2900" s="1">
        <v>3.1105900000000001E-6</v>
      </c>
      <c r="I2900">
        <v>214.7491</v>
      </c>
      <c r="J2900">
        <v>-437.73689999999999</v>
      </c>
      <c r="K2900">
        <v>1.1202399999999999</v>
      </c>
      <c r="L2900">
        <v>214.09360000000001</v>
      </c>
      <c r="M2900">
        <v>0.99996030000000002</v>
      </c>
      <c r="N2900">
        <v>-6.4100709999999998E-3</v>
      </c>
      <c r="O2900">
        <v>6.1985219999999997E-3</v>
      </c>
      <c r="P2900">
        <v>0.99132050000000005</v>
      </c>
      <c r="Q2900">
        <v>-0.130996</v>
      </c>
      <c r="R2900">
        <v>-1.1137620000000001E-2</v>
      </c>
      <c r="S2900">
        <v>3.0080870000000002</v>
      </c>
      <c r="T2900">
        <v>-0.14605360000000001</v>
      </c>
      <c r="U2900">
        <v>8.5968020000000006E-2</v>
      </c>
      <c r="V2900">
        <v>1.7400510000000001E-2</v>
      </c>
      <c r="W2900">
        <v>-0.124623</v>
      </c>
      <c r="X2900">
        <v>0.99205160000000003</v>
      </c>
      <c r="Y2900">
        <v>-2.2346350000000001E-2</v>
      </c>
      <c r="Z2900">
        <v>3.5274409999999998E-4</v>
      </c>
      <c r="AA2900">
        <v>0.99975029999999998</v>
      </c>
      <c r="AB2900">
        <v>26</v>
      </c>
      <c r="AC2900">
        <v>22.570399999999999</v>
      </c>
      <c r="AD2900">
        <v>-1.1202368894100001</v>
      </c>
      <c r="AE2900">
        <v>0.65549999999998898</v>
      </c>
      <c r="AF2900">
        <v>-0.51431550382457603</v>
      </c>
      <c r="AG2900">
        <v>-1.1202368894100001</v>
      </c>
      <c r="AH2900">
        <v>22.5186032156798</v>
      </c>
      <c r="AI2900">
        <v>92.847214048366595</v>
      </c>
      <c r="AJ2900">
        <v>91.308384230113703</v>
      </c>
      <c r="AK2900">
        <v>22.5523156662702</v>
      </c>
      <c r="AL2900">
        <v>97.158984866592405</v>
      </c>
      <c r="AM2900">
        <v>88.995139402298094</v>
      </c>
      <c r="AN2900">
        <v>1.0000000234699</v>
      </c>
    </row>
    <row r="2901" spans="1:40" x14ac:dyDescent="0.25">
      <c r="A2901" t="str">
        <f>"20190303154526009"</f>
        <v>20190303154526009</v>
      </c>
      <c r="B2901" t="str">
        <f>"1551599126003663"</f>
        <v>1551599126003663</v>
      </c>
      <c r="C2901" t="s">
        <v>40</v>
      </c>
      <c r="D2901">
        <v>4.8799260000000002</v>
      </c>
      <c r="E2901">
        <v>0.48581279999999999</v>
      </c>
      <c r="F2901" t="s">
        <v>57</v>
      </c>
      <c r="G2901">
        <v>-414.76209999999998</v>
      </c>
      <c r="H2901" s="1">
        <v>3.0369570000000002E-6</v>
      </c>
      <c r="I2901">
        <v>214.77099999999999</v>
      </c>
      <c r="J2901">
        <v>-437.48079999999999</v>
      </c>
      <c r="K2901">
        <v>1.120244</v>
      </c>
      <c r="L2901">
        <v>214.0958</v>
      </c>
      <c r="M2901">
        <v>0.99995650000000003</v>
      </c>
      <c r="N2901">
        <v>-6.4392969999999897E-3</v>
      </c>
      <c r="O2901">
        <v>6.7522989999999998E-3</v>
      </c>
      <c r="P2901">
        <v>0.99129149999999999</v>
      </c>
      <c r="Q2901">
        <v>-0.13132669999999999</v>
      </c>
      <c r="R2901">
        <v>-9.7215600000000006E-3</v>
      </c>
      <c r="S2901">
        <v>3.0079039999999999</v>
      </c>
      <c r="T2901">
        <v>-0.14666399999999999</v>
      </c>
      <c r="U2901">
        <v>8.8684079999999998E-2</v>
      </c>
      <c r="V2901">
        <v>1.653456E-2</v>
      </c>
      <c r="W2901">
        <v>-0.1249256</v>
      </c>
      <c r="X2901">
        <v>0.99202840000000003</v>
      </c>
      <c r="Y2901">
        <v>-2.2696230000000001E-2</v>
      </c>
      <c r="Z2901">
        <v>3.4050809999999998E-4</v>
      </c>
      <c r="AA2901">
        <v>0.99974229999999997</v>
      </c>
      <c r="AB2901">
        <v>27</v>
      </c>
      <c r="AC2901">
        <v>22.718699999999998</v>
      </c>
      <c r="AD2901">
        <v>-1.1202409630429999</v>
      </c>
      <c r="AE2901">
        <v>0.67519999999998903</v>
      </c>
      <c r="AF2901">
        <v>-0.52051351728178297</v>
      </c>
      <c r="AG2901">
        <v>-1.1202409630429999</v>
      </c>
      <c r="AH2901">
        <v>22.6676758168649</v>
      </c>
      <c r="AI2901">
        <v>92.828522328915298</v>
      </c>
      <c r="AJ2901">
        <v>91.315440885180493</v>
      </c>
      <c r="AK2901">
        <v>22.701308356027301</v>
      </c>
      <c r="AL2901">
        <v>97.176458779118505</v>
      </c>
      <c r="AM2901">
        <v>89.045115248548797</v>
      </c>
      <c r="AN2901">
        <v>1.0000000718081501</v>
      </c>
    </row>
    <row r="2902" spans="1:40" x14ac:dyDescent="0.25">
      <c r="A2902" t="str">
        <f>"20190303154526032"</f>
        <v>20190303154526032</v>
      </c>
      <c r="B2902" t="str">
        <f>"1551599126024158"</f>
        <v>1551599126024158</v>
      </c>
      <c r="C2902" t="s">
        <v>40</v>
      </c>
      <c r="D2902">
        <v>4.8811150000000003</v>
      </c>
      <c r="E2902">
        <v>0.48587900000000001</v>
      </c>
      <c r="F2902" t="s">
        <v>57</v>
      </c>
      <c r="G2902">
        <v>-414.7457</v>
      </c>
      <c r="H2902" s="1">
        <v>3.0315039999999998E-6</v>
      </c>
      <c r="I2902">
        <v>214.80009999999999</v>
      </c>
      <c r="J2902">
        <v>-437.20710000000003</v>
      </c>
      <c r="K2902">
        <v>1.1202479999999999</v>
      </c>
      <c r="L2902">
        <v>214.09829999999999</v>
      </c>
      <c r="M2902">
        <v>0.99995230000000002</v>
      </c>
      <c r="N2902">
        <v>-6.470066E-3</v>
      </c>
      <c r="O2902">
        <v>7.343563E-3</v>
      </c>
      <c r="P2902">
        <v>0.99124469999999998</v>
      </c>
      <c r="Q2902">
        <v>-0.13173850000000001</v>
      </c>
      <c r="R2902">
        <v>-8.8945329999999996E-3</v>
      </c>
      <c r="S2902">
        <v>3.0075989999999999</v>
      </c>
      <c r="T2902">
        <v>-0.1481954</v>
      </c>
      <c r="U2902">
        <v>9.3170169999999997E-2</v>
      </c>
      <c r="V2902">
        <v>1.6294650000000001E-2</v>
      </c>
      <c r="W2902">
        <v>-0.12530730000000001</v>
      </c>
      <c r="X2902">
        <v>0.99198410000000004</v>
      </c>
      <c r="Y2902">
        <v>-2.359673E-2</v>
      </c>
      <c r="Z2902">
        <v>3.432183E-4</v>
      </c>
      <c r="AA2902">
        <v>0.99972150000000004</v>
      </c>
      <c r="AB2902">
        <v>27</v>
      </c>
      <c r="AC2902">
        <v>22.461400000000001</v>
      </c>
      <c r="AD2902">
        <v>-1.1202449684960001</v>
      </c>
      <c r="AE2902">
        <v>0.70179999999999099</v>
      </c>
      <c r="AF2902">
        <v>-0.53550022462122504</v>
      </c>
      <c r="AG2902">
        <v>-1.1202449684960001</v>
      </c>
      <c r="AH2902">
        <v>22.410258363493401</v>
      </c>
      <c r="AI2902">
        <v>92.860906578274495</v>
      </c>
      <c r="AJ2902">
        <v>91.368840316517904</v>
      </c>
      <c r="AK2902">
        <v>22.444629406575999</v>
      </c>
      <c r="AL2902">
        <v>97.198502708011802</v>
      </c>
      <c r="AM2902">
        <v>89.058925726055804</v>
      </c>
      <c r="AN2902">
        <v>0.99999994485235899</v>
      </c>
    </row>
    <row r="2903" spans="1:40" x14ac:dyDescent="0.25">
      <c r="A2903" t="str">
        <f>"20190303154526053"</f>
        <v>20190303154526053</v>
      </c>
      <c r="B2903" t="str">
        <f>"1551599126043678"</f>
        <v>1551599126043678</v>
      </c>
      <c r="C2903" t="s">
        <v>40</v>
      </c>
      <c r="D2903">
        <v>5.0114939999999999</v>
      </c>
      <c r="E2903">
        <v>0.48598160000000001</v>
      </c>
      <c r="F2903" t="s">
        <v>57</v>
      </c>
      <c r="G2903">
        <v>-414.64789999999999</v>
      </c>
      <c r="H2903" s="1">
        <v>3.0130900000000001E-6</v>
      </c>
      <c r="I2903">
        <v>214.81229999999999</v>
      </c>
      <c r="J2903">
        <v>-436.94959999999998</v>
      </c>
      <c r="K2903">
        <v>1.1202460000000001</v>
      </c>
      <c r="L2903">
        <v>214.10079999999999</v>
      </c>
      <c r="M2903">
        <v>0.99994769999999999</v>
      </c>
      <c r="N2903">
        <v>-6.4985279999999999E-3</v>
      </c>
      <c r="O2903">
        <v>7.9000240000000003E-3</v>
      </c>
      <c r="P2903">
        <v>0.99119469999999998</v>
      </c>
      <c r="Q2903">
        <v>-0.1321647</v>
      </c>
      <c r="R2903">
        <v>-8.1123150000000002E-3</v>
      </c>
      <c r="S2903">
        <v>3.0075069999999999</v>
      </c>
      <c r="T2903">
        <v>-0.14934720000000001</v>
      </c>
      <c r="U2903">
        <v>9.5184329999999998E-2</v>
      </c>
      <c r="V2903">
        <v>1.606457E-2</v>
      </c>
      <c r="W2903">
        <v>-0.1257057</v>
      </c>
      <c r="X2903">
        <v>0.99193750000000003</v>
      </c>
      <c r="Y2903">
        <v>-2.3710189999999999E-2</v>
      </c>
      <c r="Z2903">
        <v>3.2466169999999998E-4</v>
      </c>
      <c r="AA2903">
        <v>0.99971880000000002</v>
      </c>
      <c r="AB2903">
        <v>27</v>
      </c>
      <c r="AC2903">
        <v>22.301699999999901</v>
      </c>
      <c r="AD2903">
        <v>-1.1202429869099999</v>
      </c>
      <c r="AE2903">
        <v>0.71150000000000002</v>
      </c>
      <c r="AF2903">
        <v>-0.53394424604250001</v>
      </c>
      <c r="AG2903">
        <v>-1.1202429869099999</v>
      </c>
      <c r="AH2903">
        <v>22.250539946003801</v>
      </c>
      <c r="AI2903">
        <v>92.881396118408105</v>
      </c>
      <c r="AJ2903">
        <v>91.374657945335997</v>
      </c>
      <c r="AK2903">
        <v>22.285119894142699</v>
      </c>
      <c r="AL2903">
        <v>97.221510890791293</v>
      </c>
      <c r="AM2903">
        <v>89.072167750258103</v>
      </c>
      <c r="AN2903">
        <v>0.99999999866401201</v>
      </c>
    </row>
    <row r="2904" spans="1:40" x14ac:dyDescent="0.25">
      <c r="A2904" t="str">
        <f>"20190303154526077"</f>
        <v>20190303154526077</v>
      </c>
      <c r="B2904" t="str">
        <f>"1551599126074121"</f>
        <v>1551599126074121</v>
      </c>
      <c r="C2904" t="s">
        <v>40</v>
      </c>
      <c r="D2904">
        <v>4.9235300000000004</v>
      </c>
      <c r="E2904">
        <v>0.48609019999999997</v>
      </c>
      <c r="F2904" t="s">
        <v>57</v>
      </c>
      <c r="G2904">
        <v>-414.65780000000001</v>
      </c>
      <c r="H2904" s="1">
        <v>3.0143370000000001E-6</v>
      </c>
      <c r="I2904">
        <v>214.81800000000001</v>
      </c>
      <c r="J2904">
        <v>-436.6694</v>
      </c>
      <c r="K2904">
        <v>1.12025</v>
      </c>
      <c r="L2904">
        <v>214.1036</v>
      </c>
      <c r="M2904">
        <v>0.99994269999999996</v>
      </c>
      <c r="N2904">
        <v>-6.5289950000000001E-3</v>
      </c>
      <c r="O2904">
        <v>8.5050579999999994E-3</v>
      </c>
      <c r="P2904">
        <v>0.99115629999999999</v>
      </c>
      <c r="Q2904">
        <v>-0.1325112</v>
      </c>
      <c r="R2904">
        <v>-7.0876389999999997E-3</v>
      </c>
      <c r="S2904">
        <v>3.007263</v>
      </c>
      <c r="T2904">
        <v>-0.15112539999999999</v>
      </c>
      <c r="U2904">
        <v>9.6755980000000005E-2</v>
      </c>
      <c r="V2904">
        <v>1.5640459999999998E-2</v>
      </c>
      <c r="W2904">
        <v>-0.12602260000000001</v>
      </c>
      <c r="X2904">
        <v>0.99190409999999996</v>
      </c>
      <c r="Y2904">
        <v>-2.362991E-2</v>
      </c>
      <c r="Z2904">
        <v>2.9890759999999999E-4</v>
      </c>
      <c r="AA2904">
        <v>0.99972079999999997</v>
      </c>
      <c r="AB2904">
        <v>27</v>
      </c>
      <c r="AC2904">
        <v>22.011599999999898</v>
      </c>
      <c r="AD2904">
        <v>-1.120246985663</v>
      </c>
      <c r="AE2904">
        <v>0.71439999999998305</v>
      </c>
      <c r="AF2904">
        <v>-0.52579980390745995</v>
      </c>
      <c r="AG2904">
        <v>-1.120246985663</v>
      </c>
      <c r="AH2904">
        <v>21.960060055663899</v>
      </c>
      <c r="AI2904">
        <v>92.919458832959904</v>
      </c>
      <c r="AJ2904">
        <v>91.371597096923793</v>
      </c>
      <c r="AK2904">
        <v>21.994900690638399</v>
      </c>
      <c r="AL2904">
        <v>97.239813234890605</v>
      </c>
      <c r="AM2904">
        <v>89.096628303876898</v>
      </c>
      <c r="AN2904">
        <v>1.00000003164829</v>
      </c>
    </row>
    <row r="2905" spans="1:40" x14ac:dyDescent="0.25">
      <c r="A2905" t="str">
        <f>"20190303154526121"</f>
        <v>20190303154526121</v>
      </c>
      <c r="B2905" t="str">
        <f>"1551599126114137"</f>
        <v>1551599126114137</v>
      </c>
      <c r="C2905" t="s">
        <v>40</v>
      </c>
      <c r="D2905">
        <v>4.9474460000000002</v>
      </c>
      <c r="E2905">
        <v>0.4958822</v>
      </c>
      <c r="F2905" t="s">
        <v>57</v>
      </c>
      <c r="G2905">
        <v>-414.6576</v>
      </c>
      <c r="H2905" s="1">
        <v>3.0133739999999999E-6</v>
      </c>
      <c r="I2905">
        <v>214.82849999999999</v>
      </c>
      <c r="J2905">
        <v>-436.12950000000001</v>
      </c>
      <c r="K2905">
        <v>1.120255</v>
      </c>
      <c r="L2905">
        <v>214.1096</v>
      </c>
      <c r="M2905">
        <v>0.99993149999999997</v>
      </c>
      <c r="N2905">
        <v>-6.5862539999999997E-3</v>
      </c>
      <c r="O2905">
        <v>9.6704310000000002E-3</v>
      </c>
      <c r="P2905">
        <v>0.99117750000000004</v>
      </c>
      <c r="Q2905">
        <v>-0.1324467</v>
      </c>
      <c r="R2905">
        <v>-4.9649689999999996E-3</v>
      </c>
      <c r="S2905">
        <v>3.00705</v>
      </c>
      <c r="T2905">
        <v>-0.1530378</v>
      </c>
      <c r="U2905">
        <v>9.9029539999999999E-2</v>
      </c>
      <c r="V2905">
        <v>1.467477E-2</v>
      </c>
      <c r="W2905">
        <v>-0.12590190000000001</v>
      </c>
      <c r="X2905">
        <v>0.99193419999999999</v>
      </c>
      <c r="Y2905">
        <v>-2.3223239999999999E-2</v>
      </c>
      <c r="Z2905">
        <v>2.3892480000000001E-4</v>
      </c>
      <c r="AA2905">
        <v>0.99973029999999996</v>
      </c>
      <c r="AB2905">
        <v>27</v>
      </c>
      <c r="AC2905">
        <v>21.471900000000002</v>
      </c>
      <c r="AD2905">
        <v>-1.1202519866259999</v>
      </c>
      <c r="AE2905">
        <v>0.71889999999998999</v>
      </c>
      <c r="AF2905">
        <v>-0.50983312207445597</v>
      </c>
      <c r="AG2905">
        <v>-1.1202519866259999</v>
      </c>
      <c r="AH2905">
        <v>21.419608951070298</v>
      </c>
      <c r="AI2905">
        <v>92.993012583813695</v>
      </c>
      <c r="AJ2905">
        <v>91.363506290287205</v>
      </c>
      <c r="AK2905">
        <v>21.4549421332866</v>
      </c>
      <c r="AL2905">
        <v>97.232841996571395</v>
      </c>
      <c r="AM2905">
        <v>89.152422556292805</v>
      </c>
      <c r="AN2905">
        <v>1.0000000472138999</v>
      </c>
    </row>
    <row r="2906" spans="1:40" x14ac:dyDescent="0.25">
      <c r="A2906" t="str">
        <f>"20190303154526146"</f>
        <v>20190303154526146</v>
      </c>
      <c r="B2906" t="str">
        <f>"1551599126133657"</f>
        <v>1551599126133657</v>
      </c>
      <c r="C2906" t="s">
        <v>40</v>
      </c>
      <c r="D2906">
        <v>4.9518380000000004</v>
      </c>
      <c r="E2906">
        <v>0.4967973</v>
      </c>
      <c r="F2906" t="s">
        <v>57</v>
      </c>
      <c r="G2906">
        <v>-409.93950000000001</v>
      </c>
      <c r="H2906" s="1">
        <v>4.0475270000000003E-6</v>
      </c>
      <c r="I2906">
        <v>214.35980000000001</v>
      </c>
      <c r="J2906">
        <v>-435.83519999999999</v>
      </c>
      <c r="K2906">
        <v>1.1202620000000001</v>
      </c>
      <c r="L2906">
        <v>214.1131</v>
      </c>
      <c r="M2906">
        <v>0.99992499999999995</v>
      </c>
      <c r="N2906">
        <v>-6.6166840000000003E-3</v>
      </c>
      <c r="O2906">
        <v>1.030324E-2</v>
      </c>
      <c r="P2906">
        <v>0.99121020000000004</v>
      </c>
      <c r="Q2906">
        <v>-0.132224799999999</v>
      </c>
      <c r="R2906">
        <v>-4.3431570000000003E-3</v>
      </c>
      <c r="S2906">
        <v>3.0096440000000002</v>
      </c>
      <c r="T2906">
        <v>-0.1287345</v>
      </c>
      <c r="U2906">
        <v>2.8747559999999998E-2</v>
      </c>
      <c r="V2906">
        <v>1.468099E-2</v>
      </c>
      <c r="W2906">
        <v>-0.1256495</v>
      </c>
      <c r="X2906">
        <v>0.99196609999999996</v>
      </c>
      <c r="Y2906">
        <v>7.4460200000000002E-4</v>
      </c>
      <c r="Z2906">
        <v>-3.9072199999999998E-4</v>
      </c>
      <c r="AA2906">
        <v>0.99999959999999999</v>
      </c>
      <c r="AB2906">
        <v>27</v>
      </c>
      <c r="AC2906">
        <v>25.895699999999898</v>
      </c>
      <c r="AD2906">
        <v>-1.1202579524730001</v>
      </c>
      <c r="AE2906">
        <v>0.246700000000004</v>
      </c>
      <c r="AF2906">
        <v>2.0090959733117E-2</v>
      </c>
      <c r="AG2906">
        <v>-1.1202579524730001</v>
      </c>
      <c r="AH2906">
        <v>25.8484972043358</v>
      </c>
      <c r="AI2906">
        <v>92.481610094297594</v>
      </c>
      <c r="AJ2906">
        <v>89.955466387149499</v>
      </c>
      <c r="AK2906">
        <v>25.872769261316002</v>
      </c>
      <c r="AL2906">
        <v>97.218264862354602</v>
      </c>
      <c r="AM2906">
        <v>89.152090621600493</v>
      </c>
      <c r="AN2906">
        <v>1.00000003593341</v>
      </c>
    </row>
    <row r="2907" spans="1:40" x14ac:dyDescent="0.25">
      <c r="A2907" t="str">
        <f>"20190303154526168"</f>
        <v>20190303154526168</v>
      </c>
      <c r="B2907" t="str">
        <f>"1551599126163444"</f>
        <v>1551599126163444</v>
      </c>
      <c r="C2907" t="s">
        <v>40</v>
      </c>
      <c r="D2907">
        <v>4.9638080000000002</v>
      </c>
      <c r="E2907">
        <v>0.49774679999999999</v>
      </c>
      <c r="F2907" t="s">
        <v>57</v>
      </c>
      <c r="G2907">
        <v>-407.60309999999998</v>
      </c>
      <c r="H2907" s="1">
        <v>5.088887E-6</v>
      </c>
      <c r="I2907">
        <v>214.33420000000001</v>
      </c>
      <c r="J2907">
        <v>-435.56349999999998</v>
      </c>
      <c r="K2907">
        <v>1.120263</v>
      </c>
      <c r="L2907">
        <v>214.11660000000001</v>
      </c>
      <c r="M2907">
        <v>0.9999188</v>
      </c>
      <c r="N2907">
        <v>-6.6443939999999996E-3</v>
      </c>
      <c r="O2907">
        <v>1.087665E-2</v>
      </c>
      <c r="P2907">
        <v>0.99114389999999997</v>
      </c>
      <c r="Q2907">
        <v>-0.1327276</v>
      </c>
      <c r="R2907">
        <v>-4.1806289999999999E-3</v>
      </c>
      <c r="S2907">
        <v>3.0108030000000001</v>
      </c>
      <c r="T2907">
        <v>-0.1194694</v>
      </c>
      <c r="U2907">
        <v>2.3574830000000001E-2</v>
      </c>
      <c r="V2907">
        <v>1.508583E-2</v>
      </c>
      <c r="W2907">
        <v>-0.12612499999999999</v>
      </c>
      <c r="X2907">
        <v>0.99189970000000005</v>
      </c>
      <c r="Y2907">
        <v>3.0384570000000001E-3</v>
      </c>
      <c r="Z2907">
        <v>-4.2951220000000002E-4</v>
      </c>
      <c r="AA2907">
        <v>0.99999530000000003</v>
      </c>
      <c r="AB2907">
        <v>27</v>
      </c>
      <c r="AC2907">
        <v>27.9604</v>
      </c>
      <c r="AD2907">
        <v>-1.120257911113</v>
      </c>
      <c r="AE2907">
        <v>0.21760000000000401</v>
      </c>
      <c r="AF2907">
        <v>8.6396380050898905E-2</v>
      </c>
      <c r="AG2907">
        <v>-1.120257911113</v>
      </c>
      <c r="AH2907">
        <v>27.916302199385601</v>
      </c>
      <c r="AI2907">
        <v>92.297987827147395</v>
      </c>
      <c r="AJ2907">
        <v>89.8226795188463</v>
      </c>
      <c r="AK2907">
        <v>27.938904248544201</v>
      </c>
      <c r="AL2907">
        <v>97.245727333220998</v>
      </c>
      <c r="AM2907">
        <v>89.128654083883404</v>
      </c>
      <c r="AN2907">
        <v>1.0000000563759299</v>
      </c>
    </row>
    <row r="2908" spans="1:40" x14ac:dyDescent="0.25">
      <c r="A2908" t="str">
        <f>"20190303154526188"</f>
        <v>20190303154526188</v>
      </c>
      <c r="B2908" t="str">
        <f>"1551599126183940"</f>
        <v>1551599126183940</v>
      </c>
      <c r="C2908" t="s">
        <v>40</v>
      </c>
      <c r="D2908">
        <v>4.9721159999999998</v>
      </c>
      <c r="E2908">
        <v>0.49795040000000002</v>
      </c>
      <c r="F2908" t="s">
        <v>57</v>
      </c>
      <c r="G2908">
        <v>-407.31700000000001</v>
      </c>
      <c r="H2908" s="1">
        <v>5.2284039999999999E-6</v>
      </c>
      <c r="I2908">
        <v>214.27289999999999</v>
      </c>
      <c r="J2908">
        <v>-435.29899999999998</v>
      </c>
      <c r="K2908">
        <v>1.12025</v>
      </c>
      <c r="L2908">
        <v>214.12</v>
      </c>
      <c r="M2908">
        <v>0.99991260000000004</v>
      </c>
      <c r="N2908">
        <v>-6.6710939999999998E-3</v>
      </c>
      <c r="O2908">
        <v>1.142221E-2</v>
      </c>
      <c r="P2908">
        <v>0.99110310000000001</v>
      </c>
      <c r="Q2908">
        <v>-0.1330315</v>
      </c>
      <c r="R2908">
        <v>-4.1993880000000001E-3</v>
      </c>
      <c r="S2908">
        <v>3.0108640000000002</v>
      </c>
      <c r="T2908">
        <v>-0.11941110000000001</v>
      </c>
      <c r="U2908">
        <v>1.6662599999999899E-2</v>
      </c>
      <c r="V2908">
        <v>1.5643089999999998E-2</v>
      </c>
      <c r="W2908">
        <v>-0.1264024</v>
      </c>
      <c r="X2908">
        <v>0.99185570000000001</v>
      </c>
      <c r="Y2908">
        <v>5.8769629999999998E-3</v>
      </c>
      <c r="Z2908">
        <v>-5.1274339999999999E-4</v>
      </c>
      <c r="AA2908">
        <v>0.99998260000000005</v>
      </c>
      <c r="AB2908">
        <v>27</v>
      </c>
      <c r="AC2908">
        <v>27.981999999999999</v>
      </c>
      <c r="AD2908">
        <v>-1.120244771596</v>
      </c>
      <c r="AE2908">
        <v>0.15289999999998799</v>
      </c>
      <c r="AF2908">
        <v>0.16646654113231599</v>
      </c>
      <c r="AG2908">
        <v>-1.120244771596</v>
      </c>
      <c r="AH2908">
        <v>27.937145804402601</v>
      </c>
      <c r="AI2908">
        <v>92.296218520148699</v>
      </c>
      <c r="AJ2908">
        <v>89.658600866892399</v>
      </c>
      <c r="AK2908">
        <v>27.960092545520201</v>
      </c>
      <c r="AL2908">
        <v>97.2617498129475</v>
      </c>
      <c r="AM2908">
        <v>89.096432341523595</v>
      </c>
      <c r="AN2908">
        <v>1.00000000130649</v>
      </c>
    </row>
    <row r="2909" spans="1:40" x14ac:dyDescent="0.25">
      <c r="A2909" t="str">
        <f>"20190303154526212"</f>
        <v>20190303154526212</v>
      </c>
      <c r="B2909" t="str">
        <f>"1551599126203461"</f>
        <v>1551599126203461</v>
      </c>
      <c r="C2909" t="s">
        <v>40</v>
      </c>
      <c r="D2909">
        <v>4.993671</v>
      </c>
      <c r="E2909">
        <v>0.4984307</v>
      </c>
      <c r="F2909" t="s">
        <v>57</v>
      </c>
      <c r="G2909">
        <v>-407.37540000000001</v>
      </c>
      <c r="H2909" s="1">
        <v>5.2048840000000003E-6</v>
      </c>
      <c r="I2909">
        <v>214.26159999999999</v>
      </c>
      <c r="J2909">
        <v>-435.01839999999999</v>
      </c>
      <c r="K2909">
        <v>1.120233</v>
      </c>
      <c r="L2909">
        <v>214.12389999999999</v>
      </c>
      <c r="M2909">
        <v>0.99990579999999996</v>
      </c>
      <c r="N2909">
        <v>-6.6990940000000001E-3</v>
      </c>
      <c r="O2909">
        <v>1.198011E-2</v>
      </c>
      <c r="P2909">
        <v>0.99113399999999996</v>
      </c>
      <c r="Q2909">
        <v>-0.1328145</v>
      </c>
      <c r="R2909">
        <v>-3.700474E-3</v>
      </c>
      <c r="S2909">
        <v>3.0107729999999999</v>
      </c>
      <c r="T2909">
        <v>-0.1207868</v>
      </c>
      <c r="U2909">
        <v>1.525879E-2</v>
      </c>
      <c r="V2909">
        <v>1.5693700000000001E-2</v>
      </c>
      <c r="W2909">
        <v>-0.12615779999999999</v>
      </c>
      <c r="X2909">
        <v>0.99188600000000005</v>
      </c>
      <c r="Y2909">
        <v>6.8994299999999998E-3</v>
      </c>
      <c r="Z2909">
        <v>-5.6164170000000001E-4</v>
      </c>
      <c r="AA2909">
        <v>0.99997599999999998</v>
      </c>
      <c r="AB2909">
        <v>27</v>
      </c>
      <c r="AC2909">
        <v>27.642999999999901</v>
      </c>
      <c r="AD2909">
        <v>-1.120227795116</v>
      </c>
      <c r="AE2909">
        <v>0.13769999999999499</v>
      </c>
      <c r="AF2909">
        <v>0.19316627105634401</v>
      </c>
      <c r="AG2909">
        <v>-1.120227795116</v>
      </c>
      <c r="AH2909">
        <v>27.597344898845201</v>
      </c>
      <c r="AI2909">
        <v>92.324409757786</v>
      </c>
      <c r="AJ2909">
        <v>89.598967531875601</v>
      </c>
      <c r="AK2909">
        <v>27.6207470751072</v>
      </c>
      <c r="AL2909">
        <v>97.247622470181597</v>
      </c>
      <c r="AM2909">
        <v>89.093537207966605</v>
      </c>
      <c r="AN2909">
        <v>0.99999995985826395</v>
      </c>
    </row>
    <row r="2910" spans="1:40" x14ac:dyDescent="0.25">
      <c r="A2910" t="str">
        <f>"20190303154526233"</f>
        <v>20190303154526233</v>
      </c>
      <c r="B2910" t="str">
        <f>"1551599126223956"</f>
        <v>1551599126223956</v>
      </c>
      <c r="C2910" t="s">
        <v>40</v>
      </c>
      <c r="D2910">
        <v>4.9794269999999896</v>
      </c>
      <c r="E2910">
        <v>0.49858710000000001</v>
      </c>
      <c r="F2910" t="s">
        <v>57</v>
      </c>
      <c r="G2910">
        <v>-406.30489999999998</v>
      </c>
      <c r="H2910" s="1">
        <v>5.6817220000000004E-6</v>
      </c>
      <c r="I2910">
        <v>214.25120000000001</v>
      </c>
      <c r="J2910">
        <v>-434.75049999999999</v>
      </c>
      <c r="K2910">
        <v>1.120209</v>
      </c>
      <c r="L2910">
        <v>214.1276</v>
      </c>
      <c r="M2910">
        <v>0.99989939999999999</v>
      </c>
      <c r="N2910">
        <v>-6.7273319999999999E-3</v>
      </c>
      <c r="O2910">
        <v>1.2484749999999999E-2</v>
      </c>
      <c r="P2910">
        <v>0.99117480000000002</v>
      </c>
      <c r="Q2910">
        <v>-0.13252529999999901</v>
      </c>
      <c r="R2910">
        <v>-3.1323010000000001E-3</v>
      </c>
      <c r="S2910">
        <v>3.0110779999999999</v>
      </c>
      <c r="T2910">
        <v>-0.1174741</v>
      </c>
      <c r="U2910">
        <v>1.3351439999999999E-2</v>
      </c>
      <c r="V2910">
        <v>1.562055E-2</v>
      </c>
      <c r="W2910">
        <v>-0.12584100000000001</v>
      </c>
      <c r="X2910">
        <v>0.99192740000000001</v>
      </c>
      <c r="Y2910">
        <v>8.0375229999999995E-3</v>
      </c>
      <c r="Z2910">
        <v>-5.8668930000000004E-4</v>
      </c>
      <c r="AA2910">
        <v>0.99996750000000001</v>
      </c>
      <c r="AB2910">
        <v>28</v>
      </c>
      <c r="AC2910">
        <v>28.445599999999999</v>
      </c>
      <c r="AD2910">
        <v>-1.120203318278</v>
      </c>
      <c r="AE2910">
        <v>0.12360000000000999</v>
      </c>
      <c r="AF2910">
        <v>0.231195348583772</v>
      </c>
      <c r="AG2910">
        <v>-1.120203318278</v>
      </c>
      <c r="AH2910">
        <v>28.4008820306194</v>
      </c>
      <c r="AI2910">
        <v>92.258646286733196</v>
      </c>
      <c r="AJ2910">
        <v>89.533598107488203</v>
      </c>
      <c r="AK2910">
        <v>28.423905552908298</v>
      </c>
      <c r="AL2910">
        <v>97.229325322261204</v>
      </c>
      <c r="AM2910">
        <v>89.097799277535103</v>
      </c>
      <c r="AN2910">
        <v>0.99999996286702997</v>
      </c>
    </row>
    <row r="2911" spans="1:40" x14ac:dyDescent="0.25">
      <c r="A2911" t="str">
        <f>"20190303154526254"</f>
        <v>20190303154526254</v>
      </c>
      <c r="B2911" t="str">
        <f>"1551599126244453"</f>
        <v>1551599126244453</v>
      </c>
      <c r="C2911" t="s">
        <v>40</v>
      </c>
      <c r="D2911">
        <v>5.0016309999999997</v>
      </c>
      <c r="E2911">
        <v>0.49855430000000001</v>
      </c>
      <c r="F2911" t="s">
        <v>57</v>
      </c>
      <c r="G2911">
        <v>-405.685</v>
      </c>
      <c r="H2911" s="1">
        <v>5.9541850000000003E-6</v>
      </c>
      <c r="I2911">
        <v>214.26310000000001</v>
      </c>
      <c r="J2911">
        <v>-434.48660000000001</v>
      </c>
      <c r="K2911">
        <v>1.120188</v>
      </c>
      <c r="L2911">
        <v>214.13140000000001</v>
      </c>
      <c r="M2911">
        <v>0.99989340000000004</v>
      </c>
      <c r="N2911">
        <v>-6.7603539999999997E-3</v>
      </c>
      <c r="O2911">
        <v>1.2947139999999999E-2</v>
      </c>
      <c r="P2911">
        <v>0.99121150000000002</v>
      </c>
      <c r="Q2911">
        <v>-0.13227800000000001</v>
      </c>
      <c r="R2911">
        <v>-1.486416E-3</v>
      </c>
      <c r="S2911">
        <v>3.0112299999999999</v>
      </c>
      <c r="T2911">
        <v>-0.1160547</v>
      </c>
      <c r="U2911">
        <v>1.403809E-2</v>
      </c>
      <c r="V2911">
        <v>1.4426410000000001E-2</v>
      </c>
      <c r="W2911">
        <v>-0.1255626</v>
      </c>
      <c r="X2911">
        <v>0.9919808</v>
      </c>
      <c r="Y2911">
        <v>8.2720699999999994E-3</v>
      </c>
      <c r="Z2911">
        <v>-5.9860410000000001E-4</v>
      </c>
      <c r="AA2911">
        <v>0.99996560000000001</v>
      </c>
      <c r="AB2911">
        <v>28</v>
      </c>
      <c r="AC2911">
        <v>28.801600000000001</v>
      </c>
      <c r="AD2911">
        <v>-1.120182045815</v>
      </c>
      <c r="AE2911">
        <v>0.13169999999999499</v>
      </c>
      <c r="AF2911">
        <v>0.240853557515604</v>
      </c>
      <c r="AG2911">
        <v>-1.120182045815</v>
      </c>
      <c r="AH2911">
        <v>28.7573914694681</v>
      </c>
      <c r="AI2911">
        <v>92.230627353289606</v>
      </c>
      <c r="AJ2911">
        <v>89.520138337917203</v>
      </c>
      <c r="AK2911">
        <v>28.780208171244499</v>
      </c>
      <c r="AL2911">
        <v>97.213246389065802</v>
      </c>
      <c r="AM2911">
        <v>89.1668042964005</v>
      </c>
      <c r="AN2911">
        <v>0.99999999769644399</v>
      </c>
    </row>
    <row r="2912" spans="1:40" x14ac:dyDescent="0.25">
      <c r="A2912" t="str">
        <f>"20190303154526278"</f>
        <v>20190303154526278</v>
      </c>
      <c r="B2912" t="str">
        <f>"1551599126274240"</f>
        <v>1551599126274240</v>
      </c>
      <c r="C2912" t="s">
        <v>40</v>
      </c>
      <c r="D2912">
        <v>5.0258099999999999</v>
      </c>
      <c r="E2912">
        <v>0.49903039999999999</v>
      </c>
      <c r="F2912" t="s">
        <v>57</v>
      </c>
      <c r="G2912">
        <v>-405.26710000000003</v>
      </c>
      <c r="H2912" s="1">
        <v>6.1270519999999997E-6</v>
      </c>
      <c r="I2912">
        <v>214.32329999999999</v>
      </c>
      <c r="J2912">
        <v>-434.21409999999997</v>
      </c>
      <c r="K2912">
        <v>1.1201620000000001</v>
      </c>
      <c r="L2912">
        <v>214.13550000000001</v>
      </c>
      <c r="M2912">
        <v>0.99988730000000003</v>
      </c>
      <c r="N2912">
        <v>-6.8027770000000003E-3</v>
      </c>
      <c r="O2912">
        <v>1.338173E-2</v>
      </c>
      <c r="P2912">
        <v>0.99121040000000005</v>
      </c>
      <c r="Q2912">
        <v>-0.1322953</v>
      </c>
      <c r="R2912">
        <v>-1.6117280000000001E-4</v>
      </c>
      <c r="S2912">
        <v>3.0112299999999999</v>
      </c>
      <c r="T2912">
        <v>-0.1154411</v>
      </c>
      <c r="U2912">
        <v>1.977539E-2</v>
      </c>
      <c r="V2912">
        <v>1.3523179999999999E-2</v>
      </c>
      <c r="W2912">
        <v>-0.1255394</v>
      </c>
      <c r="X2912">
        <v>0.99199649999999995</v>
      </c>
      <c r="Y2912">
        <v>6.8027309999999898E-3</v>
      </c>
      <c r="Z2912">
        <v>-5.7529130000000001E-4</v>
      </c>
      <c r="AA2912">
        <v>0.99997670000000005</v>
      </c>
      <c r="AB2912">
        <v>28</v>
      </c>
      <c r="AC2912">
        <v>28.9469999999999</v>
      </c>
      <c r="AD2912">
        <v>-1.1201558729479999</v>
      </c>
      <c r="AE2912">
        <v>0.18779999999998101</v>
      </c>
      <c r="AF2912">
        <v>0.199288315524876</v>
      </c>
      <c r="AG2912">
        <v>-1.1201558729479999</v>
      </c>
      <c r="AH2912">
        <v>28.903641447367601</v>
      </c>
      <c r="AI2912">
        <v>92.219325139085498</v>
      </c>
      <c r="AJ2912">
        <v>89.604956404236802</v>
      </c>
      <c r="AK2912">
        <v>28.926025546735399</v>
      </c>
      <c r="AL2912">
        <v>97.211906242208897</v>
      </c>
      <c r="AM2912">
        <v>89.218975926264804</v>
      </c>
      <c r="AN2912">
        <v>1.00000003668096</v>
      </c>
    </row>
    <row r="2913" spans="1:40" x14ac:dyDescent="0.25">
      <c r="A2913" t="str">
        <f>"20190303154526324"</f>
        <v>20190303154526324</v>
      </c>
      <c r="B2913" t="str">
        <f>"1551599126314256"</f>
        <v>1551599126314256</v>
      </c>
      <c r="C2913" t="s">
        <v>40</v>
      </c>
      <c r="D2913">
        <v>5.0028829999999997</v>
      </c>
      <c r="E2913">
        <v>0.49959700000000001</v>
      </c>
      <c r="F2913" t="s">
        <v>57</v>
      </c>
      <c r="G2913">
        <v>-404.89879999999999</v>
      </c>
      <c r="H2913" s="1">
        <v>6.2883210000000004E-6</v>
      </c>
      <c r="I2913">
        <v>214.33330000000001</v>
      </c>
      <c r="J2913">
        <v>-433.63560000000001</v>
      </c>
      <c r="K2913">
        <v>1.1201129999999999</v>
      </c>
      <c r="L2913">
        <v>214.14420000000001</v>
      </c>
      <c r="M2913">
        <v>0.99987599999999999</v>
      </c>
      <c r="N2913">
        <v>-6.932929E-3</v>
      </c>
      <c r="O2913">
        <v>1.4143040000000001E-2</v>
      </c>
      <c r="P2913">
        <v>0.99113079999999998</v>
      </c>
      <c r="Q2913">
        <v>-0.13286829999999999</v>
      </c>
      <c r="R2913">
        <v>2.4804050000000002E-3</v>
      </c>
      <c r="S2913">
        <v>3.0112610000000002</v>
      </c>
      <c r="T2913">
        <v>-0.1150624</v>
      </c>
      <c r="U2913">
        <v>2.0324709999999999E-2</v>
      </c>
      <c r="V2913">
        <v>1.1613109999999999E-2</v>
      </c>
      <c r="W2913">
        <v>-0.12598719999999999</v>
      </c>
      <c r="X2913">
        <v>0.99196390000000001</v>
      </c>
      <c r="Y2913">
        <v>7.3810439999999998E-3</v>
      </c>
      <c r="Z2913">
        <v>-6.0872719999999995E-4</v>
      </c>
      <c r="AA2913">
        <v>0.99997259999999999</v>
      </c>
      <c r="AB2913">
        <v>28</v>
      </c>
      <c r="AC2913">
        <v>28.736799999999999</v>
      </c>
      <c r="AD2913">
        <v>-1.120106711679</v>
      </c>
      <c r="AE2913">
        <v>0.18909999999999599</v>
      </c>
      <c r="AF2913">
        <v>0.21702466227256501</v>
      </c>
      <c r="AG2913">
        <v>-1.120106711679</v>
      </c>
      <c r="AH2913">
        <v>28.693008938502899</v>
      </c>
      <c r="AI2913">
        <v>92.235491699929796</v>
      </c>
      <c r="AJ2913">
        <v>89.566641473233304</v>
      </c>
      <c r="AK2913">
        <v>28.715683879973799</v>
      </c>
      <c r="AL2913">
        <v>97.237768833948493</v>
      </c>
      <c r="AM2913">
        <v>89.329258056867502</v>
      </c>
      <c r="AN2913">
        <v>1.0000000088954599</v>
      </c>
    </row>
    <row r="2914" spans="1:40" x14ac:dyDescent="0.25">
      <c r="A2914" t="str">
        <f>"20190303154526346"</f>
        <v>20190303154526346</v>
      </c>
      <c r="B2914" t="str">
        <f>"1551599126333776"</f>
        <v>1551599126333776</v>
      </c>
      <c r="C2914" t="s">
        <v>40</v>
      </c>
      <c r="D2914">
        <v>5.0248269999999904</v>
      </c>
      <c r="E2914">
        <v>0.49979079999999898</v>
      </c>
      <c r="F2914" t="s">
        <v>57</v>
      </c>
      <c r="G2914">
        <v>-404.43029999999999</v>
      </c>
      <c r="H2914" s="1">
        <v>6.4869880000000004E-6</v>
      </c>
      <c r="I2914">
        <v>214.37719999999999</v>
      </c>
      <c r="J2914">
        <v>-433.35500000000002</v>
      </c>
      <c r="K2914">
        <v>1.120099</v>
      </c>
      <c r="L2914">
        <v>214.14840000000001</v>
      </c>
      <c r="M2914">
        <v>0.99987110000000001</v>
      </c>
      <c r="N2914">
        <v>-7.0195029999999999E-3</v>
      </c>
      <c r="O2914">
        <v>1.444059E-2</v>
      </c>
      <c r="P2914">
        <v>0.99112109999999998</v>
      </c>
      <c r="Q2914">
        <v>-0.1329137</v>
      </c>
      <c r="R2914">
        <v>3.6267000000000001E-3</v>
      </c>
      <c r="S2914">
        <v>3.0112920000000001</v>
      </c>
      <c r="T2914">
        <v>-0.115491899999999</v>
      </c>
      <c r="U2914">
        <v>2.403259E-2</v>
      </c>
      <c r="V2914">
        <v>1.0752100000000001E-2</v>
      </c>
      <c r="W2914">
        <v>-0.125948</v>
      </c>
      <c r="X2914">
        <v>0.99197860000000004</v>
      </c>
      <c r="Y2914">
        <v>6.4480539999999999E-3</v>
      </c>
      <c r="Z2914">
        <v>-5.9851040000000004E-4</v>
      </c>
      <c r="AA2914">
        <v>0.99997899999999995</v>
      </c>
      <c r="AB2914">
        <v>28</v>
      </c>
      <c r="AC2914">
        <v>28.924700000000001</v>
      </c>
      <c r="AD2914">
        <v>-1.1200925130120001</v>
      </c>
      <c r="AE2914">
        <v>0.22879999999997799</v>
      </c>
      <c r="AF2914">
        <v>0.188641013592937</v>
      </c>
      <c r="AG2914">
        <v>-1.1200925130120001</v>
      </c>
      <c r="AH2914">
        <v>28.8816802171213</v>
      </c>
      <c r="AI2914">
        <v>92.220890904022994</v>
      </c>
      <c r="AJ2914">
        <v>89.625777304234802</v>
      </c>
      <c r="AK2914">
        <v>28.904007418241701</v>
      </c>
      <c r="AL2914">
        <v>97.235504690665394</v>
      </c>
      <c r="AM2914">
        <v>89.378992825969604</v>
      </c>
      <c r="AN2914">
        <v>1.0000000246081799</v>
      </c>
    </row>
    <row r="2915" spans="1:40" x14ac:dyDescent="0.25">
      <c r="A2915" t="str">
        <f>"20190303154526368"</f>
        <v>20190303154526368</v>
      </c>
      <c r="B2915" t="str">
        <f>"1551599126364031"</f>
        <v>1551599126364031</v>
      </c>
      <c r="C2915" t="s">
        <v>40</v>
      </c>
      <c r="D2915">
        <v>5.0147219999999999</v>
      </c>
      <c r="E2915">
        <v>0.50015759999999998</v>
      </c>
      <c r="F2915" t="s">
        <v>57</v>
      </c>
      <c r="G2915">
        <v>-404.0197</v>
      </c>
      <c r="H2915" s="1">
        <v>6.6634060000000002E-6</v>
      </c>
      <c r="I2915">
        <v>214.40469999999999</v>
      </c>
      <c r="J2915">
        <v>-433.07150000000001</v>
      </c>
      <c r="K2915">
        <v>1.1200950000000001</v>
      </c>
      <c r="L2915">
        <v>214.15280000000001</v>
      </c>
      <c r="M2915">
        <v>0.99986649999999999</v>
      </c>
      <c r="N2915">
        <v>-7.1208280000000001E-3</v>
      </c>
      <c r="O2915">
        <v>1.47072E-2</v>
      </c>
      <c r="P2915">
        <v>0.99123139999999998</v>
      </c>
      <c r="Q2915">
        <v>-0.1320559</v>
      </c>
      <c r="R2915">
        <v>4.6631349999999997E-3</v>
      </c>
      <c r="S2915">
        <v>3.0113829999999999</v>
      </c>
      <c r="T2915">
        <v>-0.1149818</v>
      </c>
      <c r="U2915">
        <v>2.630615E-2</v>
      </c>
      <c r="V2915">
        <v>9.9734590000000005E-3</v>
      </c>
      <c r="W2915">
        <v>-0.1249899</v>
      </c>
      <c r="X2915">
        <v>0.99210790000000004</v>
      </c>
      <c r="Y2915">
        <v>5.9604719999999996E-3</v>
      </c>
      <c r="Z2915">
        <v>-5.9159670000000003E-4</v>
      </c>
      <c r="AA2915">
        <v>0.99998209999999998</v>
      </c>
      <c r="AB2915">
        <v>28</v>
      </c>
      <c r="AC2915">
        <v>29.0518</v>
      </c>
      <c r="AD2915">
        <v>-1.120088336594</v>
      </c>
      <c r="AE2915">
        <v>0.25189999999997698</v>
      </c>
      <c r="AF2915">
        <v>0.17514837194920599</v>
      </c>
      <c r="AG2915">
        <v>-1.120088336594</v>
      </c>
      <c r="AH2915">
        <v>29.009244172216299</v>
      </c>
      <c r="AI2915">
        <v>92.2111331914153</v>
      </c>
      <c r="AJ2915">
        <v>89.654070940139604</v>
      </c>
      <c r="AK2915">
        <v>29.031388569567898</v>
      </c>
      <c r="AL2915">
        <v>97.1801724106884</v>
      </c>
      <c r="AM2915">
        <v>89.424036579643996</v>
      </c>
      <c r="AN2915">
        <v>1.0000000151144199</v>
      </c>
    </row>
    <row r="2916" spans="1:40" x14ac:dyDescent="0.25">
      <c r="A2916" t="str">
        <f>"20190303154526390"</f>
        <v>20190303154526390</v>
      </c>
      <c r="B2916" t="str">
        <f>"1551599126383551"</f>
        <v>1551599126383551</v>
      </c>
      <c r="C2916" t="s">
        <v>40</v>
      </c>
      <c r="D2916">
        <v>5.0192290000000002</v>
      </c>
      <c r="E2916">
        <v>0.50465769999999999</v>
      </c>
      <c r="F2916" t="s">
        <v>57</v>
      </c>
      <c r="G2916">
        <v>-402.36970000000002</v>
      </c>
      <c r="H2916" s="1">
        <v>7.39102899999999E-6</v>
      </c>
      <c r="I2916">
        <v>214.4246</v>
      </c>
      <c r="J2916">
        <v>-432.79180000000002</v>
      </c>
      <c r="K2916">
        <v>1.120098</v>
      </c>
      <c r="L2916">
        <v>214.15719999999999</v>
      </c>
      <c r="M2916">
        <v>0.99986229999999998</v>
      </c>
      <c r="N2916">
        <v>-7.2605730000000002E-3</v>
      </c>
      <c r="O2916">
        <v>1.4931420000000001E-2</v>
      </c>
      <c r="P2916">
        <v>0.99130010000000002</v>
      </c>
      <c r="Q2916">
        <v>-0.1315384</v>
      </c>
      <c r="R2916">
        <v>4.6891069999999997E-3</v>
      </c>
      <c r="S2916">
        <v>3.0117799999999999</v>
      </c>
      <c r="T2916">
        <v>-0.1098779</v>
      </c>
      <c r="U2916">
        <v>2.66571E-2</v>
      </c>
      <c r="V2916">
        <v>1.016368E-2</v>
      </c>
      <c r="W2916">
        <v>-0.12433370000000001</v>
      </c>
      <c r="X2916">
        <v>0.99218839999999997</v>
      </c>
      <c r="Y2916">
        <v>6.0703969999999999E-3</v>
      </c>
      <c r="Z2916">
        <v>-5.688771E-4</v>
      </c>
      <c r="AA2916">
        <v>0.99998140000000002</v>
      </c>
      <c r="AB2916">
        <v>28</v>
      </c>
      <c r="AC2916">
        <v>30.4221</v>
      </c>
      <c r="AD2916">
        <v>-1.1200906089710001</v>
      </c>
      <c r="AE2916">
        <v>0.26740000000000902</v>
      </c>
      <c r="AF2916">
        <v>0.186633893766012</v>
      </c>
      <c r="AG2916">
        <v>-1.1200906089710001</v>
      </c>
      <c r="AH2916">
        <v>30.381519474719699</v>
      </c>
      <c r="AI2916">
        <v>92.111355971053499</v>
      </c>
      <c r="AJ2916">
        <v>89.648036039506707</v>
      </c>
      <c r="AK2916">
        <v>30.402732784659001</v>
      </c>
      <c r="AL2916">
        <v>97.142279469989802</v>
      </c>
      <c r="AM2916">
        <v>89.413099769382399</v>
      </c>
      <c r="AN2916">
        <v>0.99999999522069605</v>
      </c>
    </row>
    <row r="2917" spans="1:40" x14ac:dyDescent="0.25">
      <c r="A2917" t="str">
        <f>"20190303154526412"</f>
        <v>20190303154526412</v>
      </c>
      <c r="B2917" t="str">
        <f>"1551599126404048"</f>
        <v>1551599126404048</v>
      </c>
      <c r="C2917" t="s">
        <v>40</v>
      </c>
      <c r="D2917">
        <v>5.0651719999999996</v>
      </c>
      <c r="E2917">
        <v>0.5046235</v>
      </c>
      <c r="F2917" t="s">
        <v>55</v>
      </c>
      <c r="G2917">
        <v>-395.23759999999999</v>
      </c>
      <c r="H2917" s="1">
        <v>1.250396E-6</v>
      </c>
      <c r="I2917">
        <v>214.05189999999999</v>
      </c>
      <c r="J2917">
        <v>-432.51609999999999</v>
      </c>
      <c r="K2917">
        <v>1.120107</v>
      </c>
      <c r="L2917">
        <v>214.16149999999999</v>
      </c>
      <c r="M2917">
        <v>0.99985800000000002</v>
      </c>
      <c r="N2917">
        <v>-7.4522900000000003E-3</v>
      </c>
      <c r="O2917">
        <v>1.5120099999999999E-2</v>
      </c>
      <c r="P2917">
        <v>0.99117529999999998</v>
      </c>
      <c r="Q2917">
        <v>-0.1324854</v>
      </c>
      <c r="R2917">
        <v>4.3950480000000004E-3</v>
      </c>
      <c r="S2917">
        <v>3.0144350000000002</v>
      </c>
      <c r="T2917">
        <v>-8.9908959999999996E-2</v>
      </c>
      <c r="U2917">
        <v>-8.4533690000000005E-3</v>
      </c>
      <c r="V2917">
        <v>1.0636949999999999E-2</v>
      </c>
      <c r="W2917">
        <v>-0.1250918</v>
      </c>
      <c r="X2917">
        <v>0.99208810000000003</v>
      </c>
      <c r="Y2917">
        <v>1.791069E-2</v>
      </c>
      <c r="Z2917">
        <v>-6.7199909999999998E-4</v>
      </c>
      <c r="AA2917">
        <v>0.99983940000000004</v>
      </c>
      <c r="AB2917">
        <v>28</v>
      </c>
      <c r="AC2917">
        <v>37.278500000000001</v>
      </c>
      <c r="AD2917">
        <v>-1.1201057496039999</v>
      </c>
      <c r="AE2917">
        <v>-0.1096</v>
      </c>
      <c r="AF2917">
        <v>0.67265044443556199</v>
      </c>
      <c r="AG2917">
        <v>-1.1201057496039999</v>
      </c>
      <c r="AH2917">
        <v>37.238961264081901</v>
      </c>
      <c r="AI2917">
        <v>91.722591826250493</v>
      </c>
      <c r="AJ2917">
        <v>88.965174120950493</v>
      </c>
      <c r="AK2917">
        <v>37.261875040562401</v>
      </c>
      <c r="AL2917">
        <v>97.186057501167696</v>
      </c>
      <c r="AM2917">
        <v>89.385710815412693</v>
      </c>
      <c r="AN2917">
        <v>0.99999995064707503</v>
      </c>
    </row>
    <row r="2918" spans="1:40" x14ac:dyDescent="0.25">
      <c r="A2918" t="str">
        <f>"20190303154526436"</f>
        <v>20190303154526436</v>
      </c>
      <c r="B2918" t="str">
        <f>"1551599126423567"</f>
        <v>1551599126423567</v>
      </c>
      <c r="C2918" t="s">
        <v>40</v>
      </c>
      <c r="D2918">
        <v>4.9702010000000003</v>
      </c>
      <c r="E2918">
        <v>0.5045229</v>
      </c>
      <c r="F2918" t="s">
        <v>55</v>
      </c>
      <c r="G2918">
        <v>-398.03969999999998</v>
      </c>
      <c r="H2918" s="1">
        <v>2.7415369999999999E-6</v>
      </c>
      <c r="I2918">
        <v>214.05770000000001</v>
      </c>
      <c r="J2918">
        <v>-432.21269999999998</v>
      </c>
      <c r="K2918">
        <v>1.1201410000000001</v>
      </c>
      <c r="L2918">
        <v>214.16630000000001</v>
      </c>
      <c r="M2918">
        <v>0.99985310000000005</v>
      </c>
      <c r="N2918">
        <v>-7.7278140000000004E-3</v>
      </c>
      <c r="O2918">
        <v>1.5302130000000001E-2</v>
      </c>
      <c r="P2918">
        <v>0.99101779999999995</v>
      </c>
      <c r="Q2918">
        <v>-0.13368529999999901</v>
      </c>
      <c r="R2918">
        <v>3.46818E-3</v>
      </c>
      <c r="S2918">
        <v>3.0136720000000001</v>
      </c>
      <c r="T2918">
        <v>-9.7911120000000004E-2</v>
      </c>
      <c r="U2918">
        <v>-9.0789789999999992E-3</v>
      </c>
      <c r="V2918">
        <v>1.173596E-2</v>
      </c>
      <c r="W2918">
        <v>-0.12601979999999999</v>
      </c>
      <c r="X2918">
        <v>0.99195829999999996</v>
      </c>
      <c r="Y2918">
        <v>1.8298109999999999E-2</v>
      </c>
      <c r="Z2918">
        <v>-7.4666499999999998E-4</v>
      </c>
      <c r="AA2918">
        <v>0.99983230000000001</v>
      </c>
      <c r="AB2918">
        <v>28</v>
      </c>
      <c r="AC2918">
        <v>34.173000000000002</v>
      </c>
      <c r="AD2918">
        <v>-1.120138258463</v>
      </c>
      <c r="AE2918">
        <v>-0.10859999999999501</v>
      </c>
      <c r="AF2918">
        <v>0.63084477211901102</v>
      </c>
      <c r="AG2918">
        <v>-1.120138258463</v>
      </c>
      <c r="AH2918">
        <v>34.130666223411502</v>
      </c>
      <c r="AI2918">
        <v>91.879401317125399</v>
      </c>
      <c r="AJ2918">
        <v>88.941109806082494</v>
      </c>
      <c r="AK2918">
        <v>34.154868638285002</v>
      </c>
      <c r="AL2918">
        <v>97.239651778027294</v>
      </c>
      <c r="AM2918">
        <v>89.322159404148593</v>
      </c>
      <c r="AN2918">
        <v>0.99999999584402499</v>
      </c>
    </row>
    <row r="2919" spans="1:40" x14ac:dyDescent="0.25">
      <c r="A2919" t="str">
        <f>"20190303154526457"</f>
        <v>20190303154526457</v>
      </c>
      <c r="B2919" t="str">
        <f>"1551599126453824"</f>
        <v>1551599126453824</v>
      </c>
      <c r="C2919" t="s">
        <v>40</v>
      </c>
      <c r="D2919">
        <v>4.9858260000000003</v>
      </c>
      <c r="E2919">
        <v>0.50468809999999997</v>
      </c>
      <c r="F2919" t="s">
        <v>55</v>
      </c>
      <c r="G2919">
        <v>-398.95760000000001</v>
      </c>
      <c r="H2919" s="1">
        <v>3.2299849999999998E-6</v>
      </c>
      <c r="I2919">
        <v>214.0478</v>
      </c>
      <c r="J2919">
        <v>-431.94209999999998</v>
      </c>
      <c r="K2919">
        <v>1.1201829999999999</v>
      </c>
      <c r="L2919">
        <v>214.17060000000001</v>
      </c>
      <c r="M2919">
        <v>0.99984839999999997</v>
      </c>
      <c r="N2919">
        <v>-8.0272739999999992E-3</v>
      </c>
      <c r="O2919">
        <v>1.544939E-2</v>
      </c>
      <c r="P2919">
        <v>0.99097290000000005</v>
      </c>
      <c r="Q2919">
        <v>-0.1340401</v>
      </c>
      <c r="R2919">
        <v>2.4881870000000002E-3</v>
      </c>
      <c r="S2919">
        <v>3.0135800000000001</v>
      </c>
      <c r="T2919">
        <v>-0.10150679999999999</v>
      </c>
      <c r="U2919">
        <v>-1.074219E-2</v>
      </c>
      <c r="V2919">
        <v>1.2857230000000001E-2</v>
      </c>
      <c r="W2919">
        <v>-0.1260781</v>
      </c>
      <c r="X2919">
        <v>0.99193699999999996</v>
      </c>
      <c r="Y2919">
        <v>1.8995519999999998E-2</v>
      </c>
      <c r="Z2919">
        <v>-7.9232070000000003E-4</v>
      </c>
      <c r="AA2919">
        <v>0.99981929999999997</v>
      </c>
      <c r="AB2919">
        <v>28</v>
      </c>
      <c r="AC2919">
        <v>32.984499999999898</v>
      </c>
      <c r="AD2919">
        <v>-1.120179770015</v>
      </c>
      <c r="AE2919">
        <v>-0.122800000000012</v>
      </c>
      <c r="AF2919">
        <v>0.63166367084906505</v>
      </c>
      <c r="AG2919">
        <v>-1.120179770015</v>
      </c>
      <c r="AH2919">
        <v>32.940674713204302</v>
      </c>
      <c r="AI2919">
        <v>91.947290623863793</v>
      </c>
      <c r="AJ2919">
        <v>88.901442436174506</v>
      </c>
      <c r="AK2919">
        <v>32.965767885358801</v>
      </c>
      <c r="AL2919">
        <v>97.243018920652403</v>
      </c>
      <c r="AM2919">
        <v>89.257388559457993</v>
      </c>
      <c r="AN2919">
        <v>1.00000000381594</v>
      </c>
    </row>
    <row r="2920" spans="1:40" x14ac:dyDescent="0.25">
      <c r="A2920" t="str">
        <f>"20190303154526480"</f>
        <v>20190303154526480</v>
      </c>
      <c r="B2920" t="str">
        <f>"1551599126473343"</f>
        <v>1551599126473343</v>
      </c>
      <c r="C2920" t="s">
        <v>40</v>
      </c>
      <c r="D2920">
        <v>4.9596349999999996</v>
      </c>
      <c r="E2920">
        <v>0.5046948</v>
      </c>
      <c r="F2920" t="s">
        <v>57</v>
      </c>
      <c r="G2920">
        <v>-400.21699999999998</v>
      </c>
      <c r="H2920" s="1">
        <v>8.4318329999999997E-6</v>
      </c>
      <c r="I2920">
        <v>214.00739999999999</v>
      </c>
      <c r="J2920">
        <v>-431.66</v>
      </c>
      <c r="K2920">
        <v>1.120242</v>
      </c>
      <c r="L2920">
        <v>214.17519999999999</v>
      </c>
      <c r="M2920">
        <v>0.99984320000000004</v>
      </c>
      <c r="N2920">
        <v>-8.3951990000000008E-3</v>
      </c>
      <c r="O2920">
        <v>1.559807E-2</v>
      </c>
      <c r="P2920">
        <v>0.99102800000000002</v>
      </c>
      <c r="Q2920">
        <v>-0.1336446</v>
      </c>
      <c r="R2920">
        <v>1.697374E-3</v>
      </c>
      <c r="S2920">
        <v>3.0129700000000001</v>
      </c>
      <c r="T2920">
        <v>-0.10638450000000001</v>
      </c>
      <c r="U2920">
        <v>-1.550293E-2</v>
      </c>
      <c r="V2920">
        <v>1.379475E-2</v>
      </c>
      <c r="W2920">
        <v>-0.12531709999999999</v>
      </c>
      <c r="X2920">
        <v>0.99202080000000004</v>
      </c>
      <c r="Y2920">
        <v>2.0721489999999999E-2</v>
      </c>
      <c r="Z2920">
        <v>-8.7236750000000004E-4</v>
      </c>
      <c r="AA2920">
        <v>0.99978489999999998</v>
      </c>
      <c r="AB2920">
        <v>28</v>
      </c>
      <c r="AC2920">
        <v>31.443000000000001</v>
      </c>
      <c r="AD2920">
        <v>-1.1202335681669999</v>
      </c>
      <c r="AE2920">
        <v>-0.16779999999999901</v>
      </c>
      <c r="AF2920">
        <v>0.65741249434098203</v>
      </c>
      <c r="AG2920">
        <v>-1.1202335681669999</v>
      </c>
      <c r="AH2920">
        <v>31.396705856251199</v>
      </c>
      <c r="AI2920">
        <v>92.042997493036097</v>
      </c>
      <c r="AJ2920">
        <v>88.800464670562206</v>
      </c>
      <c r="AK2920">
        <v>31.423562068277999</v>
      </c>
      <c r="AL2920">
        <v>97.199068492049506</v>
      </c>
      <c r="AM2920">
        <v>89.203313060193395</v>
      </c>
      <c r="AN2920">
        <v>0.99999996915630496</v>
      </c>
    </row>
    <row r="2921" spans="1:40" x14ac:dyDescent="0.25">
      <c r="A2921" t="str">
        <f>"20190303154526502"</f>
        <v>20190303154526502</v>
      </c>
      <c r="B2921" t="str">
        <f>"1551599126493840"</f>
        <v>1551599126493840</v>
      </c>
      <c r="C2921" t="s">
        <v>40</v>
      </c>
      <c r="D2921">
        <v>5.0008619999999997</v>
      </c>
      <c r="E2921">
        <v>0.50471189999999999</v>
      </c>
      <c r="F2921" t="s">
        <v>57</v>
      </c>
      <c r="G2921">
        <v>-400.16570000000002</v>
      </c>
      <c r="H2921" s="1">
        <v>8.4592000000000003E-6</v>
      </c>
      <c r="I2921">
        <v>213.98500000000001</v>
      </c>
      <c r="J2921">
        <v>-431.38080000000002</v>
      </c>
      <c r="K2921">
        <v>1.120322</v>
      </c>
      <c r="L2921">
        <v>214.1797</v>
      </c>
      <c r="M2921">
        <v>0.99983730000000004</v>
      </c>
      <c r="N2921">
        <v>-8.8360609999999992E-3</v>
      </c>
      <c r="O2921">
        <v>1.5725200000000002E-2</v>
      </c>
      <c r="P2921">
        <v>0.99102380000000001</v>
      </c>
      <c r="Q2921">
        <v>-0.1336791</v>
      </c>
      <c r="R2921">
        <v>1.3147619999999999E-3</v>
      </c>
      <c r="S2921">
        <v>3.0127259999999998</v>
      </c>
      <c r="T2921">
        <v>-0.1071609</v>
      </c>
      <c r="U2921">
        <v>-1.818848E-2</v>
      </c>
      <c r="V2921">
        <v>1.430375E-2</v>
      </c>
      <c r="W2921">
        <v>-0.1249141</v>
      </c>
      <c r="X2921">
        <v>0.99206439999999996</v>
      </c>
      <c r="Y2921">
        <v>2.1739109999999999E-2</v>
      </c>
      <c r="Z2921">
        <v>-9.0280690000000001E-4</v>
      </c>
      <c r="AA2921">
        <v>0.99976330000000002</v>
      </c>
      <c r="AB2921">
        <v>28</v>
      </c>
      <c r="AC2921">
        <v>31.2151</v>
      </c>
      <c r="AD2921">
        <v>-1.1203135408</v>
      </c>
      <c r="AE2921">
        <v>-0.194699999999983</v>
      </c>
      <c r="AF2921">
        <v>0.68467688330313103</v>
      </c>
      <c r="AG2921">
        <v>-1.1203135408</v>
      </c>
      <c r="AH2921">
        <v>31.1680321867664</v>
      </c>
      <c r="AI2921">
        <v>92.058075163856401</v>
      </c>
      <c r="AJ2921">
        <v>88.741569978305705</v>
      </c>
      <c r="AK2921">
        <v>31.1956746242093</v>
      </c>
      <c r="AL2921">
        <v>97.175795542112596</v>
      </c>
      <c r="AM2921">
        <v>89.173957130850994</v>
      </c>
      <c r="AN2921">
        <v>0.99999995169511502</v>
      </c>
    </row>
    <row r="2922" spans="1:40" x14ac:dyDescent="0.25">
      <c r="A2922" t="str">
        <f>"20190303154526524"</f>
        <v>20190303154526524</v>
      </c>
      <c r="B2922" t="str">
        <f>"1551599126513359"</f>
        <v>1551599126513359</v>
      </c>
      <c r="C2922" t="s">
        <v>40</v>
      </c>
      <c r="D2922">
        <v>4.9676770000000001</v>
      </c>
      <c r="E2922">
        <v>0.50465729999999998</v>
      </c>
      <c r="F2922" t="s">
        <v>57</v>
      </c>
      <c r="G2922">
        <v>-400.27659999999997</v>
      </c>
      <c r="H2922" s="1">
        <v>8.4112649999999995E-6</v>
      </c>
      <c r="I2922">
        <v>213.97900000000001</v>
      </c>
      <c r="J2922">
        <v>-431.0949</v>
      </c>
      <c r="K2922">
        <v>1.120412</v>
      </c>
      <c r="L2922">
        <v>214.18440000000001</v>
      </c>
      <c r="M2922">
        <v>0.99983029999999995</v>
      </c>
      <c r="N2922">
        <v>-9.3834650000000006E-3</v>
      </c>
      <c r="O2922">
        <v>1.5855600000000001E-2</v>
      </c>
      <c r="P2922">
        <v>0.9909751</v>
      </c>
      <c r="Q2922">
        <v>-0.134039299999999</v>
      </c>
      <c r="R2922">
        <v>1.402747E-3</v>
      </c>
      <c r="S2922">
        <v>3.0125730000000002</v>
      </c>
      <c r="T2922">
        <v>-0.108507199999999</v>
      </c>
      <c r="U2922">
        <v>-1.9439700000000001E-2</v>
      </c>
      <c r="V2922">
        <v>1.43429E-2</v>
      </c>
      <c r="W2922">
        <v>-0.12473190000000001</v>
      </c>
      <c r="X2922">
        <v>0.99208680000000005</v>
      </c>
      <c r="Y2922">
        <v>2.228405E-2</v>
      </c>
      <c r="Z2922">
        <v>-9.2791480000000001E-4</v>
      </c>
      <c r="AA2922">
        <v>0.99975130000000001</v>
      </c>
      <c r="AB2922">
        <v>28</v>
      </c>
      <c r="AC2922">
        <v>30.818300000000001</v>
      </c>
      <c r="AD2922">
        <v>-1.1204035887349999</v>
      </c>
      <c r="AE2922">
        <v>-0.205399999999997</v>
      </c>
      <c r="AF2922">
        <v>0.69312225312276698</v>
      </c>
      <c r="AG2922">
        <v>-1.1204035887349999</v>
      </c>
      <c r="AH2922">
        <v>30.7705012244489</v>
      </c>
      <c r="AI2922">
        <v>92.084782140029702</v>
      </c>
      <c r="AJ2922">
        <v>88.709599666410099</v>
      </c>
      <c r="AK2922">
        <v>30.798692638864299</v>
      </c>
      <c r="AL2922">
        <v>97.165273669821204</v>
      </c>
      <c r="AM2922">
        <v>89.171715228728303</v>
      </c>
      <c r="AN2922">
        <v>0.99999999219612901</v>
      </c>
    </row>
    <row r="2923" spans="1:40" x14ac:dyDescent="0.25">
      <c r="A2923" t="str">
        <f>"20190303154526547"</f>
        <v>20190303154526547</v>
      </c>
      <c r="B2923" t="str">
        <f>"1551599126543615"</f>
        <v>1551599126543615</v>
      </c>
      <c r="C2923" t="s">
        <v>40</v>
      </c>
      <c r="D2923">
        <v>5.040311</v>
      </c>
      <c r="E2923">
        <v>0.5047606</v>
      </c>
      <c r="F2923" t="s">
        <v>57</v>
      </c>
      <c r="G2923">
        <v>-400.59870000000001</v>
      </c>
      <c r="H2923" s="1">
        <v>8.2653509999999998E-6</v>
      </c>
      <c r="I2923">
        <v>213.9941</v>
      </c>
      <c r="J2923">
        <v>-430.81439999999998</v>
      </c>
      <c r="K2923">
        <v>1.120498</v>
      </c>
      <c r="L2923">
        <v>214.18899999999999</v>
      </c>
      <c r="M2923">
        <v>0.9998224</v>
      </c>
      <c r="N2923">
        <v>-9.965336E-3</v>
      </c>
      <c r="O2923">
        <v>1.5991709999999999E-2</v>
      </c>
      <c r="P2923">
        <v>0.99084190000000005</v>
      </c>
      <c r="Q2923">
        <v>-0.1350179</v>
      </c>
      <c r="R2923">
        <v>1.5511889999999999E-3</v>
      </c>
      <c r="S2923">
        <v>3.0123899999999999</v>
      </c>
      <c r="T2923">
        <v>-0.1106724</v>
      </c>
      <c r="U2923">
        <v>-1.8798829999999999E-2</v>
      </c>
      <c r="V2923">
        <v>1.432482E-2</v>
      </c>
      <c r="W2923">
        <v>-0.12513479999999999</v>
      </c>
      <c r="X2923">
        <v>0.99203629999999998</v>
      </c>
      <c r="Y2923">
        <v>2.2207000000000001E-2</v>
      </c>
      <c r="Z2923">
        <v>-9.4646789999999997E-4</v>
      </c>
      <c r="AA2923">
        <v>0.99975290000000006</v>
      </c>
      <c r="AB2923">
        <v>28</v>
      </c>
      <c r="AC2923">
        <v>30.215699999999899</v>
      </c>
      <c r="AD2923">
        <v>-1.1204897346489999</v>
      </c>
      <c r="AE2923">
        <v>-0.194900000000018</v>
      </c>
      <c r="AF2923">
        <v>0.67716864091129203</v>
      </c>
      <c r="AG2923">
        <v>-1.1204897346489999</v>
      </c>
      <c r="AH2923">
        <v>30.167236042455102</v>
      </c>
      <c r="AI2923">
        <v>92.126601479627098</v>
      </c>
      <c r="AJ2923">
        <v>88.714088673523804</v>
      </c>
      <c r="AK2923">
        <v>30.1956318869947</v>
      </c>
      <c r="AL2923">
        <v>97.188540595086593</v>
      </c>
      <c r="AM2923">
        <v>89.172717076057495</v>
      </c>
      <c r="AN2923">
        <v>0.99999996957838</v>
      </c>
    </row>
    <row r="2924" spans="1:40" x14ac:dyDescent="0.25">
      <c r="A2924" t="str">
        <f>"20190303154526569"</f>
        <v>20190303154526569</v>
      </c>
      <c r="B2924" t="str">
        <f>"1551599126564112"</f>
        <v>1551599126564112</v>
      </c>
      <c r="C2924" t="s">
        <v>40</v>
      </c>
      <c r="D2924">
        <v>4.9946999999999999</v>
      </c>
      <c r="E2924">
        <v>0.50485210000000003</v>
      </c>
      <c r="F2924" t="s">
        <v>57</v>
      </c>
      <c r="G2924">
        <v>-401.41579999999999</v>
      </c>
      <c r="H2924" s="1">
        <v>7.9014780000000003E-6</v>
      </c>
      <c r="I2924">
        <v>214.00129999999999</v>
      </c>
      <c r="J2924">
        <v>-430.52510000000001</v>
      </c>
      <c r="K2924">
        <v>1.120573</v>
      </c>
      <c r="L2924">
        <v>214.19380000000001</v>
      </c>
      <c r="M2924">
        <v>0.99981419999999999</v>
      </c>
      <c r="N2924">
        <v>-1.056257E-2</v>
      </c>
      <c r="O2924">
        <v>1.61374E-2</v>
      </c>
      <c r="P2924">
        <v>0.99069149999999995</v>
      </c>
      <c r="Q2924">
        <v>-0.13611280000000001</v>
      </c>
      <c r="R2924">
        <v>2.0347160000000002E-3</v>
      </c>
      <c r="S2924">
        <v>3.0121150000000001</v>
      </c>
      <c r="T2924">
        <v>-0.114803</v>
      </c>
      <c r="U2924">
        <v>-1.9226070000000001E-2</v>
      </c>
      <c r="V2924">
        <v>1.39811E-2</v>
      </c>
      <c r="W2924">
        <v>-0.1256389</v>
      </c>
      <c r="X2924">
        <v>0.99197749999999996</v>
      </c>
      <c r="Y2924">
        <v>2.2492939999999999E-2</v>
      </c>
      <c r="Z2924">
        <v>-9.9173709999999995E-4</v>
      </c>
      <c r="AA2924">
        <v>0.99974649999999998</v>
      </c>
      <c r="AB2924">
        <v>28</v>
      </c>
      <c r="AC2924">
        <v>29.109300000000001</v>
      </c>
      <c r="AD2924">
        <v>-1.1205650985219999</v>
      </c>
      <c r="AE2924">
        <v>-0.19250000000002301</v>
      </c>
      <c r="AF2924">
        <v>0.66126958283618698</v>
      </c>
      <c r="AG2924">
        <v>-1.1205650985219999</v>
      </c>
      <c r="AH2924">
        <v>29.059342111541</v>
      </c>
      <c r="AI2924">
        <v>92.207732846346104</v>
      </c>
      <c r="AJ2924">
        <v>88.696411698253101</v>
      </c>
      <c r="AK2924">
        <v>29.088456603209298</v>
      </c>
      <c r="AL2924">
        <v>97.217653063997105</v>
      </c>
      <c r="AM2924">
        <v>89.192516980432401</v>
      </c>
      <c r="AN2924">
        <v>0.99999998242833399</v>
      </c>
    </row>
    <row r="2925" spans="1:40" x14ac:dyDescent="0.25">
      <c r="A2925" t="str">
        <f>"20190303154526592"</f>
        <v>20190303154526592</v>
      </c>
      <c r="B2925" t="str">
        <f>"1551599126583632"</f>
        <v>1551599126583632</v>
      </c>
      <c r="C2925" t="s">
        <v>40</v>
      </c>
      <c r="D2925">
        <v>5.009144</v>
      </c>
      <c r="E2925">
        <v>0.50492429999999999</v>
      </c>
      <c r="F2925" t="s">
        <v>57</v>
      </c>
      <c r="G2925">
        <v>-401.952</v>
      </c>
      <c r="H2925" s="1">
        <v>7.6599939999999998E-6</v>
      </c>
      <c r="I2925">
        <v>214.01920000000001</v>
      </c>
      <c r="J2925">
        <v>-430.24650000000003</v>
      </c>
      <c r="K2925">
        <v>1.1206339999999999</v>
      </c>
      <c r="L2925">
        <v>214.19839999999999</v>
      </c>
      <c r="M2925">
        <v>0.99980599999999997</v>
      </c>
      <c r="N2925">
        <v>-1.110673E-2</v>
      </c>
      <c r="O2925">
        <v>1.6274830000000001E-2</v>
      </c>
      <c r="P2925">
        <v>0.99066620000000005</v>
      </c>
      <c r="Q2925">
        <v>-0.13627420000000001</v>
      </c>
      <c r="R2925">
        <v>3.183871E-3</v>
      </c>
      <c r="S2925">
        <v>3.0119929999999999</v>
      </c>
      <c r="T2925">
        <v>-0.118122699999999</v>
      </c>
      <c r="U2925">
        <v>-1.8402100000000001E-2</v>
      </c>
      <c r="V2925">
        <v>1.2966460000000001E-2</v>
      </c>
      <c r="W2925">
        <v>-0.12526099999999901</v>
      </c>
      <c r="X2925">
        <v>0.99203909999999995</v>
      </c>
      <c r="Y2925">
        <v>2.2355739999999999E-2</v>
      </c>
      <c r="Z2925">
        <v>-1.0196859999999999E-3</v>
      </c>
      <c r="AA2925">
        <v>0.99974949999999996</v>
      </c>
      <c r="AB2925">
        <v>28</v>
      </c>
      <c r="AC2925">
        <v>28.294499999999999</v>
      </c>
      <c r="AD2925">
        <v>-1.1206263400059999</v>
      </c>
      <c r="AE2925">
        <v>-0.17919999999997999</v>
      </c>
      <c r="AF2925">
        <v>0.63869096156487104</v>
      </c>
      <c r="AG2925">
        <v>-1.1206263400059999</v>
      </c>
      <c r="AH2925">
        <v>28.243533897495599</v>
      </c>
      <c r="AI2925">
        <v>92.2715681828833</v>
      </c>
      <c r="AJ2925">
        <v>88.704550900147595</v>
      </c>
      <c r="AK2925">
        <v>28.2729718380874</v>
      </c>
      <c r="AL2925">
        <v>97.195828363034707</v>
      </c>
      <c r="AM2925">
        <v>89.251157408043397</v>
      </c>
      <c r="AN2925">
        <v>1.00000001156737</v>
      </c>
    </row>
    <row r="2926" spans="1:40" x14ac:dyDescent="0.25">
      <c r="A2926" t="str">
        <f>"20190303154526613"</f>
        <v>20190303154526613</v>
      </c>
      <c r="B2926" t="str">
        <f>"1551599126604128"</f>
        <v>1551599126604128</v>
      </c>
      <c r="C2926" t="s">
        <v>40</v>
      </c>
      <c r="D2926">
        <v>4.9747190000000003</v>
      </c>
      <c r="E2926">
        <v>0.5050424</v>
      </c>
      <c r="F2926" t="s">
        <v>57</v>
      </c>
      <c r="G2926">
        <v>-401.78410000000002</v>
      </c>
      <c r="H2926" s="1">
        <v>7.7278310000000006E-6</v>
      </c>
      <c r="I2926">
        <v>214.0514</v>
      </c>
      <c r="J2926">
        <v>-429.97489999999999</v>
      </c>
      <c r="K2926">
        <v>1.120681</v>
      </c>
      <c r="L2926">
        <v>214.203</v>
      </c>
      <c r="M2926">
        <v>0.99979839999999998</v>
      </c>
      <c r="N2926">
        <v>-1.159584E-2</v>
      </c>
      <c r="O2926">
        <v>1.6399460000000001E-2</v>
      </c>
      <c r="P2926">
        <v>0.99055979999999999</v>
      </c>
      <c r="Q2926">
        <v>-0.13698550000000001</v>
      </c>
      <c r="R2926">
        <v>5.1444689999999996E-3</v>
      </c>
      <c r="S2926">
        <v>3.0119929999999999</v>
      </c>
      <c r="T2926">
        <v>-0.1185884</v>
      </c>
      <c r="U2926">
        <v>-1.556396E-2</v>
      </c>
      <c r="V2926">
        <v>1.1127369999999999E-2</v>
      </c>
      <c r="W2926">
        <v>-0.12548819999999999</v>
      </c>
      <c r="X2926">
        <v>0.99203269999999999</v>
      </c>
      <c r="Y2926">
        <v>2.1538979999999999E-2</v>
      </c>
      <c r="Z2926">
        <v>-1.004088E-3</v>
      </c>
      <c r="AA2926">
        <v>0.99976750000000003</v>
      </c>
      <c r="AB2926">
        <v>28</v>
      </c>
      <c r="AC2926">
        <v>28.1907999999999</v>
      </c>
      <c r="AD2926">
        <v>-1.120673272169</v>
      </c>
      <c r="AE2926">
        <v>-0.15160000000000101</v>
      </c>
      <c r="AF2926">
        <v>0.61295590094371699</v>
      </c>
      <c r="AG2926">
        <v>-1.120673272169</v>
      </c>
      <c r="AH2926">
        <v>28.140053244307101</v>
      </c>
      <c r="AI2926">
        <v>92.280050116676506</v>
      </c>
      <c r="AJ2926">
        <v>88.752161802933401</v>
      </c>
      <c r="AK2926">
        <v>28.169029449235499</v>
      </c>
      <c r="AL2926">
        <v>97.208949636392305</v>
      </c>
      <c r="AM2926">
        <v>89.357355254300003</v>
      </c>
      <c r="AN2926">
        <v>0.99999999228582304</v>
      </c>
    </row>
    <row r="2927" spans="1:40" x14ac:dyDescent="0.25">
      <c r="A2927" t="str">
        <f>"20190303154526648"</f>
        <v>20190303154526648</v>
      </c>
      <c r="B2927" t="str">
        <f>"1551599126644144"</f>
        <v>1551599126644144</v>
      </c>
      <c r="C2927" t="s">
        <v>40</v>
      </c>
      <c r="D2927">
        <v>4.996931</v>
      </c>
      <c r="E2927">
        <v>0.50541320000000001</v>
      </c>
      <c r="F2927" t="s">
        <v>57</v>
      </c>
      <c r="G2927">
        <v>-402.08089999999999</v>
      </c>
      <c r="H2927" s="1">
        <v>7.5853400000000003E-6</v>
      </c>
      <c r="I2927">
        <v>214.10400000000001</v>
      </c>
      <c r="J2927">
        <v>-429.55529999999999</v>
      </c>
      <c r="K2927">
        <v>1.1207210000000001</v>
      </c>
      <c r="L2927">
        <v>214.21010000000001</v>
      </c>
      <c r="M2927">
        <v>0.9997876</v>
      </c>
      <c r="N2927">
        <v>-1.2261859999999999E-2</v>
      </c>
      <c r="O2927">
        <v>1.6567749999999999E-2</v>
      </c>
      <c r="P2927">
        <v>0.99034759999999999</v>
      </c>
      <c r="Q2927">
        <v>-0.13837099999999999</v>
      </c>
      <c r="R2927">
        <v>8.0986909999999999E-3</v>
      </c>
      <c r="S2927">
        <v>3.0119020000000001</v>
      </c>
      <c r="T2927">
        <v>-0.12100669999999999</v>
      </c>
      <c r="U2927">
        <v>-1.069641E-2</v>
      </c>
      <c r="V2927">
        <v>8.3345699999999995E-3</v>
      </c>
      <c r="W2927">
        <v>-0.12621550000000001</v>
      </c>
      <c r="X2927">
        <v>0.99196790000000001</v>
      </c>
      <c r="Y2927">
        <v>2.009215E-2</v>
      </c>
      <c r="Z2927">
        <v>-9.8893570000000005E-4</v>
      </c>
      <c r="AA2927">
        <v>0.99979759999999995</v>
      </c>
      <c r="AB2927">
        <v>28</v>
      </c>
      <c r="AC2927">
        <v>27.474399999999999</v>
      </c>
      <c r="AD2927">
        <v>-1.12071341466</v>
      </c>
      <c r="AE2927">
        <v>-0.106099999999997</v>
      </c>
      <c r="AF2927">
        <v>0.56037622107192397</v>
      </c>
      <c r="AG2927">
        <v>-1.12071341466</v>
      </c>
      <c r="AH2927">
        <v>27.4232410487644</v>
      </c>
      <c r="AI2927">
        <v>92.339732818291097</v>
      </c>
      <c r="AJ2927">
        <v>88.829360667262804</v>
      </c>
      <c r="AK2927">
        <v>27.451851844376101</v>
      </c>
      <c r="AL2927">
        <v>97.250954301693199</v>
      </c>
      <c r="AM2927">
        <v>89.518608970719896</v>
      </c>
      <c r="AN2927">
        <v>1.0000000660638699</v>
      </c>
    </row>
    <row r="2928" spans="1:40" x14ac:dyDescent="0.25">
      <c r="A2928" t="str">
        <f>"20190303154526669"</f>
        <v>20190303154526669</v>
      </c>
      <c r="B2928" t="str">
        <f>"1551599126663664"</f>
        <v>1551599126663664</v>
      </c>
      <c r="C2928" t="s">
        <v>40</v>
      </c>
      <c r="D2928">
        <v>5.0088480000000004</v>
      </c>
      <c r="E2928">
        <v>0.50550099999999998</v>
      </c>
      <c r="F2928" t="s">
        <v>57</v>
      </c>
      <c r="G2928">
        <v>-402.6395</v>
      </c>
      <c r="H2928" s="1">
        <v>7.323683E-6</v>
      </c>
      <c r="I2928">
        <v>214.17140000000001</v>
      </c>
      <c r="J2928">
        <v>-429.28359999999998</v>
      </c>
      <c r="K2928">
        <v>1.1207339999999999</v>
      </c>
      <c r="L2928">
        <v>214.21469999999999</v>
      </c>
      <c r="M2928">
        <v>0.99978129999999998</v>
      </c>
      <c r="N2928">
        <v>-1.263422E-2</v>
      </c>
      <c r="O2928">
        <v>1.666105E-2</v>
      </c>
      <c r="P2928">
        <v>0.99021999999999999</v>
      </c>
      <c r="Q2928">
        <v>-0.1391771</v>
      </c>
      <c r="R2928">
        <v>9.7056539999999993E-3</v>
      </c>
      <c r="S2928">
        <v>3.011749</v>
      </c>
      <c r="T2928">
        <v>-0.12540270000000001</v>
      </c>
      <c r="U2928">
        <v>-4.333496E-3</v>
      </c>
      <c r="V2928">
        <v>6.8152239999999999E-3</v>
      </c>
      <c r="W2928">
        <v>-0.12665399999999999</v>
      </c>
      <c r="X2928">
        <v>0.99192360000000002</v>
      </c>
      <c r="Y2928">
        <v>1.807361E-2</v>
      </c>
      <c r="Z2928">
        <v>-9.7330810000000002E-4</v>
      </c>
      <c r="AA2928">
        <v>0.99983619999999995</v>
      </c>
      <c r="AB2928">
        <v>28</v>
      </c>
      <c r="AC2928">
        <v>26.644099999999899</v>
      </c>
      <c r="AD2928">
        <v>-1.1207266763169901</v>
      </c>
      <c r="AE2928">
        <v>-4.3299999999987897E-2</v>
      </c>
      <c r="AF2928">
        <v>0.486387580902438</v>
      </c>
      <c r="AG2928">
        <v>-1.1207266763169901</v>
      </c>
      <c r="AH2928">
        <v>26.5926298314692</v>
      </c>
      <c r="AI2928">
        <v>92.412856997560098</v>
      </c>
      <c r="AJ2928">
        <v>88.952158970907405</v>
      </c>
      <c r="AK2928">
        <v>26.620679227161101</v>
      </c>
      <c r="AL2928">
        <v>97.276281830651996</v>
      </c>
      <c r="AM2928">
        <v>89.606343243242193</v>
      </c>
      <c r="AN2928">
        <v>1.0000000556155599</v>
      </c>
    </row>
    <row r="2929" spans="1:40" x14ac:dyDescent="0.25">
      <c r="A2929" t="str">
        <f>"20190303154526690"</f>
        <v>20190303154526690</v>
      </c>
      <c r="B2929" t="str">
        <f>"1551599126684160"</f>
        <v>1551599126684160</v>
      </c>
      <c r="C2929" t="s">
        <v>40</v>
      </c>
      <c r="D2929">
        <v>5.0952330000000003</v>
      </c>
      <c r="E2929">
        <v>0.50561679999999998</v>
      </c>
      <c r="F2929" t="s">
        <v>57</v>
      </c>
      <c r="G2929">
        <v>-403.00130000000001</v>
      </c>
      <c r="H2929" s="1">
        <v>7.154306E-6</v>
      </c>
      <c r="I2929">
        <v>214.21469999999999</v>
      </c>
      <c r="J2929">
        <v>-429.02199999999999</v>
      </c>
      <c r="K2929">
        <v>1.120735</v>
      </c>
      <c r="L2929">
        <v>214.2192</v>
      </c>
      <c r="M2929">
        <v>0.999776</v>
      </c>
      <c r="N2929">
        <v>-1.2951799999999999E-2</v>
      </c>
      <c r="O2929">
        <v>1.67397E-2</v>
      </c>
      <c r="P2929">
        <v>0.99020529999999995</v>
      </c>
      <c r="Q2929">
        <v>-0.139233</v>
      </c>
      <c r="R2929">
        <v>1.0392429999999999E-2</v>
      </c>
      <c r="S2929">
        <v>3.0115970000000001</v>
      </c>
      <c r="T2929">
        <v>-0.128419899999999</v>
      </c>
      <c r="U2929">
        <v>0</v>
      </c>
      <c r="V2929">
        <v>6.2023599999999996E-3</v>
      </c>
      <c r="W2929">
        <v>-0.12639510000000001</v>
      </c>
      <c r="X2929">
        <v>0.99196059999999997</v>
      </c>
      <c r="Y2929">
        <v>1.6713929999999998E-2</v>
      </c>
      <c r="Z2929">
        <v>-9.6120479999999996E-4</v>
      </c>
      <c r="AA2929">
        <v>0.99985990000000002</v>
      </c>
      <c r="AB2929">
        <v>28</v>
      </c>
      <c r="AC2929">
        <v>26.020699999999898</v>
      </c>
      <c r="AD2929">
        <v>-1.120727845694</v>
      </c>
      <c r="AE2929">
        <v>-4.5000000000072699E-3</v>
      </c>
      <c r="AF2929">
        <v>0.43929968052763302</v>
      </c>
      <c r="AG2929">
        <v>-1.120727845694</v>
      </c>
      <c r="AH2929">
        <v>25.968803892011302</v>
      </c>
      <c r="AI2929">
        <v>92.470810207233797</v>
      </c>
      <c r="AJ2929">
        <v>89.030851893721902</v>
      </c>
      <c r="AK2929">
        <v>25.996688071659602</v>
      </c>
      <c r="AL2929">
        <v>97.261328099305402</v>
      </c>
      <c r="AM2929">
        <v>89.641755509203605</v>
      </c>
      <c r="AN2929">
        <v>1.0000000112629599</v>
      </c>
    </row>
    <row r="2930" spans="1:40" x14ac:dyDescent="0.25">
      <c r="A2930" t="str">
        <f>"20190303154526713"</f>
        <v>20190303154526713</v>
      </c>
      <c r="B2930" t="str">
        <f>"1551599126703679"</f>
        <v>1551599126703679</v>
      </c>
      <c r="C2930" t="s">
        <v>40</v>
      </c>
      <c r="D2930">
        <v>5.1471790000000004</v>
      </c>
      <c r="E2930">
        <v>0.50569209999999998</v>
      </c>
      <c r="F2930" t="s">
        <v>57</v>
      </c>
      <c r="G2930">
        <v>-402.73</v>
      </c>
      <c r="H2930" s="1">
        <v>7.2714170000000002E-6</v>
      </c>
      <c r="I2930">
        <v>214.23</v>
      </c>
      <c r="J2930">
        <v>-428.74360000000001</v>
      </c>
      <c r="K2930">
        <v>1.120735</v>
      </c>
      <c r="L2930">
        <v>214.22399999999999</v>
      </c>
      <c r="M2930">
        <v>0.99977119999999997</v>
      </c>
      <c r="N2930">
        <v>-1.3248680000000001E-2</v>
      </c>
      <c r="O2930">
        <v>1.6805199999999999E-2</v>
      </c>
      <c r="P2930">
        <v>0.99019889999999999</v>
      </c>
      <c r="Q2930">
        <v>-0.13929330000000001</v>
      </c>
      <c r="R2930">
        <v>1.019275E-2</v>
      </c>
      <c r="S2930">
        <v>3.0115970000000001</v>
      </c>
      <c r="T2930">
        <v>-0.1283733</v>
      </c>
      <c r="U2930">
        <v>1.235962E-3</v>
      </c>
      <c r="V2930">
        <v>6.4621469999999997E-3</v>
      </c>
      <c r="W2930">
        <v>-0.1261612</v>
      </c>
      <c r="X2930">
        <v>0.99198869999999895</v>
      </c>
      <c r="Y2930">
        <v>1.6369600000000002E-2</v>
      </c>
      <c r="Z2930">
        <v>-9.5063419999999997E-4</v>
      </c>
      <c r="AA2930">
        <v>0.99986549999999996</v>
      </c>
      <c r="AB2930">
        <v>28</v>
      </c>
      <c r="AC2930">
        <v>26.0136</v>
      </c>
      <c r="AD2930">
        <v>-1.120727728583</v>
      </c>
      <c r="AE2930">
        <v>5.9999999999717996E-3</v>
      </c>
      <c r="AF2930">
        <v>0.430404015005381</v>
      </c>
      <c r="AG2930">
        <v>-1.120727728583</v>
      </c>
      <c r="AH2930">
        <v>25.961839085747101</v>
      </c>
      <c r="AI2930">
        <v>92.471485947198701</v>
      </c>
      <c r="AJ2930">
        <v>89.0502184913897</v>
      </c>
      <c r="AK2930">
        <v>25.989581892981199</v>
      </c>
      <c r="AL2930">
        <v>97.247818593704494</v>
      </c>
      <c r="AM2930">
        <v>89.626761360896396</v>
      </c>
      <c r="AN2930">
        <v>0.99999999432848896</v>
      </c>
    </row>
    <row r="2931" spans="1:40" x14ac:dyDescent="0.25">
      <c r="A2931" t="str">
        <f>"20190303154526735"</f>
        <v>20190303154526735</v>
      </c>
      <c r="B2931" t="str">
        <f>"1551599126724176"</f>
        <v>1551599126724176</v>
      </c>
      <c r="C2931" t="s">
        <v>40</v>
      </c>
      <c r="D2931">
        <v>5.063879</v>
      </c>
      <c r="E2931">
        <v>0.50585079999999905</v>
      </c>
      <c r="F2931" t="s">
        <v>57</v>
      </c>
      <c r="G2931">
        <v>-402.47640000000001</v>
      </c>
      <c r="H2931" s="1">
        <v>7.3848809999999999E-6</v>
      </c>
      <c r="I2931">
        <v>214.2252</v>
      </c>
      <c r="J2931">
        <v>-428.46469999999999</v>
      </c>
      <c r="K2931">
        <v>1.1207229999999999</v>
      </c>
      <c r="L2931">
        <v>214.2287</v>
      </c>
      <c r="M2931">
        <v>0.99976690000000001</v>
      </c>
      <c r="N2931">
        <v>-1.350807E-2</v>
      </c>
      <c r="O2931">
        <v>1.684913E-2</v>
      </c>
      <c r="P2931">
        <v>0.9901432</v>
      </c>
      <c r="Q2931">
        <v>-0.1397582</v>
      </c>
      <c r="R2931">
        <v>9.1827530000000001E-3</v>
      </c>
      <c r="S2931">
        <v>3.0116269999999998</v>
      </c>
      <c r="T2931">
        <v>-0.12849579999999999</v>
      </c>
      <c r="U2931">
        <v>1.3732910000000001E-4</v>
      </c>
      <c r="V2931">
        <v>7.5095240000000001E-3</v>
      </c>
      <c r="W2931">
        <v>-0.12637000000000001</v>
      </c>
      <c r="X2931">
        <v>0.99195469999999997</v>
      </c>
      <c r="Y2931">
        <v>1.6777819999999999E-2</v>
      </c>
      <c r="Z2931">
        <v>-9.6214949999999999E-4</v>
      </c>
      <c r="AA2931">
        <v>0.99985880000000005</v>
      </c>
      <c r="AB2931">
        <v>28</v>
      </c>
      <c r="AC2931">
        <v>25.988299999999899</v>
      </c>
      <c r="AD2931">
        <v>-1.1207156151190001</v>
      </c>
      <c r="AE2931">
        <v>-3.5000000000024998E-3</v>
      </c>
      <c r="AF2931">
        <v>0.44060028643146998</v>
      </c>
      <c r="AG2931">
        <v>-1.1207156151190001</v>
      </c>
      <c r="AH2931">
        <v>25.9363182324783</v>
      </c>
      <c r="AI2931">
        <v>92.473871143291504</v>
      </c>
      <c r="AJ2931">
        <v>89.026765916986506</v>
      </c>
      <c r="AK2931">
        <v>25.964258810117499</v>
      </c>
      <c r="AL2931">
        <v>97.259878809749296</v>
      </c>
      <c r="AM2931">
        <v>89.566254575985596</v>
      </c>
      <c r="AN2931">
        <v>0.99999994835139605</v>
      </c>
    </row>
    <row r="2932" spans="1:40" x14ac:dyDescent="0.25">
      <c r="A2932" t="str">
        <f>"20190303154526761"</f>
        <v>20190303154526761</v>
      </c>
      <c r="B2932" t="str">
        <f>"1551599126753456"</f>
        <v>1551599126753456</v>
      </c>
      <c r="C2932" t="s">
        <v>40</v>
      </c>
      <c r="D2932">
        <v>5.0785419999999997</v>
      </c>
      <c r="E2932">
        <v>0.50602100000000005</v>
      </c>
      <c r="F2932" t="s">
        <v>57</v>
      </c>
      <c r="G2932">
        <v>-402.53960000000001</v>
      </c>
      <c r="H2932" s="1">
        <v>7.3636119999999996E-6</v>
      </c>
      <c r="I2932">
        <v>214.1926</v>
      </c>
      <c r="J2932">
        <v>-428.14929999999998</v>
      </c>
      <c r="K2932">
        <v>1.1207149999999999</v>
      </c>
      <c r="L2932">
        <v>214.23400000000001</v>
      </c>
      <c r="M2932">
        <v>0.99976290000000001</v>
      </c>
      <c r="N2932">
        <v>-1.376195E-2</v>
      </c>
      <c r="O2932">
        <v>1.6876889999999999E-2</v>
      </c>
      <c r="P2932">
        <v>0.99005949999999998</v>
      </c>
      <c r="Q2932">
        <v>-0.14042070000000001</v>
      </c>
      <c r="R2932">
        <v>8.0285140000000005E-3</v>
      </c>
      <c r="S2932">
        <v>3.0115050000000001</v>
      </c>
      <c r="T2932">
        <v>-0.13018440000000001</v>
      </c>
      <c r="U2932">
        <v>-4.1961669999999998E-3</v>
      </c>
      <c r="V2932">
        <v>8.6843389999999993E-3</v>
      </c>
      <c r="W2932">
        <v>-0.12678229999999999</v>
      </c>
      <c r="X2932">
        <v>0.99189260000000001</v>
      </c>
      <c r="Y2932">
        <v>1.824187E-2</v>
      </c>
      <c r="Z2932">
        <v>-1.016713E-3</v>
      </c>
      <c r="AA2932">
        <v>0.99983310000000003</v>
      </c>
      <c r="AB2932">
        <v>28</v>
      </c>
      <c r="AC2932">
        <v>25.609699999999901</v>
      </c>
      <c r="AD2932">
        <v>-1.120707636388</v>
      </c>
      <c r="AE2932">
        <v>-4.1400000000009998E-2</v>
      </c>
      <c r="AF2932">
        <v>0.472741797552718</v>
      </c>
      <c r="AG2932">
        <v>-1.120707636388</v>
      </c>
      <c r="AH2932">
        <v>25.556411903532901</v>
      </c>
      <c r="AI2932">
        <v>92.510514506114106</v>
      </c>
      <c r="AJ2932">
        <v>88.9402651225369</v>
      </c>
      <c r="AK2932">
        <v>25.585340720741801</v>
      </c>
      <c r="AL2932">
        <v>97.283692662659902</v>
      </c>
      <c r="AM2932">
        <v>89.498369824373597</v>
      </c>
      <c r="AN2932">
        <v>1.00000004963595</v>
      </c>
    </row>
    <row r="2933" spans="1:40" x14ac:dyDescent="0.25">
      <c r="A2933" t="str">
        <f>"20190303154526784"</f>
        <v>20190303154526784</v>
      </c>
      <c r="B2933" t="str">
        <f>"1551599126773952"</f>
        <v>1551599126773952</v>
      </c>
      <c r="C2933" t="s">
        <v>40</v>
      </c>
      <c r="D2933">
        <v>5.217327</v>
      </c>
      <c r="E2933">
        <v>0.50602040000000004</v>
      </c>
      <c r="F2933" t="s">
        <v>57</v>
      </c>
      <c r="G2933">
        <v>-402.61340000000001</v>
      </c>
      <c r="H2933" s="1">
        <v>7.338227E-6</v>
      </c>
      <c r="I2933">
        <v>214.15690000000001</v>
      </c>
      <c r="J2933">
        <v>-427.8768</v>
      </c>
      <c r="K2933">
        <v>1.1207119999999999</v>
      </c>
      <c r="L2933">
        <v>214.23859999999999</v>
      </c>
      <c r="M2933">
        <v>0.99976019999999999</v>
      </c>
      <c r="N2933">
        <v>-1.3947309999999999E-2</v>
      </c>
      <c r="O2933">
        <v>1.6884759999999999E-2</v>
      </c>
      <c r="P2933">
        <v>0.98994550000000003</v>
      </c>
      <c r="Q2933">
        <v>-0.141280399999999</v>
      </c>
      <c r="R2933">
        <v>6.9342980000000002E-3</v>
      </c>
      <c r="S2933">
        <v>3.0114749999999999</v>
      </c>
      <c r="T2933">
        <v>-0.1321666</v>
      </c>
      <c r="U2933">
        <v>-9.0942379999999993E-3</v>
      </c>
      <c r="V2933">
        <v>9.7809170000000001E-3</v>
      </c>
      <c r="W2933">
        <v>-0.12746009999999999</v>
      </c>
      <c r="X2933">
        <v>0.99179550000000005</v>
      </c>
      <c r="Y2933">
        <v>1.987297E-2</v>
      </c>
      <c r="Z2933">
        <v>-1.079776E-3</v>
      </c>
      <c r="AA2933">
        <v>0.99980190000000002</v>
      </c>
      <c r="AB2933">
        <v>28</v>
      </c>
      <c r="AC2933">
        <v>25.263399999999901</v>
      </c>
      <c r="AD2933">
        <v>-1.1207046617730001</v>
      </c>
      <c r="AE2933">
        <v>-8.1699999999983605E-2</v>
      </c>
      <c r="AF2933">
        <v>0.50729798350881705</v>
      </c>
      <c r="AG2933">
        <v>-1.1207046617730001</v>
      </c>
      <c r="AH2933">
        <v>25.208810775071001</v>
      </c>
      <c r="AI2933">
        <v>92.544999948066902</v>
      </c>
      <c r="AJ2933">
        <v>88.847144714170895</v>
      </c>
      <c r="AK2933">
        <v>25.238808824433999</v>
      </c>
      <c r="AL2933">
        <v>97.322845534047801</v>
      </c>
      <c r="AM2933">
        <v>89.4349771728142</v>
      </c>
      <c r="AN2933">
        <v>1.0000000286248101</v>
      </c>
    </row>
    <row r="2934" spans="1:40" x14ac:dyDescent="0.25">
      <c r="A2934" t="str">
        <f>"20190303154526808"</f>
        <v>20190303154526808</v>
      </c>
      <c r="B2934" t="str">
        <f>"1551599126803232"</f>
        <v>1551599126803232</v>
      </c>
      <c r="C2934" t="s">
        <v>40</v>
      </c>
      <c r="D2934">
        <v>5.0740059999999998</v>
      </c>
      <c r="E2934">
        <v>0.5060983</v>
      </c>
      <c r="F2934" t="s">
        <v>57</v>
      </c>
      <c r="G2934">
        <v>-403.74489999999997</v>
      </c>
      <c r="H2934" s="1">
        <v>6.8406799999999999E-6</v>
      </c>
      <c r="I2934">
        <v>214.13650000000001</v>
      </c>
      <c r="J2934">
        <v>-427.57839999999999</v>
      </c>
      <c r="K2934">
        <v>1.120706</v>
      </c>
      <c r="L2934">
        <v>214.24369999999999</v>
      </c>
      <c r="M2934">
        <v>0.99975800000000004</v>
      </c>
      <c r="N2934">
        <v>-1.4121170000000001E-2</v>
      </c>
      <c r="O2934">
        <v>1.6880880000000001E-2</v>
      </c>
      <c r="P2934">
        <v>0.98992970000000002</v>
      </c>
      <c r="Q2934">
        <v>-0.1414503</v>
      </c>
      <c r="R2934">
        <v>5.5979510000000003E-3</v>
      </c>
      <c r="S2934">
        <v>3.0106199999999999</v>
      </c>
      <c r="T2934">
        <v>-0.13981589999999999</v>
      </c>
      <c r="U2934">
        <v>-1.274109E-2</v>
      </c>
      <c r="V2934">
        <v>1.111068E-2</v>
      </c>
      <c r="W2934">
        <v>-0.1274583</v>
      </c>
      <c r="X2934">
        <v>0.99178169999999999</v>
      </c>
      <c r="Y2934">
        <v>2.1075380000000001E-2</v>
      </c>
      <c r="Z2934">
        <v>-1.1832419999999999E-3</v>
      </c>
      <c r="AA2934">
        <v>0.99977720000000003</v>
      </c>
      <c r="AB2934">
        <v>28</v>
      </c>
      <c r="AC2934">
        <v>23.833500000000001</v>
      </c>
      <c r="AD2934">
        <v>-1.12069915932</v>
      </c>
      <c r="AE2934">
        <v>-0.10719999999997699</v>
      </c>
      <c r="AF2934">
        <v>0.50843105478296702</v>
      </c>
      <c r="AG2934">
        <v>-1.12069915932</v>
      </c>
      <c r="AH2934">
        <v>23.7757247033562</v>
      </c>
      <c r="AI2934">
        <v>92.698096327246205</v>
      </c>
      <c r="AJ2934">
        <v>88.774947358602603</v>
      </c>
      <c r="AK2934">
        <v>23.807552455322899</v>
      </c>
      <c r="AL2934">
        <v>97.322741742589798</v>
      </c>
      <c r="AM2934">
        <v>89.358156696879604</v>
      </c>
      <c r="AN2934">
        <v>1.00000000295192</v>
      </c>
    </row>
    <row r="2935" spans="1:40" x14ac:dyDescent="0.25">
      <c r="A2935" t="str">
        <f>"20190303154526830"</f>
        <v>20190303154526830</v>
      </c>
      <c r="B2935" t="str">
        <f>"1551599126823728"</f>
        <v>1551599126823728</v>
      </c>
      <c r="C2935" t="s">
        <v>40</v>
      </c>
      <c r="D2935">
        <v>5.0921620000000001</v>
      </c>
      <c r="E2935">
        <v>0.50605199999999995</v>
      </c>
      <c r="F2935" t="s">
        <v>57</v>
      </c>
      <c r="G2935">
        <v>-403.84829999999999</v>
      </c>
      <c r="H2935" s="1">
        <v>6.8013410000000001E-6</v>
      </c>
      <c r="I2935">
        <v>214.10499999999999</v>
      </c>
      <c r="J2935">
        <v>-427.29820000000001</v>
      </c>
      <c r="K2935">
        <v>1.1207069999999999</v>
      </c>
      <c r="L2935">
        <v>214.2484</v>
      </c>
      <c r="M2935">
        <v>0.99975599999999998</v>
      </c>
      <c r="N2935">
        <v>-1.4261289999999999E-2</v>
      </c>
      <c r="O2935">
        <v>1.6867900000000002E-2</v>
      </c>
      <c r="P2935">
        <v>0.98974379999999995</v>
      </c>
      <c r="Q2935">
        <v>-0.14276179999999999</v>
      </c>
      <c r="R2935">
        <v>5.1456100000000001E-3</v>
      </c>
      <c r="S2935">
        <v>3.0103149999999999</v>
      </c>
      <c r="T2935">
        <v>-0.14216819999999999</v>
      </c>
      <c r="U2935">
        <v>-1.7593379999999999E-2</v>
      </c>
      <c r="V2935">
        <v>1.1545079999999999E-2</v>
      </c>
      <c r="W2935">
        <v>-0.12863359999999999</v>
      </c>
      <c r="X2935">
        <v>0.99162499999999998</v>
      </c>
      <c r="Y2935">
        <v>2.2670699999999998E-2</v>
      </c>
      <c r="Z2935">
        <v>-1.252487E-3</v>
      </c>
      <c r="AA2935">
        <v>0.99974220000000003</v>
      </c>
      <c r="AB2935">
        <v>27</v>
      </c>
      <c r="AC2935">
        <v>23.4499</v>
      </c>
      <c r="AD2935">
        <v>-1.1207001986589999</v>
      </c>
      <c r="AE2935">
        <v>-0.14340000000001299</v>
      </c>
      <c r="AF2935">
        <v>0.53774223893976902</v>
      </c>
      <c r="AG2935">
        <v>-1.1207001986589999</v>
      </c>
      <c r="AH2935">
        <v>23.3907214178166</v>
      </c>
      <c r="AI2935">
        <v>92.742343894880506</v>
      </c>
      <c r="AJ2935">
        <v>88.683027600216207</v>
      </c>
      <c r="AK2935">
        <v>23.4237269471943</v>
      </c>
      <c r="AL2935">
        <v>97.390640302899001</v>
      </c>
      <c r="AM2935">
        <v>89.332959059581995</v>
      </c>
      <c r="AN2935">
        <v>1.00000001627308</v>
      </c>
    </row>
    <row r="2936" spans="1:40" x14ac:dyDescent="0.25">
      <c r="A2936" t="str">
        <f>"20190303154526870"</f>
        <v>20190303154526870</v>
      </c>
      <c r="B2936" t="str">
        <f>"1551599126863744"</f>
        <v>1551599126863744</v>
      </c>
      <c r="C2936" t="s">
        <v>40</v>
      </c>
      <c r="D2936">
        <v>5.0405189999999997</v>
      </c>
      <c r="E2936">
        <v>0.52299149999999905</v>
      </c>
      <c r="F2936" t="s">
        <v>57</v>
      </c>
      <c r="G2936">
        <v>-404.54390000000001</v>
      </c>
      <c r="H2936" s="1">
        <v>6.4921339999999997E-6</v>
      </c>
      <c r="I2936">
        <v>214.1086</v>
      </c>
      <c r="J2936">
        <v>-426.81560000000002</v>
      </c>
      <c r="K2936">
        <v>1.1206969999999901</v>
      </c>
      <c r="L2936">
        <v>214.25649999999999</v>
      </c>
      <c r="M2936">
        <v>0.99975429999999998</v>
      </c>
      <c r="N2936">
        <v>-1.44572E-2</v>
      </c>
      <c r="O2936">
        <v>1.6806599999999901E-2</v>
      </c>
      <c r="P2936">
        <v>0.98951809999999996</v>
      </c>
      <c r="Q2936">
        <v>-0.1443392</v>
      </c>
      <c r="R2936">
        <v>4.4991500000000004E-3</v>
      </c>
      <c r="S2936">
        <v>3.0097960000000001</v>
      </c>
      <c r="T2936">
        <v>-0.1482395</v>
      </c>
      <c r="U2936">
        <v>-1.849365E-2</v>
      </c>
      <c r="V2936">
        <v>1.212128E-2</v>
      </c>
      <c r="W2936">
        <v>-0.13002049999999901</v>
      </c>
      <c r="X2936">
        <v>0.99143720000000002</v>
      </c>
      <c r="Y2936">
        <v>2.2905450000000001E-2</v>
      </c>
      <c r="Z2936">
        <v>-1.3137890000000001E-3</v>
      </c>
      <c r="AA2936">
        <v>0.99973679999999998</v>
      </c>
      <c r="AB2936">
        <v>27</v>
      </c>
      <c r="AC2936">
        <v>22.271699999999999</v>
      </c>
      <c r="AD2936">
        <v>-1.1206905078660001</v>
      </c>
      <c r="AE2936">
        <v>-0.14789999999999201</v>
      </c>
      <c r="AF2936">
        <v>0.52091086710946299</v>
      </c>
      <c r="AG2936">
        <v>-1.1206905078660001</v>
      </c>
      <c r="AH2936">
        <v>22.209834767768399</v>
      </c>
      <c r="AI2936">
        <v>92.887856427204298</v>
      </c>
      <c r="AJ2936">
        <v>88.656427496472901</v>
      </c>
      <c r="AK2936">
        <v>22.244191506041901</v>
      </c>
      <c r="AL2936">
        <v>97.470777019090505</v>
      </c>
      <c r="AM2936">
        <v>89.299538502097903</v>
      </c>
      <c r="AN2936">
        <v>0.999999988696464</v>
      </c>
    </row>
    <row r="2937" spans="1:40" x14ac:dyDescent="0.25">
      <c r="A2937" t="str">
        <f>"20190303154526892"</f>
        <v>20190303154526892</v>
      </c>
      <c r="B2937" t="str">
        <f>"1551599126884239"</f>
        <v>1551599126884239</v>
      </c>
      <c r="C2937" t="s">
        <v>40</v>
      </c>
      <c r="D2937">
        <v>5.1250530000000003</v>
      </c>
      <c r="E2937">
        <v>0.5243139</v>
      </c>
      <c r="F2937" t="s">
        <v>42</v>
      </c>
      <c r="G2937">
        <v>-425.96420000000001</v>
      </c>
      <c r="H2937">
        <v>1.0054730000000001</v>
      </c>
      <c r="I2937">
        <v>214.208</v>
      </c>
      <c r="J2937">
        <v>-426.54640000000001</v>
      </c>
      <c r="K2937">
        <v>1.1206830000000001</v>
      </c>
      <c r="L2937">
        <v>214.261</v>
      </c>
      <c r="M2937">
        <v>0.99975409999999998</v>
      </c>
      <c r="N2937">
        <v>-1.4545199999999999E-2</v>
      </c>
      <c r="O2937">
        <v>1.674515E-2</v>
      </c>
      <c r="P2937">
        <v>0.98927359999999998</v>
      </c>
      <c r="Q2937">
        <v>-0.14602089999999901</v>
      </c>
      <c r="R2937">
        <v>4.0216710000000001E-3</v>
      </c>
      <c r="S2937">
        <v>2.9738769999999999</v>
      </c>
      <c r="T2937">
        <v>-0.40248329999999999</v>
      </c>
      <c r="U2937">
        <v>-0.16857910000000001</v>
      </c>
      <c r="V2937">
        <v>1.252815E-2</v>
      </c>
      <c r="W2937">
        <v>-0.13161900000000001</v>
      </c>
      <c r="X2937">
        <v>0.99122120000000002</v>
      </c>
      <c r="Y2937">
        <v>7.2456450000000006E-2</v>
      </c>
      <c r="Z2937">
        <v>-7.4190659999999898E-3</v>
      </c>
      <c r="AA2937">
        <v>0.99734400000000001</v>
      </c>
      <c r="AB2937">
        <v>27</v>
      </c>
      <c r="AC2937">
        <v>0.58220000000000005</v>
      </c>
      <c r="AD2937">
        <v>-0.11521000000000001</v>
      </c>
      <c r="AE2937">
        <v>-5.2999999999997202E-2</v>
      </c>
      <c r="AF2937">
        <v>6.0396954893140203E-2</v>
      </c>
      <c r="AG2937">
        <v>-0.11521000000000001</v>
      </c>
      <c r="AH2937">
        <v>0.55950111934288604</v>
      </c>
      <c r="AI2937">
        <v>101.570072062405</v>
      </c>
      <c r="AJ2937">
        <v>83.838899885158199</v>
      </c>
      <c r="AK2937">
        <v>0.57442374498823301</v>
      </c>
      <c r="AL2937">
        <v>97.563158221254994</v>
      </c>
      <c r="AM2937">
        <v>89.275871116257704</v>
      </c>
      <c r="AN2937">
        <v>0.99999999151643104</v>
      </c>
    </row>
    <row r="2938" spans="1:40" x14ac:dyDescent="0.25">
      <c r="A2938" t="str">
        <f>"20190303154526914"</f>
        <v>20190303154526914</v>
      </c>
      <c r="B2938" t="str">
        <f>"1551599126903760"</f>
        <v>1551599126903760</v>
      </c>
      <c r="C2938" t="s">
        <v>40</v>
      </c>
      <c r="D2938">
        <v>5.1422249999999998</v>
      </c>
      <c r="E2938">
        <v>0.5243776</v>
      </c>
      <c r="F2938" t="s">
        <v>42</v>
      </c>
      <c r="G2938">
        <v>-425.73919999999998</v>
      </c>
      <c r="H2938">
        <v>0.96852780000000005</v>
      </c>
      <c r="I2938">
        <v>214.20930000000001</v>
      </c>
      <c r="J2938">
        <v>-426.27589999999998</v>
      </c>
      <c r="K2938">
        <v>1.1206689999999999</v>
      </c>
      <c r="L2938">
        <v>214.2654</v>
      </c>
      <c r="M2938">
        <v>0.99975440000000004</v>
      </c>
      <c r="N2938">
        <v>-1.462072E-2</v>
      </c>
      <c r="O2938">
        <v>1.6662469999999999E-2</v>
      </c>
      <c r="P2938">
        <v>0.98914069999999998</v>
      </c>
      <c r="Q2938">
        <v>-0.14691650000000001</v>
      </c>
      <c r="R2938">
        <v>4.0845769999999998E-3</v>
      </c>
      <c r="S2938">
        <v>2.9512019999999999</v>
      </c>
      <c r="T2938">
        <v>-0.55623590000000001</v>
      </c>
      <c r="U2938">
        <v>-0.18794250000000001</v>
      </c>
      <c r="V2938">
        <v>1.237511E-2</v>
      </c>
      <c r="W2938">
        <v>-0.13244210000000001</v>
      </c>
      <c r="X2938">
        <v>0.99111349999999998</v>
      </c>
      <c r="Y2938">
        <v>7.8442739999999997E-2</v>
      </c>
      <c r="Z2938">
        <v>-1.0768979999999999E-2</v>
      </c>
      <c r="AA2938">
        <v>0.99686039999999998</v>
      </c>
      <c r="AB2938">
        <v>27</v>
      </c>
      <c r="AC2938">
        <v>0.53669999999999596</v>
      </c>
      <c r="AD2938">
        <v>-0.1521412</v>
      </c>
      <c r="AE2938">
        <v>-5.6099999999986397E-2</v>
      </c>
      <c r="AF2938">
        <v>6.0246901654886803E-2</v>
      </c>
      <c r="AG2938">
        <v>-0.1521412</v>
      </c>
      <c r="AH2938">
        <v>0.49624427922893999</v>
      </c>
      <c r="AI2938">
        <v>106.927655231294</v>
      </c>
      <c r="AJ2938">
        <v>83.077840485092693</v>
      </c>
      <c r="AK2938">
        <v>0.52252752900101196</v>
      </c>
      <c r="AL2938">
        <v>97.610734728756498</v>
      </c>
      <c r="AM2938">
        <v>89.284638206940997</v>
      </c>
      <c r="AN2938">
        <v>1.0000000115410801</v>
      </c>
    </row>
    <row r="2939" spans="1:40" x14ac:dyDescent="0.25">
      <c r="A2939" t="str">
        <f>"20190303154526936"</f>
        <v>20190303154526936</v>
      </c>
      <c r="B2939" t="str">
        <f>"1551599126934017"</f>
        <v>1551599126934017</v>
      </c>
      <c r="C2939" t="s">
        <v>40</v>
      </c>
      <c r="D2939">
        <v>5.168971</v>
      </c>
      <c r="E2939">
        <v>0.52486959999999905</v>
      </c>
      <c r="F2939" t="s">
        <v>42</v>
      </c>
      <c r="G2939">
        <v>-425.50080000000003</v>
      </c>
      <c r="H2939">
        <v>0.95958030000000005</v>
      </c>
      <c r="I2939">
        <v>214.215</v>
      </c>
      <c r="J2939">
        <v>-425.99939999999998</v>
      </c>
      <c r="K2939">
        <v>1.120655</v>
      </c>
      <c r="L2939">
        <v>214.26990000000001</v>
      </c>
      <c r="M2939">
        <v>0.99975530000000001</v>
      </c>
      <c r="N2939">
        <v>-1.4686650000000001E-2</v>
      </c>
      <c r="O2939">
        <v>1.6550260000000001E-2</v>
      </c>
      <c r="P2939">
        <v>0.98913169999999995</v>
      </c>
      <c r="Q2939">
        <v>-0.14697950000000001</v>
      </c>
      <c r="R2939">
        <v>3.9531540000000004E-3</v>
      </c>
      <c r="S2939">
        <v>2.942841</v>
      </c>
      <c r="T2939">
        <v>-0.61160619999999999</v>
      </c>
      <c r="U2939">
        <v>-0.19088749999999999</v>
      </c>
      <c r="V2939">
        <v>1.2388440000000001E-2</v>
      </c>
      <c r="W2939">
        <v>-0.13244059999999999</v>
      </c>
      <c r="X2939">
        <v>0.99111349999999998</v>
      </c>
      <c r="Y2939">
        <v>7.9127020000000006E-2</v>
      </c>
      <c r="Z2939">
        <v>-1.1875200000000001E-2</v>
      </c>
      <c r="AA2939">
        <v>0.99679379999999995</v>
      </c>
      <c r="AB2939">
        <v>27</v>
      </c>
      <c r="AC2939">
        <v>0.49859999999995303</v>
      </c>
      <c r="AD2939">
        <v>-0.16107469999999999</v>
      </c>
      <c r="AE2939">
        <v>-5.4900000000003502E-2</v>
      </c>
      <c r="AF2939">
        <v>5.7242808630422498E-2</v>
      </c>
      <c r="AG2939">
        <v>-0.16107469999999999</v>
      </c>
      <c r="AH2939">
        <v>0.45110760372637099</v>
      </c>
      <c r="AI2939">
        <v>109.505389453642</v>
      </c>
      <c r="AJ2939">
        <v>82.768164935340593</v>
      </c>
      <c r="AK2939">
        <v>0.482410476938196</v>
      </c>
      <c r="AL2939">
        <v>97.610648278600095</v>
      </c>
      <c r="AM2939">
        <v>89.283867726505804</v>
      </c>
      <c r="AN2939">
        <v>0.99999997792812101</v>
      </c>
    </row>
    <row r="2940" spans="1:40" x14ac:dyDescent="0.25">
      <c r="A2940" t="str">
        <f>"20190303154526962"</f>
        <v>20190303154526962</v>
      </c>
      <c r="B2940" t="str">
        <f>"1551599126953537"</f>
        <v>1551599126953537</v>
      </c>
      <c r="C2940" t="s">
        <v>40</v>
      </c>
      <c r="D2940">
        <v>5.0243219999999997</v>
      </c>
      <c r="E2940">
        <v>0.5256151</v>
      </c>
      <c r="F2940" t="s">
        <v>42</v>
      </c>
      <c r="G2940">
        <v>-425.26060000000001</v>
      </c>
      <c r="H2940">
        <v>0.95513740000000003</v>
      </c>
      <c r="I2940">
        <v>214.22020000000001</v>
      </c>
      <c r="J2940">
        <v>-425.69779999999997</v>
      </c>
      <c r="K2940">
        <v>1.1206419999999999</v>
      </c>
      <c r="L2940">
        <v>214.2747</v>
      </c>
      <c r="M2940">
        <v>0.99975689999999995</v>
      </c>
      <c r="N2940">
        <v>-1.474746E-2</v>
      </c>
      <c r="O2940">
        <v>1.6393390000000001E-2</v>
      </c>
      <c r="P2940">
        <v>0.98916289999999996</v>
      </c>
      <c r="Q2940">
        <v>-0.146758</v>
      </c>
      <c r="R2940">
        <v>4.360409E-3</v>
      </c>
      <c r="S2940">
        <v>2.936035</v>
      </c>
      <c r="T2940">
        <v>-0.65777969999999997</v>
      </c>
      <c r="U2940">
        <v>-0.1971588</v>
      </c>
      <c r="V2940">
        <v>1.181925E-2</v>
      </c>
      <c r="W2940">
        <v>-0.13215869999999999</v>
      </c>
      <c r="X2940">
        <v>0.99115810000000004</v>
      </c>
      <c r="Y2940">
        <v>8.0865279999999998E-2</v>
      </c>
      <c r="Z2940">
        <v>-1.292801E-2</v>
      </c>
      <c r="AA2940">
        <v>0.9966412</v>
      </c>
      <c r="AB2940">
        <v>27</v>
      </c>
      <c r="AC2940">
        <v>0.43719999999996101</v>
      </c>
      <c r="AD2940">
        <v>-0.165504599999999</v>
      </c>
      <c r="AE2940">
        <v>-5.4499999999990202E-2</v>
      </c>
      <c r="AF2940">
        <v>5.4035589171014697E-2</v>
      </c>
      <c r="AG2940">
        <v>-0.165504599999999</v>
      </c>
      <c r="AH2940">
        <v>0.38230060426795098</v>
      </c>
      <c r="AI2940">
        <v>113.20272213473299</v>
      </c>
      <c r="AJ2940">
        <v>81.954923525039007</v>
      </c>
      <c r="AK2940">
        <v>0.42007781367487002</v>
      </c>
      <c r="AL2940">
        <v>97.594353209057303</v>
      </c>
      <c r="AM2940">
        <v>89.316798151365205</v>
      </c>
      <c r="AN2940">
        <v>0.99999999792593097</v>
      </c>
    </row>
    <row r="2941" spans="1:40" x14ac:dyDescent="0.25">
      <c r="A2941" t="str">
        <f>"20190303154527004"</f>
        <v>20190303154527004</v>
      </c>
      <c r="B2941" t="str">
        <f>"1551599126993552"</f>
        <v>1551599126993552</v>
      </c>
      <c r="C2941" t="s">
        <v>40</v>
      </c>
      <c r="D2941">
        <v>5.1028690000000001</v>
      </c>
      <c r="E2941">
        <v>0.5260399</v>
      </c>
      <c r="F2941" t="s">
        <v>42</v>
      </c>
      <c r="G2941">
        <v>-424.7971</v>
      </c>
      <c r="H2941">
        <v>0.91380349999999999</v>
      </c>
      <c r="I2941">
        <v>214.21250000000001</v>
      </c>
      <c r="J2941">
        <v>-425.19159999999999</v>
      </c>
      <c r="K2941">
        <v>1.1206309999999999</v>
      </c>
      <c r="L2941">
        <v>214.2826</v>
      </c>
      <c r="M2941">
        <v>0.99976120000000002</v>
      </c>
      <c r="N2941">
        <v>-1.4825929999999999E-2</v>
      </c>
      <c r="O2941">
        <v>1.6055799999999999E-2</v>
      </c>
      <c r="P2941">
        <v>0.98922129999999997</v>
      </c>
      <c r="Q2941">
        <v>-0.14634900000000001</v>
      </c>
      <c r="R2941">
        <v>4.8480470000000003E-3</v>
      </c>
      <c r="S2941">
        <v>2.9338380000000002</v>
      </c>
      <c r="T2941">
        <v>-0.67376569999999902</v>
      </c>
      <c r="U2941">
        <v>-0.202652</v>
      </c>
      <c r="V2941">
        <v>1.098844E-2</v>
      </c>
      <c r="W2941">
        <v>-0.1316715</v>
      </c>
      <c r="X2941">
        <v>0.99123249999999996</v>
      </c>
      <c r="Y2941">
        <v>8.2281960000000001E-2</v>
      </c>
      <c r="Z2941">
        <v>-1.333633E-2</v>
      </c>
      <c r="AA2941">
        <v>0.99651990000000001</v>
      </c>
      <c r="AB2941">
        <v>27</v>
      </c>
      <c r="AC2941">
        <v>0.39449999999999302</v>
      </c>
      <c r="AD2941">
        <v>-0.206827499999999</v>
      </c>
      <c r="AE2941">
        <v>-7.0099999999996498E-2</v>
      </c>
      <c r="AF2941">
        <v>6.03462014544296E-2</v>
      </c>
      <c r="AG2941">
        <v>-0.206827499999999</v>
      </c>
      <c r="AH2941">
        <v>0.31057076646060999</v>
      </c>
      <c r="AI2941">
        <v>123.17395805144901</v>
      </c>
      <c r="AJ2941">
        <v>79.004024762295401</v>
      </c>
      <c r="AK2941">
        <v>0.37798608409061801</v>
      </c>
      <c r="AL2941">
        <v>97.566192598813004</v>
      </c>
      <c r="AM2941">
        <v>89.364866015881205</v>
      </c>
      <c r="AN2941">
        <v>0.99999999939106599</v>
      </c>
    </row>
    <row r="2942" spans="1:40" x14ac:dyDescent="0.25">
      <c r="A2942" t="str">
        <f>"20190303154527024"</f>
        <v>20190303154527024</v>
      </c>
      <c r="B2942" t="str">
        <f>"1551599127014048"</f>
        <v>1551599127014048</v>
      </c>
      <c r="C2942" t="s">
        <v>40</v>
      </c>
      <c r="D2942">
        <v>5.1174169999999997</v>
      </c>
      <c r="E2942">
        <v>0.52622009999999997</v>
      </c>
      <c r="F2942" t="s">
        <v>42</v>
      </c>
      <c r="G2942">
        <v>-424.31650000000002</v>
      </c>
      <c r="H2942">
        <v>0.91131130000000005</v>
      </c>
      <c r="I2942">
        <v>214.221</v>
      </c>
      <c r="J2942">
        <v>-424.94670000000002</v>
      </c>
      <c r="K2942">
        <v>1.12063</v>
      </c>
      <c r="L2942">
        <v>214.28630000000001</v>
      </c>
      <c r="M2942">
        <v>0.99976379999999998</v>
      </c>
      <c r="N2942">
        <v>-1.48559E-2</v>
      </c>
      <c r="O2942">
        <v>1.5868569999999999E-2</v>
      </c>
      <c r="P2942">
        <v>0.9893497</v>
      </c>
      <c r="Q2942">
        <v>-0.14547679999999999</v>
      </c>
      <c r="R2942">
        <v>4.8738319999999998E-3</v>
      </c>
      <c r="S2942">
        <v>2.9299930000000001</v>
      </c>
      <c r="T2942">
        <v>-0.70093519999999998</v>
      </c>
      <c r="U2942">
        <v>-0.20617679999999999</v>
      </c>
      <c r="V2942">
        <v>1.077613E-2</v>
      </c>
      <c r="W2942">
        <v>-0.1307681</v>
      </c>
      <c r="X2942">
        <v>0.99135439999999997</v>
      </c>
      <c r="Y2942">
        <v>8.3139469999999993E-2</v>
      </c>
      <c r="Z2942">
        <v>-1.392909E-2</v>
      </c>
      <c r="AA2942">
        <v>0.99644060000000001</v>
      </c>
      <c r="AB2942">
        <v>27</v>
      </c>
      <c r="AC2942">
        <v>0.63020000000000198</v>
      </c>
      <c r="AD2942">
        <v>-0.209318699999999</v>
      </c>
      <c r="AE2942">
        <v>-6.5300000000036107E-2</v>
      </c>
      <c r="AF2942">
        <v>6.7883779840965497E-2</v>
      </c>
      <c r="AG2942">
        <v>-0.209318699999999</v>
      </c>
      <c r="AH2942">
        <v>0.56717725866324498</v>
      </c>
      <c r="AI2942">
        <v>110.12476011871</v>
      </c>
      <c r="AJ2942">
        <v>83.174902728840806</v>
      </c>
      <c r="AK2942">
        <v>0.60836877671354805</v>
      </c>
      <c r="AL2942">
        <v>97.513980242797004</v>
      </c>
      <c r="AM2942">
        <v>89.377213182310996</v>
      </c>
      <c r="AN2942">
        <v>0.99999998367737297</v>
      </c>
    </row>
    <row r="2943" spans="1:40" x14ac:dyDescent="0.25">
      <c r="A2943" t="str">
        <f>"20190303154527048"</f>
        <v>20190303154527048</v>
      </c>
      <c r="B2943" t="str">
        <f>"1551599127044304"</f>
        <v>1551599127044304</v>
      </c>
      <c r="C2943" t="s">
        <v>40</v>
      </c>
      <c r="D2943">
        <v>5.1152939999999996</v>
      </c>
      <c r="E2943">
        <v>0.52639469999999899</v>
      </c>
      <c r="F2943" t="s">
        <v>42</v>
      </c>
      <c r="G2943">
        <v>-424.07679999999999</v>
      </c>
      <c r="H2943">
        <v>0.91031930000000005</v>
      </c>
      <c r="I2943">
        <v>214.22409999999999</v>
      </c>
      <c r="J2943">
        <v>-424.6583</v>
      </c>
      <c r="K2943">
        <v>1.120636</v>
      </c>
      <c r="L2943">
        <v>214.29060000000001</v>
      </c>
      <c r="M2943">
        <v>0.99976710000000002</v>
      </c>
      <c r="N2943">
        <v>-1.488506E-2</v>
      </c>
      <c r="O2943">
        <v>1.5632670000000001E-2</v>
      </c>
      <c r="P2943">
        <v>0.98933769999999999</v>
      </c>
      <c r="Q2943">
        <v>-0.14556759999999999</v>
      </c>
      <c r="R2943">
        <v>4.6099820000000003E-3</v>
      </c>
      <c r="S2943">
        <v>2.9291689999999999</v>
      </c>
      <c r="T2943">
        <v>-0.70822159999999901</v>
      </c>
      <c r="U2943">
        <v>-0.207901</v>
      </c>
      <c r="V2943">
        <v>1.080308E-2</v>
      </c>
      <c r="W2943">
        <v>-0.13083040000000001</v>
      </c>
      <c r="X2943">
        <v>0.9913459</v>
      </c>
      <c r="Y2943">
        <v>8.3444340000000006E-2</v>
      </c>
      <c r="Z2943">
        <v>-1.4056259999999999E-2</v>
      </c>
      <c r="AA2943">
        <v>0.99641329999999995</v>
      </c>
      <c r="AB2943">
        <v>27</v>
      </c>
      <c r="AC2943">
        <v>0.58150000000000501</v>
      </c>
      <c r="AD2943">
        <v>-0.210316699999999</v>
      </c>
      <c r="AE2943">
        <v>-6.6500000000019099E-2</v>
      </c>
      <c r="AF2943">
        <v>6.6939779840415506E-2</v>
      </c>
      <c r="AG2943">
        <v>-0.210316699999999</v>
      </c>
      <c r="AH2943">
        <v>0.514017517194715</v>
      </c>
      <c r="AI2943">
        <v>112.08418725656701</v>
      </c>
      <c r="AJ2943">
        <v>82.580208304524703</v>
      </c>
      <c r="AK2943">
        <v>0.559399728644011</v>
      </c>
      <c r="AL2943">
        <v>97.517580602891599</v>
      </c>
      <c r="AM2943">
        <v>89.375650426426802</v>
      </c>
      <c r="AN2943">
        <v>0.99999999677422802</v>
      </c>
    </row>
    <row r="2944" spans="1:40" x14ac:dyDescent="0.25">
      <c r="A2944" t="str">
        <f>"20190303154527068"</f>
        <v>20190303154527068</v>
      </c>
      <c r="B2944" t="str">
        <f>"1551599127063824"</f>
        <v>1551599127063824</v>
      </c>
      <c r="C2944" t="s">
        <v>40</v>
      </c>
      <c r="D2944">
        <v>5.0994010000000003</v>
      </c>
      <c r="E2944">
        <v>0.52645189999999997</v>
      </c>
      <c r="F2944" t="s">
        <v>42</v>
      </c>
      <c r="G2944">
        <v>-423.83350000000002</v>
      </c>
      <c r="H2944">
        <v>0.91809890000000005</v>
      </c>
      <c r="I2944">
        <v>214.2311</v>
      </c>
      <c r="J2944">
        <v>-424.40600000000001</v>
      </c>
      <c r="K2944">
        <v>1.1206430000000001</v>
      </c>
      <c r="L2944">
        <v>214.2944</v>
      </c>
      <c r="M2944">
        <v>0.99977000000000005</v>
      </c>
      <c r="N2944">
        <v>-1.490638E-2</v>
      </c>
      <c r="O2944">
        <v>1.5415959999999999E-2</v>
      </c>
      <c r="P2944">
        <v>0.98943789999999998</v>
      </c>
      <c r="Q2944">
        <v>-0.14488909999999999</v>
      </c>
      <c r="R2944">
        <v>4.4123570000000004E-3</v>
      </c>
      <c r="S2944">
        <v>2.9274900000000001</v>
      </c>
      <c r="T2944">
        <v>-0.71890829999999994</v>
      </c>
      <c r="U2944">
        <v>-0.2105408</v>
      </c>
      <c r="V2944">
        <v>1.0785869999999999E-2</v>
      </c>
      <c r="W2944">
        <v>-0.13012960000000001</v>
      </c>
      <c r="X2944">
        <v>0.99143829999999999</v>
      </c>
      <c r="Y2944">
        <v>8.4058980000000005E-2</v>
      </c>
      <c r="Z2944">
        <v>-1.429441E-2</v>
      </c>
      <c r="AA2944">
        <v>0.99635830000000003</v>
      </c>
      <c r="AB2944">
        <v>27</v>
      </c>
      <c r="AC2944">
        <v>0.57249999999999002</v>
      </c>
      <c r="AD2944">
        <v>-0.2025441</v>
      </c>
      <c r="AE2944">
        <v>-6.3299999999998094E-2</v>
      </c>
      <c r="AF2944">
        <v>6.4182605653370695E-2</v>
      </c>
      <c r="AG2944">
        <v>-0.2025441</v>
      </c>
      <c r="AH2944">
        <v>0.50856900394448701</v>
      </c>
      <c r="AI2944">
        <v>111.560392741703</v>
      </c>
      <c r="AJ2944">
        <v>82.8071637320283</v>
      </c>
      <c r="AK2944">
        <v>0.55116780664907605</v>
      </c>
      <c r="AL2944">
        <v>97.477081652197398</v>
      </c>
      <c r="AM2944">
        <v>89.376703067649501</v>
      </c>
      <c r="AN2944">
        <v>0.99999997524735296</v>
      </c>
    </row>
    <row r="2945" spans="1:40" x14ac:dyDescent="0.25">
      <c r="A2945" t="str">
        <f>"20190303154527093"</f>
        <v>20190303154527093</v>
      </c>
      <c r="B2945" t="str">
        <f>"1551599127084320"</f>
        <v>1551599127084320</v>
      </c>
      <c r="C2945" t="s">
        <v>40</v>
      </c>
      <c r="D2945">
        <v>5.1357980000000003</v>
      </c>
      <c r="E2945">
        <v>0.52655019999999997</v>
      </c>
      <c r="F2945" t="s">
        <v>42</v>
      </c>
      <c r="G2945">
        <v>-423.5933</v>
      </c>
      <c r="H2945">
        <v>0.91994710000000002</v>
      </c>
      <c r="I2945">
        <v>214.23509999999999</v>
      </c>
      <c r="J2945">
        <v>-424.11799999999999</v>
      </c>
      <c r="K2945">
        <v>1.1206389999999999</v>
      </c>
      <c r="L2945">
        <v>214.29849999999999</v>
      </c>
      <c r="M2945">
        <v>0.99977369999999999</v>
      </c>
      <c r="N2945">
        <v>-1.492638E-2</v>
      </c>
      <c r="O2945">
        <v>1.5158369999999999E-2</v>
      </c>
      <c r="P2945">
        <v>0.98949529999999997</v>
      </c>
      <c r="Q2945">
        <v>-0.1444973</v>
      </c>
      <c r="R2945">
        <v>4.4618560000000002E-3</v>
      </c>
      <c r="S2945">
        <v>2.9271240000000001</v>
      </c>
      <c r="T2945">
        <v>-0.72285429999999995</v>
      </c>
      <c r="U2945">
        <v>-0.21176149999999999</v>
      </c>
      <c r="V2945">
        <v>1.048019E-2</v>
      </c>
      <c r="W2945">
        <v>-0.1297171</v>
      </c>
      <c r="X2945">
        <v>0.99149569999999998</v>
      </c>
      <c r="Y2945">
        <v>8.4193840000000006E-2</v>
      </c>
      <c r="Z2945">
        <v>-1.43292E-2</v>
      </c>
      <c r="AA2945">
        <v>0.99634639999999997</v>
      </c>
      <c r="AB2945">
        <v>27</v>
      </c>
      <c r="AC2945">
        <v>0.52470000000005201</v>
      </c>
      <c r="AD2945">
        <v>-0.20069190000000001</v>
      </c>
      <c r="AE2945">
        <v>-6.34000000000014E-2</v>
      </c>
      <c r="AF2945">
        <v>6.2355938595256899E-2</v>
      </c>
      <c r="AG2945">
        <v>-0.20069190000000001</v>
      </c>
      <c r="AH2945">
        <v>0.45768396192178201</v>
      </c>
      <c r="AI2945">
        <v>113.48401272835299</v>
      </c>
      <c r="AJ2945">
        <v>82.241656419386501</v>
      </c>
      <c r="AK2945">
        <v>0.50362695599434004</v>
      </c>
      <c r="AL2945">
        <v>97.453244606165796</v>
      </c>
      <c r="AM2945">
        <v>89.394401514658199</v>
      </c>
      <c r="AN2945">
        <v>1.0000000417666599</v>
      </c>
    </row>
    <row r="2946" spans="1:40" x14ac:dyDescent="0.25">
      <c r="A2946" t="str">
        <f>"20190303154527114"</f>
        <v>20190303154527114</v>
      </c>
      <c r="B2946" t="str">
        <f>"1551599127103840"</f>
        <v>1551599127103840</v>
      </c>
      <c r="C2946" t="s">
        <v>40</v>
      </c>
      <c r="D2946">
        <v>5.0931930000000003</v>
      </c>
      <c r="E2946">
        <v>0.52713639999999995</v>
      </c>
      <c r="F2946" t="s">
        <v>42</v>
      </c>
      <c r="G2946">
        <v>-423.3494</v>
      </c>
      <c r="H2946">
        <v>0.93024519999999999</v>
      </c>
      <c r="I2946">
        <v>214.24270000000001</v>
      </c>
      <c r="J2946">
        <v>-423.86380000000003</v>
      </c>
      <c r="K2946">
        <v>1.120641</v>
      </c>
      <c r="L2946">
        <v>214.3021</v>
      </c>
      <c r="M2946">
        <v>0.99977709999999997</v>
      </c>
      <c r="N2946">
        <v>-1.4940709999999999E-2</v>
      </c>
      <c r="O2946">
        <v>1.492428E-2</v>
      </c>
      <c r="P2946">
        <v>0.98948630000000004</v>
      </c>
      <c r="Q2946">
        <v>-0.1445533</v>
      </c>
      <c r="R2946">
        <v>4.6385559999999899E-3</v>
      </c>
      <c r="S2946">
        <v>2.9269099999999999</v>
      </c>
      <c r="T2946">
        <v>-0.72500089999999995</v>
      </c>
      <c r="U2946">
        <v>-0.21218870000000001</v>
      </c>
      <c r="V2946">
        <v>1.0070040000000001E-2</v>
      </c>
      <c r="W2946">
        <v>-0.12975900000000001</v>
      </c>
      <c r="X2946">
        <v>0.9914944</v>
      </c>
      <c r="Y2946">
        <v>8.410144E-2</v>
      </c>
      <c r="Z2946">
        <v>-1.4305119999999999E-2</v>
      </c>
      <c r="AA2946">
        <v>0.99635450000000003</v>
      </c>
      <c r="AB2946">
        <v>27</v>
      </c>
      <c r="AC2946">
        <v>0.51440000000002295</v>
      </c>
      <c r="AD2946">
        <v>-0.1903958</v>
      </c>
      <c r="AE2946">
        <v>-5.93999999999823E-2</v>
      </c>
      <c r="AF2946">
        <v>5.90835049122512E-2</v>
      </c>
      <c r="AG2946">
        <v>-0.1903958</v>
      </c>
      <c r="AH2946">
        <v>0.45230658758348902</v>
      </c>
      <c r="AI2946">
        <v>112.655562461073</v>
      </c>
      <c r="AJ2946">
        <v>82.557756773651406</v>
      </c>
      <c r="AK2946">
        <v>0.49429006704745398</v>
      </c>
      <c r="AL2946">
        <v>97.455666266400996</v>
      </c>
      <c r="AM2946">
        <v>89.418099634249202</v>
      </c>
      <c r="AN2946">
        <v>0.99999997450898004</v>
      </c>
    </row>
    <row r="2947" spans="1:40" x14ac:dyDescent="0.25">
      <c r="A2947" t="str">
        <f>"20190303154527137"</f>
        <v>20190303154527137</v>
      </c>
      <c r="B2947" t="str">
        <f>"1551599127134097"</f>
        <v>1551599127134097</v>
      </c>
      <c r="C2947" t="s">
        <v>40</v>
      </c>
      <c r="D2947">
        <v>5.1947049999999999</v>
      </c>
      <c r="E2947">
        <v>0.52848700000000004</v>
      </c>
      <c r="F2947" t="s">
        <v>42</v>
      </c>
      <c r="G2947">
        <v>-423.1105</v>
      </c>
      <c r="H2947">
        <v>0.93119050000000003</v>
      </c>
      <c r="I2947">
        <v>214.24610000000001</v>
      </c>
      <c r="J2947">
        <v>-423.59339999999997</v>
      </c>
      <c r="K2947">
        <v>1.1206389999999999</v>
      </c>
      <c r="L2947">
        <v>214.30590000000001</v>
      </c>
      <c r="M2947">
        <v>0.99978069999999997</v>
      </c>
      <c r="N2947">
        <v>-1.49531E-2</v>
      </c>
      <c r="O2947">
        <v>1.466978E-2</v>
      </c>
      <c r="P2947">
        <v>0.98942269999999999</v>
      </c>
      <c r="Q2947">
        <v>-0.1449857</v>
      </c>
      <c r="R2947">
        <v>4.7016499999999999E-3</v>
      </c>
      <c r="S2947">
        <v>2.9254150000000001</v>
      </c>
      <c r="T2947">
        <v>-0.73579589999999995</v>
      </c>
      <c r="U2947">
        <v>-0.21728520000000001</v>
      </c>
      <c r="V2947">
        <v>9.7522879999999996E-3</v>
      </c>
      <c r="W2947">
        <v>-0.13017980000000001</v>
      </c>
      <c r="X2947">
        <v>0.99144239999999995</v>
      </c>
      <c r="Y2947">
        <v>8.5480210000000001E-2</v>
      </c>
      <c r="Z2947">
        <v>-1.4634400000000001E-2</v>
      </c>
      <c r="AA2947">
        <v>0.99623240000000002</v>
      </c>
      <c r="AB2947">
        <v>27</v>
      </c>
      <c r="AC2947">
        <v>0.48289999999997202</v>
      </c>
      <c r="AD2947">
        <v>-0.18944849999999899</v>
      </c>
      <c r="AE2947">
        <v>-5.97999999999956E-2</v>
      </c>
      <c r="AF2947">
        <v>5.8075040392866303E-2</v>
      </c>
      <c r="AG2947">
        <v>-0.18944849999999899</v>
      </c>
      <c r="AH2947">
        <v>0.41852780354973701</v>
      </c>
      <c r="AI2947">
        <v>114.149491661065</v>
      </c>
      <c r="AJ2947">
        <v>82.100066019943498</v>
      </c>
      <c r="AK2947">
        <v>0.46306475444914902</v>
      </c>
      <c r="AL2947">
        <v>97.479982691365194</v>
      </c>
      <c r="AM2947">
        <v>89.436430272954993</v>
      </c>
      <c r="AN2947">
        <v>0.99999995998351598</v>
      </c>
    </row>
    <row r="2948" spans="1:40" x14ac:dyDescent="0.25">
      <c r="A2948" t="str">
        <f>"20190303154527163"</f>
        <v>20190303154527163</v>
      </c>
      <c r="B2948" t="str">
        <f>"1551599127153617"</f>
        <v>1551599127153617</v>
      </c>
      <c r="C2948" t="s">
        <v>40</v>
      </c>
      <c r="D2948">
        <v>5.1577820000000001</v>
      </c>
      <c r="E2948">
        <v>0.55210300000000001</v>
      </c>
      <c r="F2948" t="s">
        <v>42</v>
      </c>
      <c r="G2948">
        <v>-422.8691</v>
      </c>
      <c r="H2948">
        <v>0.93809770000000003</v>
      </c>
      <c r="I2948">
        <v>214.2492</v>
      </c>
      <c r="J2948">
        <v>-423.30040000000002</v>
      </c>
      <c r="K2948">
        <v>1.1206449999999999</v>
      </c>
      <c r="L2948">
        <v>214.3099</v>
      </c>
      <c r="M2948">
        <v>0.99978469999999997</v>
      </c>
      <c r="N2948">
        <v>-1.496363E-2</v>
      </c>
      <c r="O2948">
        <v>1.438596E-2</v>
      </c>
      <c r="P2948">
        <v>0.98943829999999999</v>
      </c>
      <c r="Q2948">
        <v>-0.1448931</v>
      </c>
      <c r="R2948">
        <v>4.2567020000000002E-3</v>
      </c>
      <c r="S2948">
        <v>2.9251399999999999</v>
      </c>
      <c r="T2948">
        <v>-0.73720339999999995</v>
      </c>
      <c r="U2948">
        <v>-0.22795099999999999</v>
      </c>
      <c r="V2948">
        <v>9.9152800000000003E-3</v>
      </c>
      <c r="W2948">
        <v>-0.13007679999999999</v>
      </c>
      <c r="X2948">
        <v>0.99145439999999996</v>
      </c>
      <c r="Y2948">
        <v>8.8705279999999997E-2</v>
      </c>
      <c r="Z2948">
        <v>-1.501861E-2</v>
      </c>
      <c r="AA2948">
        <v>0.99594470000000002</v>
      </c>
      <c r="AB2948">
        <v>27</v>
      </c>
      <c r="AC2948">
        <v>0.431300000000021</v>
      </c>
      <c r="AD2948">
        <v>-0.1825473</v>
      </c>
      <c r="AE2948">
        <v>-6.0699999999996999E-2</v>
      </c>
      <c r="AF2948">
        <v>5.6903400097812001E-2</v>
      </c>
      <c r="AG2948">
        <v>-0.1825473</v>
      </c>
      <c r="AH2948">
        <v>0.36607682235053901</v>
      </c>
      <c r="AI2948">
        <v>116.231366452655</v>
      </c>
      <c r="AJ2948">
        <v>81.164585969711496</v>
      </c>
      <c r="AK2948">
        <v>0.41300575485367003</v>
      </c>
      <c r="AL2948">
        <v>97.474029887236</v>
      </c>
      <c r="AM2948">
        <v>89.427018773404598</v>
      </c>
      <c r="AN2948">
        <v>1.00000005697753</v>
      </c>
    </row>
    <row r="2949" spans="1:40" x14ac:dyDescent="0.25">
      <c r="A2949" t="str">
        <f>"20190303154527184"</f>
        <v>20190303154527184</v>
      </c>
      <c r="B2949" t="str">
        <f>"1551599127174112"</f>
        <v>1551599127174112</v>
      </c>
      <c r="C2949" t="s">
        <v>40</v>
      </c>
      <c r="D2949">
        <v>5.1197540000000004</v>
      </c>
      <c r="E2949">
        <v>0.55116980000000004</v>
      </c>
      <c r="F2949" t="s">
        <v>42</v>
      </c>
      <c r="G2949">
        <v>-422.43349999999998</v>
      </c>
      <c r="H2949">
        <v>0.84241960000000005</v>
      </c>
      <c r="I2949">
        <v>214.1824</v>
      </c>
      <c r="J2949">
        <v>-423.03559999999999</v>
      </c>
      <c r="K2949">
        <v>1.1206480000000001</v>
      </c>
      <c r="L2949">
        <v>214.3134</v>
      </c>
      <c r="M2949">
        <v>0.99978829999999996</v>
      </c>
      <c r="N2949">
        <v>-1.497073E-2</v>
      </c>
      <c r="O2949">
        <v>1.4121379999999999E-2</v>
      </c>
      <c r="P2949">
        <v>0.98946800000000001</v>
      </c>
      <c r="Q2949">
        <v>-0.14470150000000001</v>
      </c>
      <c r="R2949">
        <v>3.8312929999999999E-3</v>
      </c>
      <c r="S2949">
        <v>2.8976139999999999</v>
      </c>
      <c r="T2949">
        <v>-0.93011489999999997</v>
      </c>
      <c r="U2949">
        <v>-0.42672729999999998</v>
      </c>
      <c r="V2949">
        <v>1.007802E-2</v>
      </c>
      <c r="W2949">
        <v>-0.12987799999999999</v>
      </c>
      <c r="X2949">
        <v>0.99147870000000005</v>
      </c>
      <c r="Y2949">
        <v>0.15120690000000001</v>
      </c>
      <c r="Z2949">
        <v>-2.8917129999999999E-2</v>
      </c>
      <c r="AA2949">
        <v>0.98807909999999999</v>
      </c>
      <c r="AB2949">
        <v>27</v>
      </c>
      <c r="AC2949">
        <v>0.60210000000000696</v>
      </c>
      <c r="AD2949">
        <v>-0.27822839999999899</v>
      </c>
      <c r="AE2949">
        <v>-0.13100000000000001</v>
      </c>
      <c r="AF2949">
        <v>0.115867139205801</v>
      </c>
      <c r="AG2949">
        <v>-0.27822839999999899</v>
      </c>
      <c r="AH2949">
        <v>0.49854538366860401</v>
      </c>
      <c r="AI2949">
        <v>118.52817072139</v>
      </c>
      <c r="AJ2949">
        <v>76.916136949783393</v>
      </c>
      <c r="AK2949">
        <v>0.58256650786976405</v>
      </c>
      <c r="AL2949">
        <v>97.462542935678002</v>
      </c>
      <c r="AM2949">
        <v>89.417629318214793</v>
      </c>
      <c r="AN2949">
        <v>0.99999993696240297</v>
      </c>
    </row>
    <row r="2950" spans="1:40" x14ac:dyDescent="0.25">
      <c r="A2950" t="str">
        <f>"20190303154527207"</f>
        <v>20190303154527207</v>
      </c>
      <c r="B2950" t="str">
        <f>"1551599127193632"</f>
        <v>1551599127193632</v>
      </c>
      <c r="C2950" t="s">
        <v>40</v>
      </c>
      <c r="D2950">
        <v>5.0926819999999999</v>
      </c>
      <c r="E2950">
        <v>0.55110219999999999</v>
      </c>
      <c r="F2950" t="s">
        <v>42</v>
      </c>
      <c r="G2950">
        <v>-422.19420000000002</v>
      </c>
      <c r="H2950">
        <v>0.84937809999999903</v>
      </c>
      <c r="I2950">
        <v>214.1908</v>
      </c>
      <c r="J2950">
        <v>-422.78059999999999</v>
      </c>
      <c r="K2950">
        <v>1.1206529999999999</v>
      </c>
      <c r="L2950">
        <v>214.3167</v>
      </c>
      <c r="M2950">
        <v>0.99979169999999995</v>
      </c>
      <c r="N2950">
        <v>-1.497588E-2</v>
      </c>
      <c r="O2950">
        <v>1.3861170000000001E-2</v>
      </c>
      <c r="P2950">
        <v>0.98950970000000005</v>
      </c>
      <c r="Q2950">
        <v>-0.14443039999999999</v>
      </c>
      <c r="R2950">
        <v>3.2063930000000001E-3</v>
      </c>
      <c r="S2950">
        <v>2.8969420000000001</v>
      </c>
      <c r="T2950">
        <v>-0.93403320000000001</v>
      </c>
      <c r="U2950">
        <v>-0.42054750000000002</v>
      </c>
      <c r="V2950">
        <v>1.044488E-2</v>
      </c>
      <c r="W2950">
        <v>-0.12960160000000001</v>
      </c>
      <c r="X2950">
        <v>0.99151109999999998</v>
      </c>
      <c r="Y2950">
        <v>0.14897199999999999</v>
      </c>
      <c r="Z2950">
        <v>-2.8595249999999999E-2</v>
      </c>
      <c r="AA2950">
        <v>0.98842790000000003</v>
      </c>
      <c r="AB2950">
        <v>27</v>
      </c>
      <c r="AC2950">
        <v>0.58639999999996895</v>
      </c>
      <c r="AD2950">
        <v>-0.27127489999999999</v>
      </c>
      <c r="AE2950">
        <v>-0.12590000000000101</v>
      </c>
      <c r="AF2950">
        <v>0.111256358207452</v>
      </c>
      <c r="AG2950">
        <v>-0.27127489999999999</v>
      </c>
      <c r="AH2950">
        <v>0.48531365126653703</v>
      </c>
      <c r="AI2950">
        <v>118.583091417616</v>
      </c>
      <c r="AJ2950">
        <v>77.088256489135006</v>
      </c>
      <c r="AK2950">
        <v>0.56700739740964001</v>
      </c>
      <c r="AL2950">
        <v>97.446571174648199</v>
      </c>
      <c r="AM2950">
        <v>89.396451127873604</v>
      </c>
      <c r="AN2950">
        <v>0.99999996583199102</v>
      </c>
    </row>
    <row r="2951" spans="1:40" x14ac:dyDescent="0.25">
      <c r="A2951" t="str">
        <f>"20190303154527227"</f>
        <v>20190303154527227</v>
      </c>
      <c r="B2951" t="str">
        <f>"1551599127223889"</f>
        <v>1551599127223889</v>
      </c>
      <c r="C2951" t="s">
        <v>40</v>
      </c>
      <c r="D2951">
        <v>5.0268050000000004</v>
      </c>
      <c r="E2951">
        <v>0.55080019999999996</v>
      </c>
      <c r="F2951" t="s">
        <v>42</v>
      </c>
      <c r="G2951">
        <v>-421.95569999999998</v>
      </c>
      <c r="H2951">
        <v>0.85513439999999996</v>
      </c>
      <c r="I2951">
        <v>214.19640000000001</v>
      </c>
      <c r="J2951">
        <v>-422.52550000000002</v>
      </c>
      <c r="K2951">
        <v>1.120655</v>
      </c>
      <c r="L2951">
        <v>214.31989999999999</v>
      </c>
      <c r="M2951">
        <v>0.9997954</v>
      </c>
      <c r="N2951">
        <v>-1.4979579999999999E-2</v>
      </c>
      <c r="O2951">
        <v>1.359519E-2</v>
      </c>
      <c r="P2951">
        <v>0.98951100000000003</v>
      </c>
      <c r="Q2951">
        <v>-0.14441979999999999</v>
      </c>
      <c r="R2951">
        <v>3.30591E-3</v>
      </c>
      <c r="S2951">
        <v>2.8970950000000002</v>
      </c>
      <c r="T2951">
        <v>-0.9324732</v>
      </c>
      <c r="U2951">
        <v>-0.42182920000000002</v>
      </c>
      <c r="V2951">
        <v>1.0081089999999999E-2</v>
      </c>
      <c r="W2951">
        <v>-0.12958699999999901</v>
      </c>
      <c r="X2951">
        <v>0.99151679999999998</v>
      </c>
      <c r="Y2951">
        <v>0.14916070000000001</v>
      </c>
      <c r="Z2951">
        <v>-2.8500930000000001E-2</v>
      </c>
      <c r="AA2951">
        <v>0.98840209999999995</v>
      </c>
      <c r="AB2951">
        <v>26</v>
      </c>
      <c r="AC2951">
        <v>0.56980000000004305</v>
      </c>
      <c r="AD2951">
        <v>-0.265520599999999</v>
      </c>
      <c r="AE2951">
        <v>-0.123499999999978</v>
      </c>
      <c r="AF2951">
        <v>0.10869281680638899</v>
      </c>
      <c r="AG2951">
        <v>-0.265520599999999</v>
      </c>
      <c r="AH2951">
        <v>0.47048774223756701</v>
      </c>
      <c r="AI2951">
        <v>118.805030839574</v>
      </c>
      <c r="AJ2951">
        <v>76.991657023630196</v>
      </c>
      <c r="AK2951">
        <v>0.55106626919588397</v>
      </c>
      <c r="AL2951">
        <v>97.445727347422704</v>
      </c>
      <c r="AM2951">
        <v>89.417474310178406</v>
      </c>
      <c r="AN2951">
        <v>0.99999999181341404</v>
      </c>
    </row>
    <row r="2952" spans="1:40" x14ac:dyDescent="0.25">
      <c r="A2952" t="str">
        <f>"20190303154527249"</f>
        <v>20190303154527249</v>
      </c>
      <c r="B2952" t="str">
        <f>"1551599127243408"</f>
        <v>1551599127243408</v>
      </c>
      <c r="C2952" t="s">
        <v>40</v>
      </c>
      <c r="D2952">
        <v>4.9982680000000004</v>
      </c>
      <c r="E2952">
        <v>0.55063030000000002</v>
      </c>
      <c r="F2952" t="s">
        <v>42</v>
      </c>
      <c r="G2952">
        <v>-421.7176</v>
      </c>
      <c r="H2952">
        <v>0.86100509999999997</v>
      </c>
      <c r="I2952">
        <v>214.2029</v>
      </c>
      <c r="J2952">
        <v>-422.27440000000001</v>
      </c>
      <c r="K2952">
        <v>1.1206590000000001</v>
      </c>
      <c r="L2952">
        <v>214.32300000000001</v>
      </c>
      <c r="M2952">
        <v>0.99979910000000005</v>
      </c>
      <c r="N2952">
        <v>-1.4981990000000001E-2</v>
      </c>
      <c r="O2952">
        <v>1.332708E-2</v>
      </c>
      <c r="P2952">
        <v>0.98953429999999998</v>
      </c>
      <c r="Q2952">
        <v>-0.14426939999999999</v>
      </c>
      <c r="R2952">
        <v>2.9059480000000002E-3</v>
      </c>
      <c r="S2952">
        <v>2.897278</v>
      </c>
      <c r="T2952">
        <v>-0.931145</v>
      </c>
      <c r="U2952">
        <v>-0.4190063</v>
      </c>
      <c r="V2952">
        <v>1.0214869999999999E-2</v>
      </c>
      <c r="W2952">
        <v>-0.1294343</v>
      </c>
      <c r="X2952">
        <v>0.99153539999999996</v>
      </c>
      <c r="Y2952">
        <v>0.14803659999999999</v>
      </c>
      <c r="Z2952">
        <v>-2.8199849999999999E-2</v>
      </c>
      <c r="AA2952">
        <v>0.98857980000000001</v>
      </c>
      <c r="AB2952">
        <v>26</v>
      </c>
      <c r="AC2952">
        <v>0.55680000000000895</v>
      </c>
      <c r="AD2952">
        <v>-0.25965389999999999</v>
      </c>
      <c r="AE2952">
        <v>-0.120099999999979</v>
      </c>
      <c r="AF2952">
        <v>0.105572844317667</v>
      </c>
      <c r="AG2952">
        <v>-0.25965389999999999</v>
      </c>
      <c r="AH2952">
        <v>0.45963789380891801</v>
      </c>
      <c r="AI2952">
        <v>118.836006112178</v>
      </c>
      <c r="AJ2952">
        <v>77.064269751899204</v>
      </c>
      <c r="AK2952">
        <v>0.53836118607086703</v>
      </c>
      <c r="AL2952">
        <v>97.436903794315697</v>
      </c>
      <c r="AM2952">
        <v>89.4097555818975</v>
      </c>
      <c r="AN2952">
        <v>1.00000001551938</v>
      </c>
    </row>
    <row r="2953" spans="1:40" x14ac:dyDescent="0.25">
      <c r="A2953" t="str">
        <f>"20190303154527271"</f>
        <v>20190303154527271</v>
      </c>
      <c r="B2953" t="str">
        <f>"1551599127263904"</f>
        <v>1551599127263904</v>
      </c>
      <c r="C2953" t="s">
        <v>40</v>
      </c>
      <c r="D2953">
        <v>4.953805</v>
      </c>
      <c r="E2953">
        <v>0.55063649999999997</v>
      </c>
      <c r="F2953" t="s">
        <v>42</v>
      </c>
      <c r="G2953">
        <v>-421.48059999999998</v>
      </c>
      <c r="H2953">
        <v>0.8654153</v>
      </c>
      <c r="I2953">
        <v>214.2081</v>
      </c>
      <c r="J2953">
        <v>-422.00349999999997</v>
      </c>
      <c r="K2953">
        <v>1.12066</v>
      </c>
      <c r="L2953">
        <v>214.3263</v>
      </c>
      <c r="M2953">
        <v>0.99980290000000005</v>
      </c>
      <c r="N2953">
        <v>-1.4983379999999999E-2</v>
      </c>
      <c r="O2953">
        <v>1.302855E-2</v>
      </c>
      <c r="P2953">
        <v>0.98953729999999995</v>
      </c>
      <c r="Q2953">
        <v>-0.14425460000000001</v>
      </c>
      <c r="R2953">
        <v>2.5815180000000001E-3</v>
      </c>
      <c r="S2953">
        <v>2.8971559999999998</v>
      </c>
      <c r="T2953">
        <v>-0.93149219999999999</v>
      </c>
      <c r="U2953">
        <v>-0.41864010000000001</v>
      </c>
      <c r="V2953">
        <v>1.0242269999999999E-2</v>
      </c>
      <c r="W2953">
        <v>-0.12941810000000001</v>
      </c>
      <c r="X2953">
        <v>0.99153720000000001</v>
      </c>
      <c r="Y2953">
        <v>0.147651799999999</v>
      </c>
      <c r="Z2953">
        <v>-2.8059069999999998E-2</v>
      </c>
      <c r="AA2953">
        <v>0.98864129999999995</v>
      </c>
      <c r="AB2953">
        <v>26</v>
      </c>
      <c r="AC2953">
        <v>0.52289999999999204</v>
      </c>
      <c r="AD2953">
        <v>-0.25524469999999999</v>
      </c>
      <c r="AE2953">
        <v>-0.118200000000001</v>
      </c>
      <c r="AF2953">
        <v>0.101902934153581</v>
      </c>
      <c r="AG2953">
        <v>-0.25524469999999999</v>
      </c>
      <c r="AH2953">
        <v>0.42497718154070402</v>
      </c>
      <c r="AI2953">
        <v>120.28715663138701</v>
      </c>
      <c r="AJ2953">
        <v>76.515942934748793</v>
      </c>
      <c r="AK2953">
        <v>0.50610243004502498</v>
      </c>
      <c r="AL2953">
        <v>97.435967966390095</v>
      </c>
      <c r="AM2953">
        <v>89.408173518262601</v>
      </c>
      <c r="AN2953">
        <v>0.99999998384310096</v>
      </c>
    </row>
    <row r="2954" spans="1:40" x14ac:dyDescent="0.25">
      <c r="A2954" t="str">
        <f>"20190303154527294"</f>
        <v>20190303154527294</v>
      </c>
      <c r="B2954" t="str">
        <f>"1551599127284400"</f>
        <v>1551599127284400</v>
      </c>
      <c r="C2954" t="s">
        <v>40</v>
      </c>
      <c r="D2954">
        <v>4.9210949999999896</v>
      </c>
      <c r="E2954">
        <v>0.5506607</v>
      </c>
      <c r="F2954" t="s">
        <v>42</v>
      </c>
      <c r="G2954">
        <v>-421.24160000000001</v>
      </c>
      <c r="H2954">
        <v>0.87559509999999996</v>
      </c>
      <c r="I2954">
        <v>214.21549999999999</v>
      </c>
      <c r="J2954">
        <v>-421.74810000000002</v>
      </c>
      <c r="K2954">
        <v>1.1206560000000001</v>
      </c>
      <c r="L2954">
        <v>214.32929999999999</v>
      </c>
      <c r="M2954">
        <v>0.9998068</v>
      </c>
      <c r="N2954">
        <v>-1.4983720000000001E-2</v>
      </c>
      <c r="O2954">
        <v>1.27365E-2</v>
      </c>
      <c r="P2954">
        <v>0.98958380000000001</v>
      </c>
      <c r="Q2954">
        <v>-0.14394109999999999</v>
      </c>
      <c r="R2954">
        <v>2.3014120000000001E-3</v>
      </c>
      <c r="S2954">
        <v>2.896973</v>
      </c>
      <c r="T2954">
        <v>-0.93181429999999998</v>
      </c>
      <c r="U2954">
        <v>-0.41963200000000001</v>
      </c>
      <c r="V2954">
        <v>1.0232049999999999E-2</v>
      </c>
      <c r="W2954">
        <v>-0.12910389999999999</v>
      </c>
      <c r="X2954">
        <v>0.99157830000000002</v>
      </c>
      <c r="Y2954">
        <v>0.1477079</v>
      </c>
      <c r="Z2954">
        <v>-2.79913E-2</v>
      </c>
      <c r="AA2954">
        <v>0.98863480000000004</v>
      </c>
      <c r="AB2954">
        <v>26</v>
      </c>
      <c r="AC2954">
        <v>0.50650000000001605</v>
      </c>
      <c r="AD2954">
        <v>-0.245060899999999</v>
      </c>
      <c r="AE2954">
        <v>-0.113799999999997</v>
      </c>
      <c r="AF2954">
        <v>9.8330221968117304E-2</v>
      </c>
      <c r="AG2954">
        <v>-0.245060899999999</v>
      </c>
      <c r="AH2954">
        <v>0.41297933921399999</v>
      </c>
      <c r="AI2954">
        <v>119.996128931562</v>
      </c>
      <c r="AJ2954">
        <v>76.607264882910897</v>
      </c>
      <c r="AK2954">
        <v>0.49017916304014902</v>
      </c>
      <c r="AL2954">
        <v>97.417813067605806</v>
      </c>
      <c r="AM2954">
        <v>89.408788520424494</v>
      </c>
      <c r="AN2954">
        <v>1.00000001843665</v>
      </c>
    </row>
    <row r="2955" spans="1:40" x14ac:dyDescent="0.25">
      <c r="A2955" t="str">
        <f>"20190303154527316"</f>
        <v>20190303154527316</v>
      </c>
      <c r="B2955" t="str">
        <f>"1551599127313680"</f>
        <v>1551599127313680</v>
      </c>
      <c r="C2955" t="s">
        <v>40</v>
      </c>
      <c r="D2955">
        <v>4.8966000000000003</v>
      </c>
      <c r="E2955">
        <v>0.5505295</v>
      </c>
      <c r="F2955" t="s">
        <v>42</v>
      </c>
      <c r="G2955">
        <v>-421.00470000000001</v>
      </c>
      <c r="H2955">
        <v>0.88184309999999999</v>
      </c>
      <c r="I2955">
        <v>214.22149999999999</v>
      </c>
      <c r="J2955">
        <v>-421.4796</v>
      </c>
      <c r="K2955">
        <v>1.1206529999999999</v>
      </c>
      <c r="L2955">
        <v>214.33240000000001</v>
      </c>
      <c r="M2955">
        <v>0.99981059999999999</v>
      </c>
      <c r="N2955">
        <v>-1.4983140000000001E-2</v>
      </c>
      <c r="O2955">
        <v>1.241862E-2</v>
      </c>
      <c r="P2955">
        <v>0.98966189999999998</v>
      </c>
      <c r="Q2955">
        <v>-0.1434029</v>
      </c>
      <c r="R2955">
        <v>2.2840320000000001E-3</v>
      </c>
      <c r="S2955">
        <v>2.897186</v>
      </c>
      <c r="T2955">
        <v>-0.93071420000000005</v>
      </c>
      <c r="U2955">
        <v>-0.42050169999999998</v>
      </c>
      <c r="V2955">
        <v>9.9336719999999993E-3</v>
      </c>
      <c r="W2955">
        <v>-0.12856509999999999</v>
      </c>
      <c r="X2955">
        <v>0.99165130000000001</v>
      </c>
      <c r="Y2955">
        <v>0.1477088</v>
      </c>
      <c r="Z2955">
        <v>-2.786398E-2</v>
      </c>
      <c r="AA2955">
        <v>0.98863829999999997</v>
      </c>
      <c r="AB2955">
        <v>26</v>
      </c>
      <c r="AC2955">
        <v>0.474899999999991</v>
      </c>
      <c r="AD2955">
        <v>-0.23880989999999999</v>
      </c>
      <c r="AE2955">
        <v>-0.110900000000015</v>
      </c>
      <c r="AF2955">
        <v>9.4200822280188598E-2</v>
      </c>
      <c r="AG2955">
        <v>-0.23880989999999999</v>
      </c>
      <c r="AH2955">
        <v>0.38190667034635001</v>
      </c>
      <c r="AI2955">
        <v>121.262507716475</v>
      </c>
      <c r="AJ2955">
        <v>76.144047740436704</v>
      </c>
      <c r="AK2955">
        <v>0.460170259916164</v>
      </c>
      <c r="AL2955">
        <v>97.386682936642202</v>
      </c>
      <c r="AM2955">
        <v>89.426069986309997</v>
      </c>
      <c r="AN2955">
        <v>0.99999998178455096</v>
      </c>
    </row>
    <row r="2956" spans="1:40" x14ac:dyDescent="0.25">
      <c r="A2956" t="str">
        <f>"20190303154527338"</f>
        <v>20190303154527338</v>
      </c>
      <c r="B2956" t="str">
        <f>"1551599127334176"</f>
        <v>1551599127334176</v>
      </c>
      <c r="C2956" t="s">
        <v>40</v>
      </c>
      <c r="D2956">
        <v>4.873011</v>
      </c>
      <c r="E2956">
        <v>0.55062119999999903</v>
      </c>
      <c r="F2956" t="s">
        <v>42</v>
      </c>
      <c r="G2956">
        <v>-420.76650000000001</v>
      </c>
      <c r="H2956">
        <v>0.89214969999999905</v>
      </c>
      <c r="I2956">
        <v>214.22880000000001</v>
      </c>
      <c r="J2956">
        <v>-421.22579999999999</v>
      </c>
      <c r="K2956">
        <v>1.120652</v>
      </c>
      <c r="L2956">
        <v>214.33519999999999</v>
      </c>
      <c r="M2956">
        <v>0.99981450000000005</v>
      </c>
      <c r="N2956">
        <v>-1.498172E-2</v>
      </c>
      <c r="O2956">
        <v>1.210551E-2</v>
      </c>
      <c r="P2956">
        <v>0.98971240000000005</v>
      </c>
      <c r="Q2956">
        <v>-0.1430515</v>
      </c>
      <c r="R2956">
        <v>2.3762369999999998E-3</v>
      </c>
      <c r="S2956">
        <v>2.8977659999999998</v>
      </c>
      <c r="T2956">
        <v>-0.92853379999999996</v>
      </c>
      <c r="U2956">
        <v>-0.4197998</v>
      </c>
      <c r="V2956">
        <v>9.5297030000000005E-3</v>
      </c>
      <c r="W2956">
        <v>-0.1282142</v>
      </c>
      <c r="X2956">
        <v>0.99170069999999999</v>
      </c>
      <c r="Y2956">
        <v>0.14721589999999901</v>
      </c>
      <c r="Z2956">
        <v>-2.7625670000000001E-2</v>
      </c>
      <c r="AA2956">
        <v>0.98871849999999994</v>
      </c>
      <c r="AB2956">
        <v>26</v>
      </c>
      <c r="AC2956">
        <v>0.459299999999984</v>
      </c>
      <c r="AD2956">
        <v>-0.22850229999999999</v>
      </c>
      <c r="AE2956">
        <v>-0.106399999999979</v>
      </c>
      <c r="AF2956">
        <v>9.0657342932631696E-2</v>
      </c>
      <c r="AG2956">
        <v>-0.22850229999999999</v>
      </c>
      <c r="AH2956">
        <v>0.370862109712224</v>
      </c>
      <c r="AI2956">
        <v>120.90116194814701</v>
      </c>
      <c r="AJ2956">
        <v>76.263416723115299</v>
      </c>
      <c r="AK2956">
        <v>0.44493905127904498</v>
      </c>
      <c r="AL2956">
        <v>97.366410023580102</v>
      </c>
      <c r="AM2956">
        <v>89.449435745777606</v>
      </c>
      <c r="AN2956">
        <v>0.99999998735069895</v>
      </c>
    </row>
    <row r="2957" spans="1:40" x14ac:dyDescent="0.25">
      <c r="A2957" t="str">
        <f>"20190303154527362"</f>
        <v>20190303154527362</v>
      </c>
      <c r="B2957" t="str">
        <f>"1551599127353696"</f>
        <v>1551599127353696</v>
      </c>
      <c r="C2957" t="s">
        <v>40</v>
      </c>
      <c r="D2957">
        <v>4.8371649999999997</v>
      </c>
      <c r="E2957">
        <v>0.55070269999999899</v>
      </c>
      <c r="F2957" t="s">
        <v>42</v>
      </c>
      <c r="G2957">
        <v>-420.53039999999999</v>
      </c>
      <c r="H2957">
        <v>0.89843819999999996</v>
      </c>
      <c r="I2957">
        <v>214.2345</v>
      </c>
      <c r="J2957">
        <v>-420.94799999999998</v>
      </c>
      <c r="K2957">
        <v>1.120649</v>
      </c>
      <c r="L2957">
        <v>214.3381</v>
      </c>
      <c r="M2957">
        <v>0.99981869999999995</v>
      </c>
      <c r="N2957">
        <v>-1.4979599999999999E-2</v>
      </c>
      <c r="O2957">
        <v>1.174977E-2</v>
      </c>
      <c r="P2957">
        <v>0.98975559999999996</v>
      </c>
      <c r="Q2957">
        <v>-0.14275499999999999</v>
      </c>
      <c r="R2957">
        <v>2.2439439999999999E-3</v>
      </c>
      <c r="S2957">
        <v>2.8983150000000002</v>
      </c>
      <c r="T2957">
        <v>-0.92620829999999998</v>
      </c>
      <c r="U2957">
        <v>-0.41998289999999999</v>
      </c>
      <c r="V2957">
        <v>9.3078320000000003E-3</v>
      </c>
      <c r="W2957">
        <v>-0.12791920000000001</v>
      </c>
      <c r="X2957">
        <v>0.99174090000000004</v>
      </c>
      <c r="Y2957">
        <v>0.14696960000000001</v>
      </c>
      <c r="Z2957">
        <v>-2.7411479999999998E-2</v>
      </c>
      <c r="AA2957">
        <v>0.98876109999999995</v>
      </c>
      <c r="AB2957">
        <v>26</v>
      </c>
      <c r="AC2957">
        <v>0.41760000000004899</v>
      </c>
      <c r="AD2957">
        <v>-0.22221080000000001</v>
      </c>
      <c r="AE2957">
        <v>-0.1036</v>
      </c>
      <c r="AF2957">
        <v>8.5653744695113096E-2</v>
      </c>
      <c r="AG2957">
        <v>-0.22221080000000001</v>
      </c>
      <c r="AH2957">
        <v>0.32868409850378699</v>
      </c>
      <c r="AI2957">
        <v>123.193228482934</v>
      </c>
      <c r="AJ2957">
        <v>75.393805134262294</v>
      </c>
      <c r="AK2957">
        <v>0.40589092158630802</v>
      </c>
      <c r="AL2957">
        <v>97.349367448735293</v>
      </c>
      <c r="AM2957">
        <v>89.462275043481</v>
      </c>
      <c r="AN2957">
        <v>0.99999998509899501</v>
      </c>
    </row>
    <row r="2958" spans="1:40" x14ac:dyDescent="0.25">
      <c r="A2958" t="str">
        <f>"20190303154527385"</f>
        <v>20190303154527385</v>
      </c>
      <c r="B2958" t="str">
        <f>"1551599127374192"</f>
        <v>1551599127374192</v>
      </c>
      <c r="C2958" t="s">
        <v>40</v>
      </c>
      <c r="D2958">
        <v>4.8114610000000004</v>
      </c>
      <c r="E2958">
        <v>0.55077330000000002</v>
      </c>
      <c r="F2958" t="s">
        <v>42</v>
      </c>
      <c r="G2958">
        <v>-420.08580000000001</v>
      </c>
      <c r="H2958">
        <v>0.84568759999999998</v>
      </c>
      <c r="I2958">
        <v>214.21250000000001</v>
      </c>
      <c r="J2958">
        <v>-420.67680000000001</v>
      </c>
      <c r="K2958">
        <v>1.12064599999999</v>
      </c>
      <c r="L2958">
        <v>214.3409</v>
      </c>
      <c r="M2958">
        <v>0.99982309999999996</v>
      </c>
      <c r="N2958">
        <v>-1.497691E-2</v>
      </c>
      <c r="O2958">
        <v>1.1390870000000001E-2</v>
      </c>
      <c r="P2958">
        <v>0.98980559999999995</v>
      </c>
      <c r="Q2958">
        <v>-0.14241579999999901</v>
      </c>
      <c r="R2958">
        <v>1.6828240000000001E-3</v>
      </c>
      <c r="S2958">
        <v>2.898682</v>
      </c>
      <c r="T2958">
        <v>-0.92432259999999999</v>
      </c>
      <c r="U2958">
        <v>-0.42102050000000002</v>
      </c>
      <c r="V2958">
        <v>9.5124259999999992E-3</v>
      </c>
      <c r="W2958">
        <v>-0.12758230000000001</v>
      </c>
      <c r="X2958">
        <v>0.99178239999999995</v>
      </c>
      <c r="Y2958">
        <v>0.1469925</v>
      </c>
      <c r="Z2958">
        <v>-2.7253889999999999E-2</v>
      </c>
      <c r="AA2958">
        <v>0.98876209999999998</v>
      </c>
      <c r="AB2958">
        <v>26</v>
      </c>
      <c r="AC2958">
        <v>0.59100000000000796</v>
      </c>
      <c r="AD2958">
        <v>-0.27495839999999899</v>
      </c>
      <c r="AE2958">
        <v>-0.12839999999999899</v>
      </c>
      <c r="AF2958">
        <v>0.111978991051928</v>
      </c>
      <c r="AG2958">
        <v>-0.27495839999999899</v>
      </c>
      <c r="AH2958">
        <v>0.488523752473836</v>
      </c>
      <c r="AI2958">
        <v>118.749501329336</v>
      </c>
      <c r="AJ2958">
        <v>77.089735250280398</v>
      </c>
      <c r="AK2958">
        <v>0.57166150202605504</v>
      </c>
      <c r="AL2958">
        <v>97.329904705811401</v>
      </c>
      <c r="AM2958">
        <v>89.450479105988293</v>
      </c>
      <c r="AN2958">
        <v>1.0000000292357201</v>
      </c>
    </row>
    <row r="2959" spans="1:40" x14ac:dyDescent="0.25">
      <c r="A2959" t="str">
        <f>"20190303154527407"</f>
        <v>20190303154527407</v>
      </c>
      <c r="B2959" t="str">
        <f>"1551599127393712"</f>
        <v>1551599127393712</v>
      </c>
      <c r="C2959" t="s">
        <v>40</v>
      </c>
      <c r="D2959">
        <v>4.7083680000000001</v>
      </c>
      <c r="E2959">
        <v>0.55046209999999995</v>
      </c>
      <c r="F2959" t="s">
        <v>42</v>
      </c>
      <c r="G2959">
        <v>-419.84879999999998</v>
      </c>
      <c r="H2959">
        <v>0.85721800000000004</v>
      </c>
      <c r="I2959">
        <v>214.21969999999999</v>
      </c>
      <c r="J2959">
        <v>-420.42540000000002</v>
      </c>
      <c r="K2959">
        <v>1.1206510000000001</v>
      </c>
      <c r="L2959">
        <v>214.3434</v>
      </c>
      <c r="M2959">
        <v>0.99982689999999996</v>
      </c>
      <c r="N2959">
        <v>-1.497394E-2</v>
      </c>
      <c r="O2959">
        <v>1.1051689999999999E-2</v>
      </c>
      <c r="P2959">
        <v>0.98980710000000005</v>
      </c>
      <c r="Q2959">
        <v>-0.1424136</v>
      </c>
      <c r="R2959">
        <v>7.4391810000000002E-4</v>
      </c>
      <c r="S2959">
        <v>2.8989259999999999</v>
      </c>
      <c r="T2959">
        <v>-0.92227550000000003</v>
      </c>
      <c r="U2959">
        <v>-0.42323300000000003</v>
      </c>
      <c r="V2959">
        <v>1.011426E-2</v>
      </c>
      <c r="W2959">
        <v>-0.12758369999999999</v>
      </c>
      <c r="X2959">
        <v>0.9917762</v>
      </c>
      <c r="Y2959">
        <v>0.1474144</v>
      </c>
      <c r="Z2959">
        <v>-2.7163219999999998E-2</v>
      </c>
      <c r="AA2959">
        <v>0.98870179999999996</v>
      </c>
      <c r="AB2959">
        <v>26</v>
      </c>
      <c r="AC2959">
        <v>0.57660000000004097</v>
      </c>
      <c r="AD2959">
        <v>-0.26343299999999997</v>
      </c>
      <c r="AE2959">
        <v>-0.12370000000001299</v>
      </c>
      <c r="AF2959">
        <v>0.10842873529439299</v>
      </c>
      <c r="AG2959">
        <v>-0.26343299999999997</v>
      </c>
      <c r="AH2959">
        <v>0.47951156178573101</v>
      </c>
      <c r="AI2959">
        <v>118.18459229491501</v>
      </c>
      <c r="AJ2959">
        <v>77.258372322083503</v>
      </c>
      <c r="AK2959">
        <v>0.55775001032069205</v>
      </c>
      <c r="AL2959">
        <v>97.329986055551004</v>
      </c>
      <c r="AM2959">
        <v>89.415710598502699</v>
      </c>
      <c r="AN2959">
        <v>0.99999996482373799</v>
      </c>
    </row>
    <row r="2960" spans="1:40" x14ac:dyDescent="0.25">
      <c r="A2960" t="str">
        <f>"20190303154527429"</f>
        <v>20190303154527429</v>
      </c>
      <c r="B2960" t="str">
        <f>"1551599127423968"</f>
        <v>1551599127423968</v>
      </c>
      <c r="C2960" t="s">
        <v>40</v>
      </c>
      <c r="D2960">
        <v>4.6919899999999997</v>
      </c>
      <c r="E2960">
        <v>0.5204993</v>
      </c>
      <c r="F2960" t="s">
        <v>42</v>
      </c>
      <c r="G2960">
        <v>-419.61360000000002</v>
      </c>
      <c r="H2960">
        <v>0.86551990000000001</v>
      </c>
      <c r="I2960">
        <v>214.22499999999999</v>
      </c>
      <c r="J2960">
        <v>-420.16340000000002</v>
      </c>
      <c r="K2960">
        <v>1.120654</v>
      </c>
      <c r="L2960">
        <v>214.3458</v>
      </c>
      <c r="M2960">
        <v>0.99983080000000002</v>
      </c>
      <c r="N2960">
        <v>-1.497041E-2</v>
      </c>
      <c r="O2960">
        <v>1.069408E-2</v>
      </c>
      <c r="P2960">
        <v>0.98992349999999996</v>
      </c>
      <c r="Q2960">
        <v>-0.14160500000000001</v>
      </c>
      <c r="R2960" s="1">
        <v>-8.6054210000000001E-5</v>
      </c>
      <c r="S2960">
        <v>2.900055</v>
      </c>
      <c r="T2960">
        <v>-0.91144040000000004</v>
      </c>
      <c r="U2960">
        <v>-0.42292790000000002</v>
      </c>
      <c r="V2960">
        <v>1.0591400000000001E-2</v>
      </c>
      <c r="W2960">
        <v>-0.12677730000000001</v>
      </c>
      <c r="X2960">
        <v>0.99187460000000005</v>
      </c>
      <c r="Y2960">
        <v>0.1471189</v>
      </c>
      <c r="Z2960">
        <v>-2.670788E-2</v>
      </c>
      <c r="AA2960">
        <v>0.98875809999999997</v>
      </c>
      <c r="AB2960">
        <v>26</v>
      </c>
      <c r="AC2960">
        <v>0.54980000000000395</v>
      </c>
      <c r="AD2960">
        <v>-0.25513409999999997</v>
      </c>
      <c r="AE2960">
        <v>-0.120800000000002</v>
      </c>
      <c r="AF2960">
        <v>0.105086096635939</v>
      </c>
      <c r="AG2960">
        <v>-0.25513409999999997</v>
      </c>
      <c r="AH2960">
        <v>0.45500698559995101</v>
      </c>
      <c r="AI2960">
        <v>118.649718234888</v>
      </c>
      <c r="AJ2960">
        <v>76.995282983772995</v>
      </c>
      <c r="AK2960">
        <v>0.532135183608208</v>
      </c>
      <c r="AL2960">
        <v>97.283404642739995</v>
      </c>
      <c r="AM2960">
        <v>89.388209501478002</v>
      </c>
      <c r="AN2960">
        <v>0.99999994183720298</v>
      </c>
    </row>
    <row r="2961" spans="1:40" x14ac:dyDescent="0.25">
      <c r="A2961" t="str">
        <f>"20190303154527451"</f>
        <v>20190303154527451</v>
      </c>
      <c r="B2961" t="str">
        <f>"1551599127443489"</f>
        <v>1551599127443489</v>
      </c>
      <c r="C2961" t="s">
        <v>40</v>
      </c>
      <c r="D2961">
        <v>4.6531310000000001</v>
      </c>
      <c r="E2961">
        <v>0.51847679999999996</v>
      </c>
      <c r="F2961" t="s">
        <v>42</v>
      </c>
      <c r="G2961">
        <v>-419.31970000000001</v>
      </c>
      <c r="H2961">
        <v>1.0035350000000001</v>
      </c>
      <c r="I2961">
        <v>214.29900000000001</v>
      </c>
      <c r="J2961">
        <v>-419.92180000000002</v>
      </c>
      <c r="K2961">
        <v>1.1206609999999999</v>
      </c>
      <c r="L2961">
        <v>214.34800000000001</v>
      </c>
      <c r="M2961">
        <v>0.99983440000000001</v>
      </c>
      <c r="N2961">
        <v>-1.4966800000000001E-2</v>
      </c>
      <c r="O2961">
        <v>1.0362069999999999E-2</v>
      </c>
      <c r="P2961">
        <v>0.98999939999999997</v>
      </c>
      <c r="Q2961">
        <v>-0.141066</v>
      </c>
      <c r="R2961">
        <v>-1.3203119999999999E-3</v>
      </c>
      <c r="S2961">
        <v>2.9715579999999999</v>
      </c>
      <c r="T2961">
        <v>-0.41260530000000001</v>
      </c>
      <c r="U2961">
        <v>-0.16325379999999901</v>
      </c>
      <c r="V2961">
        <v>1.149824E-2</v>
      </c>
      <c r="W2961">
        <v>-0.12624160000000001</v>
      </c>
      <c r="X2961">
        <v>0.99193290000000001</v>
      </c>
      <c r="Y2961">
        <v>6.443815E-2</v>
      </c>
      <c r="Z2961">
        <v>-6.2107830000000001E-3</v>
      </c>
      <c r="AA2961">
        <v>0.99790239999999997</v>
      </c>
      <c r="AB2961">
        <v>26</v>
      </c>
      <c r="AC2961">
        <v>0.60210000000000696</v>
      </c>
      <c r="AD2961">
        <v>-0.11712599999999999</v>
      </c>
      <c r="AE2961">
        <v>-4.8999999999978103E-2</v>
      </c>
      <c r="AF2961">
        <v>5.3235796599914099E-2</v>
      </c>
      <c r="AG2961">
        <v>-0.11712599999999999</v>
      </c>
      <c r="AH2961">
        <v>0.57976498806293297</v>
      </c>
      <c r="AI2961">
        <v>101.3747561527</v>
      </c>
      <c r="AJ2961">
        <v>84.753637919935102</v>
      </c>
      <c r="AK2961">
        <v>0.59386866502556002</v>
      </c>
      <c r="AL2961">
        <v>97.252462154732697</v>
      </c>
      <c r="AM2961">
        <v>89.335871288460595</v>
      </c>
      <c r="AN2961">
        <v>1.0000000145980299</v>
      </c>
    </row>
    <row r="2962" spans="1:40" x14ac:dyDescent="0.25">
      <c r="A2962" t="str">
        <f>"20190303154527473"</f>
        <v>20190303154527473</v>
      </c>
      <c r="B2962" t="str">
        <f>"1551599127463985"</f>
        <v>1551599127463985</v>
      </c>
      <c r="C2962" t="s">
        <v>40</v>
      </c>
      <c r="D2962">
        <v>4.6511559999999896</v>
      </c>
      <c r="E2962">
        <v>0.51620569999999999</v>
      </c>
      <c r="F2962" t="s">
        <v>42</v>
      </c>
      <c r="G2962">
        <v>-419.07479999999998</v>
      </c>
      <c r="H2962">
        <v>1.031595</v>
      </c>
      <c r="I2962">
        <v>214.3065</v>
      </c>
      <c r="J2962">
        <v>-419.654</v>
      </c>
      <c r="K2962">
        <v>1.1206659999999999</v>
      </c>
      <c r="L2962">
        <v>214.35040000000001</v>
      </c>
      <c r="M2962">
        <v>0.99983820000000001</v>
      </c>
      <c r="N2962">
        <v>-1.49625E-2</v>
      </c>
      <c r="O2962">
        <v>9.9936699999999996E-3</v>
      </c>
      <c r="P2962">
        <v>0.99013130000000005</v>
      </c>
      <c r="Q2962">
        <v>-0.14012759999999999</v>
      </c>
      <c r="R2962">
        <v>-2.1188050000000001E-3</v>
      </c>
      <c r="S2962">
        <v>2.9854129999999999</v>
      </c>
      <c r="T2962">
        <v>-0.31396580000000002</v>
      </c>
      <c r="U2962">
        <v>-0.14648439999999999</v>
      </c>
      <c r="V2962">
        <v>1.193405E-2</v>
      </c>
      <c r="W2962">
        <v>-0.12530579999999999</v>
      </c>
      <c r="X2962">
        <v>0.99204639999999999</v>
      </c>
      <c r="Y2962">
        <v>5.8579100000000002E-2</v>
      </c>
      <c r="Z2962">
        <v>-4.4083359999999997E-3</v>
      </c>
      <c r="AA2962">
        <v>0.99827299999999997</v>
      </c>
      <c r="AB2962">
        <v>26</v>
      </c>
      <c r="AC2962">
        <v>0.57920000000001404</v>
      </c>
      <c r="AD2962">
        <v>-8.90709999999999E-2</v>
      </c>
      <c r="AE2962">
        <v>-4.3900000000007801E-2</v>
      </c>
      <c r="AF2962">
        <v>4.8545291150804998E-2</v>
      </c>
      <c r="AG2962">
        <v>-8.90709999999999E-2</v>
      </c>
      <c r="AH2962">
        <v>0.56543658393906804</v>
      </c>
      <c r="AI2962">
        <v>98.919733054965107</v>
      </c>
      <c r="AJ2962">
        <v>85.092930942247705</v>
      </c>
      <c r="AK2962">
        <v>0.57446394037450199</v>
      </c>
      <c r="AL2962">
        <v>97.198415592685706</v>
      </c>
      <c r="AM2962">
        <v>89.310780507302198</v>
      </c>
      <c r="AN2962">
        <v>1.000000012408</v>
      </c>
    </row>
    <row r="2963" spans="1:40" x14ac:dyDescent="0.25">
      <c r="A2963" t="str">
        <f>"20190303154527495"</f>
        <v>20190303154527495</v>
      </c>
      <c r="B2963" t="str">
        <f>"1551599127483504"</f>
        <v>1551599127483504</v>
      </c>
      <c r="C2963" t="s">
        <v>40</v>
      </c>
      <c r="D2963">
        <v>4.5736980000000003</v>
      </c>
      <c r="E2963">
        <v>0.51438620000000002</v>
      </c>
      <c r="F2963" t="s">
        <v>42</v>
      </c>
      <c r="G2963">
        <v>-418.83800000000002</v>
      </c>
      <c r="H2963">
        <v>1.043183</v>
      </c>
      <c r="I2963">
        <v>214.31469999999999</v>
      </c>
      <c r="J2963">
        <v>-419.41199999999998</v>
      </c>
      <c r="K2963">
        <v>1.120673</v>
      </c>
      <c r="L2963">
        <v>214.35239999999999</v>
      </c>
      <c r="M2963">
        <v>0.99984139999999999</v>
      </c>
      <c r="N2963">
        <v>-1.4958340000000001E-2</v>
      </c>
      <c r="O2963">
        <v>9.6616259999999995E-3</v>
      </c>
      <c r="P2963">
        <v>0.99025209999999997</v>
      </c>
      <c r="Q2963">
        <v>-0.13926240000000001</v>
      </c>
      <c r="R2963">
        <v>-2.5714829999999998E-3</v>
      </c>
      <c r="S2963">
        <v>2.9894099999999999</v>
      </c>
      <c r="T2963">
        <v>-0.2839332</v>
      </c>
      <c r="U2963">
        <v>-0.12951660000000001</v>
      </c>
      <c r="V2963">
        <v>1.206017E-2</v>
      </c>
      <c r="W2963">
        <v>-0.1244432</v>
      </c>
      <c r="X2963">
        <v>0.99215350000000002</v>
      </c>
      <c r="Y2963">
        <v>5.2631440000000002E-2</v>
      </c>
      <c r="Z2963">
        <v>-3.658578E-3</v>
      </c>
      <c r="AA2963">
        <v>0.99860729999999998</v>
      </c>
      <c r="AB2963">
        <v>26</v>
      </c>
      <c r="AC2963">
        <v>0.57399999999995499</v>
      </c>
      <c r="AD2963">
        <v>-7.7490000000000003E-2</v>
      </c>
      <c r="AE2963">
        <v>-3.7700000000000899E-2</v>
      </c>
      <c r="AF2963">
        <v>4.2473872624828199E-2</v>
      </c>
      <c r="AG2963">
        <v>-7.7490000000000003E-2</v>
      </c>
      <c r="AH2963">
        <v>0.56338532362254501</v>
      </c>
      <c r="AI2963">
        <v>97.809635872670299</v>
      </c>
      <c r="AJ2963">
        <v>85.688601361889397</v>
      </c>
      <c r="AK2963">
        <v>0.57027340182497599</v>
      </c>
      <c r="AL2963">
        <v>97.148601980295894</v>
      </c>
      <c r="AM2963">
        <v>89.303572672033496</v>
      </c>
      <c r="AN2963">
        <v>1.0000000626444501</v>
      </c>
    </row>
    <row r="2964" spans="1:40" x14ac:dyDescent="0.25">
      <c r="A2964" t="str">
        <f>"20190303154527517"</f>
        <v>20190303154527517</v>
      </c>
      <c r="B2964" t="str">
        <f>"1551599127513760"</f>
        <v>1551599127513760</v>
      </c>
      <c r="C2964" t="s">
        <v>40</v>
      </c>
      <c r="D2964">
        <v>4.5965030000000002</v>
      </c>
      <c r="E2964">
        <v>0.51311709999999899</v>
      </c>
      <c r="F2964" t="s">
        <v>42</v>
      </c>
      <c r="G2964">
        <v>-418.60250000000002</v>
      </c>
      <c r="H2964">
        <v>1.04898</v>
      </c>
      <c r="I2964">
        <v>214.3212</v>
      </c>
      <c r="J2964">
        <v>-419.15460000000002</v>
      </c>
      <c r="K2964">
        <v>1.120682</v>
      </c>
      <c r="L2964">
        <v>214.3545</v>
      </c>
      <c r="M2964">
        <v>0.99984499999999998</v>
      </c>
      <c r="N2964">
        <v>-1.495368E-2</v>
      </c>
      <c r="O2964">
        <v>9.3093870000000006E-3</v>
      </c>
      <c r="P2964">
        <v>0.99013720000000005</v>
      </c>
      <c r="Q2964">
        <v>-0.1400681</v>
      </c>
      <c r="R2964">
        <v>-3.0727599999999999E-3</v>
      </c>
      <c r="S2964">
        <v>2.9920040000000001</v>
      </c>
      <c r="T2964">
        <v>-0.26493640000000002</v>
      </c>
      <c r="U2964">
        <v>-0.11549379999999999</v>
      </c>
      <c r="V2964">
        <v>1.2211349999999999E-2</v>
      </c>
      <c r="W2964">
        <v>-0.12525510000000001</v>
      </c>
      <c r="X2964">
        <v>0.99204939999999997</v>
      </c>
      <c r="Y2964">
        <v>4.7631090000000001E-2</v>
      </c>
      <c r="Z2964">
        <v>-3.1445280000000002E-3</v>
      </c>
      <c r="AA2964">
        <v>0.99886010000000003</v>
      </c>
      <c r="AB2964">
        <v>26</v>
      </c>
      <c r="AC2964">
        <v>0.55209999999999504</v>
      </c>
      <c r="AD2964">
        <v>-7.1701999999999905E-2</v>
      </c>
      <c r="AE2964">
        <v>-3.3299999999996999E-2</v>
      </c>
      <c r="AF2964">
        <v>3.7803537985706202E-2</v>
      </c>
      <c r="AG2964">
        <v>-7.1701999999999905E-2</v>
      </c>
      <c r="AH2964">
        <v>0.54264661597436004</v>
      </c>
      <c r="AI2964">
        <v>97.509118050375804</v>
      </c>
      <c r="AJ2964">
        <v>86.014921537565598</v>
      </c>
      <c r="AK2964">
        <v>0.54866714328148103</v>
      </c>
      <c r="AL2964">
        <v>97.195487829551496</v>
      </c>
      <c r="AM2964">
        <v>89.294769510789294</v>
      </c>
      <c r="AN2964">
        <v>0.99999998459259598</v>
      </c>
    </row>
    <row r="2965" spans="1:40" x14ac:dyDescent="0.25">
      <c r="A2965" t="str">
        <f>"20190303154527540"</f>
        <v>20190303154527540</v>
      </c>
      <c r="B2965" t="str">
        <f>"1551599127534257"</f>
        <v>1551599127534257</v>
      </c>
      <c r="C2965" t="s">
        <v>40</v>
      </c>
      <c r="D2965">
        <v>4.5980220000000003</v>
      </c>
      <c r="E2965">
        <v>0.51241049999999999</v>
      </c>
      <c r="F2965" t="s">
        <v>57</v>
      </c>
      <c r="G2965">
        <v>-405.85730000000001</v>
      </c>
      <c r="H2965" s="1">
        <v>5.9565270000000002E-6</v>
      </c>
      <c r="I2965">
        <v>213.8819</v>
      </c>
      <c r="J2965">
        <v>-418.8929</v>
      </c>
      <c r="K2965">
        <v>1.1206849999999999</v>
      </c>
      <c r="L2965">
        <v>214.35650000000001</v>
      </c>
      <c r="M2965">
        <v>0.99984819999999996</v>
      </c>
      <c r="N2965">
        <v>-1.494871E-2</v>
      </c>
      <c r="O2965">
        <v>8.9526789999999998E-3</v>
      </c>
      <c r="P2965">
        <v>0.99013839999999997</v>
      </c>
      <c r="Q2965">
        <v>-0.14005020000000001</v>
      </c>
      <c r="R2965">
        <v>-3.5020199999999998E-3</v>
      </c>
      <c r="S2965">
        <v>2.9938959999999999</v>
      </c>
      <c r="T2965">
        <v>-0.25232110000000002</v>
      </c>
      <c r="U2965">
        <v>-0.10639949999999999</v>
      </c>
      <c r="V2965">
        <v>1.228771E-2</v>
      </c>
      <c r="W2965">
        <v>-0.1252421</v>
      </c>
      <c r="X2965">
        <v>0.99205010000000005</v>
      </c>
      <c r="Y2965">
        <v>4.4256900000000002E-2</v>
      </c>
      <c r="Z2965">
        <v>-2.8120440000000001E-3</v>
      </c>
      <c r="AA2965">
        <v>0.99901620000000002</v>
      </c>
      <c r="AB2965">
        <v>26</v>
      </c>
      <c r="AC2965">
        <v>13.035599999999899</v>
      </c>
      <c r="AD2965">
        <v>-1.1206790434729901</v>
      </c>
      <c r="AE2965">
        <v>-0.47460000000000901</v>
      </c>
      <c r="AF2965">
        <v>0.58696506911090696</v>
      </c>
      <c r="AG2965">
        <v>-1.1206790434729901</v>
      </c>
      <c r="AH2965">
        <v>12.935350045608301</v>
      </c>
      <c r="AI2965">
        <v>94.946501858119802</v>
      </c>
      <c r="AJ2965">
        <v>87.401881889947205</v>
      </c>
      <c r="AK2965">
        <v>12.997066219468699</v>
      </c>
      <c r="AL2965">
        <v>97.194737061079394</v>
      </c>
      <c r="AM2965">
        <v>89.290360514551196</v>
      </c>
      <c r="AN2965">
        <v>0.99999998616973196</v>
      </c>
    </row>
    <row r="2966" spans="1:40" x14ac:dyDescent="0.25">
      <c r="A2966" t="str">
        <f>"20190303154527564"</f>
        <v>20190303154527564</v>
      </c>
      <c r="B2966" t="str">
        <f>"1551599127553776"</f>
        <v>1551599127553776</v>
      </c>
      <c r="C2966" t="s">
        <v>40</v>
      </c>
      <c r="D2966">
        <v>4.5837729999999999</v>
      </c>
      <c r="E2966">
        <v>0.51205519999999904</v>
      </c>
      <c r="F2966" t="s">
        <v>57</v>
      </c>
      <c r="G2966">
        <v>-405.24900000000002</v>
      </c>
      <c r="H2966" s="1">
        <v>6.2242909999999901E-6</v>
      </c>
      <c r="I2966">
        <v>213.89150000000001</v>
      </c>
      <c r="J2966">
        <v>-418.62610000000001</v>
      </c>
      <c r="K2966">
        <v>1.120681</v>
      </c>
      <c r="L2966">
        <v>214.35849999999999</v>
      </c>
      <c r="M2966">
        <v>0.9998515</v>
      </c>
      <c r="N2966">
        <v>-1.494345E-2</v>
      </c>
      <c r="O2966">
        <v>8.59007E-3</v>
      </c>
      <c r="P2966">
        <v>0.99010909999999996</v>
      </c>
      <c r="Q2966">
        <v>-0.14024410000000001</v>
      </c>
      <c r="R2966">
        <v>-3.9812780000000004E-3</v>
      </c>
      <c r="S2966">
        <v>2.9947509999999999</v>
      </c>
      <c r="T2966">
        <v>-0.2459829</v>
      </c>
      <c r="U2966">
        <v>-0.102066</v>
      </c>
      <c r="V2966">
        <v>1.2407960000000001E-2</v>
      </c>
      <c r="W2966">
        <v>-0.12544169999999999</v>
      </c>
      <c r="X2966">
        <v>0.9920234</v>
      </c>
      <c r="Y2966">
        <v>4.2458389999999999E-2</v>
      </c>
      <c r="Z2966">
        <v>-2.6343120000000002E-3</v>
      </c>
      <c r="AA2966">
        <v>0.99909479999999995</v>
      </c>
      <c r="AB2966">
        <v>26</v>
      </c>
      <c r="AC2966">
        <v>13.377099999999899</v>
      </c>
      <c r="AD2966">
        <v>-1.1206747757089901</v>
      </c>
      <c r="AE2966">
        <v>-0.46699999999998398</v>
      </c>
      <c r="AF2966">
        <v>0.57785516172006601</v>
      </c>
      <c r="AG2966">
        <v>-1.1206747757089901</v>
      </c>
      <c r="AH2966">
        <v>13.2795074956255</v>
      </c>
      <c r="AI2966">
        <v>94.819295746562801</v>
      </c>
      <c r="AJ2966">
        <v>87.508357282627699</v>
      </c>
      <c r="AK2966">
        <v>13.339233406279799</v>
      </c>
      <c r="AL2966">
        <v>97.206264092795806</v>
      </c>
      <c r="AM2966">
        <v>89.283397275947195</v>
      </c>
      <c r="AN2966">
        <v>1.0000000018588999</v>
      </c>
    </row>
    <row r="2967" spans="1:40" x14ac:dyDescent="0.25">
      <c r="A2967" t="str">
        <f>"20190303154527585"</f>
        <v>20190303154527585</v>
      </c>
      <c r="B2967" t="str">
        <f>"1551599127574273"</f>
        <v>1551599127574273</v>
      </c>
      <c r="C2967" t="s">
        <v>40</v>
      </c>
      <c r="D2967">
        <v>4.5857419999999998</v>
      </c>
      <c r="E2967">
        <v>0.51161329999999905</v>
      </c>
      <c r="F2967" t="s">
        <v>42</v>
      </c>
      <c r="G2967">
        <v>-417.68950000000001</v>
      </c>
      <c r="H2967">
        <v>1.045485</v>
      </c>
      <c r="I2967">
        <v>214.32679999999999</v>
      </c>
      <c r="J2967">
        <v>-418.36779999999999</v>
      </c>
      <c r="K2967">
        <v>1.120684</v>
      </c>
      <c r="L2967">
        <v>214.3603</v>
      </c>
      <c r="M2967">
        <v>0.99985440000000003</v>
      </c>
      <c r="N2967">
        <v>-1.493819E-2</v>
      </c>
      <c r="O2967">
        <v>8.2391440000000003E-3</v>
      </c>
      <c r="P2967">
        <v>0.99006130000000003</v>
      </c>
      <c r="Q2967">
        <v>-0.14057999999999901</v>
      </c>
      <c r="R2967">
        <v>-4.0379819999999999E-3</v>
      </c>
      <c r="S2967">
        <v>2.9954830000000001</v>
      </c>
      <c r="T2967">
        <v>-0.24059739999999999</v>
      </c>
      <c r="U2967">
        <v>-0.10070800000000001</v>
      </c>
      <c r="V2967">
        <v>1.211693E-2</v>
      </c>
      <c r="W2967">
        <v>-0.12578319999999901</v>
      </c>
      <c r="X2967">
        <v>0.99198379999999997</v>
      </c>
      <c r="Y2967">
        <v>4.1658630000000002E-2</v>
      </c>
      <c r="Z2967">
        <v>-2.5193540000000001E-3</v>
      </c>
      <c r="AA2967">
        <v>0.99912869999999998</v>
      </c>
      <c r="AB2967">
        <v>26</v>
      </c>
      <c r="AC2967">
        <v>0.67829999999997803</v>
      </c>
      <c r="AD2967">
        <v>-7.5199000000000002E-2</v>
      </c>
      <c r="AE2967">
        <v>-3.3500000000003603E-2</v>
      </c>
      <c r="AF2967">
        <v>3.8614647661485098E-2</v>
      </c>
      <c r="AG2967">
        <v>-7.5199000000000002E-2</v>
      </c>
      <c r="AH2967">
        <v>0.66978871512598503</v>
      </c>
      <c r="AI2967">
        <v>96.395395569336401</v>
      </c>
      <c r="AJ2967">
        <v>86.700437097332497</v>
      </c>
      <c r="AK2967">
        <v>0.67510214303106697</v>
      </c>
      <c r="AL2967">
        <v>97.225986493832806</v>
      </c>
      <c r="AM2967">
        <v>89.300175643132405</v>
      </c>
      <c r="AN2967">
        <v>1.00000004642865</v>
      </c>
    </row>
    <row r="2968" spans="1:40" x14ac:dyDescent="0.25">
      <c r="A2968" t="str">
        <f>"20190303154527609"</f>
        <v>20190303154527609</v>
      </c>
      <c r="B2968" t="str">
        <f>"1551599127603553"</f>
        <v>1551599127603553</v>
      </c>
      <c r="C2968" t="s">
        <v>40</v>
      </c>
      <c r="D2968">
        <v>4.5838289999999997</v>
      </c>
      <c r="E2968">
        <v>0.51109870000000002</v>
      </c>
      <c r="F2968" t="s">
        <v>42</v>
      </c>
      <c r="G2968">
        <v>-417.4588</v>
      </c>
      <c r="H2968">
        <v>1.0482129999999901</v>
      </c>
      <c r="I2968">
        <v>214.3305</v>
      </c>
      <c r="J2968">
        <v>-418.10309999999998</v>
      </c>
      <c r="K2968">
        <v>1.1206879999999999</v>
      </c>
      <c r="L2968">
        <v>214.36199999999999</v>
      </c>
      <c r="M2968">
        <v>0.99985760000000001</v>
      </c>
      <c r="N2968">
        <v>-1.493265E-2</v>
      </c>
      <c r="O2968">
        <v>7.8795789999999994E-3</v>
      </c>
      <c r="P2968">
        <v>0.9901221</v>
      </c>
      <c r="Q2968">
        <v>-0.1401316</v>
      </c>
      <c r="R2968">
        <v>-4.6602809999999996E-3</v>
      </c>
      <c r="S2968">
        <v>2.9957579999999999</v>
      </c>
      <c r="T2968">
        <v>-0.23903389999999999</v>
      </c>
      <c r="U2968">
        <v>-9.713745E-2</v>
      </c>
      <c r="V2968">
        <v>1.2384330000000001E-2</v>
      </c>
      <c r="W2968">
        <v>-0.1253396</v>
      </c>
      <c r="X2968">
        <v>0.99203660000000005</v>
      </c>
      <c r="Y2968">
        <v>4.0115440000000002E-2</v>
      </c>
      <c r="Z2968">
        <v>-2.4077259999999998E-3</v>
      </c>
      <c r="AA2968">
        <v>0.99919219999999997</v>
      </c>
      <c r="AB2968">
        <v>26</v>
      </c>
      <c r="AC2968">
        <v>0.64429999999998699</v>
      </c>
      <c r="AD2968">
        <v>-7.2474999999999998E-2</v>
      </c>
      <c r="AE2968">
        <v>-3.1499999999993998E-2</v>
      </c>
      <c r="AF2968">
        <v>3.6120450757613803E-2</v>
      </c>
      <c r="AG2968">
        <v>-7.2474999999999998E-2</v>
      </c>
      <c r="AH2968">
        <v>0.63600347328114604</v>
      </c>
      <c r="AI2968">
        <v>96.490658146739804</v>
      </c>
      <c r="AJ2968">
        <v>86.749501056650303</v>
      </c>
      <c r="AK2968">
        <v>0.641137840572224</v>
      </c>
      <c r="AL2968">
        <v>97.200367659463296</v>
      </c>
      <c r="AM2968">
        <v>89.284771364436295</v>
      </c>
      <c r="AN2968">
        <v>1.0000000013486301</v>
      </c>
    </row>
    <row r="2969" spans="1:40" x14ac:dyDescent="0.25">
      <c r="A2969" t="str">
        <f>"20190303154527629"</f>
        <v>20190303154527629</v>
      </c>
      <c r="B2969" t="str">
        <f>"1551599127624049"</f>
        <v>1551599127624049</v>
      </c>
      <c r="C2969" t="s">
        <v>40</v>
      </c>
      <c r="D2969">
        <v>4.5243129999999896</v>
      </c>
      <c r="E2969">
        <v>0.51094430000000002</v>
      </c>
      <c r="F2969" t="s">
        <v>57</v>
      </c>
      <c r="G2969">
        <v>-403.7706</v>
      </c>
      <c r="H2969" s="1">
        <v>6.8764339999999996E-6</v>
      </c>
      <c r="I2969">
        <v>213.9083</v>
      </c>
      <c r="J2969">
        <v>-417.86950000000002</v>
      </c>
      <c r="K2969">
        <v>1.120689</v>
      </c>
      <c r="L2969">
        <v>214.36349999999999</v>
      </c>
      <c r="M2969">
        <v>0.99985999999999997</v>
      </c>
      <c r="N2969">
        <v>-1.4927630000000001E-2</v>
      </c>
      <c r="O2969">
        <v>7.562081E-3</v>
      </c>
      <c r="P2969">
        <v>0.99015810000000004</v>
      </c>
      <c r="Q2969">
        <v>-0.1398769</v>
      </c>
      <c r="R2969">
        <v>-4.6630839999999996E-3</v>
      </c>
      <c r="S2969">
        <v>2.9963069999999998</v>
      </c>
      <c r="T2969">
        <v>-0.23428599999999999</v>
      </c>
      <c r="U2969">
        <v>-9.4848630000000003E-2</v>
      </c>
      <c r="V2969">
        <v>1.207357E-2</v>
      </c>
      <c r="W2969">
        <v>-0.12508920000000001</v>
      </c>
      <c r="X2969">
        <v>0.99207199999999995</v>
      </c>
      <c r="Y2969">
        <v>3.904059E-2</v>
      </c>
      <c r="Z2969">
        <v>-2.2931620000000001E-3</v>
      </c>
      <c r="AA2969">
        <v>0.99923499999999998</v>
      </c>
      <c r="AB2969">
        <v>25</v>
      </c>
      <c r="AC2969">
        <v>14.0989</v>
      </c>
      <c r="AD2969">
        <v>-1.1206821235660001</v>
      </c>
      <c r="AE2969">
        <v>-0.45519999999999</v>
      </c>
      <c r="AF2969">
        <v>0.55829214736720401</v>
      </c>
      <c r="AG2969">
        <v>-1.1206821235660001</v>
      </c>
      <c r="AH2969">
        <v>14.0066492642742</v>
      </c>
      <c r="AI2969">
        <v>94.570917516668004</v>
      </c>
      <c r="AJ2969">
        <v>87.717451251245606</v>
      </c>
      <c r="AK2969">
        <v>14.0624977211122</v>
      </c>
      <c r="AL2969">
        <v>97.185907241019095</v>
      </c>
      <c r="AM2969">
        <v>89.302741680824099</v>
      </c>
      <c r="AN2969">
        <v>0.99999996611659103</v>
      </c>
    </row>
    <row r="2970" spans="1:40" x14ac:dyDescent="0.25">
      <c r="A2970" t="str">
        <f>"20190303154527652"</f>
        <v>20190303154527652</v>
      </c>
      <c r="B2970" t="str">
        <f>"1551599127643569"</f>
        <v>1551599127643569</v>
      </c>
      <c r="C2970" t="s">
        <v>40</v>
      </c>
      <c r="D2970">
        <v>4.5325829999999998</v>
      </c>
      <c r="E2970">
        <v>0.50219380000000002</v>
      </c>
      <c r="F2970" t="s">
        <v>57</v>
      </c>
      <c r="G2970">
        <v>-403.43299999999999</v>
      </c>
      <c r="H2970" s="1">
        <v>7.0254959999999998E-6</v>
      </c>
      <c r="I2970">
        <v>213.91139999999999</v>
      </c>
      <c r="J2970">
        <v>-417.6216</v>
      </c>
      <c r="K2970">
        <v>1.120687</v>
      </c>
      <c r="L2970">
        <v>214.36500000000001</v>
      </c>
      <c r="M2970">
        <v>0.99986269999999999</v>
      </c>
      <c r="N2970">
        <v>-1.492221E-2</v>
      </c>
      <c r="O2970">
        <v>7.2243799999999999E-3</v>
      </c>
      <c r="P2970">
        <v>0.99016150000000003</v>
      </c>
      <c r="Q2970">
        <v>-0.13983080000000001</v>
      </c>
      <c r="R2970">
        <v>-5.250251E-3</v>
      </c>
      <c r="S2970">
        <v>2.996521</v>
      </c>
      <c r="T2970">
        <v>-0.23261570000000001</v>
      </c>
      <c r="U2970">
        <v>-9.3841549999999996E-2</v>
      </c>
      <c r="V2970">
        <v>1.2326749999999999E-2</v>
      </c>
      <c r="W2970">
        <v>-0.12504849999999901</v>
      </c>
      <c r="X2970">
        <v>0.99207409999999996</v>
      </c>
      <c r="Y2970">
        <v>3.8370550000000003E-2</v>
      </c>
      <c r="Z2970">
        <v>-2.2258130000000001E-3</v>
      </c>
      <c r="AA2970">
        <v>0.99926110000000001</v>
      </c>
      <c r="AB2970">
        <v>25</v>
      </c>
      <c r="AC2970">
        <v>14.1885999999999</v>
      </c>
      <c r="AD2970">
        <v>-1.1206799745039999</v>
      </c>
      <c r="AE2970">
        <v>-0.45360000000002199</v>
      </c>
      <c r="AF2970">
        <v>0.55265912286008001</v>
      </c>
      <c r="AG2970">
        <v>-1.1206799745039999</v>
      </c>
      <c r="AH2970">
        <v>14.097096560792901</v>
      </c>
      <c r="AI2970">
        <v>94.541821803336404</v>
      </c>
      <c r="AJ2970">
        <v>87.754939983909097</v>
      </c>
      <c r="AK2970">
        <v>14.152366839354301</v>
      </c>
      <c r="AL2970">
        <v>97.183556256228997</v>
      </c>
      <c r="AM2970">
        <v>89.288123329409402</v>
      </c>
      <c r="AN2970">
        <v>1.0000000480043101</v>
      </c>
    </row>
    <row r="2971" spans="1:40" x14ac:dyDescent="0.25">
      <c r="A2971" t="str">
        <f>"20190303154527674"</f>
        <v>20190303154527674</v>
      </c>
      <c r="B2971" t="str">
        <f>"1551599127663445"</f>
        <v>1551599127663445</v>
      </c>
      <c r="C2971" t="s">
        <v>40</v>
      </c>
      <c r="D2971">
        <v>4.6318530000000004</v>
      </c>
      <c r="E2971">
        <v>0.49925449999999999</v>
      </c>
      <c r="F2971" t="s">
        <v>55</v>
      </c>
      <c r="G2971">
        <v>-357.94240000000002</v>
      </c>
      <c r="H2971" s="1">
        <v>2.7169979999999999E-6</v>
      </c>
      <c r="I2971">
        <v>213.99369999999999</v>
      </c>
      <c r="J2971">
        <v>-417.37619999999998</v>
      </c>
      <c r="K2971">
        <v>1.1206969999999901</v>
      </c>
      <c r="L2971">
        <v>214.3664</v>
      </c>
      <c r="M2971">
        <v>0.99986520000000001</v>
      </c>
      <c r="N2971">
        <v>-1.4916759999999999E-2</v>
      </c>
      <c r="O2971">
        <v>6.8918809999999999E-3</v>
      </c>
      <c r="P2971">
        <v>0.99009809999999998</v>
      </c>
      <c r="Q2971">
        <v>-0.14025850000000001</v>
      </c>
      <c r="R2971">
        <v>-5.7967080000000002E-3</v>
      </c>
      <c r="S2971">
        <v>3.0216980000000002</v>
      </c>
      <c r="T2971">
        <v>-5.6742910000000001E-2</v>
      </c>
      <c r="U2971">
        <v>-1.8798829999999999E-2</v>
      </c>
      <c r="V2971">
        <v>1.254364E-2</v>
      </c>
      <c r="W2971">
        <v>-0.1254826</v>
      </c>
      <c r="X2971">
        <v>0.99201649999999997</v>
      </c>
      <c r="Y2971">
        <v>1.3109330000000001E-2</v>
      </c>
      <c r="Z2971">
        <v>-2.4746970000000002E-4</v>
      </c>
      <c r="AA2971">
        <v>0.99991410000000003</v>
      </c>
      <c r="AB2971">
        <v>25</v>
      </c>
      <c r="AC2971">
        <v>59.433799999999898</v>
      </c>
      <c r="AD2971">
        <v>-1.1206942830019999</v>
      </c>
      <c r="AE2971">
        <v>-0.37270000000000802</v>
      </c>
      <c r="AF2971">
        <v>0.78206925713893605</v>
      </c>
      <c r="AG2971">
        <v>-1.1206942830019999</v>
      </c>
      <c r="AH2971">
        <v>59.408697032111803</v>
      </c>
      <c r="AI2971">
        <v>91.080614113145401</v>
      </c>
      <c r="AJ2971">
        <v>89.245789222869902</v>
      </c>
      <c r="AK2971">
        <v>59.4244130896735</v>
      </c>
      <c r="AL2971">
        <v>97.208626305096502</v>
      </c>
      <c r="AM2971">
        <v>89.275557077659698</v>
      </c>
      <c r="AN2971">
        <v>0.99999998103972898</v>
      </c>
    </row>
    <row r="2972" spans="1:40" x14ac:dyDescent="0.25">
      <c r="A2972" t="str">
        <f>"20190303154527695"</f>
        <v>20190303154527695</v>
      </c>
      <c r="B2972" t="str">
        <f>"1551599127683944"</f>
        <v>1551599127683944</v>
      </c>
      <c r="C2972" t="s">
        <v>40</v>
      </c>
      <c r="D2972">
        <v>4.6573989999999998</v>
      </c>
      <c r="E2972">
        <v>0.49797819999999998</v>
      </c>
      <c r="F2972" t="s">
        <v>55</v>
      </c>
      <c r="G2972">
        <v>-374.08229999999998</v>
      </c>
      <c r="H2972" s="1">
        <v>6.3559219999999998E-7</v>
      </c>
      <c r="I2972">
        <v>214.39660000000001</v>
      </c>
      <c r="J2972">
        <v>-417.12079999999997</v>
      </c>
      <c r="K2972">
        <v>1.1206959999999999</v>
      </c>
      <c r="L2972">
        <v>214.36770000000001</v>
      </c>
      <c r="M2972">
        <v>0.99986750000000002</v>
      </c>
      <c r="N2972">
        <v>-1.491104E-2</v>
      </c>
      <c r="O2972">
        <v>6.5514379999999997E-3</v>
      </c>
      <c r="P2972">
        <v>0.99003859999999999</v>
      </c>
      <c r="Q2972">
        <v>-0.14064699999999999</v>
      </c>
      <c r="R2972">
        <v>-6.5080349999999997E-3</v>
      </c>
      <c r="S2972">
        <v>3.0189819999999998</v>
      </c>
      <c r="T2972">
        <v>-7.8148720000000005E-2</v>
      </c>
      <c r="U2972">
        <v>2.1057129999999999E-3</v>
      </c>
      <c r="V2972">
        <v>1.291836E-2</v>
      </c>
      <c r="W2972">
        <v>-0.12587760000000001</v>
      </c>
      <c r="X2972">
        <v>0.99196169999999995</v>
      </c>
      <c r="Y2972">
        <v>5.8512039999999996E-3</v>
      </c>
      <c r="Z2972">
        <v>-1.9122839999999999E-4</v>
      </c>
      <c r="AA2972">
        <v>0.99998279999999995</v>
      </c>
      <c r="AB2972">
        <v>25</v>
      </c>
      <c r="AC2972">
        <v>43.038499999999999</v>
      </c>
      <c r="AD2972">
        <v>-1.1206953644077999</v>
      </c>
      <c r="AE2972">
        <v>2.8899999999993001E-2</v>
      </c>
      <c r="AF2972">
        <v>0.25292450150532197</v>
      </c>
      <c r="AG2972">
        <v>-1.1206953644077999</v>
      </c>
      <c r="AH2972">
        <v>43.0086035921925</v>
      </c>
      <c r="AI2972">
        <v>91.492619442914005</v>
      </c>
      <c r="AJ2972">
        <v>89.6630595227859</v>
      </c>
      <c r="AK2972">
        <v>43.023945795959001</v>
      </c>
      <c r="AL2972">
        <v>97.231438638003198</v>
      </c>
      <c r="AM2972">
        <v>89.253876771212404</v>
      </c>
      <c r="AN2972">
        <v>1.00000003423686</v>
      </c>
    </row>
    <row r="2973" spans="1:40" x14ac:dyDescent="0.25">
      <c r="A2973" t="str">
        <f>"20190303154527718"</f>
        <v>20190303154527718</v>
      </c>
      <c r="B2973" t="str">
        <f>"1551599127714197"</f>
        <v>1551599127714197</v>
      </c>
      <c r="C2973" t="s">
        <v>40</v>
      </c>
      <c r="D2973">
        <v>4.585699</v>
      </c>
      <c r="E2973">
        <v>0.49832359999999998</v>
      </c>
      <c r="F2973" t="s">
        <v>55</v>
      </c>
      <c r="G2973">
        <v>-379.74790000000002</v>
      </c>
      <c r="H2973" s="1">
        <v>3.6505800000000001E-6</v>
      </c>
      <c r="I2973">
        <v>214.48830000000001</v>
      </c>
      <c r="J2973">
        <v>-416.87700000000001</v>
      </c>
      <c r="K2973">
        <v>1.120706</v>
      </c>
      <c r="L2973">
        <v>214.3689</v>
      </c>
      <c r="M2973">
        <v>0.99986949999999997</v>
      </c>
      <c r="N2973">
        <v>-1.49055E-2</v>
      </c>
      <c r="O2973">
        <v>6.2345250000000003E-3</v>
      </c>
      <c r="P2973">
        <v>0.99006870000000002</v>
      </c>
      <c r="Q2973">
        <v>-0.1404223</v>
      </c>
      <c r="R2973">
        <v>-6.728716E-3</v>
      </c>
      <c r="S2973">
        <v>3.0174259999999999</v>
      </c>
      <c r="T2973">
        <v>-9.048283E-2</v>
      </c>
      <c r="U2973">
        <v>9.7351069999999998E-3</v>
      </c>
      <c r="V2973">
        <v>1.282785E-2</v>
      </c>
      <c r="W2973">
        <v>-0.12565770000000001</v>
      </c>
      <c r="X2973">
        <v>0.9919907</v>
      </c>
      <c r="Y2973">
        <v>3.0062380000000001E-3</v>
      </c>
      <c r="Z2973">
        <v>-1.6146260000000001E-4</v>
      </c>
      <c r="AA2973">
        <v>0.99999550000000004</v>
      </c>
      <c r="AB2973">
        <v>25</v>
      </c>
      <c r="AC2973">
        <v>37.129099999999902</v>
      </c>
      <c r="AD2973">
        <v>-1.1207023494199999</v>
      </c>
      <c r="AE2973">
        <v>0.119400000000013</v>
      </c>
      <c r="AF2973">
        <v>0.112008288857447</v>
      </c>
      <c r="AG2973">
        <v>-1.1207023494199999</v>
      </c>
      <c r="AH2973">
        <v>37.0953266388141</v>
      </c>
      <c r="AI2973">
        <v>91.7304524007764</v>
      </c>
      <c r="AJ2973">
        <v>89.826997541197898</v>
      </c>
      <c r="AK2973">
        <v>37.1124208056154</v>
      </c>
      <c r="AL2973">
        <v>97.218738846456006</v>
      </c>
      <c r="AM2973">
        <v>89.259125412112397</v>
      </c>
      <c r="AN2973">
        <v>0.99999998009570101</v>
      </c>
    </row>
    <row r="2974" spans="1:40" x14ac:dyDescent="0.25">
      <c r="A2974" t="str">
        <f>"20190303154527740"</f>
        <v>20190303154527740</v>
      </c>
      <c r="B2974" t="str">
        <f>"1551599127733717"</f>
        <v>1551599127733717</v>
      </c>
      <c r="C2974" t="s">
        <v>40</v>
      </c>
      <c r="D2974">
        <v>4.6125369999999997</v>
      </c>
      <c r="E2974">
        <v>0.49856699999999998</v>
      </c>
      <c r="F2974" t="s">
        <v>55</v>
      </c>
      <c r="G2974">
        <v>-374.64640000000003</v>
      </c>
      <c r="H2974" s="1">
        <v>9.3579720000000001E-7</v>
      </c>
      <c r="I2974">
        <v>214.4571</v>
      </c>
      <c r="J2974">
        <v>-416.6182</v>
      </c>
      <c r="K2974">
        <v>1.1207210000000001</v>
      </c>
      <c r="L2974">
        <v>214.37010000000001</v>
      </c>
      <c r="M2974">
        <v>0.99987159999999997</v>
      </c>
      <c r="N2974">
        <v>-1.4899539999999999E-2</v>
      </c>
      <c r="O2974">
        <v>5.9104179999999997E-3</v>
      </c>
      <c r="P2974">
        <v>0.99003629999999998</v>
      </c>
      <c r="Q2974">
        <v>-0.1406637</v>
      </c>
      <c r="R2974">
        <v>-6.4809239999999999E-3</v>
      </c>
      <c r="S2974">
        <v>3.0187680000000001</v>
      </c>
      <c r="T2974">
        <v>-8.0111269999999998E-2</v>
      </c>
      <c r="U2974">
        <v>6.3018800000000002E-3</v>
      </c>
      <c r="V2974">
        <v>1.2261859999999999E-2</v>
      </c>
      <c r="W2974">
        <v>-0.12590489999999999</v>
      </c>
      <c r="X2974">
        <v>0.99196649999999997</v>
      </c>
      <c r="Y2974">
        <v>3.821035E-3</v>
      </c>
      <c r="Z2974">
        <v>-1.479265E-4</v>
      </c>
      <c r="AA2974">
        <v>0.99999269999999996</v>
      </c>
      <c r="AB2974">
        <v>25</v>
      </c>
      <c r="AC2974">
        <v>41.971799999999902</v>
      </c>
      <c r="AD2974">
        <v>-1.1207200642027999</v>
      </c>
      <c r="AE2974">
        <v>8.6999999999989003E-2</v>
      </c>
      <c r="AF2974">
        <v>0.160985144890884</v>
      </c>
      <c r="AG2974">
        <v>-1.1207200642027999</v>
      </c>
      <c r="AH2974">
        <v>41.941677423341197</v>
      </c>
      <c r="AI2974">
        <v>91.530620251152698</v>
      </c>
      <c r="AJ2974">
        <v>89.780082136985499</v>
      </c>
      <c r="AK2974">
        <v>41.9569569292483</v>
      </c>
      <c r="AL2974">
        <v>97.233015845312494</v>
      </c>
      <c r="AM2974">
        <v>89.291793576409006</v>
      </c>
      <c r="AN2974">
        <v>0.99999996708845895</v>
      </c>
    </row>
    <row r="2975" spans="1:40" x14ac:dyDescent="0.25">
      <c r="A2975" t="str">
        <f>"20190303154527763"</f>
        <v>20190303154527763</v>
      </c>
      <c r="B2975" t="str">
        <f>"1551599127754213"</f>
        <v>1551599127754213</v>
      </c>
      <c r="C2975" t="s">
        <v>40</v>
      </c>
      <c r="D2975">
        <v>4.5987349999999996</v>
      </c>
      <c r="E2975">
        <v>0.49856810000000001</v>
      </c>
      <c r="F2975" t="s">
        <v>55</v>
      </c>
      <c r="G2975">
        <v>-373</v>
      </c>
      <c r="H2975" s="1">
        <v>5.96785999999999E-8</v>
      </c>
      <c r="I2975">
        <v>214.4436</v>
      </c>
      <c r="J2975">
        <v>-416.36750000000001</v>
      </c>
      <c r="K2975">
        <v>1.120743</v>
      </c>
      <c r="L2975">
        <v>214.37129999999999</v>
      </c>
      <c r="M2975">
        <v>0.99987329999999996</v>
      </c>
      <c r="N2975">
        <v>-1.4893689999999999E-2</v>
      </c>
      <c r="O2975">
        <v>5.6149119999999997E-3</v>
      </c>
      <c r="P2975">
        <v>0.99016499999999996</v>
      </c>
      <c r="Q2975">
        <v>-0.13979739999999999</v>
      </c>
      <c r="R2975">
        <v>-5.4859679999999999E-3</v>
      </c>
      <c r="S2975">
        <v>3.019196</v>
      </c>
      <c r="T2975">
        <v>-7.7574850000000001E-2</v>
      </c>
      <c r="U2975">
        <v>5.0811770000000001E-3</v>
      </c>
      <c r="V2975">
        <v>1.097943E-2</v>
      </c>
      <c r="W2975">
        <v>-0.12504129999999999</v>
      </c>
      <c r="X2975">
        <v>0.99209080000000005</v>
      </c>
      <c r="Y2975">
        <v>3.930223E-3</v>
      </c>
      <c r="Z2975">
        <v>-1.403783E-4</v>
      </c>
      <c r="AA2975">
        <v>0.99999229999999995</v>
      </c>
      <c r="AB2975">
        <v>25</v>
      </c>
      <c r="AC2975">
        <v>43.3675</v>
      </c>
      <c r="AD2975">
        <v>-1.12074294032139</v>
      </c>
      <c r="AE2975">
        <v>7.2300000000012604E-2</v>
      </c>
      <c r="AF2975">
        <v>0.171118569846476</v>
      </c>
      <c r="AG2975">
        <v>-1.12074294032139</v>
      </c>
      <c r="AH2975">
        <v>43.3382785406381</v>
      </c>
      <c r="AI2975">
        <v>91.481347058372904</v>
      </c>
      <c r="AJ2975">
        <v>89.773772257954803</v>
      </c>
      <c r="AK2975">
        <v>43.353105230988398</v>
      </c>
      <c r="AL2975">
        <v>97.183140701314898</v>
      </c>
      <c r="AM2975">
        <v>89.365935739138095</v>
      </c>
      <c r="AN2975">
        <v>1.0000000150167201</v>
      </c>
    </row>
    <row r="2976" spans="1:40" x14ac:dyDescent="0.25">
      <c r="A2976" t="str">
        <f>"20190303154527787"</f>
        <v>20190303154527787</v>
      </c>
      <c r="B2976" t="str">
        <f>"1551599127773733"</f>
        <v>1551599127773733</v>
      </c>
      <c r="C2976" t="s">
        <v>40</v>
      </c>
      <c r="D2976">
        <v>4.7214830000000001</v>
      </c>
      <c r="E2976">
        <v>0.49745840000000002</v>
      </c>
      <c r="F2976" t="s">
        <v>55</v>
      </c>
      <c r="G2976">
        <v>-369.1225</v>
      </c>
      <c r="H2976" s="1">
        <v>3.317737E-6</v>
      </c>
      <c r="I2976">
        <v>214.49799999999999</v>
      </c>
      <c r="J2976">
        <v>-416.09780000000001</v>
      </c>
      <c r="K2976">
        <v>1.120768</v>
      </c>
      <c r="L2976">
        <v>214.3724</v>
      </c>
      <c r="M2976">
        <v>0.99987510000000002</v>
      </c>
      <c r="N2976">
        <v>-1.4887299999999999E-2</v>
      </c>
      <c r="O2976">
        <v>5.3213849999999997E-3</v>
      </c>
      <c r="P2976">
        <v>0.99028799999999995</v>
      </c>
      <c r="Q2976">
        <v>-0.13895679999999999</v>
      </c>
      <c r="R2976">
        <v>-4.5622939999999997E-3</v>
      </c>
      <c r="S2976">
        <v>3.0197449999999999</v>
      </c>
      <c r="T2976">
        <v>-7.1633929999999998E-2</v>
      </c>
      <c r="U2976">
        <v>8.1024169999999902E-3</v>
      </c>
      <c r="V2976">
        <v>9.7715260000000009E-3</v>
      </c>
      <c r="W2976">
        <v>-0.1242041</v>
      </c>
      <c r="X2976">
        <v>0.9922086</v>
      </c>
      <c r="Y2976">
        <v>2.6374419999999998E-3</v>
      </c>
      <c r="Z2976" s="1">
        <v>-9.7908709999999994E-5</v>
      </c>
      <c r="AA2976">
        <v>0.99999649999999995</v>
      </c>
      <c r="AB2976">
        <v>25</v>
      </c>
      <c r="AC2976">
        <v>46.975299999999997</v>
      </c>
      <c r="AD2976">
        <v>-1.120764682263</v>
      </c>
      <c r="AE2976">
        <v>0.125599999999991</v>
      </c>
      <c r="AF2976">
        <v>0.12433234708573999</v>
      </c>
      <c r="AG2976">
        <v>-1.120764682263</v>
      </c>
      <c r="AH2976">
        <v>46.948578715349598</v>
      </c>
      <c r="AI2976">
        <v>91.367510341796304</v>
      </c>
      <c r="AJ2976">
        <v>89.848265862645107</v>
      </c>
      <c r="AK2976">
        <v>46.9621189406624</v>
      </c>
      <c r="AL2976">
        <v>97.134795725694303</v>
      </c>
      <c r="AM2976">
        <v>89.435754638602504</v>
      </c>
      <c r="AN2976">
        <v>1.0000000235455599</v>
      </c>
    </row>
    <row r="2977" spans="1:40" x14ac:dyDescent="0.25">
      <c r="A2977" t="str">
        <f>"20190303154527810"</f>
        <v>20190303154527810</v>
      </c>
      <c r="B2977" t="str">
        <f>"1551599127803990"</f>
        <v>1551599127803990</v>
      </c>
      <c r="C2977" t="s">
        <v>40</v>
      </c>
      <c r="D2977">
        <v>4.7632659999999998</v>
      </c>
      <c r="E2977">
        <v>0.49614510000000001</v>
      </c>
      <c r="F2977" t="s">
        <v>55</v>
      </c>
      <c r="G2977">
        <v>-377.86849999999998</v>
      </c>
      <c r="H2977" s="1">
        <v>2.6504340000000002E-6</v>
      </c>
      <c r="I2977">
        <v>214.60579999999999</v>
      </c>
      <c r="J2977">
        <v>-415.83359999999999</v>
      </c>
      <c r="K2977">
        <v>1.120795</v>
      </c>
      <c r="L2977">
        <v>214.37350000000001</v>
      </c>
      <c r="M2977">
        <v>0.9998766</v>
      </c>
      <c r="N2977">
        <v>-1.488098E-2</v>
      </c>
      <c r="O2977">
        <v>5.0564620000000003E-3</v>
      </c>
      <c r="P2977">
        <v>0.99042110000000005</v>
      </c>
      <c r="Q2977">
        <v>-0.138035299999999</v>
      </c>
      <c r="R2977">
        <v>-3.578253E-3</v>
      </c>
      <c r="S2977">
        <v>3.01709</v>
      </c>
      <c r="T2977">
        <v>-8.8451740000000001E-2</v>
      </c>
      <c r="U2977">
        <v>1.8417360000000001E-2</v>
      </c>
      <c r="V2977">
        <v>8.5310339999999998E-3</v>
      </c>
      <c r="W2977">
        <v>-0.1232858</v>
      </c>
      <c r="X2977">
        <v>0.99233450000000001</v>
      </c>
      <c r="Y2977">
        <v>-1.047075E-3</v>
      </c>
      <c r="Z2977" s="1">
        <v>-4.9825599999999999E-5</v>
      </c>
      <c r="AA2977">
        <v>0.99999950000000004</v>
      </c>
      <c r="AB2977">
        <v>25</v>
      </c>
      <c r="AC2977">
        <v>37.9651</v>
      </c>
      <c r="AD2977">
        <v>-1.1207923495659999</v>
      </c>
      <c r="AE2977">
        <v>0.23229999999997999</v>
      </c>
      <c r="AF2977">
        <v>-4.02716107018493E-2</v>
      </c>
      <c r="AG2977">
        <v>-1.1207923495659999</v>
      </c>
      <c r="AH2977">
        <v>37.9327311033095</v>
      </c>
      <c r="AI2977">
        <v>91.692415908599898</v>
      </c>
      <c r="AJ2977">
        <v>90.060828534972103</v>
      </c>
      <c r="AK2977">
        <v>37.949306795374497</v>
      </c>
      <c r="AL2977">
        <v>97.081773912446394</v>
      </c>
      <c r="AM2977">
        <v>89.507444110983002</v>
      </c>
      <c r="AN2977">
        <v>0.999999963456499</v>
      </c>
    </row>
    <row r="2978" spans="1:40" x14ac:dyDescent="0.25">
      <c r="A2978" t="str">
        <f>"20190303154527853"</f>
        <v>20190303154527853</v>
      </c>
      <c r="B2978" t="str">
        <f>"1551599127844006"</f>
        <v>1551599127844006</v>
      </c>
      <c r="C2978" t="s">
        <v>40</v>
      </c>
      <c r="D2978">
        <v>4.827267</v>
      </c>
      <c r="E2978">
        <v>0.49492779999999997</v>
      </c>
      <c r="F2978" t="s">
        <v>55</v>
      </c>
      <c r="G2978">
        <v>-384.04379999999998</v>
      </c>
      <c r="H2978" s="1">
        <v>6.1125530000000003E-7</v>
      </c>
      <c r="I2978">
        <v>214.70490000000001</v>
      </c>
      <c r="J2978">
        <v>-415.35730000000001</v>
      </c>
      <c r="K2978">
        <v>1.1208309999999999</v>
      </c>
      <c r="L2978">
        <v>214.37540000000001</v>
      </c>
      <c r="M2978">
        <v>0.99987870000000001</v>
      </c>
      <c r="N2978">
        <v>-1.4869530000000001E-2</v>
      </c>
      <c r="O2978">
        <v>4.6576639999999997E-3</v>
      </c>
      <c r="P2978">
        <v>0.99049259999999995</v>
      </c>
      <c r="Q2978">
        <v>-0.137543</v>
      </c>
      <c r="R2978">
        <v>-2.567424E-3</v>
      </c>
      <c r="S2978">
        <v>3.014313</v>
      </c>
      <c r="T2978">
        <v>-0.10627399999999999</v>
      </c>
      <c r="U2978">
        <v>3.1417849999999997E-2</v>
      </c>
      <c r="V2978">
        <v>7.136875E-3</v>
      </c>
      <c r="W2978">
        <v>-0.1228026</v>
      </c>
      <c r="X2978">
        <v>0.99240550000000005</v>
      </c>
      <c r="Y2978">
        <v>-5.7601619999999897E-3</v>
      </c>
      <c r="Z2978" s="1">
        <v>4.9446620000000003E-5</v>
      </c>
      <c r="AA2978">
        <v>0.99998339999999997</v>
      </c>
      <c r="AB2978">
        <v>25</v>
      </c>
      <c r="AC2978">
        <v>31.313500000000001</v>
      </c>
      <c r="AD2978">
        <v>-1.1208303887447</v>
      </c>
      <c r="AE2978">
        <v>0.32949999999999502</v>
      </c>
      <c r="AF2978">
        <v>-0.18339760972844199</v>
      </c>
      <c r="AG2978">
        <v>-1.1208303887447</v>
      </c>
      <c r="AH2978">
        <v>31.274630550781801</v>
      </c>
      <c r="AI2978">
        <v>92.052471099320499</v>
      </c>
      <c r="AJ2978">
        <v>90.335984418683594</v>
      </c>
      <c r="AK2978">
        <v>31.2952458295422</v>
      </c>
      <c r="AL2978">
        <v>97.053876026111396</v>
      </c>
      <c r="AM2978">
        <v>89.587965033134495</v>
      </c>
      <c r="AN2978">
        <v>1.0000000449908799</v>
      </c>
    </row>
    <row r="2979" spans="1:40" x14ac:dyDescent="0.25">
      <c r="A2979" t="str">
        <f>"20190303154527874"</f>
        <v>20190303154527874</v>
      </c>
      <c r="B2979" t="str">
        <f>"1551599127863526"</f>
        <v>1551599127863526</v>
      </c>
      <c r="C2979" t="s">
        <v>40</v>
      </c>
      <c r="D2979">
        <v>4.8694280000000001</v>
      </c>
      <c r="E2979">
        <v>0.4944267</v>
      </c>
      <c r="F2979" t="s">
        <v>55</v>
      </c>
      <c r="G2979">
        <v>-388.2586</v>
      </c>
      <c r="H2979" s="1">
        <v>2.851632E-6</v>
      </c>
      <c r="I2979">
        <v>214.7627</v>
      </c>
      <c r="J2979">
        <v>-415.13069999999999</v>
      </c>
      <c r="K2979">
        <v>1.120854</v>
      </c>
      <c r="L2979">
        <v>214.37629999999999</v>
      </c>
      <c r="M2979">
        <v>0.99987939999999997</v>
      </c>
      <c r="N2979">
        <v>-1.486403E-2</v>
      </c>
      <c r="O2979">
        <v>4.5104100000000003E-3</v>
      </c>
      <c r="P2979">
        <v>0.990533</v>
      </c>
      <c r="Q2979">
        <v>-0.13723679999999999</v>
      </c>
      <c r="R2979">
        <v>-3.2278430000000002E-3</v>
      </c>
      <c r="S2979">
        <v>3.0115660000000002</v>
      </c>
      <c r="T2979">
        <v>-0.1245614</v>
      </c>
      <c r="U2979">
        <v>4.304504E-2</v>
      </c>
      <c r="V2979">
        <v>7.6582119999999898E-3</v>
      </c>
      <c r="W2979">
        <v>-0.122501</v>
      </c>
      <c r="X2979">
        <v>0.99243890000000001</v>
      </c>
      <c r="Y2979">
        <v>-9.7714140000000008E-3</v>
      </c>
      <c r="Z2979">
        <v>1.5521400000000001E-4</v>
      </c>
      <c r="AA2979">
        <v>0.99995230000000002</v>
      </c>
      <c r="AB2979">
        <v>25</v>
      </c>
      <c r="AC2979">
        <v>26.8720999999999</v>
      </c>
      <c r="AD2979">
        <v>-1.1208511483679999</v>
      </c>
      <c r="AE2979">
        <v>0.38640000000000801</v>
      </c>
      <c r="AF2979">
        <v>-0.26471804026379298</v>
      </c>
      <c r="AG2979">
        <v>-1.1208511483679999</v>
      </c>
      <c r="AH2979">
        <v>26.826906524583102</v>
      </c>
      <c r="AI2979">
        <v>92.392358957080205</v>
      </c>
      <c r="AJ2979">
        <v>90.565355316108594</v>
      </c>
      <c r="AK2979">
        <v>26.851616275679898</v>
      </c>
      <c r="AL2979">
        <v>97.036464073050794</v>
      </c>
      <c r="AM2979">
        <v>89.557882588667596</v>
      </c>
      <c r="AN2979">
        <v>1.0000000567226199</v>
      </c>
    </row>
    <row r="2980" spans="1:40" x14ac:dyDescent="0.25">
      <c r="A2980" t="str">
        <f>"20190303154527896"</f>
        <v>20190303154527896</v>
      </c>
      <c r="B2980" t="str">
        <f>"1551599127893782"</f>
        <v>1551599127893782</v>
      </c>
      <c r="C2980" t="s">
        <v>40</v>
      </c>
      <c r="D2980">
        <v>4.8446610000000003</v>
      </c>
      <c r="E2980">
        <v>0.49373590000000001</v>
      </c>
      <c r="F2980" t="s">
        <v>55</v>
      </c>
      <c r="G2980">
        <v>-389.64049999999997</v>
      </c>
      <c r="H2980" s="1">
        <v>3.5874499999999998E-6</v>
      </c>
      <c r="I2980">
        <v>214.75290000000001</v>
      </c>
      <c r="J2980">
        <v>-414.87490000000003</v>
      </c>
      <c r="K2980">
        <v>1.1208800000000001</v>
      </c>
      <c r="L2980">
        <v>214.37719999999999</v>
      </c>
      <c r="M2980">
        <v>0.99988010000000005</v>
      </c>
      <c r="N2980">
        <v>-1.4857779999999999E-2</v>
      </c>
      <c r="O2980">
        <v>4.3809820000000003E-3</v>
      </c>
      <c r="P2980">
        <v>0.99054399999999998</v>
      </c>
      <c r="Q2980">
        <v>-0.13710620000000001</v>
      </c>
      <c r="R2980">
        <v>-4.9374400000000004E-3</v>
      </c>
      <c r="S2980">
        <v>3.010437</v>
      </c>
      <c r="T2980">
        <v>-0.13237449999999901</v>
      </c>
      <c r="U2980">
        <v>4.4479369999999997E-2</v>
      </c>
      <c r="V2980">
        <v>9.2480710000000001E-3</v>
      </c>
      <c r="W2980">
        <v>-0.1223764</v>
      </c>
      <c r="X2980">
        <v>0.99244060000000001</v>
      </c>
      <c r="Y2980">
        <v>-1.0380749999999999E-2</v>
      </c>
      <c r="Z2980">
        <v>1.7782059999999999E-4</v>
      </c>
      <c r="AA2980">
        <v>0.99994609999999995</v>
      </c>
      <c r="AB2980">
        <v>25</v>
      </c>
      <c r="AC2980">
        <v>25.234400000000001</v>
      </c>
      <c r="AD2980">
        <v>-1.1208764125499999</v>
      </c>
      <c r="AE2980">
        <v>0.37570000000002302</v>
      </c>
      <c r="AF2980">
        <v>-0.26461078189816001</v>
      </c>
      <c r="AG2980">
        <v>-1.1208764125499999</v>
      </c>
      <c r="AH2980">
        <v>25.186122417411301</v>
      </c>
      <c r="AI2980">
        <v>92.548054095035596</v>
      </c>
      <c r="AJ2980">
        <v>90.601939551184103</v>
      </c>
      <c r="AK2980">
        <v>25.2124402869484</v>
      </c>
      <c r="AL2980">
        <v>97.029271812701694</v>
      </c>
      <c r="AM2980">
        <v>89.466103965772504</v>
      </c>
      <c r="AN2980">
        <v>0.99999992731126797</v>
      </c>
    </row>
    <row r="2981" spans="1:40" x14ac:dyDescent="0.25">
      <c r="A2981" t="str">
        <f>"20190303154527919"</f>
        <v>20190303154527919</v>
      </c>
      <c r="B2981" t="str">
        <f>"1551599127914277"</f>
        <v>1551599127914277</v>
      </c>
      <c r="C2981" t="s">
        <v>40</v>
      </c>
      <c r="D2981">
        <v>4.8880410000000003</v>
      </c>
      <c r="E2981">
        <v>0.49339719999999998</v>
      </c>
      <c r="F2981" t="s">
        <v>55</v>
      </c>
      <c r="G2981">
        <v>-391.26569999999998</v>
      </c>
      <c r="H2981" s="1">
        <v>-8.6325099999999998E-7</v>
      </c>
      <c r="I2981">
        <v>214.72489999999999</v>
      </c>
      <c r="J2981">
        <v>-414.63099999999997</v>
      </c>
      <c r="K2981">
        <v>1.1209169999999999</v>
      </c>
      <c r="L2981">
        <v>214.37819999999999</v>
      </c>
      <c r="M2981">
        <v>0.99988060000000001</v>
      </c>
      <c r="N2981">
        <v>-1.485184E-2</v>
      </c>
      <c r="O2981">
        <v>4.3010069999999999E-3</v>
      </c>
      <c r="P2981">
        <v>0.9905562</v>
      </c>
      <c r="Q2981">
        <v>-0.13695370000000001</v>
      </c>
      <c r="R2981">
        <v>-6.4927869999999999E-3</v>
      </c>
      <c r="S2981">
        <v>3.009064</v>
      </c>
      <c r="T2981">
        <v>-0.14285929999999999</v>
      </c>
      <c r="U2981">
        <v>4.431152E-2</v>
      </c>
      <c r="V2981">
        <v>1.0733070000000001E-2</v>
      </c>
      <c r="W2981">
        <v>-0.1222294</v>
      </c>
      <c r="X2981">
        <v>0.99244390000000005</v>
      </c>
      <c r="Y2981">
        <v>-1.041016E-2</v>
      </c>
      <c r="Z2981">
        <v>1.841221E-4</v>
      </c>
      <c r="AA2981">
        <v>0.9999458</v>
      </c>
      <c r="AB2981">
        <v>25</v>
      </c>
      <c r="AC2981">
        <v>23.365299999999898</v>
      </c>
      <c r="AD2981">
        <v>-1.120917863251</v>
      </c>
      <c r="AE2981">
        <v>0.34669999999999801</v>
      </c>
      <c r="AF2981">
        <v>-0.24562622669397999</v>
      </c>
      <c r="AG2981">
        <v>-1.120917863251</v>
      </c>
      <c r="AH2981">
        <v>23.3129330129522</v>
      </c>
      <c r="AI2981">
        <v>92.752587319837303</v>
      </c>
      <c r="AJ2981">
        <v>90.603648858819298</v>
      </c>
      <c r="AK2981">
        <v>23.341157528404398</v>
      </c>
      <c r="AL2981">
        <v>97.020784690077207</v>
      </c>
      <c r="AM2981">
        <v>89.380382469224699</v>
      </c>
      <c r="AN2981">
        <v>1.0000000598315899</v>
      </c>
    </row>
    <row r="2982" spans="1:40" x14ac:dyDescent="0.25">
      <c r="A2982" t="str">
        <f>"20190303154527943"</f>
        <v>20190303154527943</v>
      </c>
      <c r="B2982" t="str">
        <f>"1551599127933797"</f>
        <v>1551599127933797</v>
      </c>
      <c r="C2982" t="s">
        <v>40</v>
      </c>
      <c r="D2982">
        <v>4.8791729999999998</v>
      </c>
      <c r="E2982">
        <v>0.49303170000000002</v>
      </c>
      <c r="F2982" t="s">
        <v>55</v>
      </c>
      <c r="G2982">
        <v>-391.78879999999998</v>
      </c>
      <c r="H2982" s="1">
        <v>-5.8487619999999996E-7</v>
      </c>
      <c r="I2982">
        <v>214.69820000000001</v>
      </c>
      <c r="J2982">
        <v>-414.36770000000001</v>
      </c>
      <c r="K2982">
        <v>1.120949</v>
      </c>
      <c r="L2982">
        <v>214.3792</v>
      </c>
      <c r="M2982">
        <v>0.99988089999999996</v>
      </c>
      <c r="N2982">
        <v>-1.4845300000000001E-2</v>
      </c>
      <c r="O2982">
        <v>4.2555570000000001E-3</v>
      </c>
      <c r="P2982">
        <v>0.99059419999999998</v>
      </c>
      <c r="Q2982">
        <v>-0.13659209999999999</v>
      </c>
      <c r="R2982">
        <v>-8.1261110000000001E-3</v>
      </c>
      <c r="S2982">
        <v>3.0084840000000002</v>
      </c>
      <c r="T2982">
        <v>-0.14763319999999999</v>
      </c>
      <c r="U2982">
        <v>4.214478E-2</v>
      </c>
      <c r="V2982">
        <v>1.233101E-2</v>
      </c>
      <c r="W2982">
        <v>-0.1218731</v>
      </c>
      <c r="X2982">
        <v>0.99246909999999999</v>
      </c>
      <c r="Y2982">
        <v>-9.7387600000000008E-3</v>
      </c>
      <c r="Z2982">
        <v>1.65605299999999E-4</v>
      </c>
      <c r="AA2982">
        <v>0.99995259999999997</v>
      </c>
      <c r="AB2982">
        <v>25</v>
      </c>
      <c r="AC2982">
        <v>22.578900000000001</v>
      </c>
      <c r="AD2982">
        <v>-1.1209495848761999</v>
      </c>
      <c r="AE2982">
        <v>0.31900000000001599</v>
      </c>
      <c r="AF2982">
        <v>-0.22235281325105299</v>
      </c>
      <c r="AG2982">
        <v>-1.1209495848761999</v>
      </c>
      <c r="AH2982">
        <v>22.5245476793549</v>
      </c>
      <c r="AI2982">
        <v>92.848874814412497</v>
      </c>
      <c r="AJ2982">
        <v>90.565581344510207</v>
      </c>
      <c r="AK2982">
        <v>22.553518947271399</v>
      </c>
      <c r="AL2982">
        <v>97.000216780426001</v>
      </c>
      <c r="AM2982">
        <v>89.288160731081405</v>
      </c>
      <c r="AN2982">
        <v>1.00000001038302</v>
      </c>
    </row>
    <row r="2983" spans="1:40" x14ac:dyDescent="0.25">
      <c r="A2983" t="str">
        <f>"20190303154527965"</f>
        <v>20190303154527965</v>
      </c>
      <c r="B2983" t="str">
        <f>"1551599127954293"</f>
        <v>1551599127954293</v>
      </c>
      <c r="C2983" t="s">
        <v>40</v>
      </c>
      <c r="D2983">
        <v>4.946923</v>
      </c>
      <c r="E2983">
        <v>0.4926971</v>
      </c>
      <c r="F2983" t="s">
        <v>55</v>
      </c>
      <c r="G2983">
        <v>-392.16460000000001</v>
      </c>
      <c r="H2983" s="1">
        <v>-3.8490210000000001E-7</v>
      </c>
      <c r="I2983">
        <v>214.67420000000001</v>
      </c>
      <c r="J2983">
        <v>-414.12439999999998</v>
      </c>
      <c r="K2983">
        <v>1.1209739999999999</v>
      </c>
      <c r="L2983">
        <v>214.38030000000001</v>
      </c>
      <c r="M2983">
        <v>0.99988089999999996</v>
      </c>
      <c r="N2983">
        <v>-1.4839420000000001E-2</v>
      </c>
      <c r="O2983">
        <v>4.2425140000000002E-3</v>
      </c>
      <c r="P2983">
        <v>0.99060079999999995</v>
      </c>
      <c r="Q2983">
        <v>-0.136493</v>
      </c>
      <c r="R2983">
        <v>-8.9444219999999901E-3</v>
      </c>
      <c r="S2983">
        <v>3.0078429999999998</v>
      </c>
      <c r="T2983">
        <v>-0.1518544</v>
      </c>
      <c r="U2983">
        <v>3.9962770000000002E-2</v>
      </c>
      <c r="V2983">
        <v>1.314249E-2</v>
      </c>
      <c r="W2983">
        <v>-0.1217792</v>
      </c>
      <c r="X2983">
        <v>0.99247019999999997</v>
      </c>
      <c r="Y2983">
        <v>-9.0300980000000003E-3</v>
      </c>
      <c r="Z2983">
        <v>1.437439E-4</v>
      </c>
      <c r="AA2983">
        <v>0.99995919999999905</v>
      </c>
      <c r="AB2983">
        <v>25</v>
      </c>
      <c r="AC2983">
        <v>21.959799999999898</v>
      </c>
      <c r="AD2983">
        <v>-1.1209743849021001</v>
      </c>
      <c r="AE2983">
        <v>0.29390000000000699</v>
      </c>
      <c r="AF2983">
        <v>-0.20020075506436399</v>
      </c>
      <c r="AG2983">
        <v>-1.1209743849021001</v>
      </c>
      <c r="AH2983">
        <v>21.903783533209701</v>
      </c>
      <c r="AI2983">
        <v>92.929559677991506</v>
      </c>
      <c r="AJ2983">
        <v>90.523669296700007</v>
      </c>
      <c r="AK2983">
        <v>21.933362646517399</v>
      </c>
      <c r="AL2983">
        <v>96.994796417676397</v>
      </c>
      <c r="AM2983">
        <v>89.241322108153497</v>
      </c>
      <c r="AN2983">
        <v>0.99999999824204</v>
      </c>
    </row>
    <row r="2984" spans="1:40" x14ac:dyDescent="0.25">
      <c r="A2984" t="str">
        <f>"20190303154527988"</f>
        <v>20190303154527988</v>
      </c>
      <c r="B2984" t="str">
        <f>"1551599127983574"</f>
        <v>1551599127983574</v>
      </c>
      <c r="C2984" t="s">
        <v>40</v>
      </c>
      <c r="D2984">
        <v>4.9315179999999996</v>
      </c>
      <c r="E2984">
        <v>0.4921912</v>
      </c>
      <c r="F2984" t="s">
        <v>55</v>
      </c>
      <c r="G2984">
        <v>-392.59480000000002</v>
      </c>
      <c r="H2984" s="1">
        <v>-1.5593539999999999E-7</v>
      </c>
      <c r="I2984">
        <v>214.66579999999999</v>
      </c>
      <c r="J2984">
        <v>-413.86709999999999</v>
      </c>
      <c r="K2984">
        <v>1.120987</v>
      </c>
      <c r="L2984">
        <v>214.38130000000001</v>
      </c>
      <c r="M2984">
        <v>0.99988089999999996</v>
      </c>
      <c r="N2984">
        <v>-1.483316E-2</v>
      </c>
      <c r="O2984">
        <v>4.2486870000000001E-3</v>
      </c>
      <c r="P2984">
        <v>0.99062830000000002</v>
      </c>
      <c r="Q2984">
        <v>-0.1362652</v>
      </c>
      <c r="R2984">
        <v>-9.3601050000000005E-3</v>
      </c>
      <c r="S2984">
        <v>3.0072939999999999</v>
      </c>
      <c r="T2984">
        <v>-0.1565802</v>
      </c>
      <c r="U2984">
        <v>3.988647E-2</v>
      </c>
      <c r="V2984">
        <v>1.356825E-2</v>
      </c>
      <c r="W2984">
        <v>-0.1215569</v>
      </c>
      <c r="X2984">
        <v>0.99249169999999998</v>
      </c>
      <c r="Y2984">
        <v>-9.0004519999999904E-3</v>
      </c>
      <c r="Z2984">
        <v>1.4289899999999999E-4</v>
      </c>
      <c r="AA2984">
        <v>0.9999595</v>
      </c>
      <c r="AB2984">
        <v>25</v>
      </c>
      <c r="AC2984">
        <v>21.272299999999898</v>
      </c>
      <c r="AD2984">
        <v>-1.1209871559353899</v>
      </c>
      <c r="AE2984">
        <v>0.28449999999997999</v>
      </c>
      <c r="AF2984">
        <v>-0.193570692360157</v>
      </c>
      <c r="AG2984">
        <v>-1.1209871559353899</v>
      </c>
      <c r="AH2984">
        <v>21.2144154240696</v>
      </c>
      <c r="AI2984">
        <v>93.024617343630894</v>
      </c>
      <c r="AJ2984">
        <v>90.522780180873696</v>
      </c>
      <c r="AK2984">
        <v>21.2448935888536</v>
      </c>
      <c r="AL2984">
        <v>96.981964389942704</v>
      </c>
      <c r="AM2984">
        <v>89.216764195318007</v>
      </c>
      <c r="AN2984">
        <v>0.99999997595727996</v>
      </c>
    </row>
    <row r="2985" spans="1:40" x14ac:dyDescent="0.25">
      <c r="A2985" t="str">
        <f>"20190303154528010"</f>
        <v>20190303154528010</v>
      </c>
      <c r="B2985" t="str">
        <f>"1551599128004069"</f>
        <v>1551599128004069</v>
      </c>
      <c r="C2985" t="s">
        <v>40</v>
      </c>
      <c r="D2985">
        <v>4.9612290000000003</v>
      </c>
      <c r="E2985">
        <v>0.49201470000000003</v>
      </c>
      <c r="F2985" t="s">
        <v>55</v>
      </c>
      <c r="G2985">
        <v>-393.2552</v>
      </c>
      <c r="H2985" s="1">
        <v>1.9548379999999999E-7</v>
      </c>
      <c r="I2985">
        <v>214.67179999999999</v>
      </c>
      <c r="J2985">
        <v>-413.62389999999999</v>
      </c>
      <c r="K2985">
        <v>1.1209960000000001</v>
      </c>
      <c r="L2985">
        <v>214.38239999999999</v>
      </c>
      <c r="M2985">
        <v>0.99988100000000002</v>
      </c>
      <c r="N2985">
        <v>-1.482721E-2</v>
      </c>
      <c r="O2985">
        <v>4.2681309999999997E-3</v>
      </c>
      <c r="P2985">
        <v>0.99076030000000004</v>
      </c>
      <c r="Q2985">
        <v>-0.13531189999999901</v>
      </c>
      <c r="R2985">
        <v>-9.2153979999999996E-3</v>
      </c>
      <c r="S2985">
        <v>3.0062869999999999</v>
      </c>
      <c r="T2985">
        <v>-0.16349820000000001</v>
      </c>
      <c r="U2985">
        <v>4.2358399999999997E-2</v>
      </c>
      <c r="V2985">
        <v>1.3444859999999999E-2</v>
      </c>
      <c r="W2985">
        <v>-0.12060750000000001</v>
      </c>
      <c r="X2985">
        <v>0.99260919999999997</v>
      </c>
      <c r="Y2985">
        <v>-9.8051300000000004E-3</v>
      </c>
      <c r="Z2985">
        <v>1.70497799999999E-4</v>
      </c>
      <c r="AA2985">
        <v>0.9999519</v>
      </c>
      <c r="AB2985">
        <v>25</v>
      </c>
      <c r="AC2985">
        <v>20.368699999999901</v>
      </c>
      <c r="AD2985">
        <v>-1.1209958045161901</v>
      </c>
      <c r="AE2985">
        <v>0.28939999999999999</v>
      </c>
      <c r="AF2985">
        <v>-0.20184030333581099</v>
      </c>
      <c r="AG2985">
        <v>-1.1209958045161901</v>
      </c>
      <c r="AH2985">
        <v>20.308251024365099</v>
      </c>
      <c r="AI2985">
        <v>93.159309575716193</v>
      </c>
      <c r="AJ2985">
        <v>90.569434400841601</v>
      </c>
      <c r="AK2985">
        <v>20.3401679140174</v>
      </c>
      <c r="AL2985">
        <v>96.927164564377307</v>
      </c>
      <c r="AM2985">
        <v>89.223977946938703</v>
      </c>
      <c r="AN2985">
        <v>0.99999997862065404</v>
      </c>
    </row>
    <row r="2986" spans="1:40" x14ac:dyDescent="0.25">
      <c r="A2986" t="str">
        <f>"20190303154528031"</f>
        <v>20190303154528031</v>
      </c>
      <c r="B2986" t="str">
        <f>"1551599128023590"</f>
        <v>1551599128023590</v>
      </c>
      <c r="C2986" t="s">
        <v>40</v>
      </c>
      <c r="D2986">
        <v>5.0049570000000001</v>
      </c>
      <c r="E2986">
        <v>0.48698000000000002</v>
      </c>
      <c r="F2986" t="s">
        <v>55</v>
      </c>
      <c r="G2986">
        <v>-392.9597</v>
      </c>
      <c r="H2986" s="1">
        <v>3.8224470000000003E-8</v>
      </c>
      <c r="I2986">
        <v>214.68620000000001</v>
      </c>
      <c r="J2986">
        <v>-413.39359999999999</v>
      </c>
      <c r="K2986">
        <v>1.121003</v>
      </c>
      <c r="L2986">
        <v>214.38339999999999</v>
      </c>
      <c r="M2986">
        <v>0.99988100000000002</v>
      </c>
      <c r="N2986">
        <v>-1.4821580000000001E-2</v>
      </c>
      <c r="O2986">
        <v>4.2946069999999998E-3</v>
      </c>
      <c r="P2986">
        <v>0.99084349999999999</v>
      </c>
      <c r="Q2986">
        <v>-0.1347431</v>
      </c>
      <c r="R2986">
        <v>-8.5908310000000002E-3</v>
      </c>
      <c r="S2986">
        <v>3.0061040000000001</v>
      </c>
      <c r="T2986">
        <v>-0.16307569999999999</v>
      </c>
      <c r="U2986">
        <v>4.4189449999999998E-2</v>
      </c>
      <c r="V2986">
        <v>1.284734E-2</v>
      </c>
      <c r="W2986">
        <v>-0.120043</v>
      </c>
      <c r="X2986">
        <v>0.99268559999999995</v>
      </c>
      <c r="Y2986">
        <v>-1.0387459999999999E-2</v>
      </c>
      <c r="Z2986">
        <v>1.8941889999999999E-4</v>
      </c>
      <c r="AA2986">
        <v>0.99994609999999995</v>
      </c>
      <c r="AB2986">
        <v>25</v>
      </c>
      <c r="AC2986">
        <v>20.433899999999898</v>
      </c>
      <c r="AD2986">
        <v>-1.1210029617755299</v>
      </c>
      <c r="AE2986">
        <v>0.302800000000019</v>
      </c>
      <c r="AF2986">
        <v>-0.214386921898711</v>
      </c>
      <c r="AG2986">
        <v>-1.1210029617755299</v>
      </c>
      <c r="AH2986">
        <v>20.373708505449301</v>
      </c>
      <c r="AI2986">
        <v>93.149180974191495</v>
      </c>
      <c r="AJ2986">
        <v>90.602885452150005</v>
      </c>
      <c r="AK2986">
        <v>20.405651365678299</v>
      </c>
      <c r="AL2986">
        <v>96.894583972247503</v>
      </c>
      <c r="AM2986">
        <v>89.258519246785895</v>
      </c>
      <c r="AN2986">
        <v>1.0000000382207099</v>
      </c>
    </row>
    <row r="2987" spans="1:40" x14ac:dyDescent="0.25">
      <c r="A2987" t="str">
        <f>"20190303154528053"</f>
        <v>20190303154528053</v>
      </c>
      <c r="B2987" t="str">
        <f>"1551599128044085"</f>
        <v>1551599128044085</v>
      </c>
      <c r="C2987" t="s">
        <v>40</v>
      </c>
      <c r="D2987">
        <v>5.0246950000000004</v>
      </c>
      <c r="E2987">
        <v>0.48801679999999997</v>
      </c>
      <c r="F2987" t="s">
        <v>57</v>
      </c>
      <c r="G2987">
        <v>-400.21429999999998</v>
      </c>
      <c r="H2987" s="1">
        <v>8.2797380000000003E-6</v>
      </c>
      <c r="I2987">
        <v>214.74940000000001</v>
      </c>
      <c r="J2987">
        <v>-413.15120000000002</v>
      </c>
      <c r="K2987">
        <v>1.1210070000000001</v>
      </c>
      <c r="L2987">
        <v>214.3845</v>
      </c>
      <c r="M2987">
        <v>0.99988100000000002</v>
      </c>
      <c r="N2987">
        <v>-1.4815699999999999E-2</v>
      </c>
      <c r="O2987">
        <v>4.3242860000000001E-3</v>
      </c>
      <c r="P2987">
        <v>0.99083699999999997</v>
      </c>
      <c r="Q2987">
        <v>-0.13487929999999901</v>
      </c>
      <c r="R2987">
        <v>-7.0490120000000003E-3</v>
      </c>
      <c r="S2987">
        <v>2.993805</v>
      </c>
      <c r="T2987">
        <v>-0.25464520000000002</v>
      </c>
      <c r="U2987">
        <v>8.3129880000000003E-2</v>
      </c>
      <c r="V2987">
        <v>1.133517E-2</v>
      </c>
      <c r="W2987">
        <v>-0.120185</v>
      </c>
      <c r="X2987">
        <v>0.99268679999999998</v>
      </c>
      <c r="Y2987">
        <v>-2.3344920000000002E-2</v>
      </c>
      <c r="Z2987">
        <v>8.6108599999999995E-4</v>
      </c>
      <c r="AA2987">
        <v>0.99972709999999998</v>
      </c>
      <c r="AB2987">
        <v>24</v>
      </c>
      <c r="AC2987">
        <v>12.9369</v>
      </c>
      <c r="AD2987">
        <v>-1.12099872026199</v>
      </c>
      <c r="AE2987">
        <v>0.364900000000005</v>
      </c>
      <c r="AF2987">
        <v>-0.30664698663289702</v>
      </c>
      <c r="AG2987">
        <v>-1.12099872026199</v>
      </c>
      <c r="AH2987">
        <v>12.842010292881501</v>
      </c>
      <c r="AI2987">
        <v>94.987376185092003</v>
      </c>
      <c r="AJ2987">
        <v>91.367873067097406</v>
      </c>
      <c r="AK2987">
        <v>12.8944910278659</v>
      </c>
      <c r="AL2987">
        <v>96.902779560003296</v>
      </c>
      <c r="AM2987">
        <v>89.345786428797496</v>
      </c>
      <c r="AN2987">
        <v>1.00000000159908</v>
      </c>
    </row>
    <row r="2988" spans="1:40" x14ac:dyDescent="0.25">
      <c r="A2988" t="str">
        <f>"20190303154528076"</f>
        <v>20190303154528076</v>
      </c>
      <c r="B2988" t="str">
        <f>"1551599128063606"</f>
        <v>1551599128063606</v>
      </c>
      <c r="C2988" t="s">
        <v>40</v>
      </c>
      <c r="D2988">
        <v>5.0294939999999997</v>
      </c>
      <c r="E2988">
        <v>0.48845640000000001</v>
      </c>
      <c r="F2988" t="s">
        <v>55</v>
      </c>
      <c r="G2988">
        <v>-399.42320000000001</v>
      </c>
      <c r="H2988" s="1">
        <v>3.477795E-6</v>
      </c>
      <c r="I2988">
        <v>214.7517</v>
      </c>
      <c r="J2988">
        <v>-412.9128</v>
      </c>
      <c r="K2988">
        <v>1.121008</v>
      </c>
      <c r="L2988">
        <v>214.38550000000001</v>
      </c>
      <c r="M2988">
        <v>0.99988100000000002</v>
      </c>
      <c r="N2988">
        <v>-1.4809930000000001E-2</v>
      </c>
      <c r="O2988">
        <v>4.3505619999999997E-3</v>
      </c>
      <c r="P2988">
        <v>0.99080469999999998</v>
      </c>
      <c r="Q2988">
        <v>-0.13517460000000001</v>
      </c>
      <c r="R2988">
        <v>-5.8423719999999898E-3</v>
      </c>
      <c r="S2988">
        <v>2.9950559999999999</v>
      </c>
      <c r="T2988">
        <v>-0.24457100000000001</v>
      </c>
      <c r="U2988">
        <v>8.0108639999999995E-2</v>
      </c>
      <c r="V2988">
        <v>1.015457E-2</v>
      </c>
      <c r="W2988">
        <v>-0.12048639999999999</v>
      </c>
      <c r="X2988">
        <v>0.99266299999999996</v>
      </c>
      <c r="Y2988">
        <v>-2.2309639999999999E-2</v>
      </c>
      <c r="Z2988">
        <v>7.8450969999999999E-4</v>
      </c>
      <c r="AA2988">
        <v>0.99975080000000005</v>
      </c>
      <c r="AB2988">
        <v>24</v>
      </c>
      <c r="AC2988">
        <v>13.4895999999999</v>
      </c>
      <c r="AD2988">
        <v>-1.121004522205</v>
      </c>
      <c r="AE2988">
        <v>0.36619999999999198</v>
      </c>
      <c r="AF2988">
        <v>-0.30539530505322499</v>
      </c>
      <c r="AG2988">
        <v>-1.121004522205</v>
      </c>
      <c r="AH2988">
        <v>13.398605160095</v>
      </c>
      <c r="AI2988">
        <v>94.781320537862499</v>
      </c>
      <c r="AJ2988">
        <v>91.305720454626297</v>
      </c>
      <c r="AK2988">
        <v>13.4488861125105</v>
      </c>
      <c r="AL2988">
        <v>96.920175206777998</v>
      </c>
      <c r="AM2988">
        <v>89.413906118834902</v>
      </c>
      <c r="AN2988">
        <v>0.99999995972292099</v>
      </c>
    </row>
    <row r="2989" spans="1:40" x14ac:dyDescent="0.25">
      <c r="A2989" t="str">
        <f>"20190303154528097"</f>
        <v>20190303154528097</v>
      </c>
      <c r="B2989" t="str">
        <f>"1551599128093861"</f>
        <v>1551599128093861</v>
      </c>
      <c r="C2989" t="s">
        <v>40</v>
      </c>
      <c r="D2989">
        <v>5.0828709999999999</v>
      </c>
      <c r="E2989">
        <v>0.48836869999999999</v>
      </c>
      <c r="F2989" t="s">
        <v>55</v>
      </c>
      <c r="G2989">
        <v>-398.8467</v>
      </c>
      <c r="H2989" s="1">
        <v>3.1709809999999999E-6</v>
      </c>
      <c r="I2989">
        <v>214.76400000000001</v>
      </c>
      <c r="J2989">
        <v>-412.67509999999999</v>
      </c>
      <c r="K2989">
        <v>1.1210039999999999</v>
      </c>
      <c r="L2989">
        <v>214.38659999999999</v>
      </c>
      <c r="M2989">
        <v>0.99988089999999996</v>
      </c>
      <c r="N2989">
        <v>-1.480414E-2</v>
      </c>
      <c r="O2989">
        <v>4.3733089999999997E-3</v>
      </c>
      <c r="P2989">
        <v>0.99081140000000001</v>
      </c>
      <c r="Q2989">
        <v>-0.1351618</v>
      </c>
      <c r="R2989">
        <v>-4.8966180000000002E-3</v>
      </c>
      <c r="S2989">
        <v>2.9957579999999999</v>
      </c>
      <c r="T2989">
        <v>-0.23874860000000001</v>
      </c>
      <c r="U2989">
        <v>8.0596920000000002E-2</v>
      </c>
      <c r="V2989">
        <v>9.2315120000000007E-3</v>
      </c>
      <c r="W2989">
        <v>-0.12047919999999999</v>
      </c>
      <c r="X2989">
        <v>0.99267289999999997</v>
      </c>
      <c r="Y2989">
        <v>-2.2446299999999999E-2</v>
      </c>
      <c r="Z2989">
        <v>7.7609800000000002E-4</v>
      </c>
      <c r="AA2989">
        <v>0.99974779999999996</v>
      </c>
      <c r="AB2989">
        <v>24</v>
      </c>
      <c r="AC2989">
        <v>13.828399999999901</v>
      </c>
      <c r="AD2989">
        <v>-1.1210008290189999</v>
      </c>
      <c r="AE2989">
        <v>0.377400000000022</v>
      </c>
      <c r="AF2989">
        <v>-0.31484640910403999</v>
      </c>
      <c r="AG2989">
        <v>-1.1210008290189999</v>
      </c>
      <c r="AH2989">
        <v>13.739694472629299</v>
      </c>
      <c r="AI2989">
        <v>94.663125611848898</v>
      </c>
      <c r="AJ2989">
        <v>91.312708515181299</v>
      </c>
      <c r="AK2989">
        <v>13.788943952355</v>
      </c>
      <c r="AL2989">
        <v>96.919759561696495</v>
      </c>
      <c r="AM2989">
        <v>89.467184579026593</v>
      </c>
      <c r="AN2989">
        <v>0.99999997242042704</v>
      </c>
    </row>
    <row r="2990" spans="1:40" x14ac:dyDescent="0.25">
      <c r="A2990" t="str">
        <f>"20190303154528120"</f>
        <v>20190303154528120</v>
      </c>
      <c r="B2990" t="str">
        <f>"1551599128114359"</f>
        <v>1551599128114359</v>
      </c>
      <c r="C2990" t="s">
        <v>40</v>
      </c>
      <c r="D2990">
        <v>5.0864339999999997</v>
      </c>
      <c r="E2990">
        <v>0.48779980000000001</v>
      </c>
      <c r="F2990" t="s">
        <v>55</v>
      </c>
      <c r="G2990">
        <v>-398.58819999999997</v>
      </c>
      <c r="H2990" s="1">
        <v>3.0334379999999998E-6</v>
      </c>
      <c r="I2990">
        <v>214.78210000000001</v>
      </c>
      <c r="J2990">
        <v>-412.43119999999999</v>
      </c>
      <c r="K2990">
        <v>1.1210009999999999</v>
      </c>
      <c r="L2990">
        <v>214.3877</v>
      </c>
      <c r="M2990">
        <v>0.99988089999999996</v>
      </c>
      <c r="N2990">
        <v>-1.4798240000000001E-2</v>
      </c>
      <c r="O2990">
        <v>4.3937189999999999E-3</v>
      </c>
      <c r="P2990">
        <v>0.990846</v>
      </c>
      <c r="Q2990">
        <v>-0.1349233</v>
      </c>
      <c r="R2990">
        <v>-4.4462620000000003E-3</v>
      </c>
      <c r="S2990">
        <v>2.9957280000000002</v>
      </c>
      <c r="T2990">
        <v>-0.23839340000000001</v>
      </c>
      <c r="U2990">
        <v>8.4106449999999999E-2</v>
      </c>
      <c r="V2990">
        <v>8.8011069999999903E-3</v>
      </c>
      <c r="W2990">
        <v>-0.12024609999999999</v>
      </c>
      <c r="X2990">
        <v>0.99270510000000001</v>
      </c>
      <c r="Y2990">
        <v>-2.3592419999999999E-2</v>
      </c>
      <c r="Z2990">
        <v>8.2789690000000004E-4</v>
      </c>
      <c r="AA2990">
        <v>0.99972130000000003</v>
      </c>
      <c r="AB2990">
        <v>24</v>
      </c>
      <c r="AC2990">
        <v>13.843</v>
      </c>
      <c r="AD2990">
        <v>-1.120997966562</v>
      </c>
      <c r="AE2990">
        <v>0.39440000000001801</v>
      </c>
      <c r="AF2990">
        <v>-0.331395862261538</v>
      </c>
      <c r="AG2990">
        <v>-1.120997966562</v>
      </c>
      <c r="AH2990">
        <v>13.7544753429056</v>
      </c>
      <c r="AI2990">
        <v>94.657996335353701</v>
      </c>
      <c r="AJ2990">
        <v>91.380198875725995</v>
      </c>
      <c r="AK2990">
        <v>13.804059244191899</v>
      </c>
      <c r="AL2990">
        <v>96.906305918274796</v>
      </c>
      <c r="AM2990">
        <v>89.492041418304296</v>
      </c>
      <c r="AN2990">
        <v>0.99999999980782195</v>
      </c>
    </row>
    <row r="2991" spans="1:40" x14ac:dyDescent="0.25">
      <c r="A2991" t="str">
        <f>"20190303154528143"</f>
        <v>20190303154528143</v>
      </c>
      <c r="B2991" t="str">
        <f>"1551599128133877"</f>
        <v>1551599128133877</v>
      </c>
      <c r="C2991" t="s">
        <v>40</v>
      </c>
      <c r="D2991">
        <v>5.1265960000000002</v>
      </c>
      <c r="E2991">
        <v>0.48755929999999997</v>
      </c>
      <c r="F2991" t="s">
        <v>55</v>
      </c>
      <c r="G2991">
        <v>-398.61630000000002</v>
      </c>
      <c r="H2991" s="1">
        <v>3.0483760000000001E-6</v>
      </c>
      <c r="I2991">
        <v>214.80070000000001</v>
      </c>
      <c r="J2991">
        <v>-412.17649999999998</v>
      </c>
      <c r="K2991">
        <v>1.1209990000000001</v>
      </c>
      <c r="L2991">
        <v>214.38890000000001</v>
      </c>
      <c r="M2991">
        <v>0.99988089999999996</v>
      </c>
      <c r="N2991">
        <v>-1.479214E-2</v>
      </c>
      <c r="O2991">
        <v>4.4135789999999999E-3</v>
      </c>
      <c r="P2991">
        <v>0.99086200000000002</v>
      </c>
      <c r="Q2991">
        <v>-0.13480729999999999</v>
      </c>
      <c r="R2991">
        <v>-4.4513440000000003E-3</v>
      </c>
      <c r="S2991">
        <v>2.9950559999999999</v>
      </c>
      <c r="T2991">
        <v>-0.243031</v>
      </c>
      <c r="U2991">
        <v>8.9538569999999998E-2</v>
      </c>
      <c r="V2991">
        <v>8.8253180000000004E-3</v>
      </c>
      <c r="W2991">
        <v>-0.1201359</v>
      </c>
      <c r="X2991">
        <v>0.9927182</v>
      </c>
      <c r="Y2991">
        <v>-2.538081E-2</v>
      </c>
      <c r="Z2991">
        <v>9.2369480000000003E-4</v>
      </c>
      <c r="AA2991">
        <v>0.99967740000000005</v>
      </c>
      <c r="AB2991">
        <v>24</v>
      </c>
      <c r="AC2991">
        <v>13.560199999999901</v>
      </c>
      <c r="AD2991">
        <v>-1.120995951624</v>
      </c>
      <c r="AE2991">
        <v>0.411799999999999</v>
      </c>
      <c r="AF2991">
        <v>-0.34955377401149701</v>
      </c>
      <c r="AG2991">
        <v>-1.120995951624</v>
      </c>
      <c r="AH2991">
        <v>13.4699168161762</v>
      </c>
      <c r="AI2991">
        <v>94.755723673153597</v>
      </c>
      <c r="AJ2991">
        <v>91.486531964888002</v>
      </c>
      <c r="AK2991">
        <v>13.521001397795599</v>
      </c>
      <c r="AL2991">
        <v>96.899946005875407</v>
      </c>
      <c r="AM2991">
        <v>89.490650867708496</v>
      </c>
      <c r="AN2991">
        <v>0.99999997265892504</v>
      </c>
    </row>
    <row r="2992" spans="1:40" x14ac:dyDescent="0.25">
      <c r="A2992" t="str">
        <f>"20190303154528164"</f>
        <v>20190303154528164</v>
      </c>
      <c r="B2992" t="str">
        <f>"1551599128154374"</f>
        <v>1551599128154374</v>
      </c>
      <c r="C2992" t="s">
        <v>40</v>
      </c>
      <c r="D2992">
        <v>5.1008509999999996</v>
      </c>
      <c r="E2992">
        <v>0.48790050000000001</v>
      </c>
      <c r="F2992" t="s">
        <v>55</v>
      </c>
      <c r="G2992">
        <v>-398.6225</v>
      </c>
      <c r="H2992" s="1">
        <v>3.0516780000000002E-6</v>
      </c>
      <c r="I2992">
        <v>214.80279999999999</v>
      </c>
      <c r="J2992">
        <v>-411.95280000000002</v>
      </c>
      <c r="K2992">
        <v>1.1209929999999999</v>
      </c>
      <c r="L2992">
        <v>214.38990000000001</v>
      </c>
      <c r="M2992">
        <v>0.99988100000000002</v>
      </c>
      <c r="N2992">
        <v>-1.4786809999999999E-2</v>
      </c>
      <c r="O2992">
        <v>4.43057E-3</v>
      </c>
      <c r="P2992">
        <v>0.99083080000000001</v>
      </c>
      <c r="Q2992">
        <v>-0.13501859999999999</v>
      </c>
      <c r="R2992">
        <v>-4.9694190000000001E-3</v>
      </c>
      <c r="S2992">
        <v>2.9943849999999999</v>
      </c>
      <c r="T2992">
        <v>-0.24765300000000001</v>
      </c>
      <c r="U2992">
        <v>9.144592E-2</v>
      </c>
      <c r="V2992">
        <v>9.3595390000000001E-3</v>
      </c>
      <c r="W2992">
        <v>-0.1203531</v>
      </c>
      <c r="X2992">
        <v>0.99268699999999999</v>
      </c>
      <c r="Y2992">
        <v>-2.600119E-2</v>
      </c>
      <c r="Z2992">
        <v>9.6551649999999998E-4</v>
      </c>
      <c r="AA2992">
        <v>0.99966140000000003</v>
      </c>
      <c r="AB2992">
        <v>24</v>
      </c>
      <c r="AC2992">
        <v>13.330299999999999</v>
      </c>
      <c r="AD2992">
        <v>-1.1209899483220001</v>
      </c>
      <c r="AE2992">
        <v>0.41289999999997901</v>
      </c>
      <c r="AF2992">
        <v>-0.35134643630641499</v>
      </c>
      <c r="AG2992">
        <v>-1.1209899483220001</v>
      </c>
      <c r="AH2992">
        <v>13.238470012892</v>
      </c>
      <c r="AI2992">
        <v>94.838375952520096</v>
      </c>
      <c r="AJ2992">
        <v>91.520262047104694</v>
      </c>
      <c r="AK2992">
        <v>13.290491001644201</v>
      </c>
      <c r="AL2992">
        <v>96.912481589063106</v>
      </c>
      <c r="AM2992">
        <v>89.459803348745993</v>
      </c>
      <c r="AN2992">
        <v>0.99999997480945002</v>
      </c>
    </row>
    <row r="2993" spans="1:40" x14ac:dyDescent="0.25">
      <c r="A2993" t="str">
        <f>"20190303154528189"</f>
        <v>20190303154528189</v>
      </c>
      <c r="B2993" t="str">
        <f>"1551599128183654"</f>
        <v>1551599128183654</v>
      </c>
      <c r="C2993" t="s">
        <v>40</v>
      </c>
      <c r="D2993">
        <v>5.2787290000000002</v>
      </c>
      <c r="E2993">
        <v>0.4884484</v>
      </c>
      <c r="F2993" t="s">
        <v>55</v>
      </c>
      <c r="G2993">
        <v>-398.45159999999998</v>
      </c>
      <c r="H2993" s="1">
        <v>2.9607170000000001E-6</v>
      </c>
      <c r="I2993">
        <v>214.7842</v>
      </c>
      <c r="J2993">
        <v>-411.67869999999999</v>
      </c>
      <c r="K2993">
        <v>1.1209910000000001</v>
      </c>
      <c r="L2993">
        <v>214.39109999999999</v>
      </c>
      <c r="M2993">
        <v>0.99988100000000002</v>
      </c>
      <c r="N2993">
        <v>-1.478032E-2</v>
      </c>
      <c r="O2993">
        <v>4.4504319999999998E-3</v>
      </c>
      <c r="P2993">
        <v>0.99070040000000004</v>
      </c>
      <c r="Q2993">
        <v>-0.13593050000000001</v>
      </c>
      <c r="R2993">
        <v>-5.986323E-3</v>
      </c>
      <c r="S2993">
        <v>2.9943240000000002</v>
      </c>
      <c r="T2993">
        <v>-0.24861449999999999</v>
      </c>
      <c r="U2993">
        <v>8.7448120000000004E-2</v>
      </c>
      <c r="V2993">
        <v>1.0395039999999999E-2</v>
      </c>
      <c r="W2993">
        <v>-0.1212734</v>
      </c>
      <c r="X2993">
        <v>0.99256469999999997</v>
      </c>
      <c r="Y2993">
        <v>-2.46533E-2</v>
      </c>
      <c r="Z2993">
        <v>9.0098260000000003E-4</v>
      </c>
      <c r="AA2993">
        <v>0.99969569999999996</v>
      </c>
      <c r="AB2993">
        <v>24</v>
      </c>
      <c r="AC2993">
        <v>13.2271</v>
      </c>
      <c r="AD2993">
        <v>-1.1209880392829901</v>
      </c>
      <c r="AE2993">
        <v>0.393100000000003</v>
      </c>
      <c r="AF2993">
        <v>-0.33184203836153597</v>
      </c>
      <c r="AG2993">
        <v>-1.1209880392829901</v>
      </c>
      <c r="AH2993">
        <v>13.134464236728601</v>
      </c>
      <c r="AI2993">
        <v>94.876656670126295</v>
      </c>
      <c r="AJ2993">
        <v>91.4472691068122</v>
      </c>
      <c r="AK2993">
        <v>13.186390109068601</v>
      </c>
      <c r="AL2993">
        <v>96.965599877351593</v>
      </c>
      <c r="AM2993">
        <v>89.399968439237099</v>
      </c>
      <c r="AN2993">
        <v>0.99999998904512499</v>
      </c>
    </row>
    <row r="2994" spans="1:40" x14ac:dyDescent="0.25">
      <c r="A2994" t="str">
        <f>"20190303154528232"</f>
        <v>20190303154528232</v>
      </c>
      <c r="B2994" t="str">
        <f>"1551599128223670"</f>
        <v>1551599128223670</v>
      </c>
      <c r="C2994" t="s">
        <v>40</v>
      </c>
      <c r="D2994">
        <v>5.2393299999999998</v>
      </c>
      <c r="E2994">
        <v>0.48902050000000002</v>
      </c>
      <c r="F2994" t="s">
        <v>55</v>
      </c>
      <c r="G2994">
        <v>-398.33580000000001</v>
      </c>
      <c r="H2994" s="1">
        <v>2.8991360000000001E-6</v>
      </c>
      <c r="I2994">
        <v>214.74760000000001</v>
      </c>
      <c r="J2994">
        <v>-411.22140000000002</v>
      </c>
      <c r="K2994">
        <v>1.120989</v>
      </c>
      <c r="L2994">
        <v>214.39320000000001</v>
      </c>
      <c r="M2994">
        <v>0.99988100000000002</v>
      </c>
      <c r="N2994">
        <v>-1.476945E-2</v>
      </c>
      <c r="O2994">
        <v>4.4807609999999998E-3</v>
      </c>
      <c r="P2994">
        <v>0.99058820000000003</v>
      </c>
      <c r="Q2994">
        <v>-0.13662759999999999</v>
      </c>
      <c r="R2994">
        <v>-8.2572569999999901E-3</v>
      </c>
      <c r="S2994">
        <v>2.9941409999999999</v>
      </c>
      <c r="T2994">
        <v>-0.25154979999999999</v>
      </c>
      <c r="U2994">
        <v>8.0001829999999996E-2</v>
      </c>
      <c r="V2994">
        <v>1.2695140000000001E-2</v>
      </c>
      <c r="W2994">
        <v>-0.1219831</v>
      </c>
      <c r="X2994">
        <v>0.99245099999999997</v>
      </c>
      <c r="Y2994">
        <v>-2.214899E-2</v>
      </c>
      <c r="Z2994">
        <v>7.8291660000000003E-4</v>
      </c>
      <c r="AA2994">
        <v>0.99975440000000004</v>
      </c>
      <c r="AB2994">
        <v>24</v>
      </c>
      <c r="AC2994">
        <v>12.8856</v>
      </c>
      <c r="AD2994">
        <v>-1.1209861008640001</v>
      </c>
      <c r="AE2994">
        <v>0.35439999999999799</v>
      </c>
      <c r="AF2994">
        <v>-0.29442627058623899</v>
      </c>
      <c r="AG2994">
        <v>-1.1209861008640001</v>
      </c>
      <c r="AH2994">
        <v>12.7903324665774</v>
      </c>
      <c r="AI2994">
        <v>95.007469050470206</v>
      </c>
      <c r="AJ2994">
        <v>91.318683780019498</v>
      </c>
      <c r="AK2994">
        <v>12.8427372967264</v>
      </c>
      <c r="AL2994">
        <v>97.006566658361393</v>
      </c>
      <c r="AM2994">
        <v>89.267129285817802</v>
      </c>
      <c r="AN2994">
        <v>1.0000000153331099</v>
      </c>
    </row>
    <row r="2995" spans="1:40" x14ac:dyDescent="0.25">
      <c r="A2995" t="str">
        <f>"20190303154528254"</f>
        <v>20190303154528254</v>
      </c>
      <c r="B2995" t="str">
        <f>"1551599128244166"</f>
        <v>1551599128244166</v>
      </c>
      <c r="C2995" t="s">
        <v>40</v>
      </c>
      <c r="D2995">
        <v>5.1687560000000001</v>
      </c>
      <c r="E2995">
        <v>0.50644209999999901</v>
      </c>
      <c r="F2995" t="s">
        <v>55</v>
      </c>
      <c r="G2995">
        <v>-398.041</v>
      </c>
      <c r="H2995" s="1">
        <v>2.7422059999999999E-6</v>
      </c>
      <c r="I2995">
        <v>214.69380000000001</v>
      </c>
      <c r="J2995">
        <v>-410.97669999999999</v>
      </c>
      <c r="K2995">
        <v>1.1209929999999999</v>
      </c>
      <c r="L2995">
        <v>214.39429999999999</v>
      </c>
      <c r="M2995">
        <v>0.99988100000000002</v>
      </c>
      <c r="N2995">
        <v>-1.476366E-2</v>
      </c>
      <c r="O2995">
        <v>4.496295E-3</v>
      </c>
      <c r="P2995">
        <v>0.99055479999999996</v>
      </c>
      <c r="Q2995">
        <v>-0.136874</v>
      </c>
      <c r="R2995">
        <v>-8.1735999999999996E-3</v>
      </c>
      <c r="S2995">
        <v>2.9939580000000001</v>
      </c>
      <c r="T2995">
        <v>-0.25463350000000001</v>
      </c>
      <c r="U2995">
        <v>6.8283079999999996E-2</v>
      </c>
      <c r="V2995">
        <v>1.262652E-2</v>
      </c>
      <c r="W2995">
        <v>-0.1222357</v>
      </c>
      <c r="X2995">
        <v>0.99242079999999999</v>
      </c>
      <c r="Y2995">
        <v>-1.8238979999999998E-2</v>
      </c>
      <c r="Z2995">
        <v>5.936712E-4</v>
      </c>
      <c r="AA2995">
        <v>0.99983350000000004</v>
      </c>
      <c r="AB2995">
        <v>24</v>
      </c>
      <c r="AC2995">
        <v>12.935699999999899</v>
      </c>
      <c r="AD2995">
        <v>-1.1209902577940001</v>
      </c>
      <c r="AE2995">
        <v>0.29950000000002303</v>
      </c>
      <c r="AF2995">
        <v>-0.23953007429432099</v>
      </c>
      <c r="AG2995">
        <v>-1.1209902577940001</v>
      </c>
      <c r="AH2995">
        <v>12.8405387987178</v>
      </c>
      <c r="AI2995">
        <v>94.988458516141506</v>
      </c>
      <c r="AJ2995">
        <v>91.068683407578902</v>
      </c>
      <c r="AK2995">
        <v>12.8916030987592</v>
      </c>
      <c r="AL2995">
        <v>97.021148662965601</v>
      </c>
      <c r="AM2995">
        <v>89.2710680044745</v>
      </c>
      <c r="AN2995">
        <v>1.0000000198172201</v>
      </c>
    </row>
    <row r="2996" spans="1:40" x14ac:dyDescent="0.25">
      <c r="A2996" t="str">
        <f>"20190303154528277"</f>
        <v>20190303154528277</v>
      </c>
      <c r="B2996" t="str">
        <f>"1551599128273446"</f>
        <v>1551599128273446</v>
      </c>
      <c r="C2996" t="s">
        <v>40</v>
      </c>
      <c r="D2996">
        <v>5.252078</v>
      </c>
      <c r="E2996">
        <v>0.50606989999999996</v>
      </c>
      <c r="F2996" t="s">
        <v>55</v>
      </c>
      <c r="G2996">
        <v>-387.11900000000003</v>
      </c>
      <c r="H2996" s="1">
        <v>2.2842730000000002E-6</v>
      </c>
      <c r="I2996">
        <v>213.86930000000001</v>
      </c>
      <c r="J2996">
        <v>-410.74160000000001</v>
      </c>
      <c r="K2996">
        <v>1.1209929999999999</v>
      </c>
      <c r="L2996">
        <v>214.3954</v>
      </c>
      <c r="M2996">
        <v>0.99988100000000002</v>
      </c>
      <c r="N2996">
        <v>-1.475802E-2</v>
      </c>
      <c r="O2996">
        <v>4.5112939999999999E-3</v>
      </c>
      <c r="P2996">
        <v>0.99050890000000003</v>
      </c>
      <c r="Q2996">
        <v>-0.13723160000000001</v>
      </c>
      <c r="R2996">
        <v>-7.73230599999999E-3</v>
      </c>
      <c r="S2996">
        <v>3.0085449999999998</v>
      </c>
      <c r="T2996">
        <v>-0.14136109999999999</v>
      </c>
      <c r="U2996">
        <v>-6.6207890000000005E-2</v>
      </c>
      <c r="V2996">
        <v>1.219978E-2</v>
      </c>
      <c r="W2996">
        <v>-0.1225995</v>
      </c>
      <c r="X2996">
        <v>0.99238119999999996</v>
      </c>
      <c r="Y2996">
        <v>2.6471040000000001E-2</v>
      </c>
      <c r="Z2996">
        <v>-9.6226129999999995E-4</v>
      </c>
      <c r="AA2996">
        <v>0.99964909999999996</v>
      </c>
      <c r="AB2996">
        <v>24</v>
      </c>
      <c r="AC2996">
        <v>23.622599999999899</v>
      </c>
      <c r="AD2996">
        <v>-1.120990715727</v>
      </c>
      <c r="AE2996">
        <v>-0.52609999999998502</v>
      </c>
      <c r="AF2996">
        <v>0.63125392280418502</v>
      </c>
      <c r="AG2996">
        <v>-1.120990715727</v>
      </c>
      <c r="AH2996">
        <v>23.566941885276499</v>
      </c>
      <c r="AI2996">
        <v>92.722316999072007</v>
      </c>
      <c r="AJ2996">
        <v>88.465666879769898</v>
      </c>
      <c r="AK2996">
        <v>23.6020306652585</v>
      </c>
      <c r="AL2996">
        <v>97.0421512612116</v>
      </c>
      <c r="AM2996">
        <v>89.295673179418998</v>
      </c>
      <c r="AN2996">
        <v>0.99999995907286798</v>
      </c>
    </row>
    <row r="2997" spans="1:40" x14ac:dyDescent="0.25">
      <c r="A2997" t="str">
        <f>"20190303154528298"</f>
        <v>20190303154528298</v>
      </c>
      <c r="B2997" t="str">
        <f>"1551599128293941"</f>
        <v>1551599128293941</v>
      </c>
      <c r="C2997" t="s">
        <v>40</v>
      </c>
      <c r="D2997">
        <v>5.2564510000000002</v>
      </c>
      <c r="E2997">
        <v>0.50568630000000003</v>
      </c>
      <c r="F2997" t="s">
        <v>55</v>
      </c>
      <c r="G2997">
        <v>-392.67160000000001</v>
      </c>
      <c r="H2997" s="1">
        <v>-1.151062E-7</v>
      </c>
      <c r="I2997">
        <v>214.01519999999999</v>
      </c>
      <c r="J2997">
        <v>-410.5127</v>
      </c>
      <c r="K2997">
        <v>1.1209910000000001</v>
      </c>
      <c r="L2997">
        <v>214.3965</v>
      </c>
      <c r="M2997">
        <v>0.99988109999999997</v>
      </c>
      <c r="N2997">
        <v>-1.475244E-2</v>
      </c>
      <c r="O2997">
        <v>4.5261149999999998E-3</v>
      </c>
      <c r="P2997">
        <v>0.99051829999999996</v>
      </c>
      <c r="Q2997">
        <v>-0.13719100000000001</v>
      </c>
      <c r="R2997">
        <v>-7.2397719999999898E-3</v>
      </c>
      <c r="S2997">
        <v>3.002472</v>
      </c>
      <c r="T2997">
        <v>-0.18626119999999999</v>
      </c>
      <c r="U2997">
        <v>-6.3171389999999994E-2</v>
      </c>
      <c r="V2997">
        <v>1.172201E-2</v>
      </c>
      <c r="W2997">
        <v>-0.1225643</v>
      </c>
      <c r="X2997">
        <v>0.99239129999999998</v>
      </c>
      <c r="Y2997">
        <v>2.549481E-2</v>
      </c>
      <c r="Z2997">
        <v>-1.192027E-3</v>
      </c>
      <c r="AA2997">
        <v>0.99967430000000002</v>
      </c>
      <c r="AB2997">
        <v>24</v>
      </c>
      <c r="AC2997">
        <v>17.841099999999901</v>
      </c>
      <c r="AD2997">
        <v>-1.1209911151062</v>
      </c>
      <c r="AE2997">
        <v>-0.38130000000001002</v>
      </c>
      <c r="AF2997">
        <v>0.46023960961802102</v>
      </c>
      <c r="AG2997">
        <v>-1.1209911151062</v>
      </c>
      <c r="AH2997">
        <v>17.769073538921798</v>
      </c>
      <c r="AI2997">
        <v>93.608607210203104</v>
      </c>
      <c r="AJ2997">
        <v>88.516304600220394</v>
      </c>
      <c r="AK2997">
        <v>17.8103457577336</v>
      </c>
      <c r="AL2997">
        <v>97.040119168976005</v>
      </c>
      <c r="AM2997">
        <v>89.323260423576997</v>
      </c>
      <c r="AN2997">
        <v>0.99999995273430797</v>
      </c>
    </row>
    <row r="2998" spans="1:40" x14ac:dyDescent="0.25">
      <c r="A2998" t="str">
        <f>"20190303154528321"</f>
        <v>20190303154528321</v>
      </c>
      <c r="B2998" t="str">
        <f>"1551599128313462"</f>
        <v>1551599128313462</v>
      </c>
      <c r="C2998" t="s">
        <v>40</v>
      </c>
      <c r="D2998">
        <v>5.2854289999999997</v>
      </c>
      <c r="E2998">
        <v>0.50556049999999997</v>
      </c>
      <c r="F2998" t="s">
        <v>55</v>
      </c>
      <c r="G2998">
        <v>-393.16129999999998</v>
      </c>
      <c r="H2998" s="1">
        <v>1.4548959999999999E-7</v>
      </c>
      <c r="I2998">
        <v>214.05500000000001</v>
      </c>
      <c r="J2998">
        <v>-410.2697</v>
      </c>
      <c r="K2998">
        <v>1.120992</v>
      </c>
      <c r="L2998">
        <v>214.39760000000001</v>
      </c>
      <c r="M2998">
        <v>0.99988089999999996</v>
      </c>
      <c r="N2998">
        <v>-1.4746489999999999E-2</v>
      </c>
      <c r="O2998">
        <v>4.5427840000000002E-3</v>
      </c>
      <c r="P2998">
        <v>0.99056900000000003</v>
      </c>
      <c r="Q2998">
        <v>-0.13685700000000001</v>
      </c>
      <c r="R2998">
        <v>-6.5891930000000001E-3</v>
      </c>
      <c r="S2998">
        <v>3.001404</v>
      </c>
      <c r="T2998">
        <v>-0.19390579999999999</v>
      </c>
      <c r="U2998">
        <v>-5.9066769999999998E-2</v>
      </c>
      <c r="V2998">
        <v>1.108809E-2</v>
      </c>
      <c r="W2998">
        <v>-0.12223539999999999</v>
      </c>
      <c r="X2998">
        <v>0.99243919999999997</v>
      </c>
      <c r="Y2998">
        <v>2.4150620000000001E-2</v>
      </c>
      <c r="Z2998">
        <v>-1.183784E-3</v>
      </c>
      <c r="AA2998">
        <v>0.99970760000000003</v>
      </c>
      <c r="AB2998">
        <v>24</v>
      </c>
      <c r="AC2998">
        <v>17.1084</v>
      </c>
      <c r="AD2998">
        <v>-1.1209918545103901</v>
      </c>
      <c r="AE2998">
        <v>-0.34260000000000401</v>
      </c>
      <c r="AF2998">
        <v>0.41852855797188399</v>
      </c>
      <c r="AG2998">
        <v>-1.1209918545103901</v>
      </c>
      <c r="AH2998">
        <v>17.033566863911901</v>
      </c>
      <c r="AI2998">
        <v>93.764115994078793</v>
      </c>
      <c r="AJ2998">
        <v>88.592479416724004</v>
      </c>
      <c r="AK2998">
        <v>17.075543593077001</v>
      </c>
      <c r="AL2998">
        <v>97.021131468502503</v>
      </c>
      <c r="AM2998">
        <v>89.359885897507695</v>
      </c>
      <c r="AN2998">
        <v>1.0000000022248201</v>
      </c>
    </row>
    <row r="2999" spans="1:40" x14ac:dyDescent="0.25">
      <c r="A2999" t="str">
        <f>"20190303154528343"</f>
        <v>20190303154528343</v>
      </c>
      <c r="B2999" t="str">
        <f>"1551599128333958"</f>
        <v>1551599128333958</v>
      </c>
      <c r="C2999" t="s">
        <v>40</v>
      </c>
      <c r="D2999">
        <v>5.3501269999999996</v>
      </c>
      <c r="E2999">
        <v>0.50571949999999999</v>
      </c>
      <c r="F2999" t="s">
        <v>55</v>
      </c>
      <c r="G2999">
        <v>-393.3571</v>
      </c>
      <c r="H2999" s="1">
        <v>2.4971220000000002E-7</v>
      </c>
      <c r="I2999">
        <v>214.08070000000001</v>
      </c>
      <c r="J2999">
        <v>-410.03699999999998</v>
      </c>
      <c r="K2999">
        <v>1.1209929999999999</v>
      </c>
      <c r="L2999">
        <v>214.39869999999999</v>
      </c>
      <c r="M2999">
        <v>0.99988100000000002</v>
      </c>
      <c r="N2999">
        <v>-1.474074E-2</v>
      </c>
      <c r="O2999">
        <v>4.5583239999999999E-3</v>
      </c>
      <c r="P2999">
        <v>0.99056270000000002</v>
      </c>
      <c r="Q2999">
        <v>-0.1369312</v>
      </c>
      <c r="R2999">
        <v>-5.9664280000000002E-3</v>
      </c>
      <c r="S2999">
        <v>3.000702</v>
      </c>
      <c r="T2999">
        <v>-0.19889119999999999</v>
      </c>
      <c r="U2999">
        <v>-5.621338E-2</v>
      </c>
      <c r="V2999">
        <v>1.048061E-2</v>
      </c>
      <c r="W2999">
        <v>-0.1223154</v>
      </c>
      <c r="X2999">
        <v>0.99243590000000004</v>
      </c>
      <c r="Y2999">
        <v>2.321962E-2</v>
      </c>
      <c r="Z2999">
        <v>-1.1746409999999999E-3</v>
      </c>
      <c r="AA2999">
        <v>0.99972969999999906</v>
      </c>
      <c r="AB2999">
        <v>24</v>
      </c>
      <c r="AC2999">
        <v>16.6798999999999</v>
      </c>
      <c r="AD2999">
        <v>-1.1209927502877901</v>
      </c>
      <c r="AE2999">
        <v>-0.31799999999998302</v>
      </c>
      <c r="AF2999">
        <v>0.39226624781815</v>
      </c>
      <c r="AG2999">
        <v>-1.1209927502877901</v>
      </c>
      <c r="AH2999">
        <v>16.603312468336799</v>
      </c>
      <c r="AI2999">
        <v>93.861457747969894</v>
      </c>
      <c r="AJ2999">
        <v>88.646594155809794</v>
      </c>
      <c r="AK2999">
        <v>16.645734663168401</v>
      </c>
      <c r="AL2999">
        <v>97.025750098469302</v>
      </c>
      <c r="AM2999">
        <v>89.394950950451403</v>
      </c>
      <c r="AN2999">
        <v>0.99999995793596996</v>
      </c>
    </row>
    <row r="3000" spans="1:40" x14ac:dyDescent="0.25">
      <c r="A3000" t="str">
        <f>"20190303154528366"</f>
        <v>20190303154528366</v>
      </c>
      <c r="B3000" t="str">
        <f>"1551599128364214"</f>
        <v>1551599128364214</v>
      </c>
      <c r="C3000" t="s">
        <v>40</v>
      </c>
      <c r="D3000">
        <v>5.3325969999999998</v>
      </c>
      <c r="E3000">
        <v>0.50560950000000005</v>
      </c>
      <c r="F3000" t="s">
        <v>55</v>
      </c>
      <c r="G3000">
        <v>-393.27980000000002</v>
      </c>
      <c r="H3000" s="1">
        <v>2.085621E-7</v>
      </c>
      <c r="I3000">
        <v>214.08750000000001</v>
      </c>
      <c r="J3000">
        <v>-409.7946</v>
      </c>
      <c r="K3000">
        <v>1.1209929999999999</v>
      </c>
      <c r="L3000">
        <v>214.3998</v>
      </c>
      <c r="M3000">
        <v>0.99988100000000002</v>
      </c>
      <c r="N3000">
        <v>-1.4734819999999999E-2</v>
      </c>
      <c r="O3000">
        <v>4.5751730000000001E-3</v>
      </c>
      <c r="P3000">
        <v>0.99056230000000001</v>
      </c>
      <c r="Q3000">
        <v>-0.1369649</v>
      </c>
      <c r="R3000">
        <v>-5.2049409999999898E-3</v>
      </c>
      <c r="S3000">
        <v>3.0005190000000002</v>
      </c>
      <c r="T3000">
        <v>-0.20072280000000001</v>
      </c>
      <c r="U3000">
        <v>-5.5709839999999997E-2</v>
      </c>
      <c r="V3000">
        <v>9.7360009999999993E-3</v>
      </c>
      <c r="W3000">
        <v>-0.1223549</v>
      </c>
      <c r="X3000">
        <v>0.99243870000000001</v>
      </c>
      <c r="Y3000">
        <v>2.3069079999999999E-2</v>
      </c>
      <c r="Z3000">
        <v>-1.179245E-3</v>
      </c>
      <c r="AA3000">
        <v>0.99973319999999999</v>
      </c>
      <c r="AB3000">
        <v>24</v>
      </c>
      <c r="AC3000">
        <v>16.514799999999902</v>
      </c>
      <c r="AD3000">
        <v>-1.1209927914378901</v>
      </c>
      <c r="AE3000">
        <v>-0.31229999999999303</v>
      </c>
      <c r="AF3000">
        <v>0.38608477544486902</v>
      </c>
      <c r="AG3000">
        <v>-1.1209927914378901</v>
      </c>
      <c r="AH3000">
        <v>16.4374905753718</v>
      </c>
      <c r="AI3000">
        <v>93.900305366219101</v>
      </c>
      <c r="AJ3000">
        <v>88.654480655916302</v>
      </c>
      <c r="AK3000">
        <v>16.480193648975199</v>
      </c>
      <c r="AL3000">
        <v>97.028029813975806</v>
      </c>
      <c r="AM3000">
        <v>89.437936194448497</v>
      </c>
      <c r="AN3000">
        <v>1.00000004226358</v>
      </c>
    </row>
    <row r="3001" spans="1:40" x14ac:dyDescent="0.25">
      <c r="A3001" t="str">
        <f>"20190303154528389"</f>
        <v>20190303154528389</v>
      </c>
      <c r="B3001" t="str">
        <f>"1551599128383734"</f>
        <v>1551599128383734</v>
      </c>
      <c r="C3001" t="s">
        <v>40</v>
      </c>
      <c r="D3001">
        <v>5.3220850000000004</v>
      </c>
      <c r="E3001">
        <v>0.50562479999999999</v>
      </c>
      <c r="F3001" t="s">
        <v>55</v>
      </c>
      <c r="G3001">
        <v>-393.22030000000001</v>
      </c>
      <c r="H3001" s="1">
        <v>1.7689210000000001E-7</v>
      </c>
      <c r="I3001">
        <v>214.11179999999999</v>
      </c>
      <c r="J3001">
        <v>-409.54750000000001</v>
      </c>
      <c r="K3001">
        <v>1.120987</v>
      </c>
      <c r="L3001">
        <v>214.40090000000001</v>
      </c>
      <c r="M3001">
        <v>0.99988100000000002</v>
      </c>
      <c r="N3001">
        <v>-1.472883E-2</v>
      </c>
      <c r="O3001">
        <v>4.5923819999999999E-3</v>
      </c>
      <c r="P3001">
        <v>0.99054410000000004</v>
      </c>
      <c r="Q3001">
        <v>-0.13712639999999901</v>
      </c>
      <c r="R3001">
        <v>-4.3303380000000004E-3</v>
      </c>
      <c r="S3001">
        <v>3.0002140000000002</v>
      </c>
      <c r="T3001">
        <v>-0.20291809999999999</v>
      </c>
      <c r="U3001">
        <v>-5.212402E-2</v>
      </c>
      <c r="V3001">
        <v>8.8783379999999995E-3</v>
      </c>
      <c r="W3001">
        <v>-0.1225226</v>
      </c>
      <c r="X3001">
        <v>0.99242600000000003</v>
      </c>
      <c r="Y3001">
        <v>2.189547E-2</v>
      </c>
      <c r="Z3001">
        <v>-1.143687E-3</v>
      </c>
      <c r="AA3001">
        <v>0.99975959999999997</v>
      </c>
      <c r="AB3001">
        <v>24</v>
      </c>
      <c r="AC3001">
        <v>16.327200000000001</v>
      </c>
      <c r="AD3001">
        <v>-1.1209868231078901</v>
      </c>
      <c r="AE3001">
        <v>-0.28910000000001901</v>
      </c>
      <c r="AF3001">
        <v>0.36237815491583097</v>
      </c>
      <c r="AG3001">
        <v>-1.1209868231078901</v>
      </c>
      <c r="AH3001">
        <v>16.2491277236632</v>
      </c>
      <c r="AI3001">
        <v>93.945462299873498</v>
      </c>
      <c r="AJ3001">
        <v>88.722436175405804</v>
      </c>
      <c r="AK3001">
        <v>16.291779557944601</v>
      </c>
      <c r="AL3001">
        <v>97.037711534738193</v>
      </c>
      <c r="AM3001">
        <v>89.487440145150998</v>
      </c>
      <c r="AN3001">
        <v>0.99999998893620101</v>
      </c>
    </row>
    <row r="3002" spans="1:40" x14ac:dyDescent="0.25">
      <c r="A3002" t="str">
        <f>"20190303154528413"</f>
        <v>20190303154528413</v>
      </c>
      <c r="B3002" t="str">
        <f>"1551599128404230"</f>
        <v>1551599128404230</v>
      </c>
      <c r="C3002" t="s">
        <v>40</v>
      </c>
      <c r="D3002">
        <v>5.294041</v>
      </c>
      <c r="E3002">
        <v>0.50578519999999905</v>
      </c>
      <c r="F3002" t="s">
        <v>55</v>
      </c>
      <c r="G3002">
        <v>-393.19119999999998</v>
      </c>
      <c r="H3002" s="1">
        <v>1.6141099999999999E-7</v>
      </c>
      <c r="I3002">
        <v>214.1292</v>
      </c>
      <c r="J3002">
        <v>-409.3021</v>
      </c>
      <c r="K3002">
        <v>1.120984</v>
      </c>
      <c r="L3002">
        <v>214.40209999999999</v>
      </c>
      <c r="M3002">
        <v>0.99988109999999997</v>
      </c>
      <c r="N3002">
        <v>-1.472276E-2</v>
      </c>
      <c r="O3002">
        <v>4.6092340000000002E-3</v>
      </c>
      <c r="P3002">
        <v>0.99046319999999999</v>
      </c>
      <c r="Q3002">
        <v>-0.13770839999999901</v>
      </c>
      <c r="R3002">
        <v>-4.401304E-3</v>
      </c>
      <c r="S3002">
        <v>2.9999690000000001</v>
      </c>
      <c r="T3002">
        <v>-0.2056046</v>
      </c>
      <c r="U3002">
        <v>-4.9850459999999999E-2</v>
      </c>
      <c r="V3002">
        <v>8.9656159999999992E-3</v>
      </c>
      <c r="W3002">
        <v>-0.1231117</v>
      </c>
      <c r="X3002">
        <v>0.99235229999999996</v>
      </c>
      <c r="Y3002">
        <v>2.1156649999999999E-2</v>
      </c>
      <c r="Z3002">
        <v>-1.1277850000000001E-3</v>
      </c>
      <c r="AA3002">
        <v>0.99977550000000004</v>
      </c>
      <c r="AB3002">
        <v>24</v>
      </c>
      <c r="AC3002">
        <v>16.110900000000001</v>
      </c>
      <c r="AD3002">
        <v>-1.1209838385889901</v>
      </c>
      <c r="AE3002">
        <v>-0.27289999999999198</v>
      </c>
      <c r="AF3002">
        <v>0.34549191081612401</v>
      </c>
      <c r="AG3002">
        <v>-1.1209838385889901</v>
      </c>
      <c r="AH3002">
        <v>16.0318784750629</v>
      </c>
      <c r="AI3002">
        <v>93.998810274468198</v>
      </c>
      <c r="AJ3002">
        <v>88.765449424733305</v>
      </c>
      <c r="AK3002">
        <v>16.074734737033801</v>
      </c>
      <c r="AL3002">
        <v>97.071722024118301</v>
      </c>
      <c r="AM3002">
        <v>89.482363288374003</v>
      </c>
      <c r="AN3002">
        <v>0.99999998013121905</v>
      </c>
    </row>
    <row r="3003" spans="1:40" x14ac:dyDescent="0.25">
      <c r="A3003" t="str">
        <f>"20190303154528435"</f>
        <v>20190303154528435</v>
      </c>
      <c r="B3003" t="str">
        <f>"1551599128423749"</f>
        <v>1551599128423749</v>
      </c>
      <c r="C3003" t="s">
        <v>40</v>
      </c>
      <c r="D3003">
        <v>5.31684</v>
      </c>
      <c r="E3003">
        <v>0.50600889999999998</v>
      </c>
      <c r="F3003" t="s">
        <v>55</v>
      </c>
      <c r="G3003">
        <v>-393.2321</v>
      </c>
      <c r="H3003" s="1">
        <v>1.8319450000000001E-7</v>
      </c>
      <c r="I3003">
        <v>214.12629999999999</v>
      </c>
      <c r="J3003">
        <v>-409.06819999999999</v>
      </c>
      <c r="K3003">
        <v>1.120978</v>
      </c>
      <c r="L3003">
        <v>214.4032</v>
      </c>
      <c r="M3003">
        <v>0.99988109999999997</v>
      </c>
      <c r="N3003">
        <v>-1.4713759999999999E-2</v>
      </c>
      <c r="O3003">
        <v>4.6256300000000004E-3</v>
      </c>
      <c r="P3003">
        <v>0.99048970000000003</v>
      </c>
      <c r="Q3003">
        <v>-0.1375046</v>
      </c>
      <c r="R3003">
        <v>-4.7837440000000004E-3</v>
      </c>
      <c r="S3003">
        <v>2.9995729999999998</v>
      </c>
      <c r="T3003">
        <v>-0.2092397</v>
      </c>
      <c r="U3003">
        <v>-5.1483149999999998E-2</v>
      </c>
      <c r="V3003">
        <v>9.3643649999999995E-3</v>
      </c>
      <c r="W3003">
        <v>-0.1229165</v>
      </c>
      <c r="X3003">
        <v>0.99237280000000005</v>
      </c>
      <c r="Y3003">
        <v>2.1715330000000001E-2</v>
      </c>
      <c r="Z3003">
        <v>-1.1706920000000001E-3</v>
      </c>
      <c r="AA3003">
        <v>0.99976350000000003</v>
      </c>
      <c r="AB3003">
        <v>24</v>
      </c>
      <c r="AC3003">
        <v>15.836099999999901</v>
      </c>
      <c r="AD3003">
        <v>-1.1209778168055</v>
      </c>
      <c r="AE3003">
        <v>-0.27690000000001103</v>
      </c>
      <c r="AF3003">
        <v>0.348411653681309</v>
      </c>
      <c r="AG3003">
        <v>-1.1209778168055</v>
      </c>
      <c r="AH3003">
        <v>15.755726630941099</v>
      </c>
      <c r="AI3003">
        <v>94.068592766911195</v>
      </c>
      <c r="AJ3003">
        <v>88.7332057210958</v>
      </c>
      <c r="AK3003">
        <v>15.799395672466</v>
      </c>
      <c r="AL3003">
        <v>97.060452395351106</v>
      </c>
      <c r="AM3003">
        <v>89.459353714747493</v>
      </c>
      <c r="AN3003">
        <v>0.99999996574197103</v>
      </c>
    </row>
    <row r="3004" spans="1:40" x14ac:dyDescent="0.25">
      <c r="A3004" t="str">
        <f>"20190303154528456"</f>
        <v>20190303154528456</v>
      </c>
      <c r="B3004" t="str">
        <f>"1551599128454006"</f>
        <v>1551599128454006</v>
      </c>
      <c r="C3004" t="s">
        <v>40</v>
      </c>
      <c r="D3004">
        <v>5.2859080000000001</v>
      </c>
      <c r="E3004">
        <v>0.50614510000000001</v>
      </c>
      <c r="F3004" t="s">
        <v>55</v>
      </c>
      <c r="G3004">
        <v>-392.95850000000002</v>
      </c>
      <c r="H3004" s="1">
        <v>3.7551470000000001E-8</v>
      </c>
      <c r="I3004">
        <v>214.11170000000001</v>
      </c>
      <c r="J3004">
        <v>-408.84199999999998</v>
      </c>
      <c r="K3004">
        <v>1.1209789999999999</v>
      </c>
      <c r="L3004">
        <v>214.40430000000001</v>
      </c>
      <c r="M3004">
        <v>0.99988140000000003</v>
      </c>
      <c r="N3004">
        <v>-1.4688110000000001E-2</v>
      </c>
      <c r="O3004">
        <v>4.6411380000000004E-3</v>
      </c>
      <c r="P3004">
        <v>0.99059640000000004</v>
      </c>
      <c r="Q3004">
        <v>-0.1367119</v>
      </c>
      <c r="R3004">
        <v>-5.3906290000000001E-3</v>
      </c>
      <c r="S3004">
        <v>2.9995729999999998</v>
      </c>
      <c r="T3004">
        <v>-0.2087213</v>
      </c>
      <c r="U3004">
        <v>-5.4275509999999999E-2</v>
      </c>
      <c r="V3004">
        <v>9.9869690000000001E-3</v>
      </c>
      <c r="W3004">
        <v>-0.1221478</v>
      </c>
      <c r="X3004">
        <v>0.9924617</v>
      </c>
      <c r="Y3004">
        <v>2.2658790000000002E-2</v>
      </c>
      <c r="Z3004">
        <v>-1.2084299999999999E-3</v>
      </c>
      <c r="AA3004">
        <v>0.99974249999999998</v>
      </c>
      <c r="AB3004">
        <v>24</v>
      </c>
      <c r="AC3004">
        <v>15.8834999999999</v>
      </c>
      <c r="AD3004">
        <v>-1.12097896244853</v>
      </c>
      <c r="AE3004">
        <v>-0.29259999999999298</v>
      </c>
      <c r="AF3004">
        <v>0.36450737645150999</v>
      </c>
      <c r="AG3004">
        <v>-1.12097896244853</v>
      </c>
      <c r="AH3004">
        <v>15.8032838415503</v>
      </c>
      <c r="AI3004">
        <v>94.056307222727398</v>
      </c>
      <c r="AJ3004">
        <v>88.678690324766706</v>
      </c>
      <c r="AK3004">
        <v>15.8471839655613</v>
      </c>
      <c r="AL3004">
        <v>97.016074301139497</v>
      </c>
      <c r="AM3004">
        <v>89.423462022887804</v>
      </c>
      <c r="AN3004">
        <v>1.0000000252807599</v>
      </c>
    </row>
    <row r="3005" spans="1:40" x14ac:dyDescent="0.25">
      <c r="A3005" t="str">
        <f>"20190303154528479"</f>
        <v>20190303154528479</v>
      </c>
      <c r="B3005" t="str">
        <f>"1551599128473526"</f>
        <v>1551599128473526</v>
      </c>
      <c r="C3005" t="s">
        <v>40</v>
      </c>
      <c r="D3005">
        <v>5.3085300000000002</v>
      </c>
      <c r="E3005">
        <v>0.50621309999999997</v>
      </c>
      <c r="F3005" t="s">
        <v>55</v>
      </c>
      <c r="G3005">
        <v>-392.70499999999998</v>
      </c>
      <c r="H3005" s="1">
        <v>-9.7304539999999996E-8</v>
      </c>
      <c r="I3005">
        <v>214.0951</v>
      </c>
      <c r="J3005">
        <v>-408.60309999999998</v>
      </c>
      <c r="K3005">
        <v>1.1209659999999999</v>
      </c>
      <c r="L3005">
        <v>214.40539999999999</v>
      </c>
      <c r="M3005">
        <v>0.9998823</v>
      </c>
      <c r="N3005">
        <v>-1.462654E-2</v>
      </c>
      <c r="O3005">
        <v>4.6575669999999996E-3</v>
      </c>
      <c r="P3005">
        <v>0.99071719999999996</v>
      </c>
      <c r="Q3005">
        <v>-0.13580529999999999</v>
      </c>
      <c r="R3005">
        <v>-6.0813600000000001E-3</v>
      </c>
      <c r="S3005">
        <v>2.9994510000000001</v>
      </c>
      <c r="T3005">
        <v>-0.20836170000000001</v>
      </c>
      <c r="U3005">
        <v>-5.7464599999999998E-2</v>
      </c>
      <c r="V3005">
        <v>1.0694540000000001E-2</v>
      </c>
      <c r="W3005">
        <v>-0.1213008</v>
      </c>
      <c r="X3005">
        <v>0.99255819999999995</v>
      </c>
      <c r="Y3005">
        <v>2.3735619999999999E-2</v>
      </c>
      <c r="Z3005">
        <v>-1.252286E-3</v>
      </c>
      <c r="AA3005">
        <v>0.99971750000000004</v>
      </c>
      <c r="AB3005">
        <v>24</v>
      </c>
      <c r="AC3005">
        <v>15.898099999999999</v>
      </c>
      <c r="AD3005">
        <v>-1.1209660973045401</v>
      </c>
      <c r="AE3005">
        <v>-0.31029999999998298</v>
      </c>
      <c r="AF3005">
        <v>0.38245035361684998</v>
      </c>
      <c r="AG3005">
        <v>-1.1209660973045401</v>
      </c>
      <c r="AH3005">
        <v>15.8178722424963</v>
      </c>
      <c r="AI3005">
        <v>94.052426176974905</v>
      </c>
      <c r="AJ3005">
        <v>88.614951349243</v>
      </c>
      <c r="AK3005">
        <v>15.862153559470499</v>
      </c>
      <c r="AL3005">
        <v>96.967181249271306</v>
      </c>
      <c r="AM3005">
        <v>89.382677715953605</v>
      </c>
      <c r="AN3005">
        <v>1.0000000188268401</v>
      </c>
    </row>
    <row r="3006" spans="1:40" x14ac:dyDescent="0.25">
      <c r="A3006" t="str">
        <f>"20190303154528503"</f>
        <v>20190303154528503</v>
      </c>
      <c r="B3006" t="str">
        <f>"1551599128494022"</f>
        <v>1551599128494022</v>
      </c>
      <c r="C3006" t="s">
        <v>40</v>
      </c>
      <c r="D3006">
        <v>5.2816409999999996</v>
      </c>
      <c r="E3006">
        <v>0.50628169999999995</v>
      </c>
      <c r="F3006" t="s">
        <v>55</v>
      </c>
      <c r="G3006">
        <v>-392.27690000000001</v>
      </c>
      <c r="H3006" s="1">
        <v>-3.2515140000000002E-7</v>
      </c>
      <c r="I3006">
        <v>214.07749999999999</v>
      </c>
      <c r="J3006">
        <v>-408.35660000000001</v>
      </c>
      <c r="K3006">
        <v>1.1209499999999999</v>
      </c>
      <c r="L3006">
        <v>214.40649999999999</v>
      </c>
      <c r="M3006">
        <v>0.99988370000000004</v>
      </c>
      <c r="N3006">
        <v>-1.452084E-2</v>
      </c>
      <c r="O3006">
        <v>4.6744940000000004E-3</v>
      </c>
      <c r="P3006">
        <v>0.99068279999999997</v>
      </c>
      <c r="Q3006">
        <v>-0.13605900000000001</v>
      </c>
      <c r="R3006">
        <v>-5.951759E-3</v>
      </c>
      <c r="S3006">
        <v>2.9994809999999998</v>
      </c>
      <c r="T3006">
        <v>-0.20594580000000001</v>
      </c>
      <c r="U3006">
        <v>-6.0226439999999999E-2</v>
      </c>
      <c r="V3006">
        <v>1.0581800000000001E-2</v>
      </c>
      <c r="W3006">
        <v>-0.1216598</v>
      </c>
      <c r="X3006">
        <v>0.99251540000000005</v>
      </c>
      <c r="Y3006">
        <v>2.4671510000000001E-2</v>
      </c>
      <c r="Z3006">
        <v>-1.2780420000000001E-3</v>
      </c>
      <c r="AA3006">
        <v>0.99969479999999999</v>
      </c>
      <c r="AB3006">
        <v>23</v>
      </c>
      <c r="AC3006">
        <v>16.079699999999999</v>
      </c>
      <c r="AD3006">
        <v>-1.1209503251513999</v>
      </c>
      <c r="AE3006">
        <v>-0.32900000000000701</v>
      </c>
      <c r="AF3006">
        <v>0.40221492789281199</v>
      </c>
      <c r="AG3006">
        <v>-1.1209503251513999</v>
      </c>
      <c r="AH3006">
        <v>16.000260960586999</v>
      </c>
      <c r="AI3006">
        <v>94.006232797891798</v>
      </c>
      <c r="AJ3006">
        <v>88.560000647763104</v>
      </c>
      <c r="AK3006">
        <v>16.044521098697899</v>
      </c>
      <c r="AL3006">
        <v>96.987904390138894</v>
      </c>
      <c r="AM3006">
        <v>89.389158587500702</v>
      </c>
      <c r="AN3006">
        <v>0.999999950332218</v>
      </c>
    </row>
    <row r="3007" spans="1:40" x14ac:dyDescent="0.25">
      <c r="A3007" t="str">
        <f>"20190303154528523"</f>
        <v>20190303154528523</v>
      </c>
      <c r="B3007" t="str">
        <f>"1551599128513542"</f>
        <v>1551599128513542</v>
      </c>
      <c r="C3007" t="s">
        <v>40</v>
      </c>
      <c r="D3007">
        <v>5.1706919999999998</v>
      </c>
      <c r="E3007">
        <v>0.50630410000000003</v>
      </c>
      <c r="F3007" t="s">
        <v>55</v>
      </c>
      <c r="G3007">
        <v>-392.09379999999999</v>
      </c>
      <c r="H3007" s="1">
        <v>-4.22585E-7</v>
      </c>
      <c r="I3007">
        <v>214.0814</v>
      </c>
      <c r="J3007">
        <v>-408.1404</v>
      </c>
      <c r="K3007">
        <v>1.1209290000000001</v>
      </c>
      <c r="L3007">
        <v>214.4076</v>
      </c>
      <c r="M3007">
        <v>0.99988520000000003</v>
      </c>
      <c r="N3007">
        <v>-1.440115E-2</v>
      </c>
      <c r="O3007">
        <v>4.6891379999999998E-3</v>
      </c>
      <c r="P3007">
        <v>0.99068210000000001</v>
      </c>
      <c r="Q3007">
        <v>-0.13605690000000001</v>
      </c>
      <c r="R3007">
        <v>-6.1213760000000004E-3</v>
      </c>
      <c r="S3007">
        <v>2.9994200000000002</v>
      </c>
      <c r="T3007">
        <v>-0.20674200000000001</v>
      </c>
      <c r="U3007">
        <v>-5.9967039999999999E-2</v>
      </c>
      <c r="V3007">
        <v>1.0765729999999999E-2</v>
      </c>
      <c r="W3007">
        <v>-0.1217765</v>
      </c>
      <c r="X3007">
        <v>0.99249920000000003</v>
      </c>
      <c r="Y3007">
        <v>2.4599820000000001E-2</v>
      </c>
      <c r="Z3007">
        <v>-1.279461E-3</v>
      </c>
      <c r="AA3007">
        <v>0.99969660000000005</v>
      </c>
      <c r="AB3007">
        <v>23</v>
      </c>
      <c r="AC3007">
        <v>16.046600000000002</v>
      </c>
      <c r="AD3007">
        <v>-1.1209294225849999</v>
      </c>
      <c r="AE3007">
        <v>-0.32619999999999999</v>
      </c>
      <c r="AF3007">
        <v>0.39950032176855999</v>
      </c>
      <c r="AG3007">
        <v>-1.1209294225849999</v>
      </c>
      <c r="AH3007">
        <v>15.967012217997301</v>
      </c>
      <c r="AI3007">
        <v>94.014485071731002</v>
      </c>
      <c r="AJ3007">
        <v>88.566738261372805</v>
      </c>
      <c r="AK3007">
        <v>16.011294839805601</v>
      </c>
      <c r="AL3007">
        <v>96.994640269416394</v>
      </c>
      <c r="AM3007">
        <v>89.378531789143494</v>
      </c>
      <c r="AN3007">
        <v>1.00000003944766</v>
      </c>
    </row>
    <row r="3008" spans="1:40" x14ac:dyDescent="0.25">
      <c r="A3008" t="str">
        <f>"20190303154528547"</f>
        <v>20190303154528547</v>
      </c>
      <c r="B3008" t="str">
        <f>"1551599128543799"</f>
        <v>1551599128543799</v>
      </c>
      <c r="C3008" t="s">
        <v>40</v>
      </c>
      <c r="D3008">
        <v>5.1611289999999999</v>
      </c>
      <c r="E3008">
        <v>0.5032721</v>
      </c>
      <c r="F3008" t="s">
        <v>55</v>
      </c>
      <c r="G3008">
        <v>-391.71879999999999</v>
      </c>
      <c r="H3008" s="1">
        <v>-6.2212390000000003E-7</v>
      </c>
      <c r="I3008">
        <v>214.07589999999999</v>
      </c>
      <c r="J3008">
        <v>-407.88740000000001</v>
      </c>
      <c r="K3008">
        <v>1.120906</v>
      </c>
      <c r="L3008">
        <v>214.40880000000001</v>
      </c>
      <c r="M3008">
        <v>0.99988750000000004</v>
      </c>
      <c r="N3008">
        <v>-1.4247569999999999E-2</v>
      </c>
      <c r="O3008">
        <v>4.7037340000000002E-3</v>
      </c>
      <c r="P3008">
        <v>0.99065230000000004</v>
      </c>
      <c r="Q3008">
        <v>-0.1362787</v>
      </c>
      <c r="R3008">
        <v>-6.0421059999999898E-3</v>
      </c>
      <c r="S3008">
        <v>2.9997250000000002</v>
      </c>
      <c r="T3008">
        <v>-0.20476</v>
      </c>
      <c r="U3008">
        <v>-6.0577390000000002E-2</v>
      </c>
      <c r="V3008">
        <v>1.070111E-2</v>
      </c>
      <c r="W3008">
        <v>-0.1221511</v>
      </c>
      <c r="X3008">
        <v>0.99245380000000005</v>
      </c>
      <c r="Y3008">
        <v>2.481657E-2</v>
      </c>
      <c r="Z3008">
        <v>-1.2766979999999999E-3</v>
      </c>
      <c r="AA3008">
        <v>0.9996912</v>
      </c>
      <c r="AB3008">
        <v>23</v>
      </c>
      <c r="AC3008">
        <v>16.168600000000001</v>
      </c>
      <c r="AD3008">
        <v>-1.1209066221238999</v>
      </c>
      <c r="AE3008">
        <v>-0.33290000000002301</v>
      </c>
      <c r="AF3008">
        <v>0.407001558484473</v>
      </c>
      <c r="AG3008">
        <v>-1.1209066221238999</v>
      </c>
      <c r="AH3008">
        <v>16.089559579957399</v>
      </c>
      <c r="AI3008">
        <v>93.983898980172697</v>
      </c>
      <c r="AJ3008">
        <v>88.550954772822493</v>
      </c>
      <c r="AK3008">
        <v>16.1336917474312</v>
      </c>
      <c r="AL3008">
        <v>97.016265157875196</v>
      </c>
      <c r="AM3008">
        <v>89.382233531048897</v>
      </c>
      <c r="AN3008">
        <v>0.99999997506044003</v>
      </c>
    </row>
    <row r="3009" spans="1:40" x14ac:dyDescent="0.25">
      <c r="A3009" t="str">
        <f>"20190303154528568"</f>
        <v>20190303154528568</v>
      </c>
      <c r="B3009" t="str">
        <f>"1551599128564294"</f>
        <v>1551599128564294</v>
      </c>
      <c r="C3009" t="s">
        <v>40</v>
      </c>
      <c r="D3009">
        <v>5.1776330000000002</v>
      </c>
      <c r="E3009">
        <v>0.50415519999999903</v>
      </c>
      <c r="F3009" t="s">
        <v>55</v>
      </c>
      <c r="G3009">
        <v>-381.82260000000002</v>
      </c>
      <c r="H3009" s="1">
        <v>-5.4507909999999997E-7</v>
      </c>
      <c r="I3009">
        <v>214.11770000000001</v>
      </c>
      <c r="J3009">
        <v>-407.67599999999999</v>
      </c>
      <c r="K3009">
        <v>1.120884</v>
      </c>
      <c r="L3009">
        <v>214.40979999999999</v>
      </c>
      <c r="M3009">
        <v>0.99988940000000004</v>
      </c>
      <c r="N3009">
        <v>-1.4116709999999999E-2</v>
      </c>
      <c r="O3009">
        <v>4.7151049999999998E-3</v>
      </c>
      <c r="P3009">
        <v>0.99068730000000005</v>
      </c>
      <c r="Q3009">
        <v>-0.13601479999999999</v>
      </c>
      <c r="R3009">
        <v>-6.2303790000000003E-3</v>
      </c>
      <c r="S3009">
        <v>3.0102540000000002</v>
      </c>
      <c r="T3009">
        <v>-0.12945499999999999</v>
      </c>
      <c r="U3009">
        <v>-3.3615109999999997E-2</v>
      </c>
      <c r="V3009">
        <v>1.090119E-2</v>
      </c>
      <c r="W3009">
        <v>-0.12201670000000001</v>
      </c>
      <c r="X3009">
        <v>0.99246820000000002</v>
      </c>
      <c r="Y3009">
        <v>1.5859890000000001E-2</v>
      </c>
      <c r="Z3009">
        <v>-5.890092E-4</v>
      </c>
      <c r="AA3009">
        <v>0.99987409999999999</v>
      </c>
      <c r="AB3009">
        <v>23</v>
      </c>
      <c r="AC3009">
        <v>25.853399999999901</v>
      </c>
      <c r="AD3009">
        <v>-1.1208845450791001</v>
      </c>
      <c r="AE3009">
        <v>-0.29209999999997599</v>
      </c>
      <c r="AF3009">
        <v>0.41323372371259198</v>
      </c>
      <c r="AG3009">
        <v>-1.1208845450791001</v>
      </c>
      <c r="AH3009">
        <v>25.803239210387801</v>
      </c>
      <c r="AI3009">
        <v>92.487028261504307</v>
      </c>
      <c r="AJ3009">
        <v>89.082497964644503</v>
      </c>
      <c r="AK3009">
        <v>25.830878769842599</v>
      </c>
      <c r="AL3009">
        <v>97.008506255849895</v>
      </c>
      <c r="AM3009">
        <v>89.370693124265401</v>
      </c>
      <c r="AN3009">
        <v>1.00000001951677</v>
      </c>
    </row>
    <row r="3010" spans="1:40" x14ac:dyDescent="0.25">
      <c r="A3010" t="str">
        <f>"20190303154528591"</f>
        <v>20190303154528591</v>
      </c>
      <c r="B3010" t="str">
        <f>"1551599128583814"</f>
        <v>1551599128583814</v>
      </c>
      <c r="C3010" t="s">
        <v>40</v>
      </c>
      <c r="D3010">
        <v>5.1635809999999998</v>
      </c>
      <c r="E3010">
        <v>0.50432829999999995</v>
      </c>
      <c r="F3010" t="s">
        <v>55</v>
      </c>
      <c r="G3010">
        <v>-381.7321</v>
      </c>
      <c r="H3010" s="1">
        <v>-5.9040660000000001E-7</v>
      </c>
      <c r="I3010">
        <v>214.05330000000001</v>
      </c>
      <c r="J3010">
        <v>-407.43529999999998</v>
      </c>
      <c r="K3010">
        <v>1.120862</v>
      </c>
      <c r="L3010">
        <v>214.4109</v>
      </c>
      <c r="M3010">
        <v>0.99989119999999998</v>
      </c>
      <c r="N3010">
        <v>-1.3971539999999999E-2</v>
      </c>
      <c r="O3010">
        <v>4.7363930000000002E-3</v>
      </c>
      <c r="P3010">
        <v>0.99078560000000004</v>
      </c>
      <c r="Q3010">
        <v>-0.13529659999999999</v>
      </c>
      <c r="R3010">
        <v>-6.2228659999999996E-3</v>
      </c>
      <c r="S3010">
        <v>3.0100709999999999</v>
      </c>
      <c r="T3010">
        <v>-0.13004779999999999</v>
      </c>
      <c r="U3010">
        <v>-4.136658E-2</v>
      </c>
      <c r="V3010">
        <v>1.0914159999999999E-2</v>
      </c>
      <c r="W3010">
        <v>-0.1214414</v>
      </c>
      <c r="X3010">
        <v>0.99253860000000005</v>
      </c>
      <c r="Y3010">
        <v>1.8452880000000001E-2</v>
      </c>
      <c r="Z3010">
        <v>-6.6579089999999996E-4</v>
      </c>
      <c r="AA3010">
        <v>0.99982950000000004</v>
      </c>
      <c r="AB3010">
        <v>23</v>
      </c>
      <c r="AC3010">
        <v>25.703199999999899</v>
      </c>
      <c r="AD3010">
        <v>-1.1208625904066001</v>
      </c>
      <c r="AE3010">
        <v>-0.35759999999998998</v>
      </c>
      <c r="AF3010">
        <v>0.47843867915009902</v>
      </c>
      <c r="AG3010">
        <v>-1.1208625904066001</v>
      </c>
      <c r="AH3010">
        <v>25.652445231207501</v>
      </c>
      <c r="AI3010">
        <v>92.501466308209203</v>
      </c>
      <c r="AJ3010">
        <v>88.931511636265299</v>
      </c>
      <c r="AK3010">
        <v>25.681378133900399</v>
      </c>
      <c r="AL3010">
        <v>96.975297148494406</v>
      </c>
      <c r="AM3010">
        <v>89.369989134637095</v>
      </c>
      <c r="AN3010">
        <v>1.0000000025062099</v>
      </c>
    </row>
    <row r="3011" spans="1:40" x14ac:dyDescent="0.25">
      <c r="A3011" t="str">
        <f>"20190303154528616"</f>
        <v>20190303154528616</v>
      </c>
      <c r="B3011" t="str">
        <f>"1551599128604310"</f>
        <v>1551599128604310</v>
      </c>
      <c r="C3011" t="s">
        <v>40</v>
      </c>
      <c r="D3011">
        <v>5.1650769999999904</v>
      </c>
      <c r="E3011">
        <v>0.50440339999999995</v>
      </c>
      <c r="F3011" t="s">
        <v>55</v>
      </c>
      <c r="G3011">
        <v>-381.41750000000002</v>
      </c>
      <c r="H3011" s="1">
        <v>-7.5727779999999998E-7</v>
      </c>
      <c r="I3011">
        <v>214.0403</v>
      </c>
      <c r="J3011">
        <v>-407.18329999999997</v>
      </c>
      <c r="K3011">
        <v>1.1208480000000001</v>
      </c>
      <c r="L3011">
        <v>214.41220000000001</v>
      </c>
      <c r="M3011">
        <v>0.99989320000000004</v>
      </c>
      <c r="N3011">
        <v>-1.382885E-2</v>
      </c>
      <c r="O3011">
        <v>4.7568710000000002E-3</v>
      </c>
      <c r="P3011">
        <v>0.9908207</v>
      </c>
      <c r="Q3011">
        <v>-0.13502529999999999</v>
      </c>
      <c r="R3011">
        <v>-6.5552989999999997E-3</v>
      </c>
      <c r="S3011">
        <v>3.0099179999999999</v>
      </c>
      <c r="T3011">
        <v>-0.12966910000000001</v>
      </c>
      <c r="U3011">
        <v>-4.2877199999999997E-2</v>
      </c>
      <c r="V3011">
        <v>1.1266699999999999E-2</v>
      </c>
      <c r="W3011">
        <v>-0.1213113</v>
      </c>
      <c r="X3011">
        <v>0.99255059999999995</v>
      </c>
      <c r="Y3011">
        <v>1.8975260000000001E-2</v>
      </c>
      <c r="Z3011">
        <v>-6.7888249999999996E-4</v>
      </c>
      <c r="AA3011">
        <v>0.99981969999999998</v>
      </c>
      <c r="AB3011">
        <v>23</v>
      </c>
      <c r="AC3011">
        <v>25.765799999999899</v>
      </c>
      <c r="AD3011">
        <v>-1.1208487572778001</v>
      </c>
      <c r="AE3011">
        <v>-0.37190000000001</v>
      </c>
      <c r="AF3011">
        <v>0.49353831842944001</v>
      </c>
      <c r="AG3011">
        <v>-1.1208487572778001</v>
      </c>
      <c r="AH3011">
        <v>25.715086778962</v>
      </c>
      <c r="AI3011">
        <v>92.495324191692504</v>
      </c>
      <c r="AJ3011">
        <v>88.900482365943006</v>
      </c>
      <c r="AK3011">
        <v>25.744233724428302</v>
      </c>
      <c r="AL3011">
        <v>96.967787239931994</v>
      </c>
      <c r="AM3011">
        <v>89.349648637314004</v>
      </c>
      <c r="AN3011">
        <v>1.0000000317984601</v>
      </c>
    </row>
    <row r="3012" spans="1:40" x14ac:dyDescent="0.25">
      <c r="A3012" t="str">
        <f>"20190303154528635"</f>
        <v>20190303154528635</v>
      </c>
      <c r="B3012" t="str">
        <f>"1551599128623830"</f>
        <v>1551599128623830</v>
      </c>
      <c r="C3012" t="s">
        <v>40</v>
      </c>
      <c r="D3012">
        <v>5.1867489999999998</v>
      </c>
      <c r="E3012">
        <v>0.50440770000000001</v>
      </c>
      <c r="F3012" t="s">
        <v>55</v>
      </c>
      <c r="G3012">
        <v>-381.3546</v>
      </c>
      <c r="H3012" s="1">
        <v>-7.90278E-7</v>
      </c>
      <c r="I3012">
        <v>214.0299</v>
      </c>
      <c r="J3012">
        <v>-406.97210000000001</v>
      </c>
      <c r="K3012">
        <v>1.1208450000000001</v>
      </c>
      <c r="L3012">
        <v>214.41319999999999</v>
      </c>
      <c r="M3012">
        <v>0.99989470000000003</v>
      </c>
      <c r="N3012">
        <v>-1.3719739999999999E-2</v>
      </c>
      <c r="O3012">
        <v>4.7706409999999999E-3</v>
      </c>
      <c r="P3012">
        <v>0.99078259999999996</v>
      </c>
      <c r="Q3012">
        <v>-0.13529389999999999</v>
      </c>
      <c r="R3012">
        <v>-6.7728629999999996E-3</v>
      </c>
      <c r="S3012">
        <v>3.009674</v>
      </c>
      <c r="T3012">
        <v>-0.1306068</v>
      </c>
      <c r="U3012">
        <v>-4.4540410000000002E-2</v>
      </c>
      <c r="V3012">
        <v>1.149815E-2</v>
      </c>
      <c r="W3012">
        <v>-0.1216887</v>
      </c>
      <c r="X3012">
        <v>0.99250170000000004</v>
      </c>
      <c r="Y3012">
        <v>1.9541550000000001E-2</v>
      </c>
      <c r="Z3012">
        <v>-6.9942339999999896E-4</v>
      </c>
      <c r="AA3012">
        <v>0.99980880000000005</v>
      </c>
      <c r="AB3012">
        <v>23</v>
      </c>
      <c r="AC3012">
        <v>25.6175</v>
      </c>
      <c r="AD3012">
        <v>-1.120845790278</v>
      </c>
      <c r="AE3012">
        <v>-0.38329999999999098</v>
      </c>
      <c r="AF3012">
        <v>0.50455334374338601</v>
      </c>
      <c r="AG3012">
        <v>-1.120845790278</v>
      </c>
      <c r="AH3012">
        <v>25.566447845347199</v>
      </c>
      <c r="AI3012">
        <v>92.509779991482702</v>
      </c>
      <c r="AJ3012">
        <v>88.869415682661298</v>
      </c>
      <c r="AK3012">
        <v>25.595978683987099</v>
      </c>
      <c r="AL3012">
        <v>96.989572383784804</v>
      </c>
      <c r="AM3012">
        <v>89.336257059621701</v>
      </c>
      <c r="AN3012">
        <v>0.999999985832001</v>
      </c>
    </row>
    <row r="3013" spans="1:40" x14ac:dyDescent="0.25">
      <c r="A3013" t="str">
        <f>"20190303154528656"</f>
        <v>20190303154528656</v>
      </c>
      <c r="B3013" t="str">
        <f>"1551599128644326"</f>
        <v>1551599128644326</v>
      </c>
      <c r="C3013" t="s">
        <v>40</v>
      </c>
      <c r="D3013">
        <v>5.1911809999999896</v>
      </c>
      <c r="E3013">
        <v>0.50446299999999999</v>
      </c>
      <c r="F3013" t="s">
        <v>55</v>
      </c>
      <c r="G3013">
        <v>-381.87470000000002</v>
      </c>
      <c r="H3013" s="1">
        <v>-5.138332E-7</v>
      </c>
      <c r="I3013">
        <v>214.03710000000001</v>
      </c>
      <c r="J3013">
        <v>-406.75790000000001</v>
      </c>
      <c r="K3013">
        <v>1.1208419999999999</v>
      </c>
      <c r="L3013">
        <v>214.41419999999999</v>
      </c>
      <c r="M3013">
        <v>0.99989589999999995</v>
      </c>
      <c r="N3013">
        <v>-1.361916E-2</v>
      </c>
      <c r="O3013">
        <v>4.7834499999999999E-3</v>
      </c>
      <c r="P3013">
        <v>0.99078239999999995</v>
      </c>
      <c r="Q3013">
        <v>-0.13530039999999999</v>
      </c>
      <c r="R3013">
        <v>-6.6314669999999899E-3</v>
      </c>
      <c r="S3013">
        <v>3.0092469999999998</v>
      </c>
      <c r="T3013">
        <v>-0.1343927</v>
      </c>
      <c r="U3013">
        <v>-4.508972E-2</v>
      </c>
      <c r="V3013">
        <v>1.13699E-2</v>
      </c>
      <c r="W3013">
        <v>-0.121794899999999</v>
      </c>
      <c r="X3013">
        <v>0.99249019999999999</v>
      </c>
      <c r="Y3013">
        <v>1.9737250000000001E-2</v>
      </c>
      <c r="Z3013">
        <v>-7.233799E-4</v>
      </c>
      <c r="AA3013">
        <v>0.9998049</v>
      </c>
      <c r="AB3013">
        <v>23</v>
      </c>
      <c r="AC3013">
        <v>24.883199999999899</v>
      </c>
      <c r="AD3013">
        <v>-1.1208425138331899</v>
      </c>
      <c r="AE3013">
        <v>-0.377099999999984</v>
      </c>
      <c r="AF3013">
        <v>0.49512988226617499</v>
      </c>
      <c r="AG3013">
        <v>-1.1208425138331899</v>
      </c>
      <c r="AH3013">
        <v>24.830741868052201</v>
      </c>
      <c r="AI3013">
        <v>92.584024459307301</v>
      </c>
      <c r="AJ3013">
        <v>88.857662260546405</v>
      </c>
      <c r="AK3013">
        <v>24.860957006096299</v>
      </c>
      <c r="AL3013">
        <v>96.995702451327702</v>
      </c>
      <c r="AM3013">
        <v>89.343652171642702</v>
      </c>
      <c r="AN3013">
        <v>1.0000000346940201</v>
      </c>
    </row>
    <row r="3014" spans="1:40" x14ac:dyDescent="0.25">
      <c r="A3014" t="str">
        <f>"20190303154528678"</f>
        <v>20190303154528678</v>
      </c>
      <c r="B3014" t="str">
        <f>"1551599128674083"</f>
        <v>1551599128674083</v>
      </c>
      <c r="C3014" t="s">
        <v>40</v>
      </c>
      <c r="D3014">
        <v>5.2069970000000003</v>
      </c>
      <c r="E3014">
        <v>0.50450450000000002</v>
      </c>
      <c r="F3014" t="s">
        <v>55</v>
      </c>
      <c r="G3014">
        <v>-381.77760000000001</v>
      </c>
      <c r="H3014" s="1">
        <v>-5.6559249999999898E-7</v>
      </c>
      <c r="I3014">
        <v>214.0385</v>
      </c>
      <c r="J3014">
        <v>-406.52190000000002</v>
      </c>
      <c r="K3014">
        <v>1.120838</v>
      </c>
      <c r="L3014">
        <v>214.41540000000001</v>
      </c>
      <c r="M3014">
        <v>0.99989709999999998</v>
      </c>
      <c r="N3014">
        <v>-1.3519689999999999E-2</v>
      </c>
      <c r="O3014">
        <v>4.7982579999999997E-3</v>
      </c>
      <c r="P3014">
        <v>0.9908015</v>
      </c>
      <c r="Q3014">
        <v>-0.13516349999999999</v>
      </c>
      <c r="R3014">
        <v>-6.5807540000000003E-3</v>
      </c>
      <c r="S3014">
        <v>3.009125</v>
      </c>
      <c r="T3014">
        <v>-0.13501669999999999</v>
      </c>
      <c r="U3014">
        <v>-4.5257569999999997E-2</v>
      </c>
      <c r="V3014">
        <v>1.1333879999999999E-2</v>
      </c>
      <c r="W3014">
        <v>-0.1217565</v>
      </c>
      <c r="X3014">
        <v>0.99249529999999997</v>
      </c>
      <c r="Y3014">
        <v>1.9808099999999999E-2</v>
      </c>
      <c r="Z3014">
        <v>-7.2846559999999996E-4</v>
      </c>
      <c r="AA3014">
        <v>0.99980349999999996</v>
      </c>
      <c r="AB3014">
        <v>23</v>
      </c>
      <c r="AC3014">
        <v>24.744299999999999</v>
      </c>
      <c r="AD3014">
        <v>-1.1208385655924999</v>
      </c>
      <c r="AE3014">
        <v>-0.37690000000000601</v>
      </c>
      <c r="AF3014">
        <v>0.49462141663155001</v>
      </c>
      <c r="AG3014">
        <v>-1.1208385655924999</v>
      </c>
      <c r="AH3014">
        <v>24.6915559980092</v>
      </c>
      <c r="AI3014">
        <v>92.598556748822801</v>
      </c>
      <c r="AJ3014">
        <v>88.8524040440645</v>
      </c>
      <c r="AK3014">
        <v>24.721930892200501</v>
      </c>
      <c r="AL3014">
        <v>96.993485960585403</v>
      </c>
      <c r="AM3014">
        <v>89.345734671283097</v>
      </c>
      <c r="AN3014">
        <v>1.00000001132509</v>
      </c>
    </row>
    <row r="3015" spans="1:40" x14ac:dyDescent="0.25">
      <c r="A3015" t="str">
        <f>"20190303154528700"</f>
        <v>20190303154528700</v>
      </c>
      <c r="B3015" t="str">
        <f>"1551599128693603"</f>
        <v>1551599128693603</v>
      </c>
      <c r="C3015" t="s">
        <v>40</v>
      </c>
      <c r="D3015">
        <v>5.1839719999999998</v>
      </c>
      <c r="E3015">
        <v>0.50436879999999995</v>
      </c>
      <c r="F3015" t="s">
        <v>55</v>
      </c>
      <c r="G3015">
        <v>-381.45269999999999</v>
      </c>
      <c r="H3015" s="1">
        <v>-7.3844719999999905E-7</v>
      </c>
      <c r="I3015">
        <v>214.0377</v>
      </c>
      <c r="J3015">
        <v>-406.2876</v>
      </c>
      <c r="K3015">
        <v>1.120835</v>
      </c>
      <c r="L3015">
        <v>214.41650000000001</v>
      </c>
      <c r="M3015">
        <v>0.99989819999999996</v>
      </c>
      <c r="N3015">
        <v>-1.343224E-2</v>
      </c>
      <c r="O3015">
        <v>4.8148119999999999E-3</v>
      </c>
      <c r="P3015">
        <v>0.99081260000000004</v>
      </c>
      <c r="Q3015">
        <v>-0.13508599999999901</v>
      </c>
      <c r="R3015">
        <v>-6.5218050000000003E-3</v>
      </c>
      <c r="S3015">
        <v>3.0091860000000001</v>
      </c>
      <c r="T3015">
        <v>-0.1345401</v>
      </c>
      <c r="U3015">
        <v>-4.5333859999999997E-2</v>
      </c>
      <c r="V3015">
        <v>1.129108E-2</v>
      </c>
      <c r="W3015">
        <v>-0.1217657</v>
      </c>
      <c r="X3015">
        <v>0.9924946</v>
      </c>
      <c r="Y3015">
        <v>1.9849840000000001E-2</v>
      </c>
      <c r="Z3015">
        <v>-7.2740939999999996E-4</v>
      </c>
      <c r="AA3015">
        <v>0.99980270000000004</v>
      </c>
      <c r="AB3015">
        <v>23</v>
      </c>
      <c r="AC3015">
        <v>24.834900000000001</v>
      </c>
      <c r="AD3015">
        <v>-1.1208357384471901</v>
      </c>
      <c r="AE3015">
        <v>-0.37880000000001202</v>
      </c>
      <c r="AF3015">
        <v>0.49736894012275901</v>
      </c>
      <c r="AG3015">
        <v>-1.1208357384471901</v>
      </c>
      <c r="AH3015">
        <v>24.782321925720002</v>
      </c>
      <c r="AI3015">
        <v>92.589043973365904</v>
      </c>
      <c r="AJ3015">
        <v>88.850256401895507</v>
      </c>
      <c r="AK3015">
        <v>24.812640501268799</v>
      </c>
      <c r="AL3015">
        <v>96.994017445961006</v>
      </c>
      <c r="AM3015">
        <v>89.348204692654505</v>
      </c>
      <c r="AN3015">
        <v>0.99999995260660701</v>
      </c>
    </row>
    <row r="3016" spans="1:40" x14ac:dyDescent="0.25">
      <c r="A3016" t="str">
        <f>"20190303154528723"</f>
        <v>20190303154528723</v>
      </c>
      <c r="B3016" t="str">
        <f>"1551599128714100"</f>
        <v>1551599128714100</v>
      </c>
      <c r="C3016" t="s">
        <v>40</v>
      </c>
      <c r="D3016">
        <v>5.1912640000000003</v>
      </c>
      <c r="E3016">
        <v>0.50433649999999997</v>
      </c>
      <c r="F3016" t="s">
        <v>55</v>
      </c>
      <c r="G3016">
        <v>-381.55220000000003</v>
      </c>
      <c r="H3016" s="1">
        <v>-6.8616209999999899E-7</v>
      </c>
      <c r="I3016">
        <v>214.05279999999999</v>
      </c>
      <c r="J3016">
        <v>-406.05439999999999</v>
      </c>
      <c r="K3016">
        <v>1.1208260000000001</v>
      </c>
      <c r="L3016">
        <v>214.4177</v>
      </c>
      <c r="M3016">
        <v>0.99989919999999999</v>
      </c>
      <c r="N3016">
        <v>-1.3355799999999999E-2</v>
      </c>
      <c r="O3016">
        <v>4.8323039999999999E-3</v>
      </c>
      <c r="P3016">
        <v>0.99085610000000002</v>
      </c>
      <c r="Q3016">
        <v>-0.13476150000000001</v>
      </c>
      <c r="R3016">
        <v>-6.6326719999999896E-3</v>
      </c>
      <c r="S3016">
        <v>3.0089109999999999</v>
      </c>
      <c r="T3016">
        <v>-0.13634279999999999</v>
      </c>
      <c r="U3016">
        <v>-4.4250490000000003E-2</v>
      </c>
      <c r="V3016">
        <v>1.141933E-2</v>
      </c>
      <c r="W3016">
        <v>-0.1215165</v>
      </c>
      <c r="X3016">
        <v>0.99252370000000001</v>
      </c>
      <c r="Y3016">
        <v>1.9508540000000001E-2</v>
      </c>
      <c r="Z3016">
        <v>-7.2644859999999997E-4</v>
      </c>
      <c r="AA3016">
        <v>0.99980939999999996</v>
      </c>
      <c r="AB3016">
        <v>23</v>
      </c>
      <c r="AC3016">
        <v>24.502199999999899</v>
      </c>
      <c r="AD3016">
        <v>-1.1208266861620999</v>
      </c>
      <c r="AE3016">
        <v>-0.364900000000005</v>
      </c>
      <c r="AF3016">
        <v>0.48229938050314902</v>
      </c>
      <c r="AG3016">
        <v>-1.1208266861620999</v>
      </c>
      <c r="AH3016">
        <v>24.449002059412599</v>
      </c>
      <c r="AI3016">
        <v>92.624288797705006</v>
      </c>
      <c r="AJ3016">
        <v>88.869886990521906</v>
      </c>
      <c r="AK3016">
        <v>24.479431505939999</v>
      </c>
      <c r="AL3016">
        <v>96.979632338771097</v>
      </c>
      <c r="AM3016">
        <v>89.340821235288701</v>
      </c>
      <c r="AN3016">
        <v>0.99999997796579398</v>
      </c>
    </row>
    <row r="3017" spans="1:40" x14ac:dyDescent="0.25">
      <c r="A3017" t="str">
        <f>"20190303154528744"</f>
        <v>20190303154528744</v>
      </c>
      <c r="B3017" t="str">
        <f>"1551599128733619"</f>
        <v>1551599128733619</v>
      </c>
      <c r="C3017" t="s">
        <v>40</v>
      </c>
      <c r="D3017">
        <v>5.2158309999999997</v>
      </c>
      <c r="E3017">
        <v>0.50412179999999995</v>
      </c>
      <c r="F3017" t="s">
        <v>55</v>
      </c>
      <c r="G3017">
        <v>-381.30560000000003</v>
      </c>
      <c r="H3017" s="1">
        <v>-8.1741969999999999E-7</v>
      </c>
      <c r="I3017">
        <v>214.0532</v>
      </c>
      <c r="J3017">
        <v>-405.83390000000003</v>
      </c>
      <c r="K3017">
        <v>1.120824</v>
      </c>
      <c r="L3017">
        <v>214.4187</v>
      </c>
      <c r="M3017">
        <v>0.99990000000000001</v>
      </c>
      <c r="N3017">
        <v>-1.328789E-2</v>
      </c>
      <c r="O3017">
        <v>4.8483739999999999E-3</v>
      </c>
      <c r="P3017">
        <v>0.99086399999999997</v>
      </c>
      <c r="Q3017">
        <v>-0.13471150000000001</v>
      </c>
      <c r="R3017">
        <v>-6.4378889999999996E-3</v>
      </c>
      <c r="S3017">
        <v>3.0088200000000001</v>
      </c>
      <c r="T3017">
        <v>-0.13626340000000001</v>
      </c>
      <c r="U3017">
        <v>-4.431152E-2</v>
      </c>
      <c r="V3017">
        <v>1.1240669999999999E-2</v>
      </c>
      <c r="W3017">
        <v>-0.1215339</v>
      </c>
      <c r="X3017">
        <v>0.99252359999999995</v>
      </c>
      <c r="Y3017">
        <v>1.9545320000000001E-2</v>
      </c>
      <c r="Z3017">
        <v>-7.2734000000000004E-4</v>
      </c>
      <c r="AA3017">
        <v>0.99980869999999999</v>
      </c>
      <c r="AB3017">
        <v>23</v>
      </c>
      <c r="AC3017">
        <v>24.528300000000002</v>
      </c>
      <c r="AD3017">
        <v>-1.1208248174197</v>
      </c>
      <c r="AE3017">
        <v>-0.36549999999999699</v>
      </c>
      <c r="AF3017">
        <v>0.48341939159446001</v>
      </c>
      <c r="AG3017">
        <v>-1.1208248174197</v>
      </c>
      <c r="AH3017">
        <v>24.475145474993798</v>
      </c>
      <c r="AI3017">
        <v>92.621483905182203</v>
      </c>
      <c r="AJ3017">
        <v>88.868472920174995</v>
      </c>
      <c r="AK3017">
        <v>24.505564441604399</v>
      </c>
      <c r="AL3017">
        <v>96.980636792212493</v>
      </c>
      <c r="AM3017">
        <v>89.351133397424803</v>
      </c>
      <c r="AN3017">
        <v>0.99999996903410804</v>
      </c>
    </row>
    <row r="3018" spans="1:40" x14ac:dyDescent="0.25">
      <c r="A3018" t="str">
        <f>"20190303154528768"</f>
        <v>20190303154528768</v>
      </c>
      <c r="B3018" t="str">
        <f>"1551599128763876"</f>
        <v>1551599128763876</v>
      </c>
      <c r="C3018" t="s">
        <v>40</v>
      </c>
      <c r="D3018">
        <v>5.2987729999999997</v>
      </c>
      <c r="E3018">
        <v>0.50398379999999998</v>
      </c>
      <c r="F3018" t="s">
        <v>55</v>
      </c>
      <c r="G3018">
        <v>-381.59969999999998</v>
      </c>
      <c r="H3018" s="1">
        <v>-6.6206350000000003E-7</v>
      </c>
      <c r="I3018">
        <v>214.0796</v>
      </c>
      <c r="J3018">
        <v>-405.58819999999997</v>
      </c>
      <c r="K3018">
        <v>1.1208180000000001</v>
      </c>
      <c r="L3018">
        <v>214.42</v>
      </c>
      <c r="M3018">
        <v>0.99990089999999998</v>
      </c>
      <c r="N3018">
        <v>-1.321489E-2</v>
      </c>
      <c r="O3018">
        <v>4.8647229999999996E-3</v>
      </c>
      <c r="P3018">
        <v>0.9908884</v>
      </c>
      <c r="Q3018">
        <v>-0.1345691</v>
      </c>
      <c r="R3018">
        <v>-5.6471400000000001E-3</v>
      </c>
      <c r="S3018">
        <v>3.0084840000000002</v>
      </c>
      <c r="T3018">
        <v>-0.1391416</v>
      </c>
      <c r="U3018">
        <v>-4.2098999999999998E-2</v>
      </c>
      <c r="V3018">
        <v>1.046616E-2</v>
      </c>
      <c r="W3018">
        <v>-0.1214636</v>
      </c>
      <c r="X3018">
        <v>0.99254070000000005</v>
      </c>
      <c r="Y3018">
        <v>1.8828029999999999E-2</v>
      </c>
      <c r="Z3018">
        <v>-7.2024449999999896E-4</v>
      </c>
      <c r="AA3018">
        <v>0.99982249999999995</v>
      </c>
      <c r="AB3018">
        <v>23</v>
      </c>
      <c r="AC3018">
        <v>23.988499999999899</v>
      </c>
      <c r="AD3018">
        <v>-1.1208186620634999</v>
      </c>
      <c r="AE3018">
        <v>-0.34039999999998799</v>
      </c>
      <c r="AF3018">
        <v>0.45610805554574602</v>
      </c>
      <c r="AG3018">
        <v>-1.1208186620634999</v>
      </c>
      <c r="AH3018">
        <v>23.934320601598401</v>
      </c>
      <c r="AI3018">
        <v>92.680655421461296</v>
      </c>
      <c r="AJ3018">
        <v>88.908266323979007</v>
      </c>
      <c r="AK3018">
        <v>23.964890395986799</v>
      </c>
      <c r="AL3018">
        <v>96.976578661463606</v>
      </c>
      <c r="AM3018">
        <v>89.395848884676994</v>
      </c>
      <c r="AN3018">
        <v>0.99999999389329697</v>
      </c>
    </row>
    <row r="3019" spans="1:40" x14ac:dyDescent="0.25">
      <c r="A3019" t="str">
        <f>"20190303154528792"</f>
        <v>20190303154528792</v>
      </c>
      <c r="B3019" t="str">
        <f>"1551599128784371"</f>
        <v>1551599128784371</v>
      </c>
      <c r="C3019" t="s">
        <v>40</v>
      </c>
      <c r="D3019">
        <v>5.2396750000000001</v>
      </c>
      <c r="E3019">
        <v>0.49997629999999998</v>
      </c>
      <c r="F3019" t="s">
        <v>55</v>
      </c>
      <c r="G3019">
        <v>-381.69439999999997</v>
      </c>
      <c r="H3019" s="1">
        <v>-6.1316699999999995E-7</v>
      </c>
      <c r="I3019">
        <v>214.11449999999999</v>
      </c>
      <c r="J3019">
        <v>-405.34699999999998</v>
      </c>
      <c r="K3019">
        <v>1.1208129999999901</v>
      </c>
      <c r="L3019">
        <v>214.4212</v>
      </c>
      <c r="M3019">
        <v>0.99990179999999995</v>
      </c>
      <c r="N3019">
        <v>-1.314209E-2</v>
      </c>
      <c r="O3019">
        <v>4.8799949999999998E-3</v>
      </c>
      <c r="P3019">
        <v>0.99091580000000001</v>
      </c>
      <c r="Q3019">
        <v>-0.13437789999999999</v>
      </c>
      <c r="R3019">
        <v>-5.3218379999999997E-3</v>
      </c>
      <c r="S3019">
        <v>3.0082089999999999</v>
      </c>
      <c r="T3019">
        <v>-0.14111019999999999</v>
      </c>
      <c r="U3019">
        <v>-3.8452149999999997E-2</v>
      </c>
      <c r="V3019">
        <v>1.015656E-2</v>
      </c>
      <c r="W3019">
        <v>-0.1213442</v>
      </c>
      <c r="X3019">
        <v>0.99255850000000001</v>
      </c>
      <c r="Y3019">
        <v>1.7633619999999999E-2</v>
      </c>
      <c r="Z3019">
        <v>-6.9397139999999996E-4</v>
      </c>
      <c r="AA3019">
        <v>0.99984430000000002</v>
      </c>
      <c r="AB3019">
        <v>23</v>
      </c>
      <c r="AC3019">
        <v>23.6526</v>
      </c>
      <c r="AD3019">
        <v>-1.1208136131669999</v>
      </c>
      <c r="AE3019">
        <v>-0.30670000000000602</v>
      </c>
      <c r="AF3019">
        <v>0.42118527445584297</v>
      </c>
      <c r="AG3019">
        <v>-1.1208136131669999</v>
      </c>
      <c r="AH3019">
        <v>23.597841937190001</v>
      </c>
      <c r="AI3019">
        <v>92.718869873405495</v>
      </c>
      <c r="AJ3019">
        <v>88.977466812441605</v>
      </c>
      <c r="AK3019">
        <v>23.628198498478099</v>
      </c>
      <c r="AL3019">
        <v>96.969686710388999</v>
      </c>
      <c r="AM3019">
        <v>89.413729555736893</v>
      </c>
      <c r="AN3019">
        <v>0.99999997325346102</v>
      </c>
    </row>
    <row r="3020" spans="1:40" x14ac:dyDescent="0.25">
      <c r="A3020" t="str">
        <f>"20190303154528815"</f>
        <v>20190303154528815</v>
      </c>
      <c r="B3020" t="str">
        <f>"1551599128803891"</f>
        <v>1551599128803891</v>
      </c>
      <c r="C3020" t="s">
        <v>40</v>
      </c>
      <c r="D3020">
        <v>5.2242360000000003</v>
      </c>
      <c r="E3020">
        <v>0.50072299999999903</v>
      </c>
      <c r="F3020" t="s">
        <v>55</v>
      </c>
      <c r="G3020">
        <v>-386.3972</v>
      </c>
      <c r="H3020" s="1">
        <v>1.877912E-6</v>
      </c>
      <c r="I3020">
        <v>214.3775</v>
      </c>
      <c r="J3020">
        <v>-405.09899999999999</v>
      </c>
      <c r="K3020">
        <v>1.1208</v>
      </c>
      <c r="L3020">
        <v>214.42240000000001</v>
      </c>
      <c r="M3020">
        <v>0.99990270000000003</v>
      </c>
      <c r="N3020">
        <v>-1.3061919999999999E-2</v>
      </c>
      <c r="O3020">
        <v>4.8961380000000004E-3</v>
      </c>
      <c r="P3020">
        <v>0.99086189999999996</v>
      </c>
      <c r="Q3020">
        <v>-0.1347708</v>
      </c>
      <c r="R3020">
        <v>-5.43496E-3</v>
      </c>
      <c r="S3020">
        <v>3.0034179999999999</v>
      </c>
      <c r="T3020">
        <v>-0.17764150000000001</v>
      </c>
      <c r="U3020">
        <v>-6.9122309999999996E-3</v>
      </c>
      <c r="V3020">
        <v>1.028535E-2</v>
      </c>
      <c r="W3020">
        <v>-0.12181740000000001</v>
      </c>
      <c r="X3020">
        <v>0.99249920000000003</v>
      </c>
      <c r="Y3020">
        <v>7.177452E-3</v>
      </c>
      <c r="Z3020">
        <v>-4.8442590000000001E-4</v>
      </c>
      <c r="AA3020">
        <v>0.99997409999999998</v>
      </c>
      <c r="AB3020">
        <v>23</v>
      </c>
      <c r="AC3020">
        <v>18.701799999999899</v>
      </c>
      <c r="AD3020">
        <v>-1.1207981220879999</v>
      </c>
      <c r="AE3020">
        <v>-4.4900000000012603E-2</v>
      </c>
      <c r="AF3020">
        <v>0.13598546525632199</v>
      </c>
      <c r="AG3020">
        <v>-1.1207981220879999</v>
      </c>
      <c r="AH3020">
        <v>18.634428913087099</v>
      </c>
      <c r="AI3020">
        <v>93.441910071043495</v>
      </c>
      <c r="AJ3020">
        <v>89.581889256318604</v>
      </c>
      <c r="AK3020">
        <v>18.668599877712701</v>
      </c>
      <c r="AL3020">
        <v>96.997001769809501</v>
      </c>
      <c r="AM3020">
        <v>89.406260426946702</v>
      </c>
      <c r="AN3020">
        <v>0.99999996468400998</v>
      </c>
    </row>
    <row r="3021" spans="1:40" x14ac:dyDescent="0.25">
      <c r="A3021" t="str">
        <f>"20190303154528838"</f>
        <v>20190303154528838</v>
      </c>
      <c r="B3021" t="str">
        <f>"1551599128834149"</f>
        <v>1551599128834149</v>
      </c>
      <c r="C3021" t="s">
        <v>40</v>
      </c>
      <c r="D3021">
        <v>5.2277259999999997</v>
      </c>
      <c r="E3021">
        <v>0.5011196</v>
      </c>
      <c r="F3021" t="s">
        <v>55</v>
      </c>
      <c r="G3021">
        <v>-386.65219999999999</v>
      </c>
      <c r="H3021" s="1">
        <v>2.0152490000000001E-6</v>
      </c>
      <c r="I3021">
        <v>214.34039999999999</v>
      </c>
      <c r="J3021">
        <v>-404.86169999999998</v>
      </c>
      <c r="K3021">
        <v>1.120789</v>
      </c>
      <c r="L3021">
        <v>214.42359999999999</v>
      </c>
      <c r="M3021">
        <v>0.99990380000000001</v>
      </c>
      <c r="N3021">
        <v>-1.297821E-2</v>
      </c>
      <c r="O3021">
        <v>4.9142029999999998E-3</v>
      </c>
      <c r="P3021">
        <v>0.9908209</v>
      </c>
      <c r="Q3021">
        <v>-0.13506570000000001</v>
      </c>
      <c r="R3021">
        <v>-5.6035959999999998E-3</v>
      </c>
      <c r="S3021">
        <v>3.002777</v>
      </c>
      <c r="T3021">
        <v>-0.18244369999999999</v>
      </c>
      <c r="U3021">
        <v>-1.3351439999999999E-2</v>
      </c>
      <c r="V3021">
        <v>1.047141E-2</v>
      </c>
      <c r="W3021">
        <v>-0.122195899999999</v>
      </c>
      <c r="X3021">
        <v>0.99245079999999997</v>
      </c>
      <c r="Y3021">
        <v>9.3343339999999997E-3</v>
      </c>
      <c r="Z3021">
        <v>-5.7851720000000003E-4</v>
      </c>
      <c r="AA3021">
        <v>0.99995630000000002</v>
      </c>
      <c r="AB3021">
        <v>23</v>
      </c>
      <c r="AC3021">
        <v>18.209499999999899</v>
      </c>
      <c r="AD3021">
        <v>-1.1207869847509999</v>
      </c>
      <c r="AE3021">
        <v>-8.3200000000005006E-2</v>
      </c>
      <c r="AF3021">
        <v>0.17203996920095299</v>
      </c>
      <c r="AG3021">
        <v>-1.1207869847509999</v>
      </c>
      <c r="AH3021">
        <v>18.140151380376</v>
      </c>
      <c r="AI3021">
        <v>93.535359761429703</v>
      </c>
      <c r="AJ3021">
        <v>89.456626991808605</v>
      </c>
      <c r="AK3021">
        <v>18.175556478940202</v>
      </c>
      <c r="AL3021">
        <v>97.018850928948495</v>
      </c>
      <c r="AM3021">
        <v>89.395491105193003</v>
      </c>
      <c r="AN3021">
        <v>1.00000003941241</v>
      </c>
    </row>
    <row r="3022" spans="1:40" x14ac:dyDescent="0.25">
      <c r="A3022" t="str">
        <f>"20190303154528879"</f>
        <v>20190303154528879</v>
      </c>
      <c r="B3022" t="str">
        <f>"1551599128874163"</f>
        <v>1551599128874163</v>
      </c>
      <c r="C3022" t="s">
        <v>40</v>
      </c>
      <c r="D3022">
        <v>5.239655</v>
      </c>
      <c r="E3022">
        <v>0.50140229999999997</v>
      </c>
      <c r="F3022" t="s">
        <v>55</v>
      </c>
      <c r="G3022">
        <v>-386.77690000000001</v>
      </c>
      <c r="H3022" s="1">
        <v>2.0824530000000002E-6</v>
      </c>
      <c r="I3022">
        <v>214.32060000000001</v>
      </c>
      <c r="J3022">
        <v>-404.4391</v>
      </c>
      <c r="K3022">
        <v>1.1207720000000001</v>
      </c>
      <c r="L3022">
        <v>214.42570000000001</v>
      </c>
      <c r="M3022">
        <v>0.99990559999999995</v>
      </c>
      <c r="N3022">
        <v>-1.282169E-2</v>
      </c>
      <c r="O3022">
        <v>4.9454879999999996E-3</v>
      </c>
      <c r="P3022">
        <v>0.99084309999999998</v>
      </c>
      <c r="Q3022">
        <v>-0.13488739999999999</v>
      </c>
      <c r="R3022">
        <v>-5.9465419999999904E-3</v>
      </c>
      <c r="S3022">
        <v>3.0023499999999999</v>
      </c>
      <c r="T3022">
        <v>-0.1860676</v>
      </c>
      <c r="U3022">
        <v>-1.7105099999999901E-2</v>
      </c>
      <c r="V3022">
        <v>1.084542E-2</v>
      </c>
      <c r="W3022">
        <v>-0.1221728</v>
      </c>
      <c r="X3022">
        <v>0.99244960000000004</v>
      </c>
      <c r="Y3022">
        <v>1.061234E-2</v>
      </c>
      <c r="Z3022">
        <v>-6.3947500000000003E-4</v>
      </c>
      <c r="AA3022">
        <v>0.99994349999999999</v>
      </c>
      <c r="AB3022">
        <v>23</v>
      </c>
      <c r="AC3022">
        <v>17.662199999999899</v>
      </c>
      <c r="AD3022">
        <v>-1.1207699175469901</v>
      </c>
      <c r="AE3022">
        <v>-0.105099999999993</v>
      </c>
      <c r="AF3022">
        <v>0.19168228150812</v>
      </c>
      <c r="AG3022">
        <v>-1.1207699175469901</v>
      </c>
      <c r="AH3022">
        <v>17.590635425058</v>
      </c>
      <c r="AI3022">
        <v>93.645400250150104</v>
      </c>
      <c r="AJ3022">
        <v>89.375681957538006</v>
      </c>
      <c r="AK3022">
        <v>17.6273458570038</v>
      </c>
      <c r="AL3022">
        <v>97.017517595706494</v>
      </c>
      <c r="AM3022">
        <v>89.373900640239498</v>
      </c>
      <c r="AN3022">
        <v>1.0000000123674799</v>
      </c>
    </row>
    <row r="3023" spans="1:40" x14ac:dyDescent="0.25">
      <c r="A3023" t="str">
        <f>"20190303154528902"</f>
        <v>20190303154528902</v>
      </c>
      <c r="B3023" t="str">
        <f>"1551599128893683"</f>
        <v>1551599128893683</v>
      </c>
      <c r="C3023" t="s">
        <v>40</v>
      </c>
      <c r="D3023">
        <v>5.233943</v>
      </c>
      <c r="E3023">
        <v>0.5013476</v>
      </c>
      <c r="F3023" t="s">
        <v>55</v>
      </c>
      <c r="G3023">
        <v>-386.48180000000002</v>
      </c>
      <c r="H3023" s="1">
        <v>1.9261300000000001E-6</v>
      </c>
      <c r="I3023">
        <v>214.30410000000001</v>
      </c>
      <c r="J3023">
        <v>-404.19940000000003</v>
      </c>
      <c r="K3023">
        <v>1.1207549999999999</v>
      </c>
      <c r="L3023">
        <v>214.42689999999999</v>
      </c>
      <c r="M3023">
        <v>0.99990670000000004</v>
      </c>
      <c r="N3023">
        <v>-1.273292E-2</v>
      </c>
      <c r="O3023">
        <v>4.9608330000000004E-3</v>
      </c>
      <c r="P3023">
        <v>0.99081260000000004</v>
      </c>
      <c r="Q3023">
        <v>-0.13510920000000001</v>
      </c>
      <c r="R3023">
        <v>-5.9996119999999997E-3</v>
      </c>
      <c r="S3023">
        <v>3.0021360000000001</v>
      </c>
      <c r="T3023">
        <v>-0.1873716</v>
      </c>
      <c r="U3023">
        <v>-2.0324709999999999E-2</v>
      </c>
      <c r="V3023">
        <v>1.0913320000000001E-2</v>
      </c>
      <c r="W3023">
        <v>-0.12248299999999999</v>
      </c>
      <c r="X3023">
        <v>0.99241060000000003</v>
      </c>
      <c r="Y3023">
        <v>1.169744E-2</v>
      </c>
      <c r="Z3023">
        <v>-6.8543429999999995E-4</v>
      </c>
      <c r="AA3023">
        <v>0.99993129999999997</v>
      </c>
      <c r="AB3023">
        <v>23</v>
      </c>
      <c r="AC3023">
        <v>17.717600000000001</v>
      </c>
      <c r="AD3023">
        <v>-1.12075307387</v>
      </c>
      <c r="AE3023">
        <v>-0.12279999999998301</v>
      </c>
      <c r="AF3023">
        <v>0.20985997319566199</v>
      </c>
      <c r="AG3023">
        <v>-1.12075307387</v>
      </c>
      <c r="AH3023">
        <v>17.646167033805799</v>
      </c>
      <c r="AI3023">
        <v>93.633863559927605</v>
      </c>
      <c r="AJ3023">
        <v>89.318632544953601</v>
      </c>
      <c r="AK3023">
        <v>17.682967501126999</v>
      </c>
      <c r="AL3023">
        <v>97.035425378468304</v>
      </c>
      <c r="AM3023">
        <v>89.369956373746902</v>
      </c>
      <c r="AN3023">
        <v>0.99999999241739101</v>
      </c>
    </row>
    <row r="3024" spans="1:40" x14ac:dyDescent="0.25">
      <c r="A3024" t="str">
        <f>"20190303154528923"</f>
        <v>20190303154528923</v>
      </c>
      <c r="B3024" t="str">
        <f>"1551599128914180"</f>
        <v>1551599128914180</v>
      </c>
      <c r="C3024" t="s">
        <v>40</v>
      </c>
      <c r="D3024">
        <v>5.2505610000000003</v>
      </c>
      <c r="E3024">
        <v>0.50125569999999997</v>
      </c>
      <c r="F3024" t="s">
        <v>55</v>
      </c>
      <c r="G3024">
        <v>-386.4991</v>
      </c>
      <c r="H3024" s="1">
        <v>1.935194E-6</v>
      </c>
      <c r="I3024">
        <v>214.3075</v>
      </c>
      <c r="J3024">
        <v>-403.97829999999999</v>
      </c>
      <c r="K3024">
        <v>1.120743</v>
      </c>
      <c r="L3024">
        <v>214.428</v>
      </c>
      <c r="M3024">
        <v>0.99990769999999995</v>
      </c>
      <c r="N3024">
        <v>-1.2647149999999999E-2</v>
      </c>
      <c r="O3024">
        <v>4.9746649999999996E-3</v>
      </c>
      <c r="P3024">
        <v>0.9907203</v>
      </c>
      <c r="Q3024">
        <v>-0.1357759</v>
      </c>
      <c r="R3024">
        <v>-6.1711329999999997E-3</v>
      </c>
      <c r="S3024">
        <v>3.00177</v>
      </c>
      <c r="T3024">
        <v>-0.19006629999999999</v>
      </c>
      <c r="U3024">
        <v>-2.0248410000000001E-2</v>
      </c>
      <c r="V3024">
        <v>1.1098E-2</v>
      </c>
      <c r="W3024">
        <v>-0.123235999999999</v>
      </c>
      <c r="X3024">
        <v>0.99231539999999996</v>
      </c>
      <c r="Y3024">
        <v>1.168574E-2</v>
      </c>
      <c r="Z3024">
        <v>-6.953746E-4</v>
      </c>
      <c r="AA3024">
        <v>0.99993149999999997</v>
      </c>
      <c r="AB3024">
        <v>23</v>
      </c>
      <c r="AC3024">
        <v>17.479199999999899</v>
      </c>
      <c r="AD3024">
        <v>-1.1207410648059899</v>
      </c>
      <c r="AE3024">
        <v>-0.120499999999992</v>
      </c>
      <c r="AF3024">
        <v>0.20660925413517101</v>
      </c>
      <c r="AG3024">
        <v>-1.1207410648059899</v>
      </c>
      <c r="AH3024">
        <v>17.406824837745599</v>
      </c>
      <c r="AI3024">
        <v>93.683653845203693</v>
      </c>
      <c r="AJ3024">
        <v>89.319963146147998</v>
      </c>
      <c r="AK3024">
        <v>17.444090657016101</v>
      </c>
      <c r="AL3024">
        <v>97.078897932843603</v>
      </c>
      <c r="AM3024">
        <v>89.359233917545495</v>
      </c>
      <c r="AN3024">
        <v>1.0000000651885701</v>
      </c>
    </row>
    <row r="3025" spans="1:40" x14ac:dyDescent="0.25">
      <c r="A3025" t="str">
        <f>"20190303154528948"</f>
        <v>20190303154528948</v>
      </c>
      <c r="B3025" t="str">
        <f>"1551599128943459"</f>
        <v>1551599128943459</v>
      </c>
      <c r="C3025" t="s">
        <v>40</v>
      </c>
      <c r="D3025">
        <v>5.2623430000000004</v>
      </c>
      <c r="E3025">
        <v>0.50114890000000001</v>
      </c>
      <c r="F3025" t="s">
        <v>55</v>
      </c>
      <c r="G3025">
        <v>-386.56040000000002</v>
      </c>
      <c r="H3025" s="1">
        <v>1.967745E-6</v>
      </c>
      <c r="I3025">
        <v>214.30879999999999</v>
      </c>
      <c r="J3025">
        <v>-403.71969999999999</v>
      </c>
      <c r="K3025">
        <v>1.1207260000000001</v>
      </c>
      <c r="L3025">
        <v>214.42930000000001</v>
      </c>
      <c r="M3025">
        <v>0.99990889999999999</v>
      </c>
      <c r="N3025">
        <v>-1.254138E-2</v>
      </c>
      <c r="O3025">
        <v>4.9909469999999999E-3</v>
      </c>
      <c r="P3025">
        <v>0.99069680000000004</v>
      </c>
      <c r="Q3025">
        <v>-0.1359223</v>
      </c>
      <c r="R3025">
        <v>-6.714055E-3</v>
      </c>
      <c r="S3025">
        <v>3.001465</v>
      </c>
      <c r="T3025">
        <v>-0.19312670000000001</v>
      </c>
      <c r="U3025">
        <v>-2.053833E-2</v>
      </c>
      <c r="V3025">
        <v>1.1656649999999999E-2</v>
      </c>
      <c r="W3025">
        <v>-0.1234876</v>
      </c>
      <c r="X3025">
        <v>0.99227759999999998</v>
      </c>
      <c r="Y3025">
        <v>1.17979E-2</v>
      </c>
      <c r="Z3025">
        <v>-7.1150259999999904E-4</v>
      </c>
      <c r="AA3025">
        <v>0.99993010000000004</v>
      </c>
      <c r="AB3025">
        <v>23</v>
      </c>
      <c r="AC3025">
        <v>17.159299999999899</v>
      </c>
      <c r="AD3025">
        <v>-1.1207240322550001</v>
      </c>
      <c r="AE3025">
        <v>-0.12050000000002099</v>
      </c>
      <c r="AF3025">
        <v>0.20527079508608601</v>
      </c>
      <c r="AG3025">
        <v>-1.1207240322550001</v>
      </c>
      <c r="AH3025">
        <v>17.085604992023399</v>
      </c>
      <c r="AI3025">
        <v>93.752649379745293</v>
      </c>
      <c r="AJ3025">
        <v>89.311667079211801</v>
      </c>
      <c r="AK3025">
        <v>17.1235526804237</v>
      </c>
      <c r="AL3025">
        <v>97.093425327687996</v>
      </c>
      <c r="AM3025">
        <v>89.326956359465697</v>
      </c>
      <c r="AN3025">
        <v>0.99999995015236998</v>
      </c>
    </row>
    <row r="3026" spans="1:40" x14ac:dyDescent="0.25">
      <c r="A3026" t="str">
        <f>"20190303154528967"</f>
        <v>20190303154528967</v>
      </c>
      <c r="B3026" t="str">
        <f>"1551599128963955"</f>
        <v>1551599128963955</v>
      </c>
      <c r="C3026" t="s">
        <v>40</v>
      </c>
      <c r="D3026">
        <v>5.2627009999999999</v>
      </c>
      <c r="E3026">
        <v>0.50096200000000002</v>
      </c>
      <c r="F3026" t="s">
        <v>55</v>
      </c>
      <c r="G3026">
        <v>-386.37729999999999</v>
      </c>
      <c r="H3026" s="1">
        <v>1.8703750000000001E-6</v>
      </c>
      <c r="I3026">
        <v>214.30779999999999</v>
      </c>
      <c r="J3026">
        <v>-403.51</v>
      </c>
      <c r="K3026">
        <v>1.120709</v>
      </c>
      <c r="L3026">
        <v>214.43039999999999</v>
      </c>
      <c r="M3026">
        <v>0.99991010000000002</v>
      </c>
      <c r="N3026">
        <v>-1.244689E-2</v>
      </c>
      <c r="O3026">
        <v>5.00382E-3</v>
      </c>
      <c r="P3026">
        <v>0.99076059999999999</v>
      </c>
      <c r="Q3026">
        <v>-0.1354361</v>
      </c>
      <c r="R3026">
        <v>-7.1408319999999997E-3</v>
      </c>
      <c r="S3026">
        <v>3.001404</v>
      </c>
      <c r="T3026">
        <v>-0.1939611</v>
      </c>
      <c r="U3026">
        <v>-2.1041870000000001E-2</v>
      </c>
      <c r="V3026">
        <v>1.2096630000000001E-2</v>
      </c>
      <c r="W3026">
        <v>-0.1230945</v>
      </c>
      <c r="X3026">
        <v>0.99232129999999996</v>
      </c>
      <c r="Y3026">
        <v>1.197789E-2</v>
      </c>
      <c r="Z3026">
        <v>-7.2205139999999995E-4</v>
      </c>
      <c r="AA3026">
        <v>0.99992800000000004</v>
      </c>
      <c r="AB3026">
        <v>23</v>
      </c>
      <c r="AC3026">
        <v>17.1327</v>
      </c>
      <c r="AD3026">
        <v>-1.120707129625</v>
      </c>
      <c r="AE3026">
        <v>-0.122600000000005</v>
      </c>
      <c r="AF3026">
        <v>0.20744644782926999</v>
      </c>
      <c r="AG3026">
        <v>-1.120707129625</v>
      </c>
      <c r="AH3026">
        <v>17.058882363308602</v>
      </c>
      <c r="AI3026">
        <v>93.758447892289496</v>
      </c>
      <c r="AJ3026">
        <v>89.303282604243805</v>
      </c>
      <c r="AK3026">
        <v>17.096914516494198</v>
      </c>
      <c r="AL3026">
        <v>97.070728320589396</v>
      </c>
      <c r="AM3026">
        <v>89.301585567984503</v>
      </c>
      <c r="AN3026">
        <v>1.00000007341064</v>
      </c>
    </row>
    <row r="3027" spans="1:40" x14ac:dyDescent="0.25">
      <c r="A3027" t="str">
        <f>"20190303154528993"</f>
        <v>20190303154528993</v>
      </c>
      <c r="B3027" t="str">
        <f>"1551599128983475"</f>
        <v>1551599128983475</v>
      </c>
      <c r="C3027" t="s">
        <v>40</v>
      </c>
      <c r="D3027">
        <v>5.2493049999999997</v>
      </c>
      <c r="E3027">
        <v>0.50082590000000005</v>
      </c>
      <c r="F3027" t="s">
        <v>55</v>
      </c>
      <c r="G3027">
        <v>-386.09570000000002</v>
      </c>
      <c r="H3027" s="1">
        <v>1.7204329999999999E-6</v>
      </c>
      <c r="I3027">
        <v>214.31</v>
      </c>
      <c r="J3027">
        <v>-403.25380000000001</v>
      </c>
      <c r="K3027">
        <v>1.12069</v>
      </c>
      <c r="L3027">
        <v>214.43170000000001</v>
      </c>
      <c r="M3027">
        <v>0.99991180000000002</v>
      </c>
      <c r="N3027">
        <v>-1.230465E-2</v>
      </c>
      <c r="O3027">
        <v>5.0194899999999997E-3</v>
      </c>
      <c r="P3027">
        <v>0.99080820000000003</v>
      </c>
      <c r="Q3027">
        <v>-0.135076799999999</v>
      </c>
      <c r="R3027">
        <v>-7.311344E-3</v>
      </c>
      <c r="S3027">
        <v>3.0014340000000002</v>
      </c>
      <c r="T3027">
        <v>-0.193159</v>
      </c>
      <c r="U3027">
        <v>-2.0751950000000002E-2</v>
      </c>
      <c r="V3027">
        <v>1.2282960000000001E-2</v>
      </c>
      <c r="W3027">
        <v>-0.1228759</v>
      </c>
      <c r="X3027">
        <v>0.99234599999999995</v>
      </c>
      <c r="Y3027">
        <v>1.1897390000000001E-2</v>
      </c>
      <c r="Z3027">
        <v>-7.1670369999999998E-4</v>
      </c>
      <c r="AA3027">
        <v>0.99992899999999996</v>
      </c>
      <c r="AB3027">
        <v>23</v>
      </c>
      <c r="AC3027">
        <v>17.158099999999902</v>
      </c>
      <c r="AD3027">
        <v>-1.1206882795669999</v>
      </c>
      <c r="AE3027">
        <v>-0.121700000000004</v>
      </c>
      <c r="AF3027">
        <v>0.20694707664754999</v>
      </c>
      <c r="AG3027">
        <v>-1.1206882795669999</v>
      </c>
      <c r="AH3027">
        <v>17.084392794494601</v>
      </c>
      <c r="AI3027">
        <v>93.752791034090194</v>
      </c>
      <c r="AJ3027">
        <v>89.305997331481805</v>
      </c>
      <c r="AK3027">
        <v>17.1223610074391</v>
      </c>
      <c r="AL3027">
        <v>97.058108382209696</v>
      </c>
      <c r="AM3027">
        <v>89.2908463069123</v>
      </c>
      <c r="AN3027">
        <v>0.99999997081158498</v>
      </c>
    </row>
    <row r="3028" spans="1:40" x14ac:dyDescent="0.25">
      <c r="A3028" t="str">
        <f>"20190303154529014"</f>
        <v>20190303154529014</v>
      </c>
      <c r="B3028" t="str">
        <f>"1551599129003971"</f>
        <v>1551599129003971</v>
      </c>
      <c r="C3028" t="s">
        <v>40</v>
      </c>
      <c r="D3028">
        <v>5.2413349999999896</v>
      </c>
      <c r="E3028">
        <v>0.50067220000000001</v>
      </c>
      <c r="F3028" t="s">
        <v>55</v>
      </c>
      <c r="G3028">
        <v>-385.79910000000001</v>
      </c>
      <c r="H3028" s="1">
        <v>1.5624249999999999E-6</v>
      </c>
      <c r="I3028">
        <v>214.31389999999999</v>
      </c>
      <c r="J3028">
        <v>-403.0258</v>
      </c>
      <c r="K3028">
        <v>1.120654</v>
      </c>
      <c r="L3028">
        <v>214.43289999999999</v>
      </c>
      <c r="M3028">
        <v>0.99991370000000002</v>
      </c>
      <c r="N3028">
        <v>-1.2138090000000001E-2</v>
      </c>
      <c r="O3028">
        <v>5.0338070000000004E-3</v>
      </c>
      <c r="P3028">
        <v>0.99088489999999996</v>
      </c>
      <c r="Q3028">
        <v>-0.13451199999999999</v>
      </c>
      <c r="R3028">
        <v>-7.3333399999999998E-3</v>
      </c>
      <c r="S3028">
        <v>3.0013730000000001</v>
      </c>
      <c r="T3028">
        <v>-0.19270419999999999</v>
      </c>
      <c r="U3028">
        <v>-2.0263670000000001E-2</v>
      </c>
      <c r="V3028">
        <v>1.231955E-2</v>
      </c>
      <c r="W3028">
        <v>-0.122475399999999</v>
      </c>
      <c r="X3028">
        <v>0.99239509999999997</v>
      </c>
      <c r="Y3028">
        <v>1.17497E-2</v>
      </c>
      <c r="Z3028">
        <v>-7.100149E-4</v>
      </c>
      <c r="AA3028">
        <v>0.99993069999999895</v>
      </c>
      <c r="AB3028">
        <v>23</v>
      </c>
      <c r="AC3028">
        <v>17.226699999999902</v>
      </c>
      <c r="AD3028">
        <v>-1.120652437575</v>
      </c>
      <c r="AE3028">
        <v>-0.118999999999999</v>
      </c>
      <c r="AF3028">
        <v>0.20485387609182201</v>
      </c>
      <c r="AG3028">
        <v>-1.120652437575</v>
      </c>
      <c r="AH3028">
        <v>17.1532946949992</v>
      </c>
      <c r="AI3028">
        <v>93.737647969289796</v>
      </c>
      <c r="AJ3028">
        <v>89.3157754957614</v>
      </c>
      <c r="AK3028">
        <v>17.191083325081099</v>
      </c>
      <c r="AL3028">
        <v>97.0349864695918</v>
      </c>
      <c r="AM3028">
        <v>89.288769196078903</v>
      </c>
      <c r="AN3028">
        <v>1.00000001471068</v>
      </c>
    </row>
    <row r="3029" spans="1:40" x14ac:dyDescent="0.25">
      <c r="A3029" t="str">
        <f>"20190303154529038"</f>
        <v>20190303154529038</v>
      </c>
      <c r="B3029" t="str">
        <f>"1551599129033251"</f>
        <v>1551599129033251</v>
      </c>
      <c r="C3029" t="s">
        <v>40</v>
      </c>
      <c r="D3029">
        <v>5.2530769999999896</v>
      </c>
      <c r="E3029">
        <v>0.50044420000000001</v>
      </c>
      <c r="F3029" t="s">
        <v>55</v>
      </c>
      <c r="G3029">
        <v>-385.44400000000002</v>
      </c>
      <c r="H3029" s="1">
        <v>1.3731379999999901E-6</v>
      </c>
      <c r="I3029">
        <v>214.321</v>
      </c>
      <c r="J3029">
        <v>-402.78059999999999</v>
      </c>
      <c r="K3029">
        <v>1.1206020000000001</v>
      </c>
      <c r="L3029">
        <v>214.4341</v>
      </c>
      <c r="M3029">
        <v>0.99991629999999998</v>
      </c>
      <c r="N3029">
        <v>-1.1912799999999999E-2</v>
      </c>
      <c r="O3029">
        <v>5.049118E-3</v>
      </c>
      <c r="P3029">
        <v>0.99077930000000003</v>
      </c>
      <c r="Q3029">
        <v>-0.1353318</v>
      </c>
      <c r="R3029">
        <v>-6.4676869999999997E-3</v>
      </c>
      <c r="S3029">
        <v>3.001465</v>
      </c>
      <c r="T3029">
        <v>-0.19131100000000001</v>
      </c>
      <c r="U3029">
        <v>-1.9103999999999999E-2</v>
      </c>
      <c r="V3029">
        <v>1.146843E-2</v>
      </c>
      <c r="W3029">
        <v>-0.1235199</v>
      </c>
      <c r="X3029">
        <v>0.99227580000000004</v>
      </c>
      <c r="Y3029">
        <v>1.137987E-2</v>
      </c>
      <c r="Z3029">
        <v>-6.9156489999999996E-4</v>
      </c>
      <c r="AA3029">
        <v>0.99993500000000002</v>
      </c>
      <c r="AB3029">
        <v>23</v>
      </c>
      <c r="AC3029">
        <v>17.336599999999901</v>
      </c>
      <c r="AD3029">
        <v>-1.1206006268619999</v>
      </c>
      <c r="AE3029">
        <v>-0.113100000000002</v>
      </c>
      <c r="AF3029">
        <v>0.199804550134768</v>
      </c>
      <c r="AG3029">
        <v>-1.1206006268619999</v>
      </c>
      <c r="AH3029">
        <v>17.2636823883971</v>
      </c>
      <c r="AI3029">
        <v>93.713660583546499</v>
      </c>
      <c r="AJ3029">
        <v>89.336905876677605</v>
      </c>
      <c r="AK3029">
        <v>17.3011675106228</v>
      </c>
      <c r="AL3029">
        <v>97.095290068248104</v>
      </c>
      <c r="AM3029">
        <v>89.337821822595203</v>
      </c>
      <c r="AN3029">
        <v>0.99999997692415699</v>
      </c>
    </row>
    <row r="3030" spans="1:40" x14ac:dyDescent="0.25">
      <c r="A3030" t="str">
        <f>"20190303154529058"</f>
        <v>20190303154529058</v>
      </c>
      <c r="B3030" t="str">
        <f>"1551599129053748"</f>
        <v>1551599129053748</v>
      </c>
      <c r="C3030" t="s">
        <v>40</v>
      </c>
      <c r="D3030">
        <v>5.2638720000000001</v>
      </c>
      <c r="E3030">
        <v>0.50035499999999999</v>
      </c>
      <c r="F3030" t="s">
        <v>55</v>
      </c>
      <c r="G3030">
        <v>-385.54610000000002</v>
      </c>
      <c r="H3030" s="1">
        <v>1.4261209999999999E-6</v>
      </c>
      <c r="I3030">
        <v>214.352</v>
      </c>
      <c r="J3030">
        <v>-402.5652</v>
      </c>
      <c r="K3030">
        <v>1.1205560000000001</v>
      </c>
      <c r="L3030">
        <v>214.43520000000001</v>
      </c>
      <c r="M3030">
        <v>0.999919</v>
      </c>
      <c r="N3030">
        <v>-1.167676E-2</v>
      </c>
      <c r="O3030">
        <v>5.062619E-3</v>
      </c>
      <c r="P3030">
        <v>0.99065060000000005</v>
      </c>
      <c r="Q3030">
        <v>-0.1363135</v>
      </c>
      <c r="R3030">
        <v>-5.4810789999999998E-3</v>
      </c>
      <c r="S3030">
        <v>3.00116</v>
      </c>
      <c r="T3030">
        <v>-0.19513800000000001</v>
      </c>
      <c r="U3030">
        <v>-1.429749E-2</v>
      </c>
      <c r="V3030">
        <v>1.0494689999999999E-2</v>
      </c>
      <c r="W3030">
        <v>-0.12473720000000001</v>
      </c>
      <c r="X3030">
        <v>0.99213430000000002</v>
      </c>
      <c r="Y3030">
        <v>9.7951789999999993E-3</v>
      </c>
      <c r="Z3030">
        <v>-6.4513050000000001E-4</v>
      </c>
      <c r="AA3030">
        <v>0.99995179999999995</v>
      </c>
      <c r="AB3030">
        <v>23</v>
      </c>
      <c r="AC3030">
        <v>17.019099999999899</v>
      </c>
      <c r="AD3030">
        <v>-1.1205545738789999</v>
      </c>
      <c r="AE3030">
        <v>-8.3200000000005006E-2</v>
      </c>
      <c r="AF3030">
        <v>0.16863500629140801</v>
      </c>
      <c r="AG3030">
        <v>-1.1205545738789999</v>
      </c>
      <c r="AH3030">
        <v>16.945005154524601</v>
      </c>
      <c r="AI3030">
        <v>93.7832115964369</v>
      </c>
      <c r="AJ3030">
        <v>89.429816922970105</v>
      </c>
      <c r="AK3030">
        <v>16.982852528513899</v>
      </c>
      <c r="AL3030">
        <v>97.165579754999101</v>
      </c>
      <c r="AM3030">
        <v>89.393954005116697</v>
      </c>
      <c r="AN3030">
        <v>0.99999998840926296</v>
      </c>
    </row>
    <row r="3031" spans="1:40" x14ac:dyDescent="0.25">
      <c r="A3031" t="str">
        <f>"20190303154529081"</f>
        <v>20190303154529081</v>
      </c>
      <c r="B3031" t="str">
        <f>"1551599129074244"</f>
        <v>1551599129074244</v>
      </c>
      <c r="C3031" t="s">
        <v>40</v>
      </c>
      <c r="D3031">
        <v>5.2360689999999996</v>
      </c>
      <c r="E3031">
        <v>0.5002316</v>
      </c>
      <c r="F3031" t="s">
        <v>55</v>
      </c>
      <c r="G3031">
        <v>-385.57819999999998</v>
      </c>
      <c r="H3031" s="1">
        <v>1.4422360000000001E-6</v>
      </c>
      <c r="I3031">
        <v>214.37459999999999</v>
      </c>
      <c r="J3031">
        <v>-402.33609999999999</v>
      </c>
      <c r="K3031">
        <v>1.120506</v>
      </c>
      <c r="L3031">
        <v>214.43639999999999</v>
      </c>
      <c r="M3031">
        <v>0.99992219999999998</v>
      </c>
      <c r="N3031">
        <v>-1.1399050000000001E-2</v>
      </c>
      <c r="O3031">
        <v>5.0772259999999998E-3</v>
      </c>
      <c r="P3031">
        <v>0.99064960000000002</v>
      </c>
      <c r="Q3031">
        <v>-0.13633410000000001</v>
      </c>
      <c r="R3031">
        <v>-5.1505370000000002E-3</v>
      </c>
      <c r="S3031">
        <v>3.0009769999999998</v>
      </c>
      <c r="T3031">
        <v>-0.1979609</v>
      </c>
      <c r="U3031">
        <v>-1.071167E-2</v>
      </c>
      <c r="V3031">
        <v>1.017859E-2</v>
      </c>
      <c r="W3031">
        <v>-0.12503339999999999</v>
      </c>
      <c r="X3031">
        <v>0.99210030000000005</v>
      </c>
      <c r="Y3031">
        <v>8.6173280000000005E-3</v>
      </c>
      <c r="Z3031">
        <v>-6.0982400000000002E-4</v>
      </c>
      <c r="AA3031">
        <v>0.99996269999999998</v>
      </c>
      <c r="AB3031">
        <v>23</v>
      </c>
      <c r="AC3031">
        <v>16.757899999999999</v>
      </c>
      <c r="AD3031">
        <v>-1.120504557764</v>
      </c>
      <c r="AE3031">
        <v>-6.1800000000005101E-2</v>
      </c>
      <c r="AF3031">
        <v>0.146234591095945</v>
      </c>
      <c r="AG3031">
        <v>-1.120504557764</v>
      </c>
      <c r="AH3031">
        <v>16.682785316027299</v>
      </c>
      <c r="AI3031">
        <v>93.842370839145602</v>
      </c>
      <c r="AJ3031">
        <v>89.497781087074699</v>
      </c>
      <c r="AK3031">
        <v>16.721011958618401</v>
      </c>
      <c r="AL3031">
        <v>97.1826847368757</v>
      </c>
      <c r="AM3031">
        <v>89.412186663535095</v>
      </c>
      <c r="AN3031">
        <v>0.999999980035018</v>
      </c>
    </row>
    <row r="3032" spans="1:40" x14ac:dyDescent="0.25">
      <c r="A3032" t="str">
        <f>"20190303154529103"</f>
        <v>20190303154529103</v>
      </c>
      <c r="B3032" t="str">
        <f>"1551599129093763"</f>
        <v>1551599129093763</v>
      </c>
      <c r="C3032" t="s">
        <v>40</v>
      </c>
      <c r="D3032">
        <v>5.2567599999999999</v>
      </c>
      <c r="E3032">
        <v>0.50015410000000005</v>
      </c>
      <c r="F3032" t="s">
        <v>55</v>
      </c>
      <c r="G3032">
        <v>-385.43290000000002</v>
      </c>
      <c r="H3032" s="1">
        <v>1.3644419999999999E-6</v>
      </c>
      <c r="I3032">
        <v>214.38509999999999</v>
      </c>
      <c r="J3032">
        <v>-402.10750000000002</v>
      </c>
      <c r="K3032">
        <v>1.12046</v>
      </c>
      <c r="L3032">
        <v>214.4376</v>
      </c>
      <c r="M3032">
        <v>0.99992530000000002</v>
      </c>
      <c r="N3032">
        <v>-1.1110510000000001E-2</v>
      </c>
      <c r="O3032">
        <v>5.0926269999999997E-3</v>
      </c>
      <c r="P3032">
        <v>0.99072229999999994</v>
      </c>
      <c r="Q3032">
        <v>-0.13583020000000001</v>
      </c>
      <c r="R3032">
        <v>-4.4434440000000004E-3</v>
      </c>
      <c r="S3032">
        <v>3.0009160000000001</v>
      </c>
      <c r="T3032">
        <v>-0.19892979999999999</v>
      </c>
      <c r="U3032">
        <v>-9.1094969999999994E-3</v>
      </c>
      <c r="V3032">
        <v>9.4870230000000007E-3</v>
      </c>
      <c r="W3032">
        <v>-0.12481490000000001</v>
      </c>
      <c r="X3032">
        <v>0.99213470000000004</v>
      </c>
      <c r="Y3032">
        <v>8.0999290000000005E-3</v>
      </c>
      <c r="Z3032">
        <v>-5.9391800000000003E-4</v>
      </c>
      <c r="AA3032">
        <v>0.99996700000000005</v>
      </c>
      <c r="AB3032">
        <v>23</v>
      </c>
      <c r="AC3032">
        <v>16.674599999999899</v>
      </c>
      <c r="AD3032">
        <v>-1.120458635558</v>
      </c>
      <c r="AE3032">
        <v>-5.2500000000008998E-2</v>
      </c>
      <c r="AF3032">
        <v>0.13680438127634401</v>
      </c>
      <c r="AG3032">
        <v>-1.120458635558</v>
      </c>
      <c r="AH3032">
        <v>16.599167887599801</v>
      </c>
      <c r="AI3032">
        <v>93.861527526892104</v>
      </c>
      <c r="AJ3032">
        <v>89.527799450262506</v>
      </c>
      <c r="AK3032">
        <v>16.637503344957</v>
      </c>
      <c r="AL3032">
        <v>97.170066526364295</v>
      </c>
      <c r="AM3032">
        <v>89.452141113782005</v>
      </c>
      <c r="AN3032">
        <v>1.00000001290575</v>
      </c>
    </row>
    <row r="3033" spans="1:40" x14ac:dyDescent="0.25">
      <c r="A3033" t="str">
        <f>"20190303154529125"</f>
        <v>20190303154529125</v>
      </c>
      <c r="B3033" t="str">
        <f>"1551599129113283"</f>
        <v>1551599129113283</v>
      </c>
      <c r="C3033" t="s">
        <v>40</v>
      </c>
      <c r="D3033">
        <v>5.2727259999999996</v>
      </c>
      <c r="E3033">
        <v>0.50011070000000002</v>
      </c>
      <c r="F3033" t="s">
        <v>55</v>
      </c>
      <c r="G3033">
        <v>-385.12849999999997</v>
      </c>
      <c r="H3033" s="1">
        <v>1.2017310000000001E-6</v>
      </c>
      <c r="I3033">
        <v>214.4016</v>
      </c>
      <c r="J3033">
        <v>-401.86739999999998</v>
      </c>
      <c r="K3033">
        <v>1.1204240000000001</v>
      </c>
      <c r="L3033">
        <v>214.43879999999999</v>
      </c>
      <c r="M3033">
        <v>0.99992840000000005</v>
      </c>
      <c r="N3033">
        <v>-1.081616E-2</v>
      </c>
      <c r="O3033">
        <v>5.1077229999999998E-3</v>
      </c>
      <c r="P3033">
        <v>0.99085409999999996</v>
      </c>
      <c r="Q3033">
        <v>-0.13486119999999999</v>
      </c>
      <c r="R3033">
        <v>-4.5577600000000001E-3</v>
      </c>
      <c r="S3033">
        <v>3.0008849999999998</v>
      </c>
      <c r="T3033">
        <v>-0.1980305</v>
      </c>
      <c r="U3033">
        <v>-6.3629150000000002E-3</v>
      </c>
      <c r="V3033">
        <v>9.6169489999999996E-3</v>
      </c>
      <c r="W3033">
        <v>-0.1241367</v>
      </c>
      <c r="X3033">
        <v>0.99221859999999995</v>
      </c>
      <c r="Y3033">
        <v>7.2023209999999898E-3</v>
      </c>
      <c r="Z3033">
        <v>-5.5788339999999896E-4</v>
      </c>
      <c r="AA3033">
        <v>0.99997389999999997</v>
      </c>
      <c r="AB3033">
        <v>24</v>
      </c>
      <c r="AC3033">
        <v>16.738900000000001</v>
      </c>
      <c r="AD3033">
        <v>-1.120422798269</v>
      </c>
      <c r="AE3033">
        <v>-3.7199999999984301E-2</v>
      </c>
      <c r="AF3033">
        <v>0.12215489421207799</v>
      </c>
      <c r="AG3033">
        <v>-1.120422798269</v>
      </c>
      <c r="AH3033">
        <v>16.663832498331299</v>
      </c>
      <c r="AI3033">
        <v>93.846492342367597</v>
      </c>
      <c r="AJ3033">
        <v>89.579998507385397</v>
      </c>
      <c r="AK3033">
        <v>16.701903562094401</v>
      </c>
      <c r="AL3033">
        <v>97.130903479853103</v>
      </c>
      <c r="AM3033">
        <v>89.444685539944899</v>
      </c>
      <c r="AN3033">
        <v>1.0000000780904501</v>
      </c>
    </row>
    <row r="3034" spans="1:40" x14ac:dyDescent="0.25">
      <c r="A3034" t="str">
        <f>"20190303154529147"</f>
        <v>20190303154529147</v>
      </c>
      <c r="B3034" t="str">
        <f>"1551599129143539"</f>
        <v>1551599129143539</v>
      </c>
      <c r="C3034" t="s">
        <v>40</v>
      </c>
      <c r="D3034">
        <v>5.2865949999999904</v>
      </c>
      <c r="E3034">
        <v>0.5001118</v>
      </c>
      <c r="F3034" t="s">
        <v>55</v>
      </c>
      <c r="G3034">
        <v>-384.69310000000002</v>
      </c>
      <c r="H3034" s="1">
        <v>9.6986699999999996E-7</v>
      </c>
      <c r="I3034">
        <v>214.40469999999999</v>
      </c>
      <c r="J3034">
        <v>-401.6345</v>
      </c>
      <c r="K3034">
        <v>1.1203939999999999</v>
      </c>
      <c r="L3034">
        <v>214.44</v>
      </c>
      <c r="M3034">
        <v>0.99993129999999997</v>
      </c>
      <c r="N3034">
        <v>-1.0548770000000001E-2</v>
      </c>
      <c r="O3034">
        <v>5.1227490000000002E-3</v>
      </c>
      <c r="P3034">
        <v>0.99092060000000004</v>
      </c>
      <c r="Q3034">
        <v>-0.1343654</v>
      </c>
      <c r="R3034">
        <v>-4.7602069999999998E-3</v>
      </c>
      <c r="S3034">
        <v>3.001007</v>
      </c>
      <c r="T3034">
        <v>-0.19578019999999999</v>
      </c>
      <c r="U3034">
        <v>-5.9661870000000004E-3</v>
      </c>
      <c r="V3034">
        <v>9.8345610000000003E-3</v>
      </c>
      <c r="W3034">
        <v>-0.1239055</v>
      </c>
      <c r="X3034">
        <v>0.9922453</v>
      </c>
      <c r="Y3034">
        <v>7.0858999999999896E-3</v>
      </c>
      <c r="Z3034">
        <v>-5.4816160000000001E-4</v>
      </c>
      <c r="AA3034">
        <v>0.99997469999999999</v>
      </c>
      <c r="AB3034">
        <v>24</v>
      </c>
      <c r="AC3034">
        <v>16.941399999999899</v>
      </c>
      <c r="AD3034">
        <v>-1.1203930301330001</v>
      </c>
      <c r="AE3034">
        <v>-3.53000000000065E-2</v>
      </c>
      <c r="AF3034">
        <v>0.12155924729213</v>
      </c>
      <c r="AG3034">
        <v>-1.1203930301330001</v>
      </c>
      <c r="AH3034">
        <v>16.8672261241718</v>
      </c>
      <c r="AI3034">
        <v>93.800148848059806</v>
      </c>
      <c r="AJ3034">
        <v>89.587086151430995</v>
      </c>
      <c r="AK3034">
        <v>16.904832868635999</v>
      </c>
      <c r="AL3034">
        <v>97.117554092705703</v>
      </c>
      <c r="AM3034">
        <v>89.432135996614207</v>
      </c>
      <c r="AN3034">
        <v>1.0000000134461999</v>
      </c>
    </row>
    <row r="3035" spans="1:40" x14ac:dyDescent="0.25">
      <c r="A3035" t="str">
        <f>"20190303154529170"</f>
        <v>20190303154529170</v>
      </c>
      <c r="B3035" t="str">
        <f>"1551599129164036"</f>
        <v>1551599129164036</v>
      </c>
      <c r="C3035" t="s">
        <v>40</v>
      </c>
      <c r="D3035">
        <v>5.2449770000000004</v>
      </c>
      <c r="E3035">
        <v>0.50006969999999995</v>
      </c>
      <c r="F3035" t="s">
        <v>55</v>
      </c>
      <c r="G3035">
        <v>-384.30509999999998</v>
      </c>
      <c r="H3035" s="1">
        <v>7.6364469999999897E-7</v>
      </c>
      <c r="I3035">
        <v>214.40010000000001</v>
      </c>
      <c r="J3035">
        <v>-401.38990000000001</v>
      </c>
      <c r="K3035">
        <v>1.1203650000000001</v>
      </c>
      <c r="L3035">
        <v>214.44130000000001</v>
      </c>
      <c r="M3035">
        <v>0.99993399999999999</v>
      </c>
      <c r="N3035">
        <v>-1.028946E-2</v>
      </c>
      <c r="O3035">
        <v>5.1385930000000003E-3</v>
      </c>
      <c r="P3035">
        <v>0.9910061</v>
      </c>
      <c r="Q3035">
        <v>-0.1337053</v>
      </c>
      <c r="R3035">
        <v>-5.4933819999999998E-3</v>
      </c>
      <c r="S3035">
        <v>3.0011899999999998</v>
      </c>
      <c r="T3035">
        <v>-0.1940354</v>
      </c>
      <c r="U3035">
        <v>-6.9122309999999996E-3</v>
      </c>
      <c r="V3035">
        <v>1.058394E-2</v>
      </c>
      <c r="W3035">
        <v>-0.1235019</v>
      </c>
      <c r="X3035">
        <v>0.9922879</v>
      </c>
      <c r="Y3035">
        <v>7.4164399999999998E-3</v>
      </c>
      <c r="Z3035">
        <v>-5.5674800000000003E-4</v>
      </c>
      <c r="AA3035">
        <v>0.99997230000000004</v>
      </c>
      <c r="AB3035">
        <v>24</v>
      </c>
      <c r="AC3035">
        <v>17.084800000000001</v>
      </c>
      <c r="AD3035">
        <v>-1.1203642363552999</v>
      </c>
      <c r="AE3035">
        <v>-4.1200000000003401E-2</v>
      </c>
      <c r="AF3035">
        <v>0.128443582412956</v>
      </c>
      <c r="AG3035">
        <v>-1.1203642363552999</v>
      </c>
      <c r="AH3035">
        <v>17.0112098232349</v>
      </c>
      <c r="AI3035">
        <v>93.767971174712898</v>
      </c>
      <c r="AJ3035">
        <v>89.567394946790301</v>
      </c>
      <c r="AK3035">
        <v>17.048547545937499</v>
      </c>
      <c r="AL3035">
        <v>97.094250566555999</v>
      </c>
      <c r="AM3035">
        <v>89.388894999774706</v>
      </c>
      <c r="AN3035">
        <v>1.00000000778797</v>
      </c>
    </row>
    <row r="3036" spans="1:40" x14ac:dyDescent="0.25">
      <c r="A3036" t="str">
        <f>"20190303154529193"</f>
        <v>20190303154529193</v>
      </c>
      <c r="B3036" t="str">
        <f>"1551599129183524"</f>
        <v>1551599129183524</v>
      </c>
      <c r="C3036" t="s">
        <v>40</v>
      </c>
      <c r="D3036">
        <v>5.2437110000000002</v>
      </c>
      <c r="E3036">
        <v>0.50002049999999998</v>
      </c>
      <c r="F3036" t="s">
        <v>55</v>
      </c>
      <c r="G3036">
        <v>-383.91300000000001</v>
      </c>
      <c r="H3036" s="1">
        <v>5.5533749999999998E-7</v>
      </c>
      <c r="I3036">
        <v>214.39169999999999</v>
      </c>
      <c r="J3036">
        <v>-401.14749999999998</v>
      </c>
      <c r="K3036">
        <v>1.12035</v>
      </c>
      <c r="L3036">
        <v>214.4425</v>
      </c>
      <c r="M3036">
        <v>0.99993620000000005</v>
      </c>
      <c r="N3036">
        <v>-1.005575E-2</v>
      </c>
      <c r="O3036">
        <v>5.1543939999999996E-3</v>
      </c>
      <c r="P3036">
        <v>0.9910312</v>
      </c>
      <c r="Q3036">
        <v>-0.13350100000000001</v>
      </c>
      <c r="R3036">
        <v>-5.8826240000000004E-3</v>
      </c>
      <c r="S3036">
        <v>3.0012210000000001</v>
      </c>
      <c r="T3036">
        <v>-0.1923947</v>
      </c>
      <c r="U3036">
        <v>-8.5144039999999997E-3</v>
      </c>
      <c r="V3036">
        <v>1.0988980000000001E-2</v>
      </c>
      <c r="W3036">
        <v>-0.12352929999999999</v>
      </c>
      <c r="X3036">
        <v>0.9922801</v>
      </c>
      <c r="Y3036">
        <v>7.9651240000000005E-3</v>
      </c>
      <c r="Z3036">
        <v>-5.7343529999999995E-4</v>
      </c>
      <c r="AA3036">
        <v>0.99996810000000003</v>
      </c>
      <c r="AB3036">
        <v>24</v>
      </c>
      <c r="AC3036">
        <v>17.234499999999901</v>
      </c>
      <c r="AD3036">
        <v>-1.1203494446625</v>
      </c>
      <c r="AE3036">
        <v>-5.0800000000009497E-2</v>
      </c>
      <c r="AF3036">
        <v>0.139049624443422</v>
      </c>
      <c r="AG3036">
        <v>-1.1203494446625</v>
      </c>
      <c r="AH3036">
        <v>17.161488673580699</v>
      </c>
      <c r="AI3036">
        <v>93.7350045469137</v>
      </c>
      <c r="AJ3036">
        <v>89.535775570503901</v>
      </c>
      <c r="AK3036">
        <v>17.198581661568898</v>
      </c>
      <c r="AL3036">
        <v>97.095832489000699</v>
      </c>
      <c r="AM3036">
        <v>89.365505327316598</v>
      </c>
      <c r="AN3036">
        <v>1.0000000212479601</v>
      </c>
    </row>
    <row r="3037" spans="1:40" x14ac:dyDescent="0.25">
      <c r="A3037" t="str">
        <f>"20190303154529238"</f>
        <v>20190303154529238</v>
      </c>
      <c r="B3037" t="str">
        <f>"1551599129233301"</f>
        <v>1551599129233301</v>
      </c>
      <c r="C3037" t="s">
        <v>40</v>
      </c>
      <c r="D3037">
        <v>5.2365409999999999</v>
      </c>
      <c r="E3037">
        <v>0.4998939</v>
      </c>
      <c r="F3037" t="s">
        <v>55</v>
      </c>
      <c r="G3037">
        <v>-383.6626</v>
      </c>
      <c r="H3037" s="1">
        <v>4.222211E-7</v>
      </c>
      <c r="I3037">
        <v>214.38839999999999</v>
      </c>
      <c r="J3037">
        <v>-400.67869999999999</v>
      </c>
      <c r="K3037">
        <v>1.1203190000000001</v>
      </c>
      <c r="L3037">
        <v>214.44499999999999</v>
      </c>
      <c r="M3037">
        <v>0.99993980000000005</v>
      </c>
      <c r="N3037">
        <v>-9.6646990000000006E-3</v>
      </c>
      <c r="O3037">
        <v>5.1845900000000002E-3</v>
      </c>
      <c r="P3037">
        <v>0.99116439999999995</v>
      </c>
      <c r="Q3037">
        <v>-0.13250499999999901</v>
      </c>
      <c r="R3037">
        <v>-5.9418099999999996E-3</v>
      </c>
      <c r="S3037">
        <v>3.0012210000000001</v>
      </c>
      <c r="T3037">
        <v>-0.19230439999999999</v>
      </c>
      <c r="U3037">
        <v>-9.292603E-3</v>
      </c>
      <c r="V3037">
        <v>1.107905E-2</v>
      </c>
      <c r="W3037">
        <v>-0.1229201</v>
      </c>
      <c r="X3037">
        <v>0.99235479999999998</v>
      </c>
      <c r="Y3037">
        <v>8.2538750000000008E-3</v>
      </c>
      <c r="Z3037">
        <v>-5.8589540000000004E-4</v>
      </c>
      <c r="AA3037">
        <v>0.99996580000000002</v>
      </c>
      <c r="AB3037">
        <v>24</v>
      </c>
      <c r="AC3037">
        <v>17.016099999999899</v>
      </c>
      <c r="AD3037">
        <v>-1.1203185777789</v>
      </c>
      <c r="AE3037">
        <v>-5.6600000000003002E-2</v>
      </c>
      <c r="AF3037">
        <v>0.14419980479351899</v>
      </c>
      <c r="AG3037">
        <v>-1.1203185777789</v>
      </c>
      <c r="AH3037">
        <v>16.9421388709982</v>
      </c>
      <c r="AI3037">
        <v>93.783105355258002</v>
      </c>
      <c r="AJ3037">
        <v>89.512349604409494</v>
      </c>
      <c r="AK3037">
        <v>16.979751965903599</v>
      </c>
      <c r="AL3037">
        <v>97.060659477168201</v>
      </c>
      <c r="AM3037">
        <v>89.360353339301795</v>
      </c>
      <c r="AN3037">
        <v>1.0000000727079701</v>
      </c>
    </row>
    <row r="3038" spans="1:40" x14ac:dyDescent="0.25">
      <c r="A3038" t="str">
        <f>"20190303154529259"</f>
        <v>20190303154529259</v>
      </c>
      <c r="B3038" t="str">
        <f>"1551599129253796"</f>
        <v>1551599129253796</v>
      </c>
      <c r="C3038" t="s">
        <v>40</v>
      </c>
      <c r="D3038">
        <v>5.2542900000000001</v>
      </c>
      <c r="E3038">
        <v>0.49982569999999998</v>
      </c>
      <c r="F3038" t="s">
        <v>55</v>
      </c>
      <c r="G3038">
        <v>-383.02760000000001</v>
      </c>
      <c r="H3038" s="1">
        <v>8.4072779999999997E-8</v>
      </c>
      <c r="I3038">
        <v>214.39439999999999</v>
      </c>
      <c r="J3038">
        <v>-400.43579999999997</v>
      </c>
      <c r="K3038">
        <v>1.1203000000000001</v>
      </c>
      <c r="L3038">
        <v>214.44630000000001</v>
      </c>
      <c r="M3038">
        <v>0.99994159999999999</v>
      </c>
      <c r="N3038">
        <v>-9.4863970000000006E-3</v>
      </c>
      <c r="O3038">
        <v>5.2001139999999996E-3</v>
      </c>
      <c r="P3038">
        <v>0.99119120000000005</v>
      </c>
      <c r="Q3038">
        <v>-0.1323144</v>
      </c>
      <c r="R3038">
        <v>-5.7659540000000002E-3</v>
      </c>
      <c r="S3038">
        <v>3.0012509999999999</v>
      </c>
      <c r="T3038">
        <v>-0.1904904</v>
      </c>
      <c r="U3038">
        <v>-8.6059569999999991E-3</v>
      </c>
      <c r="V3038">
        <v>1.091871E-2</v>
      </c>
      <c r="W3038">
        <v>-0.12290619999999999</v>
      </c>
      <c r="X3038">
        <v>0.99235819999999997</v>
      </c>
      <c r="Y3038">
        <v>8.0415580000000007E-3</v>
      </c>
      <c r="Z3038">
        <v>-5.7356140000000002E-4</v>
      </c>
      <c r="AA3038">
        <v>0.99996750000000001</v>
      </c>
      <c r="AB3038">
        <v>24</v>
      </c>
      <c r="AC3038">
        <v>17.408199999999901</v>
      </c>
      <c r="AD3038">
        <v>-1.12029991592722</v>
      </c>
      <c r="AE3038">
        <v>-5.1900000000017599E-2</v>
      </c>
      <c r="AF3038">
        <v>0.14184055379042201</v>
      </c>
      <c r="AG3038">
        <v>-1.12029991592722</v>
      </c>
      <c r="AH3038">
        <v>17.3358981958574</v>
      </c>
      <c r="AI3038">
        <v>93.697367538303993</v>
      </c>
      <c r="AJ3038">
        <v>89.531222226581903</v>
      </c>
      <c r="AK3038">
        <v>17.372638167574301</v>
      </c>
      <c r="AL3038">
        <v>97.059857676589004</v>
      </c>
      <c r="AM3038">
        <v>89.369611943164898</v>
      </c>
      <c r="AN3038">
        <v>0.99999997466687096</v>
      </c>
    </row>
    <row r="3039" spans="1:40" x14ac:dyDescent="0.25">
      <c r="A3039" t="str">
        <f>"20190303154529282"</f>
        <v>20190303154529282</v>
      </c>
      <c r="B3039" t="str">
        <f>"1551599129274190"</f>
        <v>1551599129274190</v>
      </c>
      <c r="C3039" t="s">
        <v>40</v>
      </c>
      <c r="D3039">
        <v>5.2504119999999999</v>
      </c>
      <c r="E3039">
        <v>0.49974249999999998</v>
      </c>
      <c r="F3039" t="s">
        <v>55</v>
      </c>
      <c r="G3039">
        <v>-382.7996</v>
      </c>
      <c r="H3039" s="1">
        <v>-3.7534930000000002E-8</v>
      </c>
      <c r="I3039">
        <v>214.4006</v>
      </c>
      <c r="J3039">
        <v>-400.19900000000001</v>
      </c>
      <c r="K3039">
        <v>1.1202810000000001</v>
      </c>
      <c r="L3039">
        <v>214.44749999999999</v>
      </c>
      <c r="M3039">
        <v>0.99994289999999997</v>
      </c>
      <c r="N3039">
        <v>-9.3263589999999993E-3</v>
      </c>
      <c r="O3039">
        <v>5.2156540000000001E-3</v>
      </c>
      <c r="P3039">
        <v>0.99120989999999998</v>
      </c>
      <c r="Q3039">
        <v>-0.13218849999999999</v>
      </c>
      <c r="R3039">
        <v>-5.4203860000000001E-3</v>
      </c>
      <c r="S3039">
        <v>3.00116</v>
      </c>
      <c r="T3039">
        <v>-0.1906427</v>
      </c>
      <c r="U3039">
        <v>-7.766724E-3</v>
      </c>
      <c r="V3039">
        <v>1.058854E-2</v>
      </c>
      <c r="W3039">
        <v>-0.1229389</v>
      </c>
      <c r="X3039">
        <v>0.99235770000000001</v>
      </c>
      <c r="Y3039">
        <v>7.7780929999999998E-3</v>
      </c>
      <c r="Z3039">
        <v>-5.654853E-4</v>
      </c>
      <c r="AA3039">
        <v>0.99996960000000001</v>
      </c>
      <c r="AB3039">
        <v>24</v>
      </c>
      <c r="AC3039">
        <v>17.3994</v>
      </c>
      <c r="AD3039">
        <v>-1.1202810375349299</v>
      </c>
      <c r="AE3039">
        <v>-4.6899999999993697E-2</v>
      </c>
      <c r="AF3039">
        <v>0.13708426995801501</v>
      </c>
      <c r="AG3039">
        <v>-1.1202810375349299</v>
      </c>
      <c r="AH3039">
        <v>17.327088364924101</v>
      </c>
      <c r="AI3039">
        <v>93.699188079721196</v>
      </c>
      <c r="AJ3039">
        <v>89.546710556798203</v>
      </c>
      <c r="AK3039">
        <v>17.3638075578491</v>
      </c>
      <c r="AL3039">
        <v>97.061745758479404</v>
      </c>
      <c r="AM3039">
        <v>89.388672420052501</v>
      </c>
      <c r="AN3039">
        <v>0.99999994753091404</v>
      </c>
    </row>
    <row r="3040" spans="1:40" x14ac:dyDescent="0.25">
      <c r="A3040" t="str">
        <f>"20190303154529326"</f>
        <v>20190303154529326</v>
      </c>
      <c r="B3040" t="str">
        <f>"1551599129323966"</f>
        <v>1551599129323966</v>
      </c>
      <c r="C3040" t="s">
        <v>40</v>
      </c>
      <c r="D3040">
        <v>5.2435980000000004</v>
      </c>
      <c r="E3040">
        <v>0.4995252</v>
      </c>
      <c r="F3040" t="s">
        <v>55</v>
      </c>
      <c r="G3040">
        <v>-382.608</v>
      </c>
      <c r="H3040" s="1">
        <v>-1.39920299999999E-7</v>
      </c>
      <c r="I3040">
        <v>214.40979999999999</v>
      </c>
      <c r="J3040">
        <v>-399.71260000000001</v>
      </c>
      <c r="K3040">
        <v>1.1202589999999999</v>
      </c>
      <c r="L3040">
        <v>214.45009999999999</v>
      </c>
      <c r="M3040">
        <v>0.99994559999999999</v>
      </c>
      <c r="N3040">
        <v>-9.0312139999999992E-3</v>
      </c>
      <c r="O3040">
        <v>5.2471189999999997E-3</v>
      </c>
      <c r="P3040">
        <v>0.99111780000000005</v>
      </c>
      <c r="Q3040">
        <v>-0.13283789999999901</v>
      </c>
      <c r="R3040">
        <v>-6.3126939999999998E-3</v>
      </c>
      <c r="S3040">
        <v>3.0010680000000001</v>
      </c>
      <c r="T3040">
        <v>-0.19112280000000001</v>
      </c>
      <c r="U3040">
        <v>-6.4392090000000004E-3</v>
      </c>
      <c r="V3040">
        <v>1.1511540000000001E-2</v>
      </c>
      <c r="W3040">
        <v>-0.12388200000000001</v>
      </c>
      <c r="X3040">
        <v>0.99223019999999995</v>
      </c>
      <c r="Y3040">
        <v>7.3680489999999998E-3</v>
      </c>
      <c r="Z3040">
        <v>-5.5416489999999998E-4</v>
      </c>
      <c r="AA3040">
        <v>0.99997270000000005</v>
      </c>
      <c r="AB3040">
        <v>24</v>
      </c>
      <c r="AC3040">
        <v>17.104600000000001</v>
      </c>
      <c r="AD3040">
        <v>-1.1202591399202999</v>
      </c>
      <c r="AE3040">
        <v>-4.0300000000002001E-2</v>
      </c>
      <c r="AF3040">
        <v>0.129497481710041</v>
      </c>
      <c r="AG3040">
        <v>-1.1202591399202999</v>
      </c>
      <c r="AH3040">
        <v>17.031097806399501</v>
      </c>
      <c r="AI3040">
        <v>93.763230258216495</v>
      </c>
      <c r="AJ3040">
        <v>89.564354790236905</v>
      </c>
      <c r="AK3040">
        <v>17.068393088673901</v>
      </c>
      <c r="AL3040">
        <v>97.116197157656501</v>
      </c>
      <c r="AM3040">
        <v>89.335302364392604</v>
      </c>
      <c r="AN3040">
        <v>1.0000000176346</v>
      </c>
    </row>
    <row r="3041" spans="1:40" x14ac:dyDescent="0.25">
      <c r="A3041" t="str">
        <f>"20190303154529348"</f>
        <v>20190303154529348</v>
      </c>
      <c r="B3041" t="str">
        <f>"1551599129344462"</f>
        <v>1551599129344462</v>
      </c>
      <c r="C3041" t="s">
        <v>40</v>
      </c>
      <c r="D3041">
        <v>5.2169150000000002</v>
      </c>
      <c r="E3041">
        <v>0.4994497</v>
      </c>
      <c r="F3041" t="s">
        <v>55</v>
      </c>
      <c r="G3041">
        <v>-382.4298</v>
      </c>
      <c r="H3041" s="1">
        <v>-2.3466210000000001E-7</v>
      </c>
      <c r="I3041">
        <v>214.4083</v>
      </c>
      <c r="J3041">
        <v>-399.48950000000002</v>
      </c>
      <c r="K3041">
        <v>1.120244</v>
      </c>
      <c r="L3041">
        <v>214.4513</v>
      </c>
      <c r="M3041">
        <v>0.99994649999999996</v>
      </c>
      <c r="N3041">
        <v>-8.9131430000000001E-3</v>
      </c>
      <c r="O3041">
        <v>5.2614209999999996E-3</v>
      </c>
      <c r="P3041">
        <v>0.99108240000000003</v>
      </c>
      <c r="Q3041">
        <v>-0.13308059999999999</v>
      </c>
      <c r="R3041">
        <v>-6.7319750000000003E-3</v>
      </c>
      <c r="S3041">
        <v>3.0007630000000001</v>
      </c>
      <c r="T3041">
        <v>-0.19450709999999999</v>
      </c>
      <c r="U3041">
        <v>-7.2631839999999998E-3</v>
      </c>
      <c r="V3041">
        <v>1.194484E-2</v>
      </c>
      <c r="W3041">
        <v>-0.1242423</v>
      </c>
      <c r="X3041">
        <v>0.99217999999999995</v>
      </c>
      <c r="Y3041">
        <v>7.6555269999999996E-3</v>
      </c>
      <c r="Z3041">
        <v>-5.7583919999999896E-4</v>
      </c>
      <c r="AA3041">
        <v>0.99997060000000004</v>
      </c>
      <c r="AB3041">
        <v>24</v>
      </c>
      <c r="AC3041">
        <v>17.059699999999999</v>
      </c>
      <c r="AD3041">
        <v>-1.1202442346621</v>
      </c>
      <c r="AE3041">
        <v>-4.3000000000006297E-2</v>
      </c>
      <c r="AF3041">
        <v>0.13219121835372899</v>
      </c>
      <c r="AG3041">
        <v>-1.1202442346621</v>
      </c>
      <c r="AH3041">
        <v>16.985993803295301</v>
      </c>
      <c r="AI3041">
        <v>93.773138945644703</v>
      </c>
      <c r="AJ3041">
        <v>89.554112282939698</v>
      </c>
      <c r="AK3041">
        <v>17.023407624476601</v>
      </c>
      <c r="AL3041">
        <v>97.137001747867401</v>
      </c>
      <c r="AM3041">
        <v>89.310250299972907</v>
      </c>
      <c r="AN3041">
        <v>0.99999999035595699</v>
      </c>
    </row>
    <row r="3042" spans="1:40" x14ac:dyDescent="0.25">
      <c r="A3042" t="str">
        <f>"20190303154529369"</f>
        <v>20190303154529369</v>
      </c>
      <c r="B3042" t="str">
        <f>"1551599129363982"</f>
        <v>1551599129363982</v>
      </c>
      <c r="C3042" t="s">
        <v>40</v>
      </c>
      <c r="D3042">
        <v>5.2221780000000004</v>
      </c>
      <c r="E3042">
        <v>0.4993571</v>
      </c>
      <c r="F3042" t="s">
        <v>55</v>
      </c>
      <c r="G3042">
        <v>-382.28730000000002</v>
      </c>
      <c r="H3042" s="1">
        <v>-3.1039319999999998E-7</v>
      </c>
      <c r="I3042">
        <v>214.40530000000001</v>
      </c>
      <c r="J3042">
        <v>-399.24110000000002</v>
      </c>
      <c r="K3042">
        <v>1.1202369999999999</v>
      </c>
      <c r="L3042">
        <v>214.45259999999999</v>
      </c>
      <c r="M3042">
        <v>0.99994729999999998</v>
      </c>
      <c r="N3042">
        <v>-8.7968719999999903E-3</v>
      </c>
      <c r="O3042">
        <v>5.2776159999999997E-3</v>
      </c>
      <c r="P3042">
        <v>0.99111369999999999</v>
      </c>
      <c r="Q3042">
        <v>-0.13284879999999999</v>
      </c>
      <c r="R3042">
        <v>-6.7190829999999998E-3</v>
      </c>
      <c r="S3042">
        <v>3.000702</v>
      </c>
      <c r="T3042">
        <v>-0.195412</v>
      </c>
      <c r="U3042">
        <v>-8.0261229999999996E-3</v>
      </c>
      <c r="V3042">
        <v>1.194801E-2</v>
      </c>
      <c r="W3042">
        <v>-0.1241255</v>
      </c>
      <c r="X3042">
        <v>0.99219460000000004</v>
      </c>
      <c r="Y3042">
        <v>7.9250810000000005E-3</v>
      </c>
      <c r="Z3042">
        <v>-5.8961579999999999E-4</v>
      </c>
      <c r="AA3042">
        <v>0.99996839999999998</v>
      </c>
      <c r="AB3042">
        <v>24</v>
      </c>
      <c r="AC3042">
        <v>16.953800000000001</v>
      </c>
      <c r="AD3042">
        <v>-1.1202373103932</v>
      </c>
      <c r="AE3042">
        <v>-4.7299999999978498E-2</v>
      </c>
      <c r="AF3042">
        <v>0.13618387947327801</v>
      </c>
      <c r="AG3042">
        <v>-1.1202373103932</v>
      </c>
      <c r="AH3042">
        <v>16.879618014122499</v>
      </c>
      <c r="AI3042">
        <v>93.796816061913304</v>
      </c>
      <c r="AJ3042">
        <v>89.537750662777697</v>
      </c>
      <c r="AK3042">
        <v>16.917298306269601</v>
      </c>
      <c r="AL3042">
        <v>97.130257257114195</v>
      </c>
      <c r="AM3042">
        <v>89.310077418643601</v>
      </c>
      <c r="AN3042">
        <v>1.0000000094811801</v>
      </c>
    </row>
    <row r="3043" spans="1:40" x14ac:dyDescent="0.25">
      <c r="A3043" t="str">
        <f>"20190303154529392"</f>
        <v>20190303154529392</v>
      </c>
      <c r="B3043" t="str">
        <f>"1551599129383628"</f>
        <v>1551599129383628</v>
      </c>
      <c r="C3043" t="s">
        <v>40</v>
      </c>
      <c r="D3043">
        <v>5.1985270000000003</v>
      </c>
      <c r="E3043">
        <v>0.4992779</v>
      </c>
      <c r="F3043" t="s">
        <v>55</v>
      </c>
      <c r="G3043">
        <v>-381.97280000000001</v>
      </c>
      <c r="H3043" s="1">
        <v>-4.7806649999999995E-7</v>
      </c>
      <c r="I3043">
        <v>214.41239999999999</v>
      </c>
      <c r="J3043">
        <v>-399.00439999999998</v>
      </c>
      <c r="K3043">
        <v>1.1202240000000001</v>
      </c>
      <c r="L3043">
        <v>214.4539</v>
      </c>
      <c r="M3043">
        <v>0.99994819999999995</v>
      </c>
      <c r="N3043">
        <v>-8.7001869999999999E-3</v>
      </c>
      <c r="O3043">
        <v>5.2926450000000003E-3</v>
      </c>
      <c r="P3043">
        <v>0.99114650000000004</v>
      </c>
      <c r="Q3043">
        <v>-0.13260659999999999</v>
      </c>
      <c r="R3043">
        <v>-6.6613189999999997E-3</v>
      </c>
      <c r="S3043">
        <v>3.0007929999999998</v>
      </c>
      <c r="T3043">
        <v>-0.19466810000000001</v>
      </c>
      <c r="U3043">
        <v>-6.9885249999999998E-3</v>
      </c>
      <c r="V3043">
        <v>1.1905499999999999E-2</v>
      </c>
      <c r="W3043">
        <v>-0.12397909999999999</v>
      </c>
      <c r="X3043">
        <v>0.99221340000000002</v>
      </c>
      <c r="Y3043">
        <v>7.5952329999999998E-3</v>
      </c>
      <c r="Z3043">
        <v>-5.7615849999999996E-4</v>
      </c>
      <c r="AA3043">
        <v>0.99997100000000005</v>
      </c>
      <c r="AB3043">
        <v>24</v>
      </c>
      <c r="AC3043">
        <v>17.031599999999901</v>
      </c>
      <c r="AD3043">
        <v>-1.1202244780664901</v>
      </c>
      <c r="AE3043">
        <v>-4.1500000000013401E-2</v>
      </c>
      <c r="AF3043">
        <v>0.131077981617233</v>
      </c>
      <c r="AG3043">
        <v>-1.1202244780664901</v>
      </c>
      <c r="AH3043">
        <v>16.957780712172099</v>
      </c>
      <c r="AI3043">
        <v>93.779333314472694</v>
      </c>
      <c r="AJ3043">
        <v>89.557131579078202</v>
      </c>
      <c r="AK3043">
        <v>16.995246717851401</v>
      </c>
      <c r="AL3043">
        <v>97.121803964464704</v>
      </c>
      <c r="AM3043">
        <v>89.312544892883494</v>
      </c>
      <c r="AN3043">
        <v>0.99999999465330902</v>
      </c>
    </row>
    <row r="3044" spans="1:40" x14ac:dyDescent="0.25">
      <c r="A3044" t="str">
        <f>"20190303154529417"</f>
        <v>20190303154529417</v>
      </c>
      <c r="B3044" t="str">
        <f>"1551599129413883"</f>
        <v>1551599129413883</v>
      </c>
      <c r="C3044" t="s">
        <v>40</v>
      </c>
      <c r="D3044">
        <v>5.2836910000000001</v>
      </c>
      <c r="E3044">
        <v>0.49921300000000002</v>
      </c>
      <c r="F3044" t="s">
        <v>55</v>
      </c>
      <c r="G3044">
        <v>-381.68700000000001</v>
      </c>
      <c r="H3044" s="1">
        <v>-6.3045000000000004E-7</v>
      </c>
      <c r="I3044">
        <v>214.41970000000001</v>
      </c>
      <c r="J3044">
        <v>-398.72289999999998</v>
      </c>
      <c r="K3044">
        <v>1.120215</v>
      </c>
      <c r="L3044">
        <v>214.4554</v>
      </c>
      <c r="M3044">
        <v>0.99994899999999998</v>
      </c>
      <c r="N3044">
        <v>-8.6014719999999902E-3</v>
      </c>
      <c r="O3044">
        <v>5.3107179999999999E-3</v>
      </c>
      <c r="P3044">
        <v>0.99128479999999997</v>
      </c>
      <c r="Q3044">
        <v>-0.13160820000000001</v>
      </c>
      <c r="R3044">
        <v>-5.8233390000000003E-3</v>
      </c>
      <c r="S3044">
        <v>3.0007929999999998</v>
      </c>
      <c r="T3044">
        <v>-0.1941147</v>
      </c>
      <c r="U3044">
        <v>-5.9204100000000001E-3</v>
      </c>
      <c r="V3044">
        <v>1.108629E-2</v>
      </c>
      <c r="W3044">
        <v>-0.1230774</v>
      </c>
      <c r="X3044">
        <v>0.99233510000000003</v>
      </c>
      <c r="Y3044">
        <v>7.2582849999999997E-3</v>
      </c>
      <c r="Z3044">
        <v>-5.6330870000000002E-4</v>
      </c>
      <c r="AA3044">
        <v>0.99997349999999996</v>
      </c>
      <c r="AB3044">
        <v>24</v>
      </c>
      <c r="AC3044">
        <v>17.035900000000002</v>
      </c>
      <c r="AD3044">
        <v>-1.1202156304499999</v>
      </c>
      <c r="AE3044">
        <v>-3.5699999999991398E-2</v>
      </c>
      <c r="AF3044">
        <v>0.125632478944669</v>
      </c>
      <c r="AG3044">
        <v>-1.1202156304499999</v>
      </c>
      <c r="AH3044">
        <v>16.9621283488584</v>
      </c>
      <c r="AI3044">
        <v>93.778346877597698</v>
      </c>
      <c r="AJ3044">
        <v>89.575638207533004</v>
      </c>
      <c r="AK3044">
        <v>16.999543073318598</v>
      </c>
      <c r="AL3044">
        <v>97.069741922286298</v>
      </c>
      <c r="AM3044">
        <v>89.359922668552102</v>
      </c>
      <c r="AN3044">
        <v>0.99999995145436504</v>
      </c>
    </row>
    <row r="3045" spans="1:40" x14ac:dyDescent="0.25">
      <c r="A3045" t="str">
        <f>"20190303154529461"</f>
        <v>20190303154529461</v>
      </c>
      <c r="B3045" t="str">
        <f>"1551599129453900"</f>
        <v>1551599129453900</v>
      </c>
      <c r="C3045" t="s">
        <v>40</v>
      </c>
      <c r="D3045">
        <v>5.2000489999999999</v>
      </c>
      <c r="E3045">
        <v>0.49909779999999998</v>
      </c>
      <c r="F3045" t="s">
        <v>55</v>
      </c>
      <c r="G3045">
        <v>-381.16489999999999</v>
      </c>
      <c r="H3045" s="1">
        <v>-9.0902610000000002E-7</v>
      </c>
      <c r="I3045">
        <v>214.4366</v>
      </c>
      <c r="J3045">
        <v>-398.24299999999999</v>
      </c>
      <c r="K3045">
        <v>1.120207</v>
      </c>
      <c r="L3045">
        <v>214.458</v>
      </c>
      <c r="M3045">
        <v>0.99995009999999995</v>
      </c>
      <c r="N3045">
        <v>-8.4704040000000008E-3</v>
      </c>
      <c r="O3045">
        <v>5.3413829999999999E-3</v>
      </c>
      <c r="P3045">
        <v>0.99132659999999995</v>
      </c>
      <c r="Q3045">
        <v>-0.13136220000000001</v>
      </c>
      <c r="R3045">
        <v>-3.9876540000000002E-3</v>
      </c>
      <c r="S3045">
        <v>3.0009459999999999</v>
      </c>
      <c r="T3045">
        <v>-0.19146289999999999</v>
      </c>
      <c r="U3045">
        <v>-3.2043459999999998E-3</v>
      </c>
      <c r="V3045">
        <v>9.2813159999999995E-3</v>
      </c>
      <c r="W3045">
        <v>-0.122961</v>
      </c>
      <c r="X3045">
        <v>0.99236809999999998</v>
      </c>
      <c r="Y3045">
        <v>6.3864539999999997E-3</v>
      </c>
      <c r="Z3045">
        <v>-5.2583580000000005E-4</v>
      </c>
      <c r="AA3045">
        <v>0.99997950000000002</v>
      </c>
      <c r="AB3045">
        <v>24</v>
      </c>
      <c r="AC3045">
        <v>17.078099999999999</v>
      </c>
      <c r="AD3045">
        <v>-1.1202079090260999</v>
      </c>
      <c r="AE3045">
        <v>-2.1399999999999801E-2</v>
      </c>
      <c r="AF3045">
        <v>0.11214113494516099</v>
      </c>
      <c r="AG3045">
        <v>-1.1202079090260999</v>
      </c>
      <c r="AH3045">
        <v>17.004580413843499</v>
      </c>
      <c r="AI3045">
        <v>93.768936881814994</v>
      </c>
      <c r="AJ3045">
        <v>89.622153534977599</v>
      </c>
      <c r="AK3045">
        <v>17.041807311563598</v>
      </c>
      <c r="AL3045">
        <v>97.063021316669904</v>
      </c>
      <c r="AM3045">
        <v>89.464145682949905</v>
      </c>
      <c r="AN3045">
        <v>0.99999999812265095</v>
      </c>
    </row>
    <row r="3046" spans="1:40" x14ac:dyDescent="0.25">
      <c r="A3046" t="str">
        <f>"20190303154529484"</f>
        <v>20190303154529484</v>
      </c>
      <c r="B3046" t="str">
        <f>"1551599129473927"</f>
        <v>1551599129473927</v>
      </c>
      <c r="C3046" t="s">
        <v>40</v>
      </c>
      <c r="D3046">
        <v>5.1800699999999997</v>
      </c>
      <c r="E3046">
        <v>0.49903639999999999</v>
      </c>
      <c r="F3046" t="s">
        <v>55</v>
      </c>
      <c r="G3046">
        <v>-380.61860000000001</v>
      </c>
      <c r="H3046" s="1">
        <v>-1.201561E-6</v>
      </c>
      <c r="I3046">
        <v>214.47839999999999</v>
      </c>
      <c r="J3046">
        <v>-398.0009</v>
      </c>
      <c r="K3046">
        <v>1.1201989999999999</v>
      </c>
      <c r="L3046">
        <v>214.45930000000001</v>
      </c>
      <c r="M3046">
        <v>0.99995029999999996</v>
      </c>
      <c r="N3046">
        <v>-8.4200290000000007E-3</v>
      </c>
      <c r="O3046">
        <v>5.3565590000000003E-3</v>
      </c>
      <c r="P3046">
        <v>0.9913689</v>
      </c>
      <c r="Q3046">
        <v>-0.13104589999999999</v>
      </c>
      <c r="R3046">
        <v>-3.845902E-3</v>
      </c>
      <c r="S3046">
        <v>3.0009459999999999</v>
      </c>
      <c r="T3046">
        <v>-0.1907412</v>
      </c>
      <c r="U3046">
        <v>3.479004E-3</v>
      </c>
      <c r="V3046">
        <v>9.1547350000000006E-3</v>
      </c>
      <c r="W3046">
        <v>-0.12269430000000001</v>
      </c>
      <c r="X3046">
        <v>0.99240229999999996</v>
      </c>
      <c r="Y3046">
        <v>4.1797709999999997E-3</v>
      </c>
      <c r="Z3046">
        <v>-4.4537329999999999E-4</v>
      </c>
      <c r="AA3046">
        <v>0.99999119999999997</v>
      </c>
      <c r="AB3046">
        <v>25</v>
      </c>
      <c r="AC3046">
        <v>17.382299999999901</v>
      </c>
      <c r="AD3046">
        <v>-1.120200201561</v>
      </c>
      <c r="AE3046">
        <v>1.9099999999980299E-2</v>
      </c>
      <c r="AF3046">
        <v>7.3706767033483098E-2</v>
      </c>
      <c r="AG3046">
        <v>-1.120200201561</v>
      </c>
      <c r="AH3046">
        <v>17.3102610313491</v>
      </c>
      <c r="AI3046">
        <v>93.702589709815896</v>
      </c>
      <c r="AJ3046">
        <v>89.7560371190756</v>
      </c>
      <c r="AK3046">
        <v>17.346625555206</v>
      </c>
      <c r="AL3046">
        <v>97.047623840037502</v>
      </c>
      <c r="AM3046">
        <v>89.471471599590103</v>
      </c>
      <c r="AN3046">
        <v>1.0000000127353501</v>
      </c>
    </row>
    <row r="3047" spans="1:40" x14ac:dyDescent="0.25">
      <c r="A3047" t="str">
        <f>"20190303154529506"</f>
        <v>20190303154529506</v>
      </c>
      <c r="B3047" t="str">
        <f>"1551599129494423"</f>
        <v>1551599129494423</v>
      </c>
      <c r="C3047" t="s">
        <v>40</v>
      </c>
      <c r="D3047">
        <v>5.2216829999999996</v>
      </c>
      <c r="E3047">
        <v>0.49898019999999998</v>
      </c>
      <c r="F3047" t="s">
        <v>55</v>
      </c>
      <c r="G3047">
        <v>-380.28930000000003</v>
      </c>
      <c r="H3047" s="1">
        <v>-1.377059E-6</v>
      </c>
      <c r="I3047">
        <v>214.48429999999999</v>
      </c>
      <c r="J3047">
        <v>-397.75389999999999</v>
      </c>
      <c r="K3047">
        <v>1.120196</v>
      </c>
      <c r="L3047">
        <v>214.4607</v>
      </c>
      <c r="M3047">
        <v>0.99995049999999996</v>
      </c>
      <c r="N3047">
        <v>-8.3772240000000008E-3</v>
      </c>
      <c r="O3047">
        <v>5.3727130000000003E-3</v>
      </c>
      <c r="P3047">
        <v>0.99137359999999997</v>
      </c>
      <c r="Q3047">
        <v>-0.13100220000000001</v>
      </c>
      <c r="R3047">
        <v>-4.1127960000000002E-3</v>
      </c>
      <c r="S3047">
        <v>3.0010379999999999</v>
      </c>
      <c r="T3047">
        <v>-0.18980569999999999</v>
      </c>
      <c r="U3047">
        <v>4.2419429999999998E-3</v>
      </c>
      <c r="V3047">
        <v>9.4376530000000007E-3</v>
      </c>
      <c r="W3047">
        <v>-0.1226931</v>
      </c>
      <c r="X3047">
        <v>0.99239980000000005</v>
      </c>
      <c r="Y3047">
        <v>3.9424239999999999E-3</v>
      </c>
      <c r="Z3047">
        <v>-4.3557559999999999E-4</v>
      </c>
      <c r="AA3047">
        <v>0.99999210000000005</v>
      </c>
      <c r="AB3047">
        <v>25</v>
      </c>
      <c r="AC3047">
        <v>17.464599999999901</v>
      </c>
      <c r="AD3047">
        <v>-1.1201973770589999</v>
      </c>
      <c r="AE3047">
        <v>2.35999999999876E-2</v>
      </c>
      <c r="AF3047">
        <v>6.9948143452658901E-2</v>
      </c>
      <c r="AG3047">
        <v>-1.1201973770589999</v>
      </c>
      <c r="AH3047">
        <v>17.392919134854701</v>
      </c>
      <c r="AI3047">
        <v>93.685036453341198</v>
      </c>
      <c r="AJ3047">
        <v>89.769577966342396</v>
      </c>
      <c r="AK3047">
        <v>17.4290955283955</v>
      </c>
      <c r="AL3047">
        <v>97.047554548745396</v>
      </c>
      <c r="AM3047">
        <v>89.455137551342304</v>
      </c>
      <c r="AN3047">
        <v>1.00000001456089</v>
      </c>
    </row>
    <row r="3048" spans="1:40" x14ac:dyDescent="0.25">
      <c r="A3048" t="str">
        <f>"20190303154529526"</f>
        <v>20190303154529526</v>
      </c>
      <c r="B3048" t="str">
        <f>"1551599129523703"</f>
        <v>1551599129523703</v>
      </c>
      <c r="C3048" t="s">
        <v>40</v>
      </c>
      <c r="D3048">
        <v>5.185619</v>
      </c>
      <c r="E3048">
        <v>0.50047180000000002</v>
      </c>
      <c r="F3048" t="s">
        <v>55</v>
      </c>
      <c r="G3048">
        <v>-380.02809999999999</v>
      </c>
      <c r="H3048" s="1">
        <v>-1.516078E-6</v>
      </c>
      <c r="I3048">
        <v>214.48419999999999</v>
      </c>
      <c r="J3048">
        <v>-397.52319999999997</v>
      </c>
      <c r="K3048">
        <v>1.120193</v>
      </c>
      <c r="L3048">
        <v>214.46190000000001</v>
      </c>
      <c r="M3048">
        <v>0.99995080000000003</v>
      </c>
      <c r="N3048">
        <v>-8.3441669999999996E-3</v>
      </c>
      <c r="O3048">
        <v>5.3875149999999998E-3</v>
      </c>
      <c r="P3048">
        <v>0.99135180000000001</v>
      </c>
      <c r="Q3048">
        <v>-0.13114229999999999</v>
      </c>
      <c r="R3048">
        <v>-4.8440480000000001E-3</v>
      </c>
      <c r="S3048">
        <v>3.001099</v>
      </c>
      <c r="T3048">
        <v>-0.1896563</v>
      </c>
      <c r="U3048">
        <v>3.9825440000000002E-3</v>
      </c>
      <c r="V3048">
        <v>1.0183370000000001E-2</v>
      </c>
      <c r="W3048">
        <v>-0.12286619999999999</v>
      </c>
      <c r="X3048">
        <v>0.992371</v>
      </c>
      <c r="Y3048">
        <v>4.0434590000000001E-3</v>
      </c>
      <c r="Z3048">
        <v>-4.3973599999999998E-4</v>
      </c>
      <c r="AA3048">
        <v>0.99999170000000004</v>
      </c>
      <c r="AB3048">
        <v>25</v>
      </c>
      <c r="AC3048">
        <v>17.495099999999901</v>
      </c>
      <c r="AD3048">
        <v>-1.120194516078</v>
      </c>
      <c r="AE3048">
        <v>2.22999999999728E-2</v>
      </c>
      <c r="AF3048">
        <v>7.1664901412000506E-2</v>
      </c>
      <c r="AG3048">
        <v>-1.120194516078</v>
      </c>
      <c r="AH3048">
        <v>17.423534756062001</v>
      </c>
      <c r="AI3048">
        <v>93.678568382613804</v>
      </c>
      <c r="AJ3048">
        <v>89.764337530090202</v>
      </c>
      <c r="AK3048">
        <v>17.459654492791302</v>
      </c>
      <c r="AL3048">
        <v>97.057548142213804</v>
      </c>
      <c r="AM3048">
        <v>89.412071046398395</v>
      </c>
      <c r="AN3048">
        <v>1.0000000028839899</v>
      </c>
    </row>
    <row r="3049" spans="1:40" x14ac:dyDescent="0.25">
      <c r="A3049" t="str">
        <f>"20190303154529572"</f>
        <v>20190303154529572</v>
      </c>
      <c r="B3049" t="str">
        <f>"1551599129563719"</f>
        <v>1551599129563719</v>
      </c>
      <c r="C3049" t="s">
        <v>40</v>
      </c>
      <c r="D3049">
        <v>5.2317600000000004</v>
      </c>
      <c r="E3049">
        <v>0.49970520000000002</v>
      </c>
      <c r="F3049" t="s">
        <v>55</v>
      </c>
      <c r="G3049">
        <v>-370.31979999999999</v>
      </c>
      <c r="H3049" s="1">
        <v>-1.366623E-6</v>
      </c>
      <c r="I3049">
        <v>214.39670000000001</v>
      </c>
      <c r="J3049">
        <v>-397.01440000000002</v>
      </c>
      <c r="K3049">
        <v>1.120177</v>
      </c>
      <c r="L3049">
        <v>214.46469999999999</v>
      </c>
      <c r="M3049">
        <v>0.99995100000000003</v>
      </c>
      <c r="N3049">
        <v>-8.29066E-3</v>
      </c>
      <c r="O3049">
        <v>5.4203430000000002E-3</v>
      </c>
      <c r="P3049">
        <v>0.99123320000000004</v>
      </c>
      <c r="Q3049">
        <v>-0.13201969999999999</v>
      </c>
      <c r="R3049">
        <v>-5.2628639999999999E-3</v>
      </c>
      <c r="S3049">
        <v>3.0097659999999999</v>
      </c>
      <c r="T3049">
        <v>-0.1239372</v>
      </c>
      <c r="U3049">
        <v>-7.2174069999999899E-3</v>
      </c>
      <c r="V3049">
        <v>1.063424E-2</v>
      </c>
      <c r="W3049">
        <v>-0.123797699999999</v>
      </c>
      <c r="X3049">
        <v>0.99225050000000004</v>
      </c>
      <c r="Y3049">
        <v>7.8075879999999999E-3</v>
      </c>
      <c r="Z3049">
        <v>-3.7124750000000001E-4</v>
      </c>
      <c r="AA3049">
        <v>0.99996940000000001</v>
      </c>
      <c r="AB3049">
        <v>25</v>
      </c>
      <c r="AC3049">
        <v>26.694600000000001</v>
      </c>
      <c r="AD3049">
        <v>-1.1201783666230001</v>
      </c>
      <c r="AE3049">
        <v>-6.7999999999983601E-2</v>
      </c>
      <c r="AF3049">
        <v>0.21232398106570799</v>
      </c>
      <c r="AG3049">
        <v>-1.1201783666230001</v>
      </c>
      <c r="AH3049">
        <v>26.646917750272699</v>
      </c>
      <c r="AI3049">
        <v>92.407096118409598</v>
      </c>
      <c r="AJ3049">
        <v>89.543474008086704</v>
      </c>
      <c r="AK3049">
        <v>26.671297430679701</v>
      </c>
      <c r="AL3049">
        <v>97.111329736514406</v>
      </c>
      <c r="AM3049">
        <v>89.385967813666994</v>
      </c>
      <c r="AN3049">
        <v>1.0000000061679499</v>
      </c>
    </row>
    <row r="3050" spans="1:40" x14ac:dyDescent="0.25">
      <c r="A3050" t="str">
        <f>"20190303154529594"</f>
        <v>20190303154529594</v>
      </c>
      <c r="B3050" t="str">
        <f>"1551599129584215"</f>
        <v>1551599129584215</v>
      </c>
      <c r="C3050" t="s">
        <v>40</v>
      </c>
      <c r="D3050">
        <v>5.2303940000000004</v>
      </c>
      <c r="E3050">
        <v>0.50055119999999997</v>
      </c>
      <c r="F3050" t="s">
        <v>55</v>
      </c>
      <c r="G3050">
        <v>-367.7604</v>
      </c>
      <c r="H3050" s="1">
        <v>2.5929289999999999E-6</v>
      </c>
      <c r="I3050">
        <v>214.44640000000001</v>
      </c>
      <c r="J3050">
        <v>-396.76029999999997</v>
      </c>
      <c r="K3050">
        <v>1.1201700000000001</v>
      </c>
      <c r="L3050">
        <v>214.46610000000001</v>
      </c>
      <c r="M3050">
        <v>0.99995089999999998</v>
      </c>
      <c r="N3050">
        <v>-8.272326E-3</v>
      </c>
      <c r="O3050">
        <v>5.4366919999999999E-3</v>
      </c>
      <c r="P3050">
        <v>0.99120010000000003</v>
      </c>
      <c r="Q3050">
        <v>-0.13227639999999999</v>
      </c>
      <c r="R3050">
        <v>-5.0147519999999999E-3</v>
      </c>
      <c r="S3050">
        <v>3.0112000000000001</v>
      </c>
      <c r="T3050">
        <v>-0.1153029</v>
      </c>
      <c r="U3050">
        <v>-1.876831E-3</v>
      </c>
      <c r="V3050">
        <v>1.0402160000000001E-2</v>
      </c>
      <c r="W3050">
        <v>-0.1240728</v>
      </c>
      <c r="X3050">
        <v>0.99221859999999995</v>
      </c>
      <c r="Y3050">
        <v>6.05231E-3</v>
      </c>
      <c r="Z3050">
        <v>-3.0401730000000001E-4</v>
      </c>
      <c r="AA3050">
        <v>0.99998160000000003</v>
      </c>
      <c r="AB3050">
        <v>25</v>
      </c>
      <c r="AC3050">
        <v>28.999899999999901</v>
      </c>
      <c r="AD3050">
        <v>-1.1201674070709999</v>
      </c>
      <c r="AE3050">
        <v>-1.97000000000002E-2</v>
      </c>
      <c r="AF3050">
        <v>0.17710440234974401</v>
      </c>
      <c r="AG3050">
        <v>-1.1201674070709999</v>
      </c>
      <c r="AH3050">
        <v>28.956161302240101</v>
      </c>
      <c r="AI3050">
        <v>92.215337802972698</v>
      </c>
      <c r="AJ3050">
        <v>89.649566524005493</v>
      </c>
      <c r="AK3050">
        <v>28.9783612088493</v>
      </c>
      <c r="AL3050">
        <v>97.127214261395096</v>
      </c>
      <c r="AM3050">
        <v>89.399348054897999</v>
      </c>
      <c r="AN3050">
        <v>1.0000000074092299</v>
      </c>
    </row>
    <row r="3051" spans="1:40" x14ac:dyDescent="0.25">
      <c r="A3051" t="str">
        <f>"20190303154529619"</f>
        <v>20190303154529619</v>
      </c>
      <c r="B3051" t="str">
        <f>"1551599129614471"</f>
        <v>1551599129614471</v>
      </c>
      <c r="C3051" t="s">
        <v>40</v>
      </c>
      <c r="D3051">
        <v>5.1872280000000002</v>
      </c>
      <c r="E3051">
        <v>0.50129069999999998</v>
      </c>
      <c r="F3051" t="s">
        <v>55</v>
      </c>
      <c r="G3051">
        <v>-365.56450000000001</v>
      </c>
      <c r="H3051" s="1">
        <v>1.4243569999999999E-6</v>
      </c>
      <c r="I3051">
        <v>214.38509999999999</v>
      </c>
      <c r="J3051">
        <v>-396.49110000000002</v>
      </c>
      <c r="K3051">
        <v>1.1201700000000001</v>
      </c>
      <c r="L3051">
        <v>214.4676</v>
      </c>
      <c r="M3051">
        <v>0.99995109999999998</v>
      </c>
      <c r="N3051">
        <v>-8.2578059999999995E-3</v>
      </c>
      <c r="O3051">
        <v>5.4537409999999998E-3</v>
      </c>
      <c r="P3051">
        <v>0.99112579999999995</v>
      </c>
      <c r="Q3051">
        <v>-0.13284209999999999</v>
      </c>
      <c r="R3051">
        <v>-4.7609999999999996E-3</v>
      </c>
      <c r="S3051">
        <v>3.012146</v>
      </c>
      <c r="T3051">
        <v>-0.1081589</v>
      </c>
      <c r="U3051">
        <v>-7.8125E-3</v>
      </c>
      <c r="V3051">
        <v>1.016511E-2</v>
      </c>
      <c r="W3051">
        <v>-0.1246535</v>
      </c>
      <c r="X3051">
        <v>0.99214829999999998</v>
      </c>
      <c r="Y3051">
        <v>8.0390700000000006E-3</v>
      </c>
      <c r="Z3051">
        <v>-3.2823290000000001E-4</v>
      </c>
      <c r="AA3051">
        <v>0.99996759999999996</v>
      </c>
      <c r="AB3051">
        <v>25</v>
      </c>
      <c r="AC3051">
        <v>30.926600000000001</v>
      </c>
      <c r="AD3051">
        <v>-1.120168575643</v>
      </c>
      <c r="AE3051">
        <v>-8.2500000000010204E-2</v>
      </c>
      <c r="AF3051">
        <v>0.25084110153851702</v>
      </c>
      <c r="AG3051">
        <v>-1.120168575643</v>
      </c>
      <c r="AH3051">
        <v>30.885171961061101</v>
      </c>
      <c r="AI3051">
        <v>92.077071105202606</v>
      </c>
      <c r="AJ3051">
        <v>89.534669242908294</v>
      </c>
      <c r="AK3051">
        <v>30.9064968244606</v>
      </c>
      <c r="AL3051">
        <v>97.160746025278399</v>
      </c>
      <c r="AM3051">
        <v>89.412993477390501</v>
      </c>
      <c r="AN3051">
        <v>1.00000003685822</v>
      </c>
    </row>
    <row r="3052" spans="1:40" x14ac:dyDescent="0.25">
      <c r="A3052" t="str">
        <f>"20190303154529639"</f>
        <v>20190303154529639</v>
      </c>
      <c r="B3052" t="str">
        <f>"1551599129633991"</f>
        <v>1551599129633991</v>
      </c>
      <c r="C3052" t="s">
        <v>40</v>
      </c>
      <c r="D3052">
        <v>5.2473330000000002</v>
      </c>
      <c r="E3052">
        <v>0.50119570000000002</v>
      </c>
      <c r="F3052" t="s">
        <v>55</v>
      </c>
      <c r="G3052">
        <v>-362.90949999999998</v>
      </c>
      <c r="H3052" s="1">
        <v>1.148251E-8</v>
      </c>
      <c r="I3052">
        <v>214.32130000000001</v>
      </c>
      <c r="J3052">
        <v>-396.25599999999997</v>
      </c>
      <c r="K3052">
        <v>1.1201570000000001</v>
      </c>
      <c r="L3052">
        <v>214.46889999999999</v>
      </c>
      <c r="M3052">
        <v>0.99995109999999998</v>
      </c>
      <c r="N3052">
        <v>-8.2488730000000003E-3</v>
      </c>
      <c r="O3052">
        <v>5.4689169999999898E-3</v>
      </c>
      <c r="P3052">
        <v>0.99115089999999995</v>
      </c>
      <c r="Q3052">
        <v>-0.13264879999999901</v>
      </c>
      <c r="R3052">
        <v>-4.959555E-3</v>
      </c>
      <c r="S3052">
        <v>3.0133359999999998</v>
      </c>
      <c r="T3052">
        <v>-0.1005148</v>
      </c>
      <c r="U3052">
        <v>-1.312256E-2</v>
      </c>
      <c r="V3052">
        <v>1.037853E-2</v>
      </c>
      <c r="W3052">
        <v>-0.12446889999999899</v>
      </c>
      <c r="X3052">
        <v>0.99216930000000003</v>
      </c>
      <c r="Y3052">
        <v>9.8152410000000006E-3</v>
      </c>
      <c r="Z3052">
        <v>-3.4142219999999999E-4</v>
      </c>
      <c r="AA3052">
        <v>0.99995179999999995</v>
      </c>
      <c r="AB3052">
        <v>25</v>
      </c>
      <c r="AC3052">
        <v>33.346499999999899</v>
      </c>
      <c r="AD3052">
        <v>-1.12015698851749</v>
      </c>
      <c r="AE3052">
        <v>-0.147599999999982</v>
      </c>
      <c r="AF3052">
        <v>0.32960131413024801</v>
      </c>
      <c r="AG3052">
        <v>-1.12015698851749</v>
      </c>
      <c r="AH3052">
        <v>33.307610972419297</v>
      </c>
      <c r="AI3052">
        <v>91.926074771585704</v>
      </c>
      <c r="AJ3052">
        <v>89.433038057064294</v>
      </c>
      <c r="AK3052">
        <v>33.328071312262097</v>
      </c>
      <c r="AL3052">
        <v>97.150085964168795</v>
      </c>
      <c r="AM3052">
        <v>89.400682646517197</v>
      </c>
      <c r="AN3052">
        <v>1.00000007040732</v>
      </c>
    </row>
    <row r="3053" spans="1:40" x14ac:dyDescent="0.25">
      <c r="A3053" t="str">
        <f>"20190303154529673"</f>
        <v>20190303154529673</v>
      </c>
      <c r="B3053" t="str">
        <f>"1551599129664247"</f>
        <v>1551599129664247</v>
      </c>
      <c r="C3053" t="s">
        <v>40</v>
      </c>
      <c r="D3053">
        <v>5.2133089999999997</v>
      </c>
      <c r="E3053">
        <v>0.50173120000000004</v>
      </c>
      <c r="F3053" t="s">
        <v>55</v>
      </c>
      <c r="G3053">
        <v>-363.11529999999999</v>
      </c>
      <c r="H3053" s="1">
        <v>1.210248E-7</v>
      </c>
      <c r="I3053">
        <v>214.32769999999999</v>
      </c>
      <c r="J3053">
        <v>-395.8845</v>
      </c>
      <c r="K3053">
        <v>1.1201540000000001</v>
      </c>
      <c r="L3053">
        <v>214.4709</v>
      </c>
      <c r="M3053">
        <v>0.99995089999999998</v>
      </c>
      <c r="N3053">
        <v>-8.2407469999999997E-3</v>
      </c>
      <c r="O3053">
        <v>5.4926740000000003E-3</v>
      </c>
      <c r="P3053">
        <v>0.9912031</v>
      </c>
      <c r="Q3053">
        <v>-0.13224659999999999</v>
      </c>
      <c r="R3053">
        <v>-5.193942E-3</v>
      </c>
      <c r="S3053">
        <v>3.0131230000000002</v>
      </c>
      <c r="T3053">
        <v>-0.10184360000000001</v>
      </c>
      <c r="U3053">
        <v>-1.2832639999999999E-2</v>
      </c>
      <c r="V3053">
        <v>1.063706E-2</v>
      </c>
      <c r="W3053">
        <v>-0.1240744</v>
      </c>
      <c r="X3053">
        <v>0.99221590000000004</v>
      </c>
      <c r="Y3053">
        <v>9.7429140000000001E-3</v>
      </c>
      <c r="Z3053">
        <v>-3.45111E-4</v>
      </c>
      <c r="AA3053">
        <v>0.99995250000000002</v>
      </c>
      <c r="AB3053">
        <v>25</v>
      </c>
      <c r="AC3053">
        <v>32.769199999999998</v>
      </c>
      <c r="AD3053">
        <v>-1.1201538789751999</v>
      </c>
      <c r="AE3053">
        <v>-0.14320000000000699</v>
      </c>
      <c r="AF3053">
        <v>0.32281729461999398</v>
      </c>
      <c r="AG3053">
        <v>-1.1201538789751999</v>
      </c>
      <c r="AH3053">
        <v>32.729675616776497</v>
      </c>
      <c r="AI3053">
        <v>91.960053984728106</v>
      </c>
      <c r="AJ3053">
        <v>89.434902166091504</v>
      </c>
      <c r="AK3053">
        <v>32.750429336082099</v>
      </c>
      <c r="AL3053">
        <v>97.127306715948706</v>
      </c>
      <c r="AM3053">
        <v>89.385783580152307</v>
      </c>
      <c r="AN3053">
        <v>0.99999999799680594</v>
      </c>
    </row>
    <row r="3054" spans="1:40" x14ac:dyDescent="0.25">
      <c r="A3054" t="str">
        <f>"20190303154529694"</f>
        <v>20190303154529694</v>
      </c>
      <c r="B3054" t="str">
        <f>"1551599129683767"</f>
        <v>1551599129683767</v>
      </c>
      <c r="C3054" t="s">
        <v>40</v>
      </c>
      <c r="D3054">
        <v>5.2123400000000002</v>
      </c>
      <c r="E3054">
        <v>0.50193449999999995</v>
      </c>
      <c r="F3054" t="s">
        <v>55</v>
      </c>
      <c r="G3054">
        <v>-360.38569999999999</v>
      </c>
      <c r="H3054" s="1">
        <v>-1.331514E-6</v>
      </c>
      <c r="I3054">
        <v>214.2696</v>
      </c>
      <c r="J3054">
        <v>-395.64069999999998</v>
      </c>
      <c r="K3054">
        <v>1.1201460000000001</v>
      </c>
      <c r="L3054">
        <v>214.47229999999999</v>
      </c>
      <c r="M3054">
        <v>0.99995089999999998</v>
      </c>
      <c r="N3054">
        <v>-8.2385240000000005E-3</v>
      </c>
      <c r="O3054">
        <v>5.5081210000000004E-3</v>
      </c>
      <c r="P3054">
        <v>0.99127319999999997</v>
      </c>
      <c r="Q3054">
        <v>-0.1317065</v>
      </c>
      <c r="R3054">
        <v>-5.5277579999999998E-3</v>
      </c>
      <c r="S3054">
        <v>3.0138850000000001</v>
      </c>
      <c r="T3054">
        <v>-9.5102549999999994E-2</v>
      </c>
      <c r="U3054">
        <v>-1.7089839999999999E-2</v>
      </c>
      <c r="V3054">
        <v>1.098667E-2</v>
      </c>
      <c r="W3054">
        <v>-0.1235359</v>
      </c>
      <c r="X3054">
        <v>0.99227929999999998</v>
      </c>
      <c r="Y3054">
        <v>1.11699E-2</v>
      </c>
      <c r="Z3054">
        <v>-3.5060629999999999E-4</v>
      </c>
      <c r="AA3054">
        <v>0.99993750000000003</v>
      </c>
      <c r="AB3054">
        <v>25</v>
      </c>
      <c r="AC3054">
        <v>35.254999999999903</v>
      </c>
      <c r="AD3054">
        <v>-1.12014733151399</v>
      </c>
      <c r="AE3054">
        <v>-0.202699999999993</v>
      </c>
      <c r="AF3054">
        <v>0.39649207185845903</v>
      </c>
      <c r="AG3054">
        <v>-1.12014733151399</v>
      </c>
      <c r="AH3054">
        <v>35.217797219259197</v>
      </c>
      <c r="AI3054">
        <v>91.821636434062796</v>
      </c>
      <c r="AJ3054">
        <v>89.354974916235193</v>
      </c>
      <c r="AK3054">
        <v>35.237837291528002</v>
      </c>
      <c r="AL3054">
        <v>97.096213587694393</v>
      </c>
      <c r="AM3054">
        <v>89.365638182521195</v>
      </c>
      <c r="AN3054">
        <v>1.0000000173574899</v>
      </c>
    </row>
    <row r="3055" spans="1:40" x14ac:dyDescent="0.25">
      <c r="A3055" t="str">
        <f>"20190303154529716"</f>
        <v>20190303154529716</v>
      </c>
      <c r="B3055" t="str">
        <f>"1551599129714022"</f>
        <v>1551599129714022</v>
      </c>
      <c r="C3055" t="s">
        <v>40</v>
      </c>
      <c r="D3055">
        <v>5.2155360000000002</v>
      </c>
      <c r="E3055">
        <v>0.50212879999999904</v>
      </c>
      <c r="F3055" t="s">
        <v>55</v>
      </c>
      <c r="G3055">
        <v>-358.27210000000002</v>
      </c>
      <c r="H3055" s="1">
        <v>2.8822390000000001E-6</v>
      </c>
      <c r="I3055">
        <v>214.22649999999999</v>
      </c>
      <c r="J3055">
        <v>-395.38220000000001</v>
      </c>
      <c r="K3055">
        <v>1.1201399999999999</v>
      </c>
      <c r="L3055">
        <v>214.47370000000001</v>
      </c>
      <c r="M3055">
        <v>0.99995089999999998</v>
      </c>
      <c r="N3055">
        <v>-8.2385040000000007E-3</v>
      </c>
      <c r="O3055">
        <v>5.5246330000000001E-3</v>
      </c>
      <c r="P3055">
        <v>0.99126789999999998</v>
      </c>
      <c r="Q3055">
        <v>-0.13175889999999901</v>
      </c>
      <c r="R3055">
        <v>-5.2670149999999999E-3</v>
      </c>
      <c r="S3055">
        <v>3.014313</v>
      </c>
      <c r="T3055">
        <v>-9.0355630000000006E-2</v>
      </c>
      <c r="U3055">
        <v>-1.9821169999999999E-2</v>
      </c>
      <c r="V3055">
        <v>1.0742069999999999E-2</v>
      </c>
      <c r="W3055">
        <v>-0.1235883</v>
      </c>
      <c r="X3055">
        <v>0.99227540000000003</v>
      </c>
      <c r="Y3055">
        <v>1.2091910000000001E-2</v>
      </c>
      <c r="Z3055">
        <v>-3.5107079999999999E-4</v>
      </c>
      <c r="AA3055">
        <v>0.9999268</v>
      </c>
      <c r="AB3055">
        <v>25</v>
      </c>
      <c r="AC3055">
        <v>37.110099999999903</v>
      </c>
      <c r="AD3055">
        <v>-1.120137117761</v>
      </c>
      <c r="AE3055">
        <v>-0.24720000000001999</v>
      </c>
      <c r="AF3055">
        <v>0.451811228713071</v>
      </c>
      <c r="AG3055">
        <v>-1.120137117761</v>
      </c>
      <c r="AH3055">
        <v>37.074391529112603</v>
      </c>
      <c r="AI3055">
        <v>91.730435702353404</v>
      </c>
      <c r="AJ3055">
        <v>89.301793122653706</v>
      </c>
      <c r="AK3055">
        <v>37.094060815754801</v>
      </c>
      <c r="AL3055">
        <v>97.0992394469652</v>
      </c>
      <c r="AM3055">
        <v>89.379757643645206</v>
      </c>
      <c r="AN3055">
        <v>0.99999996470496599</v>
      </c>
    </row>
    <row r="3056" spans="1:40" x14ac:dyDescent="0.25">
      <c r="A3056" t="str">
        <f>"20190303154529738"</f>
        <v>20190303154529738</v>
      </c>
      <c r="B3056" t="str">
        <f>"1551599129733543"</f>
        <v>1551599129733543</v>
      </c>
      <c r="C3056" t="s">
        <v>40</v>
      </c>
      <c r="D3056">
        <v>5.2015609999999999</v>
      </c>
      <c r="E3056">
        <v>0.50228569999999995</v>
      </c>
      <c r="F3056" t="s">
        <v>55</v>
      </c>
      <c r="G3056">
        <v>-357.19229999999999</v>
      </c>
      <c r="H3056" s="1">
        <v>2.3080190000000001E-6</v>
      </c>
      <c r="I3056">
        <v>214.21799999999999</v>
      </c>
      <c r="J3056">
        <v>-395.12810000000002</v>
      </c>
      <c r="K3056">
        <v>1.120134</v>
      </c>
      <c r="L3056">
        <v>214.4752</v>
      </c>
      <c r="M3056">
        <v>0.99995080000000003</v>
      </c>
      <c r="N3056">
        <v>-8.2405399999999993E-3</v>
      </c>
      <c r="O3056">
        <v>5.5407769999999898E-3</v>
      </c>
      <c r="P3056">
        <v>0.99131979999999997</v>
      </c>
      <c r="Q3056">
        <v>-0.13139010000000001</v>
      </c>
      <c r="R3056">
        <v>-4.6755929999999996E-3</v>
      </c>
      <c r="S3056">
        <v>3.0145870000000001</v>
      </c>
      <c r="T3056">
        <v>-8.8420029999999997E-2</v>
      </c>
      <c r="U3056">
        <v>-2.0187380000000001E-2</v>
      </c>
      <c r="V3056">
        <v>1.0166990000000001E-2</v>
      </c>
      <c r="W3056">
        <v>-0.1232171</v>
      </c>
      <c r="X3056">
        <v>0.99232759999999998</v>
      </c>
      <c r="Y3056">
        <v>1.2229179999999999E-2</v>
      </c>
      <c r="Z3056">
        <v>-3.4653389999999998E-4</v>
      </c>
      <c r="AA3056">
        <v>0.99992510000000001</v>
      </c>
      <c r="AB3056">
        <v>25</v>
      </c>
      <c r="AC3056">
        <v>37.9358</v>
      </c>
      <c r="AD3056">
        <v>-1.120131691981</v>
      </c>
      <c r="AE3056">
        <v>-0.25720000000001098</v>
      </c>
      <c r="AF3056">
        <v>0.46698985049527297</v>
      </c>
      <c r="AG3056">
        <v>-1.120131691981</v>
      </c>
      <c r="AH3056">
        <v>37.900750410582503</v>
      </c>
      <c r="AI3056">
        <v>91.692717816523398</v>
      </c>
      <c r="AJ3056">
        <v>89.294072193480702</v>
      </c>
      <c r="AK3056">
        <v>37.9201747914368</v>
      </c>
      <c r="AL3056">
        <v>97.077807591320806</v>
      </c>
      <c r="AM3056">
        <v>89.412990996501193</v>
      </c>
      <c r="AN3056">
        <v>0.99999994356991295</v>
      </c>
    </row>
    <row r="3057" spans="1:40" x14ac:dyDescent="0.25">
      <c r="A3057" t="str">
        <f>"20190303154529762"</f>
        <v>20190303154529762</v>
      </c>
      <c r="B3057" t="str">
        <f>"1551599129754039"</f>
        <v>1551599129754039</v>
      </c>
      <c r="C3057" t="s">
        <v>40</v>
      </c>
      <c r="D3057">
        <v>5.1995500000000003</v>
      </c>
      <c r="E3057">
        <v>0.50236809999999998</v>
      </c>
      <c r="F3057" t="s">
        <v>55</v>
      </c>
      <c r="G3057">
        <v>-355.91329999999999</v>
      </c>
      <c r="H3057" s="1">
        <v>1.627184E-6</v>
      </c>
      <c r="I3057">
        <v>214.22309999999999</v>
      </c>
      <c r="J3057">
        <v>-394.86779999999999</v>
      </c>
      <c r="K3057">
        <v>1.120128</v>
      </c>
      <c r="L3057">
        <v>214.47659999999999</v>
      </c>
      <c r="M3057">
        <v>0.99995060000000002</v>
      </c>
      <c r="N3057">
        <v>-8.2443989999999995E-3</v>
      </c>
      <c r="O3057">
        <v>5.5575690000000001E-3</v>
      </c>
      <c r="P3057">
        <v>0.99121239999999999</v>
      </c>
      <c r="Q3057">
        <v>-0.13222139999999999</v>
      </c>
      <c r="R3057">
        <v>-3.9640659999999996E-3</v>
      </c>
      <c r="S3057">
        <v>3.0147710000000001</v>
      </c>
      <c r="T3057">
        <v>-8.6114170000000004E-2</v>
      </c>
      <c r="U3057">
        <v>-1.9378659999999999E-2</v>
      </c>
      <c r="V3057">
        <v>9.4714090000000001E-3</v>
      </c>
      <c r="W3057">
        <v>-0.1240453</v>
      </c>
      <c r="X3057">
        <v>0.99223139999999999</v>
      </c>
      <c r="Y3057">
        <v>1.197788E-2</v>
      </c>
      <c r="Z3057">
        <v>-3.3332199999999999E-4</v>
      </c>
      <c r="AA3057">
        <v>0.99992820000000004</v>
      </c>
      <c r="AB3057">
        <v>25</v>
      </c>
      <c r="AC3057">
        <v>38.954500000000003</v>
      </c>
      <c r="AD3057">
        <v>-1.120126372816</v>
      </c>
      <c r="AE3057">
        <v>-0.253500000000002</v>
      </c>
      <c r="AF3057">
        <v>0.46960748652346901</v>
      </c>
      <c r="AG3057">
        <v>-1.120126372816</v>
      </c>
      <c r="AH3057">
        <v>38.920310171098798</v>
      </c>
      <c r="AI3057">
        <v>91.648397338572195</v>
      </c>
      <c r="AJ3057">
        <v>89.308709995630295</v>
      </c>
      <c r="AK3057">
        <v>38.939257287434401</v>
      </c>
      <c r="AL3057">
        <v>97.125626072856704</v>
      </c>
      <c r="AM3057">
        <v>89.453096041618906</v>
      </c>
      <c r="AN3057">
        <v>1.00000004759324</v>
      </c>
    </row>
    <row r="3058" spans="1:40" x14ac:dyDescent="0.25">
      <c r="A3058" t="str">
        <f>"20190303154529784"</f>
        <v>20190303154529784</v>
      </c>
      <c r="B3058" t="str">
        <f>"1551599129773560"</f>
        <v>1551599129773560</v>
      </c>
      <c r="C3058" t="s">
        <v>40</v>
      </c>
      <c r="D3058">
        <v>5.2180039999999996</v>
      </c>
      <c r="E3058">
        <v>0.50247790000000003</v>
      </c>
      <c r="F3058" t="s">
        <v>55</v>
      </c>
      <c r="G3058">
        <v>-356.4033</v>
      </c>
      <c r="H3058" s="1">
        <v>1.886834E-6</v>
      </c>
      <c r="I3058">
        <v>214.2483</v>
      </c>
      <c r="J3058">
        <v>-394.61279999999999</v>
      </c>
      <c r="K3058">
        <v>1.120123</v>
      </c>
      <c r="L3058">
        <v>214.47810000000001</v>
      </c>
      <c r="M3058">
        <v>0.99995049999999996</v>
      </c>
      <c r="N3058">
        <v>-8.2497790000000005E-3</v>
      </c>
      <c r="O3058">
        <v>5.5735219999999896E-3</v>
      </c>
      <c r="P3058">
        <v>0.99125129999999995</v>
      </c>
      <c r="Q3058">
        <v>-0.131933299999999</v>
      </c>
      <c r="R3058">
        <v>-3.818461E-3</v>
      </c>
      <c r="S3058">
        <v>3.0148009999999998</v>
      </c>
      <c r="T3058">
        <v>-8.7794179999999999E-2</v>
      </c>
      <c r="U3058">
        <v>-1.7898560000000001E-2</v>
      </c>
      <c r="V3058">
        <v>9.3419909999999991E-3</v>
      </c>
      <c r="W3058">
        <v>-0.1237516</v>
      </c>
      <c r="X3058">
        <v>0.99226930000000002</v>
      </c>
      <c r="Y3058">
        <v>1.150284E-2</v>
      </c>
      <c r="Z3058">
        <v>-3.3120989999999999E-4</v>
      </c>
      <c r="AA3058">
        <v>0.99993379999999998</v>
      </c>
      <c r="AB3058">
        <v>26</v>
      </c>
      <c r="AC3058">
        <v>38.209499999999899</v>
      </c>
      <c r="AD3058">
        <v>-1.120121113166</v>
      </c>
      <c r="AE3058">
        <v>-0.229800000000011</v>
      </c>
      <c r="AF3058">
        <v>0.44238498846158297</v>
      </c>
      <c r="AG3058">
        <v>-1.120121113166</v>
      </c>
      <c r="AH3058">
        <v>38.174820001012399</v>
      </c>
      <c r="AI3058">
        <v>91.680571085960906</v>
      </c>
      <c r="AJ3058">
        <v>89.336063451392306</v>
      </c>
      <c r="AK3058">
        <v>38.193811774891898</v>
      </c>
      <c r="AL3058">
        <v>97.108667637355694</v>
      </c>
      <c r="AM3058">
        <v>89.460589133712801</v>
      </c>
      <c r="AN3058">
        <v>1.00000004751044</v>
      </c>
    </row>
    <row r="3059" spans="1:40" x14ac:dyDescent="0.25">
      <c r="A3059" t="str">
        <f>"20190303154529806"</f>
        <v>20190303154529806</v>
      </c>
      <c r="B3059" t="str">
        <f>"1551599129803815"</f>
        <v>1551599129803815</v>
      </c>
      <c r="C3059" t="s">
        <v>40</v>
      </c>
      <c r="D3059">
        <v>5.1741580000000003</v>
      </c>
      <c r="E3059">
        <v>0.50267359999999905</v>
      </c>
      <c r="F3059" t="s">
        <v>55</v>
      </c>
      <c r="G3059">
        <v>-355.59710000000001</v>
      </c>
      <c r="H3059" s="1">
        <v>1.4581780000000001E-6</v>
      </c>
      <c r="I3059">
        <v>214.23929999999999</v>
      </c>
      <c r="J3059">
        <v>-394.34840000000003</v>
      </c>
      <c r="K3059">
        <v>1.1201299999999901</v>
      </c>
      <c r="L3059">
        <v>214.4795</v>
      </c>
      <c r="M3059">
        <v>0.99995029999999996</v>
      </c>
      <c r="N3059">
        <v>-8.2566919999999995E-3</v>
      </c>
      <c r="O3059">
        <v>5.5905989999999999E-3</v>
      </c>
      <c r="P3059">
        <v>0.99120129999999995</v>
      </c>
      <c r="Q3059">
        <v>-0.13232289999999999</v>
      </c>
      <c r="R3059">
        <v>-3.228753E-3</v>
      </c>
      <c r="S3059">
        <v>3.0148929999999998</v>
      </c>
      <c r="T3059">
        <v>-8.6556079999999994E-2</v>
      </c>
      <c r="U3059">
        <v>-1.844788E-2</v>
      </c>
      <c r="V3059">
        <v>8.7689459999999997E-3</v>
      </c>
      <c r="W3059">
        <v>-0.1241347</v>
      </c>
      <c r="X3059">
        <v>0.99222659999999996</v>
      </c>
      <c r="Y3059">
        <v>1.170202E-2</v>
      </c>
      <c r="Z3059">
        <v>-3.305828E-4</v>
      </c>
      <c r="AA3059">
        <v>0.99993149999999997</v>
      </c>
      <c r="AB3059">
        <v>26</v>
      </c>
      <c r="AC3059">
        <v>38.751300000000001</v>
      </c>
      <c r="AD3059">
        <v>-1.1201285418219999</v>
      </c>
      <c r="AE3059">
        <v>-0.24020000000001501</v>
      </c>
      <c r="AF3059">
        <v>0.45646523001242501</v>
      </c>
      <c r="AG3059">
        <v>-1.1201285418219999</v>
      </c>
      <c r="AH3059">
        <v>38.717003405470798</v>
      </c>
      <c r="AI3059">
        <v>91.657057080642304</v>
      </c>
      <c r="AJ3059">
        <v>89.324526249382501</v>
      </c>
      <c r="AK3059">
        <v>38.735892930919398</v>
      </c>
      <c r="AL3059">
        <v>97.130788755834402</v>
      </c>
      <c r="AM3059">
        <v>89.493653448953296</v>
      </c>
      <c r="AN3059">
        <v>0.99999997195279999</v>
      </c>
    </row>
    <row r="3060" spans="1:40" x14ac:dyDescent="0.25">
      <c r="A3060" t="str">
        <f>"20190303154529832"</f>
        <v>20190303154529832</v>
      </c>
      <c r="B3060" t="str">
        <f>"1551599129824311"</f>
        <v>1551599129824311</v>
      </c>
      <c r="C3060" t="s">
        <v>40</v>
      </c>
      <c r="D3060">
        <v>5.1710430000000001</v>
      </c>
      <c r="E3060">
        <v>0.50276869999999996</v>
      </c>
      <c r="F3060" t="s">
        <v>55</v>
      </c>
      <c r="G3060">
        <v>-355.0847</v>
      </c>
      <c r="H3060" s="1">
        <v>1.18531E-6</v>
      </c>
      <c r="I3060">
        <v>214.2439</v>
      </c>
      <c r="J3060">
        <v>-394.06369999999998</v>
      </c>
      <c r="K3060">
        <v>1.120126</v>
      </c>
      <c r="L3060">
        <v>214.4811</v>
      </c>
      <c r="M3060">
        <v>0.99995009999999995</v>
      </c>
      <c r="N3060">
        <v>-8.2654129999999992E-3</v>
      </c>
      <c r="O3060">
        <v>5.6087439999999997E-3</v>
      </c>
      <c r="P3060">
        <v>0.99122069999999995</v>
      </c>
      <c r="Q3060">
        <v>-0.13218260000000001</v>
      </c>
      <c r="R3060">
        <v>-3.089984E-3</v>
      </c>
      <c r="S3060">
        <v>3.0150450000000002</v>
      </c>
      <c r="T3060">
        <v>-8.6014149999999998E-2</v>
      </c>
      <c r="U3060">
        <v>-1.8096919999999999E-2</v>
      </c>
      <c r="V3060">
        <v>8.6482319999999901E-3</v>
      </c>
      <c r="W3060">
        <v>-0.1239856</v>
      </c>
      <c r="X3060">
        <v>0.99224630000000003</v>
      </c>
      <c r="Y3060">
        <v>1.16036E-2</v>
      </c>
      <c r="Z3060">
        <v>-3.2707029999999999E-4</v>
      </c>
      <c r="AA3060">
        <v>0.99993259999999995</v>
      </c>
      <c r="AB3060">
        <v>26</v>
      </c>
      <c r="AC3060">
        <v>38.9789999999999</v>
      </c>
      <c r="AD3060">
        <v>-1.12012481469</v>
      </c>
      <c r="AE3060">
        <v>-0.23720000000000099</v>
      </c>
      <c r="AF3060">
        <v>0.45545087741727303</v>
      </c>
      <c r="AG3060">
        <v>-1.12012481469</v>
      </c>
      <c r="AH3060">
        <v>38.944897161531202</v>
      </c>
      <c r="AI3060">
        <v>91.647362201346297</v>
      </c>
      <c r="AJ3060">
        <v>89.329970666622103</v>
      </c>
      <c r="AK3060">
        <v>38.963664227385799</v>
      </c>
      <c r="AL3060">
        <v>97.122179456506601</v>
      </c>
      <c r="AM3060">
        <v>89.500633414010295</v>
      </c>
      <c r="AN3060">
        <v>0.99999997039388699</v>
      </c>
    </row>
    <row r="3061" spans="1:40" x14ac:dyDescent="0.25">
      <c r="A3061" t="str">
        <f>"20190303154529874"</f>
        <v>20190303154529874</v>
      </c>
      <c r="B3061" t="str">
        <f>"1551599129864327"</f>
        <v>1551599129864327</v>
      </c>
      <c r="C3061" t="s">
        <v>40</v>
      </c>
      <c r="D3061">
        <v>5.1660180000000002</v>
      </c>
      <c r="E3061">
        <v>0.50293270000000001</v>
      </c>
      <c r="F3061" t="s">
        <v>55</v>
      </c>
      <c r="G3061">
        <v>-354.28919999999999</v>
      </c>
      <c r="H3061" s="1">
        <v>7.6221790000000001E-7</v>
      </c>
      <c r="I3061">
        <v>214.23939999999999</v>
      </c>
      <c r="J3061">
        <v>-393.58429999999998</v>
      </c>
      <c r="K3061">
        <v>1.120123</v>
      </c>
      <c r="L3061">
        <v>214.48390000000001</v>
      </c>
      <c r="M3061">
        <v>0.99995000000000001</v>
      </c>
      <c r="N3061">
        <v>-8.2825539999999993E-3</v>
      </c>
      <c r="O3061">
        <v>5.6389519999999896E-3</v>
      </c>
      <c r="P3061">
        <v>0.99125439999999998</v>
      </c>
      <c r="Q3061">
        <v>-0.1319217</v>
      </c>
      <c r="R3061">
        <v>-3.4460770000000001E-3</v>
      </c>
      <c r="S3061">
        <v>3.0151979999999998</v>
      </c>
      <c r="T3061">
        <v>-8.4913849999999999E-2</v>
      </c>
      <c r="U3061">
        <v>-1.8325810000000001E-2</v>
      </c>
      <c r="V3061">
        <v>9.0345349999999998E-3</v>
      </c>
      <c r="W3061">
        <v>-0.123707399999999</v>
      </c>
      <c r="X3061">
        <v>0.99227759999999998</v>
      </c>
      <c r="Y3061">
        <v>1.1709519999999999E-2</v>
      </c>
      <c r="Z3061">
        <v>-3.254256E-4</v>
      </c>
      <c r="AA3061">
        <v>0.99993140000000003</v>
      </c>
      <c r="AB3061">
        <v>26</v>
      </c>
      <c r="AC3061">
        <v>39.295099999999898</v>
      </c>
      <c r="AD3061">
        <v>-1.1201222377821001</v>
      </c>
      <c r="AE3061">
        <v>-0.24450000000001601</v>
      </c>
      <c r="AF3061">
        <v>0.46570845131086303</v>
      </c>
      <c r="AG3061">
        <v>-1.1201222377821001</v>
      </c>
      <c r="AH3061">
        <v>39.261195693691</v>
      </c>
      <c r="AI3061">
        <v>91.634090872223098</v>
      </c>
      <c r="AJ3061">
        <v>89.320400794761696</v>
      </c>
      <c r="AK3061">
        <v>39.279931841686</v>
      </c>
      <c r="AL3061">
        <v>97.106115967771899</v>
      </c>
      <c r="AM3061">
        <v>89.478345150346897</v>
      </c>
      <c r="AN3061">
        <v>0.99999998954959302</v>
      </c>
    </row>
    <row r="3062" spans="1:40" x14ac:dyDescent="0.25">
      <c r="A3062" t="str">
        <f>"20190303154529895"</f>
        <v>20190303154529895</v>
      </c>
      <c r="B3062" t="str">
        <f>"1551599129883847"</f>
        <v>1551599129883847</v>
      </c>
      <c r="C3062" t="s">
        <v>40</v>
      </c>
      <c r="D3062">
        <v>5.2050919999999996</v>
      </c>
      <c r="E3062">
        <v>0.50291009999999903</v>
      </c>
      <c r="F3062" t="s">
        <v>55</v>
      </c>
      <c r="G3062">
        <v>-352.9941</v>
      </c>
      <c r="H3062" s="1">
        <v>7.4450750000000002E-8</v>
      </c>
      <c r="I3062">
        <v>214.20599999999999</v>
      </c>
      <c r="J3062">
        <v>-393.32589999999999</v>
      </c>
      <c r="K3062">
        <v>1.1201190000000001</v>
      </c>
      <c r="L3062">
        <v>214.4854</v>
      </c>
      <c r="M3062">
        <v>0.99994970000000005</v>
      </c>
      <c r="N3062">
        <v>-8.2928199999999994E-3</v>
      </c>
      <c r="O3062">
        <v>5.6557179999999997E-3</v>
      </c>
      <c r="P3062">
        <v>0.99123190000000005</v>
      </c>
      <c r="Q3062">
        <v>-0.132076799999999</v>
      </c>
      <c r="R3062">
        <v>-3.867597E-3</v>
      </c>
      <c r="S3062">
        <v>3.01532</v>
      </c>
      <c r="T3062">
        <v>-8.3210469999999995E-2</v>
      </c>
      <c r="U3062">
        <v>-2.0645139999999999E-2</v>
      </c>
      <c r="V3062">
        <v>9.4726159999999997E-3</v>
      </c>
      <c r="W3062">
        <v>-0.12385259999999999</v>
      </c>
      <c r="X3062">
        <v>0.99225540000000001</v>
      </c>
      <c r="Y3062">
        <v>1.2495020000000001E-2</v>
      </c>
      <c r="Z3062">
        <v>-3.3334210000000001E-4</v>
      </c>
      <c r="AA3062">
        <v>0.99992190000000003</v>
      </c>
      <c r="AB3062">
        <v>26</v>
      </c>
      <c r="AC3062">
        <v>40.331799999999902</v>
      </c>
      <c r="AD3062">
        <v>-1.1201189255492401</v>
      </c>
      <c r="AE3062">
        <v>-0.27940000000000897</v>
      </c>
      <c r="AF3062">
        <v>0.50711751414676198</v>
      </c>
      <c r="AG3062">
        <v>-1.1201189255492401</v>
      </c>
      <c r="AH3062">
        <v>40.298493206667402</v>
      </c>
      <c r="AI3062">
        <v>91.592031976134905</v>
      </c>
      <c r="AJ3062">
        <v>89.279026152613497</v>
      </c>
      <c r="AK3062">
        <v>40.317246797224897</v>
      </c>
      <c r="AL3062">
        <v>97.114499801040495</v>
      </c>
      <c r="AM3062">
        <v>89.453039579535798</v>
      </c>
      <c r="AN3062">
        <v>0.99999998790490097</v>
      </c>
    </row>
    <row r="3063" spans="1:40" x14ac:dyDescent="0.25">
      <c r="A3063" t="str">
        <f>"20190303154529917"</f>
        <v>20190303154529917</v>
      </c>
      <c r="B3063" t="str">
        <f>"1551599129904343"</f>
        <v>1551599129904343</v>
      </c>
      <c r="C3063" t="s">
        <v>40</v>
      </c>
      <c r="D3063">
        <v>5.1996379999999904</v>
      </c>
      <c r="E3063">
        <v>0.50290570000000001</v>
      </c>
      <c r="F3063" t="s">
        <v>55</v>
      </c>
      <c r="G3063">
        <v>-353.08600000000001</v>
      </c>
      <c r="H3063" s="1">
        <v>1.2375669999999901E-7</v>
      </c>
      <c r="I3063">
        <v>214.19739999999999</v>
      </c>
      <c r="J3063">
        <v>-393.08010000000002</v>
      </c>
      <c r="K3063">
        <v>1.1201179999999999</v>
      </c>
      <c r="L3063">
        <v>214.48670000000001</v>
      </c>
      <c r="M3063">
        <v>0.99994959999999999</v>
      </c>
      <c r="N3063">
        <v>-8.3031540000000001E-3</v>
      </c>
      <c r="O3063">
        <v>5.6712910000000002E-3</v>
      </c>
      <c r="P3063">
        <v>0.99121559999999997</v>
      </c>
      <c r="Q3063">
        <v>-0.13220229999999999</v>
      </c>
      <c r="R3063">
        <v>-3.7971210000000001E-3</v>
      </c>
      <c r="S3063">
        <v>3.0152589999999999</v>
      </c>
      <c r="T3063">
        <v>-8.3932999999999994E-2</v>
      </c>
      <c r="U3063">
        <v>-2.157593E-2</v>
      </c>
      <c r="V3063">
        <v>9.4173480000000007E-3</v>
      </c>
      <c r="W3063">
        <v>-0.12396790000000001</v>
      </c>
      <c r="X3063">
        <v>0.99224159999999995</v>
      </c>
      <c r="Y3063">
        <v>1.28191E-2</v>
      </c>
      <c r="Z3063">
        <v>-3.423651E-4</v>
      </c>
      <c r="AA3063">
        <v>0.99991770000000002</v>
      </c>
      <c r="AB3063">
        <v>26</v>
      </c>
      <c r="AC3063">
        <v>39.994100000000003</v>
      </c>
      <c r="AD3063">
        <v>-1.1201178762432999</v>
      </c>
      <c r="AE3063">
        <v>-0.28930000000002498</v>
      </c>
      <c r="AF3063">
        <v>0.51571680543299803</v>
      </c>
      <c r="AG3063">
        <v>-1.1201178762432999</v>
      </c>
      <c r="AH3063">
        <v>39.960472802335602</v>
      </c>
      <c r="AI3063">
        <v>91.605483667406503</v>
      </c>
      <c r="AJ3063">
        <v>89.260600438993194</v>
      </c>
      <c r="AK3063">
        <v>39.979494925102401</v>
      </c>
      <c r="AL3063">
        <v>97.121156797003096</v>
      </c>
      <c r="AM3063">
        <v>89.456223066954706</v>
      </c>
      <c r="AN3063">
        <v>1.0000000597221499</v>
      </c>
    </row>
    <row r="3064" spans="1:40" x14ac:dyDescent="0.25">
      <c r="A3064" t="str">
        <f>"20190303154529940"</f>
        <v>20190303154529940</v>
      </c>
      <c r="B3064" t="str">
        <f>"1551599129933624"</f>
        <v>1551599129933624</v>
      </c>
      <c r="C3064" t="s">
        <v>40</v>
      </c>
      <c r="D3064">
        <v>5.2119679999999997</v>
      </c>
      <c r="E3064">
        <v>0.50296790000000002</v>
      </c>
      <c r="F3064" t="s">
        <v>55</v>
      </c>
      <c r="G3064">
        <v>-353.11799999999999</v>
      </c>
      <c r="H3064" s="1">
        <v>1.4071860000000001E-7</v>
      </c>
      <c r="I3064">
        <v>214.1986</v>
      </c>
      <c r="J3064">
        <v>-392.80450000000002</v>
      </c>
      <c r="K3064">
        <v>1.1201179999999999</v>
      </c>
      <c r="L3064">
        <v>214.48830000000001</v>
      </c>
      <c r="M3064">
        <v>0.99994930000000004</v>
      </c>
      <c r="N3064">
        <v>-8.3152739999999992E-3</v>
      </c>
      <c r="O3064">
        <v>5.6888829999999996E-3</v>
      </c>
      <c r="P3064">
        <v>0.99115509999999996</v>
      </c>
      <c r="Q3064">
        <v>-0.1326437</v>
      </c>
      <c r="R3064">
        <v>-4.163641E-3</v>
      </c>
      <c r="S3064">
        <v>3.0151979999999998</v>
      </c>
      <c r="T3064">
        <v>-8.4514499999999895E-2</v>
      </c>
      <c r="U3064">
        <v>-2.1743769999999999E-2</v>
      </c>
      <c r="V3064">
        <v>9.8010860000000005E-3</v>
      </c>
      <c r="W3064">
        <v>-0.1243978</v>
      </c>
      <c r="X3064">
        <v>0.99218399999999995</v>
      </c>
      <c r="Y3064">
        <v>1.289235E-2</v>
      </c>
      <c r="Z3064">
        <v>-3.463874E-4</v>
      </c>
      <c r="AA3064">
        <v>0.9999169</v>
      </c>
      <c r="AB3064">
        <v>26</v>
      </c>
      <c r="AC3064">
        <v>39.686499999999903</v>
      </c>
      <c r="AD3064">
        <v>-1.1201178592813901</v>
      </c>
      <c r="AE3064">
        <v>-0.28970000000001001</v>
      </c>
      <c r="AF3064">
        <v>0.51506468023696905</v>
      </c>
      <c r="AG3064">
        <v>-1.1201178592813901</v>
      </c>
      <c r="AH3064">
        <v>39.652623920032703</v>
      </c>
      <c r="AI3064">
        <v>91.617939694868198</v>
      </c>
      <c r="AJ3064">
        <v>89.255802772830705</v>
      </c>
      <c r="AK3064">
        <v>39.671785180239297</v>
      </c>
      <c r="AL3064">
        <v>97.145980961197793</v>
      </c>
      <c r="AM3064">
        <v>89.434033810584694</v>
      </c>
      <c r="AN3064">
        <v>0.99999998189380901</v>
      </c>
    </row>
    <row r="3065" spans="1:40" x14ac:dyDescent="0.25">
      <c r="A3065" t="str">
        <f>"20190303154529962"</f>
        <v>20190303154529962</v>
      </c>
      <c r="B3065" t="str">
        <f>"1551599129954119"</f>
        <v>1551599129954119</v>
      </c>
      <c r="C3065" t="s">
        <v>40</v>
      </c>
      <c r="D3065">
        <v>5.2364100000000002</v>
      </c>
      <c r="E3065">
        <v>0.50298180000000003</v>
      </c>
      <c r="F3065" t="s">
        <v>55</v>
      </c>
      <c r="G3065">
        <v>-353.5729</v>
      </c>
      <c r="H3065" s="1">
        <v>3.8357599999999999E-7</v>
      </c>
      <c r="I3065">
        <v>214.18119999999999</v>
      </c>
      <c r="J3065">
        <v>-392.54410000000001</v>
      </c>
      <c r="K3065">
        <v>1.1201099999999999</v>
      </c>
      <c r="L3065">
        <v>214.4898</v>
      </c>
      <c r="M3065">
        <v>0.99994910000000004</v>
      </c>
      <c r="N3065">
        <v>-8.3271939999999996E-3</v>
      </c>
      <c r="O3065">
        <v>5.7054640000000004E-3</v>
      </c>
      <c r="P3065">
        <v>0.99108960000000002</v>
      </c>
      <c r="Q3065">
        <v>-0.13313320000000001</v>
      </c>
      <c r="R3065">
        <v>-4.1543589999999998E-3</v>
      </c>
      <c r="S3065">
        <v>3.0151669999999999</v>
      </c>
      <c r="T3065">
        <v>-8.6087350000000007E-2</v>
      </c>
      <c r="U3065">
        <v>-2.3605350000000001E-2</v>
      </c>
      <c r="V3065">
        <v>9.8079029999999998E-3</v>
      </c>
      <c r="W3065">
        <v>-0.124876</v>
      </c>
      <c r="X3065">
        <v>0.99212389999999995</v>
      </c>
      <c r="Y3065">
        <v>1.35257E-2</v>
      </c>
      <c r="Z3065">
        <v>-3.6473910000000003E-4</v>
      </c>
      <c r="AA3065">
        <v>0.99990840000000003</v>
      </c>
      <c r="AB3065">
        <v>26</v>
      </c>
      <c r="AC3065">
        <v>38.971200000000003</v>
      </c>
      <c r="AD3065">
        <v>-1.1201096164240001</v>
      </c>
      <c r="AE3065">
        <v>-0.30860000000001198</v>
      </c>
      <c r="AF3065">
        <v>0.53051322373105902</v>
      </c>
      <c r="AG3065">
        <v>-1.1201096164240001</v>
      </c>
      <c r="AH3065">
        <v>38.936641275182502</v>
      </c>
      <c r="AI3065">
        <v>91.647648725167699</v>
      </c>
      <c r="AJ3065">
        <v>89.219391119060603</v>
      </c>
      <c r="AK3065">
        <v>38.956361786306502</v>
      </c>
      <c r="AL3065">
        <v>97.173594840747299</v>
      </c>
      <c r="AM3065">
        <v>89.433605880622395</v>
      </c>
      <c r="AN3065">
        <v>1.00000002164423</v>
      </c>
    </row>
    <row r="3066" spans="1:40" x14ac:dyDescent="0.25">
      <c r="A3066" t="str">
        <f>"20190303154529984"</f>
        <v>20190303154529984</v>
      </c>
      <c r="B3066" t="str">
        <f>"1551599129974615"</f>
        <v>1551599129974615</v>
      </c>
      <c r="C3066" t="s">
        <v>40</v>
      </c>
      <c r="D3066">
        <v>5.2369589999999997</v>
      </c>
      <c r="E3066">
        <v>0.50299199999999999</v>
      </c>
      <c r="F3066" t="s">
        <v>55</v>
      </c>
      <c r="G3066">
        <v>-354.03160000000003</v>
      </c>
      <c r="H3066" s="1">
        <v>6.2740599999999997E-7</v>
      </c>
      <c r="I3066">
        <v>214.1867</v>
      </c>
      <c r="J3066">
        <v>-392.28710000000001</v>
      </c>
      <c r="K3066">
        <v>1.120107</v>
      </c>
      <c r="L3066">
        <v>214.4913</v>
      </c>
      <c r="M3066">
        <v>0.99994890000000003</v>
      </c>
      <c r="N3066">
        <v>-8.3393640000000002E-3</v>
      </c>
      <c r="O3066">
        <v>5.7219230000000003E-3</v>
      </c>
      <c r="P3066">
        <v>0.9910892</v>
      </c>
      <c r="Q3066">
        <v>-0.13312550000000001</v>
      </c>
      <c r="R3066">
        <v>-4.4878549999999998E-3</v>
      </c>
      <c r="S3066">
        <v>3.0150760000000001</v>
      </c>
      <c r="T3066">
        <v>-8.7691309999999995E-2</v>
      </c>
      <c r="U3066">
        <v>-2.3727419999999999E-2</v>
      </c>
      <c r="V3066">
        <v>1.015755E-2</v>
      </c>
      <c r="W3066">
        <v>-0.1248563</v>
      </c>
      <c r="X3066">
        <v>0.99212279999999997</v>
      </c>
      <c r="Y3066">
        <v>1.3582550000000001E-2</v>
      </c>
      <c r="Z3066">
        <v>-3.7279719999999998E-4</v>
      </c>
      <c r="AA3066">
        <v>0.99990769999999995</v>
      </c>
      <c r="AB3066">
        <v>26</v>
      </c>
      <c r="AC3066">
        <v>38.255499999999898</v>
      </c>
      <c r="AD3066">
        <v>-1.1201063725939999</v>
      </c>
      <c r="AE3066">
        <v>-0.30459999999999299</v>
      </c>
      <c r="AF3066">
        <v>0.52304926128024898</v>
      </c>
      <c r="AG3066">
        <v>-1.1201063725939999</v>
      </c>
      <c r="AH3066">
        <v>38.220366654557601</v>
      </c>
      <c r="AI3066">
        <v>91.678503002708993</v>
      </c>
      <c r="AJ3066">
        <v>89.215950888757206</v>
      </c>
      <c r="AK3066">
        <v>38.240353633622</v>
      </c>
      <c r="AL3066">
        <v>97.172457648510999</v>
      </c>
      <c r="AM3066">
        <v>89.413414940380207</v>
      </c>
      <c r="AN3066">
        <v>0.99999996087576504</v>
      </c>
    </row>
    <row r="3067" spans="1:40" x14ac:dyDescent="0.25">
      <c r="A3067" t="str">
        <f>"20190303154530007"</f>
        <v>20190303154530007</v>
      </c>
      <c r="B3067" t="str">
        <f>"1551599130003895"</f>
        <v>1551599130003895</v>
      </c>
      <c r="C3067" t="s">
        <v>40</v>
      </c>
      <c r="D3067">
        <v>5.2272619999999996</v>
      </c>
      <c r="E3067">
        <v>0.50295199999999995</v>
      </c>
      <c r="F3067" t="s">
        <v>55</v>
      </c>
      <c r="G3067">
        <v>-353.95659999999998</v>
      </c>
      <c r="H3067" s="1">
        <v>5.8804489999999995E-7</v>
      </c>
      <c r="I3067">
        <v>214.17429999999999</v>
      </c>
      <c r="J3067">
        <v>-392.01589999999999</v>
      </c>
      <c r="K3067">
        <v>1.1201110000000001</v>
      </c>
      <c r="L3067">
        <v>214.49289999999999</v>
      </c>
      <c r="M3067">
        <v>0.99994870000000002</v>
      </c>
      <c r="N3067">
        <v>-8.3525530000000004E-3</v>
      </c>
      <c r="O3067">
        <v>5.7389750000000003E-3</v>
      </c>
      <c r="P3067">
        <v>0.99107610000000002</v>
      </c>
      <c r="Q3067">
        <v>-0.13322000000000001</v>
      </c>
      <c r="R3067">
        <v>-4.5438780000000003E-3</v>
      </c>
      <c r="S3067">
        <v>3.0149840000000001</v>
      </c>
      <c r="T3067">
        <v>-8.8104959999999996E-2</v>
      </c>
      <c r="U3067">
        <v>-2.4932860000000001E-2</v>
      </c>
      <c r="V3067">
        <v>1.023075E-2</v>
      </c>
      <c r="W3067">
        <v>-0.1249378</v>
      </c>
      <c r="X3067">
        <v>0.99211179999999999</v>
      </c>
      <c r="Y3067">
        <v>1.3999269999999999E-2</v>
      </c>
      <c r="Z3067">
        <v>-3.8272209999999998E-4</v>
      </c>
      <c r="AA3067">
        <v>0.99990199999999996</v>
      </c>
      <c r="AB3067">
        <v>26</v>
      </c>
      <c r="AC3067">
        <v>38.0593</v>
      </c>
      <c r="AD3067">
        <v>-1.1201104119551</v>
      </c>
      <c r="AE3067">
        <v>-0.31860000000000299</v>
      </c>
      <c r="AF3067">
        <v>0.53655901683036999</v>
      </c>
      <c r="AG3067">
        <v>-1.1201104119551</v>
      </c>
      <c r="AH3067">
        <v>38.023912060743903</v>
      </c>
      <c r="AI3067">
        <v>91.687166267380405</v>
      </c>
      <c r="AJ3067">
        <v>89.191547497757796</v>
      </c>
      <c r="AK3067">
        <v>38.044190506786897</v>
      </c>
      <c r="AL3067">
        <v>97.177164020880596</v>
      </c>
      <c r="AM3067">
        <v>89.409181485760499</v>
      </c>
      <c r="AN3067">
        <v>0.99999997290682097</v>
      </c>
    </row>
    <row r="3068" spans="1:40" x14ac:dyDescent="0.25">
      <c r="A3068" t="str">
        <f>"20190303154530032"</f>
        <v>20190303154530032</v>
      </c>
      <c r="B3068" t="str">
        <f>"1551599130024392"</f>
        <v>1551599130024392</v>
      </c>
      <c r="C3068" t="s">
        <v>40</v>
      </c>
      <c r="D3068">
        <v>5.2410310000000004</v>
      </c>
      <c r="E3068">
        <v>0.50299079999999996</v>
      </c>
      <c r="F3068" t="s">
        <v>55</v>
      </c>
      <c r="G3068">
        <v>-354.33800000000002</v>
      </c>
      <c r="H3068" s="1">
        <v>7.9063170000000001E-7</v>
      </c>
      <c r="I3068">
        <v>214.18340000000001</v>
      </c>
      <c r="J3068">
        <v>-391.73410000000001</v>
      </c>
      <c r="K3068">
        <v>1.1201099999999999</v>
      </c>
      <c r="L3068">
        <v>214.49449999999999</v>
      </c>
      <c r="M3068">
        <v>0.99994850000000002</v>
      </c>
      <c r="N3068">
        <v>-8.3665370000000003E-3</v>
      </c>
      <c r="O3068">
        <v>5.7567390000000003E-3</v>
      </c>
      <c r="P3068">
        <v>0.99103529999999995</v>
      </c>
      <c r="Q3068">
        <v>-0.1335016</v>
      </c>
      <c r="R3068">
        <v>-5.1475799999999997E-3</v>
      </c>
      <c r="S3068">
        <v>3.014923</v>
      </c>
      <c r="T3068">
        <v>-8.9629410000000007E-2</v>
      </c>
      <c r="U3068">
        <v>-2.476501E-2</v>
      </c>
      <c r="V3068">
        <v>1.085176E-2</v>
      </c>
      <c r="W3068">
        <v>-0.12520590000000001</v>
      </c>
      <c r="X3068">
        <v>0.99207140000000005</v>
      </c>
      <c r="Y3068">
        <v>1.396126E-2</v>
      </c>
      <c r="Z3068">
        <v>-3.8884020000000001E-4</v>
      </c>
      <c r="AA3068">
        <v>0.99990250000000003</v>
      </c>
      <c r="AB3068">
        <v>26</v>
      </c>
      <c r="AC3068">
        <v>37.396099999999898</v>
      </c>
      <c r="AD3068">
        <v>-1.1201092093682901</v>
      </c>
      <c r="AE3068">
        <v>-0.311099999999981</v>
      </c>
      <c r="AF3068">
        <v>0.52591016083815101</v>
      </c>
      <c r="AG3068">
        <v>-1.1201092093682901</v>
      </c>
      <c r="AH3068">
        <v>37.360173717609101</v>
      </c>
      <c r="AI3068">
        <v>91.717121549947294</v>
      </c>
      <c r="AJ3068">
        <v>89.193514388220393</v>
      </c>
      <c r="AK3068">
        <v>37.380660860237803</v>
      </c>
      <c r="AL3068">
        <v>97.1926466120225</v>
      </c>
      <c r="AM3068">
        <v>89.373295861464101</v>
      </c>
      <c r="AN3068">
        <v>0.99999997039393296</v>
      </c>
    </row>
    <row r="3069" spans="1:40" x14ac:dyDescent="0.25">
      <c r="A3069" t="str">
        <f>"20190303154530054"</f>
        <v>20190303154530054</v>
      </c>
      <c r="B3069" t="str">
        <f>"1551599130043911"</f>
        <v>1551599130043911</v>
      </c>
      <c r="C3069" t="s">
        <v>40</v>
      </c>
      <c r="D3069">
        <v>5.2503970000000004</v>
      </c>
      <c r="E3069">
        <v>0.50298909999999997</v>
      </c>
      <c r="F3069" t="s">
        <v>55</v>
      </c>
      <c r="G3069">
        <v>-354.34679999999997</v>
      </c>
      <c r="H3069" s="1">
        <v>7.9630909999999998E-7</v>
      </c>
      <c r="I3069">
        <v>214.15960000000001</v>
      </c>
      <c r="J3069">
        <v>-391.4649</v>
      </c>
      <c r="K3069">
        <v>1.1201049999999999</v>
      </c>
      <c r="L3069">
        <v>214.49610000000001</v>
      </c>
      <c r="M3069">
        <v>0.99994830000000001</v>
      </c>
      <c r="N3069">
        <v>-8.3801689999999998E-3</v>
      </c>
      <c r="O3069">
        <v>5.7738479999999998E-3</v>
      </c>
      <c r="P3069">
        <v>0.99097219999999997</v>
      </c>
      <c r="Q3069">
        <v>-0.1339455</v>
      </c>
      <c r="R3069">
        <v>-5.7531539999999999E-3</v>
      </c>
      <c r="S3069">
        <v>3.0148009999999998</v>
      </c>
      <c r="T3069">
        <v>-9.0322139999999995E-2</v>
      </c>
      <c r="U3069">
        <v>-2.700806E-2</v>
      </c>
      <c r="V3069">
        <v>1.1473789999999999E-2</v>
      </c>
      <c r="W3069">
        <v>-0.12563679999999999</v>
      </c>
      <c r="X3069">
        <v>0.9920099</v>
      </c>
      <c r="Y3069">
        <v>1.4722000000000001E-2</v>
      </c>
      <c r="Z3069">
        <v>-4.0674739999999997E-4</v>
      </c>
      <c r="AA3069">
        <v>0.99989150000000004</v>
      </c>
      <c r="AB3069">
        <v>26</v>
      </c>
      <c r="AC3069">
        <v>37.118099999999998</v>
      </c>
      <c r="AD3069">
        <v>-1.1201042036908999</v>
      </c>
      <c r="AE3069">
        <v>-0.33650000000000002</v>
      </c>
      <c r="AF3069">
        <v>0.55031506964727905</v>
      </c>
      <c r="AG3069">
        <v>-1.1201042036908999</v>
      </c>
      <c r="AH3069">
        <v>37.081773008305397</v>
      </c>
      <c r="AI3069">
        <v>91.729978648910205</v>
      </c>
      <c r="AJ3069">
        <v>89.149759738134605</v>
      </c>
      <c r="AK3069">
        <v>37.102767680356301</v>
      </c>
      <c r="AL3069">
        <v>97.217532035026295</v>
      </c>
      <c r="AM3069">
        <v>89.337334809499794</v>
      </c>
      <c r="AN3069">
        <v>0.99999994753460497</v>
      </c>
    </row>
    <row r="3070" spans="1:40" x14ac:dyDescent="0.25">
      <c r="A3070" t="str">
        <f>"20190303154530096"</f>
        <v>20190303154530096</v>
      </c>
      <c r="B3070" t="str">
        <f>"1551599130093688"</f>
        <v>1551599130093688</v>
      </c>
      <c r="C3070" t="s">
        <v>40</v>
      </c>
      <c r="D3070">
        <v>5.2400140000000004</v>
      </c>
      <c r="E3070">
        <v>0.50304589999999905</v>
      </c>
      <c r="F3070" t="s">
        <v>55</v>
      </c>
      <c r="G3070">
        <v>-354.86860000000001</v>
      </c>
      <c r="H3070" s="1">
        <v>1.074628E-6</v>
      </c>
      <c r="I3070">
        <v>214.1456</v>
      </c>
      <c r="J3070">
        <v>-390.96269999999998</v>
      </c>
      <c r="K3070">
        <v>1.1201019999999999</v>
      </c>
      <c r="L3070">
        <v>214.499</v>
      </c>
      <c r="M3070">
        <v>0.9999479</v>
      </c>
      <c r="N3070">
        <v>-8.4062679999999997E-3</v>
      </c>
      <c r="O3070">
        <v>5.8053280000000002E-3</v>
      </c>
      <c r="P3070">
        <v>0.99091910000000005</v>
      </c>
      <c r="Q3070">
        <v>-0.13435949999999999</v>
      </c>
      <c r="R3070">
        <v>-5.2382820000000004E-3</v>
      </c>
      <c r="S3070">
        <v>3.0146790000000001</v>
      </c>
      <c r="T3070">
        <v>-9.2270370000000004E-2</v>
      </c>
      <c r="U3070">
        <v>-2.886963E-2</v>
      </c>
      <c r="V3070">
        <v>1.0989850000000001E-2</v>
      </c>
      <c r="W3070">
        <v>-0.12602530000000001</v>
      </c>
      <c r="X3070">
        <v>0.99196609999999996</v>
      </c>
      <c r="Y3070">
        <v>1.5370409999999999E-2</v>
      </c>
      <c r="Z3070">
        <v>-4.2863299999999999E-4</v>
      </c>
      <c r="AA3070">
        <v>0.99988180000000004</v>
      </c>
      <c r="AB3070">
        <v>26</v>
      </c>
      <c r="AC3070">
        <v>36.094099999999898</v>
      </c>
      <c r="AD3070">
        <v>-1.120100925372</v>
      </c>
      <c r="AE3070">
        <v>-0.35340000000002098</v>
      </c>
      <c r="AF3070">
        <v>0.56239796314796897</v>
      </c>
      <c r="AG3070">
        <v>-1.120100925372</v>
      </c>
      <c r="AH3070">
        <v>36.056719519176603</v>
      </c>
      <c r="AI3070">
        <v>91.779103213950904</v>
      </c>
      <c r="AJ3070">
        <v>89.106396328305706</v>
      </c>
      <c r="AK3070">
        <v>36.078496920417003</v>
      </c>
      <c r="AL3070">
        <v>97.239969783483403</v>
      </c>
      <c r="AM3070">
        <v>89.365254253975806</v>
      </c>
      <c r="AN3070">
        <v>0.99999994829615901</v>
      </c>
    </row>
    <row r="3071" spans="1:40" x14ac:dyDescent="0.25">
      <c r="A3071" t="str">
        <f>"20190303154530118"</f>
        <v>20190303154530118</v>
      </c>
      <c r="B3071" t="str">
        <f>"1551599130114183"</f>
        <v>1551599130114183</v>
      </c>
      <c r="C3071" t="s">
        <v>40</v>
      </c>
      <c r="D3071">
        <v>5.2474939999999997</v>
      </c>
      <c r="E3071">
        <v>0.50301070000000003</v>
      </c>
      <c r="F3071" t="s">
        <v>55</v>
      </c>
      <c r="G3071">
        <v>-355.38709999999998</v>
      </c>
      <c r="H3071" s="1">
        <v>1.3493449999999999E-6</v>
      </c>
      <c r="I3071">
        <v>214.17330000000001</v>
      </c>
      <c r="J3071">
        <v>-390.70060000000001</v>
      </c>
      <c r="K3071">
        <v>1.120107</v>
      </c>
      <c r="L3071">
        <v>214.50059999999999</v>
      </c>
      <c r="M3071">
        <v>0.99994769999999999</v>
      </c>
      <c r="N3071">
        <v>-8.4199169999999903E-3</v>
      </c>
      <c r="O3071">
        <v>5.8220779999999996E-3</v>
      </c>
      <c r="P3071">
        <v>0.99093850000000006</v>
      </c>
      <c r="Q3071">
        <v>-0.13422999999999999</v>
      </c>
      <c r="R3071">
        <v>-4.8414309999999898E-3</v>
      </c>
      <c r="S3071">
        <v>3.0144350000000002</v>
      </c>
      <c r="T3071">
        <v>-9.4909789999999994E-2</v>
      </c>
      <c r="U3071">
        <v>-2.760315E-2</v>
      </c>
      <c r="V3071">
        <v>1.060968E-2</v>
      </c>
      <c r="W3071">
        <v>-0.1258821</v>
      </c>
      <c r="X3071">
        <v>0.99198850000000005</v>
      </c>
      <c r="Y3071">
        <v>1.496755E-2</v>
      </c>
      <c r="Z3071">
        <v>-4.3284680000000002E-4</v>
      </c>
      <c r="AA3071">
        <v>0.99988790000000005</v>
      </c>
      <c r="AB3071">
        <v>27</v>
      </c>
      <c r="AC3071">
        <v>35.313499999999998</v>
      </c>
      <c r="AD3071">
        <v>-1.120105650655</v>
      </c>
      <c r="AE3071">
        <v>-0.327299999999979</v>
      </c>
      <c r="AF3071">
        <v>0.53236411244774295</v>
      </c>
      <c r="AG3071">
        <v>-1.120105650655</v>
      </c>
      <c r="AH3071">
        <v>35.275508558850298</v>
      </c>
      <c r="AI3071">
        <v>91.818498815915305</v>
      </c>
      <c r="AJ3071">
        <v>89.135380248898599</v>
      </c>
      <c r="AK3071">
        <v>35.297302337464401</v>
      </c>
      <c r="AL3071">
        <v>97.231698594278299</v>
      </c>
      <c r="AM3071">
        <v>89.387224036809798</v>
      </c>
      <c r="AN3071">
        <v>1.0000000262711799</v>
      </c>
    </row>
    <row r="3072" spans="1:40" x14ac:dyDescent="0.25">
      <c r="A3072" t="str">
        <f>"20190303154530142"</f>
        <v>20190303154530142</v>
      </c>
      <c r="B3072" t="str">
        <f>"1551599130133703"</f>
        <v>1551599130133703</v>
      </c>
      <c r="C3072" t="s">
        <v>40</v>
      </c>
      <c r="D3072">
        <v>5.276764</v>
      </c>
      <c r="E3072">
        <v>0.50293089999999996</v>
      </c>
      <c r="F3072" t="s">
        <v>55</v>
      </c>
      <c r="G3072">
        <v>-355.3553</v>
      </c>
      <c r="H3072" s="1">
        <v>1.3314439999999901E-6</v>
      </c>
      <c r="I3072">
        <v>214.19479999999999</v>
      </c>
      <c r="J3072">
        <v>-390.42140000000001</v>
      </c>
      <c r="K3072">
        <v>1.1201099999999999</v>
      </c>
      <c r="L3072">
        <v>214.50219999999999</v>
      </c>
      <c r="M3072">
        <v>0.99994740000000004</v>
      </c>
      <c r="N3072">
        <v>-8.4341880000000004E-3</v>
      </c>
      <c r="O3072">
        <v>5.8401969999999897E-3</v>
      </c>
      <c r="P3072">
        <v>0.99094800000000005</v>
      </c>
      <c r="Q3072">
        <v>-0.13418550000000001</v>
      </c>
      <c r="R3072">
        <v>-4.0483740000000004E-3</v>
      </c>
      <c r="S3072">
        <v>3.0143740000000001</v>
      </c>
      <c r="T3072">
        <v>-9.5526459999999994E-2</v>
      </c>
      <c r="U3072">
        <v>-2.607727E-2</v>
      </c>
      <c r="V3072">
        <v>9.8347120000000007E-3</v>
      </c>
      <c r="W3072">
        <v>-0.1258234</v>
      </c>
      <c r="X3072">
        <v>0.99200390000000005</v>
      </c>
      <c r="Y3072">
        <v>1.447991E-2</v>
      </c>
      <c r="Z3072">
        <v>-4.262394E-4</v>
      </c>
      <c r="AA3072">
        <v>0.99989510000000004</v>
      </c>
      <c r="AB3072">
        <v>27</v>
      </c>
      <c r="AC3072">
        <v>35.066099999999999</v>
      </c>
      <c r="AD3072">
        <v>-1.120108668556</v>
      </c>
      <c r="AE3072">
        <v>-0.30740000000000101</v>
      </c>
      <c r="AF3072">
        <v>0.511672928101646</v>
      </c>
      <c r="AG3072">
        <v>-1.120108668556</v>
      </c>
      <c r="AH3072">
        <v>35.027968866410397</v>
      </c>
      <c r="AI3072">
        <v>91.831359355601606</v>
      </c>
      <c r="AJ3072">
        <v>89.163108359353899</v>
      </c>
      <c r="AK3072">
        <v>35.049608493119301</v>
      </c>
      <c r="AL3072">
        <v>97.228308613812302</v>
      </c>
      <c r="AM3072">
        <v>89.431989097793902</v>
      </c>
      <c r="AN3072">
        <v>0.99999999358144598</v>
      </c>
    </row>
    <row r="3073" spans="1:40" x14ac:dyDescent="0.25">
      <c r="A3073" t="str">
        <f>"20190303154530162"</f>
        <v>20190303154530162</v>
      </c>
      <c r="B3073" t="str">
        <f>"1551599130154199"</f>
        <v>1551599130154199</v>
      </c>
      <c r="C3073" t="s">
        <v>40</v>
      </c>
      <c r="D3073">
        <v>5.2490920000000001</v>
      </c>
      <c r="E3073">
        <v>0.50289439999999996</v>
      </c>
      <c r="F3073" t="s">
        <v>55</v>
      </c>
      <c r="G3073">
        <v>-355.36450000000002</v>
      </c>
      <c r="H3073" s="1">
        <v>1.33465E-6</v>
      </c>
      <c r="I3073">
        <v>214.2337</v>
      </c>
      <c r="J3073">
        <v>-390.16300000000001</v>
      </c>
      <c r="K3073">
        <v>1.120107</v>
      </c>
      <c r="L3073">
        <v>214.50370000000001</v>
      </c>
      <c r="M3073">
        <v>0.99994720000000004</v>
      </c>
      <c r="N3073">
        <v>-8.4474949999999993E-3</v>
      </c>
      <c r="O3073">
        <v>5.8562350000000004E-3</v>
      </c>
      <c r="P3073">
        <v>0.99093319999999996</v>
      </c>
      <c r="Q3073">
        <v>-0.13430020000000001</v>
      </c>
      <c r="R3073">
        <v>-3.8619449999999999E-3</v>
      </c>
      <c r="S3073">
        <v>3.0142820000000001</v>
      </c>
      <c r="T3073">
        <v>-9.6309900000000004E-2</v>
      </c>
      <c r="U3073">
        <v>-2.3086550000000001E-2</v>
      </c>
      <c r="V3073">
        <v>9.6642240000000008E-3</v>
      </c>
      <c r="W3073">
        <v>-0.12592490000000001</v>
      </c>
      <c r="X3073">
        <v>0.99199269999999995</v>
      </c>
      <c r="Y3073">
        <v>1.350464E-2</v>
      </c>
      <c r="Z3073">
        <v>-4.1034900000000001E-4</v>
      </c>
      <c r="AA3073">
        <v>0.99990869999999998</v>
      </c>
      <c r="AB3073">
        <v>27</v>
      </c>
      <c r="AC3073">
        <v>34.798499999999898</v>
      </c>
      <c r="AD3073">
        <v>-1.1201056653499999</v>
      </c>
      <c r="AE3073">
        <v>-0.27000000000001001</v>
      </c>
      <c r="AF3073">
        <v>0.47330047724072</v>
      </c>
      <c r="AG3073">
        <v>-1.1201056653499999</v>
      </c>
      <c r="AH3073">
        <v>34.7603094007439</v>
      </c>
      <c r="AI3073">
        <v>91.845472228844898</v>
      </c>
      <c r="AJ3073">
        <v>89.219902108079395</v>
      </c>
      <c r="AK3073">
        <v>34.781572127762601</v>
      </c>
      <c r="AL3073">
        <v>97.234170734971499</v>
      </c>
      <c r="AM3073">
        <v>89.441828825522904</v>
      </c>
      <c r="AN3073">
        <v>0.99999999725941002</v>
      </c>
    </row>
    <row r="3074" spans="1:40" x14ac:dyDescent="0.25">
      <c r="A3074" t="str">
        <f>"20190303154530186"</f>
        <v>20190303154530186</v>
      </c>
      <c r="B3074" t="str">
        <f>"1551599130184455"</f>
        <v>1551599130184455</v>
      </c>
      <c r="C3074" t="s">
        <v>40</v>
      </c>
      <c r="D3074">
        <v>5.2303680000000004</v>
      </c>
      <c r="E3074">
        <v>0.50287079999999995</v>
      </c>
      <c r="F3074" t="s">
        <v>55</v>
      </c>
      <c r="G3074">
        <v>-355.44690000000003</v>
      </c>
      <c r="H3074" s="1">
        <v>1.377947E-6</v>
      </c>
      <c r="I3074">
        <v>214.24700000000001</v>
      </c>
      <c r="J3074">
        <v>-389.88310000000001</v>
      </c>
      <c r="K3074">
        <v>1.1201030000000001</v>
      </c>
      <c r="L3074">
        <v>214.50540000000001</v>
      </c>
      <c r="M3074">
        <v>0.99994709999999998</v>
      </c>
      <c r="N3074">
        <v>-8.4619819999999998E-3</v>
      </c>
      <c r="O3074">
        <v>5.8739949999999999E-3</v>
      </c>
      <c r="P3074">
        <v>0.99095370000000005</v>
      </c>
      <c r="Q3074">
        <v>-0.1341482</v>
      </c>
      <c r="R3074">
        <v>-3.9293820000000004E-3</v>
      </c>
      <c r="S3074">
        <v>3.0141909999999998</v>
      </c>
      <c r="T3074">
        <v>-9.7252249999999998E-2</v>
      </c>
      <c r="U3074">
        <v>-2.2293090000000002E-2</v>
      </c>
      <c r="V3074">
        <v>9.749242E-3</v>
      </c>
      <c r="W3074">
        <v>-0.12575839999999999</v>
      </c>
      <c r="X3074">
        <v>0.99201300000000003</v>
      </c>
      <c r="Y3074">
        <v>1.3259389999999999E-2</v>
      </c>
      <c r="Z3074">
        <v>-4.0974300000000001E-4</v>
      </c>
      <c r="AA3074">
        <v>0.99991200000000002</v>
      </c>
      <c r="AB3074">
        <v>27</v>
      </c>
      <c r="AC3074">
        <v>34.4361999999999</v>
      </c>
      <c r="AD3074">
        <v>-1.120101622053</v>
      </c>
      <c r="AE3074">
        <v>-0.25839999999999402</v>
      </c>
      <c r="AF3074">
        <v>0.46019396290993098</v>
      </c>
      <c r="AG3074">
        <v>-1.120101622053</v>
      </c>
      <c r="AH3074">
        <v>34.397697358573097</v>
      </c>
      <c r="AI3074">
        <v>91.8649123215298</v>
      </c>
      <c r="AJ3074">
        <v>89.233506865491094</v>
      </c>
      <c r="AK3074">
        <v>34.419006227652901</v>
      </c>
      <c r="AL3074">
        <v>97.224554467597997</v>
      </c>
      <c r="AM3074">
        <v>89.436930325119306</v>
      </c>
      <c r="AN3074">
        <v>1.0000000075295601</v>
      </c>
    </row>
    <row r="3075" spans="1:40" x14ac:dyDescent="0.25">
      <c r="A3075" t="str">
        <f>"20190303154530207"</f>
        <v>20190303154530207</v>
      </c>
      <c r="B3075" t="str">
        <f>"1551599130203976"</f>
        <v>1551599130203976</v>
      </c>
      <c r="C3075" t="s">
        <v>40</v>
      </c>
      <c r="D3075">
        <v>5.3841760000000001</v>
      </c>
      <c r="E3075">
        <v>0.51904859999999997</v>
      </c>
      <c r="F3075" t="s">
        <v>55</v>
      </c>
      <c r="G3075">
        <v>-355.25699999999898</v>
      </c>
      <c r="H3075" s="1">
        <v>1.2768410000000001E-6</v>
      </c>
      <c r="I3075">
        <v>214.24770000000001</v>
      </c>
      <c r="J3075">
        <v>-389.63010000000003</v>
      </c>
      <c r="K3075">
        <v>1.120104</v>
      </c>
      <c r="L3075">
        <v>214.5069</v>
      </c>
      <c r="M3075">
        <v>0.99994669999999997</v>
      </c>
      <c r="N3075">
        <v>-8.475158E-3</v>
      </c>
      <c r="O3075">
        <v>5.8899139999999996E-3</v>
      </c>
      <c r="P3075">
        <v>0.99093039999999999</v>
      </c>
      <c r="Q3075">
        <v>-0.13431019999999999</v>
      </c>
      <c r="R3075">
        <v>-4.1934219999999996E-3</v>
      </c>
      <c r="S3075">
        <v>3.0140989999999999</v>
      </c>
      <c r="T3075">
        <v>-9.7501400000000002E-2</v>
      </c>
      <c r="U3075">
        <v>-2.243042E-2</v>
      </c>
      <c r="V3075">
        <v>1.0029069999999999E-2</v>
      </c>
      <c r="W3075">
        <v>-0.12590750000000001</v>
      </c>
      <c r="X3075">
        <v>0.99199130000000002</v>
      </c>
      <c r="Y3075">
        <v>1.332099E-2</v>
      </c>
      <c r="Z3075">
        <v>-4.124353E-4</v>
      </c>
      <c r="AA3075">
        <v>0.9999112</v>
      </c>
      <c r="AB3075">
        <v>27</v>
      </c>
      <c r="AC3075">
        <v>34.373100000000001</v>
      </c>
      <c r="AD3075">
        <v>-1.1201027231589999</v>
      </c>
      <c r="AE3075">
        <v>-0.25919999999999199</v>
      </c>
      <c r="AF3075">
        <v>0.461167705690886</v>
      </c>
      <c r="AG3075">
        <v>-1.1201027231589999</v>
      </c>
      <c r="AH3075">
        <v>34.334519704294003</v>
      </c>
      <c r="AI3075">
        <v>91.868341956181396</v>
      </c>
      <c r="AJ3075">
        <v>89.230471996931101</v>
      </c>
      <c r="AK3075">
        <v>34.355880851576998</v>
      </c>
      <c r="AL3075">
        <v>97.233165697001098</v>
      </c>
      <c r="AM3075">
        <v>89.420757211607807</v>
      </c>
      <c r="AN3075">
        <v>1.0000000100385</v>
      </c>
    </row>
    <row r="3076" spans="1:40" x14ac:dyDescent="0.25">
      <c r="A3076" t="str">
        <f>"20190303154530232"</f>
        <v>20190303154530232</v>
      </c>
      <c r="B3076" t="str">
        <f>"1551599130224472"</f>
        <v>1551599130224472</v>
      </c>
      <c r="C3076" t="s">
        <v>40</v>
      </c>
      <c r="D3076">
        <v>4.2653840000000001</v>
      </c>
      <c r="E3076">
        <v>0.51904859999999997</v>
      </c>
      <c r="F3076" t="s">
        <v>53</v>
      </c>
      <c r="G3076">
        <v>-169.7122</v>
      </c>
      <c r="H3076">
        <v>7.1532099999999996</v>
      </c>
      <c r="I3076">
        <v>204.0163</v>
      </c>
      <c r="J3076">
        <v>-389.34559999999999</v>
      </c>
      <c r="K3076">
        <v>1.1201019999999999</v>
      </c>
      <c r="L3076">
        <v>214.5086</v>
      </c>
      <c r="M3076">
        <v>0.99994660000000002</v>
      </c>
      <c r="N3076">
        <v>-8.49006699999999E-3</v>
      </c>
      <c r="O3076">
        <v>5.9076719999999897E-3</v>
      </c>
      <c r="P3076">
        <v>0.99085789999999996</v>
      </c>
      <c r="Q3076">
        <v>-0.13484090000000001</v>
      </c>
      <c r="R3076">
        <v>-4.3125519999999999E-3</v>
      </c>
      <c r="S3076">
        <v>3.0381770000000001</v>
      </c>
      <c r="T3076">
        <v>8.3348160000000004E-2</v>
      </c>
      <c r="U3076">
        <v>-0.144928</v>
      </c>
      <c r="V3076">
        <v>1.016543E-2</v>
      </c>
      <c r="W3076">
        <v>-0.12642400000000001</v>
      </c>
      <c r="X3076">
        <v>0.99192420000000003</v>
      </c>
      <c r="Y3076">
        <v>5.353078E-2</v>
      </c>
      <c r="Z3076">
        <v>7.1837989999999998E-4</v>
      </c>
      <c r="AA3076">
        <v>0.99856590000000001</v>
      </c>
      <c r="AB3076">
        <v>27</v>
      </c>
      <c r="AC3076">
        <v>219.63339999999999</v>
      </c>
      <c r="AD3076">
        <v>6.0331080000000004</v>
      </c>
      <c r="AE3076">
        <v>-10.4923</v>
      </c>
      <c r="AF3076">
        <v>11.7808167032274</v>
      </c>
      <c r="AG3076">
        <v>6.0331080000000004</v>
      </c>
      <c r="AH3076">
        <v>219.402407578089</v>
      </c>
      <c r="AI3076">
        <v>88.427147259340799</v>
      </c>
      <c r="AJ3076">
        <v>86.926453532155904</v>
      </c>
      <c r="AK3076">
        <v>219.801279535394</v>
      </c>
      <c r="AL3076">
        <v>97.262997484624293</v>
      </c>
      <c r="AM3076">
        <v>89.412842385525096</v>
      </c>
      <c r="AN3076">
        <v>0.999999991144362</v>
      </c>
    </row>
    <row r="3077" spans="1:40" x14ac:dyDescent="0.25">
      <c r="A3077" t="str">
        <f>"20190303154530320"</f>
        <v>20190303154530320</v>
      </c>
      <c r="B3077" t="str">
        <f>"1551599130314263"</f>
        <v>1551599130314263</v>
      </c>
      <c r="C3077" t="s">
        <v>40</v>
      </c>
      <c r="D3077">
        <v>5.3162370000000001</v>
      </c>
      <c r="E3077">
        <v>0.54703630000000003</v>
      </c>
      <c r="F3077" t="s">
        <v>53</v>
      </c>
      <c r="G3077">
        <v>-169.71209999999999</v>
      </c>
      <c r="H3077">
        <v>7.0276789999999902</v>
      </c>
      <c r="I3077">
        <v>204.00620000000001</v>
      </c>
      <c r="J3077">
        <v>-388.26609999999999</v>
      </c>
      <c r="K3077">
        <v>1.1201099999999999</v>
      </c>
      <c r="L3077">
        <v>214.51499999999999</v>
      </c>
      <c r="M3077">
        <v>0.9999458</v>
      </c>
      <c r="N3077">
        <v>-8.5475880000000001E-3</v>
      </c>
      <c r="O3077">
        <v>5.9763280000000004E-3</v>
      </c>
      <c r="P3077">
        <v>0.99071399999999998</v>
      </c>
      <c r="Q3077">
        <v>-0.13586889999999999</v>
      </c>
      <c r="R3077">
        <v>-5.0444859999999999E-3</v>
      </c>
      <c r="S3077">
        <v>3.0381770000000001</v>
      </c>
      <c r="T3077">
        <v>8.1719639999999996E-2</v>
      </c>
      <c r="U3077">
        <v>-0.14527889999999999</v>
      </c>
      <c r="V3077">
        <v>1.096458E-2</v>
      </c>
      <c r="W3077">
        <v>-0.12739619999999999</v>
      </c>
      <c r="X3077">
        <v>0.99179130000000004</v>
      </c>
      <c r="Y3077">
        <v>5.371513E-2</v>
      </c>
      <c r="Z3077">
        <v>7.038042E-4</v>
      </c>
      <c r="AA3077">
        <v>0.99855609999999995</v>
      </c>
      <c r="AB3077">
        <v>27</v>
      </c>
      <c r="AC3077">
        <v>218.554</v>
      </c>
      <c r="AD3077">
        <v>5.9075689999999899</v>
      </c>
      <c r="AE3077">
        <v>-10.5087999999999</v>
      </c>
      <c r="AF3077">
        <v>11.806204053254101</v>
      </c>
      <c r="AG3077">
        <v>5.9075689999999899</v>
      </c>
      <c r="AH3077">
        <v>218.328140288399</v>
      </c>
      <c r="AI3077">
        <v>88.452316949550195</v>
      </c>
      <c r="AJ3077">
        <v>86.904716576123306</v>
      </c>
      <c r="AK3077">
        <v>218.72691345014599</v>
      </c>
      <c r="AL3077">
        <v>97.3191544650753</v>
      </c>
      <c r="AM3077">
        <v>89.366602060240595</v>
      </c>
      <c r="AN3077">
        <v>0.99999999827235297</v>
      </c>
    </row>
    <row r="3078" spans="1:40" x14ac:dyDescent="0.25">
      <c r="A3078" t="str">
        <f>"20190303154530342"</f>
        <v>20190303154530342</v>
      </c>
      <c r="B3078" t="str">
        <f>"1551599130333783"</f>
        <v>1551599130333783</v>
      </c>
      <c r="C3078" t="s">
        <v>40</v>
      </c>
      <c r="D3078">
        <v>5.2190810000000001</v>
      </c>
      <c r="E3078">
        <v>0.55620139999999996</v>
      </c>
      <c r="F3078" t="s">
        <v>42</v>
      </c>
      <c r="G3078">
        <v>-387.61189999999999</v>
      </c>
      <c r="H3078">
        <v>0.85925280000000004</v>
      </c>
      <c r="I3078">
        <v>214.41929999999999</v>
      </c>
      <c r="J3078">
        <v>-388.00740000000002</v>
      </c>
      <c r="K3078">
        <v>1.120112</v>
      </c>
      <c r="L3078">
        <v>214.51660000000001</v>
      </c>
      <c r="M3078">
        <v>0.99994550000000004</v>
      </c>
      <c r="N3078">
        <v>-8.56144E-3</v>
      </c>
      <c r="O3078">
        <v>5.9926010000000002E-3</v>
      </c>
      <c r="P3078">
        <v>0.99065139999999996</v>
      </c>
      <c r="Q3078">
        <v>-0.1362978</v>
      </c>
      <c r="R3078">
        <v>-5.7313019999999998E-3</v>
      </c>
      <c r="S3078">
        <v>2.86911</v>
      </c>
      <c r="T3078">
        <v>-1.143864</v>
      </c>
      <c r="U3078">
        <v>-0.41839599999999999</v>
      </c>
      <c r="V3078">
        <v>1.1666950000000001E-2</v>
      </c>
      <c r="W3078">
        <v>-0.12781199999999901</v>
      </c>
      <c r="X3078">
        <v>0.99172979999999999</v>
      </c>
      <c r="Y3078">
        <v>0.13911670000000001</v>
      </c>
      <c r="Z3078">
        <v>-2.9445539999999999E-2</v>
      </c>
      <c r="AA3078">
        <v>0.98983810000000005</v>
      </c>
      <c r="AB3078">
        <v>27</v>
      </c>
      <c r="AC3078">
        <v>0.395500000000026</v>
      </c>
      <c r="AD3078">
        <v>-0.26085920000000001</v>
      </c>
      <c r="AE3078">
        <v>-9.7300000000018302E-2</v>
      </c>
      <c r="AF3078">
        <v>7.0676655755773102E-2</v>
      </c>
      <c r="AG3078">
        <v>-0.26085920000000001</v>
      </c>
      <c r="AH3078">
        <v>0.28003760553589901</v>
      </c>
      <c r="AI3078">
        <v>132.08814428264</v>
      </c>
      <c r="AJ3078">
        <v>75.835338910210595</v>
      </c>
      <c r="AK3078">
        <v>0.38918346882638799</v>
      </c>
      <c r="AL3078">
        <v>97.343174317770504</v>
      </c>
      <c r="AM3078">
        <v>89.325989640204199</v>
      </c>
      <c r="AN3078">
        <v>1.00000001063717</v>
      </c>
    </row>
    <row r="3079" spans="1:40" x14ac:dyDescent="0.25">
      <c r="A3079" t="str">
        <f>"20190303154530386"</f>
        <v>20190303154530386</v>
      </c>
      <c r="B3079" t="str">
        <f>"1551599130383559"</f>
        <v>1551599130383559</v>
      </c>
      <c r="C3079" t="s">
        <v>40</v>
      </c>
      <c r="D3079">
        <v>5.1167449999999999</v>
      </c>
      <c r="E3079">
        <v>0.5572608</v>
      </c>
      <c r="F3079" t="s">
        <v>42</v>
      </c>
      <c r="G3079">
        <v>-387.15129999999999</v>
      </c>
      <c r="H3079">
        <v>0.78699739999999996</v>
      </c>
      <c r="I3079">
        <v>214.36930000000001</v>
      </c>
      <c r="J3079">
        <v>-387.45940000000002</v>
      </c>
      <c r="K3079">
        <v>1.1201099999999999</v>
      </c>
      <c r="L3079">
        <v>214.51990000000001</v>
      </c>
      <c r="M3079">
        <v>0.99994490000000003</v>
      </c>
      <c r="N3079">
        <v>-8.5908449999999997E-3</v>
      </c>
      <c r="O3079">
        <v>6.0274029999999998E-3</v>
      </c>
      <c r="P3079">
        <v>0.99065409999999998</v>
      </c>
      <c r="Q3079">
        <v>-0.1362641</v>
      </c>
      <c r="R3079">
        <v>-6.0706619999999897E-3</v>
      </c>
      <c r="S3079">
        <v>2.8717039999999998</v>
      </c>
      <c r="T3079">
        <v>-1.1174789999999999</v>
      </c>
      <c r="U3079">
        <v>-0.49302669999999998</v>
      </c>
      <c r="V3079">
        <v>1.2040810000000001E-2</v>
      </c>
      <c r="W3079">
        <v>-0.127749</v>
      </c>
      <c r="X3079">
        <v>0.99173339999999999</v>
      </c>
      <c r="Y3079">
        <v>0.16288540000000001</v>
      </c>
      <c r="Z3079">
        <v>-3.3303449999999998E-2</v>
      </c>
      <c r="AA3079">
        <v>0.98608280000000004</v>
      </c>
      <c r="AB3079">
        <v>27</v>
      </c>
      <c r="AC3079">
        <v>0.30810000000002402</v>
      </c>
      <c r="AD3079">
        <v>-0.33311259999999898</v>
      </c>
      <c r="AE3079">
        <v>-0.15059999999999699</v>
      </c>
      <c r="AF3079">
        <v>7.84422572606846E-2</v>
      </c>
      <c r="AG3079">
        <v>-0.33311259999999898</v>
      </c>
      <c r="AH3079">
        <v>0.15805655655942299</v>
      </c>
      <c r="AI3079">
        <v>152.08962166948101</v>
      </c>
      <c r="AJ3079">
        <v>63.605147658657103</v>
      </c>
      <c r="AK3079">
        <v>0.37696029906918999</v>
      </c>
      <c r="AL3079">
        <v>97.339535205107595</v>
      </c>
      <c r="AM3079">
        <v>89.304396020580796</v>
      </c>
      <c r="AN3079">
        <v>0.99999996239100697</v>
      </c>
    </row>
    <row r="3080" spans="1:40" x14ac:dyDescent="0.25">
      <c r="A3080" t="str">
        <f>"20190303154530408"</f>
        <v>20190303154530408</v>
      </c>
      <c r="B3080" t="str">
        <f>"1551599130404056"</f>
        <v>1551599130404056</v>
      </c>
      <c r="C3080" t="s">
        <v>40</v>
      </c>
      <c r="D3080">
        <v>5.1908789999999998</v>
      </c>
      <c r="E3080">
        <v>0.55445909999999998</v>
      </c>
      <c r="F3080" t="s">
        <v>42</v>
      </c>
      <c r="G3080">
        <v>-386.60149999999999</v>
      </c>
      <c r="H3080">
        <v>0.93059170000000002</v>
      </c>
      <c r="I3080">
        <v>214.37799999999999</v>
      </c>
      <c r="J3080">
        <v>-387.18540000000002</v>
      </c>
      <c r="K3080">
        <v>1.120109</v>
      </c>
      <c r="L3080">
        <v>214.52160000000001</v>
      </c>
      <c r="M3080">
        <v>0.99994470000000002</v>
      </c>
      <c r="N3080">
        <v>-8.605616E-3</v>
      </c>
      <c r="O3080">
        <v>6.0446859999999996E-3</v>
      </c>
      <c r="P3080">
        <v>0.99065630000000005</v>
      </c>
      <c r="Q3080">
        <v>-0.13624269999999999</v>
      </c>
      <c r="R3080">
        <v>-6.1852690000000002E-3</v>
      </c>
      <c r="S3080">
        <v>2.936096</v>
      </c>
      <c r="T3080">
        <v>-0.64861420000000003</v>
      </c>
      <c r="U3080">
        <v>-0.48449710000000001</v>
      </c>
      <c r="V3080">
        <v>1.217272E-2</v>
      </c>
      <c r="W3080">
        <v>-0.12771299999999999</v>
      </c>
      <c r="X3080">
        <v>0.99173650000000002</v>
      </c>
      <c r="Y3080">
        <v>0.16461909999999999</v>
      </c>
      <c r="Z3080">
        <v>-1.9831560000000002E-2</v>
      </c>
      <c r="AA3080">
        <v>0.98615779999999997</v>
      </c>
      <c r="AB3080">
        <v>27</v>
      </c>
      <c r="AC3080">
        <v>0.58390000000002795</v>
      </c>
      <c r="AD3080">
        <v>-0.1895173</v>
      </c>
      <c r="AE3080">
        <v>-0.14360000000001999</v>
      </c>
      <c r="AF3080">
        <v>0.133832312104993</v>
      </c>
      <c r="AG3080">
        <v>-0.1895173</v>
      </c>
      <c r="AH3080">
        <v>0.53033832471600095</v>
      </c>
      <c r="AI3080">
        <v>109.110659372237</v>
      </c>
      <c r="AJ3080">
        <v>75.836956149937507</v>
      </c>
      <c r="AK3080">
        <v>0.57886668018226195</v>
      </c>
      <c r="AL3080">
        <v>97.337454982899601</v>
      </c>
      <c r="AM3080">
        <v>89.296778468997104</v>
      </c>
      <c r="AN3080">
        <v>1.00000003545672</v>
      </c>
    </row>
    <row r="3081" spans="1:40" x14ac:dyDescent="0.25">
      <c r="A3081" t="str">
        <f>"20190303154530433"</f>
        <v>20190303154530433</v>
      </c>
      <c r="B3081" t="str">
        <f>"1551599130423575"</f>
        <v>1551599130423575</v>
      </c>
      <c r="C3081" t="s">
        <v>40</v>
      </c>
      <c r="D3081">
        <v>5.1328170000000002</v>
      </c>
      <c r="E3081">
        <v>0.55134969999999905</v>
      </c>
      <c r="F3081" t="s">
        <v>42</v>
      </c>
      <c r="G3081">
        <v>-386.35570000000001</v>
      </c>
      <c r="H3081">
        <v>0.93236079999999999</v>
      </c>
      <c r="I3081">
        <v>214.39080000000001</v>
      </c>
      <c r="J3081">
        <v>-386.8931</v>
      </c>
      <c r="K3081">
        <v>1.1201129999999999</v>
      </c>
      <c r="L3081">
        <v>214.52340000000001</v>
      </c>
      <c r="M3081">
        <v>0.99994459999999996</v>
      </c>
      <c r="N3081">
        <v>-8.6213899999999996E-3</v>
      </c>
      <c r="O3081">
        <v>6.0642930000000001E-3</v>
      </c>
      <c r="P3081">
        <v>0.99066140000000003</v>
      </c>
      <c r="Q3081">
        <v>-0.13620479999999999</v>
      </c>
      <c r="R3081">
        <v>-6.2399669999999999E-3</v>
      </c>
      <c r="S3081">
        <v>2.934113</v>
      </c>
      <c r="T3081">
        <v>-0.66393800000000003</v>
      </c>
      <c r="U3081">
        <v>-0.46313480000000001</v>
      </c>
      <c r="V3081">
        <v>1.224691E-2</v>
      </c>
      <c r="W3081">
        <v>-0.12765940000000001</v>
      </c>
      <c r="X3081">
        <v>0.99174240000000002</v>
      </c>
      <c r="Y3081">
        <v>0.1577161</v>
      </c>
      <c r="Z3081">
        <v>-1.950553E-2</v>
      </c>
      <c r="AA3081">
        <v>0.98729180000000005</v>
      </c>
      <c r="AB3081">
        <v>27</v>
      </c>
      <c r="AC3081">
        <v>0.537399999999991</v>
      </c>
      <c r="AD3081">
        <v>-0.18775219999999901</v>
      </c>
      <c r="AE3081">
        <v>-0.132599999999996</v>
      </c>
      <c r="AF3081">
        <v>0.121838446088587</v>
      </c>
      <c r="AG3081">
        <v>-0.18775219999999901</v>
      </c>
      <c r="AH3081">
        <v>0.48121904911440599</v>
      </c>
      <c r="AI3081">
        <v>110.717871848599</v>
      </c>
      <c r="AJ3081">
        <v>75.792021118766996</v>
      </c>
      <c r="AK3081">
        <v>0.53072334486123296</v>
      </c>
      <c r="AL3081">
        <v>97.334359224666002</v>
      </c>
      <c r="AM3081">
        <v>89.292497134361298</v>
      </c>
      <c r="AN3081">
        <v>0.99999994858533203</v>
      </c>
    </row>
    <row r="3082" spans="1:40" x14ac:dyDescent="0.25">
      <c r="A3082" t="str">
        <f>"20190303154530480"</f>
        <v>20190303154530480</v>
      </c>
      <c r="B3082" t="str">
        <f>"1551599130474328"</f>
        <v>1551599130474328</v>
      </c>
      <c r="C3082" t="s">
        <v>40</v>
      </c>
      <c r="D3082">
        <v>5.209244</v>
      </c>
      <c r="E3082">
        <v>0.55347089999999999</v>
      </c>
      <c r="F3082" t="s">
        <v>42</v>
      </c>
      <c r="G3082">
        <v>-386.1103</v>
      </c>
      <c r="H3082">
        <v>0.93201529999999999</v>
      </c>
      <c r="I3082">
        <v>214.40539999999999</v>
      </c>
      <c r="J3082">
        <v>-386.31259999999997</v>
      </c>
      <c r="K3082">
        <v>1.1201209999999999</v>
      </c>
      <c r="L3082">
        <v>214.52690000000001</v>
      </c>
      <c r="M3082">
        <v>0.99994400000000006</v>
      </c>
      <c r="N3082">
        <v>-8.6526009999999993E-3</v>
      </c>
      <c r="O3082">
        <v>6.1058359999999999E-3</v>
      </c>
      <c r="P3082">
        <v>0.99068199999999995</v>
      </c>
      <c r="Q3082">
        <v>-0.13608489999999901</v>
      </c>
      <c r="R3082">
        <v>-5.4772199999999997E-3</v>
      </c>
      <c r="S3082">
        <v>2.928741</v>
      </c>
      <c r="T3082">
        <v>-0.70373989999999997</v>
      </c>
      <c r="U3082">
        <v>-0.44032290000000002</v>
      </c>
      <c r="V3082">
        <v>1.1526049999999999E-2</v>
      </c>
      <c r="W3082">
        <v>-0.12750829999999999</v>
      </c>
      <c r="X3082">
        <v>0.9917705</v>
      </c>
      <c r="Y3082">
        <v>0.15021109999999999</v>
      </c>
      <c r="Z3082">
        <v>-1.9748209999999999E-2</v>
      </c>
      <c r="AA3082">
        <v>0.98845669999999997</v>
      </c>
      <c r="AB3082">
        <v>27</v>
      </c>
      <c r="AC3082">
        <v>0.202299999999979</v>
      </c>
      <c r="AD3082">
        <v>-0.18810569999999999</v>
      </c>
      <c r="AE3082">
        <v>-0.121500000000025</v>
      </c>
      <c r="AF3082">
        <v>7.50477791515749E-2</v>
      </c>
      <c r="AG3082">
        <v>-0.18810569999999999</v>
      </c>
      <c r="AH3082">
        <v>0.123244822134937</v>
      </c>
      <c r="AI3082">
        <v>142.508084566468</v>
      </c>
      <c r="AJ3082">
        <v>58.661405967559702</v>
      </c>
      <c r="AK3082">
        <v>0.23707637948801599</v>
      </c>
      <c r="AL3082">
        <v>97.325630337255006</v>
      </c>
      <c r="AM3082">
        <v>89.334156147905304</v>
      </c>
      <c r="AN3082">
        <v>0.99999997053387002</v>
      </c>
    </row>
    <row r="3083" spans="1:40" x14ac:dyDescent="0.25">
      <c r="A3083" t="str">
        <f>"20190303154530502"</f>
        <v>20190303154530502</v>
      </c>
      <c r="B3083" t="str">
        <f>"1551599130493847"</f>
        <v>1551599130493847</v>
      </c>
      <c r="C3083" t="s">
        <v>40</v>
      </c>
      <c r="D3083">
        <v>5.2246459999999999</v>
      </c>
      <c r="E3083">
        <v>0.55141409999999902</v>
      </c>
      <c r="F3083" t="s">
        <v>42</v>
      </c>
      <c r="G3083">
        <v>-385.60849999999999</v>
      </c>
      <c r="H3083">
        <v>0.95005830000000002</v>
      </c>
      <c r="I3083">
        <v>214.4171</v>
      </c>
      <c r="J3083">
        <v>-386.03410000000002</v>
      </c>
      <c r="K3083">
        <v>1.1201179999999999</v>
      </c>
      <c r="L3083">
        <v>214.52869999999999</v>
      </c>
      <c r="M3083">
        <v>0.99994369999999999</v>
      </c>
      <c r="N3083">
        <v>-8.6676059999999996E-3</v>
      </c>
      <c r="O3083">
        <v>6.1261029999999999E-3</v>
      </c>
      <c r="P3083">
        <v>0.99069070000000004</v>
      </c>
      <c r="Q3083">
        <v>-0.1360499</v>
      </c>
      <c r="R3083">
        <v>-4.7443989999999998E-3</v>
      </c>
      <c r="S3083">
        <v>2.9285890000000001</v>
      </c>
      <c r="T3083">
        <v>-0.7073585</v>
      </c>
      <c r="U3083">
        <v>-0.45529170000000002</v>
      </c>
      <c r="V3083">
        <v>1.0813430000000001E-2</v>
      </c>
      <c r="W3083">
        <v>-0.1274583</v>
      </c>
      <c r="X3083">
        <v>0.99178500000000003</v>
      </c>
      <c r="Y3083">
        <v>0.15499199999999999</v>
      </c>
      <c r="Z3083">
        <v>-2.0430920000000002E-2</v>
      </c>
      <c r="AA3083">
        <v>0.98770449999999999</v>
      </c>
      <c r="AB3083">
        <v>28</v>
      </c>
      <c r="AC3083">
        <v>0.42560000000003101</v>
      </c>
      <c r="AD3083">
        <v>-0.17005969999999901</v>
      </c>
      <c r="AE3083">
        <v>-0.11159999999998101</v>
      </c>
      <c r="AF3083">
        <v>9.9361681042386601E-2</v>
      </c>
      <c r="AG3083">
        <v>-0.17005969999999901</v>
      </c>
      <c r="AH3083">
        <v>0.36968174319181102</v>
      </c>
      <c r="AI3083">
        <v>113.95317669235</v>
      </c>
      <c r="AJ3083">
        <v>74.955795345123207</v>
      </c>
      <c r="AK3083">
        <v>0.41887663634176903</v>
      </c>
      <c r="AL3083">
        <v>97.322741636459796</v>
      </c>
      <c r="AM3083">
        <v>89.375328975014298</v>
      </c>
      <c r="AN3083">
        <v>1.0000000173661201</v>
      </c>
    </row>
    <row r="3084" spans="1:40" x14ac:dyDescent="0.25">
      <c r="A3084" t="str">
        <f>"20190303154530521"</f>
        <v>20190303154530521</v>
      </c>
      <c r="B3084" t="str">
        <f>"1551599130514343"</f>
        <v>1551599130514343</v>
      </c>
      <c r="C3084" t="s">
        <v>40</v>
      </c>
      <c r="D3084">
        <v>5.3022660000000004</v>
      </c>
      <c r="E3084">
        <v>0.55224079999999998</v>
      </c>
      <c r="F3084" t="s">
        <v>42</v>
      </c>
      <c r="G3084">
        <v>-385.13479999999998</v>
      </c>
      <c r="H3084">
        <v>0.898142</v>
      </c>
      <c r="I3084">
        <v>214.39400000000001</v>
      </c>
      <c r="J3084">
        <v>-385.79430000000002</v>
      </c>
      <c r="K3084">
        <v>1.1201209999999999</v>
      </c>
      <c r="L3084">
        <v>214.5301</v>
      </c>
      <c r="M3084">
        <v>0.99994340000000004</v>
      </c>
      <c r="N3084">
        <v>-8.6804589999999997E-3</v>
      </c>
      <c r="O3084">
        <v>6.1459030000000003E-3</v>
      </c>
      <c r="P3084">
        <v>0.9906973</v>
      </c>
      <c r="Q3084">
        <v>-0.13602500000000001</v>
      </c>
      <c r="R3084">
        <v>-4.0089359999999899E-3</v>
      </c>
      <c r="S3084">
        <v>2.9268800000000001</v>
      </c>
      <c r="T3084">
        <v>-0.72246969999999899</v>
      </c>
      <c r="U3084">
        <v>-0.43695070000000003</v>
      </c>
      <c r="V3084">
        <v>1.009797E-2</v>
      </c>
      <c r="W3084">
        <v>-0.12742059999999999</v>
      </c>
      <c r="X3084">
        <v>0.99179740000000005</v>
      </c>
      <c r="Y3084">
        <v>0.14902170000000001</v>
      </c>
      <c r="Z3084">
        <v>-2.0119379999999999E-2</v>
      </c>
      <c r="AA3084">
        <v>0.98862919999999999</v>
      </c>
      <c r="AB3084">
        <v>28</v>
      </c>
      <c r="AC3084">
        <v>0.65950000000003595</v>
      </c>
      <c r="AD3084">
        <v>-0.22197899999999901</v>
      </c>
      <c r="AE3084">
        <v>-0.136099999999999</v>
      </c>
      <c r="AF3084">
        <v>0.126414259190853</v>
      </c>
      <c r="AG3084">
        <v>-0.22197899999999901</v>
      </c>
      <c r="AH3084">
        <v>0.59409494629591098</v>
      </c>
      <c r="AI3084">
        <v>110.075354366959</v>
      </c>
      <c r="AJ3084">
        <v>77.987499398081496</v>
      </c>
      <c r="AK3084">
        <v>0.64668697727889501</v>
      </c>
      <c r="AL3084">
        <v>97.320563732044405</v>
      </c>
      <c r="AM3084">
        <v>89.416664056764802</v>
      </c>
      <c r="AN3084">
        <v>1.0000000304746199</v>
      </c>
    </row>
    <row r="3085" spans="1:40" x14ac:dyDescent="0.25">
      <c r="A3085" t="str">
        <f>"20190303154530544"</f>
        <v>20190303154530544</v>
      </c>
      <c r="B3085" t="str">
        <f>"1551599130533864"</f>
        <v>1551599130533864</v>
      </c>
      <c r="C3085" t="s">
        <v>40</v>
      </c>
      <c r="D3085">
        <v>5.3346200000000001</v>
      </c>
      <c r="E3085">
        <v>0.55301499999999904</v>
      </c>
      <c r="F3085" t="s">
        <v>42</v>
      </c>
      <c r="G3085">
        <v>-384.8879</v>
      </c>
      <c r="H3085">
        <v>0.89389540000000001</v>
      </c>
      <c r="I3085">
        <v>214.39320000000001</v>
      </c>
      <c r="J3085">
        <v>-385.51859999999999</v>
      </c>
      <c r="K3085">
        <v>1.1201299999999901</v>
      </c>
      <c r="L3085">
        <v>214.53190000000001</v>
      </c>
      <c r="M3085">
        <v>0.99994329999999998</v>
      </c>
      <c r="N3085">
        <v>-8.6952350000000008E-3</v>
      </c>
      <c r="O3085">
        <v>6.1708919999999999E-3</v>
      </c>
      <c r="P3085">
        <v>0.990811</v>
      </c>
      <c r="Q3085">
        <v>-0.13519400000000001</v>
      </c>
      <c r="R3085">
        <v>-4.0038950000000004E-3</v>
      </c>
      <c r="S3085">
        <v>2.9261469999999998</v>
      </c>
      <c r="T3085">
        <v>-0.73033859999999995</v>
      </c>
      <c r="U3085">
        <v>-0.44160460000000001</v>
      </c>
      <c r="V3085">
        <v>1.0119090000000001E-2</v>
      </c>
      <c r="W3085">
        <v>-0.12657389999999999</v>
      </c>
      <c r="X3085">
        <v>0.99190560000000005</v>
      </c>
      <c r="Y3085">
        <v>0.15047289999999999</v>
      </c>
      <c r="Z3085">
        <v>-2.0519320000000001E-2</v>
      </c>
      <c r="AA3085">
        <v>0.98840119999999998</v>
      </c>
      <c r="AB3085">
        <v>28</v>
      </c>
      <c r="AC3085">
        <v>0.63069999999999005</v>
      </c>
      <c r="AD3085">
        <v>-0.22623459999999901</v>
      </c>
      <c r="AE3085">
        <v>-0.13869999999999999</v>
      </c>
      <c r="AF3085">
        <v>0.12700214596456</v>
      </c>
      <c r="AG3085">
        <v>-0.22623459999999901</v>
      </c>
      <c r="AH3085">
        <v>0.560981207521839</v>
      </c>
      <c r="AI3085">
        <v>111.47119689311199</v>
      </c>
      <c r="AJ3085">
        <v>77.243679074965996</v>
      </c>
      <c r="AK3085">
        <v>0.61807083292242804</v>
      </c>
      <c r="AL3085">
        <v>97.271655364224401</v>
      </c>
      <c r="AM3085">
        <v>89.415507849347307</v>
      </c>
      <c r="AN3085">
        <v>1.0000000337274899</v>
      </c>
    </row>
    <row r="3086" spans="1:40" x14ac:dyDescent="0.25">
      <c r="A3086" t="str">
        <f>"20190303154530566"</f>
        <v>20190303154530566</v>
      </c>
      <c r="B3086" t="str">
        <f>"1551599130554360"</f>
        <v>1551599130554360</v>
      </c>
      <c r="C3086" t="s">
        <v>40</v>
      </c>
      <c r="D3086">
        <v>5.3707229999999999</v>
      </c>
      <c r="E3086">
        <v>0.55351839999999997</v>
      </c>
      <c r="F3086" t="s">
        <v>42</v>
      </c>
      <c r="G3086">
        <v>-384.63760000000002</v>
      </c>
      <c r="H3086">
        <v>0.89719720000000003</v>
      </c>
      <c r="I3086">
        <v>214.39670000000001</v>
      </c>
      <c r="J3086">
        <v>-385.2441</v>
      </c>
      <c r="K3086">
        <v>1.1201380000000001</v>
      </c>
      <c r="L3086">
        <v>214.53360000000001</v>
      </c>
      <c r="M3086">
        <v>0.99994280000000002</v>
      </c>
      <c r="N3086">
        <v>-8.7098929999999998E-3</v>
      </c>
      <c r="O3086">
        <v>6.198088E-3</v>
      </c>
      <c r="P3086">
        <v>0.99088050000000005</v>
      </c>
      <c r="Q3086">
        <v>-0.1346753</v>
      </c>
      <c r="R3086">
        <v>-4.2824830000000001E-3</v>
      </c>
      <c r="S3086">
        <v>2.9250180000000001</v>
      </c>
      <c r="T3086">
        <v>-0.74019309999999905</v>
      </c>
      <c r="U3086">
        <v>-0.4478607</v>
      </c>
      <c r="V3086">
        <v>1.042555E-2</v>
      </c>
      <c r="W3086">
        <v>-0.12604000000000001</v>
      </c>
      <c r="X3086">
        <v>0.99197040000000003</v>
      </c>
      <c r="Y3086">
        <v>0.1524287</v>
      </c>
      <c r="Z3086">
        <v>-2.1043180000000002E-2</v>
      </c>
      <c r="AA3086">
        <v>0.98809040000000004</v>
      </c>
      <c r="AB3086">
        <v>28</v>
      </c>
      <c r="AC3086">
        <v>0.60649999999998205</v>
      </c>
      <c r="AD3086">
        <v>-0.222940799999999</v>
      </c>
      <c r="AE3086">
        <v>-0.136899999999997</v>
      </c>
      <c r="AF3086">
        <v>0.12463277443123</v>
      </c>
      <c r="AG3086">
        <v>-0.222940799999999</v>
      </c>
      <c r="AH3086">
        <v>0.53664413747187301</v>
      </c>
      <c r="AI3086">
        <v>112.031459342769</v>
      </c>
      <c r="AJ3086">
        <v>76.925143646371794</v>
      </c>
      <c r="AK3086">
        <v>0.59432554972001395</v>
      </c>
      <c r="AL3086">
        <v>97.240818249766505</v>
      </c>
      <c r="AM3086">
        <v>89.397846929979494</v>
      </c>
      <c r="AN3086">
        <v>1.00000002408448</v>
      </c>
    </row>
    <row r="3087" spans="1:40" x14ac:dyDescent="0.25">
      <c r="A3087" t="str">
        <f>"20190303154530588"</f>
        <v>20190303154530588</v>
      </c>
      <c r="B3087" t="str">
        <f>"1551599130583640"</f>
        <v>1551599130583640</v>
      </c>
      <c r="C3087" t="s">
        <v>40</v>
      </c>
      <c r="D3087">
        <v>5.3986859999999997</v>
      </c>
      <c r="E3087">
        <v>0.55366930000000003</v>
      </c>
      <c r="F3087" t="s">
        <v>42</v>
      </c>
      <c r="G3087">
        <v>-384.38670000000002</v>
      </c>
      <c r="H3087">
        <v>0.90078199999999997</v>
      </c>
      <c r="I3087">
        <v>214.4007</v>
      </c>
      <c r="J3087">
        <v>-384.9588</v>
      </c>
      <c r="K3087">
        <v>1.1201399999999999</v>
      </c>
      <c r="L3087">
        <v>214.53540000000001</v>
      </c>
      <c r="M3087">
        <v>0.99994269999999996</v>
      </c>
      <c r="N3087">
        <v>-8.7249800000000002E-3</v>
      </c>
      <c r="O3087">
        <v>6.228801E-3</v>
      </c>
      <c r="P3087">
        <v>0.99084720000000004</v>
      </c>
      <c r="Q3087">
        <v>-0.13488329999999901</v>
      </c>
      <c r="R3087">
        <v>-5.3654039999999998E-3</v>
      </c>
      <c r="S3087">
        <v>2.9239809999999999</v>
      </c>
      <c r="T3087">
        <v>-0.74808869999999905</v>
      </c>
      <c r="U3087">
        <v>-0.45300289999999999</v>
      </c>
      <c r="V3087">
        <v>1.1539280000000001E-2</v>
      </c>
      <c r="W3087">
        <v>-0.12623329999999999</v>
      </c>
      <c r="X3087">
        <v>0.99193350000000002</v>
      </c>
      <c r="Y3087">
        <v>0.15404779999999901</v>
      </c>
      <c r="Z3087">
        <v>-2.147748E-2</v>
      </c>
      <c r="AA3087">
        <v>0.98782990000000004</v>
      </c>
      <c r="AB3087">
        <v>28</v>
      </c>
      <c r="AC3087">
        <v>0.57209999999997696</v>
      </c>
      <c r="AD3087">
        <v>-0.219357999999999</v>
      </c>
      <c r="AE3087">
        <v>-0.13470000000000901</v>
      </c>
      <c r="AF3087">
        <v>0.12135679326492201</v>
      </c>
      <c r="AG3087">
        <v>-0.219357999999999</v>
      </c>
      <c r="AH3087">
        <v>0.50140705224131399</v>
      </c>
      <c r="AI3087">
        <v>113.035577312641</v>
      </c>
      <c r="AJ3087">
        <v>76.394207338035898</v>
      </c>
      <c r="AK3087">
        <v>0.560584012858794</v>
      </c>
      <c r="AL3087">
        <v>97.251982617988304</v>
      </c>
      <c r="AM3087">
        <v>89.333501469005299</v>
      </c>
      <c r="AN3087">
        <v>1.0000000347170199</v>
      </c>
    </row>
    <row r="3088" spans="1:40" x14ac:dyDescent="0.25">
      <c r="A3088" t="str">
        <f>"20190303154530610"</f>
        <v>20190303154530610</v>
      </c>
      <c r="B3088" t="str">
        <f>"1551599130604136"</f>
        <v>1551599130604136</v>
      </c>
      <c r="C3088" t="s">
        <v>40</v>
      </c>
      <c r="D3088">
        <v>5.4016900000000003</v>
      </c>
      <c r="E3088">
        <v>0.55392969999999997</v>
      </c>
      <c r="F3088" t="s">
        <v>42</v>
      </c>
      <c r="G3088">
        <v>-384.13510000000002</v>
      </c>
      <c r="H3088">
        <v>0.90520929999999999</v>
      </c>
      <c r="I3088">
        <v>214.40600000000001</v>
      </c>
      <c r="J3088">
        <v>-384.68340000000001</v>
      </c>
      <c r="K3088">
        <v>1.1201380000000001</v>
      </c>
      <c r="L3088">
        <v>214.53710000000001</v>
      </c>
      <c r="M3088">
        <v>0.99994240000000001</v>
      </c>
      <c r="N3088">
        <v>-8.7394810000000003E-3</v>
      </c>
      <c r="O3088">
        <v>6.262564E-3</v>
      </c>
      <c r="P3088">
        <v>0.99082460000000006</v>
      </c>
      <c r="Q3088">
        <v>-0.13498760000000001</v>
      </c>
      <c r="R3088">
        <v>-6.7242359999999998E-3</v>
      </c>
      <c r="S3088">
        <v>2.9214479999999998</v>
      </c>
      <c r="T3088">
        <v>-0.76232670000000002</v>
      </c>
      <c r="U3088">
        <v>-0.45814510000000003</v>
      </c>
      <c r="V3088">
        <v>1.2932509999999999E-2</v>
      </c>
      <c r="W3088">
        <v>-0.1263234</v>
      </c>
      <c r="X3088">
        <v>0.99190480000000003</v>
      </c>
      <c r="Y3088">
        <v>0.15565119999999999</v>
      </c>
      <c r="Z3088">
        <v>-2.2098219999999998E-2</v>
      </c>
      <c r="AA3088">
        <v>0.98756489999999997</v>
      </c>
      <c r="AB3088">
        <v>28</v>
      </c>
      <c r="AC3088">
        <v>0.54829999999998302</v>
      </c>
      <c r="AD3088">
        <v>-0.214928699999999</v>
      </c>
      <c r="AE3088">
        <v>-0.131100000000031</v>
      </c>
      <c r="AF3088">
        <v>0.117458960925428</v>
      </c>
      <c r="AG3088">
        <v>-0.214928699999999</v>
      </c>
      <c r="AH3088">
        <v>0.477993106946146</v>
      </c>
      <c r="AI3088">
        <v>113.588851875884</v>
      </c>
      <c r="AJ3088">
        <v>76.194054654932501</v>
      </c>
      <c r="AK3088">
        <v>0.53709250960463095</v>
      </c>
      <c r="AL3088">
        <v>97.257186940044903</v>
      </c>
      <c r="AM3088">
        <v>89.253016762017495</v>
      </c>
      <c r="AN3088">
        <v>0.99999999173275</v>
      </c>
    </row>
    <row r="3089" spans="1:40" x14ac:dyDescent="0.25">
      <c r="A3089" t="str">
        <f>"20190303154530634"</f>
        <v>20190303154530634</v>
      </c>
      <c r="B3089" t="str">
        <f>"1551599130623656"</f>
        <v>1551599130623656</v>
      </c>
      <c r="C3089" t="s">
        <v>40</v>
      </c>
      <c r="D3089">
        <v>5.4026699999999996</v>
      </c>
      <c r="E3089">
        <v>0.55395749999999999</v>
      </c>
      <c r="F3089" t="s">
        <v>42</v>
      </c>
      <c r="G3089">
        <v>-383.88310000000001</v>
      </c>
      <c r="H3089">
        <v>0.90922009999999998</v>
      </c>
      <c r="I3089">
        <v>214.40950000000001</v>
      </c>
      <c r="J3089">
        <v>-384.3972</v>
      </c>
      <c r="K3089">
        <v>1.1201430000000001</v>
      </c>
      <c r="L3089">
        <v>214.53890000000001</v>
      </c>
      <c r="M3089">
        <v>0.99994190000000005</v>
      </c>
      <c r="N3089">
        <v>-8.7544709999999998E-3</v>
      </c>
      <c r="O3089">
        <v>6.3030100000000004E-3</v>
      </c>
      <c r="P3089">
        <v>0.99079779999999995</v>
      </c>
      <c r="Q3089">
        <v>-0.13514409999999999</v>
      </c>
      <c r="R3089">
        <v>-7.4988310000000001E-3</v>
      </c>
      <c r="S3089">
        <v>2.9198</v>
      </c>
      <c r="T3089">
        <v>-0.76948989999999995</v>
      </c>
      <c r="U3089">
        <v>-0.46432499999999999</v>
      </c>
      <c r="V3089">
        <v>1.374801E-2</v>
      </c>
      <c r="W3089">
        <v>-0.1264652</v>
      </c>
      <c r="X3089">
        <v>0.99187579999999997</v>
      </c>
      <c r="Y3089">
        <v>0.15764129999999901</v>
      </c>
      <c r="Z3089">
        <v>-2.2578359999999999E-2</v>
      </c>
      <c r="AA3089">
        <v>0.98723830000000001</v>
      </c>
      <c r="AB3089">
        <v>28</v>
      </c>
      <c r="AC3089">
        <v>0.51409999999998401</v>
      </c>
      <c r="AD3089">
        <v>-0.2109229</v>
      </c>
      <c r="AE3089">
        <v>-0.12940000000000301</v>
      </c>
      <c r="AF3089">
        <v>0.114511094963634</v>
      </c>
      <c r="AG3089">
        <v>-0.2109229</v>
      </c>
      <c r="AH3089">
        <v>0.44312802678298602</v>
      </c>
      <c r="AI3089">
        <v>114.742502613011</v>
      </c>
      <c r="AJ3089">
        <v>75.510859993315407</v>
      </c>
      <c r="AK3089">
        <v>0.50394812107474196</v>
      </c>
      <c r="AL3089">
        <v>97.265376897253205</v>
      </c>
      <c r="AM3089">
        <v>89.205896028625403</v>
      </c>
      <c r="AN3089">
        <v>1.0000000286078099</v>
      </c>
    </row>
    <row r="3090" spans="1:40" x14ac:dyDescent="0.25">
      <c r="A3090" t="str">
        <f>"20190303154530657"</f>
        <v>20190303154530657</v>
      </c>
      <c r="B3090" t="str">
        <f>"1551599130653912"</f>
        <v>1551599130653912</v>
      </c>
      <c r="C3090" t="s">
        <v>40</v>
      </c>
      <c r="D3090">
        <v>5.2959540000000001</v>
      </c>
      <c r="E3090">
        <v>0.55446399999999996</v>
      </c>
      <c r="F3090" t="s">
        <v>42</v>
      </c>
      <c r="G3090">
        <v>-383.62959999999998</v>
      </c>
      <c r="H3090">
        <v>0.91586719999999999</v>
      </c>
      <c r="I3090">
        <v>214.41579999999999</v>
      </c>
      <c r="J3090">
        <v>-384.09800000000001</v>
      </c>
      <c r="K3090">
        <v>1.1201430000000001</v>
      </c>
      <c r="L3090">
        <v>214.54089999999999</v>
      </c>
      <c r="M3090">
        <v>0.99994130000000003</v>
      </c>
      <c r="N3090">
        <v>-8.7700780000000006E-3</v>
      </c>
      <c r="O3090">
        <v>6.3515680000000001E-3</v>
      </c>
      <c r="P3090">
        <v>0.99082300000000001</v>
      </c>
      <c r="Q3090">
        <v>-0.13491589999999901</v>
      </c>
      <c r="R3090">
        <v>-8.2313379999999995E-3</v>
      </c>
      <c r="S3090">
        <v>2.9183650000000001</v>
      </c>
      <c r="T3090">
        <v>-0.7766459</v>
      </c>
      <c r="U3090">
        <v>-0.46662900000000002</v>
      </c>
      <c r="V3090">
        <v>1.45302E-2</v>
      </c>
      <c r="W3090">
        <v>-0.1262211</v>
      </c>
      <c r="X3090">
        <v>0.99189570000000005</v>
      </c>
      <c r="Y3090">
        <v>0.1583898</v>
      </c>
      <c r="Z3090">
        <v>-2.2898979999999999E-2</v>
      </c>
      <c r="AA3090">
        <v>0.98711110000000002</v>
      </c>
      <c r="AB3090">
        <v>28</v>
      </c>
      <c r="AC3090">
        <v>0.46840000000003101</v>
      </c>
      <c r="AD3090">
        <v>-0.20427580000000001</v>
      </c>
      <c r="AE3090">
        <v>-0.12510000000000299</v>
      </c>
      <c r="AF3090">
        <v>0.108763654891593</v>
      </c>
      <c r="AG3090">
        <v>-0.20427580000000001</v>
      </c>
      <c r="AH3090">
        <v>0.39709834402286698</v>
      </c>
      <c r="AI3090">
        <v>116.38819155401001</v>
      </c>
      <c r="AJ3090">
        <v>74.682571656301903</v>
      </c>
      <c r="AK3090">
        <v>0.45961421857544899</v>
      </c>
      <c r="AL3090">
        <v>97.251278326727004</v>
      </c>
      <c r="AM3090">
        <v>89.160738782493198</v>
      </c>
      <c r="AN3090">
        <v>0.99999998623787001</v>
      </c>
    </row>
    <row r="3091" spans="1:40" x14ac:dyDescent="0.25">
      <c r="A3091" t="str">
        <f>"20190303154530678"</f>
        <v>20190303154530678</v>
      </c>
      <c r="B3091" t="str">
        <f>"1551599130674408"</f>
        <v>1551599130674408</v>
      </c>
      <c r="C3091" t="s">
        <v>40</v>
      </c>
      <c r="D3091">
        <v>5.3451469999999999</v>
      </c>
      <c r="E3091">
        <v>0.55505360000000004</v>
      </c>
      <c r="F3091" t="s">
        <v>42</v>
      </c>
      <c r="G3091">
        <v>-383.3741</v>
      </c>
      <c r="H3091">
        <v>0.92627289999999995</v>
      </c>
      <c r="I3091">
        <v>214.42359999999999</v>
      </c>
      <c r="J3091">
        <v>-383.83359999999999</v>
      </c>
      <c r="K3091">
        <v>1.1201479999999999</v>
      </c>
      <c r="L3091">
        <v>214.54259999999999</v>
      </c>
      <c r="M3091">
        <v>0.99994110000000003</v>
      </c>
      <c r="N3091">
        <v>-8.783842E-3</v>
      </c>
      <c r="O3091">
        <v>6.3982809999999996E-3</v>
      </c>
      <c r="P3091">
        <v>0.99081859999999999</v>
      </c>
      <c r="Q3091">
        <v>-0.1349649</v>
      </c>
      <c r="R3091">
        <v>-7.9675140000000002E-3</v>
      </c>
      <c r="S3091">
        <v>2.9174799999999999</v>
      </c>
      <c r="T3091">
        <v>-0.78125669999999903</v>
      </c>
      <c r="U3091">
        <v>-0.47291559999999999</v>
      </c>
      <c r="V3091">
        <v>1.431402E-2</v>
      </c>
      <c r="W3091">
        <v>-0.12625639999999999</v>
      </c>
      <c r="X3091">
        <v>0.99189439999999995</v>
      </c>
      <c r="Y3091">
        <v>0.1604141</v>
      </c>
      <c r="Z3091">
        <v>-2.3316420000000001E-2</v>
      </c>
      <c r="AA3091">
        <v>0.98677440000000005</v>
      </c>
      <c r="AB3091">
        <v>28</v>
      </c>
      <c r="AC3091">
        <v>0.45949999999999103</v>
      </c>
      <c r="AD3091">
        <v>-0.19387509999999999</v>
      </c>
      <c r="AE3091">
        <v>-0.118999999999999</v>
      </c>
      <c r="AF3091">
        <v>0.104503169639067</v>
      </c>
      <c r="AG3091">
        <v>-0.19387509999999999</v>
      </c>
      <c r="AH3091">
        <v>0.39314057294054799</v>
      </c>
      <c r="AI3091">
        <v>115.48219658756599</v>
      </c>
      <c r="AJ3091">
        <v>75.114080568575702</v>
      </c>
      <c r="AK3091">
        <v>0.45063064360587402</v>
      </c>
      <c r="AL3091">
        <v>97.253316821547898</v>
      </c>
      <c r="AM3091">
        <v>89.173222462874804</v>
      </c>
      <c r="AN3091">
        <v>1.0000000352304299</v>
      </c>
    </row>
    <row r="3092" spans="1:40" x14ac:dyDescent="0.25">
      <c r="A3092" t="str">
        <f>"20190303154530722"</f>
        <v>20190303154530722</v>
      </c>
      <c r="B3092" t="str">
        <f>"1551599130714424"</f>
        <v>1551599130714424</v>
      </c>
      <c r="C3092" t="s">
        <v>40</v>
      </c>
      <c r="D3092">
        <v>5.2979580000000004</v>
      </c>
      <c r="E3092">
        <v>0.55538920000000003</v>
      </c>
      <c r="F3092" t="s">
        <v>42</v>
      </c>
      <c r="G3092">
        <v>-383.12099999999998</v>
      </c>
      <c r="H3092">
        <v>0.92915689999999995</v>
      </c>
      <c r="I3092">
        <v>214.42590000000001</v>
      </c>
      <c r="J3092">
        <v>-383.28629999999998</v>
      </c>
      <c r="K3092">
        <v>1.120152</v>
      </c>
      <c r="L3092">
        <v>214.5462</v>
      </c>
      <c r="M3092">
        <v>0.99994000000000005</v>
      </c>
      <c r="N3092">
        <v>-8.8121999999999992E-3</v>
      </c>
      <c r="O3092">
        <v>6.5040669999999997E-3</v>
      </c>
      <c r="P3092">
        <v>0.99068679999999998</v>
      </c>
      <c r="Q3092">
        <v>-0.13596529999999901</v>
      </c>
      <c r="R3092">
        <v>-7.2951569999999896E-3</v>
      </c>
      <c r="S3092">
        <v>2.9174500000000001</v>
      </c>
      <c r="T3092">
        <v>-0.78200329999999996</v>
      </c>
      <c r="U3092">
        <v>-0.47679139999999998</v>
      </c>
      <c r="V3092">
        <v>1.3747270000000001E-2</v>
      </c>
      <c r="W3092">
        <v>-0.1272296</v>
      </c>
      <c r="X3092">
        <v>0.99177800000000005</v>
      </c>
      <c r="Y3092">
        <v>0.161736299999999</v>
      </c>
      <c r="Z3092">
        <v>-2.354332E-2</v>
      </c>
      <c r="AA3092">
        <v>0.98655309999999896</v>
      </c>
      <c r="AB3092">
        <v>28</v>
      </c>
      <c r="AC3092">
        <v>0.165300000000001</v>
      </c>
      <c r="AD3092">
        <v>-0.1909951</v>
      </c>
      <c r="AE3092">
        <v>-0.120299999999986</v>
      </c>
      <c r="AF3092">
        <v>6.4808583426895397E-2</v>
      </c>
      <c r="AG3092">
        <v>-0.1909951</v>
      </c>
      <c r="AH3092">
        <v>8.7844536432844997E-2</v>
      </c>
      <c r="AI3092">
        <v>150.24966702459599</v>
      </c>
      <c r="AJ3092">
        <v>53.5814095977817</v>
      </c>
      <c r="AK3092">
        <v>0.21999078001341801</v>
      </c>
      <c r="AL3092">
        <v>97.309530810501997</v>
      </c>
      <c r="AM3092">
        <v>89.205860473602101</v>
      </c>
      <c r="AN3092">
        <v>0.99999997991630596</v>
      </c>
    </row>
    <row r="3093" spans="1:40" x14ac:dyDescent="0.25">
      <c r="A3093" t="str">
        <f>"20190303154530743"</f>
        <v>20190303154530743</v>
      </c>
      <c r="B3093" t="str">
        <f>"1551599130733944"</f>
        <v>1551599130733944</v>
      </c>
      <c r="C3093" t="s">
        <v>40</v>
      </c>
      <c r="D3093">
        <v>5.2714689999999997</v>
      </c>
      <c r="E3093">
        <v>0.55557719999999999</v>
      </c>
      <c r="F3093" t="s">
        <v>42</v>
      </c>
      <c r="G3093">
        <v>-382.38409999999999</v>
      </c>
      <c r="H3093">
        <v>0.87546029999999997</v>
      </c>
      <c r="I3093">
        <v>214.39840000000001</v>
      </c>
      <c r="J3093">
        <v>-383.01209999999998</v>
      </c>
      <c r="K3093">
        <v>1.1201570000000001</v>
      </c>
      <c r="L3093">
        <v>214.54810000000001</v>
      </c>
      <c r="M3093">
        <v>0.99993960000000004</v>
      </c>
      <c r="N3093">
        <v>-8.8263300000000003E-3</v>
      </c>
      <c r="O3093">
        <v>6.5598050000000001E-3</v>
      </c>
      <c r="P3093">
        <v>0.99071480000000001</v>
      </c>
      <c r="Q3093">
        <v>-0.13577649999999999</v>
      </c>
      <c r="R3093">
        <v>-7.0155490000000003E-3</v>
      </c>
      <c r="S3093">
        <v>2.9161679999999999</v>
      </c>
      <c r="T3093">
        <v>-0.790852</v>
      </c>
      <c r="U3093">
        <v>-0.4775085</v>
      </c>
      <c r="V3093">
        <v>1.352331E-2</v>
      </c>
      <c r="W3093">
        <v>-0.12702649999999999</v>
      </c>
      <c r="X3093">
        <v>0.99180710000000005</v>
      </c>
      <c r="Y3093">
        <v>0.16195019999999999</v>
      </c>
      <c r="Z3093">
        <v>-2.3847520000000001E-2</v>
      </c>
      <c r="AA3093">
        <v>0.98651080000000002</v>
      </c>
      <c r="AB3093">
        <v>28</v>
      </c>
      <c r="AC3093">
        <v>0.62799999999998501</v>
      </c>
      <c r="AD3093">
        <v>-0.24469669999999999</v>
      </c>
      <c r="AE3093">
        <v>-0.149699999999995</v>
      </c>
      <c r="AF3093">
        <v>0.134494998062511</v>
      </c>
      <c r="AG3093">
        <v>-0.24469669999999999</v>
      </c>
      <c r="AH3093">
        <v>0.54824393767174695</v>
      </c>
      <c r="AI3093">
        <v>113.43552919672899</v>
      </c>
      <c r="AJ3093">
        <v>76.216424344106997</v>
      </c>
      <c r="AK3093">
        <v>0.61525343939595101</v>
      </c>
      <c r="AL3093">
        <v>97.297798938233598</v>
      </c>
      <c r="AM3093">
        <v>89.218819288248</v>
      </c>
      <c r="AN3093">
        <v>0.99999996761300702</v>
      </c>
    </row>
    <row r="3094" spans="1:40" x14ac:dyDescent="0.25">
      <c r="A3094" t="str">
        <f>"20190303154530767"</f>
        <v>20190303154530767</v>
      </c>
      <c r="B3094" t="str">
        <f>"1551599130764199"</f>
        <v>1551599130764199</v>
      </c>
      <c r="C3094" t="s">
        <v>40</v>
      </c>
      <c r="D3094">
        <v>5.1890470000000004</v>
      </c>
      <c r="E3094">
        <v>0.55599589999999999</v>
      </c>
      <c r="F3094" t="s">
        <v>42</v>
      </c>
      <c r="G3094">
        <v>-382.12860000000001</v>
      </c>
      <c r="H3094">
        <v>0.88014319999999902</v>
      </c>
      <c r="I3094">
        <v>214.40299999999999</v>
      </c>
      <c r="J3094">
        <v>-382.71359999999999</v>
      </c>
      <c r="K3094">
        <v>1.1201639999999999</v>
      </c>
      <c r="L3094">
        <v>214.55009999999999</v>
      </c>
      <c r="M3094">
        <v>0.99993909999999997</v>
      </c>
      <c r="N3094">
        <v>-8.8417080000000002E-3</v>
      </c>
      <c r="O3094">
        <v>6.621371E-3</v>
      </c>
      <c r="P3094">
        <v>0.99079320000000004</v>
      </c>
      <c r="Q3094">
        <v>-0.13522400000000001</v>
      </c>
      <c r="R3094">
        <v>-6.6151969999999997E-3</v>
      </c>
      <c r="S3094">
        <v>2.9161679999999999</v>
      </c>
      <c r="T3094">
        <v>-0.79230579999999995</v>
      </c>
      <c r="U3094">
        <v>-0.47811890000000001</v>
      </c>
      <c r="V3094">
        <v>1.3184629999999999E-2</v>
      </c>
      <c r="W3094">
        <v>-0.12645799999999999</v>
      </c>
      <c r="X3094">
        <v>0.9918844</v>
      </c>
      <c r="Y3094">
        <v>0.16217960000000001</v>
      </c>
      <c r="Z3094">
        <v>-2.3936780000000001E-2</v>
      </c>
      <c r="AA3094">
        <v>0.98647090000000004</v>
      </c>
      <c r="AB3094">
        <v>28</v>
      </c>
      <c r="AC3094">
        <v>0.58499999999997898</v>
      </c>
      <c r="AD3094">
        <v>-0.24002080000000001</v>
      </c>
      <c r="AE3094">
        <v>-0.14709999999999401</v>
      </c>
      <c r="AF3094">
        <v>0.130334715093336</v>
      </c>
      <c r="AG3094">
        <v>-0.24002080000000001</v>
      </c>
      <c r="AH3094">
        <v>0.50418606005590905</v>
      </c>
      <c r="AI3094">
        <v>114.745214716585</v>
      </c>
      <c r="AJ3094">
        <v>75.506035983192305</v>
      </c>
      <c r="AK3094">
        <v>0.57341146269132204</v>
      </c>
      <c r="AL3094">
        <v>97.264960787891098</v>
      </c>
      <c r="AM3094">
        <v>89.238440320224797</v>
      </c>
      <c r="AN3094">
        <v>1.00000006159779</v>
      </c>
    </row>
    <row r="3095" spans="1:40" x14ac:dyDescent="0.25">
      <c r="A3095" t="str">
        <f>"20190303154530789"</f>
        <v>20190303154530789</v>
      </c>
      <c r="B3095" t="str">
        <f>"1551599130783720"</f>
        <v>1551599130783720</v>
      </c>
      <c r="C3095" t="s">
        <v>40</v>
      </c>
      <c r="D3095">
        <v>5.1776589999999896</v>
      </c>
      <c r="E3095">
        <v>0.55613919999999994</v>
      </c>
      <c r="F3095" t="s">
        <v>42</v>
      </c>
      <c r="G3095">
        <v>-381.87029999999999</v>
      </c>
      <c r="H3095">
        <v>0.89103869999999896</v>
      </c>
      <c r="I3095">
        <v>214.411</v>
      </c>
      <c r="J3095">
        <v>-382.4314</v>
      </c>
      <c r="K3095">
        <v>1.120169</v>
      </c>
      <c r="L3095">
        <v>214.5521</v>
      </c>
      <c r="M3095">
        <v>0.99993840000000001</v>
      </c>
      <c r="N3095">
        <v>-8.8561739999999996E-3</v>
      </c>
      <c r="O3095">
        <v>6.6799579999999997E-3</v>
      </c>
      <c r="P3095">
        <v>0.990892</v>
      </c>
      <c r="Q3095">
        <v>-0.13451879999999999</v>
      </c>
      <c r="R3095">
        <v>-6.1367349999999999E-3</v>
      </c>
      <c r="S3095">
        <v>2.916534</v>
      </c>
      <c r="T3095">
        <v>-0.79237880000000005</v>
      </c>
      <c r="U3095">
        <v>-0.48040769999999999</v>
      </c>
      <c r="V3095">
        <v>1.276499E-2</v>
      </c>
      <c r="W3095">
        <v>-0.12573770000000001</v>
      </c>
      <c r="X3095">
        <v>0.99198140000000001</v>
      </c>
      <c r="Y3095">
        <v>0.16294249999999999</v>
      </c>
      <c r="Z3095">
        <v>-2.4055469999999999E-2</v>
      </c>
      <c r="AA3095">
        <v>0.98634230000000001</v>
      </c>
      <c r="AB3095">
        <v>28</v>
      </c>
      <c r="AC3095">
        <v>0.56110000000001004</v>
      </c>
      <c r="AD3095">
        <v>-0.22913030000000001</v>
      </c>
      <c r="AE3095">
        <v>-0.14110000000002201</v>
      </c>
      <c r="AF3095">
        <v>0.12520766751589901</v>
      </c>
      <c r="AG3095">
        <v>-0.22913030000000001</v>
      </c>
      <c r="AH3095">
        <v>0.48420295361651999</v>
      </c>
      <c r="AI3095">
        <v>114.61450432228</v>
      </c>
      <c r="AJ3095">
        <v>75.501744735002106</v>
      </c>
      <c r="AK3095">
        <v>0.55011830970603404</v>
      </c>
      <c r="AL3095">
        <v>97.223358965927702</v>
      </c>
      <c r="AM3095">
        <v>89.262748589020504</v>
      </c>
      <c r="AN3095">
        <v>1.0000000060584699</v>
      </c>
    </row>
    <row r="3096" spans="1:40" x14ac:dyDescent="0.25">
      <c r="A3096" t="str">
        <f>"20190303154530813"</f>
        <v>20190303154530813</v>
      </c>
      <c r="B3096" t="str">
        <f>"1551599130804216"</f>
        <v>1551599130804216</v>
      </c>
      <c r="C3096" t="s">
        <v>40</v>
      </c>
      <c r="D3096">
        <v>5.1458949999999897</v>
      </c>
      <c r="E3096">
        <v>0.55641879999999999</v>
      </c>
      <c r="F3096" t="s">
        <v>42</v>
      </c>
      <c r="G3096">
        <v>-381.613</v>
      </c>
      <c r="H3096">
        <v>0.89789439999999998</v>
      </c>
      <c r="I3096">
        <v>214.4169</v>
      </c>
      <c r="J3096">
        <v>-382.13900000000001</v>
      </c>
      <c r="K3096">
        <v>1.1201700000000001</v>
      </c>
      <c r="L3096">
        <v>214.55410000000001</v>
      </c>
      <c r="M3096">
        <v>0.99993790000000005</v>
      </c>
      <c r="N3096">
        <v>-8.8711180000000008E-3</v>
      </c>
      <c r="O3096">
        <v>6.7403910000000001E-3</v>
      </c>
      <c r="P3096">
        <v>0.99090029999999996</v>
      </c>
      <c r="Q3096">
        <v>-0.1344514</v>
      </c>
      <c r="R3096">
        <v>-6.2792669999999998E-3</v>
      </c>
      <c r="S3096">
        <v>2.9170530000000001</v>
      </c>
      <c r="T3096">
        <v>-0.79228209999999999</v>
      </c>
      <c r="U3096">
        <v>-0.48008729999999999</v>
      </c>
      <c r="V3096">
        <v>1.2967380000000001E-2</v>
      </c>
      <c r="W3096">
        <v>-0.1256555</v>
      </c>
      <c r="X3096">
        <v>0.99198920000000002</v>
      </c>
      <c r="Y3096">
        <v>0.16287209999999999</v>
      </c>
      <c r="Z3096">
        <v>-2.405593E-2</v>
      </c>
      <c r="AA3096">
        <v>0.98635390000000001</v>
      </c>
      <c r="AB3096">
        <v>28</v>
      </c>
      <c r="AC3096">
        <v>0.52599999999995295</v>
      </c>
      <c r="AD3096">
        <v>-0.22227559999999999</v>
      </c>
      <c r="AE3096">
        <v>-0.13720000000000701</v>
      </c>
      <c r="AF3096">
        <v>0.120581673917018</v>
      </c>
      <c r="AG3096">
        <v>-0.22227559999999999</v>
      </c>
      <c r="AH3096">
        <v>0.449850028795166</v>
      </c>
      <c r="AI3096">
        <v>115.513378251975</v>
      </c>
      <c r="AJ3096">
        <v>74.994685618536494</v>
      </c>
      <c r="AK3096">
        <v>0.51605370926581096</v>
      </c>
      <c r="AL3096">
        <v>97.218611533387602</v>
      </c>
      <c r="AM3096">
        <v>89.251066614613606</v>
      </c>
      <c r="AN3096">
        <v>1.00000001527047</v>
      </c>
    </row>
    <row r="3097" spans="1:40" x14ac:dyDescent="0.25">
      <c r="A3097" t="str">
        <f>"20190303154530858"</f>
        <v>20190303154530858</v>
      </c>
      <c r="B3097" t="str">
        <f>"1551599130853992"</f>
        <v>1551599130853992</v>
      </c>
      <c r="C3097" t="s">
        <v>40</v>
      </c>
      <c r="D3097">
        <v>5.0666580000000003</v>
      </c>
      <c r="E3097">
        <v>0.55716650000000001</v>
      </c>
      <c r="F3097" t="s">
        <v>42</v>
      </c>
      <c r="G3097">
        <v>-381.35449999999997</v>
      </c>
      <c r="H3097">
        <v>0.90698460000000003</v>
      </c>
      <c r="I3097">
        <v>214.42410000000001</v>
      </c>
      <c r="J3097">
        <v>-381.55579999999998</v>
      </c>
      <c r="K3097">
        <v>1.1201760000000001</v>
      </c>
      <c r="L3097">
        <v>214.5582</v>
      </c>
      <c r="M3097">
        <v>0.99993690000000002</v>
      </c>
      <c r="N3097">
        <v>-8.9010189999999996E-3</v>
      </c>
      <c r="O3097">
        <v>6.8595289999999996E-3</v>
      </c>
      <c r="P3097">
        <v>0.99086169999999996</v>
      </c>
      <c r="Q3097">
        <v>-0.13472039999999999</v>
      </c>
      <c r="R3097">
        <v>-6.5924900000000003E-3</v>
      </c>
      <c r="S3097">
        <v>2.9169309999999999</v>
      </c>
      <c r="T3097">
        <v>-0.79263729999999999</v>
      </c>
      <c r="U3097">
        <v>-0.48307800000000001</v>
      </c>
      <c r="V3097">
        <v>1.3398709999999999E-2</v>
      </c>
      <c r="W3097">
        <v>-0.12589500000000001</v>
      </c>
      <c r="X3097">
        <v>0.99195310000000003</v>
      </c>
      <c r="Y3097">
        <v>0.16393250000000001</v>
      </c>
      <c r="Z3097">
        <v>-2.4243520000000001E-2</v>
      </c>
      <c r="AA3097">
        <v>0.98617359999999998</v>
      </c>
      <c r="AB3097">
        <v>28</v>
      </c>
      <c r="AC3097">
        <v>0.201300000000003</v>
      </c>
      <c r="AD3097">
        <v>-0.2131914</v>
      </c>
      <c r="AE3097">
        <v>-0.13409999999998901</v>
      </c>
      <c r="AF3097">
        <v>7.6245018087336705E-2</v>
      </c>
      <c r="AG3097">
        <v>-0.2131914</v>
      </c>
      <c r="AH3097">
        <v>0.112768527462335</v>
      </c>
      <c r="AI3097">
        <v>147.441311703411</v>
      </c>
      <c r="AJ3097">
        <v>55.9366013666165</v>
      </c>
      <c r="AK3097">
        <v>0.25294390011052198</v>
      </c>
      <c r="AL3097">
        <v>97.232443722475907</v>
      </c>
      <c r="AM3097">
        <v>89.226129893913395</v>
      </c>
      <c r="AN3097">
        <v>1.0000000145271299</v>
      </c>
    </row>
    <row r="3098" spans="1:40" x14ac:dyDescent="0.25">
      <c r="A3098" t="str">
        <f>"20190303154530880"</f>
        <v>20190303154530880</v>
      </c>
      <c r="B3098" t="str">
        <f>"1551599130874488"</f>
        <v>1551599130874488</v>
      </c>
      <c r="C3098" t="s">
        <v>40</v>
      </c>
      <c r="D3098">
        <v>5.0742180000000001</v>
      </c>
      <c r="E3098">
        <v>0.5572395</v>
      </c>
      <c r="F3098" t="s">
        <v>42</v>
      </c>
      <c r="G3098">
        <v>-380.83640000000003</v>
      </c>
      <c r="H3098">
        <v>0.92407640000000002</v>
      </c>
      <c r="I3098">
        <v>214.43709999999999</v>
      </c>
      <c r="J3098">
        <v>-381.27339999999998</v>
      </c>
      <c r="K3098">
        <v>1.120179</v>
      </c>
      <c r="L3098">
        <v>214.56020000000001</v>
      </c>
      <c r="M3098">
        <v>0.99993639999999995</v>
      </c>
      <c r="N3098">
        <v>-8.9154360000000005E-3</v>
      </c>
      <c r="O3098">
        <v>6.9168069999999996E-3</v>
      </c>
      <c r="P3098">
        <v>0.99093900000000001</v>
      </c>
      <c r="Q3098">
        <v>-0.13416589999999901</v>
      </c>
      <c r="R3098">
        <v>-6.2714019999999997E-3</v>
      </c>
      <c r="S3098">
        <v>2.9163209999999999</v>
      </c>
      <c r="T3098">
        <v>-0.79495099999999996</v>
      </c>
      <c r="U3098">
        <v>-0.48974609999999902</v>
      </c>
      <c r="V3098">
        <v>1.313479E-2</v>
      </c>
      <c r="W3098">
        <v>-0.12532560000000001</v>
      </c>
      <c r="X3098">
        <v>0.99202869999999999</v>
      </c>
      <c r="Y3098">
        <v>0.16609879999999999</v>
      </c>
      <c r="Z3098">
        <v>-2.4624469999999999E-2</v>
      </c>
      <c r="AA3098">
        <v>0.98580159999999994</v>
      </c>
      <c r="AB3098">
        <v>29</v>
      </c>
      <c r="AC3098">
        <v>0.43699999999995498</v>
      </c>
      <c r="AD3098">
        <v>-0.19610259999999899</v>
      </c>
      <c r="AE3098">
        <v>-0.123100000000022</v>
      </c>
      <c r="AF3098">
        <v>0.10628943380997399</v>
      </c>
      <c r="AG3098">
        <v>-0.19610259999999899</v>
      </c>
      <c r="AH3098">
        <v>0.36756210742738699</v>
      </c>
      <c r="AI3098">
        <v>117.136205940181</v>
      </c>
      <c r="AJ3098">
        <v>73.8715013922411</v>
      </c>
      <c r="AK3098">
        <v>0.429948341411927</v>
      </c>
      <c r="AL3098">
        <v>97.1995592602931</v>
      </c>
      <c r="AM3098">
        <v>89.241429144389301</v>
      </c>
      <c r="AN3098">
        <v>0.99999998517369604</v>
      </c>
    </row>
    <row r="3099" spans="1:40" x14ac:dyDescent="0.25">
      <c r="A3099" t="str">
        <f>"20190303154530900"</f>
        <v>20190303154530900</v>
      </c>
      <c r="B3099" t="str">
        <f>"1551599130894226"</f>
        <v>1551599130894226</v>
      </c>
      <c r="C3099" t="s">
        <v>40</v>
      </c>
      <c r="D3099">
        <v>5.0226879999999996</v>
      </c>
      <c r="E3099">
        <v>0.55744110000000002</v>
      </c>
      <c r="F3099" t="s">
        <v>42</v>
      </c>
      <c r="G3099">
        <v>-380.57709999999997</v>
      </c>
      <c r="H3099">
        <v>0.93093680000000001</v>
      </c>
      <c r="I3099">
        <v>214.44300000000001</v>
      </c>
      <c r="J3099">
        <v>-381.00549999999998</v>
      </c>
      <c r="K3099">
        <v>1.1201779999999999</v>
      </c>
      <c r="L3099">
        <v>214.56209999999999</v>
      </c>
      <c r="M3099">
        <v>0.99993589999999999</v>
      </c>
      <c r="N3099">
        <v>-8.9293050000000002E-3</v>
      </c>
      <c r="O3099">
        <v>6.9708069999999999E-3</v>
      </c>
      <c r="P3099">
        <v>0.99103350000000001</v>
      </c>
      <c r="Q3099">
        <v>-0.13345219999999999</v>
      </c>
      <c r="R3099">
        <v>-6.5847279999999998E-3</v>
      </c>
      <c r="S3099">
        <v>2.916992</v>
      </c>
      <c r="T3099">
        <v>-0.79281069999999998</v>
      </c>
      <c r="U3099">
        <v>-0.48944090000000001</v>
      </c>
      <c r="V3099">
        <v>1.35023E-2</v>
      </c>
      <c r="W3099">
        <v>-0.12459720000000001</v>
      </c>
      <c r="X3099">
        <v>0.99211550000000004</v>
      </c>
      <c r="Y3099">
        <v>0.16605</v>
      </c>
      <c r="Z3099">
        <v>-2.456537E-2</v>
      </c>
      <c r="AA3099">
        <v>0.98581129999999995</v>
      </c>
      <c r="AB3099">
        <v>29</v>
      </c>
      <c r="AC3099">
        <v>0.42840000000001</v>
      </c>
      <c r="AD3099">
        <v>-0.1892412</v>
      </c>
      <c r="AE3099">
        <v>-0.119100000000003</v>
      </c>
      <c r="AF3099">
        <v>0.10336128573110701</v>
      </c>
      <c r="AG3099">
        <v>-0.1892412</v>
      </c>
      <c r="AH3099">
        <v>0.36199057023032799</v>
      </c>
      <c r="AI3099">
        <v>116.68815330845</v>
      </c>
      <c r="AJ3099">
        <v>74.064056481221598</v>
      </c>
      <c r="AK3099">
        <v>0.421346603286541</v>
      </c>
      <c r="AL3099">
        <v>97.157495409177002</v>
      </c>
      <c r="AM3099">
        <v>89.220275214847106</v>
      </c>
      <c r="AN3099">
        <v>0.99999996984668904</v>
      </c>
    </row>
    <row r="3100" spans="1:40" x14ac:dyDescent="0.25">
      <c r="A3100" t="str">
        <f>"20190303154530923"</f>
        <v>20190303154530923</v>
      </c>
      <c r="B3100" t="str">
        <f>"1551599130913745"</f>
        <v>1551599130913745</v>
      </c>
      <c r="C3100" t="s">
        <v>40</v>
      </c>
      <c r="D3100">
        <v>5.0530920000000004</v>
      </c>
      <c r="E3100">
        <v>0.55741049999999903</v>
      </c>
      <c r="F3100" t="s">
        <v>42</v>
      </c>
      <c r="G3100">
        <v>-380.31880000000001</v>
      </c>
      <c r="H3100">
        <v>0.93435869999999999</v>
      </c>
      <c r="I3100">
        <v>214.4461</v>
      </c>
      <c r="J3100">
        <v>-380.7174</v>
      </c>
      <c r="K3100">
        <v>1.1201779999999999</v>
      </c>
      <c r="L3100">
        <v>214.5641</v>
      </c>
      <c r="M3100">
        <v>0.99993540000000003</v>
      </c>
      <c r="N3100">
        <v>-8.9441030000000001E-3</v>
      </c>
      <c r="O3100">
        <v>7.0292130000000003E-3</v>
      </c>
      <c r="P3100">
        <v>0.99096740000000005</v>
      </c>
      <c r="Q3100">
        <v>-0.13391339999999999</v>
      </c>
      <c r="R3100">
        <v>-7.1522979999999996E-3</v>
      </c>
      <c r="S3100">
        <v>2.9175420000000001</v>
      </c>
      <c r="T3100">
        <v>-0.78959060000000003</v>
      </c>
      <c r="U3100">
        <v>-0.49209589999999998</v>
      </c>
      <c r="V3100">
        <v>1.412737E-2</v>
      </c>
      <c r="W3100">
        <v>-0.1250444</v>
      </c>
      <c r="X3100">
        <v>0.9920506</v>
      </c>
      <c r="Y3100">
        <v>0.166966899999999</v>
      </c>
      <c r="Z3100">
        <v>-2.460708E-2</v>
      </c>
      <c r="AA3100">
        <v>0.98565539999999996</v>
      </c>
      <c r="AB3100">
        <v>29</v>
      </c>
      <c r="AC3100">
        <v>0.39859999999998702</v>
      </c>
      <c r="AD3100">
        <v>-0.18581929999999999</v>
      </c>
      <c r="AE3100">
        <v>-0.117999999999994</v>
      </c>
      <c r="AF3100">
        <v>0.100681588317155</v>
      </c>
      <c r="AG3100">
        <v>-0.18581929999999999</v>
      </c>
      <c r="AH3100">
        <v>0.33151899191755901</v>
      </c>
      <c r="AI3100">
        <v>118.205598449513</v>
      </c>
      <c r="AJ3100">
        <v>73.106579543333694</v>
      </c>
      <c r="AK3100">
        <v>0.393154468982091</v>
      </c>
      <c r="AL3100">
        <v>97.183319551875002</v>
      </c>
      <c r="AM3100">
        <v>89.184130359021196</v>
      </c>
      <c r="AN3100">
        <v>1.0000000387574099</v>
      </c>
    </row>
    <row r="3101" spans="1:40" x14ac:dyDescent="0.25">
      <c r="A3101" t="str">
        <f>"20190303154530944"</f>
        <v>20190303154530944</v>
      </c>
      <c r="B3101" t="str">
        <f>"1551599130934241"</f>
        <v>1551599130934241</v>
      </c>
      <c r="C3101" t="s">
        <v>40</v>
      </c>
      <c r="D3101">
        <v>5.0337820000000004</v>
      </c>
      <c r="E3101">
        <v>0.55732179999999998</v>
      </c>
      <c r="F3101" t="s">
        <v>42</v>
      </c>
      <c r="G3101">
        <v>-379.82600000000002</v>
      </c>
      <c r="H3101">
        <v>0.87852350000000001</v>
      </c>
      <c r="I3101">
        <v>214.41309999999999</v>
      </c>
      <c r="J3101">
        <v>-380.43490000000003</v>
      </c>
      <c r="K3101">
        <v>1.1201779999999999</v>
      </c>
      <c r="L3101">
        <v>214.56620000000001</v>
      </c>
      <c r="M3101">
        <v>0.99993469999999995</v>
      </c>
      <c r="N3101">
        <v>-8.9582800000000008E-3</v>
      </c>
      <c r="O3101">
        <v>7.0866100000000001E-3</v>
      </c>
      <c r="P3101">
        <v>0.99084539999999999</v>
      </c>
      <c r="Q3101">
        <v>-0.13478670000000001</v>
      </c>
      <c r="R3101">
        <v>-7.6155299999999997E-3</v>
      </c>
      <c r="S3101">
        <v>2.9169309999999999</v>
      </c>
      <c r="T3101">
        <v>-0.79081849999999998</v>
      </c>
      <c r="U3101">
        <v>-0.49342350000000001</v>
      </c>
      <c r="V3101">
        <v>1.4646559999999999E-2</v>
      </c>
      <c r="W3101">
        <v>-0.12590460000000001</v>
      </c>
      <c r="X3101">
        <v>0.99193419999999999</v>
      </c>
      <c r="Y3101">
        <v>0.16745270000000001</v>
      </c>
      <c r="Z3101">
        <v>-2.4729259999999999E-2</v>
      </c>
      <c r="AA3101">
        <v>0.9855699</v>
      </c>
      <c r="AB3101">
        <v>29</v>
      </c>
      <c r="AC3101">
        <v>0.60890000000006195</v>
      </c>
      <c r="AD3101">
        <v>-0.24165449999999999</v>
      </c>
      <c r="AE3101">
        <v>-0.153100000000023</v>
      </c>
      <c r="AF3101">
        <v>0.13710110850135299</v>
      </c>
      <c r="AG3101">
        <v>-0.24165449999999999</v>
      </c>
      <c r="AH3101">
        <v>0.52937736152983395</v>
      </c>
      <c r="AI3101">
        <v>113.84104237784599</v>
      </c>
      <c r="AJ3101">
        <v>75.480238406240602</v>
      </c>
      <c r="AK3101">
        <v>0.59785784449385504</v>
      </c>
      <c r="AL3101">
        <v>97.232998471528404</v>
      </c>
      <c r="AM3101">
        <v>89.154051657236906</v>
      </c>
      <c r="AN3101">
        <v>0.999999973575316</v>
      </c>
    </row>
    <row r="3102" spans="1:40" x14ac:dyDescent="0.25">
      <c r="A3102" t="str">
        <f>"20190303154530968"</f>
        <v>20190303154530968</v>
      </c>
      <c r="B3102" t="str">
        <f>"1551599130963521"</f>
        <v>1551599130963521</v>
      </c>
      <c r="C3102" t="s">
        <v>40</v>
      </c>
      <c r="D3102">
        <v>5.1962510000000002</v>
      </c>
      <c r="E3102">
        <v>0.5570695</v>
      </c>
      <c r="F3102" t="s">
        <v>42</v>
      </c>
      <c r="G3102">
        <v>-379.5659</v>
      </c>
      <c r="H3102">
        <v>0.88385740000000002</v>
      </c>
      <c r="I3102">
        <v>214.41849999999999</v>
      </c>
      <c r="J3102">
        <v>-380.13440000000003</v>
      </c>
      <c r="K3102">
        <v>1.12017099999999</v>
      </c>
      <c r="L3102">
        <v>214.5684</v>
      </c>
      <c r="M3102">
        <v>0.99993430000000005</v>
      </c>
      <c r="N3102">
        <v>-8.9731959999999993E-3</v>
      </c>
      <c r="O3102">
        <v>7.1468649999999996E-3</v>
      </c>
      <c r="P3102">
        <v>0.99092650000000004</v>
      </c>
      <c r="Q3102">
        <v>-0.13417079999999901</v>
      </c>
      <c r="R3102">
        <v>-7.9599730000000004E-3</v>
      </c>
      <c r="S3102">
        <v>2.9160159999999999</v>
      </c>
      <c r="T3102">
        <v>-0.7929659</v>
      </c>
      <c r="U3102">
        <v>-0.49444579999999999</v>
      </c>
      <c r="V3102">
        <v>1.5051449999999999E-2</v>
      </c>
      <c r="W3102">
        <v>-0.1252732</v>
      </c>
      <c r="X3102">
        <v>0.99200809999999995</v>
      </c>
      <c r="Y3102">
        <v>0.16784540000000001</v>
      </c>
      <c r="Z3102">
        <v>-2.486944E-2</v>
      </c>
      <c r="AA3102">
        <v>0.98549960000000003</v>
      </c>
      <c r="AB3102">
        <v>29</v>
      </c>
      <c r="AC3102">
        <v>0.56850000000002798</v>
      </c>
      <c r="AD3102">
        <v>-0.23631359999999901</v>
      </c>
      <c r="AE3102">
        <v>-0.149900000000002</v>
      </c>
      <c r="AF3102">
        <v>0.132545663029977</v>
      </c>
      <c r="AG3102">
        <v>-0.23631359999999901</v>
      </c>
      <c r="AH3102">
        <v>0.48849447640666499</v>
      </c>
      <c r="AI3102">
        <v>115.026826022162</v>
      </c>
      <c r="AJ3102">
        <v>74.819154665604401</v>
      </c>
      <c r="AK3102">
        <v>0.55860480110077604</v>
      </c>
      <c r="AL3102">
        <v>97.196533036637703</v>
      </c>
      <c r="AM3102">
        <v>89.130734524384195</v>
      </c>
      <c r="AN3102">
        <v>0.99999999562547603</v>
      </c>
    </row>
    <row r="3103" spans="1:40" x14ac:dyDescent="0.25">
      <c r="A3103" t="str">
        <f>"20190303154530991"</f>
        <v>20190303154530991</v>
      </c>
      <c r="B3103" t="str">
        <f>"1551599130983549"</f>
        <v>1551599130983549</v>
      </c>
      <c r="C3103" t="s">
        <v>40</v>
      </c>
      <c r="D3103">
        <v>5.037604</v>
      </c>
      <c r="E3103">
        <v>0.55700399999999906</v>
      </c>
      <c r="F3103" t="s">
        <v>42</v>
      </c>
      <c r="G3103">
        <v>-379.30329999999998</v>
      </c>
      <c r="H3103">
        <v>0.89440129999999995</v>
      </c>
      <c r="I3103">
        <v>214.42740000000001</v>
      </c>
      <c r="J3103">
        <v>-379.84199999999998</v>
      </c>
      <c r="K3103">
        <v>1.1201730000000001</v>
      </c>
      <c r="L3103">
        <v>214.57050000000001</v>
      </c>
      <c r="M3103">
        <v>0.99993370000000004</v>
      </c>
      <c r="N3103">
        <v>-8.9876369999999997E-3</v>
      </c>
      <c r="O3103">
        <v>7.2055720000000004E-3</v>
      </c>
      <c r="P3103">
        <v>0.99088980000000004</v>
      </c>
      <c r="Q3103">
        <v>-0.13442390000000001</v>
      </c>
      <c r="R3103">
        <v>-8.2213230000000009E-3</v>
      </c>
      <c r="S3103">
        <v>2.9162599999999999</v>
      </c>
      <c r="T3103">
        <v>-0.79214659999999903</v>
      </c>
      <c r="U3103">
        <v>-0.49385069999999998</v>
      </c>
      <c r="V3103">
        <v>1.5370969999999999E-2</v>
      </c>
      <c r="W3103">
        <v>-0.12551229999999999</v>
      </c>
      <c r="X3103">
        <v>0.99197299999999999</v>
      </c>
      <c r="Y3103">
        <v>0.16771029999999901</v>
      </c>
      <c r="Z3103">
        <v>-2.4841419999999999E-2</v>
      </c>
      <c r="AA3103">
        <v>0.98552329999999999</v>
      </c>
      <c r="AB3103">
        <v>29</v>
      </c>
      <c r="AC3103">
        <v>0.53870000000000495</v>
      </c>
      <c r="AD3103">
        <v>-0.22577169999999899</v>
      </c>
      <c r="AE3103">
        <v>-0.143100000000004</v>
      </c>
      <c r="AF3103">
        <v>0.12626211054744099</v>
      </c>
      <c r="AG3103">
        <v>-0.22577169999999899</v>
      </c>
      <c r="AH3103">
        <v>0.461874555475143</v>
      </c>
      <c r="AI3103">
        <v>115.244588866928</v>
      </c>
      <c r="AJ3103">
        <v>74.710672740611798</v>
      </c>
      <c r="AK3103">
        <v>0.52937990713300098</v>
      </c>
      <c r="AL3103">
        <v>97.210341279440897</v>
      </c>
      <c r="AM3103">
        <v>89.112252821651893</v>
      </c>
      <c r="AN3103">
        <v>1.0000000184495099</v>
      </c>
    </row>
    <row r="3104" spans="1:40" x14ac:dyDescent="0.25">
      <c r="A3104" t="str">
        <f>"20190303154531012"</f>
        <v>20190303154531012</v>
      </c>
      <c r="B3104" t="str">
        <f>"1551599131004045"</f>
        <v>1551599131004045</v>
      </c>
      <c r="C3104" t="s">
        <v>40</v>
      </c>
      <c r="D3104">
        <v>5.1849509999999999</v>
      </c>
      <c r="E3104">
        <v>0.5568111</v>
      </c>
      <c r="F3104" t="s">
        <v>42</v>
      </c>
      <c r="G3104">
        <v>-379.041</v>
      </c>
      <c r="H3104">
        <v>0.90280470000000002</v>
      </c>
      <c r="I3104">
        <v>214.4341</v>
      </c>
      <c r="J3104">
        <v>-379.56049999999999</v>
      </c>
      <c r="K3104">
        <v>1.1201829999999999</v>
      </c>
      <c r="L3104">
        <v>214.57259999999999</v>
      </c>
      <c r="M3104">
        <v>0.99993330000000002</v>
      </c>
      <c r="N3104">
        <v>-9.0015410000000001E-3</v>
      </c>
      <c r="O3104">
        <v>7.2607590000000003E-3</v>
      </c>
      <c r="P3104">
        <v>0.99107990000000001</v>
      </c>
      <c r="Q3104">
        <v>-0.1328985</v>
      </c>
      <c r="R3104">
        <v>-9.9483590000000004E-3</v>
      </c>
      <c r="S3104">
        <v>2.9161069999999998</v>
      </c>
      <c r="T3104">
        <v>-0.79140259999999996</v>
      </c>
      <c r="U3104">
        <v>-0.49487300000000001</v>
      </c>
      <c r="V3104">
        <v>1.7153809999999999E-2</v>
      </c>
      <c r="W3104">
        <v>-0.1239714</v>
      </c>
      <c r="X3104">
        <v>0.99213750000000001</v>
      </c>
      <c r="Y3104">
        <v>0.1681039</v>
      </c>
      <c r="Z3104">
        <v>-2.488922E-2</v>
      </c>
      <c r="AA3104">
        <v>0.98545499999999997</v>
      </c>
      <c r="AB3104">
        <v>29</v>
      </c>
      <c r="AC3104">
        <v>0.51949999999999297</v>
      </c>
      <c r="AD3104">
        <v>-0.2173783</v>
      </c>
      <c r="AE3104">
        <v>-0.13849999999999299</v>
      </c>
      <c r="AF3104">
        <v>0.12227934332099299</v>
      </c>
      <c r="AG3104">
        <v>-0.2173783</v>
      </c>
      <c r="AH3104">
        <v>0.445632650703219</v>
      </c>
      <c r="AI3104">
        <v>115.19272759710501</v>
      </c>
      <c r="AJ3104">
        <v>74.655983860759903</v>
      </c>
      <c r="AK3104">
        <v>0.510679960921398</v>
      </c>
      <c r="AL3104">
        <v>97.121359389825102</v>
      </c>
      <c r="AM3104">
        <v>89.009468951842095</v>
      </c>
      <c r="AN3104">
        <v>0.99999999006086204</v>
      </c>
    </row>
    <row r="3105" spans="1:40" x14ac:dyDescent="0.25">
      <c r="A3105" t="str">
        <f>"20190303154531034"</f>
        <v>20190303154531034</v>
      </c>
      <c r="B3105" t="str">
        <f>"1551599131024541"</f>
        <v>1551599131024541</v>
      </c>
      <c r="C3105" t="s">
        <v>40</v>
      </c>
      <c r="D3105">
        <v>5.1685980000000002</v>
      </c>
      <c r="E3105">
        <v>0.55644830000000001</v>
      </c>
      <c r="F3105" t="s">
        <v>42</v>
      </c>
      <c r="G3105">
        <v>-378.7792</v>
      </c>
      <c r="H3105">
        <v>0.9087421</v>
      </c>
      <c r="I3105">
        <v>214.43889999999999</v>
      </c>
      <c r="J3105">
        <v>-379.27480000000003</v>
      </c>
      <c r="K3105">
        <v>1.1201810000000001</v>
      </c>
      <c r="L3105">
        <v>214.57470000000001</v>
      </c>
      <c r="M3105">
        <v>0.99993270000000001</v>
      </c>
      <c r="N3105">
        <v>-9.0155719999999995E-3</v>
      </c>
      <c r="O3105">
        <v>7.3110889999999998E-3</v>
      </c>
      <c r="P3105">
        <v>0.99117409999999995</v>
      </c>
      <c r="Q3105">
        <v>-0.13204839999999901</v>
      </c>
      <c r="R3105">
        <v>-1.173543E-2</v>
      </c>
      <c r="S3105">
        <v>2.9161990000000002</v>
      </c>
      <c r="T3105">
        <v>-0.78913120000000003</v>
      </c>
      <c r="U3105">
        <v>-0.49836730000000001</v>
      </c>
      <c r="V3105">
        <v>1.8990150000000001E-2</v>
      </c>
      <c r="W3105">
        <v>-0.1231068</v>
      </c>
      <c r="X3105">
        <v>0.99221170000000003</v>
      </c>
      <c r="Y3105">
        <v>0.1692881</v>
      </c>
      <c r="Z3105">
        <v>-2.4994929999999999E-2</v>
      </c>
      <c r="AA3105">
        <v>0.98524959999999995</v>
      </c>
      <c r="AB3105">
        <v>29</v>
      </c>
      <c r="AC3105">
        <v>0.49560000000002402</v>
      </c>
      <c r="AD3105">
        <v>-0.21143889999999901</v>
      </c>
      <c r="AE3105">
        <v>-0.13580000000001699</v>
      </c>
      <c r="AF3105">
        <v>0.119233297805879</v>
      </c>
      <c r="AG3105">
        <v>-0.21143889999999901</v>
      </c>
      <c r="AH3105">
        <v>0.422981660599072</v>
      </c>
      <c r="AI3105">
        <v>115.69347478297099</v>
      </c>
      <c r="AJ3105">
        <v>74.257512318557104</v>
      </c>
      <c r="AK3105">
        <v>0.48768480901297701</v>
      </c>
      <c r="AL3105">
        <v>97.071439096650096</v>
      </c>
      <c r="AM3105">
        <v>88.903537801941894</v>
      </c>
      <c r="AN3105">
        <v>0.99999998381007604</v>
      </c>
    </row>
    <row r="3106" spans="1:40" x14ac:dyDescent="0.25">
      <c r="A3106" t="str">
        <f>"20190303154531058"</f>
        <v>20190303154531058</v>
      </c>
      <c r="B3106" t="str">
        <f>"1551599131053821"</f>
        <v>1551599131053821</v>
      </c>
      <c r="C3106" t="s">
        <v>40</v>
      </c>
      <c r="D3106">
        <v>5.0689919999999997</v>
      </c>
      <c r="E3106">
        <v>0.55606509999999998</v>
      </c>
      <c r="F3106" t="s">
        <v>42</v>
      </c>
      <c r="G3106">
        <v>-378.5172</v>
      </c>
      <c r="H3106">
        <v>0.91442330000000005</v>
      </c>
      <c r="I3106">
        <v>214.44409999999999</v>
      </c>
      <c r="J3106">
        <v>-378.96559999999999</v>
      </c>
      <c r="K3106">
        <v>1.1201760000000001</v>
      </c>
      <c r="L3106">
        <v>214.5771</v>
      </c>
      <c r="M3106">
        <v>0.9999323</v>
      </c>
      <c r="N3106">
        <v>-9.0306350000000004E-3</v>
      </c>
      <c r="O3106">
        <v>7.3530710000000001E-3</v>
      </c>
      <c r="P3106">
        <v>0.99119219999999997</v>
      </c>
      <c r="Q3106">
        <v>-0.1317971</v>
      </c>
      <c r="R3106">
        <v>-1.296053E-2</v>
      </c>
      <c r="S3106">
        <v>2.9152830000000001</v>
      </c>
      <c r="T3106">
        <v>-0.79184469999999996</v>
      </c>
      <c r="U3106">
        <v>-0.50076290000000001</v>
      </c>
      <c r="V3106">
        <v>2.025451E-2</v>
      </c>
      <c r="W3106">
        <v>-0.1228407</v>
      </c>
      <c r="X3106">
        <v>0.99221970000000004</v>
      </c>
      <c r="Y3106">
        <v>0.17009099999999999</v>
      </c>
      <c r="Z3106">
        <v>-2.5203440000000001E-2</v>
      </c>
      <c r="AA3106">
        <v>0.98510600000000004</v>
      </c>
      <c r="AB3106">
        <v>29</v>
      </c>
      <c r="AC3106">
        <v>0.44839999999999203</v>
      </c>
      <c r="AD3106">
        <v>-0.20575270000000001</v>
      </c>
      <c r="AE3106">
        <v>-0.133000000000009</v>
      </c>
      <c r="AF3106">
        <v>0.11419409748661299</v>
      </c>
      <c r="AG3106">
        <v>-0.20575270000000001</v>
      </c>
      <c r="AH3106">
        <v>0.37486387166708501</v>
      </c>
      <c r="AI3106">
        <v>117.701788239843</v>
      </c>
      <c r="AJ3106">
        <v>73.057786946493906</v>
      </c>
      <c r="AK3106">
        <v>0.442602968516151</v>
      </c>
      <c r="AL3106">
        <v>97.056075912062894</v>
      </c>
      <c r="AM3106">
        <v>88.830564657565702</v>
      </c>
      <c r="AN3106">
        <v>1.00000000790996</v>
      </c>
    </row>
    <row r="3107" spans="1:40" x14ac:dyDescent="0.25">
      <c r="A3107" t="str">
        <f>"20190303154531081"</f>
        <v>20190303154531081</v>
      </c>
      <c r="B3107" t="str">
        <f>"1551599131074317"</f>
        <v>1551599131074317</v>
      </c>
      <c r="C3107" t="s">
        <v>40</v>
      </c>
      <c r="D3107">
        <v>4.9530079999999996</v>
      </c>
      <c r="E3107">
        <v>0.55605130000000003</v>
      </c>
      <c r="F3107" t="s">
        <v>42</v>
      </c>
      <c r="G3107">
        <v>-378.2525</v>
      </c>
      <c r="H3107">
        <v>0.92585899999999999</v>
      </c>
      <c r="I3107">
        <v>214.45400000000001</v>
      </c>
      <c r="J3107">
        <v>-378.67270000000002</v>
      </c>
      <c r="K3107">
        <v>1.12016</v>
      </c>
      <c r="L3107">
        <v>214.57929999999999</v>
      </c>
      <c r="M3107">
        <v>0.99993200000000004</v>
      </c>
      <c r="N3107">
        <v>-9.0449789999999999E-3</v>
      </c>
      <c r="O3107">
        <v>7.3804219999999898E-3</v>
      </c>
      <c r="P3107">
        <v>0.99112489999999998</v>
      </c>
      <c r="Q3107">
        <v>-0.13229959999999999</v>
      </c>
      <c r="R3107">
        <v>-1.2982870000000001E-2</v>
      </c>
      <c r="S3107">
        <v>2.9144589999999999</v>
      </c>
      <c r="T3107">
        <v>-0.79427209999999904</v>
      </c>
      <c r="U3107">
        <v>-0.50230410000000003</v>
      </c>
      <c r="V3107">
        <v>2.0300490000000001E-2</v>
      </c>
      <c r="W3107">
        <v>-0.1233301</v>
      </c>
      <c r="X3107">
        <v>0.99215810000000004</v>
      </c>
      <c r="Y3107">
        <v>0.17060890000000001</v>
      </c>
      <c r="Z3107">
        <v>-2.536101E-2</v>
      </c>
      <c r="AA3107">
        <v>0.98501240000000001</v>
      </c>
      <c r="AB3107">
        <v>29</v>
      </c>
      <c r="AC3107">
        <v>0.420200000000022</v>
      </c>
      <c r="AD3107">
        <v>-0.194301</v>
      </c>
      <c r="AE3107">
        <v>-0.12529999999998101</v>
      </c>
      <c r="AF3107">
        <v>0.10732427063809601</v>
      </c>
      <c r="AG3107">
        <v>-0.194301</v>
      </c>
      <c r="AH3107">
        <v>0.35045084660134301</v>
      </c>
      <c r="AI3107">
        <v>117.929360959516</v>
      </c>
      <c r="AJ3107">
        <v>72.972987149129494</v>
      </c>
      <c r="AK3107">
        <v>0.414833910803586</v>
      </c>
      <c r="AL3107">
        <v>97.084330951569399</v>
      </c>
      <c r="AM3107">
        <v>88.827837897394303</v>
      </c>
      <c r="AN3107">
        <v>1.0000000594279199</v>
      </c>
    </row>
    <row r="3108" spans="1:40" x14ac:dyDescent="0.25">
      <c r="A3108" t="str">
        <f>"20190303154531104"</f>
        <v>20190303154531104</v>
      </c>
      <c r="B3108" t="str">
        <f>"1551599131093837"</f>
        <v>1551599131093837</v>
      </c>
      <c r="C3108" t="s">
        <v>40</v>
      </c>
      <c r="D3108">
        <v>5.0637619999999997</v>
      </c>
      <c r="E3108">
        <v>0.55576569999999903</v>
      </c>
      <c r="F3108" t="s">
        <v>42</v>
      </c>
      <c r="G3108">
        <v>-377.98840000000001</v>
      </c>
      <c r="H3108">
        <v>0.93360089999999996</v>
      </c>
      <c r="I3108">
        <v>214.46090000000001</v>
      </c>
      <c r="J3108">
        <v>-378.37830000000002</v>
      </c>
      <c r="K3108">
        <v>1.1201479999999999</v>
      </c>
      <c r="L3108">
        <v>214.58150000000001</v>
      </c>
      <c r="M3108">
        <v>0.99993180000000004</v>
      </c>
      <c r="N3108">
        <v>-9.0595559999999999E-3</v>
      </c>
      <c r="O3108">
        <v>7.3951900000000003E-3</v>
      </c>
      <c r="P3108">
        <v>0.99111249999999995</v>
      </c>
      <c r="Q3108">
        <v>-0.1325634</v>
      </c>
      <c r="R3108">
        <v>-1.1096E-2</v>
      </c>
      <c r="S3108">
        <v>2.9142459999999999</v>
      </c>
      <c r="T3108">
        <v>-0.79448319999999995</v>
      </c>
      <c r="U3108">
        <v>-0.50248720000000002</v>
      </c>
      <c r="V3108">
        <v>1.8424570000000001E-2</v>
      </c>
      <c r="W3108">
        <v>-0.12358</v>
      </c>
      <c r="X3108">
        <v>0.99216349999999998</v>
      </c>
      <c r="Y3108">
        <v>0.1706878</v>
      </c>
      <c r="Z3108">
        <v>-2.5384770000000001E-2</v>
      </c>
      <c r="AA3108">
        <v>0.98499809999999999</v>
      </c>
      <c r="AB3108">
        <v>29</v>
      </c>
      <c r="AC3108">
        <v>0.38990000000001102</v>
      </c>
      <c r="AD3108">
        <v>-0.18654709999999999</v>
      </c>
      <c r="AE3108">
        <v>-0.120599999999996</v>
      </c>
      <c r="AF3108">
        <v>0.102140529895209</v>
      </c>
      <c r="AG3108">
        <v>-0.18654709999999999</v>
      </c>
      <c r="AH3108">
        <v>0.32177145292867798</v>
      </c>
      <c r="AI3108">
        <v>118.92410116814</v>
      </c>
      <c r="AJ3108">
        <v>72.388900294063006</v>
      </c>
      <c r="AK3108">
        <v>0.38570633425640899</v>
      </c>
      <c r="AL3108">
        <v>97.098760352036805</v>
      </c>
      <c r="AM3108">
        <v>88.936134236922797</v>
      </c>
      <c r="AN3108">
        <v>0.99999994595596498</v>
      </c>
    </row>
    <row r="3109" spans="1:40" x14ac:dyDescent="0.25">
      <c r="A3109" t="str">
        <f>"20190303154531125"</f>
        <v>20190303154531125</v>
      </c>
      <c r="B3109" t="str">
        <f>"1551599131114333"</f>
        <v>1551599131114333</v>
      </c>
      <c r="C3109" t="s">
        <v>40</v>
      </c>
      <c r="D3109">
        <v>4.8998869999999997</v>
      </c>
      <c r="E3109">
        <v>0.55571809999999999</v>
      </c>
      <c r="F3109" t="s">
        <v>42</v>
      </c>
      <c r="G3109">
        <v>-377.48860000000002</v>
      </c>
      <c r="H3109">
        <v>0.87621299999999902</v>
      </c>
      <c r="I3109">
        <v>214.43049999999999</v>
      </c>
      <c r="J3109">
        <v>-378.09660000000002</v>
      </c>
      <c r="K3109">
        <v>1.1201350000000001</v>
      </c>
      <c r="L3109">
        <v>214.58359999999999</v>
      </c>
      <c r="M3109">
        <v>0.99993160000000003</v>
      </c>
      <c r="N3109">
        <v>-9.0732520000000004E-3</v>
      </c>
      <c r="O3109">
        <v>7.3894399999999997E-3</v>
      </c>
      <c r="P3109">
        <v>0.9911008</v>
      </c>
      <c r="Q3109">
        <v>-0.13290639999999901</v>
      </c>
      <c r="R3109">
        <v>-7.4342799999999997E-3</v>
      </c>
      <c r="S3109">
        <v>2.9144899999999998</v>
      </c>
      <c r="T3109">
        <v>-0.79900879999999996</v>
      </c>
      <c r="U3109">
        <v>-0.49418640000000003</v>
      </c>
      <c r="V3109">
        <v>1.4753230000000001E-2</v>
      </c>
      <c r="W3109">
        <v>-0.1239097</v>
      </c>
      <c r="X3109">
        <v>0.99218379999999995</v>
      </c>
      <c r="Y3109">
        <v>0.16796810000000001</v>
      </c>
      <c r="Z3109">
        <v>-2.5147309999999999E-2</v>
      </c>
      <c r="AA3109">
        <v>0.9854716</v>
      </c>
      <c r="AB3109">
        <v>29</v>
      </c>
      <c r="AC3109">
        <v>0.60800000000000398</v>
      </c>
      <c r="AD3109">
        <v>-0.243922</v>
      </c>
      <c r="AE3109">
        <v>-0.15309999999999399</v>
      </c>
      <c r="AF3109">
        <v>0.136872530680961</v>
      </c>
      <c r="AG3109">
        <v>-0.243922</v>
      </c>
      <c r="AH3109">
        <v>0.52707667985569595</v>
      </c>
      <c r="AI3109">
        <v>114.12885773641101</v>
      </c>
      <c r="AJ3109">
        <v>75.442830688791403</v>
      </c>
      <c r="AK3109">
        <v>0.59669243181618703</v>
      </c>
      <c r="AL3109">
        <v>97.117796826908503</v>
      </c>
      <c r="AM3109">
        <v>89.148105902530105</v>
      </c>
      <c r="AN3109">
        <v>0.99999998226598097</v>
      </c>
    </row>
    <row r="3110" spans="1:40" x14ac:dyDescent="0.25">
      <c r="A3110" t="str">
        <f>"20190303154531146"</f>
        <v>20190303154531146</v>
      </c>
      <c r="B3110" t="str">
        <f>"1551599131143613"</f>
        <v>1551599131143613</v>
      </c>
      <c r="C3110" t="s">
        <v>40</v>
      </c>
      <c r="D3110">
        <v>5.0537859999999997</v>
      </c>
      <c r="E3110">
        <v>0.55529269999999997</v>
      </c>
      <c r="F3110" t="s">
        <v>42</v>
      </c>
      <c r="G3110">
        <v>-377.22480000000002</v>
      </c>
      <c r="H3110">
        <v>0.8811966</v>
      </c>
      <c r="I3110">
        <v>214.4392</v>
      </c>
      <c r="J3110">
        <v>-377.81509999999997</v>
      </c>
      <c r="K3110">
        <v>1.120117</v>
      </c>
      <c r="L3110">
        <v>214.5856</v>
      </c>
      <c r="M3110">
        <v>0.99993180000000004</v>
      </c>
      <c r="N3110">
        <v>-9.0867689999999997E-3</v>
      </c>
      <c r="O3110">
        <v>7.3633519999999897E-3</v>
      </c>
      <c r="P3110">
        <v>0.99113890000000004</v>
      </c>
      <c r="Q3110">
        <v>-0.1327661</v>
      </c>
      <c r="R3110">
        <v>-4.1608069999999999E-3</v>
      </c>
      <c r="S3110">
        <v>2.9161380000000001</v>
      </c>
      <c r="T3110">
        <v>-0.79931589999999997</v>
      </c>
      <c r="U3110">
        <v>-0.4830933</v>
      </c>
      <c r="V3110">
        <v>1.145002E-2</v>
      </c>
      <c r="W3110">
        <v>-0.1237557</v>
      </c>
      <c r="X3110">
        <v>0.99224659999999998</v>
      </c>
      <c r="Y3110">
        <v>0.16433610000000001</v>
      </c>
      <c r="Z3110">
        <v>-2.4641989999999999E-2</v>
      </c>
      <c r="AA3110">
        <v>0.98609659999999999</v>
      </c>
      <c r="AB3110">
        <v>29</v>
      </c>
      <c r="AC3110">
        <v>0.59029999999995597</v>
      </c>
      <c r="AD3110">
        <v>-0.2389204</v>
      </c>
      <c r="AE3110">
        <v>-0.146399999999999</v>
      </c>
      <c r="AF3110">
        <v>0.13058951956259199</v>
      </c>
      <c r="AG3110">
        <v>-0.2389204</v>
      </c>
      <c r="AH3110">
        <v>0.510433167026352</v>
      </c>
      <c r="AI3110">
        <v>114.39278448394801</v>
      </c>
      <c r="AJ3110">
        <v>75.649235866060806</v>
      </c>
      <c r="AK3110">
        <v>0.57851412960817095</v>
      </c>
      <c r="AL3110">
        <v>97.108905097121195</v>
      </c>
      <c r="AM3110">
        <v>89.338865253485906</v>
      </c>
      <c r="AN3110">
        <v>0.99999994572602302</v>
      </c>
    </row>
    <row r="3111" spans="1:40" x14ac:dyDescent="0.25">
      <c r="A3111" t="str">
        <f>"20190303154531168"</f>
        <v>20190303154531168</v>
      </c>
      <c r="B3111" t="str">
        <f>"1551599131164109"</f>
        <v>1551599131164109</v>
      </c>
      <c r="C3111" t="s">
        <v>40</v>
      </c>
      <c r="D3111">
        <v>4.904979</v>
      </c>
      <c r="E3111">
        <v>0.55533920000000003</v>
      </c>
      <c r="F3111" t="s">
        <v>42</v>
      </c>
      <c r="G3111">
        <v>-376.96129999999999</v>
      </c>
      <c r="H3111">
        <v>0.8848549</v>
      </c>
      <c r="I3111">
        <v>214.44739999999999</v>
      </c>
      <c r="J3111">
        <v>-377.52969999999999</v>
      </c>
      <c r="K3111">
        <v>1.1200950000000001</v>
      </c>
      <c r="L3111">
        <v>214.58770000000001</v>
      </c>
      <c r="M3111">
        <v>0.99993209999999999</v>
      </c>
      <c r="N3111">
        <v>-9.1003720000000007E-3</v>
      </c>
      <c r="O3111">
        <v>7.3126750000000003E-3</v>
      </c>
      <c r="P3111">
        <v>0.99111590000000005</v>
      </c>
      <c r="Q3111">
        <v>-0.13298660000000001</v>
      </c>
      <c r="R3111">
        <v>-2.0448699999999998E-3</v>
      </c>
      <c r="S3111">
        <v>2.9171450000000001</v>
      </c>
      <c r="T3111">
        <v>-0.80382010000000004</v>
      </c>
      <c r="U3111">
        <v>-0.47061160000000002</v>
      </c>
      <c r="V3111">
        <v>9.2787700000000004E-3</v>
      </c>
      <c r="W3111">
        <v>-0.123963</v>
      </c>
      <c r="X3111">
        <v>0.99224349999999994</v>
      </c>
      <c r="Y3111">
        <v>0.1602066</v>
      </c>
      <c r="Z3111">
        <v>-2.4185419999999999E-2</v>
      </c>
      <c r="AA3111">
        <v>0.98678710000000003</v>
      </c>
      <c r="AB3111">
        <v>29</v>
      </c>
      <c r="AC3111">
        <v>0.56839999999999602</v>
      </c>
      <c r="AD3111">
        <v>-0.23524009999999901</v>
      </c>
      <c r="AE3111">
        <v>-0.14030000000002399</v>
      </c>
      <c r="AF3111">
        <v>0.12437328529083901</v>
      </c>
      <c r="AG3111">
        <v>-0.23524009999999901</v>
      </c>
      <c r="AH3111">
        <v>0.48849317141723197</v>
      </c>
      <c r="AI3111">
        <v>115.01725340697701</v>
      </c>
      <c r="AJ3111">
        <v>75.715647186359007</v>
      </c>
      <c r="AK3111">
        <v>0.556266300671999</v>
      </c>
      <c r="AL3111">
        <v>97.120873991330498</v>
      </c>
      <c r="AM3111">
        <v>89.464225400017398</v>
      </c>
      <c r="AN3111">
        <v>1.0000000421169799</v>
      </c>
    </row>
    <row r="3112" spans="1:40" x14ac:dyDescent="0.25">
      <c r="A3112" t="str">
        <f>"20190303154531211"</f>
        <v>20190303154531211</v>
      </c>
      <c r="B3112" t="str">
        <f>"1551599131204125"</f>
        <v>1551599131204125</v>
      </c>
      <c r="C3112" t="s">
        <v>40</v>
      </c>
      <c r="D3112">
        <v>4.8298240000000003</v>
      </c>
      <c r="E3112">
        <v>0.55549090000000001</v>
      </c>
      <c r="F3112" t="s">
        <v>42</v>
      </c>
      <c r="G3112">
        <v>-376.69639999999998</v>
      </c>
      <c r="H3112">
        <v>0.89042759999999999</v>
      </c>
      <c r="I3112">
        <v>214.45500000000001</v>
      </c>
      <c r="J3112">
        <v>-376.9479</v>
      </c>
      <c r="K3112">
        <v>1.1200699999999999</v>
      </c>
      <c r="L3112">
        <v>214.59180000000001</v>
      </c>
      <c r="M3112">
        <v>0.99993290000000001</v>
      </c>
      <c r="N3112">
        <v>-9.1284049999999992E-3</v>
      </c>
      <c r="O3112">
        <v>7.1374759999999898E-3</v>
      </c>
      <c r="P3112">
        <v>0.99107780000000001</v>
      </c>
      <c r="Q3112">
        <v>-0.13326299999999999</v>
      </c>
      <c r="R3112">
        <v>-2.5003579999999998E-3</v>
      </c>
      <c r="S3112">
        <v>2.9180299999999999</v>
      </c>
      <c r="T3112">
        <v>-0.80420119999999995</v>
      </c>
      <c r="U3112">
        <v>-0.46434019999999998</v>
      </c>
      <c r="V3112">
        <v>9.5485910000000004E-3</v>
      </c>
      <c r="W3112">
        <v>-0.1242128</v>
      </c>
      <c r="X3112">
        <v>0.99220969999999997</v>
      </c>
      <c r="Y3112">
        <v>0.15800249999999999</v>
      </c>
      <c r="Z3112">
        <v>-2.3842829999999999E-2</v>
      </c>
      <c r="AA3112">
        <v>0.98715079999999999</v>
      </c>
      <c r="AB3112">
        <v>29</v>
      </c>
      <c r="AC3112">
        <v>0.25150000000002098</v>
      </c>
      <c r="AD3112">
        <v>-0.2296424</v>
      </c>
      <c r="AE3112">
        <v>-0.13679999999999301</v>
      </c>
      <c r="AF3112">
        <v>8.4333284215349094E-2</v>
      </c>
      <c r="AG3112">
        <v>-0.2296424</v>
      </c>
      <c r="AH3112">
        <v>0.15244014604544301</v>
      </c>
      <c r="AI3112">
        <v>142.81508327757001</v>
      </c>
      <c r="AJ3112">
        <v>61.047654281123997</v>
      </c>
      <c r="AK3112">
        <v>0.288245958914714</v>
      </c>
      <c r="AL3112">
        <v>97.135297956658306</v>
      </c>
      <c r="AM3112">
        <v>89.448627567127005</v>
      </c>
      <c r="AN3112">
        <v>1.0000000420240001</v>
      </c>
    </row>
    <row r="3113" spans="1:40" x14ac:dyDescent="0.25">
      <c r="A3113" t="str">
        <f>"20190303154531235"</f>
        <v>20190303154531235</v>
      </c>
      <c r="B3113" t="str">
        <f>"1551599131223645"</f>
        <v>1551599131223645</v>
      </c>
      <c r="C3113" t="s">
        <v>40</v>
      </c>
      <c r="D3113">
        <v>5.6172849999999999</v>
      </c>
      <c r="E3113">
        <v>0.55610859999999995</v>
      </c>
      <c r="F3113" t="s">
        <v>42</v>
      </c>
      <c r="G3113">
        <v>-376.16430000000003</v>
      </c>
      <c r="H3113">
        <v>0.90361190000000002</v>
      </c>
      <c r="I3113">
        <v>214.46629999999999</v>
      </c>
      <c r="J3113">
        <v>-376.649</v>
      </c>
      <c r="K3113">
        <v>1.120063</v>
      </c>
      <c r="L3113">
        <v>214.59379999999999</v>
      </c>
      <c r="M3113">
        <v>0.99993370000000004</v>
      </c>
      <c r="N3113">
        <v>-9.1428159999999998E-3</v>
      </c>
      <c r="O3113">
        <v>7.0190950000000004E-3</v>
      </c>
      <c r="P3113">
        <v>0.99108499999999999</v>
      </c>
      <c r="Q3113">
        <v>-0.13317129999999999</v>
      </c>
      <c r="R3113">
        <v>-4.0580319999999996E-3</v>
      </c>
      <c r="S3113">
        <v>2.9174500000000001</v>
      </c>
      <c r="T3113">
        <v>-0.80591990000000002</v>
      </c>
      <c r="U3113">
        <v>-0.46698000000000001</v>
      </c>
      <c r="V3113">
        <v>1.0984209999999999E-2</v>
      </c>
      <c r="W3113">
        <v>-0.1241076</v>
      </c>
      <c r="X3113">
        <v>0.99220790000000003</v>
      </c>
      <c r="Y3113">
        <v>0.15873619999999999</v>
      </c>
      <c r="Z3113">
        <v>-2.3966060000000001E-2</v>
      </c>
      <c r="AA3113">
        <v>0.98703010000000002</v>
      </c>
      <c r="AB3113">
        <v>29</v>
      </c>
      <c r="AC3113">
        <v>0.48469999999997498</v>
      </c>
      <c r="AD3113">
        <v>-0.21645110000000001</v>
      </c>
      <c r="AE3113">
        <v>-0.127499999999997</v>
      </c>
      <c r="AF3113">
        <v>0.110322262061377</v>
      </c>
      <c r="AG3113">
        <v>-0.21645110000000001</v>
      </c>
      <c r="AH3113">
        <v>0.407742489380925</v>
      </c>
      <c r="AI3113">
        <v>117.131827724904</v>
      </c>
      <c r="AJ3113">
        <v>74.860071305176504</v>
      </c>
      <c r="AK3113">
        <v>0.47463250820408798</v>
      </c>
      <c r="AL3113">
        <v>97.1292242184484</v>
      </c>
      <c r="AM3113">
        <v>89.365734574225002</v>
      </c>
      <c r="AN3113">
        <v>0.99999993303474399</v>
      </c>
    </row>
    <row r="3114" spans="1:40" x14ac:dyDescent="0.25">
      <c r="A3114" t="str">
        <f>"20190303154531391"</f>
        <v>20190303154531391</v>
      </c>
      <c r="B3114" t="str">
        <f>"1551599131383709"</f>
        <v>1551599131383709</v>
      </c>
      <c r="C3114" t="s">
        <v>40</v>
      </c>
      <c r="D3114">
        <v>4.5927579999999999</v>
      </c>
      <c r="E3114">
        <v>0.52850280000000005</v>
      </c>
      <c r="F3114" t="s">
        <v>42</v>
      </c>
      <c r="G3114">
        <v>-374.0428</v>
      </c>
      <c r="H3114">
        <v>0.89577510000000005</v>
      </c>
      <c r="I3114">
        <v>214.47020000000001</v>
      </c>
      <c r="J3114">
        <v>-374.56760000000003</v>
      </c>
      <c r="K3114">
        <v>1.120042</v>
      </c>
      <c r="L3114">
        <v>214.60640000000001</v>
      </c>
      <c r="M3114">
        <v>0.99993909999999997</v>
      </c>
      <c r="N3114">
        <v>-9.2419909999999997E-3</v>
      </c>
      <c r="O3114">
        <v>6.0410730000000001E-3</v>
      </c>
      <c r="P3114">
        <v>0.99134509999999998</v>
      </c>
      <c r="Q3114">
        <v>-0.1311505</v>
      </c>
      <c r="R3114">
        <v>-5.8696369999999996E-3</v>
      </c>
      <c r="S3114">
        <v>2.916779</v>
      </c>
      <c r="T3114">
        <v>-0.80100559999999998</v>
      </c>
      <c r="U3114">
        <v>-0.48016360000000002</v>
      </c>
      <c r="V3114">
        <v>1.1821129999999999E-2</v>
      </c>
      <c r="W3114">
        <v>-0.121986999999999</v>
      </c>
      <c r="X3114">
        <v>0.99246129999999999</v>
      </c>
      <c r="Y3114">
        <v>0.1621329</v>
      </c>
      <c r="Z3114">
        <v>-2.4051610000000001E-2</v>
      </c>
      <c r="AA3114">
        <v>0.98647580000000001</v>
      </c>
      <c r="AB3114">
        <v>30</v>
      </c>
      <c r="AC3114">
        <v>0.52480000000002702</v>
      </c>
      <c r="AD3114">
        <v>-0.22426689999999999</v>
      </c>
      <c r="AE3114">
        <v>-0.13620000000000199</v>
      </c>
      <c r="AF3114">
        <v>0.11900670672477601</v>
      </c>
      <c r="AG3114">
        <v>-0.22426689999999999</v>
      </c>
      <c r="AH3114">
        <v>0.447417309547537</v>
      </c>
      <c r="AI3114">
        <v>115.84578188732</v>
      </c>
      <c r="AJ3114">
        <v>75.105003187505105</v>
      </c>
      <c r="AK3114">
        <v>0.51443219919037297</v>
      </c>
      <c r="AL3114">
        <v>97.006791903724903</v>
      </c>
      <c r="AM3114">
        <v>89.317586659323496</v>
      </c>
      <c r="AN3114">
        <v>0.99999999964058295</v>
      </c>
    </row>
    <row r="3115" spans="1:40" x14ac:dyDescent="0.25">
      <c r="A3115" t="str">
        <f>"20190303154531413"</f>
        <v>20190303154531413</v>
      </c>
      <c r="B3115" t="str">
        <f>"1551599131404205"</f>
        <v>1551599131404205</v>
      </c>
      <c r="C3115" t="s">
        <v>40</v>
      </c>
      <c r="D3115">
        <v>4.6461940000000004</v>
      </c>
      <c r="E3115">
        <v>0.52208809999999894</v>
      </c>
      <c r="F3115" t="s">
        <v>53</v>
      </c>
      <c r="G3115">
        <v>-168.41470000000001</v>
      </c>
      <c r="H3115">
        <v>5.3522569999999998</v>
      </c>
      <c r="I3115">
        <v>199.0924</v>
      </c>
      <c r="J3115">
        <v>-374.27190000000002</v>
      </c>
      <c r="K3115">
        <v>1.120047</v>
      </c>
      <c r="L3115">
        <v>214.60810000000001</v>
      </c>
      <c r="M3115">
        <v>0.99993969999999999</v>
      </c>
      <c r="N3115">
        <v>-9.2559240000000004E-3</v>
      </c>
      <c r="O3115">
        <v>5.9028309999999999E-3</v>
      </c>
      <c r="P3115">
        <v>0.99129650000000002</v>
      </c>
      <c r="Q3115">
        <v>-0.13152929999999999</v>
      </c>
      <c r="R3115">
        <v>-5.5738480000000002E-3</v>
      </c>
      <c r="S3115">
        <v>3.033112</v>
      </c>
      <c r="T3115">
        <v>6.2268730000000001E-2</v>
      </c>
      <c r="U3115">
        <v>-0.22825619999999999</v>
      </c>
      <c r="V3115">
        <v>1.138753E-2</v>
      </c>
      <c r="W3115">
        <v>-0.1223523</v>
      </c>
      <c r="X3115">
        <v>0.99242140000000001</v>
      </c>
      <c r="Y3115">
        <v>8.0915849999999997E-2</v>
      </c>
      <c r="Z3115">
        <v>6.2984830000000001E-4</v>
      </c>
      <c r="AA3115">
        <v>0.99672070000000001</v>
      </c>
      <c r="AB3115">
        <v>30</v>
      </c>
      <c r="AC3115">
        <v>205.85720000000001</v>
      </c>
      <c r="AD3115">
        <v>4.2322100000000002</v>
      </c>
      <c r="AE3115">
        <v>-15.515700000000001</v>
      </c>
      <c r="AF3115">
        <v>16.7235933835419</v>
      </c>
      <c r="AG3115">
        <v>4.2322100000000002</v>
      </c>
      <c r="AH3115">
        <v>205.67558078414501</v>
      </c>
      <c r="AI3115">
        <v>88.825061043618106</v>
      </c>
      <c r="AJ3115">
        <v>85.351475419138694</v>
      </c>
      <c r="AK3115">
        <v>206.397758485982</v>
      </c>
      <c r="AL3115">
        <v>97.027880028687903</v>
      </c>
      <c r="AM3115">
        <v>89.342588969459797</v>
      </c>
      <c r="AN3115">
        <v>0.99999999816637497</v>
      </c>
    </row>
    <row r="3116" spans="1:40" x14ac:dyDescent="0.25">
      <c r="A3116" t="str">
        <f>"20190303154531437"</f>
        <v>20190303154531437</v>
      </c>
      <c r="B3116" t="str">
        <f>"1551599131433485"</f>
        <v>1551599131433485</v>
      </c>
      <c r="C3116" t="s">
        <v>40</v>
      </c>
      <c r="D3116">
        <v>4.8115540000000001</v>
      </c>
      <c r="E3116">
        <v>0.51732739999999999</v>
      </c>
      <c r="F3116" t="s">
        <v>53</v>
      </c>
      <c r="G3116">
        <v>-168.41229999999999</v>
      </c>
      <c r="H3116">
        <v>1.4363459999999999</v>
      </c>
      <c r="I3116">
        <v>202.46459999999999</v>
      </c>
      <c r="J3116">
        <v>-373.95389999999998</v>
      </c>
      <c r="K3116">
        <v>1.120045</v>
      </c>
      <c r="L3116">
        <v>214.60980000000001</v>
      </c>
      <c r="M3116">
        <v>0.99994059999999996</v>
      </c>
      <c r="N3116">
        <v>-9.2707399999999995E-3</v>
      </c>
      <c r="O3116">
        <v>5.7546899999999998E-3</v>
      </c>
      <c r="P3116">
        <v>0.99133680000000002</v>
      </c>
      <c r="Q3116">
        <v>-0.13119629999999999</v>
      </c>
      <c r="R3116">
        <v>-6.2671669999999997E-3</v>
      </c>
      <c r="S3116">
        <v>3.0259399999999999</v>
      </c>
      <c r="T3116">
        <v>4.6497580000000004E-3</v>
      </c>
      <c r="U3116">
        <v>-0.1784973</v>
      </c>
      <c r="V3116">
        <v>1.1933849999999999E-2</v>
      </c>
      <c r="W3116">
        <v>-0.1220045</v>
      </c>
      <c r="X3116">
        <v>0.99245779999999995</v>
      </c>
      <c r="Y3116">
        <v>6.4630699999999999E-2</v>
      </c>
      <c r="Z3116">
        <v>-1.8810100000000001E-4</v>
      </c>
      <c r="AA3116">
        <v>0.99790919999999905</v>
      </c>
      <c r="AB3116">
        <v>30</v>
      </c>
      <c r="AC3116">
        <v>205.54159999999999</v>
      </c>
      <c r="AD3116">
        <v>0.316300999999999</v>
      </c>
      <c r="AE3116">
        <v>-12.145200000000001</v>
      </c>
      <c r="AF3116">
        <v>13.327846291857799</v>
      </c>
      <c r="AG3116">
        <v>0.316300999999999</v>
      </c>
      <c r="AH3116">
        <v>205.467816542843</v>
      </c>
      <c r="AI3116">
        <v>89.911982849910899</v>
      </c>
      <c r="AJ3116">
        <v>86.288659505610696</v>
      </c>
      <c r="AK3116">
        <v>205.899866847906</v>
      </c>
      <c r="AL3116">
        <v>97.007802124553606</v>
      </c>
      <c r="AM3116">
        <v>89.311077724033794</v>
      </c>
      <c r="AN3116">
        <v>0.999999999788456</v>
      </c>
    </row>
    <row r="3117" spans="1:40" x14ac:dyDescent="0.25">
      <c r="A3117" t="str">
        <f>"20190303154531461"</f>
        <v>20190303154531461</v>
      </c>
      <c r="B3117" t="str">
        <f>"1551599131453981"</f>
        <v>1551599131453981</v>
      </c>
      <c r="C3117" t="s">
        <v>40</v>
      </c>
      <c r="D3117">
        <v>4.8148920000000004</v>
      </c>
      <c r="E3117">
        <v>0.51438519999999999</v>
      </c>
      <c r="F3117" t="s">
        <v>55</v>
      </c>
      <c r="G3117">
        <v>-269.44690000000003</v>
      </c>
      <c r="H3117">
        <v>9.8425490000000008E-3</v>
      </c>
      <c r="I3117">
        <v>209.6163</v>
      </c>
      <c r="J3117">
        <v>-373.63679999999999</v>
      </c>
      <c r="K3117">
        <v>1.120044</v>
      </c>
      <c r="L3117">
        <v>214.61150000000001</v>
      </c>
      <c r="M3117">
        <v>0.99994130000000003</v>
      </c>
      <c r="N3117">
        <v>-9.2855409999999996E-3</v>
      </c>
      <c r="O3117">
        <v>5.6066730000000004E-3</v>
      </c>
      <c r="P3117">
        <v>0.99136139999999995</v>
      </c>
      <c r="Q3117">
        <v>-0.1309427</v>
      </c>
      <c r="R3117">
        <v>-7.5555469999999897E-3</v>
      </c>
      <c r="S3117">
        <v>3.0210270000000001</v>
      </c>
      <c r="T3117">
        <v>-3.2093049999999998E-2</v>
      </c>
      <c r="U3117">
        <v>-0.14434810000000001</v>
      </c>
      <c r="V3117">
        <v>1.3075430000000001E-2</v>
      </c>
      <c r="W3117">
        <v>-0.12173639999999999</v>
      </c>
      <c r="X3117">
        <v>0.99247629999999998</v>
      </c>
      <c r="Y3117">
        <v>5.3320840000000001E-2</v>
      </c>
      <c r="Z3117">
        <v>-5.3826250000000003E-4</v>
      </c>
      <c r="AA3117">
        <v>0.9985773</v>
      </c>
      <c r="AB3117">
        <v>30</v>
      </c>
      <c r="AC3117">
        <v>104.189899999999</v>
      </c>
      <c r="AD3117">
        <v>-1.110201451</v>
      </c>
      <c r="AE3117">
        <v>-4.9952000000000103</v>
      </c>
      <c r="AF3117">
        <v>5.5786733345830699</v>
      </c>
      <c r="AG3117">
        <v>-1.110201451</v>
      </c>
      <c r="AH3117">
        <v>104.14845660479</v>
      </c>
      <c r="AI3117">
        <v>90.6098640626265</v>
      </c>
      <c r="AJ3117">
        <v>86.933903028142097</v>
      </c>
      <c r="AK3117">
        <v>104.303667992049</v>
      </c>
      <c r="AL3117">
        <v>96.992326030968997</v>
      </c>
      <c r="AM3117">
        <v>89.245197477432896</v>
      </c>
      <c r="AN3117">
        <v>0.99999996200816599</v>
      </c>
    </row>
    <row r="3118" spans="1:40" x14ac:dyDescent="0.25">
      <c r="A3118" t="str">
        <f>"20190303154531505"</f>
        <v>20190303154531505</v>
      </c>
      <c r="B3118" t="str">
        <f>"1551599131493998"</f>
        <v>1551599131493998</v>
      </c>
      <c r="C3118" t="s">
        <v>40</v>
      </c>
      <c r="D3118">
        <v>4.764106</v>
      </c>
      <c r="E3118">
        <v>0.51172649999999997</v>
      </c>
      <c r="F3118" t="s">
        <v>57</v>
      </c>
      <c r="G3118">
        <v>-317.67</v>
      </c>
      <c r="H3118" s="1">
        <v>4.30695299999999E-6</v>
      </c>
      <c r="I3118">
        <v>212.27809999999999</v>
      </c>
      <c r="J3118">
        <v>-373.04899999999998</v>
      </c>
      <c r="K3118">
        <v>1.120045</v>
      </c>
      <c r="L3118">
        <v>214.61439999999999</v>
      </c>
      <c r="M3118">
        <v>0.99994249999999996</v>
      </c>
      <c r="N3118">
        <v>-9.3128480000000003E-3</v>
      </c>
      <c r="O3118">
        <v>5.3321150000000001E-3</v>
      </c>
      <c r="P3118">
        <v>0.99140200000000001</v>
      </c>
      <c r="Q3118">
        <v>-0.13048669999999901</v>
      </c>
      <c r="R3118">
        <v>-9.7878610000000001E-3</v>
      </c>
      <c r="S3118">
        <v>3.0172119999999998</v>
      </c>
      <c r="T3118">
        <v>-6.0382129999999999E-2</v>
      </c>
      <c r="U3118">
        <v>-0.1257935</v>
      </c>
      <c r="V3118">
        <v>1.503551E-2</v>
      </c>
      <c r="W3118">
        <v>-0.12125370000000001</v>
      </c>
      <c r="X3118">
        <v>0.99250769999999999</v>
      </c>
      <c r="Y3118">
        <v>4.6968820000000001E-2</v>
      </c>
      <c r="Z3118">
        <v>-7.4559259999999999E-4</v>
      </c>
      <c r="AA3118">
        <v>0.99889609999999995</v>
      </c>
      <c r="AB3118">
        <v>30</v>
      </c>
      <c r="AC3118">
        <v>55.378999999999998</v>
      </c>
      <c r="AD3118">
        <v>-1.1200406930469999</v>
      </c>
      <c r="AE3118">
        <v>-2.3362999999999898</v>
      </c>
      <c r="AF3118">
        <v>2.6304926690888202</v>
      </c>
      <c r="AG3118">
        <v>-1.1200406930469999</v>
      </c>
      <c r="AH3118">
        <v>55.343156763784201</v>
      </c>
      <c r="AI3118">
        <v>91.158092746092507</v>
      </c>
      <c r="AJ3118">
        <v>87.278746040693804</v>
      </c>
      <c r="AK3118">
        <v>55.416955739349298</v>
      </c>
      <c r="AL3118">
        <v>96.964462469207206</v>
      </c>
      <c r="AM3118">
        <v>89.132091998387494</v>
      </c>
      <c r="AN3118">
        <v>1.0000000304419601</v>
      </c>
    </row>
    <row r="3119" spans="1:40" x14ac:dyDescent="0.25">
      <c r="A3119" t="str">
        <f>"20190303154531526"</f>
        <v>20190303154531526</v>
      </c>
      <c r="B3119" t="str">
        <f>"1551599131513517"</f>
        <v>1551599131513517</v>
      </c>
      <c r="C3119" t="s">
        <v>40</v>
      </c>
      <c r="D3119">
        <v>4.8741399999999997</v>
      </c>
      <c r="E3119">
        <v>0.51055620000000002</v>
      </c>
      <c r="F3119" t="s">
        <v>55</v>
      </c>
      <c r="G3119">
        <v>-332.60660000000001</v>
      </c>
      <c r="H3119" s="1">
        <v>-8.3892830000000001E-8</v>
      </c>
      <c r="I3119">
        <v>213.1114</v>
      </c>
      <c r="J3119">
        <v>-372.76240000000001</v>
      </c>
      <c r="K3119">
        <v>1.120044</v>
      </c>
      <c r="L3119">
        <v>214.61580000000001</v>
      </c>
      <c r="M3119">
        <v>0.99994300000000003</v>
      </c>
      <c r="N3119">
        <v>-9.3259650000000003E-3</v>
      </c>
      <c r="O3119">
        <v>5.1984149999999996E-3</v>
      </c>
      <c r="P3119">
        <v>0.99141959999999996</v>
      </c>
      <c r="Q3119">
        <v>-0.1303436</v>
      </c>
      <c r="R3119">
        <v>-9.8873280000000008E-3</v>
      </c>
      <c r="S3119">
        <v>3.0138850000000001</v>
      </c>
      <c r="T3119">
        <v>-8.3469150000000006E-2</v>
      </c>
      <c r="U3119">
        <v>-0.1120148</v>
      </c>
      <c r="V3119">
        <v>1.5002659999999999E-2</v>
      </c>
      <c r="W3119">
        <v>-0.1210973</v>
      </c>
      <c r="X3119">
        <v>0.99252720000000005</v>
      </c>
      <c r="Y3119">
        <v>4.2312599999999999E-2</v>
      </c>
      <c r="Z3119">
        <v>-8.7847000000000001E-4</v>
      </c>
      <c r="AA3119">
        <v>0.99910399999999999</v>
      </c>
      <c r="AB3119">
        <v>30</v>
      </c>
      <c r="AC3119">
        <v>40.155799999999999</v>
      </c>
      <c r="AD3119">
        <v>-1.1200440838928301</v>
      </c>
      <c r="AE3119">
        <v>-1.5044</v>
      </c>
      <c r="AF3119">
        <v>1.71180536253281</v>
      </c>
      <c r="AG3119">
        <v>-1.1200440838928301</v>
      </c>
      <c r="AH3119">
        <v>40.116270249508503</v>
      </c>
      <c r="AI3119">
        <v>91.597826313189103</v>
      </c>
      <c r="AJ3119">
        <v>87.556608361938103</v>
      </c>
      <c r="AK3119">
        <v>40.168394479748102</v>
      </c>
      <c r="AL3119">
        <v>96.955435523205693</v>
      </c>
      <c r="AM3119">
        <v>89.134004950586501</v>
      </c>
      <c r="AN3119">
        <v>0.99999993930710096</v>
      </c>
    </row>
    <row r="3120" spans="1:40" x14ac:dyDescent="0.25">
      <c r="A3120" t="str">
        <f>"20190303154531548"</f>
        <v>20190303154531548</v>
      </c>
      <c r="B3120" t="str">
        <f>"1551599131543774"</f>
        <v>1551599131543774</v>
      </c>
      <c r="C3120" t="s">
        <v>40</v>
      </c>
      <c r="D3120">
        <v>4.9111190000000002</v>
      </c>
      <c r="E3120">
        <v>0.50850329999999999</v>
      </c>
      <c r="F3120" t="s">
        <v>55</v>
      </c>
      <c r="G3120">
        <v>-337.21629999999999</v>
      </c>
      <c r="H3120" s="1">
        <v>2.3567580000000001E-6</v>
      </c>
      <c r="I3120">
        <v>213.39490000000001</v>
      </c>
      <c r="J3120">
        <v>-372.46190000000001</v>
      </c>
      <c r="K3120">
        <v>1.1200410000000001</v>
      </c>
      <c r="L3120">
        <v>214.6172</v>
      </c>
      <c r="M3120">
        <v>0.99994360000000004</v>
      </c>
      <c r="N3120">
        <v>-9.3396190000000004E-3</v>
      </c>
      <c r="O3120">
        <v>5.0577399999999998E-3</v>
      </c>
      <c r="P3120">
        <v>0.99143610000000004</v>
      </c>
      <c r="Q3120">
        <v>-0.13020979999999999</v>
      </c>
      <c r="R3120">
        <v>-9.9841440000000004E-3</v>
      </c>
      <c r="S3120">
        <v>3.012451</v>
      </c>
      <c r="T3120">
        <v>-9.4920989999999997E-2</v>
      </c>
      <c r="U3120">
        <v>-0.1034698</v>
      </c>
      <c r="V3120">
        <v>1.495994E-2</v>
      </c>
      <c r="W3120">
        <v>-0.1209499</v>
      </c>
      <c r="X3120">
        <v>0.99254589999999998</v>
      </c>
      <c r="Y3120">
        <v>3.935516E-2</v>
      </c>
      <c r="Z3120">
        <v>-9.156619E-4</v>
      </c>
      <c r="AA3120">
        <v>0.99922480000000002</v>
      </c>
      <c r="AB3120">
        <v>30</v>
      </c>
      <c r="AC3120">
        <v>35.245600000000003</v>
      </c>
      <c r="AD3120">
        <v>-1.120038643242</v>
      </c>
      <c r="AE3120">
        <v>-1.22229999999999</v>
      </c>
      <c r="AF3120">
        <v>1.39914399388954</v>
      </c>
      <c r="AG3120">
        <v>-1.120038643242</v>
      </c>
      <c r="AH3120">
        <v>35.203459353729698</v>
      </c>
      <c r="AI3120">
        <v>91.820879935428707</v>
      </c>
      <c r="AJ3120">
        <v>87.724005624388795</v>
      </c>
      <c r="AK3120">
        <v>35.249051631890602</v>
      </c>
      <c r="AL3120">
        <v>96.946927018968694</v>
      </c>
      <c r="AM3120">
        <v>89.136486760074106</v>
      </c>
      <c r="AN3120">
        <v>1.00000002086081</v>
      </c>
    </row>
    <row r="3121" spans="1:40" x14ac:dyDescent="0.25">
      <c r="A3121" t="str">
        <f>"20190303154531582"</f>
        <v>20190303154531582</v>
      </c>
      <c r="B3121" t="str">
        <f>"1551599131574031"</f>
        <v>1551599131574031</v>
      </c>
      <c r="C3121" t="s">
        <v>40</v>
      </c>
      <c r="D3121">
        <v>4.9348109999999998</v>
      </c>
      <c r="E3121">
        <v>0.50689070000000003</v>
      </c>
      <c r="F3121" t="s">
        <v>55</v>
      </c>
      <c r="G3121">
        <v>-343.20490000000001</v>
      </c>
      <c r="H3121" s="1">
        <v>1.6867620000000001E-7</v>
      </c>
      <c r="I3121">
        <v>213.7611</v>
      </c>
      <c r="J3121">
        <v>-372.00170000000003</v>
      </c>
      <c r="K3121">
        <v>1.1200399999999999</v>
      </c>
      <c r="L3121">
        <v>214.61930000000001</v>
      </c>
      <c r="M3121">
        <v>0.99994450000000001</v>
      </c>
      <c r="N3121">
        <v>-9.3603909999999992E-3</v>
      </c>
      <c r="O3121">
        <v>4.8425830000000001E-3</v>
      </c>
      <c r="P3121">
        <v>0.99143159999999997</v>
      </c>
      <c r="Q3121">
        <v>-0.13025610000000001</v>
      </c>
      <c r="R3121">
        <v>-9.8401300000000008E-3</v>
      </c>
      <c r="S3121">
        <v>3.0098880000000001</v>
      </c>
      <c r="T3121">
        <v>-0.1152266</v>
      </c>
      <c r="U3121">
        <v>-8.8073730000000003E-2</v>
      </c>
      <c r="V3121">
        <v>1.460243E-2</v>
      </c>
      <c r="W3121">
        <v>-0.1209754</v>
      </c>
      <c r="X3121">
        <v>0.99254810000000004</v>
      </c>
      <c r="Y3121">
        <v>3.4056280000000001E-2</v>
      </c>
      <c r="Z3121">
        <v>-9.5098120000000001E-4</v>
      </c>
      <c r="AA3121">
        <v>0.99941950000000002</v>
      </c>
      <c r="AB3121">
        <v>30</v>
      </c>
      <c r="AC3121">
        <v>28.796800000000001</v>
      </c>
      <c r="AD3121">
        <v>-1.1200398313238</v>
      </c>
      <c r="AE3121">
        <v>-0.85820000000000995</v>
      </c>
      <c r="AF3121">
        <v>0.996141320325589</v>
      </c>
      <c r="AG3121">
        <v>-1.1200398313238</v>
      </c>
      <c r="AH3121">
        <v>28.7488538613737</v>
      </c>
      <c r="AI3121">
        <v>92.229747524006697</v>
      </c>
      <c r="AJ3121">
        <v>88.015508070528895</v>
      </c>
      <c r="AK3121">
        <v>28.787903450866899</v>
      </c>
      <c r="AL3121">
        <v>96.948398982634302</v>
      </c>
      <c r="AM3121">
        <v>89.157121701125604</v>
      </c>
      <c r="AN3121">
        <v>1.0000000045903299</v>
      </c>
    </row>
    <row r="3122" spans="1:40" x14ac:dyDescent="0.25">
      <c r="A3122" t="str">
        <f>"20190303154531602"</f>
        <v>20190303154531602</v>
      </c>
      <c r="B3122" t="str">
        <f>"1551599131594056"</f>
        <v>1551599131594056</v>
      </c>
      <c r="C3122" t="s">
        <v>40</v>
      </c>
      <c r="D3122">
        <v>4.9560570000000004</v>
      </c>
      <c r="E3122">
        <v>0.50607939999999996</v>
      </c>
      <c r="F3122" t="s">
        <v>55</v>
      </c>
      <c r="G3122">
        <v>-346.20819999999998</v>
      </c>
      <c r="H3122" s="1">
        <v>1.766886E-6</v>
      </c>
      <c r="I3122">
        <v>213.971</v>
      </c>
      <c r="J3122">
        <v>-371.7149</v>
      </c>
      <c r="K3122">
        <v>1.120045</v>
      </c>
      <c r="L3122">
        <v>214.62049999999999</v>
      </c>
      <c r="M3122">
        <v>0.99994499999999997</v>
      </c>
      <c r="N3122">
        <v>-9.3732699999999995E-3</v>
      </c>
      <c r="O3122">
        <v>4.7088260000000002E-3</v>
      </c>
      <c r="P3122">
        <v>0.99144149999999998</v>
      </c>
      <c r="Q3122">
        <v>-0.13016920000000001</v>
      </c>
      <c r="R3122">
        <v>-9.9927839999999993E-3</v>
      </c>
      <c r="S3122">
        <v>3.008057</v>
      </c>
      <c r="T3122">
        <v>-0.1306194</v>
      </c>
      <c r="U3122">
        <v>-7.5607300000000002E-2</v>
      </c>
      <c r="V3122">
        <v>1.462243E-2</v>
      </c>
      <c r="W3122">
        <v>-0.1208757</v>
      </c>
      <c r="X3122">
        <v>0.99256</v>
      </c>
      <c r="Y3122">
        <v>2.979741E-2</v>
      </c>
      <c r="Z3122">
        <v>-9.4652919999999995E-4</v>
      </c>
      <c r="AA3122">
        <v>0.99955550000000004</v>
      </c>
      <c r="AB3122">
        <v>30</v>
      </c>
      <c r="AC3122">
        <v>25.506699999999999</v>
      </c>
      <c r="AD3122">
        <v>-1.120043233114</v>
      </c>
      <c r="AE3122">
        <v>-0.64950000000001695</v>
      </c>
      <c r="AF3122">
        <v>0.768124516784222</v>
      </c>
      <c r="AG3122">
        <v>-1.120043233114</v>
      </c>
      <c r="AH3122">
        <v>25.4543084722347</v>
      </c>
      <c r="AI3122">
        <v>92.518364935249807</v>
      </c>
      <c r="AJ3122">
        <v>88.271532644319194</v>
      </c>
      <c r="AK3122">
        <v>25.490514547905999</v>
      </c>
      <c r="AL3122">
        <v>96.942644033173195</v>
      </c>
      <c r="AM3122">
        <v>89.155977550164494</v>
      </c>
      <c r="AN3122">
        <v>1.00000005195479</v>
      </c>
    </row>
    <row r="3123" spans="1:40" x14ac:dyDescent="0.25">
      <c r="A3123" t="str">
        <f>"20190303154531626"</f>
        <v>20190303154531626</v>
      </c>
      <c r="B3123" t="str">
        <f>"1551599131613576"</f>
        <v>1551599131613576</v>
      </c>
      <c r="C3123" t="s">
        <v>40</v>
      </c>
      <c r="D3123">
        <v>5.0050949999999998</v>
      </c>
      <c r="E3123">
        <v>0.50532359999999998</v>
      </c>
      <c r="F3123" t="s">
        <v>55</v>
      </c>
      <c r="G3123">
        <v>-347.49329999999998</v>
      </c>
      <c r="H3123" s="1">
        <v>2.4507819999999998E-6</v>
      </c>
      <c r="I3123">
        <v>214.0592</v>
      </c>
      <c r="J3123">
        <v>-371.40550000000002</v>
      </c>
      <c r="K3123">
        <v>1.120044</v>
      </c>
      <c r="L3123">
        <v>214.62190000000001</v>
      </c>
      <c r="M3123">
        <v>0.99994559999999999</v>
      </c>
      <c r="N3123">
        <v>-9.3872639999999993E-3</v>
      </c>
      <c r="O3123">
        <v>4.5643919999999996E-3</v>
      </c>
      <c r="P3123">
        <v>0.99142580000000002</v>
      </c>
      <c r="Q3123">
        <v>-0.13030990000000001</v>
      </c>
      <c r="R3123">
        <v>-9.7324890000000004E-3</v>
      </c>
      <c r="S3123">
        <v>3.0068969999999999</v>
      </c>
      <c r="T3123">
        <v>-0.13904320000000001</v>
      </c>
      <c r="U3123">
        <v>-6.9686890000000001E-2</v>
      </c>
      <c r="V3123">
        <v>1.421847E-2</v>
      </c>
      <c r="W3123">
        <v>-0.1210025</v>
      </c>
      <c r="X3123">
        <v>0.99255040000000005</v>
      </c>
      <c r="Y3123">
        <v>2.76939E-2</v>
      </c>
      <c r="Z3123">
        <v>-9.3806550000000003E-4</v>
      </c>
      <c r="AA3123">
        <v>0.99961599999999995</v>
      </c>
      <c r="AB3123">
        <v>30</v>
      </c>
      <c r="AC3123">
        <v>23.912199999999999</v>
      </c>
      <c r="AD3123">
        <v>-1.120041549218</v>
      </c>
      <c r="AE3123">
        <v>-0.56270000000000597</v>
      </c>
      <c r="AF3123">
        <v>0.670373632352805</v>
      </c>
      <c r="AG3123">
        <v>-1.120041549218</v>
      </c>
      <c r="AH3123">
        <v>23.857069842719401</v>
      </c>
      <c r="AI3123">
        <v>92.686889168674696</v>
      </c>
      <c r="AJ3123">
        <v>88.390436225258995</v>
      </c>
      <c r="AK3123">
        <v>23.8927536160929</v>
      </c>
      <c r="AL3123">
        <v>96.949962989200003</v>
      </c>
      <c r="AM3123">
        <v>89.179283386130507</v>
      </c>
      <c r="AN3123">
        <v>1.0000000332177701</v>
      </c>
    </row>
    <row r="3124" spans="1:40" x14ac:dyDescent="0.25">
      <c r="A3124" t="str">
        <f>"20190303154531647"</f>
        <v>20190303154531647</v>
      </c>
      <c r="B3124" t="str">
        <f>"1551599131643832"</f>
        <v>1551599131643832</v>
      </c>
      <c r="C3124" t="s">
        <v>40</v>
      </c>
      <c r="D3124">
        <v>5.0358470000000004</v>
      </c>
      <c r="E3124">
        <v>0.50434820000000002</v>
      </c>
      <c r="F3124" t="s">
        <v>55</v>
      </c>
      <c r="G3124">
        <v>-348.41579999999999</v>
      </c>
      <c r="H3124" s="1">
        <v>2.9416890000000001E-6</v>
      </c>
      <c r="I3124">
        <v>214.13800000000001</v>
      </c>
      <c r="J3124">
        <v>-371.11430000000001</v>
      </c>
      <c r="K3124">
        <v>1.1200410000000001</v>
      </c>
      <c r="L3124">
        <v>214.62299999999999</v>
      </c>
      <c r="M3124">
        <v>0.99994609999999995</v>
      </c>
      <c r="N3124">
        <v>-9.4003339999999998E-3</v>
      </c>
      <c r="O3124">
        <v>4.4286070000000002E-3</v>
      </c>
      <c r="P3124">
        <v>0.99138020000000004</v>
      </c>
      <c r="Q3124">
        <v>-0.130629</v>
      </c>
      <c r="R3124">
        <v>-1.0075570000000001E-2</v>
      </c>
      <c r="S3124">
        <v>3.0060730000000002</v>
      </c>
      <c r="T3124">
        <v>-0.14645339999999901</v>
      </c>
      <c r="U3124">
        <v>-6.3262940000000004E-2</v>
      </c>
      <c r="V3124">
        <v>1.442676E-2</v>
      </c>
      <c r="W3124">
        <v>-0.12130920000000001</v>
      </c>
      <c r="X3124">
        <v>0.99250989999999994</v>
      </c>
      <c r="Y3124">
        <v>2.5428610000000001E-2</v>
      </c>
      <c r="Z3124">
        <v>-9.1261580000000003E-4</v>
      </c>
      <c r="AA3124">
        <v>0.99967620000000001</v>
      </c>
      <c r="AB3124">
        <v>30</v>
      </c>
      <c r="AC3124">
        <v>22.698499999999999</v>
      </c>
      <c r="AD3124">
        <v>-1.1200380583109999</v>
      </c>
      <c r="AE3124">
        <v>-0.484999999999985</v>
      </c>
      <c r="AF3124">
        <v>0.58410086625370905</v>
      </c>
      <c r="AG3124">
        <v>-1.1200380583109999</v>
      </c>
      <c r="AH3124">
        <v>22.6410271971186</v>
      </c>
      <c r="AI3124">
        <v>92.831138720344796</v>
      </c>
      <c r="AJ3124">
        <v>88.522191925082396</v>
      </c>
      <c r="AK3124">
        <v>22.676238039293199</v>
      </c>
      <c r="AL3124">
        <v>96.9676664037585</v>
      </c>
      <c r="AM3124">
        <v>89.167228203972698</v>
      </c>
      <c r="AN3124">
        <v>0.99999997750337299</v>
      </c>
    </row>
    <row r="3125" spans="1:40" x14ac:dyDescent="0.25">
      <c r="A3125" t="str">
        <f>"20190303154531672"</f>
        <v>20190303154531672</v>
      </c>
      <c r="B3125" t="str">
        <f>"1551599131664328"</f>
        <v>1551599131664328</v>
      </c>
      <c r="C3125" t="s">
        <v>40</v>
      </c>
      <c r="D3125">
        <v>5.0647520000000004</v>
      </c>
      <c r="E3125">
        <v>0.50374890000000005</v>
      </c>
      <c r="F3125" t="s">
        <v>55</v>
      </c>
      <c r="G3125">
        <v>-349.70940000000002</v>
      </c>
      <c r="H3125" s="1">
        <v>3.6300660000000001E-6</v>
      </c>
      <c r="I3125">
        <v>214.2192</v>
      </c>
      <c r="J3125">
        <v>-370.7826</v>
      </c>
      <c r="K3125">
        <v>1.120042</v>
      </c>
      <c r="L3125">
        <v>214.62440000000001</v>
      </c>
      <c r="M3125">
        <v>0.99994649999999996</v>
      </c>
      <c r="N3125">
        <v>-9.4153529999999996E-3</v>
      </c>
      <c r="O3125">
        <v>4.2740959999999998E-3</v>
      </c>
      <c r="P3125">
        <v>0.99137509999999995</v>
      </c>
      <c r="Q3125">
        <v>-0.13066729999999999</v>
      </c>
      <c r="R3125">
        <v>-1.007827E-2</v>
      </c>
      <c r="S3125">
        <v>3.004791</v>
      </c>
      <c r="T3125">
        <v>-0.1572289</v>
      </c>
      <c r="U3125">
        <v>-5.6686399999999998E-2</v>
      </c>
      <c r="V3125">
        <v>1.427604E-2</v>
      </c>
      <c r="W3125">
        <v>-0.1213325</v>
      </c>
      <c r="X3125">
        <v>0.99250919999999998</v>
      </c>
      <c r="Y3125">
        <v>2.3094130000000001E-2</v>
      </c>
      <c r="Z3125">
        <v>-8.9582469999999995E-4</v>
      </c>
      <c r="AA3125">
        <v>0.99973290000000004</v>
      </c>
      <c r="AB3125">
        <v>30</v>
      </c>
      <c r="AC3125">
        <v>21.0731999999999</v>
      </c>
      <c r="AD3125">
        <v>-1.120038369934</v>
      </c>
      <c r="AE3125">
        <v>-0.405200000000007</v>
      </c>
      <c r="AF3125">
        <v>0.49387453838458201</v>
      </c>
      <c r="AG3125">
        <v>-1.120038369934</v>
      </c>
      <c r="AH3125">
        <v>21.0119406279427</v>
      </c>
      <c r="AI3125">
        <v>93.050414330612199</v>
      </c>
      <c r="AJ3125">
        <v>88.6535409598104</v>
      </c>
      <c r="AK3125">
        <v>21.047566295464598</v>
      </c>
      <c r="AL3125">
        <v>96.969011547236803</v>
      </c>
      <c r="AM3125">
        <v>89.175926593697</v>
      </c>
      <c r="AN3125">
        <v>0.99999994647948398</v>
      </c>
    </row>
    <row r="3126" spans="1:40" x14ac:dyDescent="0.25">
      <c r="A3126" t="str">
        <f>"20190303154531695"</f>
        <v>20190303154531695</v>
      </c>
      <c r="B3126" t="str">
        <f>"1551599131683849"</f>
        <v>1551599131683849</v>
      </c>
      <c r="C3126" t="s">
        <v>40</v>
      </c>
      <c r="D3126">
        <v>5.1078609999999998</v>
      </c>
      <c r="E3126">
        <v>0.50294289999999997</v>
      </c>
      <c r="F3126" t="s">
        <v>55</v>
      </c>
      <c r="G3126">
        <v>-349.40879999999999</v>
      </c>
      <c r="H3126" s="1">
        <v>3.4700779999999998E-6</v>
      </c>
      <c r="I3126">
        <v>214.25380000000001</v>
      </c>
      <c r="J3126">
        <v>-370.46940000000001</v>
      </c>
      <c r="K3126">
        <v>1.1200540000000001</v>
      </c>
      <c r="L3126">
        <v>214.62549999999999</v>
      </c>
      <c r="M3126">
        <v>0.99994709999999998</v>
      </c>
      <c r="N3126">
        <v>-9.4293799999999994E-3</v>
      </c>
      <c r="O3126">
        <v>4.1279949999999998E-3</v>
      </c>
      <c r="P3126">
        <v>0.99153670000000005</v>
      </c>
      <c r="Q3126">
        <v>-0.12942619999999999</v>
      </c>
      <c r="R3126">
        <v>-1.021644E-2</v>
      </c>
      <c r="S3126">
        <v>3.0048219999999999</v>
      </c>
      <c r="T3126">
        <v>-0.15745970000000001</v>
      </c>
      <c r="U3126">
        <v>-5.2093510000000003E-2</v>
      </c>
      <c r="V3126">
        <v>1.427017E-2</v>
      </c>
      <c r="W3126">
        <v>-0.120076</v>
      </c>
      <c r="X3126">
        <v>0.99266209999999999</v>
      </c>
      <c r="Y3126">
        <v>2.1422960000000001E-2</v>
      </c>
      <c r="Z3126">
        <v>-8.392273E-4</v>
      </c>
      <c r="AA3126">
        <v>0.99977020000000005</v>
      </c>
      <c r="AB3126">
        <v>30</v>
      </c>
      <c r="AC3126">
        <v>21.060600000000001</v>
      </c>
      <c r="AD3126">
        <v>-1.120050529922</v>
      </c>
      <c r="AE3126">
        <v>-0.37169999999997499</v>
      </c>
      <c r="AF3126">
        <v>0.457345610235938</v>
      </c>
      <c r="AG3126">
        <v>-1.120050529922</v>
      </c>
      <c r="AH3126">
        <v>20.999510546553601</v>
      </c>
      <c r="AI3126">
        <v>93.052368569351003</v>
      </c>
      <c r="AJ3126">
        <v>88.752359901424697</v>
      </c>
      <c r="AK3126">
        <v>21.034331969225899</v>
      </c>
      <c r="AL3126">
        <v>96.896489022282395</v>
      </c>
      <c r="AM3126">
        <v>89.176392250800603</v>
      </c>
      <c r="AN3126">
        <v>0.999999964152118</v>
      </c>
    </row>
    <row r="3127" spans="1:40" x14ac:dyDescent="0.25">
      <c r="A3127" t="str">
        <f>"20190303154531718"</f>
        <v>20190303154531718</v>
      </c>
      <c r="B3127" t="str">
        <f>"1551599131714104"</f>
        <v>1551599131714104</v>
      </c>
      <c r="C3127" t="s">
        <v>40</v>
      </c>
      <c r="D3127">
        <v>5.1174220000000004</v>
      </c>
      <c r="E3127">
        <v>0.50199229999999995</v>
      </c>
      <c r="F3127" t="s">
        <v>55</v>
      </c>
      <c r="G3127">
        <v>-349.01850000000002</v>
      </c>
      <c r="H3127" s="1">
        <v>3.2624260000000002E-6</v>
      </c>
      <c r="I3127">
        <v>214.29689999999999</v>
      </c>
      <c r="J3127">
        <v>-370.15440000000001</v>
      </c>
      <c r="K3127">
        <v>1.120063</v>
      </c>
      <c r="L3127">
        <v>214.6267</v>
      </c>
      <c r="M3127">
        <v>0.99994749999999999</v>
      </c>
      <c r="N3127">
        <v>-9.4430450000000006E-3</v>
      </c>
      <c r="O3127">
        <v>3.9810610000000001E-3</v>
      </c>
      <c r="P3127">
        <v>0.99148619999999998</v>
      </c>
      <c r="Q3127">
        <v>-0.1298098</v>
      </c>
      <c r="R3127">
        <v>-1.0226239999999999E-2</v>
      </c>
      <c r="S3127">
        <v>3.0047000000000001</v>
      </c>
      <c r="T3127">
        <v>-0.15688929999999901</v>
      </c>
      <c r="U3127">
        <v>-4.6035769999999997E-2</v>
      </c>
      <c r="V3127">
        <v>1.413411E-2</v>
      </c>
      <c r="W3127">
        <v>-0.1204465</v>
      </c>
      <c r="X3127">
        <v>0.99261920000000003</v>
      </c>
      <c r="Y3127">
        <v>1.9265480000000001E-2</v>
      </c>
      <c r="Z3127">
        <v>-7.6378739999999996E-4</v>
      </c>
      <c r="AA3127">
        <v>0.99981410000000004</v>
      </c>
      <c r="AB3127">
        <v>31</v>
      </c>
      <c r="AC3127">
        <v>21.1358999999999</v>
      </c>
      <c r="AD3127">
        <v>-1.120059737574</v>
      </c>
      <c r="AE3127">
        <v>-0.32980000000000498</v>
      </c>
      <c r="AF3127">
        <v>0.41278550796674002</v>
      </c>
      <c r="AG3127">
        <v>-1.120059737574</v>
      </c>
      <c r="AH3127">
        <v>21.075248625122398</v>
      </c>
      <c r="AI3127">
        <v>93.041582476236002</v>
      </c>
      <c r="AJ3127">
        <v>88.877932866347294</v>
      </c>
      <c r="AK3127">
        <v>21.109027223016401</v>
      </c>
      <c r="AL3127">
        <v>96.917872024167394</v>
      </c>
      <c r="AM3127">
        <v>89.184208682628494</v>
      </c>
      <c r="AN3127">
        <v>1.00000000431819</v>
      </c>
    </row>
    <row r="3128" spans="1:40" x14ac:dyDescent="0.25">
      <c r="A3128" t="str">
        <f>"20190303154531759"</f>
        <v>20190303154531759</v>
      </c>
      <c r="B3128" t="str">
        <f>"1551599131754120"</f>
        <v>1551599131754120</v>
      </c>
      <c r="C3128" t="s">
        <v>40</v>
      </c>
      <c r="D3128">
        <v>5.1361509999999999</v>
      </c>
      <c r="E3128">
        <v>0.50081379999999998</v>
      </c>
      <c r="F3128" t="s">
        <v>55</v>
      </c>
      <c r="G3128">
        <v>-348.77800000000002</v>
      </c>
      <c r="H3128" s="1">
        <v>3.1344450000000002E-6</v>
      </c>
      <c r="I3128">
        <v>214.35239999999999</v>
      </c>
      <c r="J3128">
        <v>-369.57819999999998</v>
      </c>
      <c r="K3128">
        <v>1.1200589999999999</v>
      </c>
      <c r="L3128">
        <v>214.62870000000001</v>
      </c>
      <c r="M3128">
        <v>0.99994839999999996</v>
      </c>
      <c r="N3128">
        <v>-9.4679020000000003E-3</v>
      </c>
      <c r="O3128">
        <v>3.7125980000000001E-3</v>
      </c>
      <c r="P3128">
        <v>0.99128870000000002</v>
      </c>
      <c r="Q3128">
        <v>-0.13122790000000001</v>
      </c>
      <c r="R3128">
        <v>-1.123387E-2</v>
      </c>
      <c r="S3128">
        <v>3.004791</v>
      </c>
      <c r="T3128">
        <v>-0.1574422</v>
      </c>
      <c r="U3128">
        <v>-3.8558960000000003E-2</v>
      </c>
      <c r="V3128">
        <v>1.4874109999999999E-2</v>
      </c>
      <c r="W3128">
        <v>-0.12184200000000001</v>
      </c>
      <c r="X3128">
        <v>0.99243809999999999</v>
      </c>
      <c r="Y3128">
        <v>1.651364E-2</v>
      </c>
      <c r="Z3128">
        <v>-6.6982049999999996E-4</v>
      </c>
      <c r="AA3128">
        <v>0.99986339999999996</v>
      </c>
      <c r="AB3128">
        <v>31</v>
      </c>
      <c r="AC3128">
        <v>20.800199999999901</v>
      </c>
      <c r="AD3128">
        <v>-1.1200558655549999</v>
      </c>
      <c r="AE3128">
        <v>-0.27630000000001997</v>
      </c>
      <c r="AF3128">
        <v>0.35250237889907898</v>
      </c>
      <c r="AG3128">
        <v>-1.1200558655549999</v>
      </c>
      <c r="AH3128">
        <v>20.738906012361799</v>
      </c>
      <c r="AI3128">
        <v>93.090951222222898</v>
      </c>
      <c r="AJ3128">
        <v>89.026228581145503</v>
      </c>
      <c r="AK3128">
        <v>20.7721208753143</v>
      </c>
      <c r="AL3128">
        <v>96.9984212434683</v>
      </c>
      <c r="AM3128">
        <v>89.141347026281395</v>
      </c>
      <c r="AN3128">
        <v>1.0000000472219499</v>
      </c>
    </row>
    <row r="3129" spans="1:40" x14ac:dyDescent="0.25">
      <c r="A3129" t="str">
        <f>"20190303154531784"</f>
        <v>20190303154531784</v>
      </c>
      <c r="B3129" t="str">
        <f>"1551599131773640"</f>
        <v>1551599131773640</v>
      </c>
      <c r="C3129" t="s">
        <v>40</v>
      </c>
      <c r="D3129">
        <v>5.0062639999999998</v>
      </c>
      <c r="E3129">
        <v>0.5003957</v>
      </c>
      <c r="F3129" t="s">
        <v>55</v>
      </c>
      <c r="G3129">
        <v>-349.28289999999998</v>
      </c>
      <c r="H3129" s="1">
        <v>3.4031079999999999E-6</v>
      </c>
      <c r="I3129">
        <v>214.40629999999999</v>
      </c>
      <c r="J3129">
        <v>-369.25409999999999</v>
      </c>
      <c r="K3129">
        <v>1.1200570000000001</v>
      </c>
      <c r="L3129">
        <v>214.62970000000001</v>
      </c>
      <c r="M3129">
        <v>0.99994879999999997</v>
      </c>
      <c r="N3129">
        <v>-9.4818379999999994E-3</v>
      </c>
      <c r="O3129">
        <v>3.5615500000000001E-3</v>
      </c>
      <c r="P3129">
        <v>0.99120419999999998</v>
      </c>
      <c r="Q3129">
        <v>-0.13180510000000001</v>
      </c>
      <c r="R3129">
        <v>-1.191529E-2</v>
      </c>
      <c r="S3129">
        <v>3.0040589999999998</v>
      </c>
      <c r="T3129">
        <v>-0.16578770000000001</v>
      </c>
      <c r="U3129">
        <v>-3.2913209999999998E-2</v>
      </c>
      <c r="V3129">
        <v>1.540527E-2</v>
      </c>
      <c r="W3129">
        <v>-0.1224063</v>
      </c>
      <c r="X3129">
        <v>0.99236049999999998</v>
      </c>
      <c r="Y3129">
        <v>1.4487460000000001E-2</v>
      </c>
      <c r="Z3129">
        <v>-6.3085069999999999E-4</v>
      </c>
      <c r="AA3129">
        <v>0.99989490000000003</v>
      </c>
      <c r="AB3129">
        <v>31</v>
      </c>
      <c r="AC3129">
        <v>19.9712</v>
      </c>
      <c r="AD3129">
        <v>-1.120053596892</v>
      </c>
      <c r="AE3129">
        <v>-0.22340000000002599</v>
      </c>
      <c r="AF3129">
        <v>0.293606819804896</v>
      </c>
      <c r="AG3129">
        <v>-1.120053596892</v>
      </c>
      <c r="AH3129">
        <v>19.9076688418976</v>
      </c>
      <c r="AI3129">
        <v>93.219854753847102</v>
      </c>
      <c r="AJ3129">
        <v>89.155038584019806</v>
      </c>
      <c r="AK3129">
        <v>19.941313992392999</v>
      </c>
      <c r="AL3129">
        <v>97.030997467503198</v>
      </c>
      <c r="AM3129">
        <v>89.110619518241705</v>
      </c>
      <c r="AN3129">
        <v>0.99999999329185596</v>
      </c>
    </row>
    <row r="3130" spans="1:40" x14ac:dyDescent="0.25">
      <c r="A3130" t="str">
        <f>"20190303154531804"</f>
        <v>20190303154531804</v>
      </c>
      <c r="B3130" t="str">
        <f>"1551599131794140"</f>
        <v>1551599131794140</v>
      </c>
      <c r="C3130" t="s">
        <v>40</v>
      </c>
      <c r="D3130">
        <v>5.1396949999999997</v>
      </c>
      <c r="E3130">
        <v>0.50005010000000005</v>
      </c>
      <c r="F3130" t="s">
        <v>55</v>
      </c>
      <c r="G3130">
        <v>-349.12009999999998</v>
      </c>
      <c r="H3130" s="1">
        <v>3.3164569999999998E-6</v>
      </c>
      <c r="I3130">
        <v>214.41970000000001</v>
      </c>
      <c r="J3130">
        <v>-368.96030000000002</v>
      </c>
      <c r="K3130">
        <v>1.120052</v>
      </c>
      <c r="L3130">
        <v>214.63059999999999</v>
      </c>
      <c r="M3130">
        <v>0.99994899999999998</v>
      </c>
      <c r="N3130">
        <v>-9.4944520000000004E-3</v>
      </c>
      <c r="O3130">
        <v>3.424814E-3</v>
      </c>
      <c r="P3130">
        <v>0.99118790000000001</v>
      </c>
      <c r="Q3130">
        <v>-0.13189629999999999</v>
      </c>
      <c r="R3130">
        <v>-1.225217E-2</v>
      </c>
      <c r="S3130">
        <v>3.0040589999999998</v>
      </c>
      <c r="T3130">
        <v>-0.16711519999999999</v>
      </c>
      <c r="U3130">
        <v>-3.1341550000000003E-2</v>
      </c>
      <c r="V3130">
        <v>1.560637E-2</v>
      </c>
      <c r="W3130">
        <v>-0.1224852</v>
      </c>
      <c r="X3130">
        <v>0.9923476</v>
      </c>
      <c r="Y3130">
        <v>1.382855E-2</v>
      </c>
      <c r="Z3130">
        <v>-6.0791640000000004E-4</v>
      </c>
      <c r="AA3130">
        <v>0.99990420000000002</v>
      </c>
      <c r="AB3130">
        <v>31</v>
      </c>
      <c r="AC3130">
        <v>19.840199999999999</v>
      </c>
      <c r="AD3130">
        <v>-1.1200486835429999</v>
      </c>
      <c r="AE3130">
        <v>-0.21089999999998099</v>
      </c>
      <c r="AF3130">
        <v>0.27796505096206803</v>
      </c>
      <c r="AG3130">
        <v>-1.1200486835429999</v>
      </c>
      <c r="AH3130">
        <v>19.776341279804299</v>
      </c>
      <c r="AI3130">
        <v>93.241209297907702</v>
      </c>
      <c r="AJ3130">
        <v>89.194736002898395</v>
      </c>
      <c r="AK3130">
        <v>19.809983544626</v>
      </c>
      <c r="AL3130">
        <v>97.035552536120704</v>
      </c>
      <c r="AM3130">
        <v>89.098999759299303</v>
      </c>
      <c r="AN3130">
        <v>0.99999997111468797</v>
      </c>
    </row>
    <row r="3131" spans="1:40" x14ac:dyDescent="0.25">
      <c r="A3131" t="str">
        <f>"20190303154531827"</f>
        <v>20190303154531827</v>
      </c>
      <c r="B3131" t="str">
        <f>"1551599131824392"</f>
        <v>1551599131824392</v>
      </c>
      <c r="C3131" t="s">
        <v>40</v>
      </c>
      <c r="D3131">
        <v>5.0250849999999998</v>
      </c>
      <c r="E3131">
        <v>0.49962489999999998</v>
      </c>
      <c r="F3131" t="s">
        <v>55</v>
      </c>
      <c r="G3131">
        <v>-348.77210000000002</v>
      </c>
      <c r="H3131" s="1">
        <v>3.1312639999999998E-6</v>
      </c>
      <c r="I3131">
        <v>214.43299999999999</v>
      </c>
      <c r="J3131">
        <v>-368.64780000000002</v>
      </c>
      <c r="K3131">
        <v>1.1200460000000001</v>
      </c>
      <c r="L3131">
        <v>214.63149999999999</v>
      </c>
      <c r="M3131">
        <v>0.99994939999999999</v>
      </c>
      <c r="N3131">
        <v>-9.5079220000000002E-3</v>
      </c>
      <c r="O3131">
        <v>3.2791930000000001E-3</v>
      </c>
      <c r="P3131">
        <v>0.99113580000000001</v>
      </c>
      <c r="Q3131">
        <v>-0.13223399999999999</v>
      </c>
      <c r="R3131">
        <v>-1.2809910000000001E-2</v>
      </c>
      <c r="S3131">
        <v>3.004089</v>
      </c>
      <c r="T3131">
        <v>-0.16666789999999901</v>
      </c>
      <c r="U3131">
        <v>-2.940369E-2</v>
      </c>
      <c r="V3131">
        <v>1.601936E-2</v>
      </c>
      <c r="W3131">
        <v>-0.12281010000000001</v>
      </c>
      <c r="X3131">
        <v>0.99230090000000004</v>
      </c>
      <c r="Y3131">
        <v>1.30396E-2</v>
      </c>
      <c r="Z3131">
        <v>-5.7411140000000001E-4</v>
      </c>
      <c r="AA3131">
        <v>0.99991479999999999</v>
      </c>
      <c r="AB3131">
        <v>31</v>
      </c>
      <c r="AC3131">
        <v>19.875699999999899</v>
      </c>
      <c r="AD3131">
        <v>-1.12004286873599</v>
      </c>
      <c r="AE3131">
        <v>-0.19849999999999501</v>
      </c>
      <c r="AF3131">
        <v>0.26284353651657799</v>
      </c>
      <c r="AG3131">
        <v>-1.12004286873599</v>
      </c>
      <c r="AH3131">
        <v>19.8120335571538</v>
      </c>
      <c r="AI3131">
        <v>93.235400540770399</v>
      </c>
      <c r="AJ3131">
        <v>89.239909330542702</v>
      </c>
      <c r="AK3131">
        <v>19.8454089507444</v>
      </c>
      <c r="AL3131">
        <v>97.0543092817325</v>
      </c>
      <c r="AM3131">
        <v>89.075117239371593</v>
      </c>
      <c r="AN3131">
        <v>1.0000000083488101</v>
      </c>
    </row>
    <row r="3132" spans="1:40" x14ac:dyDescent="0.25">
      <c r="A3132" t="str">
        <f>"20190303154531849"</f>
        <v>20190303154531849</v>
      </c>
      <c r="B3132" t="str">
        <f>"1551599131843913"</f>
        <v>1551599131843913</v>
      </c>
      <c r="C3132" t="s">
        <v>40</v>
      </c>
      <c r="D3132">
        <v>5.0174379999999896</v>
      </c>
      <c r="E3132">
        <v>0.4994053</v>
      </c>
      <c r="F3132" t="s">
        <v>55</v>
      </c>
      <c r="G3132">
        <v>-348.32190000000003</v>
      </c>
      <c r="H3132" s="1">
        <v>2.8917100000000001E-6</v>
      </c>
      <c r="I3132">
        <v>214.4442</v>
      </c>
      <c r="J3132">
        <v>-368.34679999999997</v>
      </c>
      <c r="K3132">
        <v>1.1200429999999999</v>
      </c>
      <c r="L3132">
        <v>214.63239999999999</v>
      </c>
      <c r="M3132">
        <v>0.9999498</v>
      </c>
      <c r="N3132">
        <v>-9.5210429999999999E-3</v>
      </c>
      <c r="O3132">
        <v>3.1392339999999999E-3</v>
      </c>
      <c r="P3132">
        <v>0.99114530000000001</v>
      </c>
      <c r="Q3132">
        <v>-0.1321774</v>
      </c>
      <c r="R3132">
        <v>-1.266813E-2</v>
      </c>
      <c r="S3132">
        <v>3.0043329999999999</v>
      </c>
      <c r="T3132">
        <v>-0.165551799999999</v>
      </c>
      <c r="U3132">
        <v>-2.7694699999999999E-2</v>
      </c>
      <c r="V3132">
        <v>1.5738889999999998E-2</v>
      </c>
      <c r="W3132">
        <v>-0.1227404</v>
      </c>
      <c r="X3132">
        <v>0.99231400000000003</v>
      </c>
      <c r="Y3132">
        <v>1.233185E-2</v>
      </c>
      <c r="Z3132">
        <v>-5.4124640000000003E-4</v>
      </c>
      <c r="AA3132">
        <v>0.99992380000000003</v>
      </c>
      <c r="AB3132">
        <v>31</v>
      </c>
      <c r="AC3132">
        <v>20.024899999999899</v>
      </c>
      <c r="AD3132">
        <v>-1.12004010829</v>
      </c>
      <c r="AE3132">
        <v>-0.18819999999999401</v>
      </c>
      <c r="AF3132">
        <v>0.25028184551065902</v>
      </c>
      <c r="AG3132">
        <v>-1.12004010829</v>
      </c>
      <c r="AH3132">
        <v>19.961767014953399</v>
      </c>
      <c r="AI3132">
        <v>93.211204972043902</v>
      </c>
      <c r="AJ3132">
        <v>89.281659681652101</v>
      </c>
      <c r="AK3132">
        <v>19.994731136118201</v>
      </c>
      <c r="AL3132">
        <v>97.050285406470195</v>
      </c>
      <c r="AM3132">
        <v>89.091319517221194</v>
      </c>
      <c r="AN3132">
        <v>0.99999999652329596</v>
      </c>
    </row>
    <row r="3133" spans="1:40" x14ac:dyDescent="0.25">
      <c r="A3133" t="str">
        <f>"20190303154531872"</f>
        <v>20190303154531872</v>
      </c>
      <c r="B3133" t="str">
        <f>"1551599131864409"</f>
        <v>1551599131864409</v>
      </c>
      <c r="C3133" t="s">
        <v>40</v>
      </c>
      <c r="D3133">
        <v>4.9629560000000001</v>
      </c>
      <c r="E3133">
        <v>0.49918430000000003</v>
      </c>
      <c r="F3133" t="s">
        <v>55</v>
      </c>
      <c r="G3133">
        <v>-347.58850000000001</v>
      </c>
      <c r="H3133" s="1">
        <v>2.501411E-6</v>
      </c>
      <c r="I3133">
        <v>214.45869999999999</v>
      </c>
      <c r="J3133">
        <v>-368.03899999999999</v>
      </c>
      <c r="K3133">
        <v>1.120044</v>
      </c>
      <c r="L3133">
        <v>214.63319999999999</v>
      </c>
      <c r="M3133">
        <v>0.99995020000000001</v>
      </c>
      <c r="N3133">
        <v>-9.5343219999999996E-3</v>
      </c>
      <c r="O3133">
        <v>2.9959380000000001E-3</v>
      </c>
      <c r="P3133">
        <v>0.99116340000000003</v>
      </c>
      <c r="Q3133">
        <v>-0.1320867</v>
      </c>
      <c r="R3133">
        <v>-1.219394E-2</v>
      </c>
      <c r="S3133">
        <v>3.0048520000000001</v>
      </c>
      <c r="T3133">
        <v>-0.16213050000000001</v>
      </c>
      <c r="U3133">
        <v>-2.5146479999999999E-2</v>
      </c>
      <c r="V3133">
        <v>1.512256E-2</v>
      </c>
      <c r="W3133">
        <v>-0.1226361</v>
      </c>
      <c r="X3133">
        <v>0.99233649999999995</v>
      </c>
      <c r="Y3133">
        <v>1.134189E-2</v>
      </c>
      <c r="Z3133">
        <v>-4.9285460000000002E-4</v>
      </c>
      <c r="AA3133">
        <v>0.99993560000000004</v>
      </c>
      <c r="AB3133">
        <v>31</v>
      </c>
      <c r="AC3133">
        <v>20.450499999999899</v>
      </c>
      <c r="AD3133">
        <v>-1.1200414985889999</v>
      </c>
      <c r="AE3133">
        <v>-0.17449999999999399</v>
      </c>
      <c r="AF3133">
        <v>0.23506537725321999</v>
      </c>
      <c r="AG3133">
        <v>-1.1200414985889999</v>
      </c>
      <c r="AH3133">
        <v>20.388732229086099</v>
      </c>
      <c r="AI3133">
        <v>93.144136715101496</v>
      </c>
      <c r="AJ3133">
        <v>89.339455872975506</v>
      </c>
      <c r="AK3133">
        <v>20.420826393648198</v>
      </c>
      <c r="AL3133">
        <v>97.044263820980206</v>
      </c>
      <c r="AM3133">
        <v>89.126917333004599</v>
      </c>
      <c r="AN3133">
        <v>1.0000000170382</v>
      </c>
    </row>
    <row r="3134" spans="1:40" x14ac:dyDescent="0.25">
      <c r="A3134" t="str">
        <f>"20190303154531918"</f>
        <v>20190303154531918</v>
      </c>
      <c r="B3134" t="str">
        <f>"1551599131914184"</f>
        <v>1551599131914184</v>
      </c>
      <c r="C3134" t="s">
        <v>40</v>
      </c>
      <c r="D3134">
        <v>4.946421</v>
      </c>
      <c r="E3134">
        <v>0.49856420000000001</v>
      </c>
      <c r="F3134" t="s">
        <v>55</v>
      </c>
      <c r="G3134">
        <v>-346.84350000000001</v>
      </c>
      <c r="H3134" s="1">
        <v>2.1049680000000001E-6</v>
      </c>
      <c r="I3134">
        <v>214.48060000000001</v>
      </c>
      <c r="J3134">
        <v>-367.40879999999999</v>
      </c>
      <c r="K3134">
        <v>1.120045</v>
      </c>
      <c r="L3134">
        <v>214.63480000000001</v>
      </c>
      <c r="M3134">
        <v>0.99995069999999997</v>
      </c>
      <c r="N3134">
        <v>-9.5612309999999999E-3</v>
      </c>
      <c r="O3134">
        <v>2.7029060000000001E-3</v>
      </c>
      <c r="P3134">
        <v>0.99109329999999995</v>
      </c>
      <c r="Q3134">
        <v>-0.1327554</v>
      </c>
      <c r="R3134">
        <v>-1.0499400000000001E-2</v>
      </c>
      <c r="S3134">
        <v>3.0053100000000001</v>
      </c>
      <c r="T3134">
        <v>-0.15881049999999999</v>
      </c>
      <c r="U3134">
        <v>-2.163696E-2</v>
      </c>
      <c r="V3134">
        <v>1.3137090000000001E-2</v>
      </c>
      <c r="W3134">
        <v>-0.123278</v>
      </c>
      <c r="X3134">
        <v>0.99228530000000004</v>
      </c>
      <c r="Y3134">
        <v>9.8835090000000004E-3</v>
      </c>
      <c r="Z3134">
        <v>-4.2514369999999997E-4</v>
      </c>
      <c r="AA3134">
        <v>0.99995109999999998</v>
      </c>
      <c r="AB3134">
        <v>31</v>
      </c>
      <c r="AC3134">
        <v>20.565299999999901</v>
      </c>
      <c r="AD3134">
        <v>-1.1200428950320001</v>
      </c>
      <c r="AE3134">
        <v>-0.154200000000003</v>
      </c>
      <c r="AF3134">
        <v>0.209167650426624</v>
      </c>
      <c r="AG3134">
        <v>-1.1200428950320001</v>
      </c>
      <c r="AH3134">
        <v>20.503992710419499</v>
      </c>
      <c r="AI3134">
        <v>93.126546433468704</v>
      </c>
      <c r="AJ3134">
        <v>89.415528085261698</v>
      </c>
      <c r="AK3134">
        <v>20.5356267073015</v>
      </c>
      <c r="AL3134">
        <v>97.081322722645197</v>
      </c>
      <c r="AM3134">
        <v>89.241492502520401</v>
      </c>
      <c r="AN3134">
        <v>1.00000008250687</v>
      </c>
    </row>
    <row r="3135" spans="1:40" x14ac:dyDescent="0.25">
      <c r="A3135" t="str">
        <f>"20190303154531938"</f>
        <v>20190303154531938</v>
      </c>
      <c r="B3135" t="str">
        <f>"1551599131933705"</f>
        <v>1551599131933705</v>
      </c>
      <c r="C3135" t="s">
        <v>40</v>
      </c>
      <c r="D3135">
        <v>5.0602429999999998</v>
      </c>
      <c r="E3135">
        <v>0.49821650000000001</v>
      </c>
      <c r="F3135" t="s">
        <v>55</v>
      </c>
      <c r="G3135">
        <v>-345.70890000000003</v>
      </c>
      <c r="H3135" s="1">
        <v>1.5011990000000001E-6</v>
      </c>
      <c r="I3135">
        <v>214.5505</v>
      </c>
      <c r="J3135">
        <v>-367.11450000000002</v>
      </c>
      <c r="K3135">
        <v>1.1200380000000001</v>
      </c>
      <c r="L3135">
        <v>214.6354</v>
      </c>
      <c r="M3135">
        <v>0.99995089999999998</v>
      </c>
      <c r="N3135">
        <v>-9.573972E-3</v>
      </c>
      <c r="O3135">
        <v>2.566109E-3</v>
      </c>
      <c r="P3135">
        <v>0.99118859999999998</v>
      </c>
      <c r="Q3135">
        <v>-0.13206689999999999</v>
      </c>
      <c r="R3135">
        <v>-1.0180440000000001E-2</v>
      </c>
      <c r="S3135">
        <v>3.0060419999999999</v>
      </c>
      <c r="T3135">
        <v>-0.15515709999999999</v>
      </c>
      <c r="U3135">
        <v>-1.167297E-2</v>
      </c>
      <c r="V3135">
        <v>1.2682830000000001E-2</v>
      </c>
      <c r="W3135">
        <v>-0.1225758</v>
      </c>
      <c r="X3135">
        <v>0.99237810000000004</v>
      </c>
      <c r="Y3135">
        <v>6.4369090000000002E-3</v>
      </c>
      <c r="Z3135">
        <v>-3.0465450000000002E-4</v>
      </c>
      <c r="AA3135">
        <v>0.99997930000000002</v>
      </c>
      <c r="AB3135">
        <v>31</v>
      </c>
      <c r="AC3135">
        <v>21.4056</v>
      </c>
      <c r="AD3135">
        <v>-1.1200364988010001</v>
      </c>
      <c r="AE3135">
        <v>-8.4900000000004597E-2</v>
      </c>
      <c r="AF3135">
        <v>0.13944955367169301</v>
      </c>
      <c r="AG3135">
        <v>-1.1200364988010001</v>
      </c>
      <c r="AH3135">
        <v>21.346868055399099</v>
      </c>
      <c r="AI3135">
        <v>93.0034011240691</v>
      </c>
      <c r="AJ3135">
        <v>89.625717589642505</v>
      </c>
      <c r="AK3135">
        <v>21.3766859852336</v>
      </c>
      <c r="AL3135">
        <v>97.040782832947102</v>
      </c>
      <c r="AM3135">
        <v>89.267786067042493</v>
      </c>
      <c r="AN3135">
        <v>0.999999987141029</v>
      </c>
    </row>
    <row r="3136" spans="1:40" x14ac:dyDescent="0.25">
      <c r="A3136" t="str">
        <f>"20190303154531962"</f>
        <v>20190303154531962</v>
      </c>
      <c r="B3136" t="str">
        <f>"1551599131954201"</f>
        <v>1551599131954201</v>
      </c>
      <c r="C3136" t="s">
        <v>40</v>
      </c>
      <c r="D3136">
        <v>5.0350039999999998</v>
      </c>
      <c r="E3136">
        <v>0.4978554</v>
      </c>
      <c r="F3136" t="s">
        <v>55</v>
      </c>
      <c r="G3136">
        <v>-345.16489999999999</v>
      </c>
      <c r="H3136" s="1">
        <v>1.2117030000000001E-6</v>
      </c>
      <c r="I3136">
        <v>214.57839999999999</v>
      </c>
      <c r="J3136">
        <v>-366.78570000000002</v>
      </c>
      <c r="K3136">
        <v>1.1200429999999999</v>
      </c>
      <c r="L3136">
        <v>214.6361</v>
      </c>
      <c r="M3136">
        <v>0.99995109999999998</v>
      </c>
      <c r="N3136">
        <v>-9.5880849999999997E-3</v>
      </c>
      <c r="O3136">
        <v>2.4133309999999999E-3</v>
      </c>
      <c r="P3136">
        <v>0.99131349999999996</v>
      </c>
      <c r="Q3136">
        <v>-0.1311515</v>
      </c>
      <c r="R3136">
        <v>-9.8448300000000006E-3</v>
      </c>
      <c r="S3136">
        <v>3.0061650000000002</v>
      </c>
      <c r="T3136">
        <v>-0.15339739999999999</v>
      </c>
      <c r="U3136">
        <v>-7.8125E-3</v>
      </c>
      <c r="V3136">
        <v>1.2196439999999999E-2</v>
      </c>
      <c r="W3136">
        <v>-0.121645</v>
      </c>
      <c r="X3136">
        <v>0.99249880000000001</v>
      </c>
      <c r="Y3136">
        <v>5.002439E-3</v>
      </c>
      <c r="Z3136">
        <v>-2.5148789999999998E-4</v>
      </c>
      <c r="AA3136">
        <v>0.99998750000000003</v>
      </c>
      <c r="AB3136">
        <v>31</v>
      </c>
      <c r="AC3136">
        <v>21.620799999999999</v>
      </c>
      <c r="AD3136">
        <v>-1.120041788297</v>
      </c>
      <c r="AE3136">
        <v>-5.7700000000011097E-2</v>
      </c>
      <c r="AF3136">
        <v>0.109586289993909</v>
      </c>
      <c r="AG3136">
        <v>-1.120041788297</v>
      </c>
      <c r="AH3136">
        <v>21.5627314900884</v>
      </c>
      <c r="AI3136">
        <v>92.973427465586596</v>
      </c>
      <c r="AJ3136">
        <v>89.708813428643893</v>
      </c>
      <c r="AK3136">
        <v>21.5920793828694</v>
      </c>
      <c r="AL3136">
        <v>96.987049272036003</v>
      </c>
      <c r="AM3136">
        <v>89.2959494109801</v>
      </c>
      <c r="AN3136">
        <v>1.0000000635875499</v>
      </c>
    </row>
    <row r="3137" spans="1:40" x14ac:dyDescent="0.25">
      <c r="A3137" t="str">
        <f>"20190303154531983"</f>
        <v>20190303154531983</v>
      </c>
      <c r="B3137" t="str">
        <f>"1551599131973721"</f>
        <v>1551599131973721</v>
      </c>
      <c r="C3137" t="s">
        <v>40</v>
      </c>
      <c r="D3137">
        <v>5.0396080000000003</v>
      </c>
      <c r="E3137">
        <v>0.49757020000000002</v>
      </c>
      <c r="F3137" t="s">
        <v>55</v>
      </c>
      <c r="G3137">
        <v>-344.66879999999998</v>
      </c>
      <c r="H3137" s="1">
        <v>9.476959E-7</v>
      </c>
      <c r="I3137">
        <v>214.6087</v>
      </c>
      <c r="J3137">
        <v>-366.49200000000002</v>
      </c>
      <c r="K3137">
        <v>1.120045</v>
      </c>
      <c r="L3137">
        <v>214.63669999999999</v>
      </c>
      <c r="M3137">
        <v>0.99995129999999999</v>
      </c>
      <c r="N3137">
        <v>-9.6006080000000001E-3</v>
      </c>
      <c r="O3137">
        <v>2.2770120000000001E-3</v>
      </c>
      <c r="P3137">
        <v>0.99136230000000003</v>
      </c>
      <c r="Q3137">
        <v>-0.1307654</v>
      </c>
      <c r="R3137">
        <v>-1.0062160000000001E-2</v>
      </c>
      <c r="S3137">
        <v>3.0060419999999999</v>
      </c>
      <c r="T3137">
        <v>-0.15223149999999999</v>
      </c>
      <c r="U3137">
        <v>-3.7231450000000002E-3</v>
      </c>
      <c r="V3137">
        <v>1.227875E-2</v>
      </c>
      <c r="W3137">
        <v>-0.1212461</v>
      </c>
      <c r="X3137">
        <v>0.99254659999999995</v>
      </c>
      <c r="Y3137">
        <v>3.5083990000000002E-3</v>
      </c>
      <c r="Z3137">
        <v>-1.9902179999999999E-4</v>
      </c>
      <c r="AA3137">
        <v>0.99999380000000004</v>
      </c>
      <c r="AB3137">
        <v>31</v>
      </c>
      <c r="AC3137">
        <v>21.8231999999999</v>
      </c>
      <c r="AD3137">
        <v>-1.1200440523041</v>
      </c>
      <c r="AE3137">
        <v>-2.79999999999915E-2</v>
      </c>
      <c r="AF3137">
        <v>7.7489790917140894E-2</v>
      </c>
      <c r="AG3137">
        <v>-1.1200440523041</v>
      </c>
      <c r="AH3137">
        <v>21.765746459618502</v>
      </c>
      <c r="AI3137">
        <v>92.945767867833794</v>
      </c>
      <c r="AJ3137">
        <v>89.796018058685306</v>
      </c>
      <c r="AK3137">
        <v>21.794683349183899</v>
      </c>
      <c r="AL3137">
        <v>96.964023516104305</v>
      </c>
      <c r="AM3137">
        <v>89.291232606171505</v>
      </c>
      <c r="AN3137">
        <v>1.0000000688191599</v>
      </c>
    </row>
    <row r="3138" spans="1:40" x14ac:dyDescent="0.25">
      <c r="A3138" t="str">
        <f>"20190303154532005"</f>
        <v>20190303154532005</v>
      </c>
      <c r="B3138" t="str">
        <f>"1551599131994216"</f>
        <v>1551599131994216</v>
      </c>
      <c r="C3138" t="s">
        <v>40</v>
      </c>
      <c r="D3138">
        <v>5.0739789999999996</v>
      </c>
      <c r="E3138">
        <v>0.49730170000000001</v>
      </c>
      <c r="F3138" t="s">
        <v>55</v>
      </c>
      <c r="G3138">
        <v>-344.4237</v>
      </c>
      <c r="H3138" s="1">
        <v>8.1726379999999997E-7</v>
      </c>
      <c r="I3138">
        <v>214.61920000000001</v>
      </c>
      <c r="J3138">
        <v>-366.1662</v>
      </c>
      <c r="K3138">
        <v>1.1200460000000001</v>
      </c>
      <c r="L3138">
        <v>214.63730000000001</v>
      </c>
      <c r="M3138">
        <v>0.99995160000000005</v>
      </c>
      <c r="N3138">
        <v>-9.6144319999999991E-3</v>
      </c>
      <c r="O3138">
        <v>2.1257239999999998E-3</v>
      </c>
      <c r="P3138">
        <v>0.9913111</v>
      </c>
      <c r="Q3138">
        <v>-0.13109749999999901</v>
      </c>
      <c r="R3138">
        <v>-1.076883E-2</v>
      </c>
      <c r="S3138">
        <v>3.005951</v>
      </c>
      <c r="T3138">
        <v>-0.15256210000000001</v>
      </c>
      <c r="U3138">
        <v>-2.380371E-3</v>
      </c>
      <c r="V3138">
        <v>1.2835030000000001E-2</v>
      </c>
      <c r="W3138">
        <v>-0.1215651</v>
      </c>
      <c r="X3138">
        <v>0.99250050000000001</v>
      </c>
      <c r="Y3138">
        <v>2.9114509999999998E-3</v>
      </c>
      <c r="Z3138">
        <v>-1.7523319999999999E-4</v>
      </c>
      <c r="AA3138">
        <v>0.99999579999999999</v>
      </c>
      <c r="AB3138">
        <v>31</v>
      </c>
      <c r="AC3138">
        <v>21.7425</v>
      </c>
      <c r="AD3138">
        <v>-1.1200451827361999</v>
      </c>
      <c r="AE3138">
        <v>-1.8100000000003998E-2</v>
      </c>
      <c r="AF3138">
        <v>6.4150409875944503E-2</v>
      </c>
      <c r="AG3138">
        <v>-1.1200451827361999</v>
      </c>
      <c r="AH3138">
        <v>21.6848672615547</v>
      </c>
      <c r="AI3138">
        <v>92.956744163395399</v>
      </c>
      <c r="AJ3138">
        <v>89.830502212746097</v>
      </c>
      <c r="AK3138">
        <v>21.713868486239502</v>
      </c>
      <c r="AL3138">
        <v>96.982437367326597</v>
      </c>
      <c r="AM3138">
        <v>89.2590914986271</v>
      </c>
      <c r="AN3138">
        <v>1.00000002701668</v>
      </c>
    </row>
    <row r="3139" spans="1:40" x14ac:dyDescent="0.25">
      <c r="A3139" t="str">
        <f>"20190303154532027"</f>
        <v>20190303154532027</v>
      </c>
      <c r="B3139" t="str">
        <f>"1551599132024473"</f>
        <v>1551599132024473</v>
      </c>
      <c r="C3139" t="s">
        <v>40</v>
      </c>
      <c r="D3139">
        <v>5.063142</v>
      </c>
      <c r="E3139">
        <v>0.49690580000000001</v>
      </c>
      <c r="F3139" t="s">
        <v>55</v>
      </c>
      <c r="G3139">
        <v>-344.42869999999999</v>
      </c>
      <c r="H3139" s="1">
        <v>8.1995059999999898E-7</v>
      </c>
      <c r="I3139">
        <v>214.61920000000001</v>
      </c>
      <c r="J3139">
        <v>-365.8723</v>
      </c>
      <c r="K3139">
        <v>1.1200540000000001</v>
      </c>
      <c r="L3139">
        <v>214.6377</v>
      </c>
      <c r="M3139">
        <v>0.9999517</v>
      </c>
      <c r="N3139">
        <v>-9.6268039999999992E-3</v>
      </c>
      <c r="O3139">
        <v>1.9892880000000001E-3</v>
      </c>
      <c r="P3139">
        <v>0.9912569</v>
      </c>
      <c r="Q3139">
        <v>-0.131389899999999</v>
      </c>
      <c r="R3139">
        <v>-1.210875E-2</v>
      </c>
      <c r="S3139">
        <v>3.0057680000000002</v>
      </c>
      <c r="T3139">
        <v>-0.15487500000000001</v>
      </c>
      <c r="U3139">
        <v>-2.5024410000000002E-3</v>
      </c>
      <c r="V3139">
        <v>1.403943E-2</v>
      </c>
      <c r="W3139">
        <v>-0.1218463</v>
      </c>
      <c r="X3139">
        <v>0.99244969999999999</v>
      </c>
      <c r="Y3139">
        <v>2.8157439999999998E-3</v>
      </c>
      <c r="Z3139">
        <v>-1.6934949999999999E-4</v>
      </c>
      <c r="AA3139">
        <v>0.999996</v>
      </c>
      <c r="AB3139">
        <v>31</v>
      </c>
      <c r="AC3139">
        <v>21.4436</v>
      </c>
      <c r="AD3139">
        <v>-1.12005318004939</v>
      </c>
      <c r="AE3139">
        <v>-1.84999999999888E-2</v>
      </c>
      <c r="AF3139">
        <v>6.0993032343590298E-2</v>
      </c>
      <c r="AG3139">
        <v>-1.12005318004939</v>
      </c>
      <c r="AH3139">
        <v>21.385177002959399</v>
      </c>
      <c r="AI3139">
        <v>92.998126970282499</v>
      </c>
      <c r="AJ3139">
        <v>89.836586161678895</v>
      </c>
      <c r="AK3139">
        <v>21.414575287033799</v>
      </c>
      <c r="AL3139">
        <v>96.998669679255698</v>
      </c>
      <c r="AM3139">
        <v>89.189534306454604</v>
      </c>
      <c r="AN3139">
        <v>1.00000001672425</v>
      </c>
    </row>
    <row r="3140" spans="1:40" x14ac:dyDescent="0.25">
      <c r="A3140" t="str">
        <f>"20190303154532048"</f>
        <v>20190303154532048</v>
      </c>
      <c r="B3140" t="str">
        <f>"1551599132043993"</f>
        <v>1551599132043993</v>
      </c>
      <c r="C3140" t="s">
        <v>40</v>
      </c>
      <c r="D3140">
        <v>5.1196199999999896</v>
      </c>
      <c r="E3140">
        <v>0.49665110000000001</v>
      </c>
      <c r="F3140" t="s">
        <v>55</v>
      </c>
      <c r="G3140">
        <v>-344.61739999999998</v>
      </c>
      <c r="H3140" s="1">
        <v>9.2037840000000001E-7</v>
      </c>
      <c r="I3140">
        <v>214.6139</v>
      </c>
      <c r="J3140">
        <v>-365.57339999999999</v>
      </c>
      <c r="K3140">
        <v>1.120058</v>
      </c>
      <c r="L3140">
        <v>214.63820000000001</v>
      </c>
      <c r="M3140">
        <v>0.9999519</v>
      </c>
      <c r="N3140">
        <v>-9.6391759999999993E-3</v>
      </c>
      <c r="O3140">
        <v>1.8509469999999999E-3</v>
      </c>
      <c r="P3140">
        <v>0.99132880000000001</v>
      </c>
      <c r="Q3140">
        <v>-0.13079930000000001</v>
      </c>
      <c r="R3140">
        <v>-1.2602779999999999E-2</v>
      </c>
      <c r="S3140">
        <v>3.0054319999999999</v>
      </c>
      <c r="T3140">
        <v>-0.1583755</v>
      </c>
      <c r="U3140">
        <v>-3.372192E-3</v>
      </c>
      <c r="V3140">
        <v>1.4396630000000001E-2</v>
      </c>
      <c r="W3140">
        <v>-0.12124269999999999</v>
      </c>
      <c r="X3140">
        <v>0.99251849999999997</v>
      </c>
      <c r="Y3140">
        <v>2.9664779999999998E-3</v>
      </c>
      <c r="Z3140">
        <v>-1.7205510000000001E-4</v>
      </c>
      <c r="AA3140">
        <v>0.99999559999999998</v>
      </c>
      <c r="AB3140">
        <v>31</v>
      </c>
      <c r="AC3140">
        <v>20.956</v>
      </c>
      <c r="AD3140">
        <v>-1.1200570796216001</v>
      </c>
      <c r="AE3140">
        <v>-2.4300000000010799E-2</v>
      </c>
      <c r="AF3140">
        <v>6.2910487370979096E-2</v>
      </c>
      <c r="AG3140">
        <v>-1.1200570796216001</v>
      </c>
      <c r="AH3140">
        <v>20.896225104534601</v>
      </c>
      <c r="AI3140">
        <v>93.068157037467302</v>
      </c>
      <c r="AJ3140">
        <v>89.827504991675696</v>
      </c>
      <c r="AK3140">
        <v>20.926316188245298</v>
      </c>
      <c r="AL3140">
        <v>96.963827645933094</v>
      </c>
      <c r="AM3140">
        <v>89.168974386804095</v>
      </c>
      <c r="AN3140">
        <v>1.0000000140504399</v>
      </c>
    </row>
    <row r="3141" spans="1:40" x14ac:dyDescent="0.25">
      <c r="A3141" t="str">
        <f>"20190303154532074"</f>
        <v>20190303154532074</v>
      </c>
      <c r="B3141" t="str">
        <f>"1551599132064489"</f>
        <v>1551599132064489</v>
      </c>
      <c r="C3141" t="s">
        <v>40</v>
      </c>
      <c r="D3141">
        <v>4.9673499999999997</v>
      </c>
      <c r="E3141">
        <v>0.4965348</v>
      </c>
      <c r="F3141" t="s">
        <v>55</v>
      </c>
      <c r="G3141">
        <v>-344.30399999999997</v>
      </c>
      <c r="H3141" s="1">
        <v>7.5356709999999995E-7</v>
      </c>
      <c r="I3141">
        <v>214.61760000000001</v>
      </c>
      <c r="J3141">
        <v>-365.22710000000001</v>
      </c>
      <c r="K3141">
        <v>1.1200619999999999</v>
      </c>
      <c r="L3141">
        <v>214.6387</v>
      </c>
      <c r="M3141">
        <v>0.99995210000000001</v>
      </c>
      <c r="N3141">
        <v>-9.6534940000000003E-3</v>
      </c>
      <c r="O3141">
        <v>1.6928760000000001E-3</v>
      </c>
      <c r="P3141">
        <v>0.99132710000000002</v>
      </c>
      <c r="Q3141">
        <v>-0.13073769999999901</v>
      </c>
      <c r="R3141">
        <v>-1.3358999999999999E-2</v>
      </c>
      <c r="S3141">
        <v>3.0053709999999998</v>
      </c>
      <c r="T3141">
        <v>-0.15826390000000001</v>
      </c>
      <c r="U3141">
        <v>-2.9144290000000001E-3</v>
      </c>
      <c r="V3141">
        <v>1.499643E-2</v>
      </c>
      <c r="W3141">
        <v>-0.1211671</v>
      </c>
      <c r="X3141">
        <v>0.99251880000000003</v>
      </c>
      <c r="Y3141">
        <v>2.656771E-3</v>
      </c>
      <c r="Z3141">
        <v>-1.5549159999999999E-4</v>
      </c>
      <c r="AA3141">
        <v>0.99999649999999995</v>
      </c>
      <c r="AB3141">
        <v>31</v>
      </c>
      <c r="AC3141">
        <v>20.923099999999899</v>
      </c>
      <c r="AD3141">
        <v>-1.1200612464328901</v>
      </c>
      <c r="AE3141">
        <v>-2.1099999999989901E-2</v>
      </c>
      <c r="AF3141">
        <v>5.6360317666808803E-2</v>
      </c>
      <c r="AG3141">
        <v>-1.1200612464328901</v>
      </c>
      <c r="AH3141">
        <v>20.8632464460701</v>
      </c>
      <c r="AI3141">
        <v>93.073011722255004</v>
      </c>
      <c r="AJ3141">
        <v>89.845220613795902</v>
      </c>
      <c r="AK3141">
        <v>20.8933665537803</v>
      </c>
      <c r="AL3141">
        <v>96.959464265671301</v>
      </c>
      <c r="AM3141">
        <v>89.134357183662203</v>
      </c>
      <c r="AN3141">
        <v>0.999999963694296</v>
      </c>
    </row>
    <row r="3142" spans="1:40" x14ac:dyDescent="0.25">
      <c r="A3142" t="str">
        <f>"20190303154532096"</f>
        <v>20190303154532096</v>
      </c>
      <c r="B3142" t="str">
        <f>"1551599132084009"</f>
        <v>1551599132084009</v>
      </c>
      <c r="C3142" t="s">
        <v>40</v>
      </c>
      <c r="D3142">
        <v>5.157546</v>
      </c>
      <c r="E3142">
        <v>0.49663760000000001</v>
      </c>
      <c r="F3142" t="s">
        <v>55</v>
      </c>
      <c r="G3142">
        <v>-343.56529999999998</v>
      </c>
      <c r="H3142" s="1">
        <v>3.6050690000000002E-7</v>
      </c>
      <c r="I3142">
        <v>214.60730000000001</v>
      </c>
      <c r="J3142">
        <v>-364.91140000000001</v>
      </c>
      <c r="K3142">
        <v>1.1200540000000001</v>
      </c>
      <c r="L3142">
        <v>214.63900000000001</v>
      </c>
      <c r="M3142">
        <v>0.99995219999999996</v>
      </c>
      <c r="N3142">
        <v>-9.6664539999999997E-3</v>
      </c>
      <c r="O3142">
        <v>1.550671E-3</v>
      </c>
      <c r="P3142">
        <v>0.99136820000000003</v>
      </c>
      <c r="Q3142">
        <v>-0.130411</v>
      </c>
      <c r="R3142">
        <v>-1.350965E-2</v>
      </c>
      <c r="S3142">
        <v>3.0056759999999998</v>
      </c>
      <c r="T3142">
        <v>-0.15541369999999999</v>
      </c>
      <c r="U3142">
        <v>-4.3487550000000002E-3</v>
      </c>
      <c r="V3142">
        <v>1.500659E-2</v>
      </c>
      <c r="W3142">
        <v>-0.12082710000000001</v>
      </c>
      <c r="X3142">
        <v>0.99256009999999995</v>
      </c>
      <c r="Y3142">
        <v>2.9914709999999999E-3</v>
      </c>
      <c r="Z3142">
        <v>-1.5690309999999999E-4</v>
      </c>
      <c r="AA3142">
        <v>0.99999550000000004</v>
      </c>
      <c r="AB3142">
        <v>31</v>
      </c>
      <c r="AC3142">
        <v>21.3461</v>
      </c>
      <c r="AD3142">
        <v>-1.1200536394931</v>
      </c>
      <c r="AE3142">
        <v>-3.17000000000007E-2</v>
      </c>
      <c r="AF3142">
        <v>6.4624358068777907E-2</v>
      </c>
      <c r="AG3142">
        <v>-1.1200536394931</v>
      </c>
      <c r="AH3142">
        <v>21.287416410943599</v>
      </c>
      <c r="AI3142">
        <v>93.011869920089197</v>
      </c>
      <c r="AJ3142">
        <v>89.8260619548725</v>
      </c>
      <c r="AK3142">
        <v>21.316960240989101</v>
      </c>
      <c r="AL3142">
        <v>96.939839477207997</v>
      </c>
      <c r="AM3142">
        <v>89.133806842614007</v>
      </c>
      <c r="AN3142">
        <v>0.99999996897492305</v>
      </c>
    </row>
    <row r="3143" spans="1:40" x14ac:dyDescent="0.25">
      <c r="A3143" t="str">
        <f>"20190303154532120"</f>
        <v>20190303154532120</v>
      </c>
      <c r="B3143" t="str">
        <f>"1551599132114264"</f>
        <v>1551599132114264</v>
      </c>
      <c r="C3143" t="s">
        <v>40</v>
      </c>
      <c r="D3143">
        <v>5.0680300000000003</v>
      </c>
      <c r="E3143">
        <v>0.52016419999999997</v>
      </c>
      <c r="F3143" t="s">
        <v>55</v>
      </c>
      <c r="G3143">
        <v>-343.09710000000001</v>
      </c>
      <c r="H3143" s="1">
        <v>1.1132880000000001E-7</v>
      </c>
      <c r="I3143">
        <v>214.5975</v>
      </c>
      <c r="J3143">
        <v>-364.5806</v>
      </c>
      <c r="K3143">
        <v>1.1200540000000001</v>
      </c>
      <c r="L3143">
        <v>214.63939999999999</v>
      </c>
      <c r="M3143">
        <v>0.99995230000000002</v>
      </c>
      <c r="N3143">
        <v>-9.6799950000000003E-3</v>
      </c>
      <c r="O3143">
        <v>1.4026829999999901E-3</v>
      </c>
      <c r="P3143">
        <v>0.99135300000000004</v>
      </c>
      <c r="Q3143">
        <v>-0.1305269</v>
      </c>
      <c r="R3143">
        <v>-1.3505990000000001E-2</v>
      </c>
      <c r="S3143">
        <v>3.0057070000000001</v>
      </c>
      <c r="T3143">
        <v>-0.15432779999999999</v>
      </c>
      <c r="U3143">
        <v>-5.7220459999999997E-3</v>
      </c>
      <c r="V3143">
        <v>1.4856599999999999E-2</v>
      </c>
      <c r="W3143">
        <v>-0.1209296</v>
      </c>
      <c r="X3143">
        <v>0.99254989999999998</v>
      </c>
      <c r="Y3143">
        <v>3.300084E-3</v>
      </c>
      <c r="Z3143">
        <v>-1.590529E-4</v>
      </c>
      <c r="AA3143">
        <v>0.99999450000000001</v>
      </c>
      <c r="AB3143">
        <v>31</v>
      </c>
      <c r="AC3143">
        <v>21.4834999999999</v>
      </c>
      <c r="AD3143">
        <v>-1.1200538886711999</v>
      </c>
      <c r="AE3143">
        <v>-4.1899999999998203E-2</v>
      </c>
      <c r="AF3143">
        <v>7.18406365033884E-2</v>
      </c>
      <c r="AG3143">
        <v>-1.1200538886711999</v>
      </c>
      <c r="AH3143">
        <v>21.425184203681901</v>
      </c>
      <c r="AI3143">
        <v>92.992536006458593</v>
      </c>
      <c r="AJ3143">
        <v>89.807882639242806</v>
      </c>
      <c r="AK3143">
        <v>21.4545612854768</v>
      </c>
      <c r="AL3143">
        <v>96.945755492210694</v>
      </c>
      <c r="AM3143">
        <v>89.142454282596205</v>
      </c>
      <c r="AN3143">
        <v>0.99999999535486495</v>
      </c>
    </row>
    <row r="3144" spans="1:40" x14ac:dyDescent="0.25">
      <c r="A3144" t="str">
        <f>"20190303154532139"</f>
        <v>20190303154532139</v>
      </c>
      <c r="B3144" t="str">
        <f>"1551599132133785"</f>
        <v>1551599132133785</v>
      </c>
      <c r="C3144" t="s">
        <v>40</v>
      </c>
      <c r="D3144">
        <v>5.0743970000000003</v>
      </c>
      <c r="E3144">
        <v>0.51974869999999995</v>
      </c>
      <c r="F3144" t="s">
        <v>55</v>
      </c>
      <c r="G3144">
        <v>-340.51639999999998</v>
      </c>
      <c r="H3144" s="1">
        <v>-1.261994E-6</v>
      </c>
      <c r="I3144">
        <v>213.09299999999999</v>
      </c>
      <c r="J3144">
        <v>-364.29469999999998</v>
      </c>
      <c r="K3144">
        <v>1.120058</v>
      </c>
      <c r="L3144">
        <v>214.6397</v>
      </c>
      <c r="M3144">
        <v>0.99995219999999996</v>
      </c>
      <c r="N3144">
        <v>-9.6916569999999994E-3</v>
      </c>
      <c r="O3144">
        <v>1.276154E-3</v>
      </c>
      <c r="P3144">
        <v>0.99128530000000004</v>
      </c>
      <c r="Q3144">
        <v>-0.13101889999999999</v>
      </c>
      <c r="R3144">
        <v>-1.369187E-2</v>
      </c>
      <c r="S3144">
        <v>3.0051269999999999</v>
      </c>
      <c r="T3144">
        <v>-0.13987169999999999</v>
      </c>
      <c r="U3144">
        <v>-0.19311519999999999</v>
      </c>
      <c r="V3144">
        <v>1.491692E-2</v>
      </c>
      <c r="W3144">
        <v>-0.1214107</v>
      </c>
      <c r="X3144">
        <v>0.99249030000000005</v>
      </c>
      <c r="Y3144">
        <v>6.5317150000000004E-2</v>
      </c>
      <c r="Z3144">
        <v>-1.881698E-3</v>
      </c>
      <c r="AA3144">
        <v>0.99786280000000005</v>
      </c>
      <c r="AB3144">
        <v>31</v>
      </c>
      <c r="AC3144">
        <v>23.778300000000002</v>
      </c>
      <c r="AD3144">
        <v>-1.120059261994</v>
      </c>
      <c r="AE3144">
        <v>-1.54670000000001</v>
      </c>
      <c r="AF3144">
        <v>1.5735681981254599</v>
      </c>
      <c r="AG3144">
        <v>-1.120059261994</v>
      </c>
      <c r="AH3144">
        <v>23.7238896580368</v>
      </c>
      <c r="AI3144">
        <v>92.697140338914295</v>
      </c>
      <c r="AJ3144">
        <v>86.2052197574844</v>
      </c>
      <c r="AK3144">
        <v>23.802386227671299</v>
      </c>
      <c r="AL3144">
        <v>96.973524834118606</v>
      </c>
      <c r="AM3144">
        <v>89.138921345166494</v>
      </c>
      <c r="AN3144">
        <v>1.00000003408543</v>
      </c>
    </row>
    <row r="3145" spans="1:40" x14ac:dyDescent="0.25">
      <c r="A3145" t="str">
        <f>"20190303154532162"</f>
        <v>20190303154532162</v>
      </c>
      <c r="B3145" t="str">
        <f>"1551599132154281"</f>
        <v>1551599132154281</v>
      </c>
      <c r="C3145" t="s">
        <v>40</v>
      </c>
      <c r="D3145">
        <v>5.0753890000000004</v>
      </c>
      <c r="E3145">
        <v>0.51979430000000004</v>
      </c>
      <c r="F3145" t="s">
        <v>55</v>
      </c>
      <c r="G3145">
        <v>-339.98869999999999</v>
      </c>
      <c r="H3145" s="1">
        <v>-1.5428150000000001E-6</v>
      </c>
      <c r="I3145">
        <v>213.0993</v>
      </c>
      <c r="J3145">
        <v>-363.98500000000001</v>
      </c>
      <c r="K3145">
        <v>1.1200540000000001</v>
      </c>
      <c r="L3145">
        <v>214.63990000000001</v>
      </c>
      <c r="M3145">
        <v>0.99995230000000002</v>
      </c>
      <c r="N3145">
        <v>-9.7042429999999995E-3</v>
      </c>
      <c r="O3145">
        <v>1.139782E-3</v>
      </c>
      <c r="P3145">
        <v>0.99127500000000002</v>
      </c>
      <c r="Q3145">
        <v>-0.13112869999999999</v>
      </c>
      <c r="R3145">
        <v>-1.338836E-2</v>
      </c>
      <c r="S3145">
        <v>3.0054319999999999</v>
      </c>
      <c r="T3145">
        <v>-0.1384947</v>
      </c>
      <c r="U3145">
        <v>-0.1904602</v>
      </c>
      <c r="V3145">
        <v>1.4478339999999999E-2</v>
      </c>
      <c r="W3145">
        <v>-0.1215079</v>
      </c>
      <c r="X3145">
        <v>0.9924849</v>
      </c>
      <c r="Y3145">
        <v>6.4299540000000002E-2</v>
      </c>
      <c r="Z3145">
        <v>-1.8331479999999999E-3</v>
      </c>
      <c r="AA3145">
        <v>0.99792899999999995</v>
      </c>
      <c r="AB3145">
        <v>31</v>
      </c>
      <c r="AC3145">
        <v>23.996300000000002</v>
      </c>
      <c r="AD3145">
        <v>-1.1200555428149901</v>
      </c>
      <c r="AE3145">
        <v>-1.54060000000001</v>
      </c>
      <c r="AF3145">
        <v>1.5645561845843701</v>
      </c>
      <c r="AG3145">
        <v>-1.1200555428149901</v>
      </c>
      <c r="AH3145">
        <v>23.942579633492201</v>
      </c>
      <c r="AI3145">
        <v>92.672703691566099</v>
      </c>
      <c r="AJ3145">
        <v>86.261255108343605</v>
      </c>
      <c r="AK3145">
        <v>24.019772687930001</v>
      </c>
      <c r="AL3145">
        <v>96.979135520646494</v>
      </c>
      <c r="AM3145">
        <v>89.164230167303998</v>
      </c>
      <c r="AN3145">
        <v>1.0000000344097799</v>
      </c>
    </row>
    <row r="3146" spans="1:40" x14ac:dyDescent="0.25">
      <c r="A3146" t="str">
        <f>"20190303154532184"</f>
        <v>20190303154532184</v>
      </c>
      <c r="B3146" t="str">
        <f>"1551599132173804"</f>
        <v>1551599132173804</v>
      </c>
      <c r="C3146" t="s">
        <v>40</v>
      </c>
      <c r="D3146">
        <v>5.0671839999999904</v>
      </c>
      <c r="E3146">
        <v>0.52008109999999996</v>
      </c>
      <c r="F3146" t="s">
        <v>55</v>
      </c>
      <c r="G3146">
        <v>-339.32060000000001</v>
      </c>
      <c r="H3146" s="1">
        <v>3.490122E-6</v>
      </c>
      <c r="I3146">
        <v>213.08449999999999</v>
      </c>
      <c r="J3146">
        <v>-363.67180000000002</v>
      </c>
      <c r="K3146">
        <v>1.120055</v>
      </c>
      <c r="L3146">
        <v>214.64009999999999</v>
      </c>
      <c r="M3146">
        <v>0.99995230000000002</v>
      </c>
      <c r="N3146">
        <v>-9.716911E-3</v>
      </c>
      <c r="O3146">
        <v>1.0022130000000001E-3</v>
      </c>
      <c r="P3146">
        <v>0.99125549999999996</v>
      </c>
      <c r="Q3146">
        <v>-0.13119910000000001</v>
      </c>
      <c r="R3146">
        <v>-1.412239E-2</v>
      </c>
      <c r="S3146">
        <v>3.005798</v>
      </c>
      <c r="T3146">
        <v>-0.13649829999999999</v>
      </c>
      <c r="U3146">
        <v>-0.1895599</v>
      </c>
      <c r="V3146">
        <v>1.507591E-2</v>
      </c>
      <c r="W3146">
        <v>-0.12156599999999999</v>
      </c>
      <c r="X3146">
        <v>0.99246880000000004</v>
      </c>
      <c r="Y3146">
        <v>6.3859689999999997E-2</v>
      </c>
      <c r="Z3146">
        <v>-1.7942920000000001E-3</v>
      </c>
      <c r="AA3146">
        <v>0.99795730000000005</v>
      </c>
      <c r="AB3146">
        <v>31</v>
      </c>
      <c r="AC3146">
        <v>24.351199999999999</v>
      </c>
      <c r="AD3146">
        <v>-1.120051509878</v>
      </c>
      <c r="AE3146">
        <v>-1.5555999999999901</v>
      </c>
      <c r="AF3146">
        <v>1.5766833725007301</v>
      </c>
      <c r="AG3146">
        <v>-1.120051509878</v>
      </c>
      <c r="AH3146">
        <v>24.2984316198146</v>
      </c>
      <c r="AI3146">
        <v>92.633685921885998</v>
      </c>
      <c r="AJ3146">
        <v>86.287380372195699</v>
      </c>
      <c r="AK3146">
        <v>24.375278973269399</v>
      </c>
      <c r="AL3146">
        <v>96.982489878953601</v>
      </c>
      <c r="AM3146">
        <v>89.129726207761706</v>
      </c>
      <c r="AN3146">
        <v>0.99999994719588203</v>
      </c>
    </row>
    <row r="3147" spans="1:40" x14ac:dyDescent="0.25">
      <c r="A3147" t="str">
        <f>"20190303154532206"</f>
        <v>20190303154532206</v>
      </c>
      <c r="B3147" t="str">
        <f>"1551599132204057"</f>
        <v>1551599132204057</v>
      </c>
      <c r="C3147" t="s">
        <v>40</v>
      </c>
      <c r="D3147">
        <v>5.0805389999999999</v>
      </c>
      <c r="E3147">
        <v>0.52020580000000005</v>
      </c>
      <c r="F3147" t="s">
        <v>55</v>
      </c>
      <c r="G3147">
        <v>-338.50020000000001</v>
      </c>
      <c r="H3147" s="1">
        <v>3.0565790000000001E-6</v>
      </c>
      <c r="I3147">
        <v>213.01480000000001</v>
      </c>
      <c r="J3147">
        <v>-363.35239999999999</v>
      </c>
      <c r="K3147">
        <v>1.1200570000000001</v>
      </c>
      <c r="L3147">
        <v>214.6403</v>
      </c>
      <c r="M3147">
        <v>0.99995230000000002</v>
      </c>
      <c r="N3147">
        <v>-9.7297960000000006E-3</v>
      </c>
      <c r="O3147">
        <v>8.623169E-4</v>
      </c>
      <c r="P3147">
        <v>0.99126510000000001</v>
      </c>
      <c r="Q3147">
        <v>-0.13105240000000001</v>
      </c>
      <c r="R3147">
        <v>-1.4809050000000001E-2</v>
      </c>
      <c r="S3147">
        <v>3.005951</v>
      </c>
      <c r="T3147">
        <v>-0.1337546</v>
      </c>
      <c r="U3147">
        <v>-0.19409180000000001</v>
      </c>
      <c r="V3147">
        <v>1.562378E-2</v>
      </c>
      <c r="W3147">
        <v>-0.12140670000000001</v>
      </c>
      <c r="X3147">
        <v>0.99247989999999997</v>
      </c>
      <c r="Y3147">
        <v>6.5216650000000001E-2</v>
      </c>
      <c r="Z3147">
        <v>-1.7964700000000001E-3</v>
      </c>
      <c r="AA3147">
        <v>0.99786949999999996</v>
      </c>
      <c r="AB3147">
        <v>32</v>
      </c>
      <c r="AC3147">
        <v>24.8521999999999</v>
      </c>
      <c r="AD3147">
        <v>-1.120053943421</v>
      </c>
      <c r="AE3147">
        <v>-1.62549999999998</v>
      </c>
      <c r="AF3147">
        <v>1.64360664386212</v>
      </c>
      <c r="AG3147">
        <v>-1.120053943421</v>
      </c>
      <c r="AH3147">
        <v>24.8006290655659</v>
      </c>
      <c r="AI3147">
        <v>92.580200868561704</v>
      </c>
      <c r="AJ3147">
        <v>86.208393914104093</v>
      </c>
      <c r="AK3147">
        <v>24.880256543768098</v>
      </c>
      <c r="AL3147">
        <v>96.973294037483896</v>
      </c>
      <c r="AM3147">
        <v>89.098115015969299</v>
      </c>
      <c r="AN3147">
        <v>1.00000002060519</v>
      </c>
    </row>
    <row r="3148" spans="1:40" x14ac:dyDescent="0.25">
      <c r="A3148" t="str">
        <f>"20190303154532230"</f>
        <v>20190303154532230</v>
      </c>
      <c r="B3148" t="str">
        <f>"1551599132224553"</f>
        <v>1551599132224553</v>
      </c>
      <c r="C3148" t="s">
        <v>40</v>
      </c>
      <c r="D3148">
        <v>5.0532019999999997</v>
      </c>
      <c r="E3148">
        <v>0.52014269999999996</v>
      </c>
      <c r="F3148" t="s">
        <v>55</v>
      </c>
      <c r="G3148">
        <v>-338.16820000000001</v>
      </c>
      <c r="H3148" s="1">
        <v>2.8810309999999998E-6</v>
      </c>
      <c r="I3148">
        <v>212.9888</v>
      </c>
      <c r="J3148">
        <v>-363.02659999999997</v>
      </c>
      <c r="K3148">
        <v>1.1200540000000001</v>
      </c>
      <c r="L3148">
        <v>214.6405</v>
      </c>
      <c r="M3148">
        <v>0.99995230000000002</v>
      </c>
      <c r="N3148">
        <v>-9.7429100000000005E-3</v>
      </c>
      <c r="O3148">
        <v>7.2033570000000003E-4</v>
      </c>
      <c r="P3148">
        <v>0.99125359999999996</v>
      </c>
      <c r="Q3148">
        <v>-0.13111030000000001</v>
      </c>
      <c r="R3148">
        <v>-1.504833E-2</v>
      </c>
      <c r="S3148">
        <v>3.0058289999999999</v>
      </c>
      <c r="T3148">
        <v>-0.13368260000000001</v>
      </c>
      <c r="U3148">
        <v>-0.19711300000000001</v>
      </c>
      <c r="V3148">
        <v>1.5722369999999999E-2</v>
      </c>
      <c r="W3148">
        <v>-0.1214517</v>
      </c>
      <c r="X3148">
        <v>0.99247280000000004</v>
      </c>
      <c r="Y3148">
        <v>6.6075410000000001E-2</v>
      </c>
      <c r="Z3148">
        <v>-1.814443E-3</v>
      </c>
      <c r="AA3148">
        <v>0.99781299999999995</v>
      </c>
      <c r="AB3148">
        <v>32</v>
      </c>
      <c r="AC3148">
        <v>24.8583999999999</v>
      </c>
      <c r="AD3148">
        <v>-1.1200511189689999</v>
      </c>
      <c r="AE3148">
        <v>-1.6516999999999999</v>
      </c>
      <c r="AF3148">
        <v>1.6662389580138399</v>
      </c>
      <c r="AG3148">
        <v>-1.1200511189689999</v>
      </c>
      <c r="AH3148">
        <v>24.8070628796143</v>
      </c>
      <c r="AI3148">
        <v>92.5793729246151</v>
      </c>
      <c r="AJ3148">
        <v>86.157333168170197</v>
      </c>
      <c r="AK3148">
        <v>24.888174611398199</v>
      </c>
      <c r="AL3148">
        <v>96.975891828802602</v>
      </c>
      <c r="AM3148">
        <v>89.092418351186197</v>
      </c>
      <c r="AN3148">
        <v>0.99999998354557296</v>
      </c>
    </row>
    <row r="3149" spans="1:40" x14ac:dyDescent="0.25">
      <c r="A3149" t="str">
        <f>"20190303154532250"</f>
        <v>20190303154532250</v>
      </c>
      <c r="B3149" t="str">
        <f>"1551599132244073"</f>
        <v>1551599132244073</v>
      </c>
      <c r="C3149" t="s">
        <v>40</v>
      </c>
      <c r="D3149">
        <v>5.0385720000000003</v>
      </c>
      <c r="E3149">
        <v>0.52020370000000005</v>
      </c>
      <c r="F3149" t="s">
        <v>55</v>
      </c>
      <c r="G3149">
        <v>-337.87150000000003</v>
      </c>
      <c r="H3149" s="1">
        <v>2.7230809999999999E-6</v>
      </c>
      <c r="I3149">
        <v>212.9906</v>
      </c>
      <c r="J3149">
        <v>-362.72289999999998</v>
      </c>
      <c r="K3149">
        <v>1.1200540000000001</v>
      </c>
      <c r="L3149">
        <v>214.6405</v>
      </c>
      <c r="M3149">
        <v>0.99995230000000002</v>
      </c>
      <c r="N3149">
        <v>-9.7550829999999995E-3</v>
      </c>
      <c r="O3149">
        <v>5.8813559999999895E-4</v>
      </c>
      <c r="P3149">
        <v>0.99128039999999995</v>
      </c>
      <c r="Q3149">
        <v>-0.1309331</v>
      </c>
      <c r="R3149">
        <v>-1.482732E-2</v>
      </c>
      <c r="S3149">
        <v>3.005798</v>
      </c>
      <c r="T3149">
        <v>-0.1338356</v>
      </c>
      <c r="U3149">
        <v>-0.1971436</v>
      </c>
      <c r="V3149">
        <v>1.5370719999999999E-2</v>
      </c>
      <c r="W3149">
        <v>-0.12126199999999999</v>
      </c>
      <c r="X3149">
        <v>0.99250150000000004</v>
      </c>
      <c r="Y3149">
        <v>6.5954289999999999E-2</v>
      </c>
      <c r="Z3149">
        <v>-1.808692E-3</v>
      </c>
      <c r="AA3149">
        <v>0.99782099999999996</v>
      </c>
      <c r="AB3149">
        <v>32</v>
      </c>
      <c r="AC3149">
        <v>24.851399999999899</v>
      </c>
      <c r="AD3149">
        <v>-1.1200512769190001</v>
      </c>
      <c r="AE3149">
        <v>-1.6498999999999999</v>
      </c>
      <c r="AF3149">
        <v>1.66115690188424</v>
      </c>
      <c r="AG3149">
        <v>-1.1200512769190001</v>
      </c>
      <c r="AH3149">
        <v>24.800269572305901</v>
      </c>
      <c r="AI3149">
        <v>92.580110968079595</v>
      </c>
      <c r="AJ3149">
        <v>86.167972152432498</v>
      </c>
      <c r="AK3149">
        <v>24.881063642349599</v>
      </c>
      <c r="AL3149">
        <v>96.964941915285806</v>
      </c>
      <c r="AM3149">
        <v>89.112739893831105</v>
      </c>
      <c r="AN3149">
        <v>0.99999997958978404</v>
      </c>
    </row>
    <row r="3150" spans="1:40" x14ac:dyDescent="0.25">
      <c r="A3150" t="str">
        <f>"20190303154532272"</f>
        <v>20190303154532272</v>
      </c>
      <c r="B3150" t="str">
        <f>"1551599132264569"</f>
        <v>1551599132264569</v>
      </c>
      <c r="C3150" t="s">
        <v>40</v>
      </c>
      <c r="D3150">
        <v>5.031542</v>
      </c>
      <c r="E3150">
        <v>0.52028509999999994</v>
      </c>
      <c r="F3150" t="s">
        <v>55</v>
      </c>
      <c r="G3150">
        <v>-337.43939999999998</v>
      </c>
      <c r="H3150" s="1">
        <v>2.4934300000000001E-6</v>
      </c>
      <c r="I3150">
        <v>212.9837</v>
      </c>
      <c r="J3150">
        <v>-362.41910000000001</v>
      </c>
      <c r="K3150">
        <v>1.1200540000000001</v>
      </c>
      <c r="L3150">
        <v>214.64060000000001</v>
      </c>
      <c r="M3150">
        <v>0.99995210000000001</v>
      </c>
      <c r="N3150">
        <v>-9.7672160000000004E-3</v>
      </c>
      <c r="O3150">
        <v>4.562937E-4</v>
      </c>
      <c r="P3150">
        <v>0.9912434</v>
      </c>
      <c r="Q3150">
        <v>-0.1312094</v>
      </c>
      <c r="R3150">
        <v>-1.4852539999999999E-2</v>
      </c>
      <c r="S3150">
        <v>3.00589</v>
      </c>
      <c r="T3150">
        <v>-0.13316</v>
      </c>
      <c r="U3150">
        <v>-0.1969757</v>
      </c>
      <c r="V3150">
        <v>1.526492E-2</v>
      </c>
      <c r="W3150">
        <v>-0.1215266</v>
      </c>
      <c r="X3150">
        <v>0.99247079999999999</v>
      </c>
      <c r="Y3150">
        <v>6.5766270000000002E-2</v>
      </c>
      <c r="Z3150">
        <v>-1.7918929999999999E-3</v>
      </c>
      <c r="AA3150">
        <v>0.99783339999999998</v>
      </c>
      <c r="AB3150">
        <v>32</v>
      </c>
      <c r="AC3150">
        <v>24.979700000000001</v>
      </c>
      <c r="AD3150">
        <v>-1.1200515065700001</v>
      </c>
      <c r="AE3150">
        <v>-1.6569</v>
      </c>
      <c r="AF3150">
        <v>1.6649657207742501</v>
      </c>
      <c r="AG3150">
        <v>-1.1200515065700001</v>
      </c>
      <c r="AH3150">
        <v>24.929041326516501</v>
      </c>
      <c r="AI3150">
        <v>92.566834697938702</v>
      </c>
      <c r="AJ3150">
        <v>86.178992862392704</v>
      </c>
      <c r="AK3150">
        <v>25.009672682542099</v>
      </c>
      <c r="AL3150">
        <v>96.980215118224194</v>
      </c>
      <c r="AM3150">
        <v>89.118818879007804</v>
      </c>
      <c r="AN3150">
        <v>1.0000000105714</v>
      </c>
    </row>
    <row r="3151" spans="1:40" x14ac:dyDescent="0.25">
      <c r="A3151" t="str">
        <f>"20190303154532296"</f>
        <v>20190303154532296</v>
      </c>
      <c r="B3151" t="str">
        <f>"1551599132284088"</f>
        <v>1551599132284088</v>
      </c>
      <c r="C3151" t="s">
        <v>40</v>
      </c>
      <c r="D3151">
        <v>5.0229330000000001</v>
      </c>
      <c r="E3151">
        <v>0.52028999999999903</v>
      </c>
      <c r="F3151" t="s">
        <v>55</v>
      </c>
      <c r="G3151">
        <v>-337.2</v>
      </c>
      <c r="H3151" s="1">
        <v>2.3661340000000002E-6</v>
      </c>
      <c r="I3151">
        <v>212.98169999999999</v>
      </c>
      <c r="J3151">
        <v>-362.08359999999999</v>
      </c>
      <c r="K3151">
        <v>1.120052</v>
      </c>
      <c r="L3151">
        <v>214.64060000000001</v>
      </c>
      <c r="M3151">
        <v>0.99995219999999996</v>
      </c>
      <c r="N3151">
        <v>-9.7805649999999997E-3</v>
      </c>
      <c r="O3151">
        <v>3.107955E-4</v>
      </c>
      <c r="P3151">
        <v>0.991201</v>
      </c>
      <c r="Q3151">
        <v>-0.13157530000000001</v>
      </c>
      <c r="R3151">
        <v>-1.4453809999999999E-2</v>
      </c>
      <c r="S3151">
        <v>3.00589</v>
      </c>
      <c r="T3151">
        <v>-0.13350020000000001</v>
      </c>
      <c r="U3151">
        <v>-0.19772339999999999</v>
      </c>
      <c r="V3151">
        <v>1.4721679999999999E-2</v>
      </c>
      <c r="W3151">
        <v>-0.121879399999999</v>
      </c>
      <c r="X3151">
        <v>0.99243579999999998</v>
      </c>
      <c r="Y3151">
        <v>6.5867800000000004E-2</v>
      </c>
      <c r="Z3151">
        <v>-1.7937999999999999E-3</v>
      </c>
      <c r="AA3151">
        <v>0.99782680000000001</v>
      </c>
      <c r="AB3151">
        <v>32</v>
      </c>
      <c r="AC3151">
        <v>24.883600000000001</v>
      </c>
      <c r="AD3151">
        <v>-1.120049633866</v>
      </c>
      <c r="AE3151">
        <v>-1.65890000000001</v>
      </c>
      <c r="AF3151">
        <v>1.66327904027388</v>
      </c>
      <c r="AG3151">
        <v>-1.120049633866</v>
      </c>
      <c r="AH3151">
        <v>24.832993166486201</v>
      </c>
      <c r="AI3151">
        <v>92.576712327855006</v>
      </c>
      <c r="AJ3151">
        <v>86.168132327037299</v>
      </c>
      <c r="AK3151">
        <v>24.913822628310001</v>
      </c>
      <c r="AL3151">
        <v>97.000580059647703</v>
      </c>
      <c r="AM3151">
        <v>89.150143242371897</v>
      </c>
      <c r="AN3151">
        <v>1.0000000665640001</v>
      </c>
    </row>
    <row r="3152" spans="1:40" x14ac:dyDescent="0.25">
      <c r="A3152" t="str">
        <f>"20190303154532320"</f>
        <v>20190303154532320</v>
      </c>
      <c r="B3152" t="str">
        <f>"1551599132314345"</f>
        <v>1551599132314345</v>
      </c>
      <c r="C3152" t="s">
        <v>40</v>
      </c>
      <c r="D3152">
        <v>5.0487010000000003</v>
      </c>
      <c r="E3152">
        <v>0.52009740000000004</v>
      </c>
      <c r="F3152" t="s">
        <v>55</v>
      </c>
      <c r="G3152">
        <v>-337.077</v>
      </c>
      <c r="H3152" s="1">
        <v>2.2997300000000002E-6</v>
      </c>
      <c r="I3152">
        <v>213.00399999999999</v>
      </c>
      <c r="J3152">
        <v>-361.74790000000002</v>
      </c>
      <c r="K3152">
        <v>1.1200540000000001</v>
      </c>
      <c r="L3152">
        <v>214.6405</v>
      </c>
      <c r="M3152">
        <v>0.99995210000000001</v>
      </c>
      <c r="N3152">
        <v>-9.7939189999999999E-3</v>
      </c>
      <c r="O3152">
        <v>1.6577049999999999E-4</v>
      </c>
      <c r="P3152">
        <v>0.99117489999999997</v>
      </c>
      <c r="Q3152">
        <v>-0.13181950000000001</v>
      </c>
      <c r="R3152">
        <v>-1.4005699999999999E-2</v>
      </c>
      <c r="S3152">
        <v>3.0058590000000001</v>
      </c>
      <c r="T3152">
        <v>-0.13463320000000001</v>
      </c>
      <c r="U3152">
        <v>-0.19671630000000001</v>
      </c>
      <c r="V3152">
        <v>1.412999E-2</v>
      </c>
      <c r="W3152">
        <v>-0.12211039999999999</v>
      </c>
      <c r="X3152">
        <v>0.99241599999999996</v>
      </c>
      <c r="Y3152">
        <v>6.5390279999999995E-2</v>
      </c>
      <c r="Z3152">
        <v>-1.7886790000000001E-3</v>
      </c>
      <c r="AA3152">
        <v>0.99785820000000003</v>
      </c>
      <c r="AB3152">
        <v>32</v>
      </c>
      <c r="AC3152">
        <v>24.6709</v>
      </c>
      <c r="AD3152">
        <v>-1.1200517002699999</v>
      </c>
      <c r="AE3152">
        <v>-1.6364999999999801</v>
      </c>
      <c r="AF3152">
        <v>1.6372301140041901</v>
      </c>
      <c r="AG3152">
        <v>-1.1200517002699999</v>
      </c>
      <c r="AH3152">
        <v>24.620105343094501</v>
      </c>
      <c r="AI3152">
        <v>92.599049877330003</v>
      </c>
      <c r="AJ3152">
        <v>86.195448280665801</v>
      </c>
      <c r="AK3152">
        <v>24.699891201431399</v>
      </c>
      <c r="AL3152">
        <v>97.013915020125907</v>
      </c>
      <c r="AM3152">
        <v>89.184279483953503</v>
      </c>
      <c r="AN3152">
        <v>1.0000000617307701</v>
      </c>
    </row>
    <row r="3153" spans="1:40" x14ac:dyDescent="0.25">
      <c r="A3153" t="str">
        <f>"20190303154532341"</f>
        <v>20190303154532341</v>
      </c>
      <c r="B3153" t="str">
        <f>"1551599132333865"</f>
        <v>1551599132333865</v>
      </c>
      <c r="C3153" t="s">
        <v>40</v>
      </c>
      <c r="D3153">
        <v>4.9909140000000001</v>
      </c>
      <c r="E3153">
        <v>0.52016569999999995</v>
      </c>
      <c r="F3153" t="s">
        <v>55</v>
      </c>
      <c r="G3153">
        <v>-337.25920000000002</v>
      </c>
      <c r="H3153" s="1">
        <v>2.3942759999999999E-6</v>
      </c>
      <c r="I3153">
        <v>213.05879999999999</v>
      </c>
      <c r="J3153">
        <v>-361.4479</v>
      </c>
      <c r="K3153">
        <v>1.120053</v>
      </c>
      <c r="L3153">
        <v>214.6404</v>
      </c>
      <c r="M3153">
        <v>0.9999519</v>
      </c>
      <c r="N3153">
        <v>-9.8057709999999996E-3</v>
      </c>
      <c r="O3153" s="1">
        <v>3.636943E-5</v>
      </c>
      <c r="P3153">
        <v>0.9910949</v>
      </c>
      <c r="Q3153">
        <v>-0.132383</v>
      </c>
      <c r="R3153">
        <v>-1.4349509999999999E-2</v>
      </c>
      <c r="S3153">
        <v>3.0056759999999998</v>
      </c>
      <c r="T3153">
        <v>-0.13747190000000001</v>
      </c>
      <c r="U3153">
        <v>-0.19413759999999999</v>
      </c>
      <c r="V3153">
        <v>1.4345220000000001E-2</v>
      </c>
      <c r="W3153">
        <v>-0.12266290000000001</v>
      </c>
      <c r="X3153">
        <v>0.99234469999999997</v>
      </c>
      <c r="Y3153">
        <v>6.4410780000000001E-2</v>
      </c>
      <c r="Z3153">
        <v>-1.7883319999999999E-3</v>
      </c>
      <c r="AA3153">
        <v>0.99792190000000003</v>
      </c>
      <c r="AB3153">
        <v>32</v>
      </c>
      <c r="AC3153">
        <v>24.188699999999901</v>
      </c>
      <c r="AD3153">
        <v>-1.1200506057240001</v>
      </c>
      <c r="AE3153">
        <v>-1.5815999999999999</v>
      </c>
      <c r="AF3153">
        <v>1.5791083774833199</v>
      </c>
      <c r="AG3153">
        <v>-1.1200506057240001</v>
      </c>
      <c r="AH3153">
        <v>24.137109781433001</v>
      </c>
      <c r="AI3153">
        <v>92.651169402532304</v>
      </c>
      <c r="AJ3153">
        <v>86.256905054790707</v>
      </c>
      <c r="AK3153">
        <v>24.2146270924863</v>
      </c>
      <c r="AL3153">
        <v>97.045811234856401</v>
      </c>
      <c r="AM3153">
        <v>89.171796537625397</v>
      </c>
      <c r="AN3153">
        <v>0.99999998799567402</v>
      </c>
    </row>
    <row r="3154" spans="1:40" x14ac:dyDescent="0.25">
      <c r="A3154" t="str">
        <f>"20190303154532363"</f>
        <v>20190303154532363</v>
      </c>
      <c r="B3154" t="str">
        <f>"1551599132354361"</f>
        <v>1551599132354361</v>
      </c>
      <c r="C3154" t="s">
        <v>40</v>
      </c>
      <c r="D3154">
        <v>5.0593849999999998</v>
      </c>
      <c r="E3154">
        <v>0.52010389999999995</v>
      </c>
      <c r="F3154" t="s">
        <v>55</v>
      </c>
      <c r="G3154">
        <v>-337.20389999999998</v>
      </c>
      <c r="H3154" s="1">
        <v>2.3647770000000002E-6</v>
      </c>
      <c r="I3154">
        <v>213.06120000000001</v>
      </c>
      <c r="J3154">
        <v>-361.14019999999999</v>
      </c>
      <c r="K3154">
        <v>1.1200509999999999</v>
      </c>
      <c r="L3154">
        <v>214.6403</v>
      </c>
      <c r="M3154">
        <v>0.99995179999999995</v>
      </c>
      <c r="N3154">
        <v>-9.8179259999999994E-3</v>
      </c>
      <c r="O3154" s="1">
        <v>-9.6311829999999997E-5</v>
      </c>
      <c r="P3154">
        <v>0.99107109999999998</v>
      </c>
      <c r="Q3154">
        <v>-0.13249079999999999</v>
      </c>
      <c r="R3154">
        <v>-1.498974E-2</v>
      </c>
      <c r="S3154">
        <v>3.005585</v>
      </c>
      <c r="T3154">
        <v>-0.13885529999999999</v>
      </c>
      <c r="U3154">
        <v>-0.1957855</v>
      </c>
      <c r="V3154">
        <v>1.485387E-2</v>
      </c>
      <c r="W3154">
        <v>-0.12275899999999999</v>
      </c>
      <c r="X3154">
        <v>0.99232540000000002</v>
      </c>
      <c r="Y3154">
        <v>6.4823210000000006E-2</v>
      </c>
      <c r="Z3154">
        <v>-1.810274E-3</v>
      </c>
      <c r="AA3154">
        <v>0.99789510000000003</v>
      </c>
      <c r="AB3154">
        <v>32</v>
      </c>
      <c r="AC3154">
        <v>23.936299999999999</v>
      </c>
      <c r="AD3154">
        <v>-1.1200486352229999</v>
      </c>
      <c r="AE3154">
        <v>-1.57909999999998</v>
      </c>
      <c r="AF3154">
        <v>1.57336446225205</v>
      </c>
      <c r="AG3154">
        <v>-1.1200486352229999</v>
      </c>
      <c r="AH3154">
        <v>23.884381966198202</v>
      </c>
      <c r="AI3154">
        <v>92.679097853272296</v>
      </c>
      <c r="AJ3154">
        <v>86.231131842792493</v>
      </c>
      <c r="AK3154">
        <v>23.9623389213907</v>
      </c>
      <c r="AL3154">
        <v>97.051358817617199</v>
      </c>
      <c r="AM3154">
        <v>89.142417895517795</v>
      </c>
      <c r="AN3154">
        <v>1.00000005451006</v>
      </c>
    </row>
    <row r="3155" spans="1:40" x14ac:dyDescent="0.25">
      <c r="A3155" t="str">
        <f>"20190303154532385"</f>
        <v>20190303154532385</v>
      </c>
      <c r="B3155" t="str">
        <f>"1551599132373882"</f>
        <v>1551599132373882</v>
      </c>
      <c r="C3155" t="s">
        <v>40</v>
      </c>
      <c r="D3155">
        <v>5.0578029999999998</v>
      </c>
      <c r="E3155">
        <v>0.52000959999999996</v>
      </c>
      <c r="F3155" t="s">
        <v>55</v>
      </c>
      <c r="G3155">
        <v>-337.19720000000001</v>
      </c>
      <c r="H3155" s="1">
        <v>2.3608490000000002E-6</v>
      </c>
      <c r="I3155">
        <v>213.0693</v>
      </c>
      <c r="J3155">
        <v>-360.8177</v>
      </c>
      <c r="K3155">
        <v>1.1200490000000001</v>
      </c>
      <c r="L3155">
        <v>214.64009999999999</v>
      </c>
      <c r="M3155">
        <v>0.99995160000000005</v>
      </c>
      <c r="N3155">
        <v>-9.8308600000000003E-3</v>
      </c>
      <c r="O3155">
        <v>-2.3537459999999999E-4</v>
      </c>
      <c r="P3155">
        <v>0.99103010000000002</v>
      </c>
      <c r="Q3155">
        <v>-0.13270750000000001</v>
      </c>
      <c r="R3155">
        <v>-1.5744999999999999E-2</v>
      </c>
      <c r="S3155">
        <v>3.00528</v>
      </c>
      <c r="T3155">
        <v>-0.1405865</v>
      </c>
      <c r="U3155">
        <v>-0.19718930000000001</v>
      </c>
      <c r="V3155">
        <v>1.5471250000000001E-2</v>
      </c>
      <c r="W3155">
        <v>-0.1229635</v>
      </c>
      <c r="X3155">
        <v>0.99229060000000002</v>
      </c>
      <c r="Y3155">
        <v>6.5152879999999996E-2</v>
      </c>
      <c r="Z3155">
        <v>-1.8335890000000001E-3</v>
      </c>
      <c r="AA3155">
        <v>0.99787360000000003</v>
      </c>
      <c r="AB3155">
        <v>32</v>
      </c>
      <c r="AC3155">
        <v>23.6205</v>
      </c>
      <c r="AD3155">
        <v>-1.120046639151</v>
      </c>
      <c r="AE3155">
        <v>-1.57079999999999</v>
      </c>
      <c r="AF3155">
        <v>1.56174389283999</v>
      </c>
      <c r="AG3155">
        <v>-1.120046639151</v>
      </c>
      <c r="AH3155">
        <v>23.568109383265298</v>
      </c>
      <c r="AI3155">
        <v>92.714922060239203</v>
      </c>
      <c r="AJ3155">
        <v>86.208830186280395</v>
      </c>
      <c r="AK3155">
        <v>23.646338582585098</v>
      </c>
      <c r="AL3155">
        <v>97.063165578616506</v>
      </c>
      <c r="AM3155">
        <v>89.106748053176901</v>
      </c>
      <c r="AN3155">
        <v>1.0000000083785801</v>
      </c>
    </row>
    <row r="3156" spans="1:40" x14ac:dyDescent="0.25">
      <c r="A3156" t="str">
        <f>"20190303154532408"</f>
        <v>20190303154532408</v>
      </c>
      <c r="B3156" t="str">
        <f>"1551599132404137"</f>
        <v>1551599132404137</v>
      </c>
      <c r="C3156" t="s">
        <v>40</v>
      </c>
      <c r="D3156">
        <v>5.0430950000000001</v>
      </c>
      <c r="E3156">
        <v>0.51996980000000004</v>
      </c>
      <c r="F3156" t="s">
        <v>55</v>
      </c>
      <c r="G3156">
        <v>-337.29590000000002</v>
      </c>
      <c r="H3156" s="1">
        <v>2.412724E-6</v>
      </c>
      <c r="I3156">
        <v>213.08340000000001</v>
      </c>
      <c r="J3156">
        <v>-360.4982</v>
      </c>
      <c r="K3156">
        <v>1.120042</v>
      </c>
      <c r="L3156">
        <v>214.63990000000001</v>
      </c>
      <c r="M3156">
        <v>0.99995149999999999</v>
      </c>
      <c r="N3156">
        <v>-9.8433219999999998E-3</v>
      </c>
      <c r="O3156">
        <v>-3.7312400000000001E-4</v>
      </c>
      <c r="P3156">
        <v>0.99088529999999997</v>
      </c>
      <c r="Q3156">
        <v>-0.13364909999999999</v>
      </c>
      <c r="R3156">
        <v>-1.6873010000000001E-2</v>
      </c>
      <c r="S3156">
        <v>3.0048219999999999</v>
      </c>
      <c r="T3156">
        <v>-0.14308129999999999</v>
      </c>
      <c r="U3156">
        <v>-0.19886780000000001</v>
      </c>
      <c r="V3156">
        <v>1.6462089999999999E-2</v>
      </c>
      <c r="W3156">
        <v>-0.1238944</v>
      </c>
      <c r="X3156">
        <v>0.99215880000000001</v>
      </c>
      <c r="Y3156">
        <v>6.557702E-2</v>
      </c>
      <c r="Z3156">
        <v>-1.86797E-3</v>
      </c>
      <c r="AA3156">
        <v>0.9978458</v>
      </c>
      <c r="AB3156">
        <v>32</v>
      </c>
      <c r="AC3156">
        <v>23.202299999999902</v>
      </c>
      <c r="AD3156">
        <v>-1.1200395872759901</v>
      </c>
      <c r="AE3156">
        <v>-1.55649999999999</v>
      </c>
      <c r="AF3156">
        <v>1.5442597299888901</v>
      </c>
      <c r="AG3156">
        <v>-1.1200395872759901</v>
      </c>
      <c r="AH3156">
        <v>23.1491772146722</v>
      </c>
      <c r="AI3156">
        <v>92.763880199906197</v>
      </c>
      <c r="AJ3156">
        <v>86.183507261109</v>
      </c>
      <c r="AK3156">
        <v>23.2276480192685</v>
      </c>
      <c r="AL3156">
        <v>97.116913599288694</v>
      </c>
      <c r="AM3156">
        <v>89.049424610345298</v>
      </c>
      <c r="AN3156">
        <v>0.99999995358798299</v>
      </c>
    </row>
    <row r="3157" spans="1:40" x14ac:dyDescent="0.25">
      <c r="A3157" t="str">
        <f>"20190303154532431"</f>
        <v>20190303154532431</v>
      </c>
      <c r="B3157" t="str">
        <f>"1551599132424633"</f>
        <v>1551599132424633</v>
      </c>
      <c r="C3157" t="s">
        <v>40</v>
      </c>
      <c r="D3157">
        <v>5.0711919999999999</v>
      </c>
      <c r="E3157">
        <v>0.51999129999999905</v>
      </c>
      <c r="F3157" t="s">
        <v>55</v>
      </c>
      <c r="G3157">
        <v>-337.55130000000003</v>
      </c>
      <c r="H3157" s="1">
        <v>2.5479849999999998E-6</v>
      </c>
      <c r="I3157">
        <v>213.09829999999999</v>
      </c>
      <c r="J3157">
        <v>-360.16079999999999</v>
      </c>
      <c r="K3157">
        <v>1.1200380000000001</v>
      </c>
      <c r="L3157">
        <v>214.6396</v>
      </c>
      <c r="M3157">
        <v>0.99995140000000005</v>
      </c>
      <c r="N3157">
        <v>-9.8563100000000001E-3</v>
      </c>
      <c r="O3157">
        <v>-5.1886320000000001E-4</v>
      </c>
      <c r="P3157">
        <v>0.99085699999999999</v>
      </c>
      <c r="Q3157">
        <v>-0.1338152</v>
      </c>
      <c r="R3157">
        <v>-1.721787E-2</v>
      </c>
      <c r="S3157">
        <v>3.0044249999999999</v>
      </c>
      <c r="T3157">
        <v>-0.1466459</v>
      </c>
      <c r="U3157">
        <v>-0.2018433</v>
      </c>
      <c r="V3157">
        <v>1.666248E-2</v>
      </c>
      <c r="W3157">
        <v>-0.1240479</v>
      </c>
      <c r="X3157">
        <v>0.99213629999999997</v>
      </c>
      <c r="Y3157">
        <v>6.6418870000000005E-2</v>
      </c>
      <c r="Z3157">
        <v>-1.925923E-3</v>
      </c>
      <c r="AA3157">
        <v>0.99778999999999995</v>
      </c>
      <c r="AB3157">
        <v>32</v>
      </c>
      <c r="AC3157">
        <v>22.609499999999901</v>
      </c>
      <c r="AD3157">
        <v>-1.12003545201499</v>
      </c>
      <c r="AE3157">
        <v>-1.5412999999999999</v>
      </c>
      <c r="AF3157">
        <v>1.5258408329600499</v>
      </c>
      <c r="AG3157">
        <v>-1.12003545201499</v>
      </c>
      <c r="AH3157">
        <v>22.555201393954</v>
      </c>
      <c r="AI3157">
        <v>92.836359248015995</v>
      </c>
      <c r="AJ3157">
        <v>86.129884175185893</v>
      </c>
      <c r="AK3157">
        <v>22.6344820922222</v>
      </c>
      <c r="AL3157">
        <v>97.125776694474297</v>
      </c>
      <c r="AM3157">
        <v>89.0378337769843</v>
      </c>
      <c r="AN3157">
        <v>0.99999997875592495</v>
      </c>
    </row>
    <row r="3158" spans="1:40" x14ac:dyDescent="0.25">
      <c r="A3158" t="str">
        <f>"20190303154532453"</f>
        <v>20190303154532453</v>
      </c>
      <c r="B3158" t="str">
        <f>"1551599132444153"</f>
        <v>1551599132444153</v>
      </c>
      <c r="C3158" t="s">
        <v>40</v>
      </c>
      <c r="D3158">
        <v>5.0076809999999998</v>
      </c>
      <c r="E3158">
        <v>0.5199935</v>
      </c>
      <c r="F3158" t="s">
        <v>55</v>
      </c>
      <c r="G3158">
        <v>-337.28460000000001</v>
      </c>
      <c r="H3158" s="1">
        <v>2.406241E-6</v>
      </c>
      <c r="I3158">
        <v>213.0949</v>
      </c>
      <c r="J3158">
        <v>-359.85090000000002</v>
      </c>
      <c r="K3158">
        <v>1.1200399999999999</v>
      </c>
      <c r="L3158">
        <v>214.63929999999999</v>
      </c>
      <c r="M3158">
        <v>0.99995109999999998</v>
      </c>
      <c r="N3158">
        <v>-9.8680950000000003E-3</v>
      </c>
      <c r="O3158">
        <v>-6.5255640000000002E-4</v>
      </c>
      <c r="P3158">
        <v>0.99073270000000002</v>
      </c>
      <c r="Q3158">
        <v>-0.1347563</v>
      </c>
      <c r="R3158">
        <v>-1.7012119999999999E-2</v>
      </c>
      <c r="S3158">
        <v>3.0042719999999998</v>
      </c>
      <c r="T3158">
        <v>-0.14709169999999999</v>
      </c>
      <c r="U3158">
        <v>-0.20286560000000001</v>
      </c>
      <c r="V3158">
        <v>1.6324180000000001E-2</v>
      </c>
      <c r="W3158">
        <v>-0.1249784</v>
      </c>
      <c r="X3158">
        <v>0.99202509999999999</v>
      </c>
      <c r="Y3158">
        <v>6.6626119999999997E-2</v>
      </c>
      <c r="Z3158">
        <v>-1.9320979999999999E-3</v>
      </c>
      <c r="AA3158">
        <v>0.9977762</v>
      </c>
      <c r="AB3158">
        <v>32</v>
      </c>
      <c r="AC3158">
        <v>22.566299999999998</v>
      </c>
      <c r="AD3158">
        <v>-1.1200375937589999</v>
      </c>
      <c r="AE3158">
        <v>-1.54439999999999</v>
      </c>
      <c r="AF3158">
        <v>1.52593163267455</v>
      </c>
      <c r="AG3158">
        <v>-1.1200375937589999</v>
      </c>
      <c r="AH3158">
        <v>22.512104057031099</v>
      </c>
      <c r="AI3158">
        <v>92.841760189249996</v>
      </c>
      <c r="AJ3158">
        <v>86.122267738227706</v>
      </c>
      <c r="AK3158">
        <v>22.591542236722699</v>
      </c>
      <c r="AL3158">
        <v>97.179508849864504</v>
      </c>
      <c r="AM3158">
        <v>89.057259528226197</v>
      </c>
      <c r="AN3158">
        <v>0.99999993917461905</v>
      </c>
    </row>
    <row r="3159" spans="1:40" x14ac:dyDescent="0.25">
      <c r="A3159" t="str">
        <f>"20190303154532475"</f>
        <v>20190303154532475</v>
      </c>
      <c r="B3159" t="str">
        <f>"1551599132463673"</f>
        <v>1551599132463673</v>
      </c>
      <c r="C3159" t="s">
        <v>40</v>
      </c>
      <c r="D3159">
        <v>5.0212209999999997</v>
      </c>
      <c r="E3159">
        <v>0.51996900000000001</v>
      </c>
      <c r="F3159" t="s">
        <v>55</v>
      </c>
      <c r="G3159">
        <v>-337.40519999999998</v>
      </c>
      <c r="H3159" s="1">
        <v>2.468947E-6</v>
      </c>
      <c r="I3159">
        <v>213.1284</v>
      </c>
      <c r="J3159">
        <v>-359.53089999999997</v>
      </c>
      <c r="K3159">
        <v>1.1200399999999999</v>
      </c>
      <c r="L3159">
        <v>214.63900000000001</v>
      </c>
      <c r="M3159">
        <v>0.99995089999999998</v>
      </c>
      <c r="N3159">
        <v>-9.8801870000000003E-3</v>
      </c>
      <c r="O3159">
        <v>-7.9066229999999905E-4</v>
      </c>
      <c r="P3159">
        <v>0.99067740000000004</v>
      </c>
      <c r="Q3159">
        <v>-0.1351984</v>
      </c>
      <c r="R3159">
        <v>-1.6738670000000001E-2</v>
      </c>
      <c r="S3159">
        <v>3.0042110000000002</v>
      </c>
      <c r="T3159">
        <v>-0.14991009999999999</v>
      </c>
      <c r="U3159">
        <v>-0.20222470000000001</v>
      </c>
      <c r="V3159">
        <v>1.5913610000000002E-2</v>
      </c>
      <c r="W3159">
        <v>-0.12540889999999999</v>
      </c>
      <c r="X3159">
        <v>0.99197749999999996</v>
      </c>
      <c r="Y3159">
        <v>6.6275029999999999E-2</v>
      </c>
      <c r="Z3159">
        <v>-1.9471099999999999E-3</v>
      </c>
      <c r="AA3159">
        <v>0.99779949999999995</v>
      </c>
      <c r="AB3159">
        <v>32</v>
      </c>
      <c r="AC3159">
        <v>22.125699999999899</v>
      </c>
      <c r="AD3159">
        <v>-1.120037531053</v>
      </c>
      <c r="AE3159">
        <v>-1.5106000000000099</v>
      </c>
      <c r="AF3159">
        <v>1.48930601394727</v>
      </c>
      <c r="AG3159">
        <v>-1.120037531053</v>
      </c>
      <c r="AH3159">
        <v>22.0705930827651</v>
      </c>
      <c r="AI3159">
        <v>92.898571126788895</v>
      </c>
      <c r="AJ3159">
        <v>86.139578811766498</v>
      </c>
      <c r="AK3159">
        <v>22.1491217771528</v>
      </c>
      <c r="AL3159">
        <v>97.204369861458105</v>
      </c>
      <c r="AM3159">
        <v>89.080922214057793</v>
      </c>
      <c r="AN3159">
        <v>0.99999999784434601</v>
      </c>
    </row>
    <row r="3160" spans="1:40" x14ac:dyDescent="0.25">
      <c r="A3160" t="str">
        <f>"20190303154532499"</f>
        <v>20190303154532499</v>
      </c>
      <c r="B3160" t="str">
        <f>"1551599132493929"</f>
        <v>1551599132493929</v>
      </c>
      <c r="C3160" t="s">
        <v>40</v>
      </c>
      <c r="D3160">
        <v>5.0389410000000003</v>
      </c>
      <c r="E3160">
        <v>0.52001399999999998</v>
      </c>
      <c r="F3160" t="s">
        <v>55</v>
      </c>
      <c r="G3160">
        <v>-337.25779999999997</v>
      </c>
      <c r="H3160" s="1">
        <v>2.3897909999999999E-6</v>
      </c>
      <c r="I3160">
        <v>213.1439</v>
      </c>
      <c r="J3160">
        <v>-359.19389999999999</v>
      </c>
      <c r="K3160">
        <v>1.120042</v>
      </c>
      <c r="L3160">
        <v>214.6386</v>
      </c>
      <c r="M3160">
        <v>0.99995069999999997</v>
      </c>
      <c r="N3160">
        <v>-9.8928939999999993E-3</v>
      </c>
      <c r="O3160">
        <v>-9.3616230000000003E-4</v>
      </c>
      <c r="P3160">
        <v>0.9906625</v>
      </c>
      <c r="Q3160">
        <v>-0.13536999999999999</v>
      </c>
      <c r="R3160">
        <v>-1.6211099999999999E-2</v>
      </c>
      <c r="S3160">
        <v>3.0042110000000002</v>
      </c>
      <c r="T3160">
        <v>-0.1510715</v>
      </c>
      <c r="U3160">
        <v>-0.20166020000000001</v>
      </c>
      <c r="V3160">
        <v>1.5241889999999999E-2</v>
      </c>
      <c r="W3160">
        <v>-0.12556780000000001</v>
      </c>
      <c r="X3160">
        <v>0.99196799999999996</v>
      </c>
      <c r="Y3160">
        <v>6.5942379999999995E-2</v>
      </c>
      <c r="Z3160">
        <v>-1.944157E-3</v>
      </c>
      <c r="AA3160">
        <v>0.99782150000000003</v>
      </c>
      <c r="AB3160">
        <v>32</v>
      </c>
      <c r="AC3160">
        <v>21.9361</v>
      </c>
      <c r="AD3160">
        <v>-1.120039610209</v>
      </c>
      <c r="AE3160">
        <v>-1.4946999999999899</v>
      </c>
      <c r="AF3160">
        <v>1.4703470511910399</v>
      </c>
      <c r="AG3160">
        <v>-1.120039610209</v>
      </c>
      <c r="AH3160">
        <v>21.880709446437901</v>
      </c>
      <c r="AI3160">
        <v>92.923742219578003</v>
      </c>
      <c r="AJ3160">
        <v>86.155599177357303</v>
      </c>
      <c r="AK3160">
        <v>21.958639644996602</v>
      </c>
      <c r="AL3160">
        <v>97.213546322411204</v>
      </c>
      <c r="AM3160">
        <v>89.119702195729701</v>
      </c>
      <c r="AN3160">
        <v>1.0000000503158</v>
      </c>
    </row>
    <row r="3161" spans="1:40" x14ac:dyDescent="0.25">
      <c r="A3161" t="str">
        <f>"20190303154532543"</f>
        <v>20190303154532543</v>
      </c>
      <c r="B3161" t="str">
        <f>"1551599132533945"</f>
        <v>1551599132533945</v>
      </c>
      <c r="C3161" t="s">
        <v>40</v>
      </c>
      <c r="D3161">
        <v>5.008343</v>
      </c>
      <c r="E3161">
        <v>0.52004099999999998</v>
      </c>
      <c r="F3161" t="s">
        <v>55</v>
      </c>
      <c r="G3161">
        <v>-336.95490000000001</v>
      </c>
      <c r="H3161" s="1">
        <v>2.2282620000000001E-6</v>
      </c>
      <c r="I3161">
        <v>213.15170000000001</v>
      </c>
      <c r="J3161">
        <v>-358.56889999999999</v>
      </c>
      <c r="K3161">
        <v>1.1200300000000001</v>
      </c>
      <c r="L3161">
        <v>214.6377</v>
      </c>
      <c r="M3161">
        <v>0.99995009999999995</v>
      </c>
      <c r="N3161">
        <v>-9.9163889999999994E-3</v>
      </c>
      <c r="O3161">
        <v>-1.2054570000000001E-3</v>
      </c>
      <c r="P3161">
        <v>0.99059050000000004</v>
      </c>
      <c r="Q3161">
        <v>-0.13586419999999999</v>
      </c>
      <c r="R3161">
        <v>-1.6473419999999999E-2</v>
      </c>
      <c r="S3161">
        <v>3.0043329999999999</v>
      </c>
      <c r="T3161">
        <v>-0.15130940000000001</v>
      </c>
      <c r="U3161">
        <v>-0.20086670000000001</v>
      </c>
      <c r="V3161">
        <v>1.523707E-2</v>
      </c>
      <c r="W3161">
        <v>-0.1260394</v>
      </c>
      <c r="X3161">
        <v>0.99190820000000002</v>
      </c>
      <c r="Y3161">
        <v>6.5409289999999995E-2</v>
      </c>
      <c r="Z3161">
        <v>-1.9205089999999999E-3</v>
      </c>
      <c r="AA3161">
        <v>0.99785670000000004</v>
      </c>
      <c r="AB3161">
        <v>32</v>
      </c>
      <c r="AC3161">
        <v>21.613999999999901</v>
      </c>
      <c r="AD3161">
        <v>-1.1200277717379901</v>
      </c>
      <c r="AE3161">
        <v>-1.48599999999998</v>
      </c>
      <c r="AF3161">
        <v>1.45605140056177</v>
      </c>
      <c r="AG3161">
        <v>-1.1200277717379901</v>
      </c>
      <c r="AH3161">
        <v>21.558158648820999</v>
      </c>
      <c r="AI3161">
        <v>92.967310015816395</v>
      </c>
      <c r="AJ3161">
        <v>86.136075799687504</v>
      </c>
      <c r="AK3161">
        <v>21.6362832348414</v>
      </c>
      <c r="AL3161">
        <v>97.2407838590523</v>
      </c>
      <c r="AM3161">
        <v>89.119927485691704</v>
      </c>
      <c r="AN3161">
        <v>0.99999998794089195</v>
      </c>
    </row>
    <row r="3162" spans="1:40" x14ac:dyDescent="0.25">
      <c r="A3162" t="str">
        <f>"20190303154532564"</f>
        <v>20190303154532564</v>
      </c>
      <c r="B3162" t="str">
        <f>"1551599132554441"</f>
        <v>1551599132554441</v>
      </c>
      <c r="C3162" t="s">
        <v>40</v>
      </c>
      <c r="D3162">
        <v>4.9972620000000001</v>
      </c>
      <c r="E3162">
        <v>0.52009640000000001</v>
      </c>
      <c r="F3162" t="s">
        <v>55</v>
      </c>
      <c r="G3162">
        <v>-336.37810000000002</v>
      </c>
      <c r="H3162" s="1">
        <v>1.9213839999999999E-6</v>
      </c>
      <c r="I3162">
        <v>213.15010000000001</v>
      </c>
      <c r="J3162">
        <v>-358.25839999999999</v>
      </c>
      <c r="K3162">
        <v>1.120031</v>
      </c>
      <c r="L3162">
        <v>214.63720000000001</v>
      </c>
      <c r="M3162">
        <v>0.99994989999999995</v>
      </c>
      <c r="N3162">
        <v>-9.9282080000000009E-3</v>
      </c>
      <c r="O3162">
        <v>-1.33927E-3</v>
      </c>
      <c r="P3162">
        <v>0.99064770000000002</v>
      </c>
      <c r="Q3162">
        <v>-0.135379799999999</v>
      </c>
      <c r="R3162">
        <v>-1.702304E-2</v>
      </c>
      <c r="S3162">
        <v>3.0043950000000001</v>
      </c>
      <c r="T3162">
        <v>-0.15163960000000001</v>
      </c>
      <c r="U3162">
        <v>-0.20140079999999999</v>
      </c>
      <c r="V3162">
        <v>1.5654069999999999E-2</v>
      </c>
      <c r="W3162">
        <v>-0.12554280000000001</v>
      </c>
      <c r="X3162">
        <v>0.99196470000000003</v>
      </c>
      <c r="Y3162">
        <v>6.5450649999999999E-2</v>
      </c>
      <c r="Z3162">
        <v>-1.9201559999999999E-3</v>
      </c>
      <c r="AA3162">
        <v>0.99785389999999996</v>
      </c>
      <c r="AB3162">
        <v>32</v>
      </c>
      <c r="AC3162">
        <v>21.880299999999899</v>
      </c>
      <c r="AD3162">
        <v>-1.1200290786159901</v>
      </c>
      <c r="AE3162">
        <v>-1.4870999999999901</v>
      </c>
      <c r="AF3162">
        <v>1.45400118472423</v>
      </c>
      <c r="AG3162">
        <v>-1.1200290786159901</v>
      </c>
      <c r="AH3162">
        <v>21.825345968883202</v>
      </c>
      <c r="AI3162">
        <v>92.931231078924299</v>
      </c>
      <c r="AJ3162">
        <v>86.188595937418299</v>
      </c>
      <c r="AK3162">
        <v>21.902381405764299</v>
      </c>
      <c r="AL3162">
        <v>97.212102828941397</v>
      </c>
      <c r="AM3162">
        <v>89.095897565851999</v>
      </c>
      <c r="AN3162">
        <v>1.00000000529274</v>
      </c>
    </row>
    <row r="3163" spans="1:40" x14ac:dyDescent="0.25">
      <c r="A3163" t="str">
        <f>"20190303154532585"</f>
        <v>20190303154532585</v>
      </c>
      <c r="B3163" t="str">
        <f>"1551599132573961"</f>
        <v>1551599132573961</v>
      </c>
      <c r="C3163" t="s">
        <v>40</v>
      </c>
      <c r="D3163">
        <v>5.0087229999999998</v>
      </c>
      <c r="E3163">
        <v>0.52007289999999995</v>
      </c>
      <c r="F3163" t="s">
        <v>55</v>
      </c>
      <c r="G3163">
        <v>-335.798</v>
      </c>
      <c r="H3163" s="1">
        <v>1.614279E-6</v>
      </c>
      <c r="I3163">
        <v>213.1147</v>
      </c>
      <c r="J3163">
        <v>-357.94720000000001</v>
      </c>
      <c r="K3163">
        <v>1.120028</v>
      </c>
      <c r="L3163">
        <v>214.63659999999999</v>
      </c>
      <c r="M3163">
        <v>0.99994959999999999</v>
      </c>
      <c r="N3163">
        <v>-9.9398119999999993E-3</v>
      </c>
      <c r="O3163">
        <v>-1.47332E-3</v>
      </c>
      <c r="P3163">
        <v>0.9906007</v>
      </c>
      <c r="Q3163">
        <v>-0.13567589999999999</v>
      </c>
      <c r="R3163">
        <v>-1.7395649999999999E-2</v>
      </c>
      <c r="S3163">
        <v>3.0043639999999998</v>
      </c>
      <c r="T3163">
        <v>-0.14981839999999999</v>
      </c>
      <c r="U3163">
        <v>-0.20365910000000001</v>
      </c>
      <c r="V3163">
        <v>1.5893890000000001E-2</v>
      </c>
      <c r="W3163">
        <v>-0.125828</v>
      </c>
      <c r="X3163">
        <v>0.99192480000000005</v>
      </c>
      <c r="Y3163">
        <v>6.6065509999999994E-2</v>
      </c>
      <c r="Z3163">
        <v>-1.9145849999999999E-3</v>
      </c>
      <c r="AA3163">
        <v>0.99781350000000002</v>
      </c>
      <c r="AB3163">
        <v>32</v>
      </c>
      <c r="AC3163">
        <v>22.1492</v>
      </c>
      <c r="AD3163">
        <v>-1.120026385721</v>
      </c>
      <c r="AE3163">
        <v>-1.52189999999998</v>
      </c>
      <c r="AF3163">
        <v>1.4854832631041499</v>
      </c>
      <c r="AG3163">
        <v>-1.120026385721</v>
      </c>
      <c r="AH3163">
        <v>22.095185155768501</v>
      </c>
      <c r="AI3163">
        <v>92.895369816602795</v>
      </c>
      <c r="AJ3163">
        <v>86.153730699905196</v>
      </c>
      <c r="AK3163">
        <v>22.173369764141999</v>
      </c>
      <c r="AL3163">
        <v>97.228573838877196</v>
      </c>
      <c r="AM3163">
        <v>89.082012170984299</v>
      </c>
      <c r="AN3163">
        <v>1.0000000550891801</v>
      </c>
    </row>
    <row r="3164" spans="1:40" x14ac:dyDescent="0.25">
      <c r="A3164" t="str">
        <f>"20190303154532608"</f>
        <v>20190303154532608</v>
      </c>
      <c r="B3164" t="str">
        <f>"1551599132604425"</f>
        <v>1551599132604425</v>
      </c>
      <c r="C3164" t="s">
        <v>40</v>
      </c>
      <c r="D3164">
        <v>4.9840229999999996</v>
      </c>
      <c r="E3164">
        <v>0.4987994</v>
      </c>
      <c r="F3164" t="s">
        <v>55</v>
      </c>
      <c r="G3164">
        <v>-335.58969999999999</v>
      </c>
      <c r="H3164" s="1">
        <v>1.503388E-6</v>
      </c>
      <c r="I3164">
        <v>213.1146</v>
      </c>
      <c r="J3164">
        <v>-357.61610000000002</v>
      </c>
      <c r="K3164">
        <v>1.120023</v>
      </c>
      <c r="L3164">
        <v>214.636</v>
      </c>
      <c r="M3164">
        <v>0.99994919999999998</v>
      </c>
      <c r="N3164">
        <v>-9.9519940000000005E-3</v>
      </c>
      <c r="O3164">
        <v>-1.6160739999999999E-3</v>
      </c>
      <c r="P3164">
        <v>0.99062790000000001</v>
      </c>
      <c r="Q3164">
        <v>-0.13547960000000001</v>
      </c>
      <c r="R3164">
        <v>-1.7366019999999999E-2</v>
      </c>
      <c r="S3164">
        <v>3.0042420000000001</v>
      </c>
      <c r="T3164">
        <v>-0.150501</v>
      </c>
      <c r="U3164">
        <v>-0.20451349999999999</v>
      </c>
      <c r="V3164">
        <v>1.5722739999999999E-2</v>
      </c>
      <c r="W3164">
        <v>-0.12561919999999999</v>
      </c>
      <c r="X3164">
        <v>0.99195390000000006</v>
      </c>
      <c r="Y3164">
        <v>6.6207390000000005E-2</v>
      </c>
      <c r="Z3164">
        <v>-1.9207440000000001E-3</v>
      </c>
      <c r="AA3164">
        <v>0.99780400000000002</v>
      </c>
      <c r="AB3164">
        <v>32</v>
      </c>
      <c r="AC3164">
        <v>22.026399999999999</v>
      </c>
      <c r="AD3164">
        <v>-1.1200214966119999</v>
      </c>
      <c r="AE3164">
        <v>-1.5214000000000001</v>
      </c>
      <c r="AF3164">
        <v>1.48198629144966</v>
      </c>
      <c r="AG3164">
        <v>-1.1200214966119999</v>
      </c>
      <c r="AH3164">
        <v>21.9722876943122</v>
      </c>
      <c r="AI3164">
        <v>92.911481737397594</v>
      </c>
      <c r="AJ3164">
        <v>86.141359944900501</v>
      </c>
      <c r="AK3164">
        <v>22.050672507715898</v>
      </c>
      <c r="AL3164">
        <v>97.216515457956902</v>
      </c>
      <c r="AM3164">
        <v>89.091922300517197</v>
      </c>
      <c r="AN3164">
        <v>0.999999963843478</v>
      </c>
    </row>
    <row r="3165" spans="1:40" x14ac:dyDescent="0.25">
      <c r="A3165" t="str">
        <f>"20190303154532631"</f>
        <v>20190303154532631</v>
      </c>
      <c r="B3165" t="str">
        <f>"1551599132623945"</f>
        <v>1551599132623945</v>
      </c>
      <c r="C3165" t="s">
        <v>40</v>
      </c>
      <c r="D3165">
        <v>4.960299</v>
      </c>
      <c r="E3165">
        <v>0.49668109999999999</v>
      </c>
      <c r="F3165" t="s">
        <v>55</v>
      </c>
      <c r="G3165">
        <v>-341.60739999999998</v>
      </c>
      <c r="H3165" s="1">
        <v>-6.8143389999999999E-7</v>
      </c>
      <c r="I3165">
        <v>214.44200000000001</v>
      </c>
      <c r="J3165">
        <v>-357.28410000000002</v>
      </c>
      <c r="K3165">
        <v>1.120023</v>
      </c>
      <c r="L3165">
        <v>214.6353</v>
      </c>
      <c r="M3165">
        <v>0.99994890000000003</v>
      </c>
      <c r="N3165">
        <v>-9.9641590000000002E-3</v>
      </c>
      <c r="O3165">
        <v>-1.7593070000000001E-3</v>
      </c>
      <c r="P3165">
        <v>0.99063749999999995</v>
      </c>
      <c r="Q3165">
        <v>-0.13542680000000001</v>
      </c>
      <c r="R3165">
        <v>-1.7236419999999999E-2</v>
      </c>
      <c r="S3165">
        <v>2.9990540000000001</v>
      </c>
      <c r="T3165">
        <v>-0.2098237</v>
      </c>
      <c r="U3165">
        <v>-3.6331179999999998E-2</v>
      </c>
      <c r="V3165">
        <v>1.545128E-2</v>
      </c>
      <c r="W3165">
        <v>-0.1255541</v>
      </c>
      <c r="X3165">
        <v>0.99196640000000003</v>
      </c>
      <c r="Y3165">
        <v>1.032836E-2</v>
      </c>
      <c r="Z3165">
        <v>-3.0696009999999998E-4</v>
      </c>
      <c r="AA3165">
        <v>0.99994660000000002</v>
      </c>
      <c r="AB3165">
        <v>32</v>
      </c>
      <c r="AC3165">
        <v>15.6767</v>
      </c>
      <c r="AD3165">
        <v>-1.12002368143389</v>
      </c>
      <c r="AE3165">
        <v>-0.19329999999999301</v>
      </c>
      <c r="AF3165">
        <v>0.164876736365453</v>
      </c>
      <c r="AG3165">
        <v>-1.12002368143389</v>
      </c>
      <c r="AH3165">
        <v>15.597412422132701</v>
      </c>
      <c r="AI3165">
        <v>94.107033967731297</v>
      </c>
      <c r="AJ3165">
        <v>89.394361767330196</v>
      </c>
      <c r="AK3165">
        <v>15.6384433896493</v>
      </c>
      <c r="AL3165">
        <v>97.212755789490899</v>
      </c>
      <c r="AM3165">
        <v>89.107609345937405</v>
      </c>
      <c r="AN3165">
        <v>0.99999995640470296</v>
      </c>
    </row>
    <row r="3166" spans="1:40" x14ac:dyDescent="0.25">
      <c r="A3166" t="str">
        <f>"20190303154532652"</f>
        <v>20190303154532652</v>
      </c>
      <c r="B3166" t="str">
        <f>"1551599132644441"</f>
        <v>1551599132644441</v>
      </c>
      <c r="C3166" t="s">
        <v>40</v>
      </c>
      <c r="D3166">
        <v>4.9582649999999999</v>
      </c>
      <c r="E3166">
        <v>0.49595850000000002</v>
      </c>
      <c r="F3166" t="s">
        <v>55</v>
      </c>
      <c r="G3166">
        <v>-341.51400000000001</v>
      </c>
      <c r="H3166" s="1">
        <v>-7.3111019999999897E-7</v>
      </c>
      <c r="I3166">
        <v>214.53469999999999</v>
      </c>
      <c r="J3166">
        <v>-356.98180000000002</v>
      </c>
      <c r="K3166">
        <v>1.120025</v>
      </c>
      <c r="L3166">
        <v>214.63460000000001</v>
      </c>
      <c r="M3166">
        <v>0.99994850000000002</v>
      </c>
      <c r="N3166">
        <v>-9.9752279999999992E-3</v>
      </c>
      <c r="O3166">
        <v>-1.889422E-3</v>
      </c>
      <c r="P3166">
        <v>0.9906549</v>
      </c>
      <c r="Q3166">
        <v>-0.13533919999999999</v>
      </c>
      <c r="R3166">
        <v>-1.6918490000000001E-2</v>
      </c>
      <c r="S3166">
        <v>2.998901</v>
      </c>
      <c r="T3166">
        <v>-0.21298729999999999</v>
      </c>
      <c r="U3166">
        <v>-1.9134519999999999E-2</v>
      </c>
      <c r="V3166">
        <v>1.500429E-2</v>
      </c>
      <c r="W3166">
        <v>-0.12545519999999999</v>
      </c>
      <c r="X3166">
        <v>0.99198580000000003</v>
      </c>
      <c r="Y3166">
        <v>4.4815310000000004E-3</v>
      </c>
      <c r="Z3166" s="1">
        <v>-6.6134000000000001E-5</v>
      </c>
      <c r="AA3166">
        <v>0.99998989999999999</v>
      </c>
      <c r="AB3166">
        <v>32</v>
      </c>
      <c r="AC3166">
        <v>15.4678</v>
      </c>
      <c r="AD3166">
        <v>-1.1200257311102</v>
      </c>
      <c r="AE3166">
        <v>-9.9900000000019404E-2</v>
      </c>
      <c r="AF3166">
        <v>7.0304559455984794E-2</v>
      </c>
      <c r="AG3166">
        <v>-1.1200257311102</v>
      </c>
      <c r="AH3166">
        <v>15.3872854399691</v>
      </c>
      <c r="AI3166">
        <v>94.163119344788896</v>
      </c>
      <c r="AJ3166">
        <v>89.738217210363999</v>
      </c>
      <c r="AK3166">
        <v>15.428154574689501</v>
      </c>
      <c r="AL3166">
        <v>97.207043891282694</v>
      </c>
      <c r="AM3166">
        <v>89.133438259993596</v>
      </c>
      <c r="AN3166">
        <v>0.99999998166354198</v>
      </c>
    </row>
    <row r="3167" spans="1:40" x14ac:dyDescent="0.25">
      <c r="A3167" t="str">
        <f>"20190303154532675"</f>
        <v>20190303154532675</v>
      </c>
      <c r="B3167" t="str">
        <f>"1551599132663961"</f>
        <v>1551599132663961</v>
      </c>
      <c r="C3167" t="s">
        <v>40</v>
      </c>
      <c r="D3167">
        <v>4.9583870000000001</v>
      </c>
      <c r="E3167">
        <v>0.49522699999999997</v>
      </c>
      <c r="F3167" t="s">
        <v>55</v>
      </c>
      <c r="G3167">
        <v>-341.15929999999997</v>
      </c>
      <c r="H3167" s="1">
        <v>-9.1985290000000001E-7</v>
      </c>
      <c r="I3167">
        <v>214.56800000000001</v>
      </c>
      <c r="J3167">
        <v>-356.64980000000003</v>
      </c>
      <c r="K3167">
        <v>1.120026</v>
      </c>
      <c r="L3167">
        <v>214.63390000000001</v>
      </c>
      <c r="M3167">
        <v>0.99994810000000001</v>
      </c>
      <c r="N3167">
        <v>-9.9873710000000001E-3</v>
      </c>
      <c r="O3167">
        <v>-2.0322980000000001E-3</v>
      </c>
      <c r="P3167">
        <v>0.9907011</v>
      </c>
      <c r="Q3167">
        <v>-0.13497089999999901</v>
      </c>
      <c r="R3167">
        <v>-1.715906E-2</v>
      </c>
      <c r="S3167">
        <v>2.9991150000000002</v>
      </c>
      <c r="T3167">
        <v>-0.2122983</v>
      </c>
      <c r="U3167">
        <v>-1.2634279999999999E-2</v>
      </c>
      <c r="V3167">
        <v>1.510333E-2</v>
      </c>
      <c r="W3167">
        <v>-0.12507449999999901</v>
      </c>
      <c r="X3167">
        <v>0.99203240000000004</v>
      </c>
      <c r="Y3167">
        <v>2.1777720000000001E-3</v>
      </c>
      <c r="Z3167" s="1">
        <v>3.5530390000000001E-5</v>
      </c>
      <c r="AA3167">
        <v>0.99999760000000004</v>
      </c>
      <c r="AB3167">
        <v>32</v>
      </c>
      <c r="AC3167">
        <v>15.490500000000001</v>
      </c>
      <c r="AD3167">
        <v>-1.12002691985289</v>
      </c>
      <c r="AE3167">
        <v>-6.5900000000027603E-2</v>
      </c>
      <c r="AF3167">
        <v>3.4237993719295701E-2</v>
      </c>
      <c r="AG3167">
        <v>-1.12002691985289</v>
      </c>
      <c r="AH3167">
        <v>15.4100414710342</v>
      </c>
      <c r="AI3167">
        <v>94.157030637752499</v>
      </c>
      <c r="AJ3167">
        <v>89.872700581960203</v>
      </c>
      <c r="AK3167">
        <v>15.450728483809501</v>
      </c>
      <c r="AL3167">
        <v>97.185057995405501</v>
      </c>
      <c r="AM3167">
        <v>89.127760126916598</v>
      </c>
      <c r="AN3167">
        <v>1.0000000118885399</v>
      </c>
    </row>
    <row r="3168" spans="1:40" x14ac:dyDescent="0.25">
      <c r="A3168" t="str">
        <f>"20190303154532699"</f>
        <v>20190303154532699</v>
      </c>
      <c r="B3168" t="str">
        <f>"1551599132694217"</f>
        <v>1551599132694217</v>
      </c>
      <c r="C3168" t="s">
        <v>40</v>
      </c>
      <c r="D3168">
        <v>4.9456129999999998</v>
      </c>
      <c r="E3168">
        <v>0.49459540000000002</v>
      </c>
      <c r="F3168" t="s">
        <v>55</v>
      </c>
      <c r="G3168">
        <v>-340.80169999999998</v>
      </c>
      <c r="H3168" s="1">
        <v>-1.1101519999999999E-6</v>
      </c>
      <c r="I3168">
        <v>214.59479999999999</v>
      </c>
      <c r="J3168">
        <v>-356.30799999999999</v>
      </c>
      <c r="K3168">
        <v>1.1200460000000001</v>
      </c>
      <c r="L3168">
        <v>214.63300000000001</v>
      </c>
      <c r="M3168">
        <v>0.99994700000000003</v>
      </c>
      <c r="N3168">
        <v>-1.005872E-2</v>
      </c>
      <c r="O3168">
        <v>-2.1794150000000001E-3</v>
      </c>
      <c r="P3168">
        <v>0.99072720000000003</v>
      </c>
      <c r="Q3168">
        <v>-0.13477790000000001</v>
      </c>
      <c r="R3168">
        <v>-1.715765E-2</v>
      </c>
      <c r="S3168">
        <v>2.9991759999999998</v>
      </c>
      <c r="T3168">
        <v>-0.2119598</v>
      </c>
      <c r="U3168">
        <v>-7.4005130000000001E-3</v>
      </c>
      <c r="V3168">
        <v>1.4956000000000001E-2</v>
      </c>
      <c r="W3168">
        <v>-0.1248104</v>
      </c>
      <c r="X3168">
        <v>0.9920679</v>
      </c>
      <c r="Y3168">
        <v>2.9115139999999999E-4</v>
      </c>
      <c r="Z3168">
        <v>1.201918E-4</v>
      </c>
      <c r="AA3168">
        <v>0.99999990000000005</v>
      </c>
      <c r="AB3168">
        <v>32</v>
      </c>
      <c r="AC3168">
        <v>15.5063</v>
      </c>
      <c r="AD3168">
        <v>-1.120047110152</v>
      </c>
      <c r="AE3168">
        <v>-3.8199999999989097E-2</v>
      </c>
      <c r="AF3168">
        <v>4.3806797847008496E-3</v>
      </c>
      <c r="AG3168">
        <v>-1.120047110152</v>
      </c>
      <c r="AH3168">
        <v>15.425863629530699</v>
      </c>
      <c r="AI3168">
        <v>94.152866382545</v>
      </c>
      <c r="AJ3168">
        <v>89.983728985141894</v>
      </c>
      <c r="AK3168">
        <v>15.4664732061383</v>
      </c>
      <c r="AL3168">
        <v>97.169806626258506</v>
      </c>
      <c r="AM3168">
        <v>89.136298262169802</v>
      </c>
      <c r="AN3168">
        <v>1.0000000180472799</v>
      </c>
    </row>
    <row r="3169" spans="1:40" x14ac:dyDescent="0.25">
      <c r="A3169" t="str">
        <f>"20190303154532722"</f>
        <v>20190303154532722</v>
      </c>
      <c r="B3169" t="str">
        <f>"1551599132713737"</f>
        <v>1551599132713737</v>
      </c>
      <c r="C3169" t="s">
        <v>40</v>
      </c>
      <c r="D3169">
        <v>5.0421199999999997</v>
      </c>
      <c r="E3169">
        <v>0.49436770000000002</v>
      </c>
      <c r="F3169" t="s">
        <v>55</v>
      </c>
      <c r="G3169">
        <v>-340.47390000000001</v>
      </c>
      <c r="H3169" s="1">
        <v>-1.2845949999999901E-6</v>
      </c>
      <c r="I3169">
        <v>214.6207</v>
      </c>
      <c r="J3169">
        <v>-355.97660000000002</v>
      </c>
      <c r="K3169">
        <v>1.1201049999999999</v>
      </c>
      <c r="L3169">
        <v>214.63220000000001</v>
      </c>
      <c r="M3169">
        <v>0.99994459999999996</v>
      </c>
      <c r="N3169">
        <v>-1.0269189999999999E-2</v>
      </c>
      <c r="O3169">
        <v>-2.32059E-3</v>
      </c>
      <c r="P3169">
        <v>0.99083650000000001</v>
      </c>
      <c r="Q3169">
        <v>-0.13396229999999901</v>
      </c>
      <c r="R3169">
        <v>-1.7247200000000001E-2</v>
      </c>
      <c r="S3169">
        <v>2.9991759999999998</v>
      </c>
      <c r="T3169">
        <v>-0.21215139999999999</v>
      </c>
      <c r="U3169">
        <v>-2.3345950000000001E-3</v>
      </c>
      <c r="V3169">
        <v>1.490551E-2</v>
      </c>
      <c r="W3169">
        <v>-0.1237849</v>
      </c>
      <c r="X3169">
        <v>0.99219710000000005</v>
      </c>
      <c r="Y3169">
        <v>-1.533675E-3</v>
      </c>
      <c r="Z3169">
        <v>2.022018E-4</v>
      </c>
      <c r="AA3169">
        <v>0.99999879999999997</v>
      </c>
      <c r="AB3169">
        <v>32</v>
      </c>
      <c r="AC3169">
        <v>15.502700000000001</v>
      </c>
      <c r="AD3169">
        <v>-1.1201062845949901</v>
      </c>
      <c r="AE3169">
        <v>-1.15000000000122E-2</v>
      </c>
      <c r="AF3169">
        <v>-2.4350220008110299E-2</v>
      </c>
      <c r="AG3169">
        <v>-1.1201062845949901</v>
      </c>
      <c r="AH3169">
        <v>15.422175063040701</v>
      </c>
      <c r="AI3169">
        <v>94.154069855186506</v>
      </c>
      <c r="AJ3169">
        <v>90.090464780202296</v>
      </c>
      <c r="AK3169">
        <v>15.462817165609801</v>
      </c>
      <c r="AL3169">
        <v>97.110590849467698</v>
      </c>
      <c r="AM3169">
        <v>89.139325667044105</v>
      </c>
      <c r="AN3169">
        <v>0.99999998047238903</v>
      </c>
    </row>
    <row r="3170" spans="1:40" x14ac:dyDescent="0.25">
      <c r="A3170" t="str">
        <f>"20190303154532743"</f>
        <v>20190303154532743</v>
      </c>
      <c r="B3170" t="str">
        <f>"1551599132734233"</f>
        <v>1551599132734233</v>
      </c>
      <c r="C3170" t="s">
        <v>40</v>
      </c>
      <c r="D3170">
        <v>4.9724919999999999</v>
      </c>
      <c r="E3170">
        <v>0.49410670000000001</v>
      </c>
      <c r="F3170" t="s">
        <v>55</v>
      </c>
      <c r="G3170">
        <v>-339.96120000000002</v>
      </c>
      <c r="H3170" s="1">
        <v>-1.557457E-6</v>
      </c>
      <c r="I3170">
        <v>214.6266</v>
      </c>
      <c r="J3170">
        <v>-355.6651</v>
      </c>
      <c r="K3170">
        <v>1.12009</v>
      </c>
      <c r="L3170">
        <v>214.63130000000001</v>
      </c>
      <c r="M3170">
        <v>0.99994439999999996</v>
      </c>
      <c r="N3170">
        <v>-1.025124E-2</v>
      </c>
      <c r="O3170">
        <v>-2.4534180000000002E-3</v>
      </c>
      <c r="P3170">
        <v>0.99090560000000005</v>
      </c>
      <c r="Q3170">
        <v>-0.13338559999999999</v>
      </c>
      <c r="R3170">
        <v>-1.773688E-2</v>
      </c>
      <c r="S3170">
        <v>2.9993590000000001</v>
      </c>
      <c r="T3170">
        <v>-0.20977229999999999</v>
      </c>
      <c r="U3170">
        <v>-1.037598E-3</v>
      </c>
      <c r="V3170">
        <v>1.526341E-2</v>
      </c>
      <c r="W3170">
        <v>-0.123225399999999</v>
      </c>
      <c r="X3170">
        <v>0.99226130000000001</v>
      </c>
      <c r="Y3170">
        <v>-2.0973680000000001E-3</v>
      </c>
      <c r="Z3170">
        <v>2.302754E-4</v>
      </c>
      <c r="AA3170">
        <v>0.99999780000000005</v>
      </c>
      <c r="AB3170">
        <v>32</v>
      </c>
      <c r="AC3170">
        <v>15.7038999999999</v>
      </c>
      <c r="AD3170">
        <v>-1.1200915574570001</v>
      </c>
      <c r="AE3170">
        <v>-4.7000000000139101E-3</v>
      </c>
      <c r="AF3170">
        <v>-3.3659035956887601E-2</v>
      </c>
      <c r="AG3170">
        <v>-1.1200915574570001</v>
      </c>
      <c r="AH3170">
        <v>15.624377522787301</v>
      </c>
      <c r="AI3170">
        <v>94.100436528468094</v>
      </c>
      <c r="AJ3170">
        <v>90.123430051320497</v>
      </c>
      <c r="AK3170">
        <v>15.664511195768901</v>
      </c>
      <c r="AL3170">
        <v>97.078286544870906</v>
      </c>
      <c r="AM3170">
        <v>89.118720031891002</v>
      </c>
      <c r="AN3170">
        <v>0.99999997918383798</v>
      </c>
    </row>
    <row r="3171" spans="1:40" x14ac:dyDescent="0.25">
      <c r="A3171" t="str">
        <f>"20190303154532765"</f>
        <v>20190303154532765</v>
      </c>
      <c r="B3171" t="str">
        <f>"1551599132753753"</f>
        <v>1551599132753753</v>
      </c>
      <c r="C3171" t="s">
        <v>40</v>
      </c>
      <c r="D3171">
        <v>5.0377660000000004</v>
      </c>
      <c r="E3171">
        <v>0.49432969999999998</v>
      </c>
      <c r="F3171" t="s">
        <v>55</v>
      </c>
      <c r="G3171">
        <v>-339.58600000000001</v>
      </c>
      <c r="H3171" s="1">
        <v>3.5638660000000002E-6</v>
      </c>
      <c r="I3171">
        <v>214.62889999999999</v>
      </c>
      <c r="J3171">
        <v>-355.34739999999999</v>
      </c>
      <c r="K3171">
        <v>1.1200870000000001</v>
      </c>
      <c r="L3171">
        <v>214.63040000000001</v>
      </c>
      <c r="M3171">
        <v>0.99994400000000006</v>
      </c>
      <c r="N3171">
        <v>-1.026528E-2</v>
      </c>
      <c r="O3171">
        <v>-2.589156E-3</v>
      </c>
      <c r="P3171">
        <v>0.99095679999999997</v>
      </c>
      <c r="Q3171">
        <v>-0.133028799999999</v>
      </c>
      <c r="R3171">
        <v>-1.754493E-2</v>
      </c>
      <c r="S3171">
        <v>2.9993590000000001</v>
      </c>
      <c r="T3171">
        <v>-0.2089387</v>
      </c>
      <c r="U3171">
        <v>-4.4250490000000001E-4</v>
      </c>
      <c r="V3171">
        <v>1.4936949999999999E-2</v>
      </c>
      <c r="W3171">
        <v>-0.122854</v>
      </c>
      <c r="X3171">
        <v>0.99231230000000004</v>
      </c>
      <c r="Y3171">
        <v>-2.430439E-3</v>
      </c>
      <c r="Z3171">
        <v>2.5063670000000001E-4</v>
      </c>
      <c r="AA3171">
        <v>0.99999700000000002</v>
      </c>
      <c r="AB3171">
        <v>32</v>
      </c>
      <c r="AC3171">
        <v>15.761399999999901</v>
      </c>
      <c r="AD3171">
        <v>-1.120083436134</v>
      </c>
      <c r="AE3171">
        <v>-1.5000000000213701E-3</v>
      </c>
      <c r="AF3171">
        <v>-3.9113345621118102E-2</v>
      </c>
      <c r="AG3171">
        <v>-1.120083436134</v>
      </c>
      <c r="AH3171">
        <v>15.6821525696247</v>
      </c>
      <c r="AI3171">
        <v>94.085348505708197</v>
      </c>
      <c r="AJ3171">
        <v>90.142902893584093</v>
      </c>
      <c r="AK3171">
        <v>15.722150806257201</v>
      </c>
      <c r="AL3171">
        <v>97.056844106995598</v>
      </c>
      <c r="AM3171">
        <v>89.137610645144605</v>
      </c>
      <c r="AN3171">
        <v>0.99999995926129503</v>
      </c>
    </row>
    <row r="3172" spans="1:40" x14ac:dyDescent="0.25">
      <c r="A3172" t="str">
        <f>"20190303154532786"</f>
        <v>20190303154532786</v>
      </c>
      <c r="B3172" t="str">
        <f>"1551599132784009"</f>
        <v>1551599132784009</v>
      </c>
      <c r="C3172" t="s">
        <v>40</v>
      </c>
      <c r="D3172">
        <v>4.9198979999999999</v>
      </c>
      <c r="E3172">
        <v>0.4942821</v>
      </c>
      <c r="F3172" t="s">
        <v>55</v>
      </c>
      <c r="G3172">
        <v>-338.81130000000002</v>
      </c>
      <c r="H3172" s="1">
        <v>3.151846E-6</v>
      </c>
      <c r="I3172">
        <v>214.62309999999999</v>
      </c>
      <c r="J3172">
        <v>-355.0247</v>
      </c>
      <c r="K3172">
        <v>1.120112</v>
      </c>
      <c r="L3172">
        <v>214.6294</v>
      </c>
      <c r="M3172">
        <v>0.99994229999999995</v>
      </c>
      <c r="N3172">
        <v>-1.038903E-2</v>
      </c>
      <c r="O3172">
        <v>-2.732169E-3</v>
      </c>
      <c r="P3172">
        <v>0.99090769999999995</v>
      </c>
      <c r="Q3172">
        <v>-0.13337399999999999</v>
      </c>
      <c r="R3172">
        <v>-1.7703279999999998E-2</v>
      </c>
      <c r="S3172">
        <v>3.0000610000000001</v>
      </c>
      <c r="T3172">
        <v>-0.2032109</v>
      </c>
      <c r="U3172">
        <v>-1.3122559999999999E-3</v>
      </c>
      <c r="V3172">
        <v>1.4953040000000001E-2</v>
      </c>
      <c r="W3172">
        <v>-0.1230769</v>
      </c>
      <c r="X3172">
        <v>0.99228450000000001</v>
      </c>
      <c r="Y3172">
        <v>-2.2843820000000002E-3</v>
      </c>
      <c r="Z3172">
        <v>2.4565589999999999E-4</v>
      </c>
      <c r="AA3172">
        <v>0.99999740000000004</v>
      </c>
      <c r="AB3172">
        <v>32</v>
      </c>
      <c r="AC3172">
        <v>16.213399999999901</v>
      </c>
      <c r="AD3172">
        <v>-1.120108848154</v>
      </c>
      <c r="AE3172">
        <v>-6.3000000000101803E-3</v>
      </c>
      <c r="AF3172">
        <v>-3.7819657914390299E-2</v>
      </c>
      <c r="AG3172">
        <v>-1.120108848154</v>
      </c>
      <c r="AH3172">
        <v>16.1363413469942</v>
      </c>
      <c r="AI3172">
        <v>93.9708227766466</v>
      </c>
      <c r="AJ3172">
        <v>90.134287120406697</v>
      </c>
      <c r="AK3172">
        <v>16.175215183265699</v>
      </c>
      <c r="AL3172">
        <v>97.069712547741005</v>
      </c>
      <c r="AM3172">
        <v>89.136657641422602</v>
      </c>
      <c r="AN3172">
        <v>1.00000002282955</v>
      </c>
    </row>
    <row r="3173" spans="1:40" x14ac:dyDescent="0.25">
      <c r="A3173" t="str">
        <f>"20190303154532809"</f>
        <v>20190303154532809</v>
      </c>
      <c r="B3173" t="str">
        <f>"1551599132804036"</f>
        <v>1551599132804036</v>
      </c>
      <c r="C3173" t="s">
        <v>40</v>
      </c>
      <c r="D3173">
        <v>4.9312149999999999</v>
      </c>
      <c r="E3173">
        <v>0.49460710000000002</v>
      </c>
      <c r="F3173" t="s">
        <v>55</v>
      </c>
      <c r="G3173">
        <v>-338.39690000000002</v>
      </c>
      <c r="H3173" s="1">
        <v>2.931386E-6</v>
      </c>
      <c r="I3173">
        <v>214.62190000000001</v>
      </c>
      <c r="J3173">
        <v>-354.68950000000001</v>
      </c>
      <c r="K3173">
        <v>1.120142</v>
      </c>
      <c r="L3173">
        <v>214.6283</v>
      </c>
      <c r="M3173">
        <v>0.99994019999999995</v>
      </c>
      <c r="N3173">
        <v>-1.055737E-2</v>
      </c>
      <c r="O3173">
        <v>-2.8786520000000002E-3</v>
      </c>
      <c r="P3173">
        <v>0.99090219999999996</v>
      </c>
      <c r="Q3173">
        <v>-0.13338829999999999</v>
      </c>
      <c r="R3173">
        <v>-1.7898850000000001E-2</v>
      </c>
      <c r="S3173">
        <v>3.000305</v>
      </c>
      <c r="T3173">
        <v>-0.20211180000000001</v>
      </c>
      <c r="U3173">
        <v>-1.34277299999999E-3</v>
      </c>
      <c r="V3173">
        <v>1.500305E-2</v>
      </c>
      <c r="W3173">
        <v>-0.1229243</v>
      </c>
      <c r="X3173">
        <v>0.99230269999999998</v>
      </c>
      <c r="Y3173">
        <v>-2.4202820000000002E-3</v>
      </c>
      <c r="Z3173">
        <v>2.575546E-4</v>
      </c>
      <c r="AA3173">
        <v>0.99999700000000002</v>
      </c>
      <c r="AB3173">
        <v>32</v>
      </c>
      <c r="AC3173">
        <v>16.292599999999901</v>
      </c>
      <c r="AD3173">
        <v>-1.120139068614</v>
      </c>
      <c r="AE3173">
        <v>-6.39999999998508E-3</v>
      </c>
      <c r="AF3173">
        <v>-4.03128138003453E-2</v>
      </c>
      <c r="AG3173">
        <v>-1.120139068614</v>
      </c>
      <c r="AH3173">
        <v>16.215902324485299</v>
      </c>
      <c r="AI3173">
        <v>93.951507293830204</v>
      </c>
      <c r="AJ3173">
        <v>90.1424372992999</v>
      </c>
      <c r="AK3173">
        <v>16.254593961500198</v>
      </c>
      <c r="AL3173">
        <v>97.060902036210294</v>
      </c>
      <c r="AM3173">
        <v>89.133786542919196</v>
      </c>
      <c r="AN3173">
        <v>1.0000000617335301</v>
      </c>
    </row>
    <row r="3174" spans="1:40" x14ac:dyDescent="0.25">
      <c r="A3174" t="str">
        <f>"20190303154532833"</f>
        <v>20190303154532833</v>
      </c>
      <c r="B3174" t="str">
        <f>"1551599132824532"</f>
        <v>1551599132824532</v>
      </c>
      <c r="C3174" t="s">
        <v>40</v>
      </c>
      <c r="D3174">
        <v>4.9207299999999998</v>
      </c>
      <c r="E3174">
        <v>0.49466399999999999</v>
      </c>
      <c r="F3174" t="s">
        <v>55</v>
      </c>
      <c r="G3174">
        <v>-337.4984</v>
      </c>
      <c r="H3174" s="1">
        <v>2.4540569999999998E-6</v>
      </c>
      <c r="I3174">
        <v>214.6027</v>
      </c>
      <c r="J3174">
        <v>-354.36649999999997</v>
      </c>
      <c r="K3174">
        <v>1.120161</v>
      </c>
      <c r="L3174">
        <v>214.62719999999999</v>
      </c>
      <c r="M3174">
        <v>0.99993799999999999</v>
      </c>
      <c r="N3174">
        <v>-1.071218E-2</v>
      </c>
      <c r="O3174">
        <v>-3.0192460000000002E-3</v>
      </c>
      <c r="P3174">
        <v>0.99090480000000003</v>
      </c>
      <c r="Q3174">
        <v>-0.1333443</v>
      </c>
      <c r="R3174">
        <v>-1.807713E-2</v>
      </c>
      <c r="S3174">
        <v>3.0011290000000002</v>
      </c>
      <c r="T3174">
        <v>-0.19554750000000001</v>
      </c>
      <c r="U3174">
        <v>-4.4708250000000003E-3</v>
      </c>
      <c r="V3174">
        <v>1.504115E-2</v>
      </c>
      <c r="W3174">
        <v>-0.12272669999999999</v>
      </c>
      <c r="X3174">
        <v>0.9923265</v>
      </c>
      <c r="Y3174">
        <v>-1.521482E-3</v>
      </c>
      <c r="Z3174">
        <v>2.2187929999999999E-4</v>
      </c>
      <c r="AA3174">
        <v>0.99999879999999997</v>
      </c>
      <c r="AB3174">
        <v>32</v>
      </c>
      <c r="AC3174">
        <v>16.868099999999899</v>
      </c>
      <c r="AD3174">
        <v>-1.1201585459429999</v>
      </c>
      <c r="AE3174">
        <v>-2.4499999999988999E-2</v>
      </c>
      <c r="AF3174">
        <v>-2.63159309307122E-2</v>
      </c>
      <c r="AG3174">
        <v>-1.1201585459429999</v>
      </c>
      <c r="AH3174">
        <v>16.794037568317801</v>
      </c>
      <c r="AI3174">
        <v>93.815958797018894</v>
      </c>
      <c r="AJ3174">
        <v>90.089781301016103</v>
      </c>
      <c r="AK3174">
        <v>16.8313738459563</v>
      </c>
      <c r="AL3174">
        <v>97.049494585663496</v>
      </c>
      <c r="AM3174">
        <v>89.131607969324605</v>
      </c>
      <c r="AN3174">
        <v>0.99999998084423103</v>
      </c>
    </row>
    <row r="3175" spans="1:40" x14ac:dyDescent="0.25">
      <c r="A3175" t="str">
        <f>"20190303154532853"</f>
        <v>20190303154532853</v>
      </c>
      <c r="B3175" t="str">
        <f>"1551599132844055"</f>
        <v>1551599132844055</v>
      </c>
      <c r="C3175" t="s">
        <v>40</v>
      </c>
      <c r="D3175">
        <v>4.9525519999999998</v>
      </c>
      <c r="E3175">
        <v>0.49467610000000001</v>
      </c>
      <c r="F3175" t="s">
        <v>55</v>
      </c>
      <c r="G3175">
        <v>-337.05529999999999</v>
      </c>
      <c r="H3175" s="1">
        <v>2.2185739999999999E-6</v>
      </c>
      <c r="I3175">
        <v>214.5958</v>
      </c>
      <c r="J3175">
        <v>-354.05919999999998</v>
      </c>
      <c r="K3175">
        <v>1.120166</v>
      </c>
      <c r="L3175">
        <v>214.62620000000001</v>
      </c>
      <c r="M3175">
        <v>0.99993620000000005</v>
      </c>
      <c r="N3175">
        <v>-1.0848979999999999E-2</v>
      </c>
      <c r="O3175">
        <v>-3.1492830000000001E-3</v>
      </c>
      <c r="P3175">
        <v>0.99082809999999999</v>
      </c>
      <c r="Q3175">
        <v>-0.13391700000000001</v>
      </c>
      <c r="R3175">
        <v>-1.805735E-2</v>
      </c>
      <c r="S3175">
        <v>3.001312</v>
      </c>
      <c r="T3175">
        <v>-0.19420589999999999</v>
      </c>
      <c r="U3175">
        <v>-5.4473880000000001E-3</v>
      </c>
      <c r="V3175">
        <v>1.489131E-2</v>
      </c>
      <c r="W3175">
        <v>-0.1231646</v>
      </c>
      <c r="X3175">
        <v>0.99227449999999995</v>
      </c>
      <c r="Y3175">
        <v>-1.3266700000000001E-3</v>
      </c>
      <c r="Z3175">
        <v>2.195124E-4</v>
      </c>
      <c r="AA3175">
        <v>0.99999910000000003</v>
      </c>
      <c r="AB3175">
        <v>32</v>
      </c>
      <c r="AC3175">
        <v>17.003899999999899</v>
      </c>
      <c r="AD3175">
        <v>-1.1201637814259999</v>
      </c>
      <c r="AE3175">
        <v>-3.0400000000014402E-2</v>
      </c>
      <c r="AF3175">
        <v>-2.3053349343263502E-2</v>
      </c>
      <c r="AG3175">
        <v>-1.1201637814259999</v>
      </c>
      <c r="AH3175">
        <v>16.930437567338199</v>
      </c>
      <c r="AI3175">
        <v>93.785324056830206</v>
      </c>
      <c r="AJ3175">
        <v>90.078016814357198</v>
      </c>
      <c r="AK3175">
        <v>16.967469303808201</v>
      </c>
      <c r="AL3175">
        <v>97.074776239979698</v>
      </c>
      <c r="AM3175">
        <v>89.140212541464905</v>
      </c>
      <c r="AN3175">
        <v>0.99999997657846196</v>
      </c>
    </row>
    <row r="3176" spans="1:40" x14ac:dyDescent="0.25">
      <c r="A3176" t="str">
        <f>"20190303154532876"</f>
        <v>20190303154532876</v>
      </c>
      <c r="B3176" t="str">
        <f>"1551599132864552"</f>
        <v>1551599132864552</v>
      </c>
      <c r="C3176" t="s">
        <v>40</v>
      </c>
      <c r="D3176">
        <v>4.9888110000000001</v>
      </c>
      <c r="E3176">
        <v>0.49488110000000002</v>
      </c>
      <c r="F3176" t="s">
        <v>55</v>
      </c>
      <c r="G3176">
        <v>-336.86309999999997</v>
      </c>
      <c r="H3176" s="1">
        <v>2.116385E-6</v>
      </c>
      <c r="I3176">
        <v>214.59379999999999</v>
      </c>
      <c r="J3176">
        <v>-353.73340000000002</v>
      </c>
      <c r="K3176">
        <v>1.120177</v>
      </c>
      <c r="L3176">
        <v>214.625</v>
      </c>
      <c r="M3176">
        <v>0.99993430000000005</v>
      </c>
      <c r="N3176">
        <v>-1.098581E-2</v>
      </c>
      <c r="O3176">
        <v>-3.2847879999999999E-3</v>
      </c>
      <c r="P3176">
        <v>0.99077749999999998</v>
      </c>
      <c r="Q3176">
        <v>-0.13421930000000001</v>
      </c>
      <c r="R3176">
        <v>-1.8580200000000002E-2</v>
      </c>
      <c r="S3176">
        <v>3.0012509999999999</v>
      </c>
      <c r="T3176">
        <v>-0.19550300000000001</v>
      </c>
      <c r="U3176">
        <v>-5.6457520000000004E-3</v>
      </c>
      <c r="V3176">
        <v>1.5279249999999999E-2</v>
      </c>
      <c r="W3176">
        <v>-0.12333180000000001</v>
      </c>
      <c r="X3176">
        <v>0.99224789999999996</v>
      </c>
      <c r="Y3176">
        <v>-1.395592E-3</v>
      </c>
      <c r="Z3176">
        <v>2.3077230000000001E-4</v>
      </c>
      <c r="AA3176">
        <v>0.99999899999999997</v>
      </c>
      <c r="AB3176">
        <v>32</v>
      </c>
      <c r="AC3176">
        <v>16.8703</v>
      </c>
      <c r="AD3176">
        <v>-1.1201748836149901</v>
      </c>
      <c r="AE3176">
        <v>-3.1200000000012499E-2</v>
      </c>
      <c r="AF3176">
        <v>-2.4112560870752E-2</v>
      </c>
      <c r="AG3176">
        <v>-1.1201748836149901</v>
      </c>
      <c r="AH3176">
        <v>16.796259407515901</v>
      </c>
      <c r="AI3176">
        <v>93.815511741244507</v>
      </c>
      <c r="AJ3176">
        <v>90.082253255831503</v>
      </c>
      <c r="AK3176">
        <v>16.833588544040101</v>
      </c>
      <c r="AL3176">
        <v>97.084429229864796</v>
      </c>
      <c r="AM3176">
        <v>89.117793693310801</v>
      </c>
      <c r="AN3176">
        <v>1.0000000417131001</v>
      </c>
    </row>
    <row r="3177" spans="1:40" x14ac:dyDescent="0.25">
      <c r="A3177" t="str">
        <f>"20190303154532898"</f>
        <v>20190303154532898</v>
      </c>
      <c r="B3177" t="str">
        <f>"1551599132893828"</f>
        <v>1551599132893828</v>
      </c>
      <c r="C3177" t="s">
        <v>40</v>
      </c>
      <c r="D3177">
        <v>4.9768980000000003</v>
      </c>
      <c r="E3177">
        <v>0.49518000000000001</v>
      </c>
      <c r="F3177" t="s">
        <v>55</v>
      </c>
      <c r="G3177">
        <v>-336.25229999999999</v>
      </c>
      <c r="H3177" s="1">
        <v>1.7922510000000001E-6</v>
      </c>
      <c r="I3177">
        <v>214.57409999999999</v>
      </c>
      <c r="J3177">
        <v>-353.41059999999999</v>
      </c>
      <c r="K3177">
        <v>1.1201859999999999</v>
      </c>
      <c r="L3177">
        <v>214.62370000000001</v>
      </c>
      <c r="M3177">
        <v>0.9999325</v>
      </c>
      <c r="N3177">
        <v>-1.111209E-2</v>
      </c>
      <c r="O3177">
        <v>-3.4252969999999999E-3</v>
      </c>
      <c r="P3177">
        <v>0.99075829999999998</v>
      </c>
      <c r="Q3177">
        <v>-0.13426080000000001</v>
      </c>
      <c r="R3177">
        <v>-1.9289420000000002E-2</v>
      </c>
      <c r="S3177">
        <v>3.001709</v>
      </c>
      <c r="T3177">
        <v>-0.1923475</v>
      </c>
      <c r="U3177">
        <v>-8.7280269999999993E-3</v>
      </c>
      <c r="V3177">
        <v>1.585019E-2</v>
      </c>
      <c r="W3177">
        <v>-0.12324830000000001</v>
      </c>
      <c r="X3177">
        <v>0.9922493</v>
      </c>
      <c r="Y3177">
        <v>-5.1180469999999995E-4</v>
      </c>
      <c r="Z3177">
        <v>2.0046199999999999E-4</v>
      </c>
      <c r="AA3177">
        <v>0.99999979999999999</v>
      </c>
      <c r="AB3177">
        <v>32</v>
      </c>
      <c r="AC3177">
        <v>17.158299999999901</v>
      </c>
      <c r="AD3177">
        <v>-1.1201842077490001</v>
      </c>
      <c r="AE3177">
        <v>-4.9600000000026498E-2</v>
      </c>
      <c r="AF3177">
        <v>-9.1372429513132403E-3</v>
      </c>
      <c r="AG3177">
        <v>-1.1201842077490001</v>
      </c>
      <c r="AH3177">
        <v>17.085548398373</v>
      </c>
      <c r="AI3177">
        <v>93.7511287593844</v>
      </c>
      <c r="AJ3177">
        <v>90.030641416674399</v>
      </c>
      <c r="AK3177">
        <v>17.122232921603601</v>
      </c>
      <c r="AL3177">
        <v>97.079608387240597</v>
      </c>
      <c r="AM3177">
        <v>89.084835071607202</v>
      </c>
      <c r="AN3177">
        <v>1.0000000226632</v>
      </c>
    </row>
    <row r="3178" spans="1:40" x14ac:dyDescent="0.25">
      <c r="A3178" t="str">
        <f>"20190303154532924"</f>
        <v>20190303154532924</v>
      </c>
      <c r="B3178" t="str">
        <f>"1551599132914323"</f>
        <v>1551599132914323</v>
      </c>
      <c r="C3178" t="s">
        <v>40</v>
      </c>
      <c r="D3178">
        <v>5.016127</v>
      </c>
      <c r="E3178">
        <v>0.49534990000000001</v>
      </c>
      <c r="F3178" t="s">
        <v>55</v>
      </c>
      <c r="G3178">
        <v>-335.48059999999998</v>
      </c>
      <c r="H3178" s="1">
        <v>1.382832E-6</v>
      </c>
      <c r="I3178">
        <v>214.5445</v>
      </c>
      <c r="J3178">
        <v>-353.05900000000003</v>
      </c>
      <c r="K3178">
        <v>1.120204</v>
      </c>
      <c r="L3178">
        <v>214.6223</v>
      </c>
      <c r="M3178">
        <v>0.9999306</v>
      </c>
      <c r="N3178">
        <v>-1.123644E-2</v>
      </c>
      <c r="O3178">
        <v>-3.5849639999999999E-3</v>
      </c>
      <c r="P3178">
        <v>0.99070800000000003</v>
      </c>
      <c r="Q3178">
        <v>-0.13452220000000001</v>
      </c>
      <c r="R3178">
        <v>-2.004264E-2</v>
      </c>
      <c r="S3178">
        <v>3.002319</v>
      </c>
      <c r="T3178">
        <v>-0.18757090000000001</v>
      </c>
      <c r="U3178">
        <v>-1.325989E-2</v>
      </c>
      <c r="V3178">
        <v>1.644675E-2</v>
      </c>
      <c r="W3178">
        <v>-0.1233868</v>
      </c>
      <c r="X3178">
        <v>0.99222239999999995</v>
      </c>
      <c r="Y3178">
        <v>8.3410380000000005E-4</v>
      </c>
      <c r="Z3178">
        <v>1.5277879999999901E-4</v>
      </c>
      <c r="AA3178">
        <v>0.99999959999999999</v>
      </c>
      <c r="AB3178">
        <v>32</v>
      </c>
      <c r="AC3178">
        <v>17.578399999999998</v>
      </c>
      <c r="AD3178">
        <v>-1.120202617168</v>
      </c>
      <c r="AE3178">
        <v>-7.7799999999996303E-2</v>
      </c>
      <c r="AF3178">
        <v>1.4717831950949899E-2</v>
      </c>
      <c r="AG3178">
        <v>-1.120202617168</v>
      </c>
      <c r="AH3178">
        <v>17.507469270530098</v>
      </c>
      <c r="AI3178">
        <v>93.661036621298095</v>
      </c>
      <c r="AJ3178">
        <v>89.951833732066405</v>
      </c>
      <c r="AK3178">
        <v>17.5432765120044</v>
      </c>
      <c r="AL3178">
        <v>97.087604731939507</v>
      </c>
      <c r="AM3178">
        <v>89.050371092823994</v>
      </c>
      <c r="AN3178">
        <v>1.00000004453078</v>
      </c>
    </row>
    <row r="3179" spans="1:40" x14ac:dyDescent="0.25">
      <c r="A3179" t="str">
        <f>"20190303154532946"</f>
        <v>20190303154532946</v>
      </c>
      <c r="B3179" t="str">
        <f>"1551599132933846"</f>
        <v>1551599132933846</v>
      </c>
      <c r="C3179" t="s">
        <v>40</v>
      </c>
      <c r="D3179">
        <v>5.0353680000000001</v>
      </c>
      <c r="E3179">
        <v>0.49545719999999999</v>
      </c>
      <c r="F3179" t="s">
        <v>55</v>
      </c>
      <c r="G3179">
        <v>-334.96199999999999</v>
      </c>
      <c r="H3179" s="1">
        <v>1.10782999999999E-6</v>
      </c>
      <c r="I3179">
        <v>214.5224</v>
      </c>
      <c r="J3179">
        <v>-352.72750000000002</v>
      </c>
      <c r="K3179">
        <v>1.120215</v>
      </c>
      <c r="L3179">
        <v>214.62090000000001</v>
      </c>
      <c r="M3179">
        <v>0.99992890000000001</v>
      </c>
      <c r="N3179">
        <v>-1.134011E-2</v>
      </c>
      <c r="O3179">
        <v>-3.7356049999999999E-3</v>
      </c>
      <c r="P3179">
        <v>0.99066220000000005</v>
      </c>
      <c r="Q3179">
        <v>-0.13480549999999999</v>
      </c>
      <c r="R3179">
        <v>-2.0403359999999999E-2</v>
      </c>
      <c r="S3179">
        <v>3.0025940000000002</v>
      </c>
      <c r="T3179">
        <v>-0.18585979999999999</v>
      </c>
      <c r="U3179">
        <v>-1.6571039999999999E-2</v>
      </c>
      <c r="V3179">
        <v>1.66591E-2</v>
      </c>
      <c r="W3179">
        <v>-0.1235677</v>
      </c>
      <c r="X3179">
        <v>0.99219630000000003</v>
      </c>
      <c r="Y3179">
        <v>1.7837279999999901E-3</v>
      </c>
      <c r="Z3179">
        <v>1.234002E-4</v>
      </c>
      <c r="AA3179">
        <v>0.99999839999999995</v>
      </c>
      <c r="AB3179">
        <v>32</v>
      </c>
      <c r="AC3179">
        <v>17.765499999999999</v>
      </c>
      <c r="AD3179">
        <v>-1.12021389217</v>
      </c>
      <c r="AE3179">
        <v>-9.8500000000001295E-2</v>
      </c>
      <c r="AF3179">
        <v>3.2002926360124799E-2</v>
      </c>
      <c r="AG3179">
        <v>-1.12021389217</v>
      </c>
      <c r="AH3179">
        <v>17.695389195815</v>
      </c>
      <c r="AI3179">
        <v>93.622293264678405</v>
      </c>
      <c r="AJ3179">
        <v>89.896378056846103</v>
      </c>
      <c r="AK3179">
        <v>17.730840424042899</v>
      </c>
      <c r="AL3179">
        <v>97.098049785663903</v>
      </c>
      <c r="AM3179">
        <v>89.038087077935302</v>
      </c>
      <c r="AN3179">
        <v>0.99999999991489497</v>
      </c>
    </row>
    <row r="3180" spans="1:40" x14ac:dyDescent="0.25">
      <c r="A3180" t="str">
        <f>"20190303154532968"</f>
        <v>20190303154532968</v>
      </c>
      <c r="B3180" t="str">
        <f>"1551599132964100"</f>
        <v>1551599132964100</v>
      </c>
      <c r="C3180" t="s">
        <v>40</v>
      </c>
      <c r="D3180">
        <v>5.0254789999999998</v>
      </c>
      <c r="E3180">
        <v>0.49551499999999998</v>
      </c>
      <c r="F3180" t="s">
        <v>55</v>
      </c>
      <c r="G3180">
        <v>-334.5428</v>
      </c>
      <c r="H3180" s="1">
        <v>8.8540870000000003E-7</v>
      </c>
      <c r="I3180">
        <v>214.5085</v>
      </c>
      <c r="J3180">
        <v>-352.40910000000002</v>
      </c>
      <c r="K3180">
        <v>1.1202160000000001</v>
      </c>
      <c r="L3180">
        <v>214.61959999999999</v>
      </c>
      <c r="M3180">
        <v>0.99992720000000002</v>
      </c>
      <c r="N3180">
        <v>-1.142877E-2</v>
      </c>
      <c r="O3180">
        <v>-3.8768959999999999E-3</v>
      </c>
      <c r="P3180">
        <v>0.99064439999999998</v>
      </c>
      <c r="Q3180">
        <v>-0.13493350000000001</v>
      </c>
      <c r="R3180">
        <v>-2.0406830000000001E-2</v>
      </c>
      <c r="S3180">
        <v>3.0027469999999998</v>
      </c>
      <c r="T3180">
        <v>-0.1849761</v>
      </c>
      <c r="U3180">
        <v>-1.8569950000000002E-2</v>
      </c>
      <c r="V3180">
        <v>1.652292E-2</v>
      </c>
      <c r="W3180">
        <v>-0.1236078</v>
      </c>
      <c r="X3180">
        <v>0.99219360000000001</v>
      </c>
      <c r="Y3180">
        <v>2.306771E-3</v>
      </c>
      <c r="Z3180">
        <v>1.101406E-4</v>
      </c>
      <c r="AA3180">
        <v>0.99999729999999998</v>
      </c>
      <c r="AB3180">
        <v>32</v>
      </c>
      <c r="AC3180">
        <v>17.866299999999999</v>
      </c>
      <c r="AD3180">
        <v>-1.1202151145913</v>
      </c>
      <c r="AE3180">
        <v>-0.111099999999993</v>
      </c>
      <c r="AF3180">
        <v>4.1665065117587198E-2</v>
      </c>
      <c r="AG3180">
        <v>-1.1202151145913</v>
      </c>
      <c r="AH3180">
        <v>17.796635671300699</v>
      </c>
      <c r="AI3180">
        <v>93.601740101250599</v>
      </c>
      <c r="AJ3180">
        <v>89.8658607128379</v>
      </c>
      <c r="AK3180">
        <v>17.831905649638799</v>
      </c>
      <c r="AL3180">
        <v>97.100364970953095</v>
      </c>
      <c r="AM3180">
        <v>89.045946190820402</v>
      </c>
      <c r="AN3180">
        <v>1.0000000174935599</v>
      </c>
    </row>
    <row r="3181" spans="1:40" x14ac:dyDescent="0.25">
      <c r="A3181" t="str">
        <f>"20190303154532989"</f>
        <v>20190303154532989</v>
      </c>
      <c r="B3181" t="str">
        <f>"1551599132983621"</f>
        <v>1551599132983621</v>
      </c>
      <c r="C3181" t="s">
        <v>40</v>
      </c>
      <c r="D3181">
        <v>5.0395919999999998</v>
      </c>
      <c r="E3181">
        <v>0.49558809999999898</v>
      </c>
      <c r="F3181" t="s">
        <v>55</v>
      </c>
      <c r="G3181">
        <v>-334.03100000000001</v>
      </c>
      <c r="H3181" s="1">
        <v>6.1322379999999995E-7</v>
      </c>
      <c r="I3181">
        <v>214.50389999999999</v>
      </c>
      <c r="J3181">
        <v>-352.09219999999999</v>
      </c>
      <c r="K3181">
        <v>1.12022</v>
      </c>
      <c r="L3181">
        <v>214.6182</v>
      </c>
      <c r="M3181">
        <v>0.99992590000000003</v>
      </c>
      <c r="N3181">
        <v>-1.15073E-2</v>
      </c>
      <c r="O3181">
        <v>-4.0158759999999998E-3</v>
      </c>
      <c r="P3181">
        <v>0.99068259999999997</v>
      </c>
      <c r="Q3181">
        <v>-0.1347592</v>
      </c>
      <c r="R3181">
        <v>-1.9705940000000002E-2</v>
      </c>
      <c r="S3181">
        <v>3.0029910000000002</v>
      </c>
      <c r="T3181">
        <v>-0.18304319999999999</v>
      </c>
      <c r="U3181">
        <v>-1.8905640000000001E-2</v>
      </c>
      <c r="V3181">
        <v>1.568425E-2</v>
      </c>
      <c r="W3181">
        <v>-0.1233548</v>
      </c>
      <c r="X3181">
        <v>0.99223870000000003</v>
      </c>
      <c r="Y3181">
        <v>2.279241E-3</v>
      </c>
      <c r="Z3181">
        <v>1.1584529999999999E-4</v>
      </c>
      <c r="AA3181">
        <v>0.99999740000000004</v>
      </c>
      <c r="AB3181">
        <v>32</v>
      </c>
      <c r="AC3181">
        <v>18.0611999999999</v>
      </c>
      <c r="AD3181">
        <v>-1.1202193867762</v>
      </c>
      <c r="AE3181">
        <v>-0.114300000000014</v>
      </c>
      <c r="AF3181">
        <v>4.1602712767017699E-2</v>
      </c>
      <c r="AG3181">
        <v>-1.1202193867762</v>
      </c>
      <c r="AH3181">
        <v>17.992301244929699</v>
      </c>
      <c r="AI3181">
        <v>93.562686545094707</v>
      </c>
      <c r="AJ3181">
        <v>89.867518024663497</v>
      </c>
      <c r="AK3181">
        <v>18.027188531452101</v>
      </c>
      <c r="AL3181">
        <v>97.085757326906204</v>
      </c>
      <c r="AM3181">
        <v>89.094404908342995</v>
      </c>
      <c r="AN3181">
        <v>1.0000000200793899</v>
      </c>
    </row>
    <row r="3182" spans="1:40" x14ac:dyDescent="0.25">
      <c r="A3182" t="str">
        <f>"20190303154533022"</f>
        <v>20190303154533022</v>
      </c>
      <c r="B3182" t="str">
        <f>"1551599133013875"</f>
        <v>1551599133013875</v>
      </c>
      <c r="C3182" t="s">
        <v>40</v>
      </c>
      <c r="D3182">
        <v>5.0449890000000002</v>
      </c>
      <c r="E3182">
        <v>0.49567339999999999</v>
      </c>
      <c r="F3182" t="s">
        <v>55</v>
      </c>
      <c r="G3182">
        <v>-333.52910000000003</v>
      </c>
      <c r="H3182" s="1">
        <v>3.4585149999999998E-7</v>
      </c>
      <c r="I3182">
        <v>214.5103</v>
      </c>
      <c r="J3182">
        <v>-351.6189</v>
      </c>
      <c r="K3182">
        <v>1.120228</v>
      </c>
      <c r="L3182">
        <v>214.61600000000001</v>
      </c>
      <c r="M3182">
        <v>0.99992369999999997</v>
      </c>
      <c r="N3182">
        <v>-1.1609309999999999E-2</v>
      </c>
      <c r="O3182">
        <v>-4.2237749999999999E-3</v>
      </c>
      <c r="P3182">
        <v>0.99060539999999997</v>
      </c>
      <c r="Q3182">
        <v>-0.1354281</v>
      </c>
      <c r="R3182">
        <v>-1.8984279999999999E-2</v>
      </c>
      <c r="S3182">
        <v>3.0032350000000001</v>
      </c>
      <c r="T3182">
        <v>-0.1812348</v>
      </c>
      <c r="U3182">
        <v>-1.7456050000000001E-2</v>
      </c>
      <c r="V3182">
        <v>1.4756740000000001E-2</v>
      </c>
      <c r="W3182">
        <v>-0.12392300000000001</v>
      </c>
      <c r="X3182">
        <v>0.99218209999999996</v>
      </c>
      <c r="Y3182">
        <v>1.589841E-3</v>
      </c>
      <c r="Z3182">
        <v>1.4848889999999999E-4</v>
      </c>
      <c r="AA3182">
        <v>0.99999870000000002</v>
      </c>
      <c r="AB3182">
        <v>32</v>
      </c>
      <c r="AC3182">
        <v>18.089799999999901</v>
      </c>
      <c r="AD3182">
        <v>-1.1202276541484999</v>
      </c>
      <c r="AE3182">
        <v>-0.105699999999984</v>
      </c>
      <c r="AF3182">
        <v>2.9174787153255201E-2</v>
      </c>
      <c r="AG3182">
        <v>-1.1202276541484999</v>
      </c>
      <c r="AH3182">
        <v>18.020980230771301</v>
      </c>
      <c r="AI3182">
        <v>93.557062394449403</v>
      </c>
      <c r="AJ3182">
        <v>89.907241965182493</v>
      </c>
      <c r="AK3182">
        <v>18.055788258704499</v>
      </c>
      <c r="AL3182">
        <v>97.118564685445406</v>
      </c>
      <c r="AM3182">
        <v>89.147901795112105</v>
      </c>
      <c r="AN3182">
        <v>0.99999999543241802</v>
      </c>
    </row>
    <row r="3183" spans="1:40" x14ac:dyDescent="0.25">
      <c r="A3183" t="str">
        <f>"20190303154533044"</f>
        <v>20190303154533044</v>
      </c>
      <c r="B3183" t="str">
        <f>"1551599133034371"</f>
        <v>1551599133034371</v>
      </c>
      <c r="C3183" t="s">
        <v>40</v>
      </c>
      <c r="D3183">
        <v>5.026535</v>
      </c>
      <c r="E3183">
        <v>0.49575010000000003</v>
      </c>
      <c r="F3183" t="s">
        <v>55</v>
      </c>
      <c r="G3183">
        <v>-333.10469999999998</v>
      </c>
      <c r="H3183" s="1">
        <v>1.196475E-7</v>
      </c>
      <c r="I3183">
        <v>214.51859999999999</v>
      </c>
      <c r="J3183">
        <v>-351.30650000000003</v>
      </c>
      <c r="K3183">
        <v>1.120204</v>
      </c>
      <c r="L3183">
        <v>214.61449999999999</v>
      </c>
      <c r="M3183">
        <v>0.99992360000000002</v>
      </c>
      <c r="N3183">
        <v>-1.156946E-2</v>
      </c>
      <c r="O3183">
        <v>-4.3613269999999999E-3</v>
      </c>
      <c r="P3183">
        <v>0.99053500000000005</v>
      </c>
      <c r="Q3183">
        <v>-0.135988</v>
      </c>
      <c r="R3183">
        <v>-1.865665E-2</v>
      </c>
      <c r="S3183">
        <v>3.0033259999999999</v>
      </c>
      <c r="T3183">
        <v>-0.18172060000000001</v>
      </c>
      <c r="U3183">
        <v>-1.5792850000000001E-2</v>
      </c>
      <c r="V3183">
        <v>1.429304E-2</v>
      </c>
      <c r="W3183">
        <v>-0.1245231</v>
      </c>
      <c r="X3183">
        <v>0.99211380000000005</v>
      </c>
      <c r="Y3183">
        <v>9.0002589999999905E-4</v>
      </c>
      <c r="Z3183">
        <v>1.808057E-4</v>
      </c>
      <c r="AA3183">
        <v>0.99999959999999999</v>
      </c>
      <c r="AB3183">
        <v>32</v>
      </c>
      <c r="AC3183">
        <v>18.201799999999999</v>
      </c>
      <c r="AD3183">
        <v>-1.1202038803524901</v>
      </c>
      <c r="AE3183">
        <v>-9.5900000000000304E-2</v>
      </c>
      <c r="AF3183">
        <v>1.6447480824969898E-2</v>
      </c>
      <c r="AG3183">
        <v>-1.1202038803524901</v>
      </c>
      <c r="AH3183">
        <v>18.133364903759201</v>
      </c>
      <c r="AI3183">
        <v>93.535001300260404</v>
      </c>
      <c r="AJ3183">
        <v>89.948031102805999</v>
      </c>
      <c r="AK3183">
        <v>18.167940169046901</v>
      </c>
      <c r="AL3183">
        <v>97.153215943143096</v>
      </c>
      <c r="AM3183">
        <v>89.174616643128601</v>
      </c>
      <c r="AN3183">
        <v>1.0000000427882401</v>
      </c>
    </row>
    <row r="3184" spans="1:40" x14ac:dyDescent="0.25">
      <c r="A3184" t="str">
        <f>"20190303154533065"</f>
        <v>20190303154533065</v>
      </c>
      <c r="B3184" t="str">
        <f>"1551599133053892"</f>
        <v>1551599133053892</v>
      </c>
      <c r="C3184" t="s">
        <v>40</v>
      </c>
      <c r="D3184">
        <v>5.0133229999999998</v>
      </c>
      <c r="E3184">
        <v>0.49579050000000002</v>
      </c>
      <c r="F3184" t="s">
        <v>55</v>
      </c>
      <c r="G3184">
        <v>-332.88249999999999</v>
      </c>
      <c r="H3184" s="1">
        <v>1.343785E-9</v>
      </c>
      <c r="I3184">
        <v>214.52</v>
      </c>
      <c r="J3184">
        <v>-350.98450000000003</v>
      </c>
      <c r="K3184">
        <v>1.119929</v>
      </c>
      <c r="L3184">
        <v>214.613</v>
      </c>
      <c r="M3184">
        <v>0.9999342</v>
      </c>
      <c r="N3184">
        <v>-1.0550489999999999E-2</v>
      </c>
      <c r="O3184">
        <v>-4.4979119999999997E-3</v>
      </c>
      <c r="P3184">
        <v>0.99067749999999999</v>
      </c>
      <c r="Q3184">
        <v>-0.13488329999999901</v>
      </c>
      <c r="R3184">
        <v>-1.909108E-2</v>
      </c>
      <c r="S3184">
        <v>3.0032960000000002</v>
      </c>
      <c r="T3184">
        <v>-0.18260419999999999</v>
      </c>
      <c r="U3184">
        <v>-1.5411380000000001E-2</v>
      </c>
      <c r="V3184">
        <v>1.4593699999999999E-2</v>
      </c>
      <c r="W3184">
        <v>-0.1244277</v>
      </c>
      <c r="X3184">
        <v>0.99212129999999998</v>
      </c>
      <c r="Y3184">
        <v>6.3755620000000002E-4</v>
      </c>
      <c r="Z3184">
        <v>2.0307189999999999E-4</v>
      </c>
      <c r="AA3184">
        <v>0.99999979999999999</v>
      </c>
      <c r="AB3184">
        <v>32</v>
      </c>
      <c r="AC3184">
        <v>18.102</v>
      </c>
      <c r="AD3184">
        <v>-1.11992899865621</v>
      </c>
      <c r="AE3184">
        <v>-9.29999999999893E-2</v>
      </c>
      <c r="AF3184">
        <v>1.1529193910988E-2</v>
      </c>
      <c r="AG3184">
        <v>-1.11992899865621</v>
      </c>
      <c r="AH3184">
        <v>18.033212882553499</v>
      </c>
      <c r="AI3184">
        <v>93.553714354688793</v>
      </c>
      <c r="AJ3184">
        <v>89.963369030988105</v>
      </c>
      <c r="AK3184">
        <v>18.067958953679199</v>
      </c>
      <c r="AL3184">
        <v>97.147707739544003</v>
      </c>
      <c r="AM3184">
        <v>89.157263211403901</v>
      </c>
      <c r="AN3184">
        <v>0.99999995126033303</v>
      </c>
    </row>
    <row r="3185" spans="1:40" x14ac:dyDescent="0.25">
      <c r="A3185" t="str">
        <f>"20190303154533089"</f>
        <v>20190303154533089</v>
      </c>
      <c r="B3185" t="str">
        <f>"1551599133084148"</f>
        <v>1551599133084148</v>
      </c>
      <c r="C3185" t="s">
        <v>40</v>
      </c>
      <c r="D3185">
        <v>5.0259640000000001</v>
      </c>
      <c r="E3185">
        <v>0.49586520000000001</v>
      </c>
      <c r="F3185" t="s">
        <v>55</v>
      </c>
      <c r="G3185">
        <v>-332.14800000000002</v>
      </c>
      <c r="H3185" s="1">
        <v>-3.8893420000000002E-7</v>
      </c>
      <c r="I3185">
        <v>214.5067</v>
      </c>
      <c r="J3185">
        <v>-350.64530000000002</v>
      </c>
      <c r="K3185">
        <v>1.119629</v>
      </c>
      <c r="L3185">
        <v>214.6113</v>
      </c>
      <c r="M3185">
        <v>0.99994680000000002</v>
      </c>
      <c r="N3185">
        <v>-9.2305319999999996E-3</v>
      </c>
      <c r="O3185">
        <v>-4.6412750000000003E-3</v>
      </c>
      <c r="P3185">
        <v>0.9908188</v>
      </c>
      <c r="Q3185">
        <v>-0.13379089999999999</v>
      </c>
      <c r="R3185">
        <v>-1.945119E-2</v>
      </c>
      <c r="S3185">
        <v>3.0036010000000002</v>
      </c>
      <c r="T3185">
        <v>-0.1785803</v>
      </c>
      <c r="U3185">
        <v>-1.695251E-2</v>
      </c>
      <c r="V3185">
        <v>1.48142E-2</v>
      </c>
      <c r="W3185">
        <v>-0.12464310000000001</v>
      </c>
      <c r="X3185">
        <v>0.9920911</v>
      </c>
      <c r="Y3185">
        <v>1.0063089999999999E-3</v>
      </c>
      <c r="Z3185">
        <v>1.9835330000000001E-4</v>
      </c>
      <c r="AA3185">
        <v>0.99999950000000004</v>
      </c>
      <c r="AB3185">
        <v>33</v>
      </c>
      <c r="AC3185">
        <v>18.497299999999999</v>
      </c>
      <c r="AD3185">
        <v>-1.1196293889341999</v>
      </c>
      <c r="AE3185">
        <v>-0.104600000000004</v>
      </c>
      <c r="AF3185">
        <v>1.8675752458726502E-2</v>
      </c>
      <c r="AG3185">
        <v>-1.1196293889341999</v>
      </c>
      <c r="AH3185">
        <v>18.430064318505799</v>
      </c>
      <c r="AI3185">
        <v>93.476453580260397</v>
      </c>
      <c r="AJ3185">
        <v>89.941940439795999</v>
      </c>
      <c r="AK3185">
        <v>18.464051276373599</v>
      </c>
      <c r="AL3185">
        <v>97.160145321892003</v>
      </c>
      <c r="AM3185">
        <v>89.144505923581704</v>
      </c>
      <c r="AN3185">
        <v>1.00000005679922</v>
      </c>
    </row>
    <row r="3186" spans="1:40" x14ac:dyDescent="0.25">
      <c r="A3186" t="str">
        <f>"20190303154533112"</f>
        <v>20190303154533112</v>
      </c>
      <c r="B3186" t="str">
        <f>"1551599133103668"</f>
        <v>1551599133103668</v>
      </c>
      <c r="C3186" t="s">
        <v>40</v>
      </c>
      <c r="D3186">
        <v>5.0152659999999996</v>
      </c>
      <c r="E3186">
        <v>0.49593619999999999</v>
      </c>
      <c r="F3186" t="s">
        <v>55</v>
      </c>
      <c r="G3186">
        <v>-331.35939999999999</v>
      </c>
      <c r="H3186" s="1">
        <v>-8.0789740000000002E-7</v>
      </c>
      <c r="I3186">
        <v>214.49100000000001</v>
      </c>
      <c r="J3186">
        <v>-350.29180000000002</v>
      </c>
      <c r="K3186">
        <v>1.1193649999999999</v>
      </c>
      <c r="L3186">
        <v>214.6095</v>
      </c>
      <c r="M3186">
        <v>0.99995769999999995</v>
      </c>
      <c r="N3186">
        <v>-7.8613529999999997E-3</v>
      </c>
      <c r="O3186">
        <v>-4.7896409999999999E-3</v>
      </c>
      <c r="P3186">
        <v>0.99101850000000002</v>
      </c>
      <c r="Q3186">
        <v>-0.1322332</v>
      </c>
      <c r="R3186">
        <v>-1.9923300000000001E-2</v>
      </c>
      <c r="S3186">
        <v>3.0039060000000002</v>
      </c>
      <c r="T3186">
        <v>-0.1743902</v>
      </c>
      <c r="U3186">
        <v>-1.8737790000000001E-2</v>
      </c>
      <c r="V3186">
        <v>1.5141399999999999E-2</v>
      </c>
      <c r="W3186">
        <v>-0.124442</v>
      </c>
      <c r="X3186">
        <v>0.99211130000000003</v>
      </c>
      <c r="Y3186">
        <v>1.451174E-3</v>
      </c>
      <c r="Z3186">
        <v>1.9239809999999999E-4</v>
      </c>
      <c r="AA3186">
        <v>0.99999890000000002</v>
      </c>
      <c r="AB3186">
        <v>33</v>
      </c>
      <c r="AC3186">
        <v>18.932400000000001</v>
      </c>
      <c r="AD3186">
        <v>-1.1193658078974</v>
      </c>
      <c r="AE3186">
        <v>-0.118500000000011</v>
      </c>
      <c r="AF3186">
        <v>2.7719550622400099E-2</v>
      </c>
      <c r="AG3186">
        <v>-1.1193658078974</v>
      </c>
      <c r="AH3186">
        <v>18.866800539728299</v>
      </c>
      <c r="AI3186">
        <v>93.395370266414901</v>
      </c>
      <c r="AJ3186">
        <v>89.915819743016897</v>
      </c>
      <c r="AK3186">
        <v>18.899997639980501</v>
      </c>
      <c r="AL3186">
        <v>97.1485334784104</v>
      </c>
      <c r="AM3186">
        <v>89.125631399461199</v>
      </c>
      <c r="AN3186">
        <v>0.99999995247282303</v>
      </c>
    </row>
    <row r="3187" spans="1:40" x14ac:dyDescent="0.25">
      <c r="A3187" t="str">
        <f>"20190303154533135"</f>
        <v>20190303154533135</v>
      </c>
      <c r="B3187" t="str">
        <f>"1551599133124163"</f>
        <v>1551599133124163</v>
      </c>
      <c r="C3187" t="s">
        <v>40</v>
      </c>
      <c r="D3187">
        <v>5.0063329999999997</v>
      </c>
      <c r="E3187">
        <v>0.49596289999999998</v>
      </c>
      <c r="F3187" t="s">
        <v>55</v>
      </c>
      <c r="G3187">
        <v>-330.3904</v>
      </c>
      <c r="H3187" s="1">
        <v>-1.3228090000000001E-6</v>
      </c>
      <c r="I3187">
        <v>214.47329999999999</v>
      </c>
      <c r="J3187">
        <v>-349.94810000000001</v>
      </c>
      <c r="K3187">
        <v>1.1191530000000001</v>
      </c>
      <c r="L3187">
        <v>214.6078</v>
      </c>
      <c r="M3187">
        <v>0.99996629999999997</v>
      </c>
      <c r="N3187">
        <v>-6.5738339999999998E-3</v>
      </c>
      <c r="O3187">
        <v>-4.9291600000000001E-3</v>
      </c>
      <c r="P3187">
        <v>0.99111150000000003</v>
      </c>
      <c r="Q3187">
        <v>-0.13140950000000001</v>
      </c>
      <c r="R3187">
        <v>-2.0727579999999999E-2</v>
      </c>
      <c r="S3187">
        <v>3.0042110000000002</v>
      </c>
      <c r="T3187">
        <v>-0.16897319999999999</v>
      </c>
      <c r="U3187">
        <v>-2.056885E-2</v>
      </c>
      <c r="V3187">
        <v>1.580813E-2</v>
      </c>
      <c r="W3187">
        <v>-0.12489500000000001</v>
      </c>
      <c r="X3187">
        <v>0.99204400000000004</v>
      </c>
      <c r="Y3187">
        <v>1.919963E-3</v>
      </c>
      <c r="Z3187">
        <v>1.843697E-4</v>
      </c>
      <c r="AA3187">
        <v>0.99999819999999995</v>
      </c>
      <c r="AB3187">
        <v>33</v>
      </c>
      <c r="AC3187">
        <v>19.557700000000001</v>
      </c>
      <c r="AD3187">
        <v>-1.119154322809</v>
      </c>
      <c r="AE3187">
        <v>-0.13450000000000201</v>
      </c>
      <c r="AF3187">
        <v>3.7968932561706602E-2</v>
      </c>
      <c r="AG3187">
        <v>-1.119154322809</v>
      </c>
      <c r="AH3187">
        <v>19.494294421862801</v>
      </c>
      <c r="AI3187">
        <v>93.285699379556107</v>
      </c>
      <c r="AJ3187">
        <v>89.888405459030594</v>
      </c>
      <c r="AK3187">
        <v>19.526429859151801</v>
      </c>
      <c r="AL3187">
        <v>97.174692365427404</v>
      </c>
      <c r="AM3187">
        <v>89.087074282471207</v>
      </c>
      <c r="AN3187">
        <v>0.99999997796754803</v>
      </c>
    </row>
    <row r="3188" spans="1:40" x14ac:dyDescent="0.25">
      <c r="A3188" t="str">
        <f>"20190303154533157"</f>
        <v>20190303154533157</v>
      </c>
      <c r="B3188" t="str">
        <f>"1551599133154420"</f>
        <v>1551599133154420</v>
      </c>
      <c r="C3188" t="s">
        <v>40</v>
      </c>
      <c r="D3188">
        <v>5.0716559999999999</v>
      </c>
      <c r="E3188">
        <v>0.49607000000000001</v>
      </c>
      <c r="F3188" t="s">
        <v>55</v>
      </c>
      <c r="G3188">
        <v>-329.66370000000001</v>
      </c>
      <c r="H3188" s="1">
        <v>3.6057259999999999E-6</v>
      </c>
      <c r="I3188">
        <v>214.4495</v>
      </c>
      <c r="J3188">
        <v>-349.61489999999998</v>
      </c>
      <c r="K3188">
        <v>1.1189899999999999</v>
      </c>
      <c r="L3188">
        <v>214.60599999999999</v>
      </c>
      <c r="M3188">
        <v>0.99997259999999999</v>
      </c>
      <c r="N3188">
        <v>-5.4201639999999999E-3</v>
      </c>
      <c r="O3188">
        <v>-5.0582500000000002E-3</v>
      </c>
      <c r="P3188">
        <v>0.99117359999999999</v>
      </c>
      <c r="Q3188">
        <v>-0.1308493</v>
      </c>
      <c r="R3188">
        <v>-2.130344E-2</v>
      </c>
      <c r="S3188">
        <v>3.0043950000000001</v>
      </c>
      <c r="T3188">
        <v>-0.16576109999999999</v>
      </c>
      <c r="U3188">
        <v>-2.34375E-2</v>
      </c>
      <c r="V3188">
        <v>1.6255149999999999E-2</v>
      </c>
      <c r="W3188">
        <v>-0.12547900000000001</v>
      </c>
      <c r="X3188">
        <v>0.99196309999999999</v>
      </c>
      <c r="Y3188">
        <v>2.7442360000000002E-3</v>
      </c>
      <c r="Z3188">
        <v>1.6837340000000001E-4</v>
      </c>
      <c r="AA3188">
        <v>0.9999962</v>
      </c>
      <c r="AB3188">
        <v>34</v>
      </c>
      <c r="AC3188">
        <v>19.951199999999901</v>
      </c>
      <c r="AD3188">
        <v>-1.1189863942739999</v>
      </c>
      <c r="AE3188">
        <v>-0.15649999999999401</v>
      </c>
      <c r="AF3188">
        <v>5.5404094684994402E-2</v>
      </c>
      <c r="AG3188">
        <v>-1.1189863942739999</v>
      </c>
      <c r="AH3188">
        <v>19.8891756795839</v>
      </c>
      <c r="AI3188">
        <v>93.220114948750506</v>
      </c>
      <c r="AJ3188">
        <v>89.840394964908398</v>
      </c>
      <c r="AK3188">
        <v>19.920705544172598</v>
      </c>
      <c r="AL3188">
        <v>97.2084182555908</v>
      </c>
      <c r="AM3188">
        <v>89.06118671262</v>
      </c>
      <c r="AN3188">
        <v>1.00000000055206</v>
      </c>
    </row>
    <row r="3189" spans="1:40" x14ac:dyDescent="0.25">
      <c r="A3189" t="str">
        <f>"20190303154533177"</f>
        <v>20190303154533177</v>
      </c>
      <c r="B3189" t="str">
        <f>"1551599133173940"</f>
        <v>1551599133173940</v>
      </c>
      <c r="C3189" t="s">
        <v>40</v>
      </c>
      <c r="D3189">
        <v>5.024184</v>
      </c>
      <c r="E3189">
        <v>0.49604350000000003</v>
      </c>
      <c r="F3189" t="s">
        <v>55</v>
      </c>
      <c r="G3189">
        <v>-328.98649999999998</v>
      </c>
      <c r="H3189" s="1">
        <v>3.2453780000000001E-6</v>
      </c>
      <c r="I3189">
        <v>214.42619999999999</v>
      </c>
      <c r="J3189">
        <v>-349.29289999999997</v>
      </c>
      <c r="K3189">
        <v>1.1189020000000001</v>
      </c>
      <c r="L3189">
        <v>214.60429999999999</v>
      </c>
      <c r="M3189">
        <v>0.99997650000000005</v>
      </c>
      <c r="N3189">
        <v>-4.5365190000000001E-3</v>
      </c>
      <c r="O3189">
        <v>-5.1762600000000002E-3</v>
      </c>
      <c r="P3189">
        <v>0.99132819999999999</v>
      </c>
      <c r="Q3189">
        <v>-0.12964539999999999</v>
      </c>
      <c r="R3189">
        <v>-2.1466510000000001E-2</v>
      </c>
      <c r="S3189">
        <v>3.0046390000000001</v>
      </c>
      <c r="T3189">
        <v>-0.16298679999999999</v>
      </c>
      <c r="U3189">
        <v>-2.6199340000000002E-2</v>
      </c>
      <c r="V3189">
        <v>1.6298480000000001E-2</v>
      </c>
      <c r="W3189">
        <v>-0.12515109999999999</v>
      </c>
      <c r="X3189">
        <v>0.99200379999999999</v>
      </c>
      <c r="Y3189">
        <v>3.543811E-3</v>
      </c>
      <c r="Z3189">
        <v>1.5301649999999999E-4</v>
      </c>
      <c r="AA3189">
        <v>0.99999369999999999</v>
      </c>
      <c r="AB3189">
        <v>34</v>
      </c>
      <c r="AC3189">
        <v>20.3064</v>
      </c>
      <c r="AD3189">
        <v>-1.1188987546219999</v>
      </c>
      <c r="AE3189">
        <v>-0.17810000000000001</v>
      </c>
      <c r="AF3189">
        <v>7.27644430053591E-2</v>
      </c>
      <c r="AG3189">
        <v>-1.1188987546219999</v>
      </c>
      <c r="AH3189">
        <v>20.245587005274299</v>
      </c>
      <c r="AI3189">
        <v>93.163287534153497</v>
      </c>
      <c r="AJ3189">
        <v>89.794074751673804</v>
      </c>
      <c r="AK3189">
        <v>20.276612692345601</v>
      </c>
      <c r="AL3189">
        <v>97.189481777762694</v>
      </c>
      <c r="AM3189">
        <v>89.058723259291298</v>
      </c>
      <c r="AN3189">
        <v>0.99999998874798002</v>
      </c>
    </row>
    <row r="3190" spans="1:40" x14ac:dyDescent="0.25">
      <c r="A3190" t="str">
        <f>"20190303154533201"</f>
        <v>20190303154533201</v>
      </c>
      <c r="B3190" t="str">
        <f>"1551599133194436"</f>
        <v>1551599133194436</v>
      </c>
      <c r="C3190" t="s">
        <v>40</v>
      </c>
      <c r="D3190">
        <v>5.1546070000000004</v>
      </c>
      <c r="E3190">
        <v>0.49598199999999998</v>
      </c>
      <c r="F3190" t="s">
        <v>55</v>
      </c>
      <c r="G3190">
        <v>-328.02300000000002</v>
      </c>
      <c r="H3190" s="1">
        <v>2.7326450000000001E-6</v>
      </c>
      <c r="I3190">
        <v>214.4195</v>
      </c>
      <c r="J3190">
        <v>-348.94099999999997</v>
      </c>
      <c r="K3190">
        <v>1.1189370000000001</v>
      </c>
      <c r="L3190">
        <v>214.60239999999999</v>
      </c>
      <c r="M3190">
        <v>0.99997760000000002</v>
      </c>
      <c r="N3190">
        <v>-4.0891690000000001E-3</v>
      </c>
      <c r="O3190">
        <v>-5.2958179999999999E-3</v>
      </c>
      <c r="P3190">
        <v>0.99135669999999998</v>
      </c>
      <c r="Q3190">
        <v>-0.1294014</v>
      </c>
      <c r="R3190">
        <v>-2.1625439999999999E-2</v>
      </c>
      <c r="S3190">
        <v>3.0049739999999998</v>
      </c>
      <c r="T3190">
        <v>-0.15807570000000001</v>
      </c>
      <c r="U3190">
        <v>-2.6107789999999999E-2</v>
      </c>
      <c r="V3190">
        <v>1.633503E-2</v>
      </c>
      <c r="W3190">
        <v>-0.1253513</v>
      </c>
      <c r="X3190">
        <v>0.99197789999999997</v>
      </c>
      <c r="Y3190">
        <v>3.39325E-3</v>
      </c>
      <c r="Z3190">
        <v>1.6061269999999999E-4</v>
      </c>
      <c r="AA3190">
        <v>0.99999420000000006</v>
      </c>
      <c r="AB3190">
        <v>34</v>
      </c>
      <c r="AC3190">
        <v>20.9179999999999</v>
      </c>
      <c r="AD3190">
        <v>-1.118934267355</v>
      </c>
      <c r="AE3190">
        <v>-0.18289999999998899</v>
      </c>
      <c r="AF3190">
        <v>7.1912835207947806E-2</v>
      </c>
      <c r="AG3190">
        <v>-1.118934267355</v>
      </c>
      <c r="AH3190">
        <v>20.858995248813901</v>
      </c>
      <c r="AI3190">
        <v>93.070543091039497</v>
      </c>
      <c r="AJ3190">
        <v>89.802469602349902</v>
      </c>
      <c r="AK3190">
        <v>20.8891088402682</v>
      </c>
      <c r="AL3190">
        <v>97.201043591624895</v>
      </c>
      <c r="AM3190">
        <v>89.056588162350906</v>
      </c>
      <c r="AN3190">
        <v>0.99999996785259904</v>
      </c>
    </row>
    <row r="3191" spans="1:40" x14ac:dyDescent="0.25">
      <c r="A3191" t="str">
        <f>"20190303154533222"</f>
        <v>20190303154533222</v>
      </c>
      <c r="B3191" t="str">
        <f>"1551599133213956"</f>
        <v>1551599133213956</v>
      </c>
      <c r="C3191" t="s">
        <v>40</v>
      </c>
      <c r="D3191">
        <v>5.1053649999999999</v>
      </c>
      <c r="E3191">
        <v>0.4958089</v>
      </c>
      <c r="F3191" t="s">
        <v>55</v>
      </c>
      <c r="G3191">
        <v>-327.49270000000001</v>
      </c>
      <c r="H3191" s="1">
        <v>2.4504759999999998E-6</v>
      </c>
      <c r="I3191">
        <v>214.41630000000001</v>
      </c>
      <c r="J3191">
        <v>-348.61200000000002</v>
      </c>
      <c r="K3191">
        <v>1.1191150000000001</v>
      </c>
      <c r="L3191">
        <v>214.60050000000001</v>
      </c>
      <c r="M3191">
        <v>0.99997630000000004</v>
      </c>
      <c r="N3191">
        <v>-4.2863900000000002E-3</v>
      </c>
      <c r="O3191">
        <v>-5.4099350000000003E-3</v>
      </c>
      <c r="P3191">
        <v>0.99127390000000004</v>
      </c>
      <c r="Q3191">
        <v>-0.1299651</v>
      </c>
      <c r="R3191">
        <v>-2.202577E-2</v>
      </c>
      <c r="S3191">
        <v>3.0051570000000001</v>
      </c>
      <c r="T3191">
        <v>-0.15677579999999999</v>
      </c>
      <c r="U3191">
        <v>-2.607727E-2</v>
      </c>
      <c r="V3191">
        <v>1.661909E-2</v>
      </c>
      <c r="W3191">
        <v>-0.12572030000000001</v>
      </c>
      <c r="X3191">
        <v>0.99192650000000004</v>
      </c>
      <c r="Y3191">
        <v>3.2686579999999998E-3</v>
      </c>
      <c r="Z3191">
        <v>1.6664389999999999E-4</v>
      </c>
      <c r="AA3191">
        <v>0.99999459999999996</v>
      </c>
      <c r="AB3191">
        <v>34</v>
      </c>
      <c r="AC3191">
        <v>21.1192999999999</v>
      </c>
      <c r="AD3191">
        <v>-1.119112549524</v>
      </c>
      <c r="AE3191">
        <v>-0.184200000000004</v>
      </c>
      <c r="AF3191">
        <v>6.9746399205985798E-2</v>
      </c>
      <c r="AG3191">
        <v>-1.119112549524</v>
      </c>
      <c r="AH3191">
        <v>21.060854249832101</v>
      </c>
      <c r="AI3191">
        <v>93.041653840773293</v>
      </c>
      <c r="AJ3191">
        <v>89.810256523566295</v>
      </c>
      <c r="AK3191">
        <v>21.090681809542598</v>
      </c>
      <c r="AL3191">
        <v>97.222354200073397</v>
      </c>
      <c r="AM3191">
        <v>89.040135903073505</v>
      </c>
      <c r="AN3191">
        <v>0.99999998469338303</v>
      </c>
    </row>
    <row r="3192" spans="1:40" x14ac:dyDescent="0.25">
      <c r="A3192" t="str">
        <f>"20190303154533244"</f>
        <v>20190303154533244</v>
      </c>
      <c r="B3192" t="str">
        <f>"1551599133234452"</f>
        <v>1551599133234452</v>
      </c>
      <c r="C3192" t="s">
        <v>40</v>
      </c>
      <c r="D3192">
        <v>4.9552820000000004</v>
      </c>
      <c r="E3192">
        <v>0.49579830000000003</v>
      </c>
      <c r="F3192" t="s">
        <v>55</v>
      </c>
      <c r="G3192">
        <v>-327.57429999999999</v>
      </c>
      <c r="H3192" s="1">
        <v>2.4938970000000001E-6</v>
      </c>
      <c r="I3192">
        <v>214.41589999999999</v>
      </c>
      <c r="J3192">
        <v>-348.27379999999999</v>
      </c>
      <c r="K3192">
        <v>1.119343</v>
      </c>
      <c r="L3192">
        <v>214.5985</v>
      </c>
      <c r="M3192">
        <v>0.999973</v>
      </c>
      <c r="N3192">
        <v>-4.8426900000000002E-3</v>
      </c>
      <c r="O3192">
        <v>-5.5310230000000004E-3</v>
      </c>
      <c r="P3192">
        <v>0.99113050000000003</v>
      </c>
      <c r="Q3192">
        <v>-0.1310151</v>
      </c>
      <c r="R3192">
        <v>-2.2262170000000001E-2</v>
      </c>
      <c r="S3192">
        <v>3.0048520000000001</v>
      </c>
      <c r="T3192">
        <v>-0.15984509999999999</v>
      </c>
      <c r="U3192">
        <v>-2.6367189999999999E-2</v>
      </c>
      <c r="V3192">
        <v>1.673388E-2</v>
      </c>
      <c r="W3192">
        <v>-0.12621940000000001</v>
      </c>
      <c r="X3192">
        <v>0.9918612</v>
      </c>
      <c r="Y3192">
        <v>3.244977E-3</v>
      </c>
      <c r="Z3192">
        <v>1.731321E-4</v>
      </c>
      <c r="AA3192">
        <v>0.99999470000000001</v>
      </c>
      <c r="AB3192">
        <v>34</v>
      </c>
      <c r="AC3192">
        <v>20.6995</v>
      </c>
      <c r="AD3192">
        <v>-1.119340506103</v>
      </c>
      <c r="AE3192">
        <v>-0.18260000000000701</v>
      </c>
      <c r="AF3192">
        <v>6.7907896553719704E-2</v>
      </c>
      <c r="AG3192">
        <v>-1.119340506103</v>
      </c>
      <c r="AH3192">
        <v>20.639843337052898</v>
      </c>
      <c r="AI3192">
        <v>93.104208486887202</v>
      </c>
      <c r="AJ3192">
        <v>89.811489759623399</v>
      </c>
      <c r="AK3192">
        <v>20.670284652832098</v>
      </c>
      <c r="AL3192">
        <v>97.251180039229496</v>
      </c>
      <c r="AM3192">
        <v>89.033443644910193</v>
      </c>
      <c r="AN3192">
        <v>0.99999999987082699</v>
      </c>
    </row>
    <row r="3193" spans="1:40" x14ac:dyDescent="0.25">
      <c r="A3193" t="str">
        <f>"20190303154533267"</f>
        <v>20190303154533267</v>
      </c>
      <c r="B3193" t="str">
        <f>"1551599133263732"</f>
        <v>1551599133263732</v>
      </c>
      <c r="C3193" t="s">
        <v>40</v>
      </c>
      <c r="D3193">
        <v>4.9614060000000002</v>
      </c>
      <c r="E3193">
        <v>0.49577749999999998</v>
      </c>
      <c r="F3193" t="s">
        <v>55</v>
      </c>
      <c r="G3193">
        <v>-327.4171</v>
      </c>
      <c r="H3193" s="1">
        <v>2.4102179999999999E-6</v>
      </c>
      <c r="I3193">
        <v>214.40969999999999</v>
      </c>
      <c r="J3193">
        <v>-347.92779999999999</v>
      </c>
      <c r="K3193">
        <v>1.1195649999999999</v>
      </c>
      <c r="L3193">
        <v>214.59649999999999</v>
      </c>
      <c r="M3193">
        <v>0.99996850000000004</v>
      </c>
      <c r="N3193">
        <v>-5.5492419999999898E-3</v>
      </c>
      <c r="O3193">
        <v>-5.6679269999999997E-3</v>
      </c>
      <c r="P3193">
        <v>0.99092690000000005</v>
      </c>
      <c r="Q3193">
        <v>-0.1324862</v>
      </c>
      <c r="R3193">
        <v>-2.2610089999999999E-2</v>
      </c>
      <c r="S3193">
        <v>3.004883</v>
      </c>
      <c r="T3193">
        <v>-0.1612662</v>
      </c>
      <c r="U3193">
        <v>-2.7206419999999999E-2</v>
      </c>
      <c r="V3193">
        <v>1.6946659999999999E-2</v>
      </c>
      <c r="W3193">
        <v>-0.12699089999999999</v>
      </c>
      <c r="X3193">
        <v>0.9917591</v>
      </c>
      <c r="Y3193">
        <v>3.3869500000000001E-3</v>
      </c>
      <c r="Z3193">
        <v>1.7230270000000001E-4</v>
      </c>
      <c r="AA3193">
        <v>0.9999943</v>
      </c>
      <c r="AB3193">
        <v>34</v>
      </c>
      <c r="AC3193">
        <v>20.5106999999999</v>
      </c>
      <c r="AD3193">
        <v>-1.1195625897820001</v>
      </c>
      <c r="AE3193">
        <v>-0.18680000000000499</v>
      </c>
      <c r="AF3193">
        <v>7.0332519737299704E-2</v>
      </c>
      <c r="AG3193">
        <v>-1.1195625897820001</v>
      </c>
      <c r="AH3193">
        <v>20.4505031605642</v>
      </c>
      <c r="AI3193">
        <v>93.133510466657697</v>
      </c>
      <c r="AJ3193">
        <v>89.802951515461004</v>
      </c>
      <c r="AK3193">
        <v>20.481246216380999</v>
      </c>
      <c r="AL3193">
        <v>97.295742352642705</v>
      </c>
      <c r="AM3193">
        <v>89.021055002851199</v>
      </c>
      <c r="AN3193">
        <v>0.99999999520038696</v>
      </c>
    </row>
    <row r="3194" spans="1:40" x14ac:dyDescent="0.25">
      <c r="A3194" t="str">
        <f>"20190303154533290"</f>
        <v>20190303154533290</v>
      </c>
      <c r="B3194" t="str">
        <f>"1551599133284228"</f>
        <v>1551599133284228</v>
      </c>
      <c r="C3194" t="s">
        <v>40</v>
      </c>
      <c r="D3194">
        <v>4.9204650000000001</v>
      </c>
      <c r="E3194">
        <v>0.4958091</v>
      </c>
      <c r="F3194" t="s">
        <v>55</v>
      </c>
      <c r="G3194">
        <v>-327.37090000000001</v>
      </c>
      <c r="H3194" s="1">
        <v>2.385665E-6</v>
      </c>
      <c r="I3194">
        <v>214.40620000000001</v>
      </c>
      <c r="J3194">
        <v>-347.57960000000003</v>
      </c>
      <c r="K3194">
        <v>1.119761</v>
      </c>
      <c r="L3194">
        <v>214.5943</v>
      </c>
      <c r="M3194">
        <v>0.99996309999999999</v>
      </c>
      <c r="N3194">
        <v>-6.3372139999999999E-3</v>
      </c>
      <c r="O3194">
        <v>-5.8157E-3</v>
      </c>
      <c r="P3194">
        <v>0.99080109999999999</v>
      </c>
      <c r="Q3194">
        <v>-0.1333819</v>
      </c>
      <c r="R3194">
        <v>-2.2863950000000001E-2</v>
      </c>
      <c r="S3194">
        <v>3.0049440000000001</v>
      </c>
      <c r="T3194">
        <v>-0.16365489999999999</v>
      </c>
      <c r="U3194">
        <v>-2.7816770000000001E-2</v>
      </c>
      <c r="V3194">
        <v>1.7055219999999999E-2</v>
      </c>
      <c r="W3194">
        <v>-0.12710569999999999</v>
      </c>
      <c r="X3194">
        <v>0.99174260000000003</v>
      </c>
      <c r="Y3194">
        <v>3.4419170000000001E-3</v>
      </c>
      <c r="Z3194">
        <v>1.7508730000000001E-4</v>
      </c>
      <c r="AA3194">
        <v>0.99999400000000005</v>
      </c>
      <c r="AB3194">
        <v>34</v>
      </c>
      <c r="AC3194">
        <v>20.2087</v>
      </c>
      <c r="AD3194">
        <v>-1.119758614335</v>
      </c>
      <c r="AE3194">
        <v>-0.188099999999991</v>
      </c>
      <c r="AF3194">
        <v>7.0350758157830096E-2</v>
      </c>
      <c r="AG3194">
        <v>-1.119758614335</v>
      </c>
      <c r="AH3194">
        <v>20.1475996141933</v>
      </c>
      <c r="AI3194">
        <v>93.181079521117994</v>
      </c>
      <c r="AJ3194">
        <v>89.799937202271494</v>
      </c>
      <c r="AK3194">
        <v>20.1788150989446</v>
      </c>
      <c r="AL3194">
        <v>97.3023731536029</v>
      </c>
      <c r="AM3194">
        <v>89.0147687427325</v>
      </c>
      <c r="AN3194">
        <v>1.0000000620782401</v>
      </c>
    </row>
    <row r="3195" spans="1:40" x14ac:dyDescent="0.25">
      <c r="A3195" t="str">
        <f>"20190303154533312"</f>
        <v>20190303154533312</v>
      </c>
      <c r="B3195" t="str">
        <f>"1551599133303748"</f>
        <v>1551599133303748</v>
      </c>
      <c r="C3195" t="s">
        <v>40</v>
      </c>
      <c r="D3195">
        <v>5.0140520000000004</v>
      </c>
      <c r="E3195">
        <v>0.49575960000000002</v>
      </c>
      <c r="F3195" t="s">
        <v>55</v>
      </c>
      <c r="G3195">
        <v>-327.178</v>
      </c>
      <c r="H3195" s="1">
        <v>2.2829889999999999E-6</v>
      </c>
      <c r="I3195">
        <v>214.3982</v>
      </c>
      <c r="J3195">
        <v>-347.23320000000001</v>
      </c>
      <c r="K3195">
        <v>1.1199269999999999</v>
      </c>
      <c r="L3195">
        <v>214.59219999999999</v>
      </c>
      <c r="M3195">
        <v>0.99995670000000003</v>
      </c>
      <c r="N3195">
        <v>-7.1664449999999996E-3</v>
      </c>
      <c r="O3195">
        <v>-5.966435E-3</v>
      </c>
      <c r="P3195">
        <v>0.9906971</v>
      </c>
      <c r="Q3195">
        <v>-0.13409070000000001</v>
      </c>
      <c r="R3195">
        <v>-2.3227109999999999E-2</v>
      </c>
      <c r="S3195">
        <v>3.0050050000000001</v>
      </c>
      <c r="T3195">
        <v>-0.16493239999999901</v>
      </c>
      <c r="U3195">
        <v>-2.888489E-2</v>
      </c>
      <c r="V3195">
        <v>1.7270150000000001E-2</v>
      </c>
      <c r="W3195">
        <v>-0.12699279999999999</v>
      </c>
      <c r="X3195">
        <v>0.99175329999999995</v>
      </c>
      <c r="Y3195">
        <v>3.645915E-3</v>
      </c>
      <c r="Z3195">
        <v>1.7143240000000001E-4</v>
      </c>
      <c r="AA3195">
        <v>0.99999329999999997</v>
      </c>
      <c r="AB3195">
        <v>34</v>
      </c>
      <c r="AC3195">
        <v>20.055199999999999</v>
      </c>
      <c r="AD3195">
        <v>-1.119924717011</v>
      </c>
      <c r="AE3195">
        <v>-0.19399999999998799</v>
      </c>
      <c r="AF3195">
        <v>7.4104386998727401E-2</v>
      </c>
      <c r="AG3195">
        <v>-1.119924717011</v>
      </c>
      <c r="AH3195">
        <v>19.993659307817701</v>
      </c>
      <c r="AI3195">
        <v>93.205993258892406</v>
      </c>
      <c r="AJ3195">
        <v>89.787640215786297</v>
      </c>
      <c r="AK3195">
        <v>20.0251375862697</v>
      </c>
      <c r="AL3195">
        <v>97.295851930831503</v>
      </c>
      <c r="AM3195">
        <v>89.002366106795805</v>
      </c>
      <c r="AN3195">
        <v>1.0000000186968701</v>
      </c>
    </row>
    <row r="3196" spans="1:40" x14ac:dyDescent="0.25">
      <c r="A3196" t="str">
        <f>"20190303154533336"</f>
        <v>20190303154533336</v>
      </c>
      <c r="B3196" t="str">
        <f>"1551599133324244"</f>
        <v>1551599133324244</v>
      </c>
      <c r="C3196" t="s">
        <v>40</v>
      </c>
      <c r="D3196">
        <v>4.8862069999999997</v>
      </c>
      <c r="E3196">
        <v>0.49575740000000001</v>
      </c>
      <c r="F3196" t="s">
        <v>55</v>
      </c>
      <c r="G3196">
        <v>-327.07209999999998</v>
      </c>
      <c r="H3196" s="1">
        <v>2.2265970000000001E-6</v>
      </c>
      <c r="I3196">
        <v>214.39259999999999</v>
      </c>
      <c r="J3196">
        <v>-346.86770000000001</v>
      </c>
      <c r="K3196">
        <v>1.120069</v>
      </c>
      <c r="L3196">
        <v>214.5898</v>
      </c>
      <c r="M3196">
        <v>0.99994919999999998</v>
      </c>
      <c r="N3196">
        <v>-8.0333119999999904E-3</v>
      </c>
      <c r="O3196">
        <v>-6.1243549999999997E-3</v>
      </c>
      <c r="P3196">
        <v>0.99056319999999998</v>
      </c>
      <c r="Q3196">
        <v>-0.13512969999999999</v>
      </c>
      <c r="R3196">
        <v>-2.2905559999999998E-2</v>
      </c>
      <c r="S3196">
        <v>3.0049130000000002</v>
      </c>
      <c r="T3196">
        <v>-0.16691839999999999</v>
      </c>
      <c r="U3196">
        <v>-2.9739379999999999E-2</v>
      </c>
      <c r="V3196">
        <v>1.6792950000000001E-2</v>
      </c>
      <c r="W3196">
        <v>-0.12717290000000001</v>
      </c>
      <c r="X3196">
        <v>0.99173840000000002</v>
      </c>
      <c r="Y3196">
        <v>3.772245E-3</v>
      </c>
      <c r="Z3196">
        <v>1.7090369999999999E-4</v>
      </c>
      <c r="AA3196">
        <v>0.99999280000000002</v>
      </c>
      <c r="AB3196">
        <v>34</v>
      </c>
      <c r="AC3196">
        <v>19.7956</v>
      </c>
      <c r="AD3196">
        <v>-1.1200667734030001</v>
      </c>
      <c r="AE3196">
        <v>-0.19720000000000901</v>
      </c>
      <c r="AF3196">
        <v>7.5714759410308793E-2</v>
      </c>
      <c r="AG3196">
        <v>-1.1200667734030001</v>
      </c>
      <c r="AH3196">
        <v>19.7332671431999</v>
      </c>
      <c r="AI3196">
        <v>93.248617782461196</v>
      </c>
      <c r="AJ3196">
        <v>89.780162360278794</v>
      </c>
      <c r="AK3196">
        <v>19.765174283232799</v>
      </c>
      <c r="AL3196">
        <v>97.306255373313704</v>
      </c>
      <c r="AM3196">
        <v>89.029912304807297</v>
      </c>
      <c r="AN3196">
        <v>1.00000000184933</v>
      </c>
    </row>
    <row r="3197" spans="1:40" x14ac:dyDescent="0.25">
      <c r="A3197" t="str">
        <f>"20190303154533358"</f>
        <v>20190303154533358</v>
      </c>
      <c r="B3197" t="str">
        <f>"1551599133354500"</f>
        <v>1551599133354500</v>
      </c>
      <c r="C3197" t="s">
        <v>40</v>
      </c>
      <c r="D3197">
        <v>4.9006959999999999</v>
      </c>
      <c r="E3197">
        <v>0.4960214</v>
      </c>
      <c r="F3197" t="s">
        <v>55</v>
      </c>
      <c r="G3197">
        <v>-326.96350000000001</v>
      </c>
      <c r="H3197" s="1">
        <v>2.1688520000000001E-6</v>
      </c>
      <c r="I3197">
        <v>214.40039999999999</v>
      </c>
      <c r="J3197">
        <v>-346.52940000000001</v>
      </c>
      <c r="K3197">
        <v>1.1201540000000001</v>
      </c>
      <c r="L3197">
        <v>214.58760000000001</v>
      </c>
      <c r="M3197">
        <v>0.99994179999999999</v>
      </c>
      <c r="N3197">
        <v>-8.7885429999999994E-3</v>
      </c>
      <c r="O3197">
        <v>-6.2670149999999999E-3</v>
      </c>
      <c r="P3197">
        <v>0.99049529999999997</v>
      </c>
      <c r="Q3197">
        <v>-0.13564479999999901</v>
      </c>
      <c r="R3197">
        <v>-2.2805490000000001E-2</v>
      </c>
      <c r="S3197">
        <v>3.0049130000000002</v>
      </c>
      <c r="T3197">
        <v>-0.16909560000000001</v>
      </c>
      <c r="U3197">
        <v>-2.8594970000000001E-2</v>
      </c>
      <c r="V3197">
        <v>1.6551389999999999E-2</v>
      </c>
      <c r="W3197">
        <v>-0.12693940000000001</v>
      </c>
      <c r="X3197">
        <v>0.9917724</v>
      </c>
      <c r="Y3197">
        <v>3.2495950000000001E-3</v>
      </c>
      <c r="Z3197">
        <v>1.9168000000000001E-4</v>
      </c>
      <c r="AA3197">
        <v>0.99999470000000001</v>
      </c>
      <c r="AB3197">
        <v>34</v>
      </c>
      <c r="AC3197">
        <v>19.565899999999999</v>
      </c>
      <c r="AD3197">
        <v>-1.1201518311480001</v>
      </c>
      <c r="AE3197">
        <v>-0.18720000000001799</v>
      </c>
      <c r="AF3197">
        <v>6.4360877128474603E-2</v>
      </c>
      <c r="AG3197">
        <v>-1.1201518311480001</v>
      </c>
      <c r="AH3197">
        <v>19.502772798213901</v>
      </c>
      <c r="AI3197">
        <v>93.287183361553403</v>
      </c>
      <c r="AJ3197">
        <v>89.8109195406862</v>
      </c>
      <c r="AK3197">
        <v>19.5350205852485</v>
      </c>
      <c r="AL3197">
        <v>97.292767315218995</v>
      </c>
      <c r="AM3197">
        <v>89.043896798663098</v>
      </c>
      <c r="AN3197">
        <v>1.00000002659252</v>
      </c>
    </row>
    <row r="3198" spans="1:40" x14ac:dyDescent="0.25">
      <c r="A3198" t="str">
        <f>"20190303154533379"</f>
        <v>20190303154533379</v>
      </c>
      <c r="B3198" t="str">
        <f>"1551599133374021"</f>
        <v>1551599133374021</v>
      </c>
      <c r="C3198" t="s">
        <v>40</v>
      </c>
      <c r="D3198">
        <v>4.8575879999999998</v>
      </c>
      <c r="E3198">
        <v>0.49618859999999898</v>
      </c>
      <c r="F3198" t="s">
        <v>55</v>
      </c>
      <c r="G3198">
        <v>-326.4092</v>
      </c>
      <c r="H3198" s="1">
        <v>1.873862E-6</v>
      </c>
      <c r="I3198">
        <v>214.38579999999999</v>
      </c>
      <c r="J3198">
        <v>-346.21460000000002</v>
      </c>
      <c r="K3198">
        <v>1.1202179999999999</v>
      </c>
      <c r="L3198">
        <v>214.5855</v>
      </c>
      <c r="M3198">
        <v>0.99993500000000002</v>
      </c>
      <c r="N3198">
        <v>-9.4364289999999997E-3</v>
      </c>
      <c r="O3198">
        <v>-6.3976340000000001E-3</v>
      </c>
      <c r="P3198">
        <v>0.99038269999999995</v>
      </c>
      <c r="Q3198">
        <v>-0.13646320000000001</v>
      </c>
      <c r="R3198">
        <v>-2.2802280000000001E-2</v>
      </c>
      <c r="S3198">
        <v>3.0051570000000001</v>
      </c>
      <c r="T3198">
        <v>-0.16730619999999999</v>
      </c>
      <c r="U3198">
        <v>-3.015137E-2</v>
      </c>
      <c r="V3198">
        <v>1.6419070000000001E-2</v>
      </c>
      <c r="W3198">
        <v>-0.12711620000000001</v>
      </c>
      <c r="X3198">
        <v>0.99175190000000002</v>
      </c>
      <c r="Y3198">
        <v>3.6351479999999999E-3</v>
      </c>
      <c r="Z3198">
        <v>1.7727699999999999E-4</v>
      </c>
      <c r="AA3198">
        <v>0.99999340000000003</v>
      </c>
      <c r="AB3198">
        <v>34</v>
      </c>
      <c r="AC3198">
        <v>19.805399999999999</v>
      </c>
      <c r="AD3198">
        <v>-1.1202161261379999</v>
      </c>
      <c r="AE3198">
        <v>-0.19970000000000701</v>
      </c>
      <c r="AF3198">
        <v>7.2749854281991502E-2</v>
      </c>
      <c r="AG3198">
        <v>-1.1202161261379999</v>
      </c>
      <c r="AH3198">
        <v>19.7431172747796</v>
      </c>
      <c r="AI3198">
        <v>93.247434358812598</v>
      </c>
      <c r="AJ3198">
        <v>89.788876260659407</v>
      </c>
      <c r="AK3198">
        <v>19.7750058517376</v>
      </c>
      <c r="AL3198">
        <v>97.302980335673098</v>
      </c>
      <c r="AM3198">
        <v>89.051519357174001</v>
      </c>
      <c r="AN3198">
        <v>0.99999997265785701</v>
      </c>
    </row>
    <row r="3199" spans="1:40" x14ac:dyDescent="0.25">
      <c r="A3199" t="str">
        <f>"20190303154533401"</f>
        <v>20190303154533401</v>
      </c>
      <c r="B3199" t="str">
        <f>"1551599133393540"</f>
        <v>1551599133393540</v>
      </c>
      <c r="C3199" t="s">
        <v>40</v>
      </c>
      <c r="D3199">
        <v>4.8916409999999999</v>
      </c>
      <c r="E3199">
        <v>0.49635790000000002</v>
      </c>
      <c r="F3199" t="s">
        <v>55</v>
      </c>
      <c r="G3199">
        <v>-326.16149999999999</v>
      </c>
      <c r="H3199" s="1">
        <v>1.742044E-6</v>
      </c>
      <c r="I3199">
        <v>214.3758</v>
      </c>
      <c r="J3199">
        <v>-345.87810000000002</v>
      </c>
      <c r="K3199">
        <v>1.120274</v>
      </c>
      <c r="L3199">
        <v>214.58320000000001</v>
      </c>
      <c r="M3199">
        <v>0.99992789999999998</v>
      </c>
      <c r="N3199">
        <v>-1.0069649999999999E-2</v>
      </c>
      <c r="O3199">
        <v>-6.5366080000000002E-3</v>
      </c>
      <c r="P3199">
        <v>0.99029250000000002</v>
      </c>
      <c r="Q3199">
        <v>-0.13707139999999901</v>
      </c>
      <c r="R3199">
        <v>-2.3074190000000001E-2</v>
      </c>
      <c r="S3199">
        <v>3.00528</v>
      </c>
      <c r="T3199">
        <v>-0.16788239999999999</v>
      </c>
      <c r="U3199">
        <v>-3.143311E-2</v>
      </c>
      <c r="V3199">
        <v>1.6553559999999998E-2</v>
      </c>
      <c r="W3199">
        <v>-0.1270973</v>
      </c>
      <c r="X3199">
        <v>0.99175210000000003</v>
      </c>
      <c r="Y3199">
        <v>3.9215480000000004E-3</v>
      </c>
      <c r="Z3199">
        <v>1.6986279999999901E-4</v>
      </c>
      <c r="AA3199">
        <v>0.99999229999999995</v>
      </c>
      <c r="AB3199">
        <v>34</v>
      </c>
      <c r="AC3199">
        <v>19.7166</v>
      </c>
      <c r="AD3199">
        <v>-1.1202722579560001</v>
      </c>
      <c r="AE3199">
        <v>-0.207400000000006</v>
      </c>
      <c r="AF3199">
        <v>7.8256730725548604E-2</v>
      </c>
      <c r="AG3199">
        <v>-1.1202722579560001</v>
      </c>
      <c r="AH3199">
        <v>19.654090866800001</v>
      </c>
      <c r="AI3199">
        <v>93.262271846206403</v>
      </c>
      <c r="AJ3199">
        <v>89.771866492097303</v>
      </c>
      <c r="AK3199">
        <v>19.686147968769401</v>
      </c>
      <c r="AL3199">
        <v>97.301888492832902</v>
      </c>
      <c r="AM3199">
        <v>89.043751901052801</v>
      </c>
      <c r="AN3199">
        <v>0.99999998593518602</v>
      </c>
    </row>
    <row r="3200" spans="1:40" x14ac:dyDescent="0.25">
      <c r="A3200" t="str">
        <f>"20190303154533425"</f>
        <v>20190303154533425</v>
      </c>
      <c r="B3200" t="str">
        <f>"1551599133414039"</f>
        <v>1551599133414039</v>
      </c>
      <c r="C3200" t="s">
        <v>40</v>
      </c>
      <c r="D3200">
        <v>4.8712780000000002</v>
      </c>
      <c r="E3200">
        <v>0.49650359999999999</v>
      </c>
      <c r="F3200" t="s">
        <v>55</v>
      </c>
      <c r="G3200">
        <v>-325.82139999999998</v>
      </c>
      <c r="H3200" s="1">
        <v>1.561095E-6</v>
      </c>
      <c r="I3200">
        <v>214.35830000000001</v>
      </c>
      <c r="J3200">
        <v>-345.52769999999998</v>
      </c>
      <c r="K3200">
        <v>1.1203069999999999</v>
      </c>
      <c r="L3200">
        <v>214.58080000000001</v>
      </c>
      <c r="M3200">
        <v>0.9999209</v>
      </c>
      <c r="N3200">
        <v>-1.065602E-2</v>
      </c>
      <c r="O3200">
        <v>-6.6823069999999898E-3</v>
      </c>
      <c r="P3200">
        <v>0.99033890000000002</v>
      </c>
      <c r="Q3200">
        <v>-0.1367852</v>
      </c>
      <c r="R3200">
        <v>-2.2776049999999999E-2</v>
      </c>
      <c r="S3200">
        <v>3.0053709999999998</v>
      </c>
      <c r="T3200">
        <v>-0.167866299999999</v>
      </c>
      <c r="U3200">
        <v>-3.3706670000000001E-2</v>
      </c>
      <c r="V3200">
        <v>1.6110929999999999E-2</v>
      </c>
      <c r="W3200">
        <v>-0.1262289</v>
      </c>
      <c r="X3200">
        <v>0.99187029999999998</v>
      </c>
      <c r="Y3200">
        <v>4.5306610000000001E-3</v>
      </c>
      <c r="Z3200">
        <v>1.511808E-4</v>
      </c>
      <c r="AA3200">
        <v>0.99998969999999998</v>
      </c>
      <c r="AB3200">
        <v>34</v>
      </c>
      <c r="AC3200">
        <v>19.706299999999999</v>
      </c>
      <c r="AD3200">
        <v>-1.120305438905</v>
      </c>
      <c r="AE3200">
        <v>-0.22249999999999601</v>
      </c>
      <c r="AF3200">
        <v>9.0511518809701097E-2</v>
      </c>
      <c r="AG3200">
        <v>-1.120305438905</v>
      </c>
      <c r="AH3200">
        <v>19.643867245039701</v>
      </c>
      <c r="AI3200">
        <v>93.264053731045706</v>
      </c>
      <c r="AJ3200">
        <v>89.736004562569306</v>
      </c>
      <c r="AK3200">
        <v>19.6759954500966</v>
      </c>
      <c r="AL3200">
        <v>97.251728775891607</v>
      </c>
      <c r="AM3200">
        <v>89.069427600505193</v>
      </c>
      <c r="AN3200">
        <v>0.99999999464138201</v>
      </c>
    </row>
    <row r="3201" spans="1:40" x14ac:dyDescent="0.25">
      <c r="A3201" t="str">
        <f>"20190303154533448"</f>
        <v>20190303154533448</v>
      </c>
      <c r="B3201" t="str">
        <f>"1551599133444292"</f>
        <v>1551599133444292</v>
      </c>
      <c r="C3201" t="s">
        <v>40</v>
      </c>
      <c r="D3201">
        <v>4.8494260000000002</v>
      </c>
      <c r="E3201">
        <v>0.4967665</v>
      </c>
      <c r="F3201" t="s">
        <v>55</v>
      </c>
      <c r="G3201">
        <v>-325.18819999999999</v>
      </c>
      <c r="H3201" s="1">
        <v>1.22412E-6</v>
      </c>
      <c r="I3201">
        <v>214.35059999999999</v>
      </c>
      <c r="J3201">
        <v>-345.17880000000002</v>
      </c>
      <c r="K3201">
        <v>1.120328</v>
      </c>
      <c r="L3201">
        <v>214.57830000000001</v>
      </c>
      <c r="M3201">
        <v>0.99991439999999998</v>
      </c>
      <c r="N3201">
        <v>-1.117459E-2</v>
      </c>
      <c r="O3201">
        <v>-6.8281349999999999E-3</v>
      </c>
      <c r="P3201">
        <v>0.99029310000000004</v>
      </c>
      <c r="Q3201">
        <v>-0.1370972</v>
      </c>
      <c r="R3201">
        <v>-2.289387E-2</v>
      </c>
      <c r="S3201">
        <v>3.0056150000000001</v>
      </c>
      <c r="T3201">
        <v>-0.16555</v>
      </c>
      <c r="U3201">
        <v>-3.4011840000000002E-2</v>
      </c>
      <c r="V3201">
        <v>1.608472E-2</v>
      </c>
      <c r="W3201">
        <v>-0.126027</v>
      </c>
      <c r="X3201">
        <v>0.99189640000000001</v>
      </c>
      <c r="Y3201">
        <v>4.4853840000000002E-3</v>
      </c>
      <c r="Z3201">
        <v>1.5101979999999999E-4</v>
      </c>
      <c r="AA3201">
        <v>0.99998989999999999</v>
      </c>
      <c r="AB3201">
        <v>34</v>
      </c>
      <c r="AC3201">
        <v>19.990600000000001</v>
      </c>
      <c r="AD3201">
        <v>-1.12032677588</v>
      </c>
      <c r="AE3201">
        <v>-0.22770000000002699</v>
      </c>
      <c r="AF3201">
        <v>9.0902206152755294E-2</v>
      </c>
      <c r="AG3201">
        <v>-1.12032677588</v>
      </c>
      <c r="AH3201">
        <v>19.929103936326602</v>
      </c>
      <c r="AI3201">
        <v>93.217497424562495</v>
      </c>
      <c r="AJ3201">
        <v>89.738659768248496</v>
      </c>
      <c r="AK3201">
        <v>19.9607760119878</v>
      </c>
      <c r="AL3201">
        <v>97.240067624549198</v>
      </c>
      <c r="AM3201">
        <v>89.070965675059099</v>
      </c>
      <c r="AN3201">
        <v>0.99999999563971897</v>
      </c>
    </row>
    <row r="3202" spans="1:40" x14ac:dyDescent="0.25">
      <c r="A3202" t="str">
        <f>"20190303154533470"</f>
        <v>20190303154533470</v>
      </c>
      <c r="B3202" t="str">
        <f>"1551599133463812"</f>
        <v>1551599133463812</v>
      </c>
      <c r="C3202" t="s">
        <v>40</v>
      </c>
      <c r="D3202">
        <v>4.8159669999999997</v>
      </c>
      <c r="E3202">
        <v>0.49692439999999999</v>
      </c>
      <c r="F3202" t="s">
        <v>55</v>
      </c>
      <c r="G3202">
        <v>-324.63830000000002</v>
      </c>
      <c r="H3202" s="1">
        <v>9.3148869999999998E-7</v>
      </c>
      <c r="I3202">
        <v>214.3322</v>
      </c>
      <c r="J3202">
        <v>-344.83</v>
      </c>
      <c r="K3202">
        <v>1.120341</v>
      </c>
      <c r="L3202">
        <v>214.57570000000001</v>
      </c>
      <c r="M3202">
        <v>0.99990809999999997</v>
      </c>
      <c r="N3202">
        <v>-1.163168E-2</v>
      </c>
      <c r="O3202">
        <v>-6.9743210000000003E-3</v>
      </c>
      <c r="P3202">
        <v>0.99028499999999997</v>
      </c>
      <c r="Q3202">
        <v>-0.13722129999999999</v>
      </c>
      <c r="R3202">
        <v>-2.2497240000000002E-2</v>
      </c>
      <c r="S3202">
        <v>3.00589</v>
      </c>
      <c r="T3202">
        <v>-0.16394829999999999</v>
      </c>
      <c r="U3202">
        <v>-3.6010739999999999E-2</v>
      </c>
      <c r="V3202">
        <v>1.554382E-2</v>
      </c>
      <c r="W3202">
        <v>-0.12569749999999999</v>
      </c>
      <c r="X3202">
        <v>0.99194680000000002</v>
      </c>
      <c r="Y3202">
        <v>5.0020109999999998E-3</v>
      </c>
      <c r="Z3202">
        <v>1.3359299999999999E-4</v>
      </c>
      <c r="AA3202">
        <v>0.99998750000000003</v>
      </c>
      <c r="AB3202">
        <v>34</v>
      </c>
      <c r="AC3202">
        <v>20.191699999999901</v>
      </c>
      <c r="AD3202">
        <v>-1.1203400685113001</v>
      </c>
      <c r="AE3202">
        <v>-0.24350000000001101</v>
      </c>
      <c r="AF3202">
        <v>0.102346125122886</v>
      </c>
      <c r="AG3202">
        <v>-1.1203400685113001</v>
      </c>
      <c r="AH3202">
        <v>20.130941012307598</v>
      </c>
      <c r="AI3202">
        <v>93.185334579868695</v>
      </c>
      <c r="AJ3202">
        <v>89.7087095683478</v>
      </c>
      <c r="AK3202">
        <v>20.1623516148153</v>
      </c>
      <c r="AL3202">
        <v>97.2210375683444</v>
      </c>
      <c r="AM3202">
        <v>89.102247822944307</v>
      </c>
      <c r="AN3202">
        <v>0.99999996293834004</v>
      </c>
    </row>
    <row r="3203" spans="1:40" x14ac:dyDescent="0.25">
      <c r="A3203" t="str">
        <f>"20190303154533492"</f>
        <v>20190303154533492</v>
      </c>
      <c r="B3203" t="str">
        <f>"1551599133484308"</f>
        <v>1551599133484308</v>
      </c>
      <c r="C3203" t="s">
        <v>40</v>
      </c>
      <c r="D3203">
        <v>4.8326320000000003</v>
      </c>
      <c r="E3203">
        <v>0.49708079999999999</v>
      </c>
      <c r="F3203" t="s">
        <v>55</v>
      </c>
      <c r="G3203">
        <v>-324.11610000000002</v>
      </c>
      <c r="H3203" s="1">
        <v>6.5358930000000002E-7</v>
      </c>
      <c r="I3203">
        <v>214.3244</v>
      </c>
      <c r="J3203">
        <v>-344.49630000000002</v>
      </c>
      <c r="K3203">
        <v>1.1203479999999999</v>
      </c>
      <c r="L3203">
        <v>214.57329999999999</v>
      </c>
      <c r="M3203">
        <v>0.99990259999999997</v>
      </c>
      <c r="N3203">
        <v>-1.201604E-2</v>
      </c>
      <c r="O3203">
        <v>-7.114319E-3</v>
      </c>
      <c r="P3203">
        <v>0.99014740000000001</v>
      </c>
      <c r="Q3203">
        <v>-0.1381</v>
      </c>
      <c r="R3203">
        <v>-2.3166450000000002E-2</v>
      </c>
      <c r="S3203">
        <v>3.0061040000000001</v>
      </c>
      <c r="T3203">
        <v>-0.16258929999999999</v>
      </c>
      <c r="U3203">
        <v>-3.6468510000000003E-2</v>
      </c>
      <c r="V3203">
        <v>1.607536E-2</v>
      </c>
      <c r="W3203">
        <v>-0.12619659999999999</v>
      </c>
      <c r="X3203">
        <v>0.99187499999999995</v>
      </c>
      <c r="Y3203">
        <v>5.0133119999999998E-3</v>
      </c>
      <c r="Z3203">
        <v>1.3342620000000001E-4</v>
      </c>
      <c r="AA3203">
        <v>0.99998739999999997</v>
      </c>
      <c r="AB3203">
        <v>34</v>
      </c>
      <c r="AC3203">
        <v>20.380199999999999</v>
      </c>
      <c r="AD3203">
        <v>-1.1203473464107001</v>
      </c>
      <c r="AE3203">
        <v>-0.24889999999999099</v>
      </c>
      <c r="AF3203">
        <v>0.103579037869149</v>
      </c>
      <c r="AG3203">
        <v>-1.1203473464107001</v>
      </c>
      <c r="AH3203">
        <v>20.320057829829899</v>
      </c>
      <c r="AI3203">
        <v>93.155769422540502</v>
      </c>
      <c r="AJ3203">
        <v>89.707944221125899</v>
      </c>
      <c r="AK3203">
        <v>20.351183184309601</v>
      </c>
      <c r="AL3203">
        <v>97.249863111045897</v>
      </c>
      <c r="AM3203">
        <v>89.071486173847205</v>
      </c>
      <c r="AN3203">
        <v>1.0000000073378399</v>
      </c>
    </row>
    <row r="3204" spans="1:40" x14ac:dyDescent="0.25">
      <c r="A3204" t="str">
        <f>"20190303154533514"</f>
        <v>20190303154533514</v>
      </c>
      <c r="B3204" t="str">
        <f>"1551599133503828"</f>
        <v>1551599133503828</v>
      </c>
      <c r="C3204" t="s">
        <v>40</v>
      </c>
      <c r="D3204">
        <v>4.8123760000000004</v>
      </c>
      <c r="E3204">
        <v>0.49720629999999999</v>
      </c>
      <c r="F3204" t="s">
        <v>55</v>
      </c>
      <c r="G3204">
        <v>-323.92009999999999</v>
      </c>
      <c r="H3204" s="1">
        <v>5.4929499999999899E-7</v>
      </c>
      <c r="I3204">
        <v>214.3021</v>
      </c>
      <c r="J3204">
        <v>-344.16449999999998</v>
      </c>
      <c r="K3204">
        <v>1.1203510000000001</v>
      </c>
      <c r="L3204">
        <v>214.57079999999999</v>
      </c>
      <c r="M3204">
        <v>0.99989749999999999</v>
      </c>
      <c r="N3204">
        <v>-1.235136E-2</v>
      </c>
      <c r="O3204">
        <v>-7.2534840000000001E-3</v>
      </c>
      <c r="P3204">
        <v>0.99000460000000001</v>
      </c>
      <c r="Q3204">
        <v>-0.13910149999999999</v>
      </c>
      <c r="R3204">
        <v>-2.3276459999999999E-2</v>
      </c>
      <c r="S3204">
        <v>3.0061040000000001</v>
      </c>
      <c r="T3204">
        <v>-0.1636784</v>
      </c>
      <c r="U3204">
        <v>-3.9611819999999999E-2</v>
      </c>
      <c r="V3204">
        <v>1.6048570000000002E-2</v>
      </c>
      <c r="W3204">
        <v>-0.12686700000000001</v>
      </c>
      <c r="X3204">
        <v>0.9917899</v>
      </c>
      <c r="Y3204">
        <v>5.9178969999999897E-3</v>
      </c>
      <c r="Z3204">
        <v>1.075179E-4</v>
      </c>
      <c r="AA3204">
        <v>0.9999825</v>
      </c>
      <c r="AB3204">
        <v>34</v>
      </c>
      <c r="AC3204">
        <v>20.244399999999899</v>
      </c>
      <c r="AD3204">
        <v>-1.1203504507049999</v>
      </c>
      <c r="AE3204">
        <v>-0.268699999999995</v>
      </c>
      <c r="AF3204">
        <v>0.121467362829121</v>
      </c>
      <c r="AG3204">
        <v>-1.1203504507049999</v>
      </c>
      <c r="AH3204">
        <v>20.184010754310499</v>
      </c>
      <c r="AI3204">
        <v>93.1769895143116</v>
      </c>
      <c r="AJ3204">
        <v>89.655198200763706</v>
      </c>
      <c r="AK3204">
        <v>20.215445322395201</v>
      </c>
      <c r="AL3204">
        <v>97.288585491752897</v>
      </c>
      <c r="AM3204">
        <v>89.072953771738995</v>
      </c>
      <c r="AN3204">
        <v>0.99999999901502701</v>
      </c>
    </row>
    <row r="3205" spans="1:40" x14ac:dyDescent="0.25">
      <c r="A3205" t="str">
        <f>"20190303154533537"</f>
        <v>20190303154533537</v>
      </c>
      <c r="B3205" t="str">
        <f>"1551599133524324"</f>
        <v>1551599133524324</v>
      </c>
      <c r="C3205" t="s">
        <v>40</v>
      </c>
      <c r="D3205">
        <v>4.8229430000000004</v>
      </c>
      <c r="E3205">
        <v>0.49736390000000003</v>
      </c>
      <c r="F3205" t="s">
        <v>55</v>
      </c>
      <c r="G3205">
        <v>-323.80029999999999</v>
      </c>
      <c r="H3205" s="1">
        <v>4.8551949999999996E-7</v>
      </c>
      <c r="I3205">
        <v>214.2945</v>
      </c>
      <c r="J3205">
        <v>-343.82100000000003</v>
      </c>
      <c r="K3205">
        <v>1.120352</v>
      </c>
      <c r="L3205">
        <v>214.56809999999999</v>
      </c>
      <c r="M3205">
        <v>0.99989269999999997</v>
      </c>
      <c r="N3205">
        <v>-1.2654449999999999E-2</v>
      </c>
      <c r="O3205">
        <v>-7.3972669999999999E-3</v>
      </c>
      <c r="P3205">
        <v>0.98997219999999997</v>
      </c>
      <c r="Q3205">
        <v>-0.13921159999999999</v>
      </c>
      <c r="R3205">
        <v>-2.398979E-2</v>
      </c>
      <c r="S3205">
        <v>3.0061040000000001</v>
      </c>
      <c r="T3205">
        <v>-0.1653829</v>
      </c>
      <c r="U3205">
        <v>-4.0786740000000002E-2</v>
      </c>
      <c r="V3205">
        <v>1.6619620000000002E-2</v>
      </c>
      <c r="W3205">
        <v>-0.12667700000000001</v>
      </c>
      <c r="X3205">
        <v>0.99180480000000004</v>
      </c>
      <c r="Y3205">
        <v>6.1643430000000001E-3</v>
      </c>
      <c r="Z3205">
        <v>1.046018E-4</v>
      </c>
      <c r="AA3205">
        <v>0.99998100000000001</v>
      </c>
      <c r="AB3205">
        <v>34</v>
      </c>
      <c r="AC3205">
        <v>20.020699999999898</v>
      </c>
      <c r="AD3205">
        <v>-1.1203515144805001</v>
      </c>
      <c r="AE3205">
        <v>-0.27359999999998702</v>
      </c>
      <c r="AF3205">
        <v>0.12509056418089301</v>
      </c>
      <c r="AG3205">
        <v>-1.1203515144805001</v>
      </c>
      <c r="AH3205">
        <v>19.959684449884001</v>
      </c>
      <c r="AI3205">
        <v>93.212619366094799</v>
      </c>
      <c r="AJ3205">
        <v>89.640922802709099</v>
      </c>
      <c r="AK3205">
        <v>19.991494153869201</v>
      </c>
      <c r="AL3205">
        <v>97.2776106113769</v>
      </c>
      <c r="AM3205">
        <v>89.039987535329999</v>
      </c>
      <c r="AN3205">
        <v>1.00000001770049</v>
      </c>
    </row>
    <row r="3206" spans="1:40" x14ac:dyDescent="0.25">
      <c r="A3206" t="str">
        <f>"20190303154533560"</f>
        <v>20190303154533560</v>
      </c>
      <c r="B3206" t="str">
        <f>"1551599133553604"</f>
        <v>1551599133553604</v>
      </c>
      <c r="C3206" t="s">
        <v>40</v>
      </c>
      <c r="D3206">
        <v>4.830476</v>
      </c>
      <c r="E3206">
        <v>0.49753130000000001</v>
      </c>
      <c r="F3206" t="s">
        <v>55</v>
      </c>
      <c r="G3206">
        <v>-323.30959999999999</v>
      </c>
      <c r="H3206" s="1">
        <v>2.2443670000000001E-7</v>
      </c>
      <c r="I3206">
        <v>214.26689999999999</v>
      </c>
      <c r="J3206">
        <v>-343.47280000000001</v>
      </c>
      <c r="K3206">
        <v>1.1203430000000001</v>
      </c>
      <c r="L3206">
        <v>214.56540000000001</v>
      </c>
      <c r="M3206">
        <v>0.99988809999999995</v>
      </c>
      <c r="N3206">
        <v>-1.292128E-2</v>
      </c>
      <c r="O3206">
        <v>-7.54323699999999E-3</v>
      </c>
      <c r="P3206">
        <v>0.98993359999999997</v>
      </c>
      <c r="Q3206">
        <v>-0.13946029999999901</v>
      </c>
      <c r="R3206">
        <v>-2.4131110000000001E-2</v>
      </c>
      <c r="S3206">
        <v>3.0062259999999998</v>
      </c>
      <c r="T3206">
        <v>-0.16420299999999999</v>
      </c>
      <c r="U3206">
        <v>-4.4143679999999998E-2</v>
      </c>
      <c r="V3206">
        <v>1.661702E-2</v>
      </c>
      <c r="W3206">
        <v>-0.12666140000000001</v>
      </c>
      <c r="X3206">
        <v>0.99180679999999999</v>
      </c>
      <c r="Y3206">
        <v>7.1324350000000003E-3</v>
      </c>
      <c r="Z3206" s="1">
        <v>7.3506070000000002E-5</v>
      </c>
      <c r="AA3206">
        <v>0.99997449999999999</v>
      </c>
      <c r="AB3206">
        <v>34</v>
      </c>
      <c r="AC3206">
        <v>20.1632</v>
      </c>
      <c r="AD3206">
        <v>-1.1203427755633</v>
      </c>
      <c r="AE3206">
        <v>-0.29850000000001797</v>
      </c>
      <c r="AF3206">
        <v>0.14593257364284901</v>
      </c>
      <c r="AG3206">
        <v>-1.1203427755633</v>
      </c>
      <c r="AH3206">
        <v>20.102827648274801</v>
      </c>
      <c r="AI3206">
        <v>93.189744966760401</v>
      </c>
      <c r="AJ3206">
        <v>89.584079720498593</v>
      </c>
      <c r="AK3206">
        <v>20.134550993430398</v>
      </c>
      <c r="AL3206">
        <v>97.2767097998222</v>
      </c>
      <c r="AM3206">
        <v>89.040139628339404</v>
      </c>
      <c r="AN3206">
        <v>0.99999998206494001</v>
      </c>
    </row>
    <row r="3207" spans="1:40" x14ac:dyDescent="0.25">
      <c r="A3207" t="str">
        <f>"20190303154533582"</f>
        <v>20190303154533582</v>
      </c>
      <c r="B3207" t="str">
        <f>"1551599133574100"</f>
        <v>1551599133574100</v>
      </c>
      <c r="C3207" t="s">
        <v>40</v>
      </c>
      <c r="D3207">
        <v>4.8586689999999999</v>
      </c>
      <c r="E3207">
        <v>0.49766759999999899</v>
      </c>
      <c r="F3207" t="s">
        <v>55</v>
      </c>
      <c r="G3207">
        <v>-322.83240000000001</v>
      </c>
      <c r="H3207" s="1">
        <v>-2.9546100000000001E-8</v>
      </c>
      <c r="I3207">
        <v>214.2475</v>
      </c>
      <c r="J3207">
        <v>-343.14249999999998</v>
      </c>
      <c r="K3207">
        <v>1.1203459999999901</v>
      </c>
      <c r="L3207">
        <v>214.56270000000001</v>
      </c>
      <c r="M3207">
        <v>0.9998842</v>
      </c>
      <c r="N3207">
        <v>-1.313947E-2</v>
      </c>
      <c r="O3207">
        <v>-7.6817650000000001E-3</v>
      </c>
      <c r="P3207">
        <v>0.98992060000000004</v>
      </c>
      <c r="Q3207">
        <v>-0.13948339999999901</v>
      </c>
      <c r="R3207">
        <v>-2.4537460000000001E-2</v>
      </c>
      <c r="S3207">
        <v>3.0063780000000002</v>
      </c>
      <c r="T3207">
        <v>-0.16318350000000001</v>
      </c>
      <c r="U3207">
        <v>-4.6295169999999997E-2</v>
      </c>
      <c r="V3207">
        <v>1.6886390000000001E-2</v>
      </c>
      <c r="W3207">
        <v>-0.12646830000000001</v>
      </c>
      <c r="X3207">
        <v>0.99182689999999996</v>
      </c>
      <c r="Y3207">
        <v>7.7075869999999897E-3</v>
      </c>
      <c r="Z3207" s="1">
        <v>5.6037530000000002E-5</v>
      </c>
      <c r="AA3207">
        <v>0.99997029999999998</v>
      </c>
      <c r="AB3207">
        <v>34</v>
      </c>
      <c r="AC3207">
        <v>20.310099999999899</v>
      </c>
      <c r="AD3207">
        <v>-1.1203460295461001</v>
      </c>
      <c r="AE3207">
        <v>-0.31520000000000398</v>
      </c>
      <c r="AF3207">
        <v>0.15867710475128899</v>
      </c>
      <c r="AG3207">
        <v>-1.1203460295461001</v>
      </c>
      <c r="AH3207">
        <v>20.2503183443967</v>
      </c>
      <c r="AI3207">
        <v>93.166555733479399</v>
      </c>
      <c r="AJ3207">
        <v>89.551051880366501</v>
      </c>
      <c r="AK3207">
        <v>20.2819068802443</v>
      </c>
      <c r="AL3207">
        <v>97.265556231519696</v>
      </c>
      <c r="AM3207">
        <v>89.024602569388804</v>
      </c>
      <c r="AN3207">
        <v>0.99999999031786502</v>
      </c>
    </row>
    <row r="3208" spans="1:40" x14ac:dyDescent="0.25">
      <c r="A3208" t="str">
        <f>"20190303154533602"</f>
        <v>20190303154533602</v>
      </c>
      <c r="B3208" t="str">
        <f>"1551599133593620"</f>
        <v>1551599133593620</v>
      </c>
      <c r="C3208" t="s">
        <v>40</v>
      </c>
      <c r="D3208">
        <v>4.8411220000000004</v>
      </c>
      <c r="E3208">
        <v>0.49779299999999999</v>
      </c>
      <c r="F3208" t="s">
        <v>55</v>
      </c>
      <c r="G3208">
        <v>-322.3365</v>
      </c>
      <c r="H3208" s="1">
        <v>-2.9342230000000002E-7</v>
      </c>
      <c r="I3208">
        <v>214.22720000000001</v>
      </c>
      <c r="J3208">
        <v>-342.83949999999999</v>
      </c>
      <c r="K3208">
        <v>1.120352</v>
      </c>
      <c r="L3208">
        <v>214.56030000000001</v>
      </c>
      <c r="M3208">
        <v>0.99988100000000002</v>
      </c>
      <c r="N3208">
        <v>-1.3313709999999999E-2</v>
      </c>
      <c r="O3208">
        <v>-7.8084540000000003E-3</v>
      </c>
      <c r="P3208">
        <v>0.98993149999999996</v>
      </c>
      <c r="Q3208">
        <v>-0.1394253</v>
      </c>
      <c r="R3208">
        <v>-2.442072E-2</v>
      </c>
      <c r="S3208">
        <v>3.006561</v>
      </c>
      <c r="T3208">
        <v>-0.16189529999999999</v>
      </c>
      <c r="U3208">
        <v>-4.8492430000000003E-2</v>
      </c>
      <c r="V3208">
        <v>1.6644269999999999E-2</v>
      </c>
      <c r="W3208">
        <v>-0.12623709999999999</v>
      </c>
      <c r="X3208">
        <v>0.99186039999999998</v>
      </c>
      <c r="Y3208">
        <v>8.3095410000000001E-3</v>
      </c>
      <c r="Z3208" s="1">
        <v>3.7301480000000001E-5</v>
      </c>
      <c r="AA3208">
        <v>0.99996549999999995</v>
      </c>
      <c r="AB3208">
        <v>34</v>
      </c>
      <c r="AC3208">
        <v>20.502999999999901</v>
      </c>
      <c r="AD3208">
        <v>-1.1203522934223</v>
      </c>
      <c r="AE3208">
        <v>-0.33310000000000101</v>
      </c>
      <c r="AF3208">
        <v>0.17246411556360999</v>
      </c>
      <c r="AG3208">
        <v>-1.1203522934223</v>
      </c>
      <c r="AH3208">
        <v>20.443948695461401</v>
      </c>
      <c r="AI3208">
        <v>93.1366267881818</v>
      </c>
      <c r="AJ3208">
        <v>89.516667171747599</v>
      </c>
      <c r="AK3208">
        <v>20.4753503363237</v>
      </c>
      <c r="AL3208">
        <v>97.252202751016398</v>
      </c>
      <c r="AM3208">
        <v>89.038617809056404</v>
      </c>
      <c r="AN3208">
        <v>0.99999994511419998</v>
      </c>
    </row>
    <row r="3209" spans="1:40" x14ac:dyDescent="0.25">
      <c r="A3209" t="str">
        <f>"20190303154533624"</f>
        <v>20190303154533624</v>
      </c>
      <c r="B3209" t="str">
        <f>"1551599133614122"</f>
        <v>1551599133614122</v>
      </c>
      <c r="C3209" t="s">
        <v>40</v>
      </c>
      <c r="D3209">
        <v>4.9831469999999998</v>
      </c>
      <c r="E3209">
        <v>0.4979249</v>
      </c>
      <c r="F3209" t="s">
        <v>55</v>
      </c>
      <c r="G3209">
        <v>-321.84629999999999</v>
      </c>
      <c r="H3209" s="1">
        <v>-5.5429819999999996E-7</v>
      </c>
      <c r="I3209">
        <v>214.21719999999999</v>
      </c>
      <c r="J3209">
        <v>-342.505</v>
      </c>
      <c r="K3209">
        <v>1.120355</v>
      </c>
      <c r="L3209">
        <v>214.5575</v>
      </c>
      <c r="M3209">
        <v>0.99987760000000003</v>
      </c>
      <c r="N3209">
        <v>-1.348047E-2</v>
      </c>
      <c r="O3209">
        <v>-7.9486950000000004E-3</v>
      </c>
      <c r="P3209">
        <v>0.98983279999999996</v>
      </c>
      <c r="Q3209">
        <v>-0.14004159999999999</v>
      </c>
      <c r="R3209">
        <v>-2.4888009999999999E-2</v>
      </c>
      <c r="S3209">
        <v>3.0066830000000002</v>
      </c>
      <c r="T3209">
        <v>-0.16045860000000001</v>
      </c>
      <c r="U3209">
        <v>-4.9133299999999998E-2</v>
      </c>
      <c r="V3209">
        <v>1.6973539999999999E-2</v>
      </c>
      <c r="W3209">
        <v>-0.1266893</v>
      </c>
      <c r="X3209">
        <v>0.99179720000000005</v>
      </c>
      <c r="Y3209">
        <v>8.3816829999999991E-3</v>
      </c>
      <c r="Z3209" s="1">
        <v>3.6733560000000001E-5</v>
      </c>
      <c r="AA3209">
        <v>0.99996490000000005</v>
      </c>
      <c r="AB3209">
        <v>34</v>
      </c>
      <c r="AC3209">
        <v>20.6587</v>
      </c>
      <c r="AD3209">
        <v>-1.1203555542982</v>
      </c>
      <c r="AE3209">
        <v>-0.34030000000001298</v>
      </c>
      <c r="AF3209">
        <v>0.175548468806283</v>
      </c>
      <c r="AG3209">
        <v>-1.1203555542982</v>
      </c>
      <c r="AH3209">
        <v>20.600182232231202</v>
      </c>
      <c r="AI3209">
        <v>93.112892089815603</v>
      </c>
      <c r="AJ3209">
        <v>89.511754663767505</v>
      </c>
      <c r="AK3209">
        <v>20.631372272199499</v>
      </c>
      <c r="AL3209">
        <v>97.278321328423203</v>
      </c>
      <c r="AM3209">
        <v>89.019540207512804</v>
      </c>
      <c r="AN3209">
        <v>0.99999998286123004</v>
      </c>
    </row>
    <row r="3210" spans="1:40" x14ac:dyDescent="0.25">
      <c r="A3210" t="str">
        <f>"20190303154533646"</f>
        <v>20190303154533646</v>
      </c>
      <c r="B3210" t="str">
        <f>"1551599133644373"</f>
        <v>1551599133644373</v>
      </c>
      <c r="C3210" t="s">
        <v>40</v>
      </c>
      <c r="D3210">
        <v>4.841933</v>
      </c>
      <c r="E3210">
        <v>0.49808409999999897</v>
      </c>
      <c r="F3210" t="s">
        <v>55</v>
      </c>
      <c r="G3210">
        <v>-321.59300000000002</v>
      </c>
      <c r="H3210" s="1">
        <v>-6.8905229999999997E-7</v>
      </c>
      <c r="I3210">
        <v>214.1978</v>
      </c>
      <c r="J3210">
        <v>-342.16899999999998</v>
      </c>
      <c r="K3210">
        <v>1.1203609999999999</v>
      </c>
      <c r="L3210">
        <v>214.5547</v>
      </c>
      <c r="M3210">
        <v>0.99987459999999995</v>
      </c>
      <c r="N3210">
        <v>-1.362502E-2</v>
      </c>
      <c r="O3210">
        <v>-8.0901059999999997E-3</v>
      </c>
      <c r="P3210">
        <v>0.98976900000000001</v>
      </c>
      <c r="Q3210">
        <v>-0.14045060000000001</v>
      </c>
      <c r="R3210">
        <v>-2.512518E-2</v>
      </c>
      <c r="S3210">
        <v>3.006653</v>
      </c>
      <c r="T3210">
        <v>-0.16108120000000001</v>
      </c>
      <c r="U3210">
        <v>-5.1727290000000002E-2</v>
      </c>
      <c r="V3210">
        <v>1.707117E-2</v>
      </c>
      <c r="W3210">
        <v>-0.1269557</v>
      </c>
      <c r="X3210">
        <v>0.99176149999999996</v>
      </c>
      <c r="Y3210">
        <v>9.1015860000000001E-3</v>
      </c>
      <c r="Z3210" s="1">
        <v>1.7220789999999999E-5</v>
      </c>
      <c r="AA3210">
        <v>0.99995860000000003</v>
      </c>
      <c r="AB3210">
        <v>34</v>
      </c>
      <c r="AC3210">
        <v>20.576000000000001</v>
      </c>
      <c r="AD3210">
        <v>-1.1203616890523</v>
      </c>
      <c r="AE3210">
        <v>-0.356899999999996</v>
      </c>
      <c r="AF3210">
        <v>0.18984817780941399</v>
      </c>
      <c r="AG3210">
        <v>-1.1203616890523</v>
      </c>
      <c r="AH3210">
        <v>20.5174025566327</v>
      </c>
      <c r="AI3210">
        <v>93.125423347139105</v>
      </c>
      <c r="AJ3210">
        <v>89.4698554612891</v>
      </c>
      <c r="AK3210">
        <v>20.5488457173592</v>
      </c>
      <c r="AL3210">
        <v>97.293708874866297</v>
      </c>
      <c r="AM3210">
        <v>89.013866328141006</v>
      </c>
      <c r="AN3210">
        <v>1.00000002374495</v>
      </c>
    </row>
    <row r="3211" spans="1:40" x14ac:dyDescent="0.25">
      <c r="A3211" t="str">
        <f>"20190303154533668"</f>
        <v>20190303154533668</v>
      </c>
      <c r="B3211" t="str">
        <f>"1551599133663892"</f>
        <v>1551599133663892</v>
      </c>
      <c r="C3211" t="s">
        <v>40</v>
      </c>
      <c r="D3211">
        <v>4.8424909999999999</v>
      </c>
      <c r="E3211">
        <v>0.49815500000000001</v>
      </c>
      <c r="F3211" t="s">
        <v>55</v>
      </c>
      <c r="G3211">
        <v>-321.19099999999997</v>
      </c>
      <c r="H3211" s="1">
        <v>-9.0300329999999998E-7</v>
      </c>
      <c r="I3211">
        <v>214.18199999999999</v>
      </c>
      <c r="J3211">
        <v>-341.84410000000003</v>
      </c>
      <c r="K3211">
        <v>1.120368</v>
      </c>
      <c r="L3211">
        <v>214.55189999999999</v>
      </c>
      <c r="M3211">
        <v>0.99987170000000003</v>
      </c>
      <c r="N3211">
        <v>-1.3745820000000001E-2</v>
      </c>
      <c r="O3211">
        <v>-8.2262389999999998E-3</v>
      </c>
      <c r="P3211">
        <v>0.98971620000000005</v>
      </c>
      <c r="Q3211">
        <v>-0.14079990000000001</v>
      </c>
      <c r="R3211">
        <v>-2.5244719999999998E-2</v>
      </c>
      <c r="S3211">
        <v>3.0068359999999998</v>
      </c>
      <c r="T3211">
        <v>-0.1605848</v>
      </c>
      <c r="U3211">
        <v>-5.342102E-2</v>
      </c>
      <c r="V3211">
        <v>1.7056370000000001E-2</v>
      </c>
      <c r="W3211">
        <v>-0.12718589999999999</v>
      </c>
      <c r="X3211">
        <v>0.99173219999999995</v>
      </c>
      <c r="Y3211">
        <v>9.5267900000000003E-3</v>
      </c>
      <c r="Z3211" s="1">
        <v>6.2208709999999999E-6</v>
      </c>
      <c r="AA3211">
        <v>0.99995460000000003</v>
      </c>
      <c r="AB3211">
        <v>34</v>
      </c>
      <c r="AC3211">
        <v>20.653099999999998</v>
      </c>
      <c r="AD3211">
        <v>-1.1203689030032999</v>
      </c>
      <c r="AE3211">
        <v>-0.36989999999997197</v>
      </c>
      <c r="AF3211">
        <v>0.19938753770675699</v>
      </c>
      <c r="AG3211">
        <v>-1.1203689030032999</v>
      </c>
      <c r="AH3211">
        <v>20.594858383445299</v>
      </c>
      <c r="AI3211">
        <v>93.113699427845802</v>
      </c>
      <c r="AJ3211">
        <v>89.445312646496106</v>
      </c>
      <c r="AK3211">
        <v>20.6262738686166</v>
      </c>
      <c r="AL3211">
        <v>97.307006589115005</v>
      </c>
      <c r="AM3211">
        <v>89.014691993132999</v>
      </c>
      <c r="AN3211">
        <v>0.99999996471661201</v>
      </c>
    </row>
    <row r="3212" spans="1:40" x14ac:dyDescent="0.25">
      <c r="A3212" t="str">
        <f>"20190303154533692"</f>
        <v>20190303154533692</v>
      </c>
      <c r="B3212" t="str">
        <f>"1551599133684388"</f>
        <v>1551599133684388</v>
      </c>
      <c r="C3212" t="s">
        <v>40</v>
      </c>
      <c r="D3212">
        <v>4.8785259999999999</v>
      </c>
      <c r="E3212">
        <v>0.4982259</v>
      </c>
      <c r="F3212" t="s">
        <v>55</v>
      </c>
      <c r="G3212">
        <v>-320.89879999999999</v>
      </c>
      <c r="H3212" s="1">
        <v>-1.058504E-6</v>
      </c>
      <c r="I3212">
        <v>214.17269999999999</v>
      </c>
      <c r="J3212">
        <v>-341.50040000000001</v>
      </c>
      <c r="K3212">
        <v>1.120376</v>
      </c>
      <c r="L3212">
        <v>214.54900000000001</v>
      </c>
      <c r="M3212">
        <v>0.99986900000000001</v>
      </c>
      <c r="N3212">
        <v>-1.3855859999999999E-2</v>
      </c>
      <c r="O3212">
        <v>-8.3705269999999991E-3</v>
      </c>
      <c r="P3212">
        <v>0.98971810000000005</v>
      </c>
      <c r="Q3212">
        <v>-0.14074400000000001</v>
      </c>
      <c r="R3212">
        <v>-2.5484779999999999E-2</v>
      </c>
      <c r="S3212">
        <v>3.0069270000000001</v>
      </c>
      <c r="T3212">
        <v>-0.1608407</v>
      </c>
      <c r="U3212">
        <v>-5.4443360000000003E-2</v>
      </c>
      <c r="V3212">
        <v>1.7153499999999999E-2</v>
      </c>
      <c r="W3212">
        <v>-0.12702069999999999</v>
      </c>
      <c r="X3212">
        <v>0.99175170000000001</v>
      </c>
      <c r="Y3212">
        <v>9.7214859999999997E-3</v>
      </c>
      <c r="Z3212" s="1">
        <v>4.2388860000000002E-6</v>
      </c>
      <c r="AA3212">
        <v>0.99995270000000003</v>
      </c>
      <c r="AB3212">
        <v>34</v>
      </c>
      <c r="AC3212">
        <v>20.601600000000001</v>
      </c>
      <c r="AD3212">
        <v>-1.120377058504</v>
      </c>
      <c r="AE3212">
        <v>-0.37630000000001401</v>
      </c>
      <c r="AF3212">
        <v>0.20322318071822401</v>
      </c>
      <c r="AG3212">
        <v>-1.120377058504</v>
      </c>
      <c r="AH3212">
        <v>20.543291480313801</v>
      </c>
      <c r="AI3212">
        <v>93.121516111870505</v>
      </c>
      <c r="AJ3212">
        <v>89.433223699083598</v>
      </c>
      <c r="AK3212">
        <v>20.574823675053299</v>
      </c>
      <c r="AL3212">
        <v>97.2974639087968</v>
      </c>
      <c r="AM3212">
        <v>89.009101607560396</v>
      </c>
      <c r="AN3212">
        <v>0.99999996762181398</v>
      </c>
    </row>
    <row r="3213" spans="1:40" x14ac:dyDescent="0.25">
      <c r="A3213" t="str">
        <f>"20190303154533713"</f>
        <v>20190303154533713</v>
      </c>
      <c r="B3213" t="str">
        <f>"1551599133703908"</f>
        <v>1551599133703908</v>
      </c>
      <c r="C3213" t="s">
        <v>40</v>
      </c>
      <c r="D3213">
        <v>4.8232280000000003</v>
      </c>
      <c r="E3213">
        <v>0.49826369999999998</v>
      </c>
      <c r="F3213" t="s">
        <v>55</v>
      </c>
      <c r="G3213">
        <v>-320.42469999999997</v>
      </c>
      <c r="H3213" s="1">
        <v>-1.3108030000000001E-6</v>
      </c>
      <c r="I3213">
        <v>214.15889999999999</v>
      </c>
      <c r="J3213">
        <v>-341.17759999999998</v>
      </c>
      <c r="K3213">
        <v>1.120385</v>
      </c>
      <c r="L3213">
        <v>214.5461</v>
      </c>
      <c r="M3213">
        <v>0.99986660000000005</v>
      </c>
      <c r="N3213">
        <v>-1.394507E-2</v>
      </c>
      <c r="O3213">
        <v>-8.5062100000000002E-3</v>
      </c>
      <c r="P3213">
        <v>0.98967720000000003</v>
      </c>
      <c r="Q3213">
        <v>-0.14100699999999999</v>
      </c>
      <c r="R3213">
        <v>-2.5621720000000001E-2</v>
      </c>
      <c r="S3213">
        <v>3.0069889999999999</v>
      </c>
      <c r="T3213">
        <v>-0.15984999999999999</v>
      </c>
      <c r="U3213">
        <v>-5.5648799999999998E-2</v>
      </c>
      <c r="V3213">
        <v>1.715655E-2</v>
      </c>
      <c r="W3213">
        <v>-0.12719569999999999</v>
      </c>
      <c r="X3213">
        <v>0.99172930000000004</v>
      </c>
      <c r="Y3213">
        <v>9.9858059999999998E-3</v>
      </c>
      <c r="Z3213" s="1">
        <v>-1.649765E-6</v>
      </c>
      <c r="AA3213">
        <v>0.99995009999999995</v>
      </c>
      <c r="AB3213">
        <v>33</v>
      </c>
      <c r="AC3213">
        <v>20.7529</v>
      </c>
      <c r="AD3213">
        <v>-1.1203863108030001</v>
      </c>
      <c r="AE3213">
        <v>-0.38720000000000698</v>
      </c>
      <c r="AF3213">
        <v>0.21002836574129399</v>
      </c>
      <c r="AG3213">
        <v>-1.1203863108030001</v>
      </c>
      <c r="AH3213">
        <v>20.6951460212914</v>
      </c>
      <c r="AI3213">
        <v>93.098673797422705</v>
      </c>
      <c r="AJ3213">
        <v>89.418543565375003</v>
      </c>
      <c r="AK3213">
        <v>20.726515535478299</v>
      </c>
      <c r="AL3213">
        <v>97.307572066978494</v>
      </c>
      <c r="AM3213">
        <v>89.008903073997502</v>
      </c>
      <c r="AN3213">
        <v>1.0000000488924401</v>
      </c>
    </row>
    <row r="3214" spans="1:40" x14ac:dyDescent="0.25">
      <c r="A3214" t="str">
        <f>"20190303154533738"</f>
        <v>20190303154533738</v>
      </c>
      <c r="B3214" t="str">
        <f>"1551599133734164"</f>
        <v>1551599133734164</v>
      </c>
      <c r="C3214" t="s">
        <v>40</v>
      </c>
      <c r="D3214">
        <v>4.8815289999999996</v>
      </c>
      <c r="E3214">
        <v>0.50279940000000001</v>
      </c>
      <c r="F3214" t="s">
        <v>55</v>
      </c>
      <c r="G3214">
        <v>-320.12959999999998</v>
      </c>
      <c r="H3214" s="1">
        <v>-1.4678229999999999E-6</v>
      </c>
      <c r="I3214">
        <v>214.1523</v>
      </c>
      <c r="J3214">
        <v>-340.80779999999999</v>
      </c>
      <c r="K3214">
        <v>1.1204019999999999</v>
      </c>
      <c r="L3214">
        <v>214.5428</v>
      </c>
      <c r="M3214">
        <v>0.99986410000000003</v>
      </c>
      <c r="N3214">
        <v>-1.403244E-2</v>
      </c>
      <c r="O3214">
        <v>-8.6619079999999994E-3</v>
      </c>
      <c r="P3214">
        <v>0.9896412</v>
      </c>
      <c r="Q3214">
        <v>-0.14129729999999999</v>
      </c>
      <c r="R3214">
        <v>-2.54133E-2</v>
      </c>
      <c r="S3214">
        <v>3.0070190000000001</v>
      </c>
      <c r="T3214">
        <v>-0.16006400000000001</v>
      </c>
      <c r="U3214">
        <v>-5.6259160000000002E-2</v>
      </c>
      <c r="V3214">
        <v>1.6794320000000001E-2</v>
      </c>
      <c r="W3214">
        <v>-0.1273997</v>
      </c>
      <c r="X3214">
        <v>0.99170930000000002</v>
      </c>
      <c r="Y3214">
        <v>1.003276E-2</v>
      </c>
      <c r="Z3214" s="1">
        <v>1.936176E-6</v>
      </c>
      <c r="AA3214">
        <v>0.99994970000000005</v>
      </c>
      <c r="AB3214">
        <v>33</v>
      </c>
      <c r="AC3214">
        <v>20.6782</v>
      </c>
      <c r="AD3214">
        <v>-1.1204034678229999</v>
      </c>
      <c r="AE3214">
        <v>-0.39050000000000201</v>
      </c>
      <c r="AF3214">
        <v>0.210736602797571</v>
      </c>
      <c r="AG3214">
        <v>-1.1204034678229999</v>
      </c>
      <c r="AH3214">
        <v>20.620291864323701</v>
      </c>
      <c r="AI3214">
        <v>93.109945598402305</v>
      </c>
      <c r="AJ3214">
        <v>89.414465243021795</v>
      </c>
      <c r="AK3214">
        <v>20.651783226064602</v>
      </c>
      <c r="AL3214">
        <v>97.319356383158194</v>
      </c>
      <c r="AM3214">
        <v>89.029804715948401</v>
      </c>
      <c r="AN3214">
        <v>1.0000000342254201</v>
      </c>
    </row>
    <row r="3215" spans="1:40" x14ac:dyDescent="0.25">
      <c r="A3215" t="str">
        <f>"20190303154533760"</f>
        <v>20190303154533760</v>
      </c>
      <c r="B3215" t="str">
        <f>"1551599133753684"</f>
        <v>1551599133753684</v>
      </c>
      <c r="C3215" t="s">
        <v>40</v>
      </c>
      <c r="D3215">
        <v>4.9715569999999998</v>
      </c>
      <c r="E3215">
        <v>0.50294309999999998</v>
      </c>
      <c r="F3215" t="s">
        <v>57</v>
      </c>
      <c r="G3215">
        <v>-312.72210000000001</v>
      </c>
      <c r="H3215" s="1">
        <v>2.1127940000000002E-6</v>
      </c>
      <c r="I3215">
        <v>213.69479999999999</v>
      </c>
      <c r="J3215">
        <v>-340.47399999999999</v>
      </c>
      <c r="K3215">
        <v>1.120412</v>
      </c>
      <c r="L3215">
        <v>214.53970000000001</v>
      </c>
      <c r="M3215">
        <v>0.99986200000000003</v>
      </c>
      <c r="N3215">
        <v>-1.409912E-2</v>
      </c>
      <c r="O3215">
        <v>-8.8023230000000008E-3</v>
      </c>
      <c r="P3215">
        <v>0.98976059999999999</v>
      </c>
      <c r="Q3215">
        <v>-0.14048569999999999</v>
      </c>
      <c r="R3215">
        <v>-2.525498E-2</v>
      </c>
      <c r="S3215">
        <v>3.0118710000000002</v>
      </c>
      <c r="T3215">
        <v>-0.1201502</v>
      </c>
      <c r="U3215">
        <v>-9.0942380000000003E-2</v>
      </c>
      <c r="V3215">
        <v>1.649664E-2</v>
      </c>
      <c r="W3215">
        <v>-0.1265202</v>
      </c>
      <c r="X3215">
        <v>0.99182680000000001</v>
      </c>
      <c r="Y3215">
        <v>2.1360480000000001E-2</v>
      </c>
      <c r="Z3215">
        <v>-3.4964350000000002E-4</v>
      </c>
      <c r="AA3215">
        <v>0.99977179999999999</v>
      </c>
      <c r="AB3215">
        <v>33</v>
      </c>
      <c r="AC3215">
        <v>27.7518999999999</v>
      </c>
      <c r="AD3215">
        <v>-1.120409887206</v>
      </c>
      <c r="AE3215">
        <v>-0.84490000000002397</v>
      </c>
      <c r="AF3215">
        <v>0.59958544874872</v>
      </c>
      <c r="AG3215">
        <v>-1.120409887206</v>
      </c>
      <c r="AH3215">
        <v>27.713133881647501</v>
      </c>
      <c r="AI3215">
        <v>92.3146000882046</v>
      </c>
      <c r="AJ3215">
        <v>88.760574784024698</v>
      </c>
      <c r="AK3215">
        <v>27.7422531631412</v>
      </c>
      <c r="AL3215">
        <v>97.268554252003696</v>
      </c>
      <c r="AM3215">
        <v>89.047111146000404</v>
      </c>
      <c r="AN3215">
        <v>0.999999950668783</v>
      </c>
    </row>
    <row r="3216" spans="1:40" x14ac:dyDescent="0.25">
      <c r="A3216" t="str">
        <f>"20190303154533781"</f>
        <v>20190303154533781</v>
      </c>
      <c r="B3216" t="str">
        <f>"1551599133774181"</f>
        <v>1551599133774181</v>
      </c>
      <c r="C3216" t="s">
        <v>40</v>
      </c>
      <c r="D3216">
        <v>4.8811419999999996</v>
      </c>
      <c r="E3216">
        <v>0.50291589999999997</v>
      </c>
      <c r="F3216" t="s">
        <v>57</v>
      </c>
      <c r="G3216">
        <v>-312.07100000000003</v>
      </c>
      <c r="H3216" s="1">
        <v>1.824068E-6</v>
      </c>
      <c r="I3216">
        <v>213.6781</v>
      </c>
      <c r="J3216">
        <v>-340.15960000000001</v>
      </c>
      <c r="K3216">
        <v>1.1204209999999999</v>
      </c>
      <c r="L3216">
        <v>214.5368</v>
      </c>
      <c r="M3216">
        <v>0.99985999999999997</v>
      </c>
      <c r="N3216">
        <v>-1.4152949999999999E-2</v>
      </c>
      <c r="O3216">
        <v>-8.9348989999999996E-3</v>
      </c>
      <c r="P3216">
        <v>0.989734</v>
      </c>
      <c r="Q3216">
        <v>-0.14078640000000001</v>
      </c>
      <c r="R3216">
        <v>-2.4624150000000001E-2</v>
      </c>
      <c r="S3216">
        <v>3.011841</v>
      </c>
      <c r="T3216">
        <v>-0.11880789999999999</v>
      </c>
      <c r="U3216">
        <v>-9.1369629999999993E-2</v>
      </c>
      <c r="V3216">
        <v>1.573461E-2</v>
      </c>
      <c r="W3216">
        <v>-0.12676760000000001</v>
      </c>
      <c r="X3216">
        <v>0.99180760000000001</v>
      </c>
      <c r="Y3216">
        <v>2.1370239999999999E-2</v>
      </c>
      <c r="Z3216">
        <v>-3.4676839999999998E-4</v>
      </c>
      <c r="AA3216">
        <v>0.99977159999999998</v>
      </c>
      <c r="AB3216">
        <v>33</v>
      </c>
      <c r="AC3216">
        <v>28.0886</v>
      </c>
      <c r="AD3216">
        <v>-1.1204191759319999</v>
      </c>
      <c r="AE3216">
        <v>-0.85869999999999802</v>
      </c>
      <c r="AF3216">
        <v>0.60670735485280303</v>
      </c>
      <c r="AG3216">
        <v>-1.1204191759319999</v>
      </c>
      <c r="AH3216">
        <v>28.050561803194501</v>
      </c>
      <c r="AI3216">
        <v>92.286806118753503</v>
      </c>
      <c r="AJ3216">
        <v>88.760939196537294</v>
      </c>
      <c r="AK3216">
        <v>28.0794845112773</v>
      </c>
      <c r="AL3216">
        <v>97.282844228267606</v>
      </c>
      <c r="AM3216">
        <v>89.091102827647504</v>
      </c>
      <c r="AN3216">
        <v>0.99999995888968496</v>
      </c>
    </row>
    <row r="3217" spans="1:40" x14ac:dyDescent="0.25">
      <c r="A3217" t="str">
        <f>"20190303154533803"</f>
        <v>20190303154533803</v>
      </c>
      <c r="B3217" t="str">
        <f>"1551599133793701"</f>
        <v>1551599133793701</v>
      </c>
      <c r="C3217" t="s">
        <v>40</v>
      </c>
      <c r="D3217">
        <v>4.9252919999999998</v>
      </c>
      <c r="E3217">
        <v>0.50258270000000005</v>
      </c>
      <c r="F3217" t="s">
        <v>57</v>
      </c>
      <c r="G3217">
        <v>-311.72269999999997</v>
      </c>
      <c r="H3217" s="1">
        <v>1.669604E-6</v>
      </c>
      <c r="I3217">
        <v>213.69669999999999</v>
      </c>
      <c r="J3217">
        <v>-339.83980000000003</v>
      </c>
      <c r="K3217">
        <v>1.1204339999999999</v>
      </c>
      <c r="L3217">
        <v>214.53389999999999</v>
      </c>
      <c r="M3217">
        <v>0.99985809999999997</v>
      </c>
      <c r="N3217">
        <v>-1.419956E-2</v>
      </c>
      <c r="O3217">
        <v>-9.0694580000000007E-3</v>
      </c>
      <c r="P3217">
        <v>0.98969560000000001</v>
      </c>
      <c r="Q3217">
        <v>-0.14106060000000001</v>
      </c>
      <c r="R3217">
        <v>-2.4591229999999999E-2</v>
      </c>
      <c r="S3217">
        <v>3.0120239999999998</v>
      </c>
      <c r="T3217">
        <v>-0.1186743</v>
      </c>
      <c r="U3217">
        <v>-8.8989260000000001E-2</v>
      </c>
      <c r="V3217">
        <v>1.556885E-2</v>
      </c>
      <c r="W3217">
        <v>-0.126996</v>
      </c>
      <c r="X3217">
        <v>0.99178109999999997</v>
      </c>
      <c r="Y3217">
        <v>2.0445459999999999E-2</v>
      </c>
      <c r="Z3217">
        <v>-3.1943549999999997E-4</v>
      </c>
      <c r="AA3217">
        <v>0.99979090000000004</v>
      </c>
      <c r="AB3217">
        <v>33</v>
      </c>
      <c r="AC3217">
        <v>28.117100000000001</v>
      </c>
      <c r="AD3217">
        <v>-1.120432330396</v>
      </c>
      <c r="AE3217">
        <v>-0.83719999999999495</v>
      </c>
      <c r="AF3217">
        <v>0.58121090157458399</v>
      </c>
      <c r="AG3217">
        <v>-1.120432330396</v>
      </c>
      <c r="AH3217">
        <v>28.078989214518501</v>
      </c>
      <c r="AI3217">
        <v>92.284565078039094</v>
      </c>
      <c r="AJ3217">
        <v>88.814196028970898</v>
      </c>
      <c r="AK3217">
        <v>28.107344414372399</v>
      </c>
      <c r="AL3217">
        <v>97.296036458371105</v>
      </c>
      <c r="AM3217">
        <v>89.100652215001702</v>
      </c>
      <c r="AN3217">
        <v>1.0000000617117599</v>
      </c>
    </row>
    <row r="3218" spans="1:40" x14ac:dyDescent="0.25">
      <c r="A3218" t="str">
        <f>"20190303154533826"</f>
        <v>20190303154533826</v>
      </c>
      <c r="B3218" t="str">
        <f>"1551599133823956"</f>
        <v>1551599133823956</v>
      </c>
      <c r="C3218" t="s">
        <v>40</v>
      </c>
      <c r="D3218">
        <v>4.9196179999999998</v>
      </c>
      <c r="E3218">
        <v>0.50281390000000004</v>
      </c>
      <c r="F3218" t="s">
        <v>57</v>
      </c>
      <c r="G3218">
        <v>-312.029</v>
      </c>
      <c r="H3218" s="1">
        <v>1.805436E-6</v>
      </c>
      <c r="I3218">
        <v>213.73689999999999</v>
      </c>
      <c r="J3218">
        <v>-339.48079999999999</v>
      </c>
      <c r="K3218">
        <v>1.1204430000000001</v>
      </c>
      <c r="L3218">
        <v>214.53039999999999</v>
      </c>
      <c r="M3218">
        <v>0.99985599999999997</v>
      </c>
      <c r="N3218">
        <v>-1.4243799999999999E-2</v>
      </c>
      <c r="O3218">
        <v>-9.2205659999999995E-3</v>
      </c>
      <c r="P3218">
        <v>0.98970139999999995</v>
      </c>
      <c r="Q3218">
        <v>-0.1410564</v>
      </c>
      <c r="R3218">
        <v>-2.4373329999999999E-2</v>
      </c>
      <c r="S3218">
        <v>3.0118100000000001</v>
      </c>
      <c r="T3218">
        <v>-0.1213388</v>
      </c>
      <c r="U3218">
        <v>-8.6303710000000006E-2</v>
      </c>
      <c r="V3218">
        <v>1.520149E-2</v>
      </c>
      <c r="W3218">
        <v>-0.1269478</v>
      </c>
      <c r="X3218">
        <v>0.99179289999999998</v>
      </c>
      <c r="Y3218">
        <v>1.940623E-2</v>
      </c>
      <c r="Z3218">
        <v>-2.8905249999999999E-4</v>
      </c>
      <c r="AA3218">
        <v>0.99981160000000002</v>
      </c>
      <c r="AB3218">
        <v>33</v>
      </c>
      <c r="AC3218">
        <v>27.451799999999899</v>
      </c>
      <c r="AD3218">
        <v>-1.120441194564</v>
      </c>
      <c r="AE3218">
        <v>-0.79349999999999399</v>
      </c>
      <c r="AF3218">
        <v>0.53942159027863901</v>
      </c>
      <c r="AG3218">
        <v>-1.120441194564</v>
      </c>
      <c r="AH3218">
        <v>27.412323280810401</v>
      </c>
      <c r="AI3218">
        <v>92.340131178827406</v>
      </c>
      <c r="AJ3218">
        <v>88.872675189551899</v>
      </c>
      <c r="AK3218">
        <v>27.440514422550301</v>
      </c>
      <c r="AL3218">
        <v>97.293252772513995</v>
      </c>
      <c r="AM3218">
        <v>89.1218801589892</v>
      </c>
      <c r="AN3218">
        <v>0.99999999285673502</v>
      </c>
    </row>
    <row r="3219" spans="1:40" x14ac:dyDescent="0.25">
      <c r="A3219" t="str">
        <f>"20190303154533848"</f>
        <v>20190303154533848</v>
      </c>
      <c r="B3219" t="str">
        <f>"1551599133844453"</f>
        <v>1551599133844453</v>
      </c>
      <c r="C3219" t="s">
        <v>40</v>
      </c>
      <c r="D3219">
        <v>5.038926</v>
      </c>
      <c r="E3219">
        <v>0.50291330000000001</v>
      </c>
      <c r="F3219" t="s">
        <v>57</v>
      </c>
      <c r="G3219">
        <v>-312.0224</v>
      </c>
      <c r="H3219" s="1">
        <v>1.802479E-6</v>
      </c>
      <c r="I3219">
        <v>213.73159999999999</v>
      </c>
      <c r="J3219">
        <v>-339.17169999999999</v>
      </c>
      <c r="K3219">
        <v>1.1204510000000001</v>
      </c>
      <c r="L3219">
        <v>214.5274</v>
      </c>
      <c r="M3219">
        <v>0.99985449999999998</v>
      </c>
      <c r="N3219">
        <v>-1.427636E-2</v>
      </c>
      <c r="O3219">
        <v>-9.3508489999999996E-3</v>
      </c>
      <c r="P3219">
        <v>0.9897376</v>
      </c>
      <c r="Q3219">
        <v>-0.14080419999999999</v>
      </c>
      <c r="R3219">
        <v>-2.4370030000000001E-2</v>
      </c>
      <c r="S3219">
        <v>3.011536</v>
      </c>
      <c r="T3219">
        <v>-0.12288549999999999</v>
      </c>
      <c r="U3219">
        <v>-8.7615970000000001E-2</v>
      </c>
      <c r="V3219">
        <v>1.5068929999999999E-2</v>
      </c>
      <c r="W3219">
        <v>-0.12666259999999999</v>
      </c>
      <c r="X3219">
        <v>0.99183140000000003</v>
      </c>
      <c r="Y3219">
        <v>1.971318E-2</v>
      </c>
      <c r="Z3219">
        <v>-2.949176E-4</v>
      </c>
      <c r="AA3219">
        <v>0.99980559999999996</v>
      </c>
      <c r="AB3219">
        <v>33</v>
      </c>
      <c r="AC3219">
        <v>27.149299999999901</v>
      </c>
      <c r="AD3219">
        <v>-1.120449197521</v>
      </c>
      <c r="AE3219">
        <v>-0.79580000000001405</v>
      </c>
      <c r="AF3219">
        <v>0.54094979765161499</v>
      </c>
      <c r="AG3219">
        <v>-1.120449197521</v>
      </c>
      <c r="AH3219">
        <v>27.109421669696001</v>
      </c>
      <c r="AI3219">
        <v>92.366252551026093</v>
      </c>
      <c r="AJ3219">
        <v>88.856853974898698</v>
      </c>
      <c r="AK3219">
        <v>27.137958220050201</v>
      </c>
      <c r="AL3219">
        <v>97.276778934548105</v>
      </c>
      <c r="AM3219">
        <v>89.129570137977396</v>
      </c>
      <c r="AN3219">
        <v>1.0000000064580301</v>
      </c>
    </row>
    <row r="3220" spans="1:40" x14ac:dyDescent="0.25">
      <c r="A3220" t="str">
        <f>"20190303154533869"</f>
        <v>20190303154533869</v>
      </c>
      <c r="B3220" t="str">
        <f>"1551599133863973"</f>
        <v>1551599133863973</v>
      </c>
      <c r="C3220" t="s">
        <v>40</v>
      </c>
      <c r="D3220">
        <v>4.9874299999999998</v>
      </c>
      <c r="E3220">
        <v>0.50289209999999995</v>
      </c>
      <c r="F3220" t="s">
        <v>57</v>
      </c>
      <c r="G3220">
        <v>-311.7398</v>
      </c>
      <c r="H3220" s="1">
        <v>1.6771640000000001E-6</v>
      </c>
      <c r="I3220">
        <v>213.7227</v>
      </c>
      <c r="J3220">
        <v>-338.84289999999999</v>
      </c>
      <c r="K3220">
        <v>1.120458</v>
      </c>
      <c r="L3220">
        <v>214.52420000000001</v>
      </c>
      <c r="M3220">
        <v>0.99985270000000004</v>
      </c>
      <c r="N3220">
        <v>-1.430587E-2</v>
      </c>
      <c r="O3220">
        <v>-9.4894539999999996E-3</v>
      </c>
      <c r="P3220">
        <v>0.98971120000000001</v>
      </c>
      <c r="Q3220">
        <v>-0.1409291</v>
      </c>
      <c r="R3220">
        <v>-2.4721690000000001E-2</v>
      </c>
      <c r="S3220">
        <v>3.0114749999999999</v>
      </c>
      <c r="T3220">
        <v>-0.1230028</v>
      </c>
      <c r="U3220">
        <v>-8.8348389999999999E-2</v>
      </c>
      <c r="V3220">
        <v>1.528353E-2</v>
      </c>
      <c r="W3220">
        <v>-0.1267585</v>
      </c>
      <c r="X3220">
        <v>0.99181589999999997</v>
      </c>
      <c r="Y3220">
        <v>1.981801E-2</v>
      </c>
      <c r="Z3220">
        <v>-2.9472E-4</v>
      </c>
      <c r="AA3220">
        <v>0.99980349999999996</v>
      </c>
      <c r="AB3220">
        <v>33</v>
      </c>
      <c r="AC3220">
        <v>27.103099999999898</v>
      </c>
      <c r="AD3220">
        <v>-1.1204563228360001</v>
      </c>
      <c r="AE3220">
        <v>-0.80150000000000399</v>
      </c>
      <c r="AF3220">
        <v>0.543316240683683</v>
      </c>
      <c r="AG3220">
        <v>-1.1204563228360001</v>
      </c>
      <c r="AH3220">
        <v>27.063274211407801</v>
      </c>
      <c r="AI3220">
        <v>92.370292116193795</v>
      </c>
      <c r="AJ3220">
        <v>88.849897238667197</v>
      </c>
      <c r="AK3220">
        <v>27.091907019451899</v>
      </c>
      <c r="AL3220">
        <v>97.282317991156802</v>
      </c>
      <c r="AM3220">
        <v>89.117162305381299</v>
      </c>
      <c r="AN3220">
        <v>1.0000000415521499</v>
      </c>
    </row>
    <row r="3221" spans="1:40" x14ac:dyDescent="0.25">
      <c r="A3221" t="str">
        <f>"20190303154533901"</f>
        <v>20190303154533901</v>
      </c>
      <c r="B3221" t="str">
        <f>"1551599133894228"</f>
        <v>1551599133894228</v>
      </c>
      <c r="C3221" t="s">
        <v>40</v>
      </c>
      <c r="D3221">
        <v>4.9917530000000001</v>
      </c>
      <c r="E3221">
        <v>0.50270689999999996</v>
      </c>
      <c r="F3221" t="s">
        <v>57</v>
      </c>
      <c r="G3221">
        <v>-311.89589999999998</v>
      </c>
      <c r="H3221" s="1">
        <v>1.746402E-6</v>
      </c>
      <c r="I3221">
        <v>213.7259</v>
      </c>
      <c r="J3221">
        <v>-338.38490000000002</v>
      </c>
      <c r="K3221">
        <v>1.1204700000000001</v>
      </c>
      <c r="L3221">
        <v>214.5197</v>
      </c>
      <c r="M3221">
        <v>0.99985029999999997</v>
      </c>
      <c r="N3221">
        <v>-1.434013E-2</v>
      </c>
      <c r="O3221">
        <v>-9.6822100000000001E-3</v>
      </c>
      <c r="P3221">
        <v>0.98963279999999998</v>
      </c>
      <c r="Q3221">
        <v>-0.1413411</v>
      </c>
      <c r="R3221">
        <v>-2.5490909999999999E-2</v>
      </c>
      <c r="S3221">
        <v>3.0111080000000001</v>
      </c>
      <c r="T3221">
        <v>-0.12520209999999901</v>
      </c>
      <c r="U3221">
        <v>-8.9202879999999998E-2</v>
      </c>
      <c r="V3221">
        <v>1.5862500000000002E-2</v>
      </c>
      <c r="W3221">
        <v>-0.1271378</v>
      </c>
      <c r="X3221">
        <v>0.99175820000000003</v>
      </c>
      <c r="Y3221">
        <v>1.9911720000000001E-2</v>
      </c>
      <c r="Z3221">
        <v>-2.9306809999999999E-4</v>
      </c>
      <c r="AA3221">
        <v>0.99980170000000002</v>
      </c>
      <c r="AB3221">
        <v>33</v>
      </c>
      <c r="AC3221">
        <v>26.489000000000001</v>
      </c>
      <c r="AD3221">
        <v>-1.120468253598</v>
      </c>
      <c r="AE3221">
        <v>-0.79380000000000395</v>
      </c>
      <c r="AF3221">
        <v>0.53630563259048902</v>
      </c>
      <c r="AG3221">
        <v>-1.120468253598</v>
      </c>
      <c r="AH3221">
        <v>26.448165046469001</v>
      </c>
      <c r="AI3221">
        <v>92.425369226722793</v>
      </c>
      <c r="AJ3221">
        <v>88.838337606449002</v>
      </c>
      <c r="AK3221">
        <v>26.477320619053099</v>
      </c>
      <c r="AL3221">
        <v>97.304227970639403</v>
      </c>
      <c r="AM3221">
        <v>89.083670985641604</v>
      </c>
      <c r="AN3221">
        <v>0.99999998318116401</v>
      </c>
    </row>
    <row r="3222" spans="1:40" x14ac:dyDescent="0.25">
      <c r="A3222" t="str">
        <f>"20190303154533918"</f>
        <v>20190303154533918</v>
      </c>
      <c r="B3222" t="str">
        <f>"1551599133913748"</f>
        <v>1551599133913748</v>
      </c>
      <c r="C3222" t="s">
        <v>40</v>
      </c>
      <c r="D3222">
        <v>4.9774240000000001</v>
      </c>
      <c r="E3222">
        <v>0.50258249999999904</v>
      </c>
      <c r="F3222" t="s">
        <v>57</v>
      </c>
      <c r="G3222">
        <v>-312.66899999999998</v>
      </c>
      <c r="H3222" s="1">
        <v>2.0892459999999998E-6</v>
      </c>
      <c r="I3222">
        <v>213.7475</v>
      </c>
      <c r="J3222">
        <v>-338.12439999999998</v>
      </c>
      <c r="K3222">
        <v>1.120476</v>
      </c>
      <c r="L3222">
        <v>214.517</v>
      </c>
      <c r="M3222">
        <v>0.99984910000000005</v>
      </c>
      <c r="N3222">
        <v>-1.435611E-2</v>
      </c>
      <c r="O3222">
        <v>-9.7921099999999997E-3</v>
      </c>
      <c r="P3222">
        <v>0.98957589999999995</v>
      </c>
      <c r="Q3222">
        <v>-0.14164669999999999</v>
      </c>
      <c r="R3222">
        <v>-2.600411E-2</v>
      </c>
      <c r="S3222">
        <v>3.010345</v>
      </c>
      <c r="T3222">
        <v>-0.131164</v>
      </c>
      <c r="U3222">
        <v>-9.0393070000000006E-2</v>
      </c>
      <c r="V3222">
        <v>1.6267480000000001E-2</v>
      </c>
      <c r="W3222">
        <v>-0.12742829999999999</v>
      </c>
      <c r="X3222">
        <v>0.9917144</v>
      </c>
      <c r="Y3222">
        <v>2.0202500000000002E-2</v>
      </c>
      <c r="Z3222">
        <v>-2.9914159999999999E-4</v>
      </c>
      <c r="AA3222">
        <v>0.99979589999999996</v>
      </c>
      <c r="AB3222">
        <v>33</v>
      </c>
      <c r="AC3222">
        <v>25.455399999999901</v>
      </c>
      <c r="AD3222">
        <v>-1.120473910754</v>
      </c>
      <c r="AE3222">
        <v>-0.76949999999999297</v>
      </c>
      <c r="AF3222">
        <v>0.51917037950702305</v>
      </c>
      <c r="AG3222">
        <v>-1.120473910754</v>
      </c>
      <c r="AH3222">
        <v>25.412523092514</v>
      </c>
      <c r="AI3222">
        <v>92.524090406130995</v>
      </c>
      <c r="AJ3222">
        <v>88.829626869690003</v>
      </c>
      <c r="AK3222">
        <v>25.4425102848598</v>
      </c>
      <c r="AL3222">
        <v>97.3210085620765</v>
      </c>
      <c r="AM3222">
        <v>89.060239153393397</v>
      </c>
      <c r="AN3222">
        <v>1.00000002685689</v>
      </c>
    </row>
    <row r="3223" spans="1:40" x14ac:dyDescent="0.25">
      <c r="A3223" t="str">
        <f>"20190303154533938"</f>
        <v>20190303154533938</v>
      </c>
      <c r="B3223" t="str">
        <f>"1551599133934244"</f>
        <v>1551599133934244</v>
      </c>
      <c r="C3223" t="s">
        <v>40</v>
      </c>
      <c r="D3223">
        <v>4.9795800000000003</v>
      </c>
      <c r="E3223">
        <v>0.50251349999999995</v>
      </c>
      <c r="F3223" t="s">
        <v>57</v>
      </c>
      <c r="G3223">
        <v>-312.99419999999998</v>
      </c>
      <c r="H3223" s="1">
        <v>2.2334480000000001E-6</v>
      </c>
      <c r="I3223">
        <v>213.75819999999999</v>
      </c>
      <c r="J3223">
        <v>-337.84129999999999</v>
      </c>
      <c r="K3223">
        <v>1.1204780000000001</v>
      </c>
      <c r="L3223">
        <v>214.51410000000001</v>
      </c>
      <c r="M3223">
        <v>0.99984759999999995</v>
      </c>
      <c r="N3223">
        <v>-1.4371119999999999E-2</v>
      </c>
      <c r="O3223">
        <v>-9.9115379999999993E-3</v>
      </c>
      <c r="P3223">
        <v>0.98950740000000004</v>
      </c>
      <c r="Q3223">
        <v>-0.14199000000000001</v>
      </c>
      <c r="R3223">
        <v>-2.6719010000000001E-2</v>
      </c>
      <c r="S3223">
        <v>3.0100099999999999</v>
      </c>
      <c r="T3223">
        <v>-0.13420650000000001</v>
      </c>
      <c r="U3223">
        <v>-9.0896610000000003E-2</v>
      </c>
      <c r="V3223">
        <v>1.6864770000000001E-2</v>
      </c>
      <c r="W3223">
        <v>-0.1277578</v>
      </c>
      <c r="X3223">
        <v>0.99166200000000004</v>
      </c>
      <c r="Y3223">
        <v>2.025275E-2</v>
      </c>
      <c r="Z3223">
        <v>-2.9763130000000002E-4</v>
      </c>
      <c r="AA3223">
        <v>0.99979479999999998</v>
      </c>
      <c r="AB3223">
        <v>33</v>
      </c>
      <c r="AC3223">
        <v>24.847100000000001</v>
      </c>
      <c r="AD3223">
        <v>-1.120475766552</v>
      </c>
      <c r="AE3223">
        <v>-0.755900000000025</v>
      </c>
      <c r="AF3223">
        <v>0.50853128555450899</v>
      </c>
      <c r="AG3223">
        <v>-1.120475766552</v>
      </c>
      <c r="AH3223">
        <v>24.8029808418569</v>
      </c>
      <c r="AI3223">
        <v>92.586038055725993</v>
      </c>
      <c r="AJ3223">
        <v>88.825438968989502</v>
      </c>
      <c r="AK3223">
        <v>24.833484021645798</v>
      </c>
      <c r="AL3223">
        <v>97.340043302750502</v>
      </c>
      <c r="AM3223">
        <v>89.025689193835603</v>
      </c>
      <c r="AN3223">
        <v>0.99999999908599602</v>
      </c>
    </row>
    <row r="3224" spans="1:40" x14ac:dyDescent="0.25">
      <c r="A3224" t="str">
        <f>"20190303154533961"</f>
        <v>20190303154533961</v>
      </c>
      <c r="B3224" t="str">
        <f>"1551599133953764"</f>
        <v>1551599133953764</v>
      </c>
      <c r="C3224" t="s">
        <v>40</v>
      </c>
      <c r="D3224">
        <v>4.9915000000000003</v>
      </c>
      <c r="E3224">
        <v>0.50239120000000004</v>
      </c>
      <c r="F3224" t="s">
        <v>57</v>
      </c>
      <c r="G3224">
        <v>-313.3372</v>
      </c>
      <c r="H3224" s="1">
        <v>2.3855330000000001E-6</v>
      </c>
      <c r="I3224">
        <v>213.7628</v>
      </c>
      <c r="J3224">
        <v>-337.49560000000002</v>
      </c>
      <c r="K3224">
        <v>1.1204909999999999</v>
      </c>
      <c r="L3224">
        <v>214.51060000000001</v>
      </c>
      <c r="M3224">
        <v>0.99984589999999995</v>
      </c>
      <c r="N3224">
        <v>-1.438674E-2</v>
      </c>
      <c r="O3224">
        <v>-1.0057429999999999E-2</v>
      </c>
      <c r="P3224">
        <v>0.98949710000000002</v>
      </c>
      <c r="Q3224">
        <v>-0.142045799999999</v>
      </c>
      <c r="R3224">
        <v>-2.680337E-2</v>
      </c>
      <c r="S3224">
        <v>3.0096129999999999</v>
      </c>
      <c r="T3224">
        <v>-0.13761760000000001</v>
      </c>
      <c r="U3224">
        <v>-9.2285160000000005E-2</v>
      </c>
      <c r="V3224">
        <v>1.6804889999999999E-2</v>
      </c>
      <c r="W3224">
        <v>-0.1277982</v>
      </c>
      <c r="X3224">
        <v>0.99165780000000003</v>
      </c>
      <c r="Y3224">
        <v>2.0570450000000001E-2</v>
      </c>
      <c r="Z3224">
        <v>-3.0316920000000001E-4</v>
      </c>
      <c r="AA3224">
        <v>0.99978829999999996</v>
      </c>
      <c r="AB3224">
        <v>33</v>
      </c>
      <c r="AC3224">
        <v>24.1584</v>
      </c>
      <c r="AD3224">
        <v>-1.1204886144670001</v>
      </c>
      <c r="AE3224">
        <v>-0.74780000000001201</v>
      </c>
      <c r="AF3224">
        <v>0.50368311881565297</v>
      </c>
      <c r="AG3224">
        <v>-1.1204886144670001</v>
      </c>
      <c r="AH3224">
        <v>24.112877903221801</v>
      </c>
      <c r="AI3224">
        <v>92.659954087308506</v>
      </c>
      <c r="AJ3224">
        <v>88.803348120382097</v>
      </c>
      <c r="AK3224">
        <v>24.144151925363001</v>
      </c>
      <c r="AL3224">
        <v>97.342377263354606</v>
      </c>
      <c r="AM3224">
        <v>89.0291438043554</v>
      </c>
      <c r="AN3224">
        <v>0.99999998827599601</v>
      </c>
    </row>
    <row r="3225" spans="1:40" x14ac:dyDescent="0.25">
      <c r="A3225" t="str">
        <f>"20190303154533983"</f>
        <v>20190303154533983</v>
      </c>
      <c r="B3225" t="str">
        <f>"1551599133974260"</f>
        <v>1551599133974260</v>
      </c>
      <c r="C3225" t="s">
        <v>40</v>
      </c>
      <c r="D3225">
        <v>4.9725599999999996</v>
      </c>
      <c r="E3225">
        <v>0.50233509999999904</v>
      </c>
      <c r="F3225" t="s">
        <v>57</v>
      </c>
      <c r="G3225">
        <v>-313.4513</v>
      </c>
      <c r="H3225" s="1">
        <v>2.4361479999999999E-6</v>
      </c>
      <c r="I3225">
        <v>213.7775</v>
      </c>
      <c r="J3225">
        <v>-337.18079999999998</v>
      </c>
      <c r="K3225">
        <v>1.1205020000000001</v>
      </c>
      <c r="L3225">
        <v>214.50720000000001</v>
      </c>
      <c r="M3225">
        <v>0.99984439999999997</v>
      </c>
      <c r="N3225">
        <v>-1.43984E-2</v>
      </c>
      <c r="O3225">
        <v>-1.019054E-2</v>
      </c>
      <c r="P3225">
        <v>0.98950539999999998</v>
      </c>
      <c r="Q3225">
        <v>-0.1419677</v>
      </c>
      <c r="R3225">
        <v>-2.6913469999999998E-2</v>
      </c>
      <c r="S3225">
        <v>3.0092469999999998</v>
      </c>
      <c r="T3225">
        <v>-0.14023360000000001</v>
      </c>
      <c r="U3225">
        <v>-9.1751100000000002E-2</v>
      </c>
      <c r="V3225">
        <v>1.6783289999999999E-2</v>
      </c>
      <c r="W3225">
        <v>-0.1277083</v>
      </c>
      <c r="X3225">
        <v>0.99166980000000005</v>
      </c>
      <c r="Y3225">
        <v>2.026362E-2</v>
      </c>
      <c r="Z3225">
        <v>-2.8997000000000002E-4</v>
      </c>
      <c r="AA3225">
        <v>0.99979459999999998</v>
      </c>
      <c r="AB3225">
        <v>33</v>
      </c>
      <c r="AC3225">
        <v>23.729499999999899</v>
      </c>
      <c r="AD3225">
        <v>-1.1204995638519999</v>
      </c>
      <c r="AE3225">
        <v>-0.72970000000000801</v>
      </c>
      <c r="AF3225">
        <v>0.486736361746891</v>
      </c>
      <c r="AG3225">
        <v>-1.1204995638519999</v>
      </c>
      <c r="AH3225">
        <v>23.6829484442584</v>
      </c>
      <c r="AI3225">
        <v>92.708215697342297</v>
      </c>
      <c r="AJ3225">
        <v>88.822612236251999</v>
      </c>
      <c r="AK3225">
        <v>23.714436079566401</v>
      </c>
      <c r="AL3225">
        <v>97.337183432448199</v>
      </c>
      <c r="AM3225">
        <v>89.030403177226702</v>
      </c>
      <c r="AN3225">
        <v>1.0000000404720699</v>
      </c>
    </row>
    <row r="3226" spans="1:40" x14ac:dyDescent="0.25">
      <c r="A3226" t="str">
        <f>"20190303154534004"</f>
        <v>20190303154534004</v>
      </c>
      <c r="B3226" t="str">
        <f>"1551599133993780"</f>
        <v>1551599133993780</v>
      </c>
      <c r="C3226" t="s">
        <v>40</v>
      </c>
      <c r="D3226">
        <v>4.9182550000000003</v>
      </c>
      <c r="E3226">
        <v>0.50231309999999996</v>
      </c>
      <c r="F3226" t="s">
        <v>57</v>
      </c>
      <c r="G3226">
        <v>-313.4547</v>
      </c>
      <c r="H3226" s="1">
        <v>2.4376390000000002E-6</v>
      </c>
      <c r="I3226">
        <v>213.7817</v>
      </c>
      <c r="J3226">
        <v>-336.85939999999999</v>
      </c>
      <c r="K3226">
        <v>1.120511</v>
      </c>
      <c r="L3226">
        <v>214.50380000000001</v>
      </c>
      <c r="M3226">
        <v>0.99984280000000003</v>
      </c>
      <c r="N3226">
        <v>-1.440833E-2</v>
      </c>
      <c r="O3226">
        <v>-1.032638E-2</v>
      </c>
      <c r="P3226">
        <v>0.9895003</v>
      </c>
      <c r="Q3226">
        <v>-0.1419733</v>
      </c>
      <c r="R3226">
        <v>-2.7072889999999999E-2</v>
      </c>
      <c r="S3226">
        <v>3.0089419999999998</v>
      </c>
      <c r="T3226">
        <v>-0.14210159999999999</v>
      </c>
      <c r="U3226">
        <v>-9.2010499999999995E-2</v>
      </c>
      <c r="V3226">
        <v>1.6808380000000001E-2</v>
      </c>
      <c r="W3226">
        <v>-0.12770399999999901</v>
      </c>
      <c r="X3226">
        <v>0.99166989999999999</v>
      </c>
      <c r="Y3226">
        <v>2.0216640000000001E-2</v>
      </c>
      <c r="Z3226">
        <v>-2.8423590000000001E-4</v>
      </c>
      <c r="AA3226">
        <v>0.99979560000000001</v>
      </c>
      <c r="AB3226">
        <v>33</v>
      </c>
      <c r="AC3226">
        <v>23.404699999999899</v>
      </c>
      <c r="AD3226">
        <v>-1.120508562361</v>
      </c>
      <c r="AE3226">
        <v>-0.72210000000001096</v>
      </c>
      <c r="AF3226">
        <v>0.479253128988959</v>
      </c>
      <c r="AG3226">
        <v>-1.120508562361</v>
      </c>
      <c r="AH3226">
        <v>23.357423806421298</v>
      </c>
      <c r="AI3226">
        <v>92.745925755937094</v>
      </c>
      <c r="AJ3226">
        <v>88.824556621057695</v>
      </c>
      <c r="AK3226">
        <v>23.389195579855802</v>
      </c>
      <c r="AL3226">
        <v>97.336935237382093</v>
      </c>
      <c r="AM3226">
        <v>89.028954064059107</v>
      </c>
      <c r="AN3226">
        <v>1.00000001191011</v>
      </c>
    </row>
    <row r="3227" spans="1:40" x14ac:dyDescent="0.25">
      <c r="A3227" t="str">
        <f>"20190303154534025"</f>
        <v>20190303154534025</v>
      </c>
      <c r="B3227" t="str">
        <f>"1551599134014277"</f>
        <v>1551599134014277</v>
      </c>
      <c r="C3227" t="s">
        <v>40</v>
      </c>
      <c r="D3227">
        <v>4.9992349999999997</v>
      </c>
      <c r="E3227">
        <v>0.50228130000000004</v>
      </c>
      <c r="F3227" t="s">
        <v>57</v>
      </c>
      <c r="G3227">
        <v>-313.41269999999997</v>
      </c>
      <c r="H3227" s="1">
        <v>2.4190149999999998E-6</v>
      </c>
      <c r="I3227">
        <v>213.78489999999999</v>
      </c>
      <c r="J3227">
        <v>-336.54860000000002</v>
      </c>
      <c r="K3227">
        <v>1.120514</v>
      </c>
      <c r="L3227">
        <v>214.50049999999999</v>
      </c>
      <c r="M3227">
        <v>0.99984150000000005</v>
      </c>
      <c r="N3227">
        <v>-1.441629E-2</v>
      </c>
      <c r="O3227">
        <v>-1.045768E-2</v>
      </c>
      <c r="P3227">
        <v>0.98950970000000005</v>
      </c>
      <c r="Q3227">
        <v>-0.1418787</v>
      </c>
      <c r="R3227">
        <v>-2.7224290000000002E-2</v>
      </c>
      <c r="S3227">
        <v>3.0086360000000001</v>
      </c>
      <c r="T3227">
        <v>-0.143781399999999</v>
      </c>
      <c r="U3227">
        <v>-9.2254639999999999E-2</v>
      </c>
      <c r="V3227">
        <v>1.6829730000000001E-2</v>
      </c>
      <c r="W3227">
        <v>-0.127601399999999</v>
      </c>
      <c r="X3227">
        <v>0.99168270000000003</v>
      </c>
      <c r="Y3227">
        <v>2.016921E-2</v>
      </c>
      <c r="Z3227">
        <v>-2.7842550000000001E-4</v>
      </c>
      <c r="AA3227">
        <v>0.99979660000000004</v>
      </c>
      <c r="AB3227">
        <v>33</v>
      </c>
      <c r="AC3227">
        <v>23.135899999999999</v>
      </c>
      <c r="AD3227">
        <v>-1.1205115809849999</v>
      </c>
      <c r="AE3227">
        <v>-0.71559999999999402</v>
      </c>
      <c r="AF3227">
        <v>0.47248069580381102</v>
      </c>
      <c r="AG3227">
        <v>-1.1205115809849999</v>
      </c>
      <c r="AH3227">
        <v>23.088014660454999</v>
      </c>
      <c r="AI3227">
        <v>92.777928014887706</v>
      </c>
      <c r="AJ3227">
        <v>88.827644035758993</v>
      </c>
      <c r="AK3227">
        <v>23.120017412891698</v>
      </c>
      <c r="AL3227">
        <v>97.331008529900203</v>
      </c>
      <c r="AM3227">
        <v>89.027733425523294</v>
      </c>
      <c r="AN3227">
        <v>0.99999996728656004</v>
      </c>
    </row>
    <row r="3228" spans="1:40" x14ac:dyDescent="0.25">
      <c r="A3228" t="str">
        <f>"20190303154534048"</f>
        <v>20190303154534048</v>
      </c>
      <c r="B3228" t="str">
        <f>"1551599134044533"</f>
        <v>1551599134044533</v>
      </c>
      <c r="C3228" t="s">
        <v>40</v>
      </c>
      <c r="D3228">
        <v>4.9712100000000001</v>
      </c>
      <c r="E3228">
        <v>0.50223169999999995</v>
      </c>
      <c r="F3228" t="s">
        <v>57</v>
      </c>
      <c r="G3228">
        <v>-313.31720000000001</v>
      </c>
      <c r="H3228" s="1">
        <v>2.3766959999999999E-6</v>
      </c>
      <c r="I3228">
        <v>213.78970000000001</v>
      </c>
      <c r="J3228">
        <v>-336.22519999999997</v>
      </c>
      <c r="K3228">
        <v>1.120517</v>
      </c>
      <c r="L3228">
        <v>214.49700000000001</v>
      </c>
      <c r="M3228">
        <v>0.99983999999999995</v>
      </c>
      <c r="N3228">
        <v>-1.442304E-2</v>
      </c>
      <c r="O3228">
        <v>-1.0594330000000001E-2</v>
      </c>
      <c r="P3228">
        <v>0.9894674</v>
      </c>
      <c r="Q3228">
        <v>-0.1421946</v>
      </c>
      <c r="R3228">
        <v>-2.7109899999999999E-2</v>
      </c>
      <c r="S3228">
        <v>3.0084529999999998</v>
      </c>
      <c r="T3228">
        <v>-0.14510609999999999</v>
      </c>
      <c r="U3228">
        <v>-9.2041020000000001E-2</v>
      </c>
      <c r="V3228">
        <v>1.6580669999999999E-2</v>
      </c>
      <c r="W3228">
        <v>-0.127911</v>
      </c>
      <c r="X3228">
        <v>0.9916471</v>
      </c>
      <c r="Y3228">
        <v>1.9963539999999998E-2</v>
      </c>
      <c r="Z3228">
        <v>-2.6734440000000001E-4</v>
      </c>
      <c r="AA3228">
        <v>0.99980069999999999</v>
      </c>
      <c r="AB3228">
        <v>33</v>
      </c>
      <c r="AC3228">
        <v>22.907999999999902</v>
      </c>
      <c r="AD3228">
        <v>-1.120514623304</v>
      </c>
      <c r="AE3228">
        <v>-0.70730000000000304</v>
      </c>
      <c r="AF3228">
        <v>0.46343244490459401</v>
      </c>
      <c r="AG3228">
        <v>-1.120514623304</v>
      </c>
      <c r="AH3228">
        <v>22.859567719868402</v>
      </c>
      <c r="AI3228">
        <v>92.805663598877203</v>
      </c>
      <c r="AJ3228">
        <v>88.838600680327502</v>
      </c>
      <c r="AK3228">
        <v>22.891705025866401</v>
      </c>
      <c r="AL3228">
        <v>97.348893202431796</v>
      </c>
      <c r="AM3228">
        <v>89.042084732798699</v>
      </c>
      <c r="AN3228">
        <v>1.0000000567385201</v>
      </c>
    </row>
    <row r="3229" spans="1:40" x14ac:dyDescent="0.25">
      <c r="A3229" t="str">
        <f>"20190303154534069"</f>
        <v>20190303154534069</v>
      </c>
      <c r="B3229" t="str">
        <f>"1551599134064053"</f>
        <v>1551599134064053</v>
      </c>
      <c r="C3229" t="s">
        <v>40</v>
      </c>
      <c r="D3229">
        <v>4.9401129999999904</v>
      </c>
      <c r="E3229">
        <v>0.50219020000000003</v>
      </c>
      <c r="F3229" t="s">
        <v>57</v>
      </c>
      <c r="G3229">
        <v>-313.41300000000001</v>
      </c>
      <c r="H3229" s="1">
        <v>2.4191599999999998E-6</v>
      </c>
      <c r="I3229">
        <v>213.80439999999999</v>
      </c>
      <c r="J3229">
        <v>-335.899</v>
      </c>
      <c r="K3229">
        <v>1.1205149999999999</v>
      </c>
      <c r="L3229">
        <v>214.49340000000001</v>
      </c>
      <c r="M3229">
        <v>0.99983840000000002</v>
      </c>
      <c r="N3229">
        <v>-1.442848E-2</v>
      </c>
      <c r="O3229">
        <v>-1.073228E-2</v>
      </c>
      <c r="P3229">
        <v>0.98939619999999995</v>
      </c>
      <c r="Q3229">
        <v>-0.14279120000000001</v>
      </c>
      <c r="R3229">
        <v>-2.657255E-2</v>
      </c>
      <c r="S3229">
        <v>3.0082089999999999</v>
      </c>
      <c r="T3229">
        <v>-0.14776059999999999</v>
      </c>
      <c r="U3229">
        <v>-9.1323849999999998E-2</v>
      </c>
      <c r="V3229">
        <v>1.590716E-2</v>
      </c>
      <c r="W3229">
        <v>-0.12850300000000001</v>
      </c>
      <c r="X3229">
        <v>0.99158159999999895</v>
      </c>
      <c r="Y3229">
        <v>1.9589929999999998E-2</v>
      </c>
      <c r="Z3229">
        <v>-2.5026920000000003E-4</v>
      </c>
      <c r="AA3229">
        <v>0.99980809999999998</v>
      </c>
      <c r="AB3229">
        <v>33</v>
      </c>
      <c r="AC3229">
        <v>22.485999999999901</v>
      </c>
      <c r="AD3229">
        <v>-1.1205125808399901</v>
      </c>
      <c r="AE3229">
        <v>-0.68900000000002104</v>
      </c>
      <c r="AF3229">
        <v>0.44650145584674</v>
      </c>
      <c r="AG3229">
        <v>-1.1205125808399901</v>
      </c>
      <c r="AH3229">
        <v>22.436438448458201</v>
      </c>
      <c r="AI3229">
        <v>92.858504853409499</v>
      </c>
      <c r="AJ3229">
        <v>88.859922773147204</v>
      </c>
      <c r="AK3229">
        <v>22.468838026149701</v>
      </c>
      <c r="AL3229">
        <v>97.383094496820206</v>
      </c>
      <c r="AM3229">
        <v>89.080927924342504</v>
      </c>
      <c r="AN3229">
        <v>1.0000000641034099</v>
      </c>
    </row>
    <row r="3230" spans="1:40" x14ac:dyDescent="0.25">
      <c r="A3230" t="str">
        <f>"20190303154534093"</f>
        <v>20190303154534093</v>
      </c>
      <c r="B3230" t="str">
        <f>"1551599134084549"</f>
        <v>1551599134084549</v>
      </c>
      <c r="C3230" t="s">
        <v>40</v>
      </c>
      <c r="D3230">
        <v>5.0686960000000001</v>
      </c>
      <c r="E3230">
        <v>0.5021774</v>
      </c>
      <c r="F3230" t="s">
        <v>57</v>
      </c>
      <c r="G3230">
        <v>-313.54340000000002</v>
      </c>
      <c r="H3230" s="1">
        <v>2.4769820000000001E-6</v>
      </c>
      <c r="I3230">
        <v>213.82730000000001</v>
      </c>
      <c r="J3230">
        <v>-335.56099999999998</v>
      </c>
      <c r="K3230">
        <v>1.1205160000000001</v>
      </c>
      <c r="L3230">
        <v>214.4896</v>
      </c>
      <c r="M3230">
        <v>0.99983679999999997</v>
      </c>
      <c r="N3230">
        <v>-1.443291E-2</v>
      </c>
      <c r="O3230">
        <v>-1.0875360000000001E-2</v>
      </c>
      <c r="P3230">
        <v>0.98938550000000003</v>
      </c>
      <c r="Q3230">
        <v>-0.14292089999999999</v>
      </c>
      <c r="R3230">
        <v>-2.627583E-2</v>
      </c>
      <c r="S3230">
        <v>3.0079959999999999</v>
      </c>
      <c r="T3230">
        <v>-0.15076700000000001</v>
      </c>
      <c r="U3230">
        <v>-8.9614869999999999E-2</v>
      </c>
      <c r="V3230">
        <v>1.5469139999999999E-2</v>
      </c>
      <c r="W3230">
        <v>-0.1286283</v>
      </c>
      <c r="X3230">
        <v>0.99157220000000001</v>
      </c>
      <c r="Y3230">
        <v>1.888198E-2</v>
      </c>
      <c r="Z3230">
        <v>-2.2148099999999999E-4</v>
      </c>
      <c r="AA3230">
        <v>0.99982170000000004</v>
      </c>
      <c r="AB3230">
        <v>33</v>
      </c>
      <c r="AC3230">
        <v>22.017599999999899</v>
      </c>
      <c r="AD3230">
        <v>-1.1205135230179999</v>
      </c>
      <c r="AE3230">
        <v>-0.66229999999998701</v>
      </c>
      <c r="AF3230">
        <v>0.421695389673932</v>
      </c>
      <c r="AG3230">
        <v>-1.1205135230179999</v>
      </c>
      <c r="AH3230">
        <v>21.966659648278799</v>
      </c>
      <c r="AI3230">
        <v>92.919574682597499</v>
      </c>
      <c r="AJ3230">
        <v>88.9002242912497</v>
      </c>
      <c r="AK3230">
        <v>21.999261661707202</v>
      </c>
      <c r="AL3230">
        <v>97.390334354806697</v>
      </c>
      <c r="AM3230">
        <v>89.106222883718303</v>
      </c>
      <c r="AN3230">
        <v>0.99999998083303399</v>
      </c>
    </row>
    <row r="3231" spans="1:40" x14ac:dyDescent="0.25">
      <c r="A3231" t="str">
        <f>"20190303154534115"</f>
        <v>20190303154534115</v>
      </c>
      <c r="B3231" t="str">
        <f>"1551599134103739"</f>
        <v>1551599134103739</v>
      </c>
      <c r="C3231" t="s">
        <v>40</v>
      </c>
      <c r="D3231">
        <v>4.9820900000000004</v>
      </c>
      <c r="E3231">
        <v>0.50214389999999998</v>
      </c>
      <c r="F3231" t="s">
        <v>57</v>
      </c>
      <c r="G3231">
        <v>-313.4203</v>
      </c>
      <c r="H3231" s="1">
        <v>2.4224049999999998E-6</v>
      </c>
      <c r="I3231">
        <v>213.8382</v>
      </c>
      <c r="J3231">
        <v>-335.24270000000001</v>
      </c>
      <c r="K3231">
        <v>1.1205210000000001</v>
      </c>
      <c r="L3231">
        <v>214.48599999999999</v>
      </c>
      <c r="M3231">
        <v>0.99983529999999998</v>
      </c>
      <c r="N3231">
        <v>-1.443609E-2</v>
      </c>
      <c r="O3231">
        <v>-1.1009949999999999E-2</v>
      </c>
      <c r="P3231">
        <v>0.98937929999999996</v>
      </c>
      <c r="Q3231">
        <v>-0.14304420000000001</v>
      </c>
      <c r="R3231">
        <v>-2.5832069999999999E-2</v>
      </c>
      <c r="S3231">
        <v>3.0078429999999998</v>
      </c>
      <c r="T3231">
        <v>-0.152223</v>
      </c>
      <c r="U3231">
        <v>-8.8500980000000007E-2</v>
      </c>
      <c r="V3231">
        <v>1.4892209999999999E-2</v>
      </c>
      <c r="W3231">
        <v>-0.12874840000000001</v>
      </c>
      <c r="X3231">
        <v>0.99156549999999999</v>
      </c>
      <c r="Y3231">
        <v>1.837952E-2</v>
      </c>
      <c r="Z3231">
        <v>-1.9965179999999999E-4</v>
      </c>
      <c r="AA3231">
        <v>0.99983109999999997</v>
      </c>
      <c r="AB3231">
        <v>33</v>
      </c>
      <c r="AC3231">
        <v>21.822399999999998</v>
      </c>
      <c r="AD3231">
        <v>-1.120518577595</v>
      </c>
      <c r="AE3231">
        <v>-0.64779999999998905</v>
      </c>
      <c r="AF3231">
        <v>0.40640163744639302</v>
      </c>
      <c r="AG3231">
        <v>-1.120518577595</v>
      </c>
      <c r="AH3231">
        <v>21.770860985573801</v>
      </c>
      <c r="AI3231">
        <v>92.945828912028105</v>
      </c>
      <c r="AJ3231">
        <v>88.930570797830796</v>
      </c>
      <c r="AK3231">
        <v>21.803465601294601</v>
      </c>
      <c r="AL3231">
        <v>97.397272874593995</v>
      </c>
      <c r="AM3231">
        <v>89.139545866117402</v>
      </c>
      <c r="AN3231">
        <v>1.0000000346057401</v>
      </c>
    </row>
    <row r="3232" spans="1:40" x14ac:dyDescent="0.25">
      <c r="A3232" t="str">
        <f>"20190303154534138"</f>
        <v>20190303154534138</v>
      </c>
      <c r="B3232" t="str">
        <f>"1551599134133994"</f>
        <v>1551599134133994</v>
      </c>
      <c r="C3232" t="s">
        <v>40</v>
      </c>
      <c r="D3232">
        <v>4.9949159999999999</v>
      </c>
      <c r="E3232">
        <v>0.50211570000000005</v>
      </c>
      <c r="F3232" t="s">
        <v>57</v>
      </c>
      <c r="G3232">
        <v>-313.37650000000002</v>
      </c>
      <c r="H3232" s="1">
        <v>2.403003E-6</v>
      </c>
      <c r="I3232">
        <v>213.85560000000001</v>
      </c>
      <c r="J3232">
        <v>-334.89949999999999</v>
      </c>
      <c r="K3232">
        <v>1.1205309999999999</v>
      </c>
      <c r="L3232">
        <v>214.4821</v>
      </c>
      <c r="M3232">
        <v>0.99983359999999999</v>
      </c>
      <c r="N3232">
        <v>-1.443855E-2</v>
      </c>
      <c r="O3232">
        <v>-1.1154799999999999E-2</v>
      </c>
      <c r="P3232">
        <v>0.98944489999999996</v>
      </c>
      <c r="Q3232">
        <v>-0.14263789999999901</v>
      </c>
      <c r="R3232">
        <v>-2.55652E-2</v>
      </c>
      <c r="S3232">
        <v>3.0076290000000001</v>
      </c>
      <c r="T3232">
        <v>-0.15412410000000001</v>
      </c>
      <c r="U3232">
        <v>-8.6715699999999896E-2</v>
      </c>
      <c r="V3232">
        <v>1.4481569999999999E-2</v>
      </c>
      <c r="W3232">
        <v>-0.12833849999999999</v>
      </c>
      <c r="X3232">
        <v>0.99162470000000003</v>
      </c>
      <c r="Y3232">
        <v>1.7644690000000001E-2</v>
      </c>
      <c r="Z3232">
        <v>-1.69099399999999E-4</v>
      </c>
      <c r="AA3232">
        <v>0.99984430000000002</v>
      </c>
      <c r="AB3232">
        <v>33</v>
      </c>
      <c r="AC3232">
        <v>21.5229999999999</v>
      </c>
      <c r="AD3232">
        <v>-1.120528596997</v>
      </c>
      <c r="AE3232">
        <v>-0.62649999999999295</v>
      </c>
      <c r="AF3232">
        <v>0.38530776822561802</v>
      </c>
      <c r="AG3232">
        <v>-1.120528596997</v>
      </c>
      <c r="AH3232">
        <v>21.470504528691698</v>
      </c>
      <c r="AI3232">
        <v>92.987030782867905</v>
      </c>
      <c r="AJ3232">
        <v>88.971885387887099</v>
      </c>
      <c r="AK3232">
        <v>21.503176768317601</v>
      </c>
      <c r="AL3232">
        <v>97.373591003966396</v>
      </c>
      <c r="AM3232">
        <v>89.163318680311605</v>
      </c>
      <c r="AN3232">
        <v>1.0000000160510001</v>
      </c>
    </row>
    <row r="3233" spans="1:40" x14ac:dyDescent="0.25">
      <c r="A3233" t="str">
        <f>"20190303154534162"</f>
        <v>20190303154534162</v>
      </c>
      <c r="B3233" t="str">
        <f>"1551599134154491"</f>
        <v>1551599134154491</v>
      </c>
      <c r="C3233" t="s">
        <v>40</v>
      </c>
      <c r="D3233">
        <v>5.0594140000000003</v>
      </c>
      <c r="E3233">
        <v>0.50216289999999997</v>
      </c>
      <c r="F3233" t="s">
        <v>57</v>
      </c>
      <c r="G3233">
        <v>-313.19929999999999</v>
      </c>
      <c r="H3233" s="1">
        <v>2.3243949999999998E-6</v>
      </c>
      <c r="I3233">
        <v>213.86199999999999</v>
      </c>
      <c r="J3233">
        <v>-334.56169999999997</v>
      </c>
      <c r="K3233">
        <v>1.1205339999999999</v>
      </c>
      <c r="L3233">
        <v>214.47810000000001</v>
      </c>
      <c r="M3233">
        <v>0.99983200000000005</v>
      </c>
      <c r="N3233">
        <v>-1.4440150000000001E-2</v>
      </c>
      <c r="O3233">
        <v>-1.129664E-2</v>
      </c>
      <c r="P3233">
        <v>0.98958469999999998</v>
      </c>
      <c r="Q3233">
        <v>-0.1416396</v>
      </c>
      <c r="R3233">
        <v>-2.5702590000000001E-2</v>
      </c>
      <c r="S3233">
        <v>3.0073850000000002</v>
      </c>
      <c r="T3233">
        <v>-0.15529129999999899</v>
      </c>
      <c r="U3233">
        <v>-8.59375E-2</v>
      </c>
      <c r="V3233">
        <v>1.447763E-2</v>
      </c>
      <c r="W3233">
        <v>-0.1273367</v>
      </c>
      <c r="X3233">
        <v>0.99175389999999997</v>
      </c>
      <c r="Y3233">
        <v>1.7247200000000001E-2</v>
      </c>
      <c r="Z3233">
        <v>-1.4982109999999999E-4</v>
      </c>
      <c r="AA3233">
        <v>0.99985119999999905</v>
      </c>
      <c r="AB3233">
        <v>33</v>
      </c>
      <c r="AC3233">
        <v>21.362399999999901</v>
      </c>
      <c r="AD3233">
        <v>-1.1205316756050001</v>
      </c>
      <c r="AE3233">
        <v>-0.61610000000001697</v>
      </c>
      <c r="AF3233">
        <v>0.37368490292944401</v>
      </c>
      <c r="AG3233">
        <v>-1.1205316756050001</v>
      </c>
      <c r="AH3233">
        <v>21.309415933358999</v>
      </c>
      <c r="AI3233">
        <v>93.009599980671297</v>
      </c>
      <c r="AJ3233">
        <v>88.995356157177795</v>
      </c>
      <c r="AK3233">
        <v>21.342128269308301</v>
      </c>
      <c r="AL3233">
        <v>97.315717231773107</v>
      </c>
      <c r="AM3233">
        <v>89.163655236713694</v>
      </c>
      <c r="AN3233">
        <v>1.00000001755125</v>
      </c>
    </row>
    <row r="3234" spans="1:40" x14ac:dyDescent="0.25">
      <c r="A3234" t="str">
        <f>"20190303154534183"</f>
        <v>20190303154534183</v>
      </c>
      <c r="B3234" t="str">
        <f>"1551599134174988"</f>
        <v>1551599134174988</v>
      </c>
      <c r="C3234" t="s">
        <v>40</v>
      </c>
      <c r="D3234">
        <v>4.9684939999999997</v>
      </c>
      <c r="E3234">
        <v>0.50212900000000005</v>
      </c>
      <c r="F3234" t="s">
        <v>57</v>
      </c>
      <c r="G3234">
        <v>-312.6268</v>
      </c>
      <c r="H3234" s="1">
        <v>2.0705100000000002E-6</v>
      </c>
      <c r="I3234">
        <v>213.8451</v>
      </c>
      <c r="J3234">
        <v>-334.25420000000003</v>
      </c>
      <c r="K3234">
        <v>1.120541</v>
      </c>
      <c r="L3234">
        <v>214.47450000000001</v>
      </c>
      <c r="M3234">
        <v>0.99983049999999996</v>
      </c>
      <c r="N3234">
        <v>-1.4440929999999999E-2</v>
      </c>
      <c r="O3234">
        <v>-1.142309E-2</v>
      </c>
      <c r="P3234">
        <v>0.98961200000000005</v>
      </c>
      <c r="Q3234">
        <v>-0.14129229999999901</v>
      </c>
      <c r="R3234">
        <v>-2.654859E-2</v>
      </c>
      <c r="S3234">
        <v>3.0072939999999999</v>
      </c>
      <c r="T3234">
        <v>-0.1536256</v>
      </c>
      <c r="U3234">
        <v>-8.6791989999999999E-2</v>
      </c>
      <c r="V3234">
        <v>1.51986E-2</v>
      </c>
      <c r="W3234">
        <v>-0.1269883</v>
      </c>
      <c r="X3234">
        <v>0.9917878</v>
      </c>
      <c r="Y3234">
        <v>1.7405629999999998E-2</v>
      </c>
      <c r="Z3234">
        <v>-1.518705E-4</v>
      </c>
      <c r="AA3234">
        <v>0.99984850000000003</v>
      </c>
      <c r="AB3234">
        <v>33</v>
      </c>
      <c r="AC3234">
        <v>21.627400000000002</v>
      </c>
      <c r="AD3234">
        <v>-1.1205389294899999</v>
      </c>
      <c r="AE3234">
        <v>-0.62940000000000396</v>
      </c>
      <c r="AF3234">
        <v>0.38125885134635901</v>
      </c>
      <c r="AG3234">
        <v>-1.1205389294899999</v>
      </c>
      <c r="AH3234">
        <v>21.5753115590501</v>
      </c>
      <c r="AI3234">
        <v>92.972588560959807</v>
      </c>
      <c r="AJ3234">
        <v>88.987627609563006</v>
      </c>
      <c r="AK3234">
        <v>21.607754040490001</v>
      </c>
      <c r="AL3234">
        <v>97.295591890426493</v>
      </c>
      <c r="AM3234">
        <v>89.122042560874803</v>
      </c>
      <c r="AN3234">
        <v>1.0000000330038401</v>
      </c>
    </row>
    <row r="3235" spans="1:40" x14ac:dyDescent="0.25">
      <c r="A3235" t="str">
        <f>"20190303154534204"</f>
        <v>20190303154534204</v>
      </c>
      <c r="B3235" t="str">
        <f>"1551599134194507"</f>
        <v>1551599134194507</v>
      </c>
      <c r="C3235" t="s">
        <v>40</v>
      </c>
      <c r="D3235">
        <v>5.0047990000000002</v>
      </c>
      <c r="E3235">
        <v>0.50217889999999998</v>
      </c>
      <c r="F3235" t="s">
        <v>57</v>
      </c>
      <c r="G3235">
        <v>-312.39210000000003</v>
      </c>
      <c r="H3235" s="1">
        <v>1.9664579999999998E-6</v>
      </c>
      <c r="I3235">
        <v>213.8279</v>
      </c>
      <c r="J3235">
        <v>-333.93950000000001</v>
      </c>
      <c r="K3235">
        <v>1.1205419999999999</v>
      </c>
      <c r="L3235">
        <v>214.4708</v>
      </c>
      <c r="M3235">
        <v>0.99982899999999997</v>
      </c>
      <c r="N3235">
        <v>-1.4441209999999999E-2</v>
      </c>
      <c r="O3235">
        <v>-1.1550360000000001E-2</v>
      </c>
      <c r="P3235">
        <v>0.9896199</v>
      </c>
      <c r="Q3235">
        <v>-0.141100799999999</v>
      </c>
      <c r="R3235">
        <v>-2.725843E-2</v>
      </c>
      <c r="S3235">
        <v>3.0070800000000002</v>
      </c>
      <c r="T3235">
        <v>-0.1541276</v>
      </c>
      <c r="U3235">
        <v>-8.8943480000000005E-2</v>
      </c>
      <c r="V3235">
        <v>1.578326E-2</v>
      </c>
      <c r="W3235">
        <v>-0.1267964</v>
      </c>
      <c r="X3235">
        <v>0.9918032</v>
      </c>
      <c r="Y3235">
        <v>1.799415E-2</v>
      </c>
      <c r="Z3235">
        <v>-1.6605879999999999E-4</v>
      </c>
      <c r="AA3235">
        <v>0.99983809999999995</v>
      </c>
      <c r="AB3235">
        <v>33</v>
      </c>
      <c r="AC3235">
        <v>21.5473999999999</v>
      </c>
      <c r="AD3235">
        <v>-1.1205400335419999</v>
      </c>
      <c r="AE3235">
        <v>-0.64289999999999703</v>
      </c>
      <c r="AF3235">
        <v>0.39288934992671798</v>
      </c>
      <c r="AG3235">
        <v>-1.1205400335419999</v>
      </c>
      <c r="AH3235">
        <v>21.495309406177999</v>
      </c>
      <c r="AI3235">
        <v>92.983602573436997</v>
      </c>
      <c r="AJ3235">
        <v>88.952869446338894</v>
      </c>
      <c r="AK3235">
        <v>21.528081625527602</v>
      </c>
      <c r="AL3235">
        <v>97.284507374704006</v>
      </c>
      <c r="AM3235">
        <v>89.088289028908306</v>
      </c>
      <c r="AN3235">
        <v>1.00000001293971</v>
      </c>
    </row>
    <row r="3236" spans="1:40" x14ac:dyDescent="0.25">
      <c r="A3236" t="str">
        <f>"20190303154534227"</f>
        <v>20190303154534227</v>
      </c>
      <c r="B3236" t="str">
        <f>"1551599134224486"</f>
        <v>1551599134224486</v>
      </c>
      <c r="C3236" t="s">
        <v>40</v>
      </c>
      <c r="D3236">
        <v>4.9705789999999999</v>
      </c>
      <c r="E3236">
        <v>0.50222120000000003</v>
      </c>
      <c r="F3236" t="s">
        <v>57</v>
      </c>
      <c r="G3236">
        <v>-312.19</v>
      </c>
      <c r="H3236" s="1">
        <v>1.876809E-6</v>
      </c>
      <c r="I3236">
        <v>213.8081</v>
      </c>
      <c r="J3236">
        <v>-333.61500000000001</v>
      </c>
      <c r="K3236">
        <v>1.1205480000000001</v>
      </c>
      <c r="L3236">
        <v>214.46690000000001</v>
      </c>
      <c r="M3236">
        <v>0.99982760000000004</v>
      </c>
      <c r="N3236">
        <v>-1.4440990000000001E-2</v>
      </c>
      <c r="O3236">
        <v>-1.1679180000000001E-2</v>
      </c>
      <c r="P3236">
        <v>0.98956889999999997</v>
      </c>
      <c r="Q3236">
        <v>-0.14128589999999999</v>
      </c>
      <c r="R3236">
        <v>-2.813657E-2</v>
      </c>
      <c r="S3236">
        <v>3.006866</v>
      </c>
      <c r="T3236">
        <v>-0.15491429999999901</v>
      </c>
      <c r="U3236">
        <v>-9.1613769999999997E-2</v>
      </c>
      <c r="V3236">
        <v>1.6535149999999998E-2</v>
      </c>
      <c r="W3236">
        <v>-0.1269825</v>
      </c>
      <c r="X3236">
        <v>0.99176710000000001</v>
      </c>
      <c r="Y3236">
        <v>1.8753189999999999E-2</v>
      </c>
      <c r="Z3236">
        <v>-1.856328E-4</v>
      </c>
      <c r="AA3236">
        <v>0.99982409999999999</v>
      </c>
      <c r="AB3236">
        <v>32</v>
      </c>
      <c r="AC3236">
        <v>21.425000000000001</v>
      </c>
      <c r="AD3236">
        <v>-1.1205461231910001</v>
      </c>
      <c r="AE3236">
        <v>-0.65880000000001304</v>
      </c>
      <c r="AF3236">
        <v>0.40738924071904298</v>
      </c>
      <c r="AG3236">
        <v>-1.1205461231910001</v>
      </c>
      <c r="AH3236">
        <v>21.3728258761085</v>
      </c>
      <c r="AI3236">
        <v>93.000642362483703</v>
      </c>
      <c r="AJ3236">
        <v>88.9080125393061</v>
      </c>
      <c r="AK3236">
        <v>21.4060569825016</v>
      </c>
      <c r="AL3236">
        <v>97.295257298693599</v>
      </c>
      <c r="AM3236">
        <v>89.044829636851603</v>
      </c>
      <c r="AN3236">
        <v>0.99999997356709003</v>
      </c>
    </row>
    <row r="3237" spans="1:40" x14ac:dyDescent="0.25">
      <c r="A3237" t="str">
        <f>"20190303154534249"</f>
        <v>20190303154534249</v>
      </c>
      <c r="B3237" t="str">
        <f>"1551599134244005"</f>
        <v>1551599134244005</v>
      </c>
      <c r="C3237" t="s">
        <v>40</v>
      </c>
      <c r="D3237">
        <v>5.0233730000000003</v>
      </c>
      <c r="E3237">
        <v>0.50247280000000005</v>
      </c>
      <c r="F3237" t="s">
        <v>57</v>
      </c>
      <c r="G3237">
        <v>-312.11430000000001</v>
      </c>
      <c r="H3237" s="1">
        <v>1.843253E-6</v>
      </c>
      <c r="I3237">
        <v>213.7895</v>
      </c>
      <c r="J3237">
        <v>-333.29469999999998</v>
      </c>
      <c r="K3237">
        <v>1.1205609999999999</v>
      </c>
      <c r="L3237">
        <v>214.46299999999999</v>
      </c>
      <c r="M3237">
        <v>0.99982610000000005</v>
      </c>
      <c r="N3237">
        <v>-1.4440379999999999E-2</v>
      </c>
      <c r="O3237">
        <v>-1.180286E-2</v>
      </c>
      <c r="P3237">
        <v>0.98956909999999998</v>
      </c>
      <c r="Q3237">
        <v>-0.14121</v>
      </c>
      <c r="R3237">
        <v>-2.8510379999999998E-2</v>
      </c>
      <c r="S3237">
        <v>3.006561</v>
      </c>
      <c r="T3237">
        <v>-0.15669240000000001</v>
      </c>
      <c r="U3237">
        <v>-9.4726560000000001E-2</v>
      </c>
      <c r="V3237">
        <v>1.6787119999999999E-2</v>
      </c>
      <c r="W3237">
        <v>-0.12690699999999999</v>
      </c>
      <c r="X3237">
        <v>0.99177249999999995</v>
      </c>
      <c r="Y3237">
        <v>1.9664850000000001E-2</v>
      </c>
      <c r="Z3237">
        <v>-2.099228E-4</v>
      </c>
      <c r="AA3237">
        <v>0.99980659999999999</v>
      </c>
      <c r="AB3237">
        <v>32</v>
      </c>
      <c r="AC3237">
        <v>21.180399999999899</v>
      </c>
      <c r="AD3237">
        <v>-1.1205591567469999</v>
      </c>
      <c r="AE3237">
        <v>-0.67349999999999</v>
      </c>
      <c r="AF3237">
        <v>0.42225702098816997</v>
      </c>
      <c r="AG3237">
        <v>-1.1205591567469999</v>
      </c>
      <c r="AH3237">
        <v>21.127797652970401</v>
      </c>
      <c r="AI3237">
        <v>93.035357968153903</v>
      </c>
      <c r="AJ3237">
        <v>88.855047501969494</v>
      </c>
      <c r="AK3237">
        <v>21.161705684571</v>
      </c>
      <c r="AL3237">
        <v>97.290896409688003</v>
      </c>
      <c r="AM3237">
        <v>89.030282361807494</v>
      </c>
      <c r="AN3237">
        <v>0.99999994290157002</v>
      </c>
    </row>
    <row r="3238" spans="1:40" x14ac:dyDescent="0.25">
      <c r="A3238" t="str">
        <f>"20190303154534272"</f>
        <v>20190303154534272</v>
      </c>
      <c r="B3238" t="str">
        <f>"1551599134264502"</f>
        <v>1551599134264502</v>
      </c>
      <c r="C3238" t="s">
        <v>40</v>
      </c>
      <c r="D3238">
        <v>5.1174439999999999</v>
      </c>
      <c r="E3238">
        <v>0.50259359999999997</v>
      </c>
      <c r="F3238" t="s">
        <v>57</v>
      </c>
      <c r="G3238">
        <v>-312.27859999999998</v>
      </c>
      <c r="H3238" s="1">
        <v>1.9161140000000001E-6</v>
      </c>
      <c r="I3238">
        <v>213.77940000000001</v>
      </c>
      <c r="J3238">
        <v>-332.96789999999999</v>
      </c>
      <c r="K3238">
        <v>1.1205700000000001</v>
      </c>
      <c r="L3238">
        <v>214.459</v>
      </c>
      <c r="M3238">
        <v>0.99982470000000001</v>
      </c>
      <c r="N3238">
        <v>-1.443939E-2</v>
      </c>
      <c r="O3238">
        <v>-1.192439E-2</v>
      </c>
      <c r="P3238">
        <v>0.98956319999999998</v>
      </c>
      <c r="Q3238">
        <v>-0.14127729999999999</v>
      </c>
      <c r="R3238">
        <v>-2.8384409999999999E-2</v>
      </c>
      <c r="S3238">
        <v>3.0059200000000001</v>
      </c>
      <c r="T3238">
        <v>-0.16027259999999999</v>
      </c>
      <c r="U3238">
        <v>-9.7778320000000002E-2</v>
      </c>
      <c r="V3238">
        <v>1.6541839999999999E-2</v>
      </c>
      <c r="W3238">
        <v>-0.12697510000000001</v>
      </c>
      <c r="X3238">
        <v>0.99176790000000004</v>
      </c>
      <c r="Y3238">
        <v>2.0561639999999999E-2</v>
      </c>
      <c r="Z3238">
        <v>-2.331907E-4</v>
      </c>
      <c r="AA3238">
        <v>0.99978860000000003</v>
      </c>
      <c r="AB3238">
        <v>32</v>
      </c>
      <c r="AC3238">
        <v>20.689299999999999</v>
      </c>
      <c r="AD3238">
        <v>-1.1205680838859999</v>
      </c>
      <c r="AE3238">
        <v>-0.67959999999999299</v>
      </c>
      <c r="AF3238">
        <v>0.43155408546593099</v>
      </c>
      <c r="AG3238">
        <v>-1.1205680838859999</v>
      </c>
      <c r="AH3238">
        <v>20.635464659088001</v>
      </c>
      <c r="AI3238">
        <v>93.107602932936302</v>
      </c>
      <c r="AJ3238">
        <v>88.801935197266303</v>
      </c>
      <c r="AK3238">
        <v>20.670372842689101</v>
      </c>
      <c r="AL3238">
        <v>97.294830110910098</v>
      </c>
      <c r="AM3238">
        <v>89.044444024241201</v>
      </c>
      <c r="AN3238">
        <v>0.99999993798050102</v>
      </c>
    </row>
    <row r="3239" spans="1:40" x14ac:dyDescent="0.25">
      <c r="A3239" t="str">
        <f>"20190303154534295"</f>
        <v>20190303154534295</v>
      </c>
      <c r="B3239" t="str">
        <f>"1551599134284997"</f>
        <v>1551599134284997</v>
      </c>
      <c r="C3239" t="s">
        <v>40</v>
      </c>
      <c r="D3239">
        <v>5.0520339999999999</v>
      </c>
      <c r="E3239">
        <v>0.50272299999999903</v>
      </c>
      <c r="F3239" t="s">
        <v>57</v>
      </c>
      <c r="G3239">
        <v>-312.38760000000002</v>
      </c>
      <c r="H3239" s="1">
        <v>1.964454E-6</v>
      </c>
      <c r="I3239">
        <v>213.78579999999999</v>
      </c>
      <c r="J3239">
        <v>-332.62630000000001</v>
      </c>
      <c r="K3239">
        <v>1.1205750000000001</v>
      </c>
      <c r="L3239">
        <v>214.45480000000001</v>
      </c>
      <c r="M3239">
        <v>0.99982329999999997</v>
      </c>
      <c r="N3239">
        <v>-1.4438009999999999E-2</v>
      </c>
      <c r="O3239">
        <v>-1.2045770000000001E-2</v>
      </c>
      <c r="P3239">
        <v>0.98966149999999997</v>
      </c>
      <c r="Q3239">
        <v>-0.1407071</v>
      </c>
      <c r="R3239">
        <v>-2.7776249999999999E-2</v>
      </c>
      <c r="S3239">
        <v>3.005493</v>
      </c>
      <c r="T3239">
        <v>-0.1636447</v>
      </c>
      <c r="U3239">
        <v>-9.8312380000000005E-2</v>
      </c>
      <c r="V3239">
        <v>1.5813879999999999E-2</v>
      </c>
      <c r="W3239">
        <v>-0.12640460000000001</v>
      </c>
      <c r="X3239">
        <v>0.99185270000000003</v>
      </c>
      <c r="Y3239">
        <v>2.062145E-2</v>
      </c>
      <c r="Z3239">
        <v>-2.2851849999999999E-4</v>
      </c>
      <c r="AA3239">
        <v>0.99978730000000005</v>
      </c>
      <c r="AB3239">
        <v>32</v>
      </c>
      <c r="AC3239">
        <v>20.238699999999898</v>
      </c>
      <c r="AD3239">
        <v>-1.120573035546</v>
      </c>
      <c r="AE3239">
        <v>-0.66900000000001103</v>
      </c>
      <c r="AF3239">
        <v>0.42383743903508297</v>
      </c>
      <c r="AG3239">
        <v>-1.120573035546</v>
      </c>
      <c r="AH3239">
        <v>20.1834838766279</v>
      </c>
      <c r="AI3239">
        <v>93.177060633475804</v>
      </c>
      <c r="AJ3239">
        <v>88.797010067660693</v>
      </c>
      <c r="AK3239">
        <v>20.2190094589428</v>
      </c>
      <c r="AL3239">
        <v>97.261876964724095</v>
      </c>
      <c r="AM3239">
        <v>89.086566162505207</v>
      </c>
      <c r="AN3239">
        <v>0.99999999009955198</v>
      </c>
    </row>
    <row r="3240" spans="1:40" x14ac:dyDescent="0.25">
      <c r="A3240" t="str">
        <f>"20190303154534317"</f>
        <v>20190303154534317</v>
      </c>
      <c r="B3240" t="str">
        <f>"1551599134304517"</f>
        <v>1551599134304517</v>
      </c>
      <c r="C3240" t="s">
        <v>40</v>
      </c>
      <c r="D3240">
        <v>5.0530140000000001</v>
      </c>
      <c r="E3240">
        <v>0.5027798</v>
      </c>
      <c r="F3240" t="s">
        <v>57</v>
      </c>
      <c r="G3240">
        <v>-312.2097</v>
      </c>
      <c r="H3240" s="1">
        <v>1.8855359999999999E-6</v>
      </c>
      <c r="I3240">
        <v>213.79179999999999</v>
      </c>
      <c r="J3240">
        <v>-332.31720000000001</v>
      </c>
      <c r="K3240">
        <v>1.120584</v>
      </c>
      <c r="L3240">
        <v>214.45099999999999</v>
      </c>
      <c r="M3240">
        <v>0.99982199999999999</v>
      </c>
      <c r="N3240">
        <v>-1.443648E-2</v>
      </c>
      <c r="O3240">
        <v>-1.2150340000000001E-2</v>
      </c>
      <c r="P3240">
        <v>0.98969249999999998</v>
      </c>
      <c r="Q3240">
        <v>-0.14055279999999901</v>
      </c>
      <c r="R3240">
        <v>-2.7460910000000002E-2</v>
      </c>
      <c r="S3240">
        <v>3.005188</v>
      </c>
      <c r="T3240">
        <v>-0.16494049999999999</v>
      </c>
      <c r="U3240">
        <v>-9.7595210000000002E-2</v>
      </c>
      <c r="V3240">
        <v>1.5395880000000001E-2</v>
      </c>
      <c r="W3240">
        <v>-0.12625120000000001</v>
      </c>
      <c r="X3240">
        <v>0.99187879999999995</v>
      </c>
      <c r="Y3240">
        <v>2.028226E-2</v>
      </c>
      <c r="Z3240">
        <v>-2.117543E-4</v>
      </c>
      <c r="AA3240">
        <v>0.99979419999999997</v>
      </c>
      <c r="AB3240">
        <v>32</v>
      </c>
      <c r="AC3240">
        <v>20.107500000000002</v>
      </c>
      <c r="AD3240">
        <v>-1.120582114464</v>
      </c>
      <c r="AE3240">
        <v>-0.65919999999999801</v>
      </c>
      <c r="AF3240">
        <v>0.41352995790800201</v>
      </c>
      <c r="AG3240">
        <v>-1.120582114464</v>
      </c>
      <c r="AH3240">
        <v>20.051815988366901</v>
      </c>
      <c r="AI3240">
        <v>93.197930097303697</v>
      </c>
      <c r="AJ3240">
        <v>88.818552737405994</v>
      </c>
      <c r="AK3240">
        <v>20.087360098645899</v>
      </c>
      <c r="AL3240">
        <v>97.253016910207805</v>
      </c>
      <c r="AM3240">
        <v>89.110729947042401</v>
      </c>
      <c r="AN3240">
        <v>0.99999997625592596</v>
      </c>
    </row>
    <row r="3241" spans="1:40" x14ac:dyDescent="0.25">
      <c r="A3241" t="str">
        <f>"20190303154534341"</f>
        <v>20190303154534341</v>
      </c>
      <c r="B3241" t="str">
        <f>"1551599134333798"</f>
        <v>1551599134333798</v>
      </c>
      <c r="C3241" t="s">
        <v>40</v>
      </c>
      <c r="D3241">
        <v>5.0399059999999896</v>
      </c>
      <c r="E3241">
        <v>0.50286120000000001</v>
      </c>
      <c r="F3241" t="s">
        <v>57</v>
      </c>
      <c r="G3241">
        <v>-312.20949999999999</v>
      </c>
      <c r="H3241" s="1">
        <v>1.8854749999999999E-6</v>
      </c>
      <c r="I3241">
        <v>213.79849999999999</v>
      </c>
      <c r="J3241">
        <v>-331.96980000000002</v>
      </c>
      <c r="K3241">
        <v>1.1205909999999999</v>
      </c>
      <c r="L3241">
        <v>214.44669999999999</v>
      </c>
      <c r="M3241">
        <v>0.99982059999999995</v>
      </c>
      <c r="N3241">
        <v>-1.443446E-2</v>
      </c>
      <c r="O3241">
        <v>-1.2262759999999999E-2</v>
      </c>
      <c r="P3241">
        <v>0.98967859999999996</v>
      </c>
      <c r="Q3241">
        <v>-0.14071620000000001</v>
      </c>
      <c r="R3241">
        <v>-2.7116790000000002E-2</v>
      </c>
      <c r="S3241">
        <v>3.0047609999999998</v>
      </c>
      <c r="T3241">
        <v>-0.1674522</v>
      </c>
      <c r="U3241">
        <v>-9.7503660000000006E-2</v>
      </c>
      <c r="V3241">
        <v>1.494214E-2</v>
      </c>
      <c r="W3241">
        <v>-0.12641640000000001</v>
      </c>
      <c r="X3241">
        <v>0.99186470000000004</v>
      </c>
      <c r="Y3241">
        <v>2.0143729999999999E-2</v>
      </c>
      <c r="Z3241">
        <v>-2.0052629999999999E-4</v>
      </c>
      <c r="AA3241">
        <v>0.99979700000000005</v>
      </c>
      <c r="AB3241">
        <v>32</v>
      </c>
      <c r="AC3241">
        <v>19.760300000000001</v>
      </c>
      <c r="AD3241">
        <v>-1.120589114525</v>
      </c>
      <c r="AE3241">
        <v>-0.648200000000002</v>
      </c>
      <c r="AF3241">
        <v>0.40451070534947298</v>
      </c>
      <c r="AG3241">
        <v>-1.120589114525</v>
      </c>
      <c r="AH3241">
        <v>19.7034667188301</v>
      </c>
      <c r="AI3241">
        <v>93.254374236796394</v>
      </c>
      <c r="AJ3241">
        <v>88.823887127316794</v>
      </c>
      <c r="AK3241">
        <v>19.739451603688899</v>
      </c>
      <c r="AL3241">
        <v>97.262558607643598</v>
      </c>
      <c r="AM3241">
        <v>89.136921796365201</v>
      </c>
      <c r="AN3241">
        <v>0.99999997842141397</v>
      </c>
    </row>
    <row r="3242" spans="1:40" x14ac:dyDescent="0.25">
      <c r="A3242" t="str">
        <f>"20190303154534363"</f>
        <v>20190303154534363</v>
      </c>
      <c r="B3242" t="str">
        <f>"1551599134354293"</f>
        <v>1551599134354293</v>
      </c>
      <c r="C3242" t="s">
        <v>40</v>
      </c>
      <c r="D3242">
        <v>5.0495039999999998</v>
      </c>
      <c r="E3242">
        <v>0.50293460000000001</v>
      </c>
      <c r="F3242" t="s">
        <v>57</v>
      </c>
      <c r="G3242">
        <v>-312.41430000000003</v>
      </c>
      <c r="H3242" s="1">
        <v>1.9762799999999999E-6</v>
      </c>
      <c r="I3242">
        <v>213.8125</v>
      </c>
      <c r="J3242">
        <v>-331.65800000000002</v>
      </c>
      <c r="K3242">
        <v>1.1205989999999999</v>
      </c>
      <c r="L3242">
        <v>214.4427</v>
      </c>
      <c r="M3242">
        <v>0.99981949999999997</v>
      </c>
      <c r="N3242">
        <v>-1.443243E-2</v>
      </c>
      <c r="O3242">
        <v>-1.235791E-2</v>
      </c>
      <c r="P3242">
        <v>0.98969050000000003</v>
      </c>
      <c r="Q3242">
        <v>-0.140681</v>
      </c>
      <c r="R3242">
        <v>-2.686293E-2</v>
      </c>
      <c r="S3242">
        <v>3.0041500000000001</v>
      </c>
      <c r="T3242">
        <v>-0.17214679999999999</v>
      </c>
      <c r="U3242">
        <v>-9.7412109999999996E-2</v>
      </c>
      <c r="V3242">
        <v>1.4595530000000001E-2</v>
      </c>
      <c r="W3242">
        <v>-0.12638289999999999</v>
      </c>
      <c r="X3242">
        <v>0.99187420000000004</v>
      </c>
      <c r="Y3242">
        <v>2.0023869999999999E-2</v>
      </c>
      <c r="Z3242">
        <v>-1.8867330000000001E-4</v>
      </c>
      <c r="AA3242">
        <v>0.99979949999999995</v>
      </c>
      <c r="AB3242">
        <v>32</v>
      </c>
      <c r="AC3242">
        <v>19.243699999999901</v>
      </c>
      <c r="AD3242">
        <v>-1.12059702371999</v>
      </c>
      <c r="AE3242">
        <v>-0.63020000000000198</v>
      </c>
      <c r="AF3242">
        <v>0.39099077709132002</v>
      </c>
      <c r="AG3242">
        <v>-1.12059702371999</v>
      </c>
      <c r="AH3242">
        <v>19.1850331229919</v>
      </c>
      <c r="AI3242">
        <v>93.342153613131401</v>
      </c>
      <c r="AJ3242">
        <v>88.8324742284141</v>
      </c>
      <c r="AK3242">
        <v>19.221709273829902</v>
      </c>
      <c r="AL3242">
        <v>97.260623173498303</v>
      </c>
      <c r="AM3242">
        <v>89.156947608077402</v>
      </c>
      <c r="AN3242">
        <v>1.0000000477670099</v>
      </c>
    </row>
    <row r="3243" spans="1:40" x14ac:dyDescent="0.25">
      <c r="A3243" t="str">
        <f>"20190303154534383"</f>
        <v>20190303154534383</v>
      </c>
      <c r="B3243" t="str">
        <f>"1551599134373813"</f>
        <v>1551599134373813</v>
      </c>
      <c r="C3243" t="s">
        <v>40</v>
      </c>
      <c r="D3243">
        <v>5.0387060000000004</v>
      </c>
      <c r="E3243">
        <v>0.50300400000000001</v>
      </c>
      <c r="F3243" t="s">
        <v>57</v>
      </c>
      <c r="G3243">
        <v>-312.40660000000003</v>
      </c>
      <c r="H3243" s="1">
        <v>1.9728610000000002E-6</v>
      </c>
      <c r="I3243">
        <v>213.81890000000001</v>
      </c>
      <c r="J3243">
        <v>-331.36250000000001</v>
      </c>
      <c r="K3243">
        <v>1.120606</v>
      </c>
      <c r="L3243">
        <v>214.43889999999999</v>
      </c>
      <c r="M3243">
        <v>0.9998184</v>
      </c>
      <c r="N3243">
        <v>-1.443033E-2</v>
      </c>
      <c r="O3243">
        <v>-1.244341E-2</v>
      </c>
      <c r="P3243">
        <v>0.98965590000000003</v>
      </c>
      <c r="Q3243">
        <v>-0.14089889999999999</v>
      </c>
      <c r="R3243">
        <v>-2.6996369999999999E-2</v>
      </c>
      <c r="S3243">
        <v>3.0037539999999998</v>
      </c>
      <c r="T3243">
        <v>-0.1748441</v>
      </c>
      <c r="U3243">
        <v>-9.7335820000000003E-2</v>
      </c>
      <c r="V3243">
        <v>1.464594E-2</v>
      </c>
      <c r="W3243">
        <v>-0.1266032</v>
      </c>
      <c r="X3243">
        <v>0.99184530000000004</v>
      </c>
      <c r="Y3243">
        <v>1.991689E-2</v>
      </c>
      <c r="Z3243">
        <v>-1.7888800000000001E-4</v>
      </c>
      <c r="AA3243">
        <v>0.99980159999999996</v>
      </c>
      <c r="AB3243">
        <v>32</v>
      </c>
      <c r="AC3243">
        <v>18.9558999999999</v>
      </c>
      <c r="AD3243">
        <v>-1.1206040271390001</v>
      </c>
      <c r="AE3243">
        <v>-0.61999999999997601</v>
      </c>
      <c r="AF3243">
        <v>0.38271531561355399</v>
      </c>
      <c r="AG3243">
        <v>-1.1206040271390001</v>
      </c>
      <c r="AH3243">
        <v>18.896181032723401</v>
      </c>
      <c r="AI3243">
        <v>93.393154044215393</v>
      </c>
      <c r="AJ3243">
        <v>88.839713977134295</v>
      </c>
      <c r="AK3243">
        <v>18.933248057845301</v>
      </c>
      <c r="AL3243">
        <v>97.273348090760706</v>
      </c>
      <c r="AM3243">
        <v>89.154011652774201</v>
      </c>
      <c r="AN3243">
        <v>0.999999986470406</v>
      </c>
    </row>
    <row r="3244" spans="1:40" x14ac:dyDescent="0.25">
      <c r="A3244" t="str">
        <f>"20190303154534407"</f>
        <v>20190303154534407</v>
      </c>
      <c r="B3244" t="str">
        <f>"1551599134394309"</f>
        <v>1551599134394309</v>
      </c>
      <c r="C3244" t="s">
        <v>40</v>
      </c>
      <c r="D3244">
        <v>5.0176429999999996</v>
      </c>
      <c r="E3244">
        <v>0.50317590000000001</v>
      </c>
      <c r="F3244" t="s">
        <v>57</v>
      </c>
      <c r="G3244">
        <v>-312.48660000000001</v>
      </c>
      <c r="H3244" s="1">
        <v>2.008348E-6</v>
      </c>
      <c r="I3244">
        <v>213.8202</v>
      </c>
      <c r="J3244">
        <v>-331.01589999999999</v>
      </c>
      <c r="K3244">
        <v>1.120614</v>
      </c>
      <c r="L3244">
        <v>214.43450000000001</v>
      </c>
      <c r="M3244">
        <v>0.99981739999999997</v>
      </c>
      <c r="N3244">
        <v>-1.4427799999999999E-2</v>
      </c>
      <c r="O3244">
        <v>-1.253987E-2</v>
      </c>
      <c r="P3244">
        <v>0.98968120000000004</v>
      </c>
      <c r="Q3244">
        <v>-0.14066329999999999</v>
      </c>
      <c r="R3244">
        <v>-2.7297350000000001E-2</v>
      </c>
      <c r="S3244">
        <v>3.0032960000000002</v>
      </c>
      <c r="T3244">
        <v>-0.17829639999999999</v>
      </c>
      <c r="U3244">
        <v>-9.8449709999999996E-2</v>
      </c>
      <c r="V3244">
        <v>1.485244E-2</v>
      </c>
      <c r="W3244">
        <v>-0.1263696</v>
      </c>
      <c r="X3244">
        <v>0.99187199999999998</v>
      </c>
      <c r="Y3244">
        <v>2.0194400000000001E-2</v>
      </c>
      <c r="Z3244">
        <v>-1.818678E-4</v>
      </c>
      <c r="AA3244">
        <v>0.99979600000000002</v>
      </c>
      <c r="AB3244">
        <v>32</v>
      </c>
      <c r="AC3244">
        <v>18.5292999999999</v>
      </c>
      <c r="AD3244">
        <v>-1.1206119916519901</v>
      </c>
      <c r="AE3244">
        <v>-0.61430000000001395</v>
      </c>
      <c r="AF3244">
        <v>0.38048240415713203</v>
      </c>
      <c r="AG3244">
        <v>-1.1206119916519901</v>
      </c>
      <c r="AH3244">
        <v>18.468072746871801</v>
      </c>
      <c r="AI3244">
        <v>93.471620488715502</v>
      </c>
      <c r="AJ3244">
        <v>88.819749484244497</v>
      </c>
      <c r="AK3244">
        <v>18.505951720445399</v>
      </c>
      <c r="AL3244">
        <v>97.259855565863404</v>
      </c>
      <c r="AM3244">
        <v>89.142108525941197</v>
      </c>
      <c r="AN3244">
        <v>0.99999996758105603</v>
      </c>
    </row>
    <row r="3245" spans="1:40" x14ac:dyDescent="0.25">
      <c r="A3245" t="str">
        <f>"20190303154534442"</f>
        <v>20190303154534442</v>
      </c>
      <c r="B3245" t="str">
        <f>"1551599134434326"</f>
        <v>1551599134434326</v>
      </c>
      <c r="C3245" t="s">
        <v>40</v>
      </c>
      <c r="D3245">
        <v>4.9438810000000002</v>
      </c>
      <c r="E3245">
        <v>0.50345059999999997</v>
      </c>
      <c r="F3245" t="s">
        <v>57</v>
      </c>
      <c r="G3245">
        <v>-312.15929999999997</v>
      </c>
      <c r="H3245" s="1">
        <v>1.8632199999999999E-6</v>
      </c>
      <c r="I3245">
        <v>213.80189999999999</v>
      </c>
      <c r="J3245">
        <v>-330.5204</v>
      </c>
      <c r="K3245">
        <v>1.1206240000000001</v>
      </c>
      <c r="L3245">
        <v>214.4281</v>
      </c>
      <c r="M3245">
        <v>0.99981580000000003</v>
      </c>
      <c r="N3245">
        <v>-1.442386E-2</v>
      </c>
      <c r="O3245">
        <v>-1.267304E-2</v>
      </c>
      <c r="P3245">
        <v>0.98967240000000001</v>
      </c>
      <c r="Q3245">
        <v>-0.14042589999999999</v>
      </c>
      <c r="R3245">
        <v>-2.8796809999999999E-2</v>
      </c>
      <c r="S3245">
        <v>3.0031129999999999</v>
      </c>
      <c r="T3245">
        <v>-0.17846989999999999</v>
      </c>
      <c r="U3245">
        <v>-0.1007538</v>
      </c>
      <c r="V3245">
        <v>1.6221360000000001E-2</v>
      </c>
      <c r="W3245">
        <v>-0.1261362</v>
      </c>
      <c r="X3245">
        <v>0.99188030000000005</v>
      </c>
      <c r="Y3245">
        <v>2.082817E-2</v>
      </c>
      <c r="Z3245">
        <v>-1.9903489999999999E-4</v>
      </c>
      <c r="AA3245">
        <v>0.99978299999999998</v>
      </c>
      <c r="AB3245">
        <v>32</v>
      </c>
      <c r="AC3245">
        <v>18.3611</v>
      </c>
      <c r="AD3245">
        <v>-1.12062213677999</v>
      </c>
      <c r="AE3245">
        <v>-0.62620000000001097</v>
      </c>
      <c r="AF3245">
        <v>0.39197617413854802</v>
      </c>
      <c r="AG3245">
        <v>-1.12062213677999</v>
      </c>
      <c r="AH3245">
        <v>18.299476336535101</v>
      </c>
      <c r="AI3245">
        <v>93.503497460979702</v>
      </c>
      <c r="AJ3245">
        <v>88.772907695968499</v>
      </c>
      <c r="AK3245">
        <v>18.337946272304901</v>
      </c>
      <c r="AL3245">
        <v>97.246374611909204</v>
      </c>
      <c r="AM3245">
        <v>89.063059706586998</v>
      </c>
      <c r="AN3245">
        <v>1.00000000149938</v>
      </c>
    </row>
    <row r="3246" spans="1:40" x14ac:dyDescent="0.25">
      <c r="A3246" t="str">
        <f>"20190303154534462"</f>
        <v>20190303154534462</v>
      </c>
      <c r="B3246" t="str">
        <f>"1551599134453845"</f>
        <v>1551599134453845</v>
      </c>
      <c r="C3246" t="s">
        <v>40</v>
      </c>
      <c r="D3246">
        <v>4.955463</v>
      </c>
      <c r="E3246">
        <v>0.50338279999999902</v>
      </c>
      <c r="F3246" t="s">
        <v>57</v>
      </c>
      <c r="G3246">
        <v>-311.83449999999999</v>
      </c>
      <c r="H3246" s="1">
        <v>1.7191570000000001E-6</v>
      </c>
      <c r="I3246">
        <v>213.75909999999999</v>
      </c>
      <c r="J3246">
        <v>-330.23050000000001</v>
      </c>
      <c r="K3246">
        <v>1.1206290000000001</v>
      </c>
      <c r="L3246">
        <v>214.42439999999999</v>
      </c>
      <c r="M3246">
        <v>0.99981489999999995</v>
      </c>
      <c r="N3246">
        <v>-1.4421160000000001E-2</v>
      </c>
      <c r="O3246">
        <v>-1.274868E-2</v>
      </c>
      <c r="P3246">
        <v>0.98968780000000001</v>
      </c>
      <c r="Q3246">
        <v>-0.14024130000000001</v>
      </c>
      <c r="R3246">
        <v>-2.91679E-2</v>
      </c>
      <c r="S3246">
        <v>3.0025940000000002</v>
      </c>
      <c r="T3246">
        <v>-0.18007000000000001</v>
      </c>
      <c r="U3246">
        <v>-0.1075134</v>
      </c>
      <c r="V3246">
        <v>1.6517819999999999E-2</v>
      </c>
      <c r="W3246">
        <v>-0.12595390000000001</v>
      </c>
      <c r="X3246">
        <v>0.99189859999999996</v>
      </c>
      <c r="Y3246">
        <v>2.300114E-2</v>
      </c>
      <c r="Z3246">
        <v>-2.7508730000000003E-4</v>
      </c>
      <c r="AA3246">
        <v>0.99973540000000005</v>
      </c>
      <c r="AB3246">
        <v>32</v>
      </c>
      <c r="AC3246">
        <v>18.396000000000001</v>
      </c>
      <c r="AD3246">
        <v>-1.120627280843</v>
      </c>
      <c r="AE3246">
        <v>-0.665300000000002</v>
      </c>
      <c r="AF3246">
        <v>0.42910657415599002</v>
      </c>
      <c r="AG3246">
        <v>-1.120627280843</v>
      </c>
      <c r="AH3246">
        <v>18.335037226175501</v>
      </c>
      <c r="AI3246">
        <v>93.496580317667807</v>
      </c>
      <c r="AJ3246">
        <v>88.659315058895899</v>
      </c>
      <c r="AK3246">
        <v>18.374262652955501</v>
      </c>
      <c r="AL3246">
        <v>97.235845424779995</v>
      </c>
      <c r="AM3246">
        <v>89.045957012098199</v>
      </c>
      <c r="AN3246">
        <v>1.00000002799236</v>
      </c>
    </row>
    <row r="3247" spans="1:40" x14ac:dyDescent="0.25">
      <c r="A3247" t="str">
        <f>"20190303154534486"</f>
        <v>20190303154534486</v>
      </c>
      <c r="B3247" t="str">
        <f>"1551599134474341"</f>
        <v>1551599134474341</v>
      </c>
      <c r="C3247" t="s">
        <v>40</v>
      </c>
      <c r="D3247">
        <v>5.0758939999999999</v>
      </c>
      <c r="E3247">
        <v>0.50336899999999996</v>
      </c>
      <c r="F3247" t="s">
        <v>57</v>
      </c>
      <c r="G3247">
        <v>-311.52330000000001</v>
      </c>
      <c r="H3247" s="1">
        <v>1.581193E-6</v>
      </c>
      <c r="I3247">
        <v>213.7516</v>
      </c>
      <c r="J3247">
        <v>-329.89640000000003</v>
      </c>
      <c r="K3247">
        <v>1.120628</v>
      </c>
      <c r="L3247">
        <v>214.42</v>
      </c>
      <c r="M3247">
        <v>0.99981370000000003</v>
      </c>
      <c r="N3247">
        <v>-1.4417879999999999E-2</v>
      </c>
      <c r="O3247">
        <v>-1.2834699999999999E-2</v>
      </c>
      <c r="P3247">
        <v>0.98960939999999997</v>
      </c>
      <c r="Q3247">
        <v>-0.140795</v>
      </c>
      <c r="R3247">
        <v>-2.915411E-2</v>
      </c>
      <c r="S3247">
        <v>3.0025940000000002</v>
      </c>
      <c r="T3247">
        <v>-0.17986659999999999</v>
      </c>
      <c r="U3247">
        <v>-0.1079865</v>
      </c>
      <c r="V3247">
        <v>1.6420190000000001E-2</v>
      </c>
      <c r="W3247">
        <v>-0.12651180000000001</v>
      </c>
      <c r="X3247">
        <v>0.99182919999999997</v>
      </c>
      <c r="Y3247">
        <v>2.307242E-2</v>
      </c>
      <c r="Z3247">
        <v>-2.738331E-4</v>
      </c>
      <c r="AA3247">
        <v>0.99973369999999995</v>
      </c>
      <c r="AB3247">
        <v>32</v>
      </c>
      <c r="AC3247">
        <v>18.373100000000001</v>
      </c>
      <c r="AD3247">
        <v>-1.1206264188070001</v>
      </c>
      <c r="AE3247">
        <v>-0.668399999999991</v>
      </c>
      <c r="AF3247">
        <v>0.43090629409222497</v>
      </c>
      <c r="AG3247">
        <v>-1.1206264188070001</v>
      </c>
      <c r="AH3247">
        <v>18.312132657707998</v>
      </c>
      <c r="AI3247">
        <v>93.500929788188998</v>
      </c>
      <c r="AJ3247">
        <v>88.652010824451594</v>
      </c>
      <c r="AK3247">
        <v>18.351449160170301</v>
      </c>
      <c r="AL3247">
        <v>97.268068634669305</v>
      </c>
      <c r="AM3247">
        <v>89.051528583027206</v>
      </c>
      <c r="AN3247">
        <v>1.00000001007575</v>
      </c>
    </row>
    <row r="3248" spans="1:40" x14ac:dyDescent="0.25">
      <c r="A3248" t="str">
        <f>"20190303154534506"</f>
        <v>20190303154534506</v>
      </c>
      <c r="B3248" t="str">
        <f>"1551599134493862"</f>
        <v>1551599134493862</v>
      </c>
      <c r="C3248" t="s">
        <v>40</v>
      </c>
      <c r="D3248">
        <v>5.0065480000000004</v>
      </c>
      <c r="E3248">
        <v>0.50332209999999999</v>
      </c>
      <c r="F3248" t="s">
        <v>57</v>
      </c>
      <c r="G3248">
        <v>-311.27260000000001</v>
      </c>
      <c r="H3248" s="1">
        <v>1.4699859999999999E-6</v>
      </c>
      <c r="I3248">
        <v>213.75139999999999</v>
      </c>
      <c r="J3248">
        <v>-329.5985</v>
      </c>
      <c r="K3248">
        <v>1.1206290000000001</v>
      </c>
      <c r="L3248">
        <v>214.4161</v>
      </c>
      <c r="M3248">
        <v>0.99981279999999995</v>
      </c>
      <c r="N3248">
        <v>-1.4414939999999999E-2</v>
      </c>
      <c r="O3248">
        <v>-1.291083E-2</v>
      </c>
      <c r="P3248">
        <v>0.98959520000000001</v>
      </c>
      <c r="Q3248">
        <v>-0.14095940000000001</v>
      </c>
      <c r="R3248">
        <v>-2.8846E-2</v>
      </c>
      <c r="S3248">
        <v>3.0026250000000001</v>
      </c>
      <c r="T3248">
        <v>-0.18067349999999999</v>
      </c>
      <c r="U3248">
        <v>-0.1078033</v>
      </c>
      <c r="V3248">
        <v>1.6037369999999999E-2</v>
      </c>
      <c r="W3248">
        <v>-0.12667919999999999</v>
      </c>
      <c r="X3248">
        <v>0.99181410000000003</v>
      </c>
      <c r="Y3248">
        <v>2.2935179999999999E-2</v>
      </c>
      <c r="Z3248">
        <v>-2.6482220000000002E-4</v>
      </c>
      <c r="AA3248">
        <v>0.99973690000000004</v>
      </c>
      <c r="AB3248">
        <v>32</v>
      </c>
      <c r="AC3248">
        <v>18.325899999999901</v>
      </c>
      <c r="AD3248">
        <v>-1.1206275300139901</v>
      </c>
      <c r="AE3248">
        <v>-0.66470000000000995</v>
      </c>
      <c r="AF3248">
        <v>0.42642499332303802</v>
      </c>
      <c r="AG3248">
        <v>-1.1206275300139901</v>
      </c>
      <c r="AH3248">
        <v>18.264747078096601</v>
      </c>
      <c r="AI3248">
        <v>93.510008418802897</v>
      </c>
      <c r="AJ3248">
        <v>88.6625648539911</v>
      </c>
      <c r="AK3248">
        <v>18.304060482931</v>
      </c>
      <c r="AL3248">
        <v>97.277737720547407</v>
      </c>
      <c r="AM3248">
        <v>89.073623227313902</v>
      </c>
      <c r="AN3248">
        <v>1.0000000129539801</v>
      </c>
    </row>
    <row r="3249" spans="1:40" x14ac:dyDescent="0.25">
      <c r="A3249" t="str">
        <f>"20190303154534530"</f>
        <v>20190303154534530</v>
      </c>
      <c r="B3249" t="str">
        <f>"1551599134524624"</f>
        <v>1551599134524624</v>
      </c>
      <c r="C3249" t="s">
        <v>40</v>
      </c>
      <c r="D3249">
        <v>4.9269369999999997</v>
      </c>
      <c r="E3249">
        <v>0.50324789999999997</v>
      </c>
      <c r="F3249" t="s">
        <v>57</v>
      </c>
      <c r="G3249">
        <v>-311.04250000000002</v>
      </c>
      <c r="H3249" s="1">
        <v>1.3679460000000001E-6</v>
      </c>
      <c r="I3249">
        <v>213.75839999999999</v>
      </c>
      <c r="J3249">
        <v>-329.25650000000002</v>
      </c>
      <c r="K3249">
        <v>1.1206290000000001</v>
      </c>
      <c r="L3249">
        <v>214.41159999999999</v>
      </c>
      <c r="M3249">
        <v>0.99981180000000003</v>
      </c>
      <c r="N3249">
        <v>-1.4411510000000001E-2</v>
      </c>
      <c r="O3249">
        <v>-1.299551E-2</v>
      </c>
      <c r="P3249">
        <v>0.98951979999999995</v>
      </c>
      <c r="Q3249">
        <v>-0.1416444</v>
      </c>
      <c r="R3249">
        <v>-2.8067809999999999E-2</v>
      </c>
      <c r="S3249">
        <v>3.0026250000000001</v>
      </c>
      <c r="T3249">
        <v>-0.18133289999999999</v>
      </c>
      <c r="U3249">
        <v>-0.1064301</v>
      </c>
      <c r="V3249">
        <v>1.5176790000000001E-2</v>
      </c>
      <c r="W3249">
        <v>-0.12736839999999999</v>
      </c>
      <c r="X3249">
        <v>0.99173929999999999</v>
      </c>
      <c r="Y3249">
        <v>2.2394939999999999E-2</v>
      </c>
      <c r="Z3249">
        <v>-2.403424E-4</v>
      </c>
      <c r="AA3249">
        <v>0.9997492</v>
      </c>
      <c r="AB3249">
        <v>32</v>
      </c>
      <c r="AC3249">
        <v>18.213999999999999</v>
      </c>
      <c r="AD3249">
        <v>-1.1206276320540001</v>
      </c>
      <c r="AE3249">
        <v>-0.653199999999998</v>
      </c>
      <c r="AF3249">
        <v>0.414851687309715</v>
      </c>
      <c r="AG3249">
        <v>-1.1206276320540001</v>
      </c>
      <c r="AH3249">
        <v>18.1523255578388</v>
      </c>
      <c r="AI3249">
        <v>93.531732271359601</v>
      </c>
      <c r="AJ3249">
        <v>88.690795083537694</v>
      </c>
      <c r="AK3249">
        <v>18.191614314566898</v>
      </c>
      <c r="AL3249">
        <v>97.317548976306696</v>
      </c>
      <c r="AM3249">
        <v>89.123259366221305</v>
      </c>
      <c r="AN3249">
        <v>0.99999994171887496</v>
      </c>
    </row>
    <row r="3250" spans="1:40" x14ac:dyDescent="0.25">
      <c r="A3250" t="str">
        <f>"20190303154534552"</f>
        <v>20190303154534552</v>
      </c>
      <c r="B3250" t="str">
        <f>"1551599134544144"</f>
        <v>1551599134544144</v>
      </c>
      <c r="C3250" t="s">
        <v>40</v>
      </c>
      <c r="D3250">
        <v>5.0941130000000001</v>
      </c>
      <c r="E3250">
        <v>0.5032259</v>
      </c>
      <c r="F3250" t="s">
        <v>57</v>
      </c>
      <c r="G3250">
        <v>-310.8999</v>
      </c>
      <c r="H3250" s="1">
        <v>1.3047209999999999E-6</v>
      </c>
      <c r="I3250">
        <v>213.779</v>
      </c>
      <c r="J3250">
        <v>-328.94220000000001</v>
      </c>
      <c r="K3250">
        <v>1.120633</v>
      </c>
      <c r="L3250">
        <v>214.4075</v>
      </c>
      <c r="M3250">
        <v>0.99981089999999995</v>
      </c>
      <c r="N3250">
        <v>-1.4408290000000001E-2</v>
      </c>
      <c r="O3250">
        <v>-1.306945E-2</v>
      </c>
      <c r="P3250">
        <v>0.98946990000000001</v>
      </c>
      <c r="Q3250">
        <v>-0.1420614</v>
      </c>
      <c r="R3250">
        <v>-2.7717240000000001E-2</v>
      </c>
      <c r="S3250">
        <v>3.0025940000000002</v>
      </c>
      <c r="T3250">
        <v>-0.1833012</v>
      </c>
      <c r="U3250">
        <v>-0.1034851</v>
      </c>
      <c r="V3250">
        <v>1.4754669999999999E-2</v>
      </c>
      <c r="W3250">
        <v>-0.12778919999999999</v>
      </c>
      <c r="X3250">
        <v>0.99169160000000001</v>
      </c>
      <c r="Y3250">
        <v>2.1343890000000001E-2</v>
      </c>
      <c r="Z3250">
        <v>-1.960171E-4</v>
      </c>
      <c r="AA3250">
        <v>0.9997722</v>
      </c>
      <c r="AB3250">
        <v>32</v>
      </c>
      <c r="AC3250">
        <v>18.042300000000001</v>
      </c>
      <c r="AD3250">
        <v>-1.1206316952789901</v>
      </c>
      <c r="AE3250">
        <v>-0.62849999999997397</v>
      </c>
      <c r="AF3250">
        <v>0.39111190972627702</v>
      </c>
      <c r="AG3250">
        <v>-1.1206316952789901</v>
      </c>
      <c r="AH3250">
        <v>17.979695339887101</v>
      </c>
      <c r="AI3250">
        <v>93.565654953146804</v>
      </c>
      <c r="AJ3250">
        <v>88.753842724932198</v>
      </c>
      <c r="AK3250">
        <v>18.018829829862799</v>
      </c>
      <c r="AL3250">
        <v>97.341857216976294</v>
      </c>
      <c r="AM3250">
        <v>89.147599970948306</v>
      </c>
      <c r="AN3250">
        <v>1.0000000047169999</v>
      </c>
    </row>
    <row r="3251" spans="1:40" x14ac:dyDescent="0.25">
      <c r="A3251" t="str">
        <f>"20190303154534575"</f>
        <v>20190303154534575</v>
      </c>
      <c r="B3251" t="str">
        <f>"1551599134564641"</f>
        <v>1551599134564641</v>
      </c>
      <c r="C3251" t="s">
        <v>40</v>
      </c>
      <c r="D3251">
        <v>4.9091269999999998</v>
      </c>
      <c r="E3251">
        <v>0.50318499999999999</v>
      </c>
      <c r="F3251" t="s">
        <v>57</v>
      </c>
      <c r="G3251">
        <v>-310.66989999999998</v>
      </c>
      <c r="H3251" s="1">
        <v>1.202702E-6</v>
      </c>
      <c r="I3251">
        <v>213.78540000000001</v>
      </c>
      <c r="J3251">
        <v>-328.62580000000003</v>
      </c>
      <c r="K3251">
        <v>1.1206419999999999</v>
      </c>
      <c r="L3251">
        <v>214.4032</v>
      </c>
      <c r="M3251">
        <v>0.99980999999999998</v>
      </c>
      <c r="N3251">
        <v>-1.4404999999999999E-2</v>
      </c>
      <c r="O3251">
        <v>-1.313752E-2</v>
      </c>
      <c r="P3251">
        <v>0.98950389999999999</v>
      </c>
      <c r="Q3251">
        <v>-0.14185300000000001</v>
      </c>
      <c r="R3251">
        <v>-2.7569050000000001E-2</v>
      </c>
      <c r="S3251">
        <v>3.0026250000000001</v>
      </c>
      <c r="T3251">
        <v>-0.1841489</v>
      </c>
      <c r="U3251">
        <v>-0.10221860000000001</v>
      </c>
      <c r="V3251">
        <v>1.4540340000000001E-2</v>
      </c>
      <c r="W3251">
        <v>-0.12758349999999999</v>
      </c>
      <c r="X3251">
        <v>0.99172130000000003</v>
      </c>
      <c r="Y3251">
        <v>2.0855249999999999E-2</v>
      </c>
      <c r="Z3251">
        <v>-1.7358520000000001E-4</v>
      </c>
      <c r="AA3251">
        <v>0.99978250000000002</v>
      </c>
      <c r="AB3251">
        <v>32</v>
      </c>
      <c r="AC3251">
        <v>17.9559</v>
      </c>
      <c r="AD3251">
        <v>-1.1206407972979999</v>
      </c>
      <c r="AE3251">
        <v>-0.61779999999998803</v>
      </c>
      <c r="AF3251">
        <v>0.38034647876313199</v>
      </c>
      <c r="AG3251">
        <v>-1.1206407972979999</v>
      </c>
      <c r="AH3251">
        <v>17.892855233602798</v>
      </c>
      <c r="AI3251">
        <v>93.582982449716198</v>
      </c>
      <c r="AJ3251">
        <v>88.782253235957299</v>
      </c>
      <c r="AK3251">
        <v>17.931948239138499</v>
      </c>
      <c r="AL3251">
        <v>97.329973845341996</v>
      </c>
      <c r="AM3251">
        <v>89.160005511318403</v>
      </c>
      <c r="AN3251">
        <v>1.0000000539166201</v>
      </c>
    </row>
    <row r="3252" spans="1:40" x14ac:dyDescent="0.25">
      <c r="A3252" t="str">
        <f>"20190303154534596"</f>
        <v>20190303154534596</v>
      </c>
      <c r="B3252" t="str">
        <f>"1551599134584160"</f>
        <v>1551599134584160</v>
      </c>
      <c r="C3252" t="s">
        <v>40</v>
      </c>
      <c r="D3252">
        <v>4.9557219999999997</v>
      </c>
      <c r="E3252">
        <v>0.50323200000000001</v>
      </c>
      <c r="F3252" t="s">
        <v>57</v>
      </c>
      <c r="G3252">
        <v>-310.25330000000002</v>
      </c>
      <c r="H3252" s="1">
        <v>1.017992E-6</v>
      </c>
      <c r="I3252">
        <v>213.78039999999999</v>
      </c>
      <c r="J3252">
        <v>-328.32380000000001</v>
      </c>
      <c r="K3252">
        <v>1.120649</v>
      </c>
      <c r="L3252">
        <v>214.39920000000001</v>
      </c>
      <c r="M3252">
        <v>0.99980930000000001</v>
      </c>
      <c r="N3252">
        <v>-1.4402E-2</v>
      </c>
      <c r="O3252">
        <v>-1.319231E-2</v>
      </c>
      <c r="P3252">
        <v>0.98950819999999995</v>
      </c>
      <c r="Q3252">
        <v>-0.1417061</v>
      </c>
      <c r="R3252">
        <v>-2.8167600000000001E-2</v>
      </c>
      <c r="S3252">
        <v>3.0027159999999999</v>
      </c>
      <c r="T3252">
        <v>-0.1831528</v>
      </c>
      <c r="U3252">
        <v>-0.1017914</v>
      </c>
      <c r="V3252">
        <v>1.5087049999999999E-2</v>
      </c>
      <c r="W3252">
        <v>-0.1274391</v>
      </c>
      <c r="X3252">
        <v>0.99173160000000005</v>
      </c>
      <c r="Y3252">
        <v>2.065811E-2</v>
      </c>
      <c r="Z3252">
        <v>-1.64439399999999E-4</v>
      </c>
      <c r="AA3252">
        <v>0.99978659999999997</v>
      </c>
      <c r="AB3252">
        <v>32</v>
      </c>
      <c r="AC3252">
        <v>18.0704999999999</v>
      </c>
      <c r="AD3252">
        <v>-1.120647982008</v>
      </c>
      <c r="AE3252">
        <v>-0.618800000000021</v>
      </c>
      <c r="AF3252">
        <v>0.37887437860869499</v>
      </c>
      <c r="AG3252">
        <v>-1.120647982008</v>
      </c>
      <c r="AH3252">
        <v>18.007915842708901</v>
      </c>
      <c r="AI3252">
        <v>93.560187343037697</v>
      </c>
      <c r="AJ3252">
        <v>88.794713342954694</v>
      </c>
      <c r="AK3252">
        <v>18.046729085693901</v>
      </c>
      <c r="AL3252">
        <v>97.321632972926395</v>
      </c>
      <c r="AM3252">
        <v>89.128435944884401</v>
      </c>
      <c r="AN3252">
        <v>0.99999995486253501</v>
      </c>
    </row>
    <row r="3253" spans="1:40" x14ac:dyDescent="0.25">
      <c r="A3253" t="str">
        <f>"20190303154534618"</f>
        <v>20190303154534618</v>
      </c>
      <c r="B3253" t="str">
        <f>"1551599134614417"</f>
        <v>1551599134614417</v>
      </c>
      <c r="C3253" t="s">
        <v>40</v>
      </c>
      <c r="D3253">
        <v>4.9542390000000003</v>
      </c>
      <c r="E3253">
        <v>0.50326229999999905</v>
      </c>
      <c r="F3253" t="s">
        <v>57</v>
      </c>
      <c r="G3253">
        <v>-309.77350000000001</v>
      </c>
      <c r="H3253" s="1">
        <v>9.1960659999999996E-7</v>
      </c>
      <c r="I3253">
        <v>213.7576</v>
      </c>
      <c r="J3253">
        <v>-328.01330000000002</v>
      </c>
      <c r="K3253">
        <v>1.1206590000000001</v>
      </c>
      <c r="L3253">
        <v>214.39510000000001</v>
      </c>
      <c r="M3253">
        <v>0.99980869999999999</v>
      </c>
      <c r="N3253">
        <v>-1.4398889999999999E-2</v>
      </c>
      <c r="O3253">
        <v>-1.323393E-2</v>
      </c>
      <c r="P3253">
        <v>0.9894984</v>
      </c>
      <c r="Q3253">
        <v>-0.1415894</v>
      </c>
      <c r="R3253">
        <v>-2.9075480000000001E-2</v>
      </c>
      <c r="S3253">
        <v>3.0029300000000001</v>
      </c>
      <c r="T3253">
        <v>-0.18141060000000001</v>
      </c>
      <c r="U3253">
        <v>-0.10385129999999999</v>
      </c>
      <c r="V3253">
        <v>1.5957430000000002E-2</v>
      </c>
      <c r="W3253">
        <v>-0.1273252</v>
      </c>
      <c r="X3253">
        <v>0.99173270000000002</v>
      </c>
      <c r="Y3253">
        <v>2.129818E-2</v>
      </c>
      <c r="Z3253">
        <v>-1.880501E-4</v>
      </c>
      <c r="AA3253">
        <v>0.99977309999999997</v>
      </c>
      <c r="AB3253">
        <v>32</v>
      </c>
      <c r="AC3253">
        <v>18.239799999999999</v>
      </c>
      <c r="AD3253">
        <v>-1.1206580803933901</v>
      </c>
      <c r="AE3253">
        <v>-0.63750000000001705</v>
      </c>
      <c r="AF3253">
        <v>0.394547324247429</v>
      </c>
      <c r="AG3253">
        <v>-1.1206580803933901</v>
      </c>
      <c r="AH3253">
        <v>18.1781029711338</v>
      </c>
      <c r="AI3253">
        <v>93.526922379729498</v>
      </c>
      <c r="AJ3253">
        <v>88.756616806747303</v>
      </c>
      <c r="AK3253">
        <v>18.216886939138799</v>
      </c>
      <c r="AL3253">
        <v>97.315052705056203</v>
      </c>
      <c r="AM3253">
        <v>89.078164409846707</v>
      </c>
      <c r="AN3253">
        <v>1.00000004718826</v>
      </c>
    </row>
    <row r="3254" spans="1:40" x14ac:dyDescent="0.25">
      <c r="A3254" t="str">
        <f>"20190303154534640"</f>
        <v>20190303154534640</v>
      </c>
      <c r="B3254" t="str">
        <f>"1551599134633937"</f>
        <v>1551599134633937</v>
      </c>
      <c r="C3254" t="s">
        <v>40</v>
      </c>
      <c r="D3254">
        <v>4.912566</v>
      </c>
      <c r="E3254">
        <v>0.50329769999999996</v>
      </c>
      <c r="F3254" t="s">
        <v>57</v>
      </c>
      <c r="G3254">
        <v>-309.35820000000001</v>
      </c>
      <c r="H3254" s="1">
        <v>9.932646E-7</v>
      </c>
      <c r="I3254">
        <v>213.7311</v>
      </c>
      <c r="J3254">
        <v>-327.69560000000001</v>
      </c>
      <c r="K3254">
        <v>1.120671</v>
      </c>
      <c r="L3254">
        <v>214.39080000000001</v>
      </c>
      <c r="M3254">
        <v>0.99980840000000004</v>
      </c>
      <c r="N3254">
        <v>-1.439558E-2</v>
      </c>
      <c r="O3254">
        <v>-1.326228E-2</v>
      </c>
      <c r="P3254">
        <v>0.98946619999999996</v>
      </c>
      <c r="Q3254">
        <v>-0.14161179999999901</v>
      </c>
      <c r="R3254">
        <v>-3.0046179999999999E-2</v>
      </c>
      <c r="S3254">
        <v>3.0028990000000002</v>
      </c>
      <c r="T3254">
        <v>-0.18039179999999999</v>
      </c>
      <c r="U3254">
        <v>-0.1068726</v>
      </c>
      <c r="V3254">
        <v>1.6904450000000001E-2</v>
      </c>
      <c r="W3254">
        <v>-0.12735070000000001</v>
      </c>
      <c r="X3254">
        <v>0.99171370000000003</v>
      </c>
      <c r="Y3254">
        <v>2.227295E-2</v>
      </c>
      <c r="Z3254">
        <v>-2.2382390000000001E-4</v>
      </c>
      <c r="AA3254">
        <v>0.99975190000000003</v>
      </c>
      <c r="AB3254">
        <v>32</v>
      </c>
      <c r="AC3254">
        <v>18.337399999999999</v>
      </c>
      <c r="AD3254">
        <v>-1.1206700067354001</v>
      </c>
      <c r="AE3254">
        <v>-0.65970000000001505</v>
      </c>
      <c r="AF3254">
        <v>0.41487351551921098</v>
      </c>
      <c r="AG3254">
        <v>-1.1206700067354001</v>
      </c>
      <c r="AH3254">
        <v>18.276364642806701</v>
      </c>
      <c r="AI3254">
        <v>93.507967533556595</v>
      </c>
      <c r="AJ3254">
        <v>88.6996090143722</v>
      </c>
      <c r="AK3254">
        <v>18.315390409563001</v>
      </c>
      <c r="AL3254">
        <v>97.316525997667597</v>
      </c>
      <c r="AM3254">
        <v>89.023448148325699</v>
      </c>
      <c r="AN3254">
        <v>1.00000001199399</v>
      </c>
    </row>
    <row r="3255" spans="1:40" x14ac:dyDescent="0.25">
      <c r="A3255" t="str">
        <f>"20190303154534663"</f>
        <v>20190303154534663</v>
      </c>
      <c r="B3255" t="str">
        <f>"1551599134654432"</f>
        <v>1551599134654432</v>
      </c>
      <c r="C3255" t="s">
        <v>40</v>
      </c>
      <c r="D3255">
        <v>4.9187269999999996</v>
      </c>
      <c r="E3255">
        <v>0.50335200000000002</v>
      </c>
      <c r="F3255" t="s">
        <v>57</v>
      </c>
      <c r="G3255">
        <v>-308.94299999999998</v>
      </c>
      <c r="H3255" s="1">
        <v>1.0669210000000001E-6</v>
      </c>
      <c r="I3255">
        <v>213.70230000000001</v>
      </c>
      <c r="J3255">
        <v>-327.3845</v>
      </c>
      <c r="K3255">
        <v>1.1206830000000001</v>
      </c>
      <c r="L3255">
        <v>214.38659999999999</v>
      </c>
      <c r="M3255">
        <v>0.99980829999999998</v>
      </c>
      <c r="N3255">
        <v>-1.439234E-2</v>
      </c>
      <c r="O3255">
        <v>-1.327802E-2</v>
      </c>
      <c r="P3255">
        <v>0.98941860000000004</v>
      </c>
      <c r="Q3255">
        <v>-0.141711</v>
      </c>
      <c r="R3255">
        <v>-3.112695E-2</v>
      </c>
      <c r="S3255">
        <v>3.0028990000000002</v>
      </c>
      <c r="T3255">
        <v>-0.1794559</v>
      </c>
      <c r="U3255">
        <v>-0.11026</v>
      </c>
      <c r="V3255">
        <v>1.7973759999999998E-2</v>
      </c>
      <c r="W3255">
        <v>-0.12745319999999999</v>
      </c>
      <c r="X3255">
        <v>0.9916817</v>
      </c>
      <c r="Y3255">
        <v>2.3381349999999999E-2</v>
      </c>
      <c r="Z3255">
        <v>-2.647622E-4</v>
      </c>
      <c r="AA3255">
        <v>0.99972660000000002</v>
      </c>
      <c r="AB3255">
        <v>32</v>
      </c>
      <c r="AC3255">
        <v>18.441500000000001</v>
      </c>
      <c r="AD3255">
        <v>-1.1206819330789899</v>
      </c>
      <c r="AE3255">
        <v>-0.68429999999997904</v>
      </c>
      <c r="AF3255">
        <v>0.43773340084114598</v>
      </c>
      <c r="AG3255">
        <v>-1.1206819330789899</v>
      </c>
      <c r="AH3255">
        <v>18.3811737731093</v>
      </c>
      <c r="AI3255">
        <v>93.487961601979706</v>
      </c>
      <c r="AJ3255">
        <v>88.635803284957703</v>
      </c>
      <c r="AK3255">
        <v>18.420507262358001</v>
      </c>
      <c r="AL3255">
        <v>97.322447269574795</v>
      </c>
      <c r="AM3255">
        <v>88.961654886450802</v>
      </c>
      <c r="AN3255">
        <v>0.999999984176833</v>
      </c>
    </row>
    <row r="3256" spans="1:40" x14ac:dyDescent="0.25">
      <c r="A3256" t="str">
        <f>"20190303154534685"</f>
        <v>20190303154534685</v>
      </c>
      <c r="B3256" t="str">
        <f>"1551599134673952"</f>
        <v>1551599134673952</v>
      </c>
      <c r="C3256" t="s">
        <v>40</v>
      </c>
      <c r="D3256">
        <v>4.892525</v>
      </c>
      <c r="E3256">
        <v>0.50340450000000003</v>
      </c>
      <c r="F3256" t="s">
        <v>57</v>
      </c>
      <c r="G3256">
        <v>-308.53519999999997</v>
      </c>
      <c r="H3256" s="1">
        <v>1.139261E-6</v>
      </c>
      <c r="I3256">
        <v>213.67160000000001</v>
      </c>
      <c r="J3256">
        <v>-327.06319999999999</v>
      </c>
      <c r="K3256">
        <v>1.120687</v>
      </c>
      <c r="L3256">
        <v>214.38239999999999</v>
      </c>
      <c r="M3256">
        <v>0.99980829999999998</v>
      </c>
      <c r="N3256">
        <v>-1.4388969999999999E-2</v>
      </c>
      <c r="O3256">
        <v>-1.3284529999999999E-2</v>
      </c>
      <c r="P3256">
        <v>0.98933800000000005</v>
      </c>
      <c r="Q3256">
        <v>-0.14220150000000001</v>
      </c>
      <c r="R3256">
        <v>-3.1454999999999997E-2</v>
      </c>
      <c r="S3256">
        <v>3.0029300000000001</v>
      </c>
      <c r="T3256">
        <v>-0.17853859999999999</v>
      </c>
      <c r="U3256">
        <v>-0.1139221</v>
      </c>
      <c r="V3256">
        <v>1.8298869999999998E-2</v>
      </c>
      <c r="W3256">
        <v>-0.1279477</v>
      </c>
      <c r="X3256">
        <v>0.9916121</v>
      </c>
      <c r="Y3256">
        <v>2.4589590000000001E-2</v>
      </c>
      <c r="Z3256">
        <v>-3.0945210000000003E-4</v>
      </c>
      <c r="AA3256">
        <v>0.99969759999999996</v>
      </c>
      <c r="AB3256">
        <v>32</v>
      </c>
      <c r="AC3256">
        <v>18.527999999999999</v>
      </c>
      <c r="AD3256">
        <v>-1.120685860739</v>
      </c>
      <c r="AE3256">
        <v>-0.71079999999997701</v>
      </c>
      <c r="AF3256">
        <v>0.46288502118931002</v>
      </c>
      <c r="AG3256">
        <v>-1.120685860739</v>
      </c>
      <c r="AH3256">
        <v>18.468339997899601</v>
      </c>
      <c r="AI3256">
        <v>93.471446052305296</v>
      </c>
      <c r="AJ3256">
        <v>88.564256087365493</v>
      </c>
      <c r="AK3256">
        <v>18.508100432494899</v>
      </c>
      <c r="AL3256">
        <v>97.351013725827301</v>
      </c>
      <c r="AM3256">
        <v>88.942803306632598</v>
      </c>
      <c r="AN3256">
        <v>1.0000000097224799</v>
      </c>
    </row>
    <row r="3257" spans="1:40" x14ac:dyDescent="0.25">
      <c r="A3257" t="str">
        <f>"20190303154534707"</f>
        <v>20190303154534707</v>
      </c>
      <c r="B3257" t="str">
        <f>"1551599134704209"</f>
        <v>1551599134704209</v>
      </c>
      <c r="C3257" t="s">
        <v>40</v>
      </c>
      <c r="D3257">
        <v>4.8933589999999896</v>
      </c>
      <c r="E3257">
        <v>0.50350829999999902</v>
      </c>
      <c r="F3257" t="s">
        <v>57</v>
      </c>
      <c r="G3257">
        <v>-308.24770000000001</v>
      </c>
      <c r="H3257" s="1">
        <v>1.1902470000000001E-6</v>
      </c>
      <c r="I3257">
        <v>213.66059999999999</v>
      </c>
      <c r="J3257">
        <v>-326.75689999999997</v>
      </c>
      <c r="K3257">
        <v>1.120695</v>
      </c>
      <c r="L3257">
        <v>214.3783</v>
      </c>
      <c r="M3257">
        <v>0.99980840000000004</v>
      </c>
      <c r="N3257">
        <v>-1.4385800000000001E-2</v>
      </c>
      <c r="O3257">
        <v>-1.328466E-2</v>
      </c>
      <c r="P3257">
        <v>0.98923079999999997</v>
      </c>
      <c r="Q3257">
        <v>-0.14292920000000001</v>
      </c>
      <c r="R3257">
        <v>-3.1529069999999999E-2</v>
      </c>
      <c r="S3257">
        <v>3.0029599999999999</v>
      </c>
      <c r="T3257">
        <v>-0.17886260000000001</v>
      </c>
      <c r="U3257">
        <v>-0.1151886</v>
      </c>
      <c r="V3257">
        <v>1.837575E-2</v>
      </c>
      <c r="W3257">
        <v>-0.12867990000000001</v>
      </c>
      <c r="X3257">
        <v>0.99151590000000001</v>
      </c>
      <c r="Y3257">
        <v>2.5009050000000001E-2</v>
      </c>
      <c r="Z3257">
        <v>-3.247584E-4</v>
      </c>
      <c r="AA3257">
        <v>0.9996872</v>
      </c>
      <c r="AB3257">
        <v>32</v>
      </c>
      <c r="AC3257">
        <v>18.5091999999999</v>
      </c>
      <c r="AD3257">
        <v>-1.1206938097529999</v>
      </c>
      <c r="AE3257">
        <v>-0.717700000000007</v>
      </c>
      <c r="AF3257">
        <v>0.47000234403684799</v>
      </c>
      <c r="AG3257">
        <v>-1.1206938097529999</v>
      </c>
      <c r="AH3257">
        <v>18.449566171973299</v>
      </c>
      <c r="AI3257">
        <v>93.474958443625695</v>
      </c>
      <c r="AJ3257">
        <v>88.540706743695395</v>
      </c>
      <c r="AK3257">
        <v>18.489547013181198</v>
      </c>
      <c r="AL3257">
        <v>97.393315580908705</v>
      </c>
      <c r="AM3257">
        <v>88.938259685452294</v>
      </c>
      <c r="AN3257">
        <v>0.99999998240244103</v>
      </c>
    </row>
    <row r="3258" spans="1:40" x14ac:dyDescent="0.25">
      <c r="A3258" t="str">
        <f>"20190303154534730"</f>
        <v>20190303154534730</v>
      </c>
      <c r="B3258" t="str">
        <f>"1551599134724705"</f>
        <v>1551599134724705</v>
      </c>
      <c r="C3258" t="s">
        <v>40</v>
      </c>
      <c r="D3258">
        <v>4.8941290000000004</v>
      </c>
      <c r="E3258">
        <v>0.50354209999999899</v>
      </c>
      <c r="F3258" t="s">
        <v>57</v>
      </c>
      <c r="G3258">
        <v>-308.03160000000003</v>
      </c>
      <c r="H3258" s="1">
        <v>1.228579E-6</v>
      </c>
      <c r="I3258">
        <v>213.6534</v>
      </c>
      <c r="J3258">
        <v>-326.44</v>
      </c>
      <c r="K3258">
        <v>1.120703</v>
      </c>
      <c r="L3258">
        <v>214.3741</v>
      </c>
      <c r="M3258">
        <v>0.99980849999999999</v>
      </c>
      <c r="N3258">
        <v>-1.4382519999999999E-2</v>
      </c>
      <c r="O3258">
        <v>-1.3279569999999999E-2</v>
      </c>
      <c r="P3258">
        <v>0.98925920000000001</v>
      </c>
      <c r="Q3258">
        <v>-0.14277679999999901</v>
      </c>
      <c r="R3258">
        <v>-3.1327800000000003E-2</v>
      </c>
      <c r="S3258">
        <v>3.0029910000000002</v>
      </c>
      <c r="T3258">
        <v>-0.17972669999999999</v>
      </c>
      <c r="U3258">
        <v>-0.1162567</v>
      </c>
      <c r="V3258">
        <v>1.818024E-2</v>
      </c>
      <c r="W3258">
        <v>-0.12853019999999901</v>
      </c>
      <c r="X3258">
        <v>0.9915389</v>
      </c>
      <c r="Y3258">
        <v>2.53677E-2</v>
      </c>
      <c r="Z3258">
        <v>-3.3798459999999998E-4</v>
      </c>
      <c r="AA3258">
        <v>0.99967810000000001</v>
      </c>
      <c r="AB3258">
        <v>32</v>
      </c>
      <c r="AC3258">
        <v>18.408399999999901</v>
      </c>
      <c r="AD3258">
        <v>-1.1207017714209999</v>
      </c>
      <c r="AE3258">
        <v>-0.72069999999999301</v>
      </c>
      <c r="AF3258">
        <v>0.47439993511587097</v>
      </c>
      <c r="AG3258">
        <v>-1.1207017714209999</v>
      </c>
      <c r="AH3258">
        <v>18.3484460988957</v>
      </c>
      <c r="AI3258">
        <v>93.494052747982806</v>
      </c>
      <c r="AJ3258">
        <v>88.518944892839897</v>
      </c>
      <c r="AK3258">
        <v>18.388760208425801</v>
      </c>
      <c r="AL3258">
        <v>97.384666733112098</v>
      </c>
      <c r="AM3258">
        <v>88.949577957501205</v>
      </c>
      <c r="AN3258">
        <v>0.99999996182585305</v>
      </c>
    </row>
    <row r="3259" spans="1:40" x14ac:dyDescent="0.25">
      <c r="A3259" t="str">
        <f>"20190303154534753"</f>
        <v>20190303154534753</v>
      </c>
      <c r="B3259" t="str">
        <f>"1551599134744224"</f>
        <v>1551599134744224</v>
      </c>
      <c r="C3259" t="s">
        <v>40</v>
      </c>
      <c r="D3259">
        <v>4.8824620000000003</v>
      </c>
      <c r="E3259">
        <v>0.50358890000000001</v>
      </c>
      <c r="F3259" t="s">
        <v>57</v>
      </c>
      <c r="G3259">
        <v>-307.58600000000001</v>
      </c>
      <c r="H3259" s="1">
        <v>1.307632E-6</v>
      </c>
      <c r="I3259">
        <v>213.64410000000001</v>
      </c>
      <c r="J3259">
        <v>-326.10169999999999</v>
      </c>
      <c r="K3259">
        <v>1.120714</v>
      </c>
      <c r="L3259">
        <v>214.36959999999999</v>
      </c>
      <c r="M3259">
        <v>0.99980869999999999</v>
      </c>
      <c r="N3259">
        <v>-1.4379009999999999E-2</v>
      </c>
      <c r="O3259">
        <v>-1.3266450000000001E-2</v>
      </c>
      <c r="P3259">
        <v>0.98917849999999996</v>
      </c>
      <c r="Q3259">
        <v>-0.14335479999999901</v>
      </c>
      <c r="R3259">
        <v>-3.1237540000000001E-2</v>
      </c>
      <c r="S3259">
        <v>3.003082</v>
      </c>
      <c r="T3259">
        <v>-0.1785061</v>
      </c>
      <c r="U3259">
        <v>-0.116272</v>
      </c>
      <c r="V3259">
        <v>1.8105739999999999E-2</v>
      </c>
      <c r="W3259">
        <v>-0.12911259999999999</v>
      </c>
      <c r="X3259">
        <v>0.99146460000000003</v>
      </c>
      <c r="Y3259">
        <v>2.5385109999999999E-2</v>
      </c>
      <c r="Z3259">
        <v>-3.3936760000000002E-4</v>
      </c>
      <c r="AA3259">
        <v>0.9996777</v>
      </c>
      <c r="AB3259">
        <v>32</v>
      </c>
      <c r="AC3259">
        <v>18.515699999999899</v>
      </c>
      <c r="AD3259">
        <v>-1.120712692368</v>
      </c>
      <c r="AE3259">
        <v>-0.72549999999998205</v>
      </c>
      <c r="AF3259">
        <v>0.47802455109824799</v>
      </c>
      <c r="AG3259">
        <v>-1.120712692368</v>
      </c>
      <c r="AH3259">
        <v>18.456183563498101</v>
      </c>
      <c r="AI3259">
        <v>93.473736094747693</v>
      </c>
      <c r="AJ3259">
        <v>88.516341843592798</v>
      </c>
      <c r="AK3259">
        <v>18.496356834247699</v>
      </c>
      <c r="AL3259">
        <v>97.418316130463097</v>
      </c>
      <c r="AM3259">
        <v>88.953803098590001</v>
      </c>
      <c r="AN3259">
        <v>0.99999996717643302</v>
      </c>
    </row>
    <row r="3260" spans="1:40" x14ac:dyDescent="0.25">
      <c r="A3260" t="str">
        <f>"20190303154534776"</f>
        <v>20190303154534776</v>
      </c>
      <c r="B3260" t="str">
        <f>"1551599134764720"</f>
        <v>1551599134764720</v>
      </c>
      <c r="C3260" t="s">
        <v>40</v>
      </c>
      <c r="D3260">
        <v>4.8772570000000002</v>
      </c>
      <c r="E3260">
        <v>0.50364249999999999</v>
      </c>
      <c r="F3260" t="s">
        <v>57</v>
      </c>
      <c r="G3260">
        <v>-307.3408</v>
      </c>
      <c r="H3260" s="1">
        <v>1.3511319999999999E-6</v>
      </c>
      <c r="I3260">
        <v>213.6421</v>
      </c>
      <c r="J3260">
        <v>-325.78519999999997</v>
      </c>
      <c r="K3260">
        <v>1.120722</v>
      </c>
      <c r="L3260">
        <v>214.36539999999999</v>
      </c>
      <c r="M3260">
        <v>0.9998089</v>
      </c>
      <c r="N3260">
        <v>-1.437575E-2</v>
      </c>
      <c r="O3260">
        <v>-1.324578E-2</v>
      </c>
      <c r="P3260">
        <v>0.98923649999999996</v>
      </c>
      <c r="Q3260">
        <v>-0.14302790000000001</v>
      </c>
      <c r="R3260">
        <v>-3.0889969999999999E-2</v>
      </c>
      <c r="S3260">
        <v>3.0031430000000001</v>
      </c>
      <c r="T3260">
        <v>-0.17939759999999999</v>
      </c>
      <c r="U3260">
        <v>-0.11645510000000001</v>
      </c>
      <c r="V3260">
        <v>1.7780649999999999E-2</v>
      </c>
      <c r="W3260">
        <v>-0.12878779999999901</v>
      </c>
      <c r="X3260">
        <v>0.99151279999999997</v>
      </c>
      <c r="Y3260">
        <v>2.5465330000000001E-2</v>
      </c>
      <c r="Z3260">
        <v>-3.4302109999999997E-4</v>
      </c>
      <c r="AA3260">
        <v>0.9996756</v>
      </c>
      <c r="AB3260">
        <v>31</v>
      </c>
      <c r="AC3260">
        <v>18.444399999999899</v>
      </c>
      <c r="AD3260">
        <v>-1.1207206488679999</v>
      </c>
      <c r="AE3260">
        <v>-0.72329999999999395</v>
      </c>
      <c r="AF3260">
        <v>0.477141893614905</v>
      </c>
      <c r="AG3260">
        <v>-1.1207206488679999</v>
      </c>
      <c r="AH3260">
        <v>18.384590904995001</v>
      </c>
      <c r="AI3260">
        <v>93.487250017019207</v>
      </c>
      <c r="AJ3260">
        <v>88.513315785828098</v>
      </c>
      <c r="AK3260">
        <v>18.4248978804081</v>
      </c>
      <c r="AL3260">
        <v>97.399549234163601</v>
      </c>
      <c r="AM3260">
        <v>88.972633518414796</v>
      </c>
      <c r="AN3260">
        <v>1.0000000407535501</v>
      </c>
    </row>
    <row r="3261" spans="1:40" x14ac:dyDescent="0.25">
      <c r="A3261" t="str">
        <f>"20190303154534795"</f>
        <v>20190303154534795</v>
      </c>
      <c r="B3261" t="str">
        <f>"1551599134784241"</f>
        <v>1551599134784241</v>
      </c>
      <c r="C3261" t="s">
        <v>40</v>
      </c>
      <c r="D3261">
        <v>4.8971369999999999</v>
      </c>
      <c r="E3261">
        <v>0.50351599999999996</v>
      </c>
      <c r="F3261" t="s">
        <v>57</v>
      </c>
      <c r="G3261">
        <v>-306.83870000000002</v>
      </c>
      <c r="H3261" s="1">
        <v>1.4401889999999999E-6</v>
      </c>
      <c r="I3261">
        <v>213.63820000000001</v>
      </c>
      <c r="J3261">
        <v>-325.50819999999999</v>
      </c>
      <c r="K3261">
        <v>1.120727</v>
      </c>
      <c r="L3261">
        <v>214.36179999999999</v>
      </c>
      <c r="M3261">
        <v>0.99980950000000002</v>
      </c>
      <c r="N3261">
        <v>-1.4372909999999999E-2</v>
      </c>
      <c r="O3261">
        <v>-1.321962E-2</v>
      </c>
      <c r="P3261">
        <v>0.98922509999999997</v>
      </c>
      <c r="Q3261">
        <v>-0.14318159999999999</v>
      </c>
      <c r="R3261">
        <v>-3.054221E-2</v>
      </c>
      <c r="S3261">
        <v>3.0033569999999998</v>
      </c>
      <c r="T3261">
        <v>-0.177653799999999</v>
      </c>
      <c r="U3261">
        <v>-0.1152802</v>
      </c>
      <c r="V3261">
        <v>1.74615999999999E-2</v>
      </c>
      <c r="W3261">
        <v>-0.12894410000000001</v>
      </c>
      <c r="X3261">
        <v>0.99149810000000005</v>
      </c>
      <c r="Y3261">
        <v>2.5099650000000001E-2</v>
      </c>
      <c r="Z3261">
        <v>-3.3097999999999998E-4</v>
      </c>
      <c r="AA3261">
        <v>0.99968489999999999</v>
      </c>
      <c r="AB3261">
        <v>31</v>
      </c>
      <c r="AC3261">
        <v>18.6694999999999</v>
      </c>
      <c r="AD3261">
        <v>-1.120725559811</v>
      </c>
      <c r="AE3261">
        <v>-0.72359999999997604</v>
      </c>
      <c r="AF3261">
        <v>0.47499848729106597</v>
      </c>
      <c r="AG3261">
        <v>-1.120725559811</v>
      </c>
      <c r="AH3261">
        <v>18.610471393853601</v>
      </c>
      <c r="AI3261">
        <v>93.445079938253102</v>
      </c>
      <c r="AJ3261">
        <v>88.5379466936255</v>
      </c>
      <c r="AK3261">
        <v>18.650235785233001</v>
      </c>
      <c r="AL3261">
        <v>97.408580274059204</v>
      </c>
      <c r="AM3261">
        <v>88.991049435931302</v>
      </c>
      <c r="AN3261">
        <v>0.99999998535148904</v>
      </c>
    </row>
    <row r="3262" spans="1:40" x14ac:dyDescent="0.25">
      <c r="A3262" t="str">
        <f>"20190303154534821"</f>
        <v>20190303154534821</v>
      </c>
      <c r="B3262" t="str">
        <f>"1551599134814496"</f>
        <v>1551599134814496</v>
      </c>
      <c r="C3262" t="s">
        <v>40</v>
      </c>
      <c r="D3262">
        <v>4.8937200000000001</v>
      </c>
      <c r="E3262">
        <v>0.4872264</v>
      </c>
      <c r="F3262" t="s">
        <v>57</v>
      </c>
      <c r="G3262">
        <v>-306.61939999999998</v>
      </c>
      <c r="H3262" s="1">
        <v>1.479095E-6</v>
      </c>
      <c r="I3262">
        <v>213.6482</v>
      </c>
      <c r="J3262">
        <v>-325.1628</v>
      </c>
      <c r="K3262">
        <v>1.1207309999999999</v>
      </c>
      <c r="L3262">
        <v>214.35720000000001</v>
      </c>
      <c r="M3262">
        <v>0.99980990000000003</v>
      </c>
      <c r="N3262">
        <v>-1.4369359999999999E-2</v>
      </c>
      <c r="O3262">
        <v>-1.317685E-2</v>
      </c>
      <c r="P3262">
        <v>0.98925890000000005</v>
      </c>
      <c r="Q3262">
        <v>-0.14300860000000001</v>
      </c>
      <c r="R3262">
        <v>-3.0258199999999999E-2</v>
      </c>
      <c r="S3262">
        <v>3.003387</v>
      </c>
      <c r="T3262">
        <v>-0.17819889999999999</v>
      </c>
      <c r="U3262">
        <v>-0.11346440000000001</v>
      </c>
      <c r="V3262">
        <v>1.7222970000000001E-2</v>
      </c>
      <c r="W3262">
        <v>-0.12877379999999999</v>
      </c>
      <c r="X3262">
        <v>0.99152439999999997</v>
      </c>
      <c r="Y3262">
        <v>2.4539490000000001E-2</v>
      </c>
      <c r="Z3262">
        <v>-3.1205879999999999E-4</v>
      </c>
      <c r="AA3262">
        <v>0.9996988</v>
      </c>
      <c r="AB3262">
        <v>31</v>
      </c>
      <c r="AC3262">
        <v>18.543399999999998</v>
      </c>
      <c r="AD3262">
        <v>-1.1207295209050001</v>
      </c>
      <c r="AE3262">
        <v>-0.70900000000000296</v>
      </c>
      <c r="AF3262">
        <v>0.46288126327628498</v>
      </c>
      <c r="AG3262">
        <v>-1.1207295209050001</v>
      </c>
      <c r="AH3262">
        <v>18.483714821000198</v>
      </c>
      <c r="AI3262">
        <v>93.468702166960995</v>
      </c>
      <c r="AJ3262">
        <v>88.565461486739295</v>
      </c>
      <c r="AK3262">
        <v>18.523444801304699</v>
      </c>
      <c r="AL3262">
        <v>97.398740817079997</v>
      </c>
      <c r="AM3262">
        <v>89.004861340433294</v>
      </c>
      <c r="AN3262">
        <v>0.99999997902870996</v>
      </c>
    </row>
    <row r="3263" spans="1:40" x14ac:dyDescent="0.25">
      <c r="A3263" t="str">
        <f>"20190303154534841"</f>
        <v>20190303154534841</v>
      </c>
      <c r="B3263" t="str">
        <f>"1551599134834017"</f>
        <v>1551599134834017</v>
      </c>
      <c r="C3263" t="s">
        <v>40</v>
      </c>
      <c r="D3263">
        <v>4.892093</v>
      </c>
      <c r="E3263">
        <v>0.48755789999999999</v>
      </c>
      <c r="F3263" t="s">
        <v>57</v>
      </c>
      <c r="G3263">
        <v>-312.0018</v>
      </c>
      <c r="H3263" s="1">
        <v>1.7933770000000001E-6</v>
      </c>
      <c r="I3263">
        <v>214.42529999999999</v>
      </c>
      <c r="J3263">
        <v>-324.86959999999999</v>
      </c>
      <c r="K3263">
        <v>1.120738</v>
      </c>
      <c r="L3263">
        <v>214.35339999999999</v>
      </c>
      <c r="M3263">
        <v>0.99981059999999999</v>
      </c>
      <c r="N3263">
        <v>-1.436635E-2</v>
      </c>
      <c r="O3263">
        <v>-1.31314E-2</v>
      </c>
      <c r="P3263">
        <v>0.9892609</v>
      </c>
      <c r="Q3263">
        <v>-0.1431839</v>
      </c>
      <c r="R3263">
        <v>-2.9354640000000001E-2</v>
      </c>
      <c r="S3263">
        <v>2.9961850000000001</v>
      </c>
      <c r="T3263">
        <v>-0.25514150000000002</v>
      </c>
      <c r="U3263">
        <v>1.548767E-2</v>
      </c>
      <c r="V3263">
        <v>1.6366680000000002E-2</v>
      </c>
      <c r="W3263">
        <v>-0.12895190000000001</v>
      </c>
      <c r="X3263">
        <v>0.99151579999999995</v>
      </c>
      <c r="Y3263">
        <v>-1.8191369999999998E-2</v>
      </c>
      <c r="Z3263">
        <v>1.831889E-3</v>
      </c>
      <c r="AA3263">
        <v>0.99983290000000002</v>
      </c>
      <c r="AB3263">
        <v>31</v>
      </c>
      <c r="AC3263">
        <v>12.8677999999999</v>
      </c>
      <c r="AD3263">
        <v>-1.120736206623</v>
      </c>
      <c r="AE3263">
        <v>7.1899999999999395E-2</v>
      </c>
      <c r="AF3263">
        <v>-0.239069995894786</v>
      </c>
      <c r="AG3263">
        <v>-1.120736206623</v>
      </c>
      <c r="AH3263">
        <v>12.7688875648495</v>
      </c>
      <c r="AI3263">
        <v>95.015170831852402</v>
      </c>
      <c r="AJ3263">
        <v>91.072615095516397</v>
      </c>
      <c r="AK3263">
        <v>12.820206462906199</v>
      </c>
      <c r="AL3263">
        <v>97.409030676616297</v>
      </c>
      <c r="AM3263">
        <v>89.0543201297384</v>
      </c>
      <c r="AN3263">
        <v>1.0000000211887301</v>
      </c>
    </row>
    <row r="3264" spans="1:40" x14ac:dyDescent="0.25">
      <c r="A3264" t="str">
        <f>"20190303154534864"</f>
        <v>20190303154534864</v>
      </c>
      <c r="B3264" t="str">
        <f>"1551599134854513"</f>
        <v>1551599134854513</v>
      </c>
      <c r="C3264" t="s">
        <v>40</v>
      </c>
      <c r="D3264">
        <v>4.8983410000000003</v>
      </c>
      <c r="E3264">
        <v>0.48760740000000002</v>
      </c>
      <c r="F3264" t="s">
        <v>57</v>
      </c>
      <c r="G3264">
        <v>-311.46199999999999</v>
      </c>
      <c r="H3264" s="1">
        <v>1.5540029999999999E-6</v>
      </c>
      <c r="I3264">
        <v>214.42410000000001</v>
      </c>
      <c r="J3264">
        <v>-324.55309999999997</v>
      </c>
      <c r="K3264">
        <v>1.1207499999999999</v>
      </c>
      <c r="L3264">
        <v>214.3493</v>
      </c>
      <c r="M3264">
        <v>0.99981140000000002</v>
      </c>
      <c r="N3264">
        <v>-1.436309E-2</v>
      </c>
      <c r="O3264">
        <v>-1.3074300000000001E-2</v>
      </c>
      <c r="P3264">
        <v>0.98924820000000002</v>
      </c>
      <c r="Q3264">
        <v>-0.143401799999999</v>
      </c>
      <c r="R3264">
        <v>-2.8702749999999999E-2</v>
      </c>
      <c r="S3264">
        <v>2.9967649999999999</v>
      </c>
      <c r="T3264">
        <v>-0.25049880000000002</v>
      </c>
      <c r="U3264">
        <v>1.580811E-2</v>
      </c>
      <c r="V3264">
        <v>1.5773639999999998E-2</v>
      </c>
      <c r="W3264">
        <v>-0.12917319999999999</v>
      </c>
      <c r="X3264">
        <v>0.99149659999999995</v>
      </c>
      <c r="Y3264">
        <v>-1.8244119999999999E-2</v>
      </c>
      <c r="Z3264">
        <v>1.7959E-3</v>
      </c>
      <c r="AA3264">
        <v>0.99983200000000005</v>
      </c>
      <c r="AB3264">
        <v>31</v>
      </c>
      <c r="AC3264">
        <v>13.0910999999999</v>
      </c>
      <c r="AD3264">
        <v>-1.1207484459970001</v>
      </c>
      <c r="AE3264">
        <v>7.48000000000104E-2</v>
      </c>
      <c r="AF3264">
        <v>-0.24417861925901299</v>
      </c>
      <c r="AG3264">
        <v>-1.1207484459970001</v>
      </c>
      <c r="AH3264">
        <v>12.993770320921101</v>
      </c>
      <c r="AI3264">
        <v>94.928851947923405</v>
      </c>
      <c r="AJ3264">
        <v>91.076574195537503</v>
      </c>
      <c r="AK3264">
        <v>13.044300189360801</v>
      </c>
      <c r="AL3264">
        <v>97.421817214796306</v>
      </c>
      <c r="AM3264">
        <v>89.088562920385797</v>
      </c>
      <c r="AN3264">
        <v>1.0000000155643201</v>
      </c>
    </row>
    <row r="3265" spans="1:40" x14ac:dyDescent="0.25">
      <c r="A3265" t="str">
        <f>"20190303154534885"</f>
        <v>20190303154534885</v>
      </c>
      <c r="B3265" t="str">
        <f>"1551599134874033"</f>
        <v>1551599134874033</v>
      </c>
      <c r="C3265" t="s">
        <v>40</v>
      </c>
      <c r="D3265">
        <v>4.9131400000000003</v>
      </c>
      <c r="E3265">
        <v>0.48744029999999999</v>
      </c>
      <c r="F3265" t="s">
        <v>57</v>
      </c>
      <c r="G3265">
        <v>-311.14240000000001</v>
      </c>
      <c r="H3265" s="1">
        <v>1.412245E-6</v>
      </c>
      <c r="I3265">
        <v>214.4272</v>
      </c>
      <c r="J3265">
        <v>-324.25369999999998</v>
      </c>
      <c r="K3265">
        <v>1.1207560000000001</v>
      </c>
      <c r="L3265">
        <v>214.34549999999999</v>
      </c>
      <c r="M3265">
        <v>0.99981220000000004</v>
      </c>
      <c r="N3265">
        <v>-1.435995E-2</v>
      </c>
      <c r="O3265">
        <v>-1.3016150000000001E-2</v>
      </c>
      <c r="P3265">
        <v>0.98928050000000001</v>
      </c>
      <c r="Q3265">
        <v>-0.143287</v>
      </c>
      <c r="R3265">
        <v>-2.816455E-2</v>
      </c>
      <c r="S3265">
        <v>2.9967649999999999</v>
      </c>
      <c r="T3265">
        <v>-0.25044290000000002</v>
      </c>
      <c r="U3265">
        <v>1.7395020000000001E-2</v>
      </c>
      <c r="V3265">
        <v>1.529353E-2</v>
      </c>
      <c r="W3265">
        <v>-0.12906099999999901</v>
      </c>
      <c r="X3265">
        <v>0.99151869999999998</v>
      </c>
      <c r="Y3265">
        <v>-1.871368E-2</v>
      </c>
      <c r="Z3265">
        <v>1.8144470000000001E-3</v>
      </c>
      <c r="AA3265">
        <v>0.99982320000000002</v>
      </c>
      <c r="AB3265">
        <v>31</v>
      </c>
      <c r="AC3265">
        <v>13.1112999999999</v>
      </c>
      <c r="AD3265">
        <v>-1.12075458775499</v>
      </c>
      <c r="AE3265">
        <v>8.1700000000012096E-2</v>
      </c>
      <c r="AF3265">
        <v>-0.25053874266717502</v>
      </c>
      <c r="AG3265">
        <v>-1.12075458775499</v>
      </c>
      <c r="AH3265">
        <v>13.014037748424901</v>
      </c>
      <c r="AI3265">
        <v>94.921197773842195</v>
      </c>
      <c r="AJ3265">
        <v>91.102889038015903</v>
      </c>
      <c r="AK3265">
        <v>13.0646101750102</v>
      </c>
      <c r="AL3265">
        <v>97.415334604742796</v>
      </c>
      <c r="AM3265">
        <v>89.116320002134003</v>
      </c>
      <c r="AN3265">
        <v>0.99999998311527505</v>
      </c>
    </row>
    <row r="3266" spans="1:40" x14ac:dyDescent="0.25">
      <c r="A3266" t="str">
        <f>"20190303154534908"</f>
        <v>20190303154534908</v>
      </c>
      <c r="B3266" t="str">
        <f>"1551599134904289"</f>
        <v>1551599134904289</v>
      </c>
      <c r="C3266" t="s">
        <v>40</v>
      </c>
      <c r="D3266">
        <v>4.8903059999999998</v>
      </c>
      <c r="E3266">
        <v>0.48697180000000001</v>
      </c>
      <c r="F3266" t="s">
        <v>57</v>
      </c>
      <c r="G3266">
        <v>-310.93400000000003</v>
      </c>
      <c r="H3266" s="1">
        <v>1.319829E-6</v>
      </c>
      <c r="I3266">
        <v>214.4366</v>
      </c>
      <c r="J3266">
        <v>-323.94349999999997</v>
      </c>
      <c r="K3266">
        <v>1.12076</v>
      </c>
      <c r="L3266">
        <v>214.3415</v>
      </c>
      <c r="M3266">
        <v>0.99981319999999996</v>
      </c>
      <c r="N3266">
        <v>-1.43567E-2</v>
      </c>
      <c r="O3266">
        <v>-1.2953630000000001E-2</v>
      </c>
      <c r="P3266">
        <v>0.9893653</v>
      </c>
      <c r="Q3266">
        <v>-0.14270450000000001</v>
      </c>
      <c r="R3266">
        <v>-2.8145799999999999E-2</v>
      </c>
      <c r="S3266">
        <v>2.9965820000000001</v>
      </c>
      <c r="T3266">
        <v>-0.25213999999999998</v>
      </c>
      <c r="U3266">
        <v>2.0492549999999998E-2</v>
      </c>
      <c r="V3266">
        <v>1.5336270000000001E-2</v>
      </c>
      <c r="W3266">
        <v>-0.1284805</v>
      </c>
      <c r="X3266">
        <v>0.99159339999999996</v>
      </c>
      <c r="Y3266">
        <v>-1.967963E-2</v>
      </c>
      <c r="Z3266">
        <v>1.8703420000000001E-3</v>
      </c>
      <c r="AA3266">
        <v>0.99980460000000004</v>
      </c>
      <c r="AB3266">
        <v>31</v>
      </c>
      <c r="AC3266">
        <v>13.0094999999999</v>
      </c>
      <c r="AD3266">
        <v>-1.1207586801710001</v>
      </c>
      <c r="AE3266">
        <v>9.51000000000021E-2</v>
      </c>
      <c r="AF3266">
        <v>-0.26168754856035797</v>
      </c>
      <c r="AG3266">
        <v>-1.1207586801710001</v>
      </c>
      <c r="AH3266">
        <v>12.9113572231691</v>
      </c>
      <c r="AI3266">
        <v>94.960059162967198</v>
      </c>
      <c r="AJ3266">
        <v>91.161112596158404</v>
      </c>
      <c r="AK3266">
        <v>12.9625508961983</v>
      </c>
      <c r="AL3266">
        <v>97.381795372414203</v>
      </c>
      <c r="AM3266">
        <v>89.113917568652496</v>
      </c>
      <c r="AN3266">
        <v>0.99999995549066001</v>
      </c>
    </row>
    <row r="3267" spans="1:40" x14ac:dyDescent="0.25">
      <c r="A3267" t="str">
        <f>"20190303154534931"</f>
        <v>20190303154534931</v>
      </c>
      <c r="B3267" t="str">
        <f>"1551599134923809"</f>
        <v>1551599134923809</v>
      </c>
      <c r="C3267" t="s">
        <v>40</v>
      </c>
      <c r="D3267">
        <v>4.9425230000000004</v>
      </c>
      <c r="E3267">
        <v>0.48672290000000001</v>
      </c>
      <c r="F3267" t="s">
        <v>57</v>
      </c>
      <c r="G3267">
        <v>-310.67770000000002</v>
      </c>
      <c r="H3267" s="1">
        <v>1.2061810000000001E-6</v>
      </c>
      <c r="I3267">
        <v>214.44759999999999</v>
      </c>
      <c r="J3267">
        <v>-323.62360000000001</v>
      </c>
      <c r="K3267">
        <v>1.120773</v>
      </c>
      <c r="L3267">
        <v>214.3374</v>
      </c>
      <c r="M3267">
        <v>0.99981399999999998</v>
      </c>
      <c r="N3267">
        <v>-1.4353390000000001E-2</v>
      </c>
      <c r="O3267">
        <v>-1.288826E-2</v>
      </c>
      <c r="P3267">
        <v>0.98945050000000001</v>
      </c>
      <c r="Q3267">
        <v>-0.14212</v>
      </c>
      <c r="R3267">
        <v>-2.8108419999999999E-2</v>
      </c>
      <c r="S3267">
        <v>2.996429</v>
      </c>
      <c r="T3267">
        <v>-0.25315330000000003</v>
      </c>
      <c r="U3267">
        <v>2.3971559999999999E-2</v>
      </c>
      <c r="V3267">
        <v>1.536294E-2</v>
      </c>
      <c r="W3267">
        <v>-0.12789809999999999</v>
      </c>
      <c r="X3267">
        <v>0.99166829999999995</v>
      </c>
      <c r="Y3267">
        <v>-2.0770050000000002E-2</v>
      </c>
      <c r="Z3267">
        <v>1.9273630000000001E-3</v>
      </c>
      <c r="AA3267">
        <v>0.99978239999999996</v>
      </c>
      <c r="AB3267">
        <v>31</v>
      </c>
      <c r="AC3267">
        <v>12.9458999999999</v>
      </c>
      <c r="AD3267">
        <v>-1.1207717938190001</v>
      </c>
      <c r="AE3267">
        <v>0.110199999999991</v>
      </c>
      <c r="AF3267">
        <v>-0.27499720035671599</v>
      </c>
      <c r="AG3267">
        <v>-1.1207717938190001</v>
      </c>
      <c r="AH3267">
        <v>12.847122280218301</v>
      </c>
      <c r="AI3267">
        <v>94.984675104101498</v>
      </c>
      <c r="AJ3267">
        <v>91.226249181659099</v>
      </c>
      <c r="AK3267">
        <v>12.8988489314708</v>
      </c>
      <c r="AL3267">
        <v>97.348148528714106</v>
      </c>
      <c r="AM3267">
        <v>89.112443935354904</v>
      </c>
      <c r="AN3267">
        <v>0.99999998056697104</v>
      </c>
    </row>
    <row r="3268" spans="1:40" x14ac:dyDescent="0.25">
      <c r="A3268" t="str">
        <f>"20190303154534956"</f>
        <v>20190303154534956</v>
      </c>
      <c r="B3268" t="str">
        <f>"1551599134944304"</f>
        <v>1551599134944304</v>
      </c>
      <c r="C3268" t="s">
        <v>40</v>
      </c>
      <c r="D3268">
        <v>4.9325279999999996</v>
      </c>
      <c r="E3268">
        <v>0.48657280000000003</v>
      </c>
      <c r="F3268" t="s">
        <v>57</v>
      </c>
      <c r="G3268">
        <v>-310.411</v>
      </c>
      <c r="H3268" s="1">
        <v>1.0879190000000001E-6</v>
      </c>
      <c r="I3268">
        <v>214.45249999999999</v>
      </c>
      <c r="J3268">
        <v>-323.28500000000003</v>
      </c>
      <c r="K3268">
        <v>1.120779</v>
      </c>
      <c r="L3268">
        <v>214.3331</v>
      </c>
      <c r="M3268">
        <v>0.99981489999999995</v>
      </c>
      <c r="N3268">
        <v>-1.4349789999999999E-2</v>
      </c>
      <c r="O3268">
        <v>-1.282027E-2</v>
      </c>
      <c r="P3268">
        <v>0.98955789999999999</v>
      </c>
      <c r="Q3268">
        <v>-0.14129349999999999</v>
      </c>
      <c r="R3268">
        <v>-2.8488880000000001E-2</v>
      </c>
      <c r="S3268">
        <v>2.9961850000000001</v>
      </c>
      <c r="T3268">
        <v>-0.25415500000000002</v>
      </c>
      <c r="U3268">
        <v>2.6092529999999999E-2</v>
      </c>
      <c r="V3268">
        <v>1.580968E-2</v>
      </c>
      <c r="W3268">
        <v>-0.12707360000000001</v>
      </c>
      <c r="X3268">
        <v>0.99176730000000002</v>
      </c>
      <c r="Y3268">
        <v>-2.1406930000000001E-2</v>
      </c>
      <c r="Z3268">
        <v>1.9620319999999998E-3</v>
      </c>
      <c r="AA3268">
        <v>0.99976889999999996</v>
      </c>
      <c r="AB3268">
        <v>31</v>
      </c>
      <c r="AC3268">
        <v>12.874000000000001</v>
      </c>
      <c r="AD3268">
        <v>-1.120777912081</v>
      </c>
      <c r="AE3268">
        <v>0.11939999999998401</v>
      </c>
      <c r="AF3268">
        <v>-0.282315839162462</v>
      </c>
      <c r="AG3268">
        <v>-1.120777912081</v>
      </c>
      <c r="AH3268">
        <v>12.7746004436462</v>
      </c>
      <c r="AI3268">
        <v>95.012781415888199</v>
      </c>
      <c r="AJ3268">
        <v>91.266017950460594</v>
      </c>
      <c r="AK3268">
        <v>12.826779091262701</v>
      </c>
      <c r="AL3268">
        <v>97.300519294396494</v>
      </c>
      <c r="AM3268">
        <v>89.086730099239006</v>
      </c>
      <c r="AN3268">
        <v>1.00000001157397</v>
      </c>
    </row>
    <row r="3269" spans="1:40" x14ac:dyDescent="0.25">
      <c r="A3269" t="str">
        <f>"20190303154534977"</f>
        <v>20190303154534977</v>
      </c>
      <c r="B3269" t="str">
        <f>"1551599134963824"</f>
        <v>1551599134963824</v>
      </c>
      <c r="C3269" t="s">
        <v>40</v>
      </c>
      <c r="D3269">
        <v>4.945481</v>
      </c>
      <c r="E3269">
        <v>0.48643829999999999</v>
      </c>
      <c r="F3269" t="s">
        <v>57</v>
      </c>
      <c r="G3269">
        <v>-310.00220000000002</v>
      </c>
      <c r="H3269" s="1">
        <v>9.0661859999999995E-7</v>
      </c>
      <c r="I3269">
        <v>214.44839999999999</v>
      </c>
      <c r="J3269">
        <v>-322.98939999999999</v>
      </c>
      <c r="K3269">
        <v>1.1207800000000001</v>
      </c>
      <c r="L3269">
        <v>214.32939999999999</v>
      </c>
      <c r="M3269">
        <v>0.99981580000000003</v>
      </c>
      <c r="N3269">
        <v>-1.434672E-2</v>
      </c>
      <c r="O3269">
        <v>-1.276182E-2</v>
      </c>
      <c r="P3269">
        <v>0.98961100000000002</v>
      </c>
      <c r="Q3269">
        <v>-0.14076549999999999</v>
      </c>
      <c r="R3269">
        <v>-2.924537E-2</v>
      </c>
      <c r="S3269">
        <v>2.9963380000000002</v>
      </c>
      <c r="T3269">
        <v>-0.25282589999999999</v>
      </c>
      <c r="U3269">
        <v>2.600098E-2</v>
      </c>
      <c r="V3269">
        <v>1.6623530000000001E-2</v>
      </c>
      <c r="W3269">
        <v>-0.12654760000000001</v>
      </c>
      <c r="X3269">
        <v>0.99182119999999996</v>
      </c>
      <c r="Y3269">
        <v>-2.1319290000000001E-2</v>
      </c>
      <c r="Z3269">
        <v>1.9431450000000001E-3</v>
      </c>
      <c r="AA3269">
        <v>0.99977079999999996</v>
      </c>
      <c r="AB3269">
        <v>31</v>
      </c>
      <c r="AC3269">
        <v>12.9871999999999</v>
      </c>
      <c r="AD3269">
        <v>-1.1207790933813999</v>
      </c>
      <c r="AE3269">
        <v>0.118999999999999</v>
      </c>
      <c r="AF3269">
        <v>-0.28264285000558598</v>
      </c>
      <c r="AG3269">
        <v>-1.1207790933813999</v>
      </c>
      <c r="AH3269">
        <v>12.8886435756044</v>
      </c>
      <c r="AI3269">
        <v>94.968673353516493</v>
      </c>
      <c r="AJ3269">
        <v>91.256272399105896</v>
      </c>
      <c r="AK3269">
        <v>12.940369622842599</v>
      </c>
      <c r="AL3269">
        <v>97.270136773897505</v>
      </c>
      <c r="AM3269">
        <v>89.039777595938403</v>
      </c>
      <c r="AN3269">
        <v>0.99999996479242903</v>
      </c>
    </row>
    <row r="3270" spans="1:40" x14ac:dyDescent="0.25">
      <c r="A3270" t="str">
        <f>"20190303154534997"</f>
        <v>20190303154534997</v>
      </c>
      <c r="B3270" t="str">
        <f>"1551599134994081"</f>
        <v>1551599134994081</v>
      </c>
      <c r="C3270" t="s">
        <v>40</v>
      </c>
      <c r="D3270">
        <v>4.9637180000000001</v>
      </c>
      <c r="E3270">
        <v>0.4864542</v>
      </c>
      <c r="F3270" t="s">
        <v>57</v>
      </c>
      <c r="G3270">
        <v>-309.7038</v>
      </c>
      <c r="H3270" s="1">
        <v>9.319626E-7</v>
      </c>
      <c r="I3270">
        <v>214.43819999999999</v>
      </c>
      <c r="J3270">
        <v>-322.69099999999997</v>
      </c>
      <c r="K3270">
        <v>1.1207800000000001</v>
      </c>
      <c r="L3270">
        <v>214.32560000000001</v>
      </c>
      <c r="M3270">
        <v>0.9998165</v>
      </c>
      <c r="N3270">
        <v>-1.434361E-2</v>
      </c>
      <c r="O3270">
        <v>-1.270315E-2</v>
      </c>
      <c r="P3270">
        <v>0.9894271</v>
      </c>
      <c r="Q3270">
        <v>-0.14199500000000001</v>
      </c>
      <c r="R3270">
        <v>-2.9517669999999999E-2</v>
      </c>
      <c r="S3270">
        <v>2.9963069999999998</v>
      </c>
      <c r="T3270">
        <v>-0.25276939999999998</v>
      </c>
      <c r="U3270">
        <v>2.453613E-2</v>
      </c>
      <c r="V3270">
        <v>1.6956510000000001E-2</v>
      </c>
      <c r="W3270">
        <v>-0.1277827</v>
      </c>
      <c r="X3270">
        <v>0.99165729999999996</v>
      </c>
      <c r="Y3270">
        <v>-2.0774419999999998E-2</v>
      </c>
      <c r="Z3270">
        <v>1.9117769999999999E-3</v>
      </c>
      <c r="AA3270">
        <v>0.99978239999999996</v>
      </c>
      <c r="AB3270">
        <v>31</v>
      </c>
      <c r="AC3270">
        <v>12.9871999999999</v>
      </c>
      <c r="AD3270">
        <v>-1.1207790680373999</v>
      </c>
      <c r="AE3270">
        <v>0.112599999999986</v>
      </c>
      <c r="AF3270">
        <v>-0.27553434391900899</v>
      </c>
      <c r="AG3270">
        <v>-1.1207790680373999</v>
      </c>
      <c r="AH3270">
        <v>12.888740013586901</v>
      </c>
      <c r="AI3270">
        <v>94.968695282438105</v>
      </c>
      <c r="AJ3270">
        <v>91.224677563603507</v>
      </c>
      <c r="AK3270">
        <v>12.940312362221601</v>
      </c>
      <c r="AL3270">
        <v>97.341481225586605</v>
      </c>
      <c r="AM3270">
        <v>89.020385582309601</v>
      </c>
      <c r="AN3270">
        <v>1.0000000711469701</v>
      </c>
    </row>
    <row r="3271" spans="1:40" x14ac:dyDescent="0.25">
      <c r="A3271" t="str">
        <f>"20190303154535019"</f>
        <v>20190303154535019</v>
      </c>
      <c r="B3271" t="str">
        <f>"1551599135014577"</f>
        <v>1551599135014577</v>
      </c>
      <c r="C3271" t="s">
        <v>40</v>
      </c>
      <c r="D3271">
        <v>5.0533239999999999</v>
      </c>
      <c r="E3271">
        <v>0.48100920000000003</v>
      </c>
      <c r="F3271" t="s">
        <v>57</v>
      </c>
      <c r="G3271">
        <v>-309.75700000000001</v>
      </c>
      <c r="H3271" s="1">
        <v>9.2253910000000002E-7</v>
      </c>
      <c r="I3271">
        <v>214.42779999999999</v>
      </c>
      <c r="J3271">
        <v>-322.39510000000001</v>
      </c>
      <c r="K3271">
        <v>1.1207659999999999</v>
      </c>
      <c r="L3271">
        <v>214.3219</v>
      </c>
      <c r="M3271">
        <v>0.99981730000000002</v>
      </c>
      <c r="N3271">
        <v>-1.4340489999999999E-2</v>
      </c>
      <c r="O3271">
        <v>-1.2645190000000001E-2</v>
      </c>
      <c r="P3271">
        <v>0.9894754</v>
      </c>
      <c r="Q3271">
        <v>-0.14159479999999999</v>
      </c>
      <c r="R3271">
        <v>-2.9823100000000002E-2</v>
      </c>
      <c r="S3271">
        <v>2.9954830000000001</v>
      </c>
      <c r="T3271">
        <v>-0.25956770000000001</v>
      </c>
      <c r="U3271">
        <v>2.3666380000000001E-2</v>
      </c>
      <c r="V3271">
        <v>1.7318420000000001E-2</v>
      </c>
      <c r="W3271">
        <v>-0.1273849</v>
      </c>
      <c r="X3271">
        <v>0.99170210000000003</v>
      </c>
      <c r="Y3271">
        <v>-2.0423670000000001E-2</v>
      </c>
      <c r="Z3271">
        <v>1.942596E-3</v>
      </c>
      <c r="AA3271">
        <v>0.9997895</v>
      </c>
      <c r="AB3271">
        <v>31</v>
      </c>
      <c r="AC3271">
        <v>12.6381</v>
      </c>
      <c r="AD3271">
        <v>-1.1207650774608999</v>
      </c>
      <c r="AE3271">
        <v>0.105899999999991</v>
      </c>
      <c r="AF3271">
        <v>-0.26364585635677601</v>
      </c>
      <c r="AG3271">
        <v>-1.1207650774608999</v>
      </c>
      <c r="AH3271">
        <v>12.5371597483133</v>
      </c>
      <c r="AI3271">
        <v>95.107279854675596</v>
      </c>
      <c r="AJ3271">
        <v>91.204704177634596</v>
      </c>
      <c r="AK3271">
        <v>12.5899165228033</v>
      </c>
      <c r="AL3271">
        <v>97.318502076023904</v>
      </c>
      <c r="AM3271">
        <v>88.999526650296801</v>
      </c>
      <c r="AN3271">
        <v>0.99999994778185597</v>
      </c>
    </row>
    <row r="3272" spans="1:40" x14ac:dyDescent="0.25">
      <c r="A3272" t="str">
        <f>"20190303154535042"</f>
        <v>20190303154535042</v>
      </c>
      <c r="B3272" t="str">
        <f>"1551599135034097"</f>
        <v>1551599135034097</v>
      </c>
      <c r="C3272" t="s">
        <v>40</v>
      </c>
      <c r="D3272">
        <v>4.9549510000000003</v>
      </c>
      <c r="E3272">
        <v>0.48289840000000001</v>
      </c>
      <c r="F3272" t="s">
        <v>57</v>
      </c>
      <c r="G3272">
        <v>-312.72930000000002</v>
      </c>
      <c r="H3272" s="1">
        <v>2.115996E-6</v>
      </c>
      <c r="I3272">
        <v>214.52940000000001</v>
      </c>
      <c r="J3272">
        <v>-322.07729999999998</v>
      </c>
      <c r="K3272">
        <v>1.1207670000000001</v>
      </c>
      <c r="L3272">
        <v>214.31800000000001</v>
      </c>
      <c r="M3272">
        <v>0.99981799999999998</v>
      </c>
      <c r="N3272">
        <v>-1.433712E-2</v>
      </c>
      <c r="O3272">
        <v>-1.258306E-2</v>
      </c>
      <c r="P3272">
        <v>0.98954589999999998</v>
      </c>
      <c r="Q3272">
        <v>-0.14112169999999999</v>
      </c>
      <c r="R3272">
        <v>-2.972638E-2</v>
      </c>
      <c r="S3272">
        <v>2.9842529999999998</v>
      </c>
      <c r="T3272">
        <v>-0.34603060000000002</v>
      </c>
      <c r="U3272">
        <v>6.4056399999999999E-2</v>
      </c>
      <c r="V3272">
        <v>1.7282490000000001E-2</v>
      </c>
      <c r="W3272">
        <v>-0.1269142</v>
      </c>
      <c r="X3272">
        <v>0.99176310000000001</v>
      </c>
      <c r="Y3272">
        <v>-3.3720930000000003E-2</v>
      </c>
      <c r="Z3272">
        <v>3.4650879999999998E-3</v>
      </c>
      <c r="AA3272">
        <v>0.99942529999999996</v>
      </c>
      <c r="AB3272">
        <v>31</v>
      </c>
      <c r="AC3272">
        <v>9.3479999999999492</v>
      </c>
      <c r="AD3272">
        <v>-1.1207648840039901</v>
      </c>
      <c r="AE3272">
        <v>0.21140000000002601</v>
      </c>
      <c r="AF3272">
        <v>-0.32436165942738099</v>
      </c>
      <c r="AG3272">
        <v>-1.1207648840039901</v>
      </c>
      <c r="AH3272">
        <v>9.2122460353426803</v>
      </c>
      <c r="AI3272">
        <v>96.932280420626697</v>
      </c>
      <c r="AJ3272">
        <v>92.016541872533907</v>
      </c>
      <c r="AK3272">
        <v>9.2858387573234307</v>
      </c>
      <c r="AL3272">
        <v>97.291312084653498</v>
      </c>
      <c r="AM3272">
        <v>89.001663277057503</v>
      </c>
      <c r="AN3272">
        <v>0.99999997257192397</v>
      </c>
    </row>
    <row r="3273" spans="1:40" x14ac:dyDescent="0.25">
      <c r="A3273" t="str">
        <f>"20190303154535066"</f>
        <v>20190303154535066</v>
      </c>
      <c r="B3273" t="str">
        <f>"1551599135054593"</f>
        <v>1551599135054593</v>
      </c>
      <c r="C3273" t="s">
        <v>40</v>
      </c>
      <c r="D3273">
        <v>4.9419810000000002</v>
      </c>
      <c r="E3273">
        <v>0.49487429999999899</v>
      </c>
      <c r="F3273" t="s">
        <v>42</v>
      </c>
      <c r="G3273">
        <v>-321.10109999999997</v>
      </c>
      <c r="H3273">
        <v>1.014966</v>
      </c>
      <c r="I3273">
        <v>214.334</v>
      </c>
      <c r="J3273">
        <v>-321.76310000000001</v>
      </c>
      <c r="K3273">
        <v>1.120771</v>
      </c>
      <c r="L3273">
        <v>214.3141</v>
      </c>
      <c r="M3273">
        <v>0.99981889999999995</v>
      </c>
      <c r="N3273">
        <v>-1.4333749999999999E-2</v>
      </c>
      <c r="O3273">
        <v>-1.252165E-2</v>
      </c>
      <c r="P3273">
        <v>0.98966719999999997</v>
      </c>
      <c r="Q3273">
        <v>-0.14027110000000001</v>
      </c>
      <c r="R3273">
        <v>-2.9713839999999998E-2</v>
      </c>
      <c r="S3273">
        <v>2.9870299999999999</v>
      </c>
      <c r="T3273">
        <v>-0.32380039999999999</v>
      </c>
      <c r="U3273">
        <v>4.9758910000000003E-2</v>
      </c>
      <c r="V3273">
        <v>1.7329130000000002E-2</v>
      </c>
      <c r="W3273">
        <v>-0.12606529999999999</v>
      </c>
      <c r="X3273">
        <v>0.99187060000000005</v>
      </c>
      <c r="Y3273">
        <v>-2.8928700000000002E-2</v>
      </c>
      <c r="Z3273">
        <v>2.9456209999999998E-3</v>
      </c>
      <c r="AA3273">
        <v>0.99957720000000005</v>
      </c>
      <c r="AB3273">
        <v>31</v>
      </c>
      <c r="AC3273">
        <v>0.66200000000003401</v>
      </c>
      <c r="AD3273">
        <v>-0.105804999999999</v>
      </c>
      <c r="AE3273">
        <v>1.9900000000006898E-2</v>
      </c>
      <c r="AF3273">
        <v>-2.7487114122239299E-2</v>
      </c>
      <c r="AG3273">
        <v>-0.105804999999999</v>
      </c>
      <c r="AH3273">
        <v>0.64523168043378498</v>
      </c>
      <c r="AI3273">
        <v>99.304184153980202</v>
      </c>
      <c r="AJ3273">
        <v>92.439346999137797</v>
      </c>
      <c r="AK3273">
        <v>0.65442658939194598</v>
      </c>
      <c r="AL3273">
        <v>97.242279497233994</v>
      </c>
      <c r="AM3273">
        <v>88.9990780986804</v>
      </c>
      <c r="AN3273">
        <v>1.0000000228774999</v>
      </c>
    </row>
    <row r="3274" spans="1:40" x14ac:dyDescent="0.25">
      <c r="A3274" t="str">
        <f>"20190303154535086"</f>
        <v>20190303154535086</v>
      </c>
      <c r="B3274" t="str">
        <f>"1551599135083873"</f>
        <v>1551599135083873</v>
      </c>
      <c r="C3274" t="s">
        <v>40</v>
      </c>
      <c r="D3274">
        <v>5.0985829999999996</v>
      </c>
      <c r="E3274">
        <v>0.49645669999999997</v>
      </c>
      <c r="F3274" t="s">
        <v>57</v>
      </c>
      <c r="G3274">
        <v>-301.81229999999999</v>
      </c>
      <c r="H3274" s="1">
        <v>2.3317949999999999E-6</v>
      </c>
      <c r="I3274">
        <v>214.03720000000001</v>
      </c>
      <c r="J3274">
        <v>-321.471</v>
      </c>
      <c r="K3274">
        <v>1.1207780000000001</v>
      </c>
      <c r="L3274">
        <v>214.31049999999999</v>
      </c>
      <c r="M3274">
        <v>0.99981969999999998</v>
      </c>
      <c r="N3274">
        <v>-1.433063E-2</v>
      </c>
      <c r="O3274">
        <v>-1.246453E-2</v>
      </c>
      <c r="P3274">
        <v>0.98973750000000005</v>
      </c>
      <c r="Q3274">
        <v>-0.13991239999999999</v>
      </c>
      <c r="R3274">
        <v>-2.9056720000000001E-2</v>
      </c>
      <c r="S3274">
        <v>3.0061650000000002</v>
      </c>
      <c r="T3274">
        <v>-0.1688762</v>
      </c>
      <c r="U3274">
        <v>-4.1717530000000003E-2</v>
      </c>
      <c r="V3274">
        <v>1.672767E-2</v>
      </c>
      <c r="W3274">
        <v>-0.12570889999999901</v>
      </c>
      <c r="X3274">
        <v>0.99192610000000003</v>
      </c>
      <c r="Y3274">
        <v>1.4183970000000001E-3</v>
      </c>
      <c r="Z3274">
        <v>4.7109220000000001E-4</v>
      </c>
      <c r="AA3274">
        <v>0.99999890000000002</v>
      </c>
      <c r="AB3274">
        <v>31</v>
      </c>
      <c r="AC3274">
        <v>19.6587</v>
      </c>
      <c r="AD3274">
        <v>-1.1207756682050001</v>
      </c>
      <c r="AE3274">
        <v>-0.27329999999997701</v>
      </c>
      <c r="AF3274">
        <v>2.8125762952839601E-2</v>
      </c>
      <c r="AG3274">
        <v>-1.1207756682050001</v>
      </c>
      <c r="AH3274">
        <v>19.596895282414</v>
      </c>
      <c r="AI3274">
        <v>93.273262020572304</v>
      </c>
      <c r="AJ3274">
        <v>89.917768279970304</v>
      </c>
      <c r="AK3274">
        <v>19.628938684169398</v>
      </c>
      <c r="AL3274">
        <v>97.221695946492702</v>
      </c>
      <c r="AM3274">
        <v>89.033865473918198</v>
      </c>
      <c r="AN3274">
        <v>0.99999996517202305</v>
      </c>
    </row>
    <row r="3275" spans="1:40" x14ac:dyDescent="0.25">
      <c r="A3275" t="str">
        <f>"20190303154535109"</f>
        <v>20190303154535109</v>
      </c>
      <c r="B3275" t="str">
        <f>"1551599135104370"</f>
        <v>1551599135104370</v>
      </c>
      <c r="C3275" t="s">
        <v>40</v>
      </c>
      <c r="D3275">
        <v>4.9791400000000001</v>
      </c>
      <c r="E3275">
        <v>0.49701590000000001</v>
      </c>
      <c r="F3275" t="s">
        <v>57</v>
      </c>
      <c r="G3275">
        <v>-297.1934</v>
      </c>
      <c r="H3275" s="1">
        <v>2.1704009999999998E-6</v>
      </c>
      <c r="I3275">
        <v>213.89340000000001</v>
      </c>
      <c r="J3275">
        <v>-321.15789999999998</v>
      </c>
      <c r="K3275">
        <v>1.1207780000000001</v>
      </c>
      <c r="L3275">
        <v>214.30670000000001</v>
      </c>
      <c r="M3275">
        <v>0.9998205</v>
      </c>
      <c r="N3275">
        <v>-1.432742E-2</v>
      </c>
      <c r="O3275">
        <v>-1.240348E-2</v>
      </c>
      <c r="P3275">
        <v>0.98973239999999996</v>
      </c>
      <c r="Q3275">
        <v>-0.1401134</v>
      </c>
      <c r="R3275">
        <v>-2.8256119999999999E-2</v>
      </c>
      <c r="S3275">
        <v>3.0099179999999999</v>
      </c>
      <c r="T3275">
        <v>-0.13895270000000001</v>
      </c>
      <c r="U3275">
        <v>-5.1712040000000001E-2</v>
      </c>
      <c r="V3275">
        <v>1.598747E-2</v>
      </c>
      <c r="W3275">
        <v>-0.12591340000000001</v>
      </c>
      <c r="X3275">
        <v>0.99191240000000003</v>
      </c>
      <c r="Y3275">
        <v>4.7733860000000001E-3</v>
      </c>
      <c r="Z3275">
        <v>2.502459E-4</v>
      </c>
      <c r="AA3275">
        <v>0.99998860000000001</v>
      </c>
      <c r="AB3275">
        <v>31</v>
      </c>
      <c r="AC3275">
        <v>23.964499999999902</v>
      </c>
      <c r="AD3275">
        <v>-1.120775829599</v>
      </c>
      <c r="AE3275">
        <v>-0.41329999999999201</v>
      </c>
      <c r="AF3275">
        <v>0.115741431745392</v>
      </c>
      <c r="AG3275">
        <v>-1.120775829599</v>
      </c>
      <c r="AH3275">
        <v>23.915489128228501</v>
      </c>
      <c r="AI3275">
        <v>92.683115741582</v>
      </c>
      <c r="AJ3275">
        <v>89.722713437084096</v>
      </c>
      <c r="AK3275">
        <v>23.942016514522098</v>
      </c>
      <c r="AL3275">
        <v>97.233506553262799</v>
      </c>
      <c r="AM3275">
        <v>89.076596636560794</v>
      </c>
      <c r="AN3275">
        <v>0.99999999638516002</v>
      </c>
    </row>
    <row r="3276" spans="1:40" x14ac:dyDescent="0.25">
      <c r="A3276" t="str">
        <f>"20190303154535130"</f>
        <v>20190303154535130</v>
      </c>
      <c r="B3276" t="str">
        <f>"1551599135123889"</f>
        <v>1551599135123889</v>
      </c>
      <c r="C3276" t="s">
        <v>40</v>
      </c>
      <c r="D3276">
        <v>4.9892279999999998</v>
      </c>
      <c r="E3276">
        <v>0.49737779999999998</v>
      </c>
      <c r="F3276" t="s">
        <v>57</v>
      </c>
      <c r="G3276">
        <v>-295.81889999999999</v>
      </c>
      <c r="H3276" s="1">
        <v>1.9265859999999999E-6</v>
      </c>
      <c r="I3276">
        <v>213.8544</v>
      </c>
      <c r="J3276">
        <v>-320.8587</v>
      </c>
      <c r="K3276">
        <v>1.120779</v>
      </c>
      <c r="L3276">
        <v>214.303</v>
      </c>
      <c r="M3276">
        <v>0.99982130000000002</v>
      </c>
      <c r="N3276">
        <v>-1.4324480000000001E-2</v>
      </c>
      <c r="O3276">
        <v>-1.2345170000000001E-2</v>
      </c>
      <c r="P3276">
        <v>0.98972669999999996</v>
      </c>
      <c r="Q3276">
        <v>-0.140267</v>
      </c>
      <c r="R3276">
        <v>-2.7690869999999999E-2</v>
      </c>
      <c r="S3276">
        <v>3.0107119999999998</v>
      </c>
      <c r="T3276">
        <v>-0.13316739999999999</v>
      </c>
      <c r="U3276">
        <v>-5.3741459999999998E-2</v>
      </c>
      <c r="V3276">
        <v>1.5480000000000001E-2</v>
      </c>
      <c r="W3276">
        <v>-0.12607009999999999</v>
      </c>
      <c r="X3276">
        <v>0.99190060000000002</v>
      </c>
      <c r="Y3276">
        <v>5.4998119999999998E-3</v>
      </c>
      <c r="Z3276">
        <v>2.0793879999999999E-4</v>
      </c>
      <c r="AA3276">
        <v>0.99998489999999995</v>
      </c>
      <c r="AB3276">
        <v>31</v>
      </c>
      <c r="AC3276">
        <v>25.0398</v>
      </c>
      <c r="AD3276">
        <v>-1.1207770734139999</v>
      </c>
      <c r="AE3276">
        <v>-0.448599999999998</v>
      </c>
      <c r="AF3276">
        <v>0.13913487637315899</v>
      </c>
      <c r="AG3276">
        <v>-1.1207770734139999</v>
      </c>
      <c r="AH3276">
        <v>24.993373367378499</v>
      </c>
      <c r="AI3276">
        <v>92.567553019660906</v>
      </c>
      <c r="AJ3276">
        <v>89.681045102061105</v>
      </c>
      <c r="AK3276">
        <v>25.018877113957299</v>
      </c>
      <c r="AL3276">
        <v>97.242556528441298</v>
      </c>
      <c r="AM3276">
        <v>89.105891588482606</v>
      </c>
      <c r="AN3276">
        <v>1.00000005039718</v>
      </c>
    </row>
    <row r="3277" spans="1:40" x14ac:dyDescent="0.25">
      <c r="A3277" t="str">
        <f>"20190303154535155"</f>
        <v>20190303154535155</v>
      </c>
      <c r="B3277" t="str">
        <f>"1551599135144385"</f>
        <v>1551599135144385</v>
      </c>
      <c r="C3277" t="s">
        <v>40</v>
      </c>
      <c r="D3277">
        <v>4.9581210000000002</v>
      </c>
      <c r="E3277">
        <v>0.49770880000000001</v>
      </c>
      <c r="F3277" t="s">
        <v>57</v>
      </c>
      <c r="G3277">
        <v>-294.72289999999998</v>
      </c>
      <c r="H3277" s="1">
        <v>1.7321699999999999E-6</v>
      </c>
      <c r="I3277">
        <v>213.82560000000001</v>
      </c>
      <c r="J3277">
        <v>-320.54050000000001</v>
      </c>
      <c r="K3277">
        <v>1.120781</v>
      </c>
      <c r="L3277">
        <v>214.29910000000001</v>
      </c>
      <c r="M3277">
        <v>0.99982199999999999</v>
      </c>
      <c r="N3277">
        <v>-1.4320950000000001E-2</v>
      </c>
      <c r="O3277">
        <v>-1.228316E-2</v>
      </c>
      <c r="P3277">
        <v>0.98967400000000005</v>
      </c>
      <c r="Q3277">
        <v>-0.14060429999999999</v>
      </c>
      <c r="R3277">
        <v>-2.7853940000000001E-2</v>
      </c>
      <c r="S3277">
        <v>3.0112610000000002</v>
      </c>
      <c r="T3277">
        <v>-0.1291312</v>
      </c>
      <c r="U3277">
        <v>-5.5007929999999997E-2</v>
      </c>
      <c r="V3277">
        <v>1.570539E-2</v>
      </c>
      <c r="W3277">
        <v>-0.12641160000000001</v>
      </c>
      <c r="X3277">
        <v>0.99185350000000005</v>
      </c>
      <c r="Y3277">
        <v>5.9782919999999996E-3</v>
      </c>
      <c r="Z3277">
        <v>1.7961729999999999E-4</v>
      </c>
      <c r="AA3277">
        <v>0.99998209999999998</v>
      </c>
      <c r="AB3277">
        <v>31</v>
      </c>
      <c r="AC3277">
        <v>25.817599999999999</v>
      </c>
      <c r="AD3277">
        <v>-1.1207792678299999</v>
      </c>
      <c r="AE3277">
        <v>-0.47350000000000098</v>
      </c>
      <c r="AF3277">
        <v>0.15601611336965701</v>
      </c>
      <c r="AG3277">
        <v>-1.1207792678299999</v>
      </c>
      <c r="AH3277">
        <v>25.772914470279702</v>
      </c>
      <c r="AI3277">
        <v>92.489990566322405</v>
      </c>
      <c r="AJ3277">
        <v>89.6531647340516</v>
      </c>
      <c r="AK3277">
        <v>25.797744232532899</v>
      </c>
      <c r="AL3277">
        <v>97.262281507896304</v>
      </c>
      <c r="AM3277">
        <v>89.092832391156406</v>
      </c>
      <c r="AN3277">
        <v>0.99999995867592995</v>
      </c>
    </row>
    <row r="3278" spans="1:40" x14ac:dyDescent="0.25">
      <c r="A3278" t="str">
        <f>"20190303154535199"</f>
        <v>20190303154535199</v>
      </c>
      <c r="B3278" t="str">
        <f>"1551599135194160"</f>
        <v>1551599135194160</v>
      </c>
      <c r="C3278" t="s">
        <v>40</v>
      </c>
      <c r="D3278">
        <v>4.9552559999999897</v>
      </c>
      <c r="E3278">
        <v>0.49819590000000002</v>
      </c>
      <c r="F3278" t="s">
        <v>57</v>
      </c>
      <c r="G3278">
        <v>-293.8741</v>
      </c>
      <c r="H3278" s="1">
        <v>1.581621E-6</v>
      </c>
      <c r="I3278">
        <v>213.78489999999999</v>
      </c>
      <c r="J3278">
        <v>-319.93819999999999</v>
      </c>
      <c r="K3278">
        <v>1.1207819999999999</v>
      </c>
      <c r="L3278">
        <v>214.2919</v>
      </c>
      <c r="M3278">
        <v>0.99982360000000003</v>
      </c>
      <c r="N3278">
        <v>-1.4313899999999999E-2</v>
      </c>
      <c r="O3278">
        <v>-1.216449E-2</v>
      </c>
      <c r="P3278">
        <v>0.98963800000000002</v>
      </c>
      <c r="Q3278">
        <v>-0.14069000000000001</v>
      </c>
      <c r="R3278">
        <v>-2.8687500000000001E-2</v>
      </c>
      <c r="S3278">
        <v>3.0116879999999999</v>
      </c>
      <c r="T3278">
        <v>-0.12658039999999901</v>
      </c>
      <c r="U3278">
        <v>-5.807495E-2</v>
      </c>
      <c r="V3278">
        <v>1.6656890000000001E-2</v>
      </c>
      <c r="W3278">
        <v>-0.12650449999999999</v>
      </c>
      <c r="X3278">
        <v>0.99182619999999999</v>
      </c>
      <c r="Y3278">
        <v>7.1109479999999997E-3</v>
      </c>
      <c r="Z3278">
        <v>1.366149E-4</v>
      </c>
      <c r="AA3278">
        <v>0.99997469999999999</v>
      </c>
      <c r="AB3278">
        <v>31</v>
      </c>
      <c r="AC3278">
        <v>26.0641</v>
      </c>
      <c r="AD3278">
        <v>-1.120780418379</v>
      </c>
      <c r="AE3278">
        <v>-0.507000000000005</v>
      </c>
      <c r="AF3278">
        <v>0.18952321391853499</v>
      </c>
      <c r="AG3278">
        <v>-1.120780418379</v>
      </c>
      <c r="AH3278">
        <v>26.020243843271398</v>
      </c>
      <c r="AI3278">
        <v>92.466334228340202</v>
      </c>
      <c r="AJ3278">
        <v>89.582683070911401</v>
      </c>
      <c r="AK3278">
        <v>26.045060135429502</v>
      </c>
      <c r="AL3278">
        <v>97.267646873219405</v>
      </c>
      <c r="AM3278">
        <v>89.037855838752705</v>
      </c>
      <c r="AN3278">
        <v>1.0000000257555799</v>
      </c>
    </row>
    <row r="3279" spans="1:40" x14ac:dyDescent="0.25">
      <c r="A3279" t="str">
        <f>"20190303154535221"</f>
        <v>20190303154535221</v>
      </c>
      <c r="B3279" t="str">
        <f>"1551599135214657"</f>
        <v>1551599135214657</v>
      </c>
      <c r="C3279" t="s">
        <v>40</v>
      </c>
      <c r="D3279">
        <v>4.903702</v>
      </c>
      <c r="E3279">
        <v>0.49826799999999999</v>
      </c>
      <c r="F3279" t="s">
        <v>57</v>
      </c>
      <c r="G3279">
        <v>-291.64069999999998</v>
      </c>
      <c r="H3279" s="1">
        <v>1.1854440000000001E-6</v>
      </c>
      <c r="I3279">
        <v>213.69059999999999</v>
      </c>
      <c r="J3279">
        <v>-319.62490000000003</v>
      </c>
      <c r="K3279">
        <v>1.1207860000000001</v>
      </c>
      <c r="L3279">
        <v>214.28809999999999</v>
      </c>
      <c r="M3279">
        <v>0.99982439999999995</v>
      </c>
      <c r="N3279">
        <v>-1.431026E-2</v>
      </c>
      <c r="O3279">
        <v>-1.210056E-2</v>
      </c>
      <c r="P3279">
        <v>0.98956690000000003</v>
      </c>
      <c r="Q3279">
        <v>-0.14112079999999999</v>
      </c>
      <c r="R3279">
        <v>-2.902625E-2</v>
      </c>
      <c r="S3279">
        <v>3.0125730000000002</v>
      </c>
      <c r="T3279">
        <v>-0.1193191</v>
      </c>
      <c r="U3279">
        <v>-6.4010620000000004E-2</v>
      </c>
      <c r="V3279">
        <v>1.706017E-2</v>
      </c>
      <c r="W3279">
        <v>-0.12693979999999999</v>
      </c>
      <c r="X3279">
        <v>0.99176370000000003</v>
      </c>
      <c r="Y3279">
        <v>9.1365219999999994E-3</v>
      </c>
      <c r="Z3279" s="1">
        <v>5.9621609999999999E-5</v>
      </c>
      <c r="AA3279">
        <v>0.99995829999999997</v>
      </c>
      <c r="AB3279">
        <v>31</v>
      </c>
      <c r="AC3279">
        <v>27.984200000000001</v>
      </c>
      <c r="AD3279">
        <v>-1.120784814556</v>
      </c>
      <c r="AE3279">
        <v>-0.59749999999999603</v>
      </c>
      <c r="AF3279">
        <v>0.25838281214877001</v>
      </c>
      <c r="AG3279">
        <v>-1.120784814556</v>
      </c>
      <c r="AH3279">
        <v>27.944577402434501</v>
      </c>
      <c r="AI3279">
        <v>92.296656649682404</v>
      </c>
      <c r="AJ3279">
        <v>89.470243455275096</v>
      </c>
      <c r="AK3279">
        <v>27.9682378150431</v>
      </c>
      <c r="AL3279">
        <v>97.292790619600396</v>
      </c>
      <c r="AM3279">
        <v>89.014503814752899</v>
      </c>
      <c r="AN3279">
        <v>0.99999999943107898</v>
      </c>
    </row>
    <row r="3280" spans="1:40" x14ac:dyDescent="0.25">
      <c r="A3280" t="str">
        <f>"20190303154535242"</f>
        <v>20190303154535242</v>
      </c>
      <c r="B3280" t="str">
        <f>"1551599135234178"</f>
        <v>1551599135234178</v>
      </c>
      <c r="C3280" t="s">
        <v>40</v>
      </c>
      <c r="D3280">
        <v>4.882714</v>
      </c>
      <c r="E3280">
        <v>0.49826100000000001</v>
      </c>
      <c r="F3280" t="s">
        <v>57</v>
      </c>
      <c r="G3280">
        <v>-291.1617</v>
      </c>
      <c r="H3280" s="1">
        <v>1.1004789999999999E-6</v>
      </c>
      <c r="I3280">
        <v>213.66739999999999</v>
      </c>
      <c r="J3280">
        <v>-319.33229999999998</v>
      </c>
      <c r="K3280">
        <v>1.1207910000000001</v>
      </c>
      <c r="L3280">
        <v>214.28469999999999</v>
      </c>
      <c r="M3280">
        <v>0.99982539999999998</v>
      </c>
      <c r="N3280">
        <v>-1.4306849999999999E-2</v>
      </c>
      <c r="O3280">
        <v>-1.2035270000000001E-2</v>
      </c>
      <c r="P3280">
        <v>0.98959710000000001</v>
      </c>
      <c r="Q3280">
        <v>-0.14102870000000001</v>
      </c>
      <c r="R3280">
        <v>-2.8437279999999999E-2</v>
      </c>
      <c r="S3280">
        <v>3.0128170000000001</v>
      </c>
      <c r="T3280">
        <v>-0.1186348</v>
      </c>
      <c r="U3280">
        <v>-6.5704349999999995E-2</v>
      </c>
      <c r="V3280">
        <v>1.653632E-2</v>
      </c>
      <c r="W3280">
        <v>-0.12685070000000001</v>
      </c>
      <c r="X3280">
        <v>0.991784</v>
      </c>
      <c r="Y3280">
        <v>9.761334E-3</v>
      </c>
      <c r="Z3280" s="1">
        <v>3.9540940000000002E-5</v>
      </c>
      <c r="AA3280">
        <v>0.99995239999999996</v>
      </c>
      <c r="AB3280">
        <v>31</v>
      </c>
      <c r="AC3280">
        <v>28.170599999999901</v>
      </c>
      <c r="AD3280">
        <v>-1.1207898995209999</v>
      </c>
      <c r="AE3280">
        <v>-0.61729999999999996</v>
      </c>
      <c r="AF3280">
        <v>0.27774043580266</v>
      </c>
      <c r="AG3280">
        <v>-1.1207898995209999</v>
      </c>
      <c r="AH3280">
        <v>28.131481185654199</v>
      </c>
      <c r="AI3280">
        <v>92.281410673123801</v>
      </c>
      <c r="AJ3280">
        <v>89.434340565088704</v>
      </c>
      <c r="AK3280">
        <v>28.155169036028902</v>
      </c>
      <c r="AL3280">
        <v>97.287643763716801</v>
      </c>
      <c r="AM3280">
        <v>89.044778337330698</v>
      </c>
      <c r="AN3280">
        <v>1.0000000263128099</v>
      </c>
    </row>
    <row r="3281" spans="1:40" x14ac:dyDescent="0.25">
      <c r="A3281" t="str">
        <f>"20190303154535265"</f>
        <v>20190303154535265</v>
      </c>
      <c r="B3281" t="str">
        <f>"1551599135254677"</f>
        <v>1551599135254677</v>
      </c>
      <c r="C3281" t="s">
        <v>40</v>
      </c>
      <c r="D3281">
        <v>4.849056</v>
      </c>
      <c r="E3281">
        <v>0.49818659999999998</v>
      </c>
      <c r="F3281" t="s">
        <v>57</v>
      </c>
      <c r="G3281">
        <v>-290.46409999999997</v>
      </c>
      <c r="H3281" s="1">
        <v>9.7673640000000001E-7</v>
      </c>
      <c r="I3281">
        <v>213.6711</v>
      </c>
      <c r="J3281">
        <v>-319.02429999999998</v>
      </c>
      <c r="K3281">
        <v>1.1208049999999901</v>
      </c>
      <c r="L3281">
        <v>214.28110000000001</v>
      </c>
      <c r="M3281">
        <v>0.99982629999999995</v>
      </c>
      <c r="N3281">
        <v>-1.430325E-2</v>
      </c>
      <c r="O3281">
        <v>-1.195599E-2</v>
      </c>
      <c r="P3281">
        <v>0.98956049999999995</v>
      </c>
      <c r="Q3281">
        <v>-0.14139570000000001</v>
      </c>
      <c r="R3281">
        <v>-2.7882609999999999E-2</v>
      </c>
      <c r="S3281">
        <v>3.0129999999999999</v>
      </c>
      <c r="T3281">
        <v>-0.116978</v>
      </c>
      <c r="U3281">
        <v>-6.4041139999999996E-2</v>
      </c>
      <c r="V3281">
        <v>1.6062659999999999E-2</v>
      </c>
      <c r="W3281">
        <v>-0.1272218</v>
      </c>
      <c r="X3281">
        <v>0.99174419999999996</v>
      </c>
      <c r="Y3281">
        <v>9.2881200000000004E-3</v>
      </c>
      <c r="Z3281" s="1">
        <v>4.6282680000000002E-5</v>
      </c>
      <c r="AA3281">
        <v>0.99995679999999998</v>
      </c>
      <c r="AB3281">
        <v>31</v>
      </c>
      <c r="AC3281">
        <v>28.560199999999998</v>
      </c>
      <c r="AD3281">
        <v>-1.1208040232635901</v>
      </c>
      <c r="AE3281">
        <v>-0.61000000000001298</v>
      </c>
      <c r="AF3281">
        <v>0.26804340427948198</v>
      </c>
      <c r="AG3281">
        <v>-1.1208040232635901</v>
      </c>
      <c r="AH3281">
        <v>28.521547342201199</v>
      </c>
      <c r="AI3281">
        <v>92.250280574443195</v>
      </c>
      <c r="AJ3281">
        <v>89.461554329655598</v>
      </c>
      <c r="AK3281">
        <v>28.5448193499025</v>
      </c>
      <c r="AL3281">
        <v>97.309080264625294</v>
      </c>
      <c r="AM3281">
        <v>89.072097255894903</v>
      </c>
      <c r="AN3281">
        <v>0.99999997683757702</v>
      </c>
    </row>
    <row r="3282" spans="1:40" x14ac:dyDescent="0.25">
      <c r="A3282" t="str">
        <f>"20190303154535288"</f>
        <v>20190303154535288</v>
      </c>
      <c r="B3282" t="str">
        <f>"1551599135283953"</f>
        <v>1551599135283953</v>
      </c>
      <c r="C3282" t="s">
        <v>40</v>
      </c>
      <c r="D3282">
        <v>4.9066260000000002</v>
      </c>
      <c r="E3282">
        <v>0.49813800000000003</v>
      </c>
      <c r="F3282" t="s">
        <v>57</v>
      </c>
      <c r="G3282">
        <v>-290.2971</v>
      </c>
      <c r="H3282" s="1">
        <v>9.4710400000000001E-7</v>
      </c>
      <c r="I3282">
        <v>213.6927</v>
      </c>
      <c r="J3282">
        <v>-318.70170000000002</v>
      </c>
      <c r="K3282">
        <v>1.120808</v>
      </c>
      <c r="L3282">
        <v>214.2773</v>
      </c>
      <c r="M3282">
        <v>0.99982760000000004</v>
      </c>
      <c r="N3282">
        <v>-1.4299559999999999E-2</v>
      </c>
      <c r="O3282">
        <v>-1.1861170000000001E-2</v>
      </c>
      <c r="P3282">
        <v>0.98960349999999997</v>
      </c>
      <c r="Q3282">
        <v>-0.141404799999999</v>
      </c>
      <c r="R3282">
        <v>-2.62714E-2</v>
      </c>
      <c r="S3282">
        <v>3.0130919999999999</v>
      </c>
      <c r="T3282">
        <v>-0.11755690000000001</v>
      </c>
      <c r="U3282">
        <v>-6.1706539999999997E-2</v>
      </c>
      <c r="V3282">
        <v>1.454747E-2</v>
      </c>
      <c r="W3282">
        <v>-0.12723409999999999</v>
      </c>
      <c r="X3282">
        <v>0.99176600000000004</v>
      </c>
      <c r="Y3282">
        <v>8.6085190000000002E-3</v>
      </c>
      <c r="Z3282" s="1">
        <v>6.3512369999999996E-5</v>
      </c>
      <c r="AA3282">
        <v>0.99996289999999999</v>
      </c>
      <c r="AB3282">
        <v>31</v>
      </c>
      <c r="AC3282">
        <v>28.404599999999999</v>
      </c>
      <c r="AD3282">
        <v>-1.1208070528959999</v>
      </c>
      <c r="AE3282">
        <v>-0.58459999999999401</v>
      </c>
      <c r="AF3282">
        <v>0.24722792650240499</v>
      </c>
      <c r="AG3282">
        <v>-1.1208070528959999</v>
      </c>
      <c r="AH3282">
        <v>28.3653904050901</v>
      </c>
      <c r="AI3282">
        <v>92.2626760339122</v>
      </c>
      <c r="AJ3282">
        <v>89.500632358914601</v>
      </c>
      <c r="AK3282">
        <v>28.388601637464301</v>
      </c>
      <c r="AL3282">
        <v>97.309790812837804</v>
      </c>
      <c r="AM3282">
        <v>89.159631543366302</v>
      </c>
      <c r="AN3282">
        <v>0.99999997192110501</v>
      </c>
    </row>
    <row r="3283" spans="1:40" x14ac:dyDescent="0.25">
      <c r="A3283" t="str">
        <f>"20190303154535310"</f>
        <v>20190303154535310</v>
      </c>
      <c r="B3283" t="str">
        <f>"1551599135304449"</f>
        <v>1551599135304449</v>
      </c>
      <c r="C3283" t="s">
        <v>40</v>
      </c>
      <c r="D3283">
        <v>4.7941919999999998</v>
      </c>
      <c r="E3283">
        <v>0.49814389999999997</v>
      </c>
      <c r="F3283" t="s">
        <v>57</v>
      </c>
      <c r="G3283">
        <v>-289.64729999999997</v>
      </c>
      <c r="H3283" s="1">
        <v>2.918682E-6</v>
      </c>
      <c r="I3283">
        <v>213.72749999999999</v>
      </c>
      <c r="J3283">
        <v>-318.4074</v>
      </c>
      <c r="K3283">
        <v>1.1208149999999999</v>
      </c>
      <c r="L3283">
        <v>214.2739</v>
      </c>
      <c r="M3283">
        <v>0.99982870000000001</v>
      </c>
      <c r="N3283">
        <v>-1.4296339999999999E-2</v>
      </c>
      <c r="O3283">
        <v>-1.175821E-2</v>
      </c>
      <c r="P3283">
        <v>0.98957090000000003</v>
      </c>
      <c r="Q3283">
        <v>-0.14174429999999999</v>
      </c>
      <c r="R3283">
        <v>-2.5651340000000002E-2</v>
      </c>
      <c r="S3283">
        <v>3.0134280000000002</v>
      </c>
      <c r="T3283">
        <v>-0.1162463</v>
      </c>
      <c r="U3283">
        <v>-5.7022089999999998E-2</v>
      </c>
      <c r="V3283">
        <v>1.403334E-2</v>
      </c>
      <c r="W3283">
        <v>-0.12757689999999999</v>
      </c>
      <c r="X3283">
        <v>0.99172939999999998</v>
      </c>
      <c r="Y3283">
        <v>7.1568359999999998E-3</v>
      </c>
      <c r="Z3283" s="1">
        <v>9.6125879999999999E-5</v>
      </c>
      <c r="AA3283">
        <v>0.99997440000000004</v>
      </c>
      <c r="AB3283">
        <v>30</v>
      </c>
      <c r="AC3283">
        <v>28.760100000000001</v>
      </c>
      <c r="AD3283">
        <v>-1.12081208131799</v>
      </c>
      <c r="AE3283">
        <v>-0.54640000000000499</v>
      </c>
      <c r="AF3283">
        <v>0.20784482314178501</v>
      </c>
      <c r="AG3283">
        <v>-1.12081208131799</v>
      </c>
      <c r="AH3283">
        <v>28.7209327157532</v>
      </c>
      <c r="AI3283">
        <v>92.234730831289198</v>
      </c>
      <c r="AJ3283">
        <v>89.585374771786107</v>
      </c>
      <c r="AK3283">
        <v>28.743545279852999</v>
      </c>
      <c r="AL3283">
        <v>97.329592964379003</v>
      </c>
      <c r="AM3283">
        <v>89.189297508924895</v>
      </c>
      <c r="AN3283">
        <v>1.0000000014347601</v>
      </c>
    </row>
    <row r="3284" spans="1:40" x14ac:dyDescent="0.25">
      <c r="A3284" t="str">
        <f>"20190303154535331"</f>
        <v>20190303154535331</v>
      </c>
      <c r="B3284" t="str">
        <f>"1551599135324945"</f>
        <v>1551599135324945</v>
      </c>
      <c r="C3284" t="s">
        <v>40</v>
      </c>
      <c r="D3284">
        <v>4.7569460000000001</v>
      </c>
      <c r="E3284">
        <v>0.49817820000000002</v>
      </c>
      <c r="F3284" t="s">
        <v>57</v>
      </c>
      <c r="G3284">
        <v>-289.38240000000002</v>
      </c>
      <c r="H3284" s="1">
        <v>3.0346889999999998E-6</v>
      </c>
      <c r="I3284">
        <v>213.7398</v>
      </c>
      <c r="J3284">
        <v>-318.11410000000001</v>
      </c>
      <c r="K3284">
        <v>1.12083</v>
      </c>
      <c r="L3284">
        <v>214.2705</v>
      </c>
      <c r="M3284">
        <v>0.99983029999999995</v>
      </c>
      <c r="N3284">
        <v>-1.4293169999999999E-2</v>
      </c>
      <c r="O3284">
        <v>-1.163167E-2</v>
      </c>
      <c r="P3284">
        <v>0.98957850000000003</v>
      </c>
      <c r="Q3284">
        <v>-0.14171979999999901</v>
      </c>
      <c r="R3284">
        <v>-2.549773E-2</v>
      </c>
      <c r="S3284">
        <v>3.0135190000000001</v>
      </c>
      <c r="T3284">
        <v>-0.11636829999999999</v>
      </c>
      <c r="U3284">
        <v>-5.5450439999999997E-2</v>
      </c>
      <c r="V3284">
        <v>1.4010069999999999E-2</v>
      </c>
      <c r="W3284">
        <v>-0.127555</v>
      </c>
      <c r="X3284">
        <v>0.99173250000000002</v>
      </c>
      <c r="Y3284">
        <v>6.7618449999999998E-3</v>
      </c>
      <c r="Z3284">
        <v>1.0386940000000001E-4</v>
      </c>
      <c r="AA3284">
        <v>0.99997709999999995</v>
      </c>
      <c r="AB3284">
        <v>30</v>
      </c>
      <c r="AC3284">
        <v>28.731699999999901</v>
      </c>
      <c r="AD3284">
        <v>-1.1208269653109999</v>
      </c>
      <c r="AE3284">
        <v>-0.53069999999999595</v>
      </c>
      <c r="AF3284">
        <v>0.19613395906023301</v>
      </c>
      <c r="AG3284">
        <v>-1.1208269653109999</v>
      </c>
      <c r="AH3284">
        <v>28.692280745379801</v>
      </c>
      <c r="AI3284">
        <v>92.236996136323697</v>
      </c>
      <c r="AJ3284">
        <v>89.608345075768895</v>
      </c>
      <c r="AK3284">
        <v>28.714834075574199</v>
      </c>
      <c r="AL3284">
        <v>97.328328187052193</v>
      </c>
      <c r="AM3284">
        <v>89.190644161539097</v>
      </c>
      <c r="AN3284">
        <v>0.99999995582132595</v>
      </c>
    </row>
    <row r="3285" spans="1:40" x14ac:dyDescent="0.25">
      <c r="A3285" t="str">
        <f>"20190303154535356"</f>
        <v>20190303154535356</v>
      </c>
      <c r="B3285" t="str">
        <f>"1551599135344465"</f>
        <v>1551599135344465</v>
      </c>
      <c r="C3285" t="s">
        <v>40</v>
      </c>
      <c r="D3285">
        <v>4.725225</v>
      </c>
      <c r="E3285">
        <v>0.49814340000000001</v>
      </c>
      <c r="F3285" t="s">
        <v>57</v>
      </c>
      <c r="G3285">
        <v>-288.7312</v>
      </c>
      <c r="H3285" s="1">
        <v>3.3246310000000001E-6</v>
      </c>
      <c r="I3285">
        <v>213.7302</v>
      </c>
      <c r="J3285">
        <v>-317.79719999999998</v>
      </c>
      <c r="K3285">
        <v>1.1208560000000001</v>
      </c>
      <c r="L3285">
        <v>214.267</v>
      </c>
      <c r="M3285">
        <v>0.99983239999999995</v>
      </c>
      <c r="N3285">
        <v>-1.428984E-2</v>
      </c>
      <c r="O3285">
        <v>-1.1458009999999999E-2</v>
      </c>
      <c r="P3285">
        <v>0.98966569999999998</v>
      </c>
      <c r="Q3285">
        <v>-0.14101659999999999</v>
      </c>
      <c r="R3285">
        <v>-2.600249E-2</v>
      </c>
      <c r="S3285">
        <v>3.0137019999999999</v>
      </c>
      <c r="T3285">
        <v>-0.1149594</v>
      </c>
      <c r="U3285">
        <v>-5.5419919999999998E-2</v>
      </c>
      <c r="V3285">
        <v>1.469341E-2</v>
      </c>
      <c r="W3285">
        <v>-0.12685289999999999</v>
      </c>
      <c r="X3285">
        <v>0.99181269999999999</v>
      </c>
      <c r="Y3285">
        <v>6.9240909999999899E-3</v>
      </c>
      <c r="Z3285" s="1">
        <v>9.1654450000000005E-5</v>
      </c>
      <c r="AA3285">
        <v>0.99997599999999998</v>
      </c>
      <c r="AB3285">
        <v>30</v>
      </c>
      <c r="AC3285">
        <v>29.065999999999899</v>
      </c>
      <c r="AD3285">
        <v>-1.12085267536899</v>
      </c>
      <c r="AE3285">
        <v>-0.53679999999999894</v>
      </c>
      <c r="AF3285">
        <v>0.20338993117398399</v>
      </c>
      <c r="AG3285">
        <v>-1.12085267536899</v>
      </c>
      <c r="AH3285">
        <v>29.027092740124498</v>
      </c>
      <c r="AI3285">
        <v>92.211267399457597</v>
      </c>
      <c r="AJ3285">
        <v>89.598540782308305</v>
      </c>
      <c r="AK3285">
        <v>29.0494370191192</v>
      </c>
      <c r="AL3285">
        <v>97.287771083564905</v>
      </c>
      <c r="AM3285">
        <v>89.151242167179007</v>
      </c>
      <c r="AN3285">
        <v>0.99999999320856403</v>
      </c>
    </row>
    <row r="3286" spans="1:40" x14ac:dyDescent="0.25">
      <c r="A3286" t="str">
        <f>"20190303154535379"</f>
        <v>20190303154535379</v>
      </c>
      <c r="B3286" t="str">
        <f>"1551599135374721"</f>
        <v>1551599135374721</v>
      </c>
      <c r="C3286" t="s">
        <v>40</v>
      </c>
      <c r="D3286">
        <v>4.717632</v>
      </c>
      <c r="E3286">
        <v>0.4981738</v>
      </c>
      <c r="F3286" t="s">
        <v>57</v>
      </c>
      <c r="G3286">
        <v>-287.56580000000002</v>
      </c>
      <c r="H3286" s="1">
        <v>3.8450429999999997E-6</v>
      </c>
      <c r="I3286">
        <v>213.69990000000001</v>
      </c>
      <c r="J3286">
        <v>-317.47859999999997</v>
      </c>
      <c r="K3286">
        <v>1.120887</v>
      </c>
      <c r="L3286">
        <v>214.2636</v>
      </c>
      <c r="M3286">
        <v>0.99983489999999997</v>
      </c>
      <c r="N3286">
        <v>-1.4286480000000001E-2</v>
      </c>
      <c r="O3286">
        <v>-1.123713E-2</v>
      </c>
      <c r="P3286">
        <v>0.98965970000000003</v>
      </c>
      <c r="Q3286">
        <v>-0.14084920000000001</v>
      </c>
      <c r="R3286">
        <v>-2.7114329999999999E-2</v>
      </c>
      <c r="S3286">
        <v>3.013916</v>
      </c>
      <c r="T3286">
        <v>-0.1117431</v>
      </c>
      <c r="U3286">
        <v>-5.6533809999999997E-2</v>
      </c>
      <c r="V3286">
        <v>1.603417E-2</v>
      </c>
      <c r="W3286">
        <v>-0.1266871</v>
      </c>
      <c r="X3286">
        <v>0.9918131</v>
      </c>
      <c r="Y3286">
        <v>7.5125749999999996E-3</v>
      </c>
      <c r="Z3286" s="1">
        <v>6.3017340000000007E-5</v>
      </c>
      <c r="AA3286">
        <v>0.99997179999999997</v>
      </c>
      <c r="AB3286">
        <v>30</v>
      </c>
      <c r="AC3286">
        <v>29.912799999999901</v>
      </c>
      <c r="AD3286">
        <v>-1.120883154957</v>
      </c>
      <c r="AE3286">
        <v>-0.56369999999998299</v>
      </c>
      <c r="AF3286">
        <v>0.22717723267276799</v>
      </c>
      <c r="AG3286">
        <v>-1.120883154957</v>
      </c>
      <c r="AH3286">
        <v>29.8753121243513</v>
      </c>
      <c r="AI3286">
        <v>92.148593833492995</v>
      </c>
      <c r="AJ3286">
        <v>89.564321011765898</v>
      </c>
      <c r="AK3286">
        <v>29.897194903026001</v>
      </c>
      <c r="AL3286">
        <v>97.278194343369606</v>
      </c>
      <c r="AM3286">
        <v>89.073807105065896</v>
      </c>
      <c r="AN3286">
        <v>0.99999997062280399</v>
      </c>
    </row>
    <row r="3287" spans="1:40" x14ac:dyDescent="0.25">
      <c r="A3287" t="str">
        <f>"20190303154535402"</f>
        <v>20190303154535402</v>
      </c>
      <c r="B3287" t="str">
        <f>"1551599135394241"</f>
        <v>1551599135394241</v>
      </c>
      <c r="C3287" t="s">
        <v>40</v>
      </c>
      <c r="D3287">
        <v>4.6999309999999896</v>
      </c>
      <c r="E3287">
        <v>0.4981623</v>
      </c>
      <c r="F3287" t="s">
        <v>57</v>
      </c>
      <c r="G3287">
        <v>-286.48360000000002</v>
      </c>
      <c r="H3287" s="1">
        <v>4.331051E-6</v>
      </c>
      <c r="I3287">
        <v>213.64869999999999</v>
      </c>
      <c r="J3287">
        <v>-317.17230000000001</v>
      </c>
      <c r="K3287">
        <v>1.1209229999999999</v>
      </c>
      <c r="L3287">
        <v>214.2604</v>
      </c>
      <c r="M3287">
        <v>0.9998378</v>
      </c>
      <c r="N3287">
        <v>-1.428313E-2</v>
      </c>
      <c r="O3287">
        <v>-1.097338E-2</v>
      </c>
      <c r="P3287">
        <v>0.98947870000000004</v>
      </c>
      <c r="Q3287">
        <v>-0.14194619999999999</v>
      </c>
      <c r="R3287">
        <v>-2.7986049999999998E-2</v>
      </c>
      <c r="S3287">
        <v>3.01416</v>
      </c>
      <c r="T3287">
        <v>-0.109002</v>
      </c>
      <c r="U3287">
        <v>-5.9799190000000002E-2</v>
      </c>
      <c r="V3287">
        <v>1.7181120000000001E-2</v>
      </c>
      <c r="W3287">
        <v>-0.12778779999999901</v>
      </c>
      <c r="X3287">
        <v>0.99165270000000005</v>
      </c>
      <c r="Y3287">
        <v>8.8565299999999996E-3</v>
      </c>
      <c r="Z3287" s="1">
        <v>1.6585570000000001E-5</v>
      </c>
      <c r="AA3287">
        <v>0.99996079999999998</v>
      </c>
      <c r="AB3287">
        <v>30</v>
      </c>
      <c r="AC3287">
        <v>30.688699999999901</v>
      </c>
      <c r="AD3287">
        <v>-1.1209186689489901</v>
      </c>
      <c r="AE3287">
        <v>-0.61170000000001301</v>
      </c>
      <c r="AF3287">
        <v>0.27450397523696102</v>
      </c>
      <c r="AG3287">
        <v>-1.1209186689489901</v>
      </c>
      <c r="AH3287">
        <v>30.652687201284099</v>
      </c>
      <c r="AI3287">
        <v>92.094195919116601</v>
      </c>
      <c r="AJ3287">
        <v>89.486912885919693</v>
      </c>
      <c r="AK3287">
        <v>30.6744037228857</v>
      </c>
      <c r="AL3287">
        <v>97.341776411060295</v>
      </c>
      <c r="AM3287">
        <v>89.0074073504137</v>
      </c>
      <c r="AN3287">
        <v>0.99999999506529202</v>
      </c>
    </row>
    <row r="3288" spans="1:40" x14ac:dyDescent="0.25">
      <c r="A3288" t="str">
        <f>"20190303154535422"</f>
        <v>20190303154535422</v>
      </c>
      <c r="B3288" t="str">
        <f>"1551599135414737"</f>
        <v>1551599135414737</v>
      </c>
      <c r="C3288" t="s">
        <v>40</v>
      </c>
      <c r="D3288">
        <v>4.6927629999999896</v>
      </c>
      <c r="E3288">
        <v>0.49818899999999999</v>
      </c>
      <c r="F3288" t="s">
        <v>57</v>
      </c>
      <c r="G3288">
        <v>-286.67149999999998</v>
      </c>
      <c r="H3288" s="1">
        <v>4.2498219999999997E-6</v>
      </c>
      <c r="I3288">
        <v>213.63120000000001</v>
      </c>
      <c r="J3288">
        <v>-316.88529999999997</v>
      </c>
      <c r="K3288">
        <v>1.12096</v>
      </c>
      <c r="L3288">
        <v>214.2576</v>
      </c>
      <c r="M3288">
        <v>0.99984110000000004</v>
      </c>
      <c r="N3288">
        <v>-1.42802E-2</v>
      </c>
      <c r="O3288">
        <v>-1.0676039999999999E-2</v>
      </c>
      <c r="P3288">
        <v>0.98932310000000001</v>
      </c>
      <c r="Q3288">
        <v>-0.14293040000000001</v>
      </c>
      <c r="R3288">
        <v>-2.8475899999999998E-2</v>
      </c>
      <c r="S3288">
        <v>3.0142820000000001</v>
      </c>
      <c r="T3288">
        <v>-0.11077629999999999</v>
      </c>
      <c r="U3288">
        <v>-6.2179570000000003E-2</v>
      </c>
      <c r="V3288">
        <v>1.797901E-2</v>
      </c>
      <c r="W3288">
        <v>-0.1287751</v>
      </c>
      <c r="X3288">
        <v>0.99151080000000003</v>
      </c>
      <c r="Y3288">
        <v>9.9412719999999993E-3</v>
      </c>
      <c r="Z3288" s="1">
        <v>-1.3881649999999999E-5</v>
      </c>
      <c r="AA3288">
        <v>0.99995060000000002</v>
      </c>
      <c r="AB3288">
        <v>30</v>
      </c>
      <c r="AC3288">
        <v>30.2137999999999</v>
      </c>
      <c r="AD3288">
        <v>-1.1209557501780001</v>
      </c>
      <c r="AE3288">
        <v>-0.62639999999998897</v>
      </c>
      <c r="AF3288">
        <v>0.30335031001343599</v>
      </c>
      <c r="AG3288">
        <v>-1.1209557501780001</v>
      </c>
      <c r="AH3288">
        <v>30.177245723295002</v>
      </c>
      <c r="AI3288">
        <v>92.127207978802701</v>
      </c>
      <c r="AJ3288">
        <v>89.424065826222503</v>
      </c>
      <c r="AK3288">
        <v>30.199581497904401</v>
      </c>
      <c r="AL3288">
        <v>97.398816002708799</v>
      </c>
      <c r="AM3288">
        <v>88.961172674539796</v>
      </c>
      <c r="AN3288">
        <v>0.99999996884861397</v>
      </c>
    </row>
    <row r="3289" spans="1:40" x14ac:dyDescent="0.25">
      <c r="A3289" t="str">
        <f>"20190303154535444"</f>
        <v>20190303154535444</v>
      </c>
      <c r="B3289" t="str">
        <f>"1551599135434257"</f>
        <v>1551599135434257</v>
      </c>
      <c r="C3289" t="s">
        <v>40</v>
      </c>
      <c r="D3289">
        <v>4.653581</v>
      </c>
      <c r="E3289">
        <v>0.49821539999999997</v>
      </c>
      <c r="F3289" t="s">
        <v>57</v>
      </c>
      <c r="G3289">
        <v>-286.79469999999998</v>
      </c>
      <c r="H3289" s="1">
        <v>4.1965999999999998E-6</v>
      </c>
      <c r="I3289">
        <v>213.61930000000001</v>
      </c>
      <c r="J3289">
        <v>-316.58620000000002</v>
      </c>
      <c r="K3289">
        <v>1.120997</v>
      </c>
      <c r="L3289">
        <v>214.25470000000001</v>
      </c>
      <c r="M3289">
        <v>0.99984479999999998</v>
      </c>
      <c r="N3289">
        <v>-1.427722E-2</v>
      </c>
      <c r="O3289">
        <v>-1.0326299999999899E-2</v>
      </c>
      <c r="P3289">
        <v>0.98929699999999998</v>
      </c>
      <c r="Q3289">
        <v>-0.14325350000000001</v>
      </c>
      <c r="R3289">
        <v>-2.7750210000000001E-2</v>
      </c>
      <c r="S3289">
        <v>3.0142820000000001</v>
      </c>
      <c r="T3289">
        <v>-0.1122903</v>
      </c>
      <c r="U3289">
        <v>-6.3934329999999998E-2</v>
      </c>
      <c r="V3289">
        <v>1.7610859999999999E-2</v>
      </c>
      <c r="W3289">
        <v>-0.1291004</v>
      </c>
      <c r="X3289">
        <v>0.99147510000000005</v>
      </c>
      <c r="Y3289">
        <v>1.0871830000000001E-2</v>
      </c>
      <c r="Z3289" s="1">
        <v>-4.2974859999999998E-5</v>
      </c>
      <c r="AA3289">
        <v>0.99994090000000002</v>
      </c>
      <c r="AB3289">
        <v>30</v>
      </c>
      <c r="AC3289">
        <v>29.791499999999999</v>
      </c>
      <c r="AD3289">
        <v>-1.1209928034000001</v>
      </c>
      <c r="AE3289">
        <v>-0.63540000000000396</v>
      </c>
      <c r="AF3289">
        <v>0.32723569451149598</v>
      </c>
      <c r="AG3289">
        <v>-1.1209928034000001</v>
      </c>
      <c r="AH3289">
        <v>29.754364345843499</v>
      </c>
      <c r="AI3289">
        <v>92.157462169033707</v>
      </c>
      <c r="AJ3289">
        <v>89.369891821324401</v>
      </c>
      <c r="AK3289">
        <v>29.777271629386</v>
      </c>
      <c r="AL3289">
        <v>97.417611240129503</v>
      </c>
      <c r="AM3289">
        <v>88.982403233296907</v>
      </c>
      <c r="AN3289">
        <v>0.99999996479505404</v>
      </c>
    </row>
    <row r="3290" spans="1:40" x14ac:dyDescent="0.25">
      <c r="A3290" t="str">
        <f>"20190303154535467"</f>
        <v>20190303154535467</v>
      </c>
      <c r="B3290" t="str">
        <f>"1551599135453778"</f>
        <v>1551599135453778</v>
      </c>
      <c r="C3290" t="s">
        <v>40</v>
      </c>
      <c r="D3290">
        <v>4.6677809999999997</v>
      </c>
      <c r="E3290">
        <v>0.4981661</v>
      </c>
      <c r="F3290" t="s">
        <v>57</v>
      </c>
      <c r="G3290">
        <v>-286.40559999999999</v>
      </c>
      <c r="H3290" s="1">
        <v>4.3669639999999997E-6</v>
      </c>
      <c r="I3290">
        <v>213.63749999999999</v>
      </c>
      <c r="J3290">
        <v>-316.28739999999999</v>
      </c>
      <c r="K3290">
        <v>1.121032</v>
      </c>
      <c r="L3290">
        <v>214.25200000000001</v>
      </c>
      <c r="M3290">
        <v>0.99984879999999998</v>
      </c>
      <c r="N3290">
        <v>-1.427425E-2</v>
      </c>
      <c r="O3290">
        <v>-9.9395960000000002E-3</v>
      </c>
      <c r="P3290">
        <v>0.9894018</v>
      </c>
      <c r="Q3290">
        <v>-0.14274709999999999</v>
      </c>
      <c r="R3290">
        <v>-2.6596580000000002E-2</v>
      </c>
      <c r="S3290">
        <v>3.014526</v>
      </c>
      <c r="T3290">
        <v>-0.111968</v>
      </c>
      <c r="U3290">
        <v>-6.1645510000000001E-2</v>
      </c>
      <c r="V3290">
        <v>1.6847310000000001E-2</v>
      </c>
      <c r="W3290">
        <v>-0.12859519999999999</v>
      </c>
      <c r="X3290">
        <v>0.99155409999999999</v>
      </c>
      <c r="Y3290">
        <v>1.0498250000000001E-2</v>
      </c>
      <c r="Z3290" s="1">
        <v>-4.2697300000000002E-5</v>
      </c>
      <c r="AA3290">
        <v>0.99994490000000003</v>
      </c>
      <c r="AB3290">
        <v>30</v>
      </c>
      <c r="AC3290">
        <v>29.881799999999998</v>
      </c>
      <c r="AD3290">
        <v>-1.1210276330360001</v>
      </c>
      <c r="AE3290">
        <v>-0.61450000000002003</v>
      </c>
      <c r="AF3290">
        <v>0.31698044924626401</v>
      </c>
      <c r="AG3290">
        <v>-1.1210276330360001</v>
      </c>
      <c r="AH3290">
        <v>29.844446600215701</v>
      </c>
      <c r="AI3290">
        <v>92.151031747937907</v>
      </c>
      <c r="AJ3290">
        <v>89.3914794502154</v>
      </c>
      <c r="AK3290">
        <v>29.867175501415598</v>
      </c>
      <c r="AL3290">
        <v>97.388421503497696</v>
      </c>
      <c r="AM3290">
        <v>89.026591804624502</v>
      </c>
      <c r="AN3290">
        <v>1.0000000452720399</v>
      </c>
    </row>
    <row r="3291" spans="1:40" x14ac:dyDescent="0.25">
      <c r="A3291" t="str">
        <f>"20190303154535489"</f>
        <v>20190303154535489</v>
      </c>
      <c r="B3291" t="str">
        <f>"1551599135484033"</f>
        <v>1551599135484033</v>
      </c>
      <c r="C3291" t="s">
        <v>40</v>
      </c>
      <c r="D3291">
        <v>4.6549440000000004</v>
      </c>
      <c r="E3291">
        <v>0.49814839999999999</v>
      </c>
      <c r="F3291" t="s">
        <v>57</v>
      </c>
      <c r="G3291">
        <v>-285.48009999999999</v>
      </c>
      <c r="H3291" s="1">
        <v>4.7749949999999997E-6</v>
      </c>
      <c r="I3291">
        <v>213.65770000000001</v>
      </c>
      <c r="J3291">
        <v>-315.98140000000001</v>
      </c>
      <c r="K3291">
        <v>1.1210599999999999</v>
      </c>
      <c r="L3291">
        <v>214.24940000000001</v>
      </c>
      <c r="M3291">
        <v>0.99985310000000005</v>
      </c>
      <c r="N3291">
        <v>-1.427116E-2</v>
      </c>
      <c r="O3291">
        <v>-9.5123150000000004E-3</v>
      </c>
      <c r="P3291">
        <v>0.98938590000000004</v>
      </c>
      <c r="Q3291">
        <v>-0.14307609999999901</v>
      </c>
      <c r="R3291">
        <v>-2.540011E-2</v>
      </c>
      <c r="S3291">
        <v>3.0147710000000001</v>
      </c>
      <c r="T3291">
        <v>-0.1097027</v>
      </c>
      <c r="U3291">
        <v>-5.8166500000000003E-2</v>
      </c>
      <c r="V3291">
        <v>1.6081740000000001E-2</v>
      </c>
      <c r="W3291">
        <v>-0.12892719999999999</v>
      </c>
      <c r="X3291">
        <v>0.99152359999999995</v>
      </c>
      <c r="Y3291">
        <v>9.7711880000000001E-3</v>
      </c>
      <c r="Z3291" s="1">
        <v>-3.721284E-5</v>
      </c>
      <c r="AA3291">
        <v>0.99995230000000002</v>
      </c>
      <c r="AB3291">
        <v>30</v>
      </c>
      <c r="AC3291">
        <v>30.501300000000001</v>
      </c>
      <c r="AD3291">
        <v>-1.1210552250050001</v>
      </c>
      <c r="AE3291">
        <v>-0.591700000000002</v>
      </c>
      <c r="AF3291">
        <v>0.30109915819092398</v>
      </c>
      <c r="AG3291">
        <v>-1.1210552250050001</v>
      </c>
      <c r="AH3291">
        <v>30.4644104225933</v>
      </c>
      <c r="AI3291">
        <v>92.107364941052893</v>
      </c>
      <c r="AJ3291">
        <v>89.433727781987699</v>
      </c>
      <c r="AK3291">
        <v>30.486517149664401</v>
      </c>
      <c r="AL3291">
        <v>97.407604108296994</v>
      </c>
      <c r="AM3291">
        <v>89.070788587243797</v>
      </c>
      <c r="AN3291">
        <v>0.99999994730911201</v>
      </c>
    </row>
    <row r="3292" spans="1:40" x14ac:dyDescent="0.25">
      <c r="A3292" t="str">
        <f>"20190303154535512"</f>
        <v>20190303154535512</v>
      </c>
      <c r="B3292" t="str">
        <f>"1551599135504531"</f>
        <v>1551599135504531</v>
      </c>
      <c r="C3292" t="s">
        <v>40</v>
      </c>
      <c r="D3292">
        <v>4.6506980000000002</v>
      </c>
      <c r="E3292">
        <v>0.49811240000000001</v>
      </c>
      <c r="F3292" t="s">
        <v>57</v>
      </c>
      <c r="G3292">
        <v>-284.98869999999999</v>
      </c>
      <c r="H3292" s="1">
        <v>4.9897760000000003E-6</v>
      </c>
      <c r="I3292">
        <v>213.68379999999999</v>
      </c>
      <c r="J3292">
        <v>-315.68290000000002</v>
      </c>
      <c r="K3292">
        <v>1.121076</v>
      </c>
      <c r="L3292">
        <v>214.24709999999999</v>
      </c>
      <c r="M3292">
        <v>0.99985710000000005</v>
      </c>
      <c r="N3292">
        <v>-1.426813E-2</v>
      </c>
      <c r="O3292">
        <v>-9.0722400000000005E-3</v>
      </c>
      <c r="P3292">
        <v>0.98937439999999999</v>
      </c>
      <c r="Q3292">
        <v>-0.14330979999999999</v>
      </c>
      <c r="R3292">
        <v>-2.4510629999999999E-2</v>
      </c>
      <c r="S3292">
        <v>3.0149840000000001</v>
      </c>
      <c r="T3292">
        <v>-0.1090569</v>
      </c>
      <c r="U3292">
        <v>-5.502319E-2</v>
      </c>
      <c r="V3292">
        <v>1.5634220000000001E-2</v>
      </c>
      <c r="W3292">
        <v>-0.1291639</v>
      </c>
      <c r="X3292">
        <v>0.99150000000000005</v>
      </c>
      <c r="Y3292">
        <v>9.1682840000000005E-3</v>
      </c>
      <c r="Z3292" s="1">
        <v>-3.2598680000000002E-5</v>
      </c>
      <c r="AA3292">
        <v>0.99995800000000001</v>
      </c>
      <c r="AB3292">
        <v>30</v>
      </c>
      <c r="AC3292">
        <v>30.694199999999999</v>
      </c>
      <c r="AD3292">
        <v>-1.121071010224</v>
      </c>
      <c r="AE3292">
        <v>-0.56329999999999802</v>
      </c>
      <c r="AF3292">
        <v>0.28440406455763301</v>
      </c>
      <c r="AG3292">
        <v>-1.121071010224</v>
      </c>
      <c r="AH3292">
        <v>30.657164798921599</v>
      </c>
      <c r="AI3292">
        <v>92.094168514056506</v>
      </c>
      <c r="AJ3292">
        <v>89.468486885654201</v>
      </c>
      <c r="AK3292">
        <v>30.6789738972824</v>
      </c>
      <c r="AL3292">
        <v>97.421280008857806</v>
      </c>
      <c r="AM3292">
        <v>89.096620683894599</v>
      </c>
      <c r="AN3292">
        <v>0.99999999594910904</v>
      </c>
    </row>
    <row r="3293" spans="1:40" x14ac:dyDescent="0.25">
      <c r="A3293" t="str">
        <f>"20190303154535533"</f>
        <v>20190303154535533</v>
      </c>
      <c r="B3293" t="str">
        <f>"1551599135524050"</f>
        <v>1551599135524050</v>
      </c>
      <c r="C3293" t="s">
        <v>40</v>
      </c>
      <c r="D3293">
        <v>4.6926220000000001</v>
      </c>
      <c r="E3293">
        <v>0.49803249999999999</v>
      </c>
      <c r="F3293" t="s">
        <v>57</v>
      </c>
      <c r="G3293">
        <v>-284.82830000000001</v>
      </c>
      <c r="H3293" s="1">
        <v>5.0570269999999997E-6</v>
      </c>
      <c r="I3293">
        <v>213.71629999999999</v>
      </c>
      <c r="J3293">
        <v>-315.39609999999999</v>
      </c>
      <c r="K3293">
        <v>1.121089</v>
      </c>
      <c r="L3293">
        <v>214.2449</v>
      </c>
      <c r="M3293">
        <v>0.999861</v>
      </c>
      <c r="N3293">
        <v>-1.426522E-2</v>
      </c>
      <c r="O3293">
        <v>-8.6360580000000003E-3</v>
      </c>
      <c r="P3293">
        <v>0.98934100000000003</v>
      </c>
      <c r="Q3293">
        <v>-0.14363619999999999</v>
      </c>
      <c r="R3293">
        <v>-2.3943289999999999E-2</v>
      </c>
      <c r="S3293">
        <v>3.0151059999999998</v>
      </c>
      <c r="T3293">
        <v>-0.109551</v>
      </c>
      <c r="U3293">
        <v>-5.186462E-2</v>
      </c>
      <c r="V3293">
        <v>1.5503370000000001E-2</v>
      </c>
      <c r="W3293">
        <v>-0.12949330000000001</v>
      </c>
      <c r="X3293">
        <v>0.99145910000000004</v>
      </c>
      <c r="Y3293">
        <v>8.5569840000000001E-3</v>
      </c>
      <c r="Z3293" s="1">
        <v>-2.5985220000000001E-5</v>
      </c>
      <c r="AA3293">
        <v>0.99996339999999995</v>
      </c>
      <c r="AB3293">
        <v>30</v>
      </c>
      <c r="AC3293">
        <v>30.567799999999899</v>
      </c>
      <c r="AD3293">
        <v>-1.121083942973</v>
      </c>
      <c r="AE3293">
        <v>-0.52860000000001095</v>
      </c>
      <c r="AF3293">
        <v>0.26421285769663799</v>
      </c>
      <c r="AG3293">
        <v>-1.121083942973</v>
      </c>
      <c r="AH3293">
        <v>30.5301721083476</v>
      </c>
      <c r="AI3293">
        <v>92.102907538017107</v>
      </c>
      <c r="AJ3293">
        <v>89.504165791199796</v>
      </c>
      <c r="AK3293">
        <v>30.5518910479644</v>
      </c>
      <c r="AL3293">
        <v>97.4403129916018</v>
      </c>
      <c r="AM3293">
        <v>89.104143296219107</v>
      </c>
      <c r="AN3293">
        <v>1.0000000080995199</v>
      </c>
    </row>
    <row r="3294" spans="1:40" x14ac:dyDescent="0.25">
      <c r="A3294" t="str">
        <f>"20190303154535556"</f>
        <v>20190303154535556</v>
      </c>
      <c r="B3294" t="str">
        <f>"1551599135544545"</f>
        <v>1551599135544545</v>
      </c>
      <c r="C3294" t="s">
        <v>40</v>
      </c>
      <c r="D3294">
        <v>4.6919899999999997</v>
      </c>
      <c r="E3294">
        <v>0.49796240000000003</v>
      </c>
      <c r="F3294" t="s">
        <v>57</v>
      </c>
      <c r="G3294">
        <v>-284.53149999999999</v>
      </c>
      <c r="H3294" s="1">
        <v>5.1854670000000003E-6</v>
      </c>
      <c r="I3294">
        <v>213.7431</v>
      </c>
      <c r="J3294">
        <v>-315.09010000000001</v>
      </c>
      <c r="K3294">
        <v>1.1210929999999999</v>
      </c>
      <c r="L3294">
        <v>214.24279999999999</v>
      </c>
      <c r="M3294">
        <v>0.99986520000000001</v>
      </c>
      <c r="N3294">
        <v>-1.426209E-2</v>
      </c>
      <c r="O3294">
        <v>-8.1634619999999998E-3</v>
      </c>
      <c r="P3294">
        <v>0.98933760000000004</v>
      </c>
      <c r="Q3294">
        <v>-0.1437032</v>
      </c>
      <c r="R3294">
        <v>-2.368236E-2</v>
      </c>
      <c r="S3294">
        <v>3.015228</v>
      </c>
      <c r="T3294">
        <v>-0.1095213</v>
      </c>
      <c r="U3294">
        <v>-4.9026489999999999E-2</v>
      </c>
      <c r="V3294">
        <v>1.5713890000000001E-2</v>
      </c>
      <c r="W3294">
        <v>-0.12956300000000001</v>
      </c>
      <c r="X3294">
        <v>0.99144670000000001</v>
      </c>
      <c r="Y3294">
        <v>8.0882809999999992E-3</v>
      </c>
      <c r="Z3294" s="1">
        <v>-2.4558649999999999E-5</v>
      </c>
      <c r="AA3294">
        <v>0.9999673</v>
      </c>
      <c r="AB3294">
        <v>30</v>
      </c>
      <c r="AC3294">
        <v>30.558599999999998</v>
      </c>
      <c r="AD3294">
        <v>-1.1210878145329899</v>
      </c>
      <c r="AE3294">
        <v>-0.49969999999998999</v>
      </c>
      <c r="AF3294">
        <v>0.24985786554356201</v>
      </c>
      <c r="AG3294">
        <v>-1.1210878145329899</v>
      </c>
      <c r="AH3294">
        <v>30.520594581483401</v>
      </c>
      <c r="AI3294">
        <v>92.103582381814306</v>
      </c>
      <c r="AJ3294">
        <v>89.530956668073998</v>
      </c>
      <c r="AK3294">
        <v>30.5421996661692</v>
      </c>
      <c r="AL3294">
        <v>97.444340285700093</v>
      </c>
      <c r="AM3294">
        <v>89.091969141567702</v>
      </c>
      <c r="AN3294">
        <v>1.0000000281244099</v>
      </c>
    </row>
    <row r="3295" spans="1:40" x14ac:dyDescent="0.25">
      <c r="A3295" t="str">
        <f>"20190303154535583"</f>
        <v>20190303154535583</v>
      </c>
      <c r="B3295" t="str">
        <f>"1551599135573825"</f>
        <v>1551599135573825</v>
      </c>
      <c r="C3295" t="s">
        <v>40</v>
      </c>
      <c r="D3295">
        <v>4.6851240000000001</v>
      </c>
      <c r="E3295">
        <v>0.49792920000000002</v>
      </c>
      <c r="F3295" t="s">
        <v>57</v>
      </c>
      <c r="G3295">
        <v>-284.23910000000001</v>
      </c>
      <c r="H3295" s="1">
        <v>5.3137950000000003E-6</v>
      </c>
      <c r="I3295">
        <v>213.7543</v>
      </c>
      <c r="J3295">
        <v>-314.7414</v>
      </c>
      <c r="K3295">
        <v>1.1210960000000001</v>
      </c>
      <c r="L3295">
        <v>214.2405</v>
      </c>
      <c r="M3295">
        <v>0.99986940000000002</v>
      </c>
      <c r="N3295">
        <v>-1.425848E-2</v>
      </c>
      <c r="O3295">
        <v>-7.6205909999999899E-3</v>
      </c>
      <c r="P3295">
        <v>0.98931829999999998</v>
      </c>
      <c r="Q3295">
        <v>-0.14387929999999999</v>
      </c>
      <c r="R3295">
        <v>-2.3412909999999999E-2</v>
      </c>
      <c r="S3295">
        <v>3.0152890000000001</v>
      </c>
      <c r="T3295">
        <v>-0.10957219999999999</v>
      </c>
      <c r="U3295">
        <v>-4.7744750000000002E-2</v>
      </c>
      <c r="V3295">
        <v>1.598424E-2</v>
      </c>
      <c r="W3295">
        <v>-0.12974269999999999</v>
      </c>
      <c r="X3295">
        <v>0.99141880000000004</v>
      </c>
      <c r="Y3295">
        <v>8.2056790000000004E-3</v>
      </c>
      <c r="Z3295" s="1">
        <v>-3.9396430000000003E-5</v>
      </c>
      <c r="AA3295">
        <v>0.99996629999999997</v>
      </c>
      <c r="AB3295">
        <v>30</v>
      </c>
      <c r="AC3295">
        <v>30.502299999999899</v>
      </c>
      <c r="AD3295">
        <v>-1.1210906862050001</v>
      </c>
      <c r="AE3295">
        <v>-0.48619999999999602</v>
      </c>
      <c r="AF3295">
        <v>0.25337452559711798</v>
      </c>
      <c r="AG3295">
        <v>-1.1210906862050001</v>
      </c>
      <c r="AH3295">
        <v>30.463976948365801</v>
      </c>
      <c r="AI3295">
        <v>92.107491514071995</v>
      </c>
      <c r="AJ3295">
        <v>89.523471402171594</v>
      </c>
      <c r="AK3295">
        <v>30.485651288556699</v>
      </c>
      <c r="AL3295">
        <v>97.454724562609499</v>
      </c>
      <c r="AM3295">
        <v>89.076323597905997</v>
      </c>
      <c r="AN3295">
        <v>0.99999995056255198</v>
      </c>
    </row>
    <row r="3296" spans="1:40" x14ac:dyDescent="0.25">
      <c r="A3296" t="str">
        <f>"20190303154535603"</f>
        <v>20190303154535603</v>
      </c>
      <c r="B3296" t="str">
        <f>"1551599135594322"</f>
        <v>1551599135594322</v>
      </c>
      <c r="C3296" t="s">
        <v>40</v>
      </c>
      <c r="D3296">
        <v>4.6998519999999999</v>
      </c>
      <c r="E3296">
        <v>0.4978805</v>
      </c>
      <c r="F3296" t="s">
        <v>57</v>
      </c>
      <c r="G3296">
        <v>-283.81950000000001</v>
      </c>
      <c r="H3296" s="1">
        <v>5.4990479999999998E-6</v>
      </c>
      <c r="I3296">
        <v>213.76140000000001</v>
      </c>
      <c r="J3296">
        <v>-314.47239999999999</v>
      </c>
      <c r="K3296">
        <v>1.1210929999999999</v>
      </c>
      <c r="L3296">
        <v>214.239</v>
      </c>
      <c r="M3296">
        <v>0.99987250000000005</v>
      </c>
      <c r="N3296">
        <v>-1.425567E-2</v>
      </c>
      <c r="O3296">
        <v>-7.2002259999999997E-3</v>
      </c>
      <c r="P3296">
        <v>0.9892879</v>
      </c>
      <c r="Q3296">
        <v>-0.1441895</v>
      </c>
      <c r="R3296">
        <v>-2.2781409999999998E-2</v>
      </c>
      <c r="S3296">
        <v>3.0153810000000001</v>
      </c>
      <c r="T3296">
        <v>-0.1093243</v>
      </c>
      <c r="U3296">
        <v>-4.6722409999999999E-2</v>
      </c>
      <c r="V3296">
        <v>1.576963E-2</v>
      </c>
      <c r="W3296">
        <v>-0.13005639999999999</v>
      </c>
      <c r="X3296">
        <v>0.99138119999999996</v>
      </c>
      <c r="Y3296">
        <v>8.2864979999999998E-3</v>
      </c>
      <c r="Z3296" s="1">
        <v>-5.0939029999999997E-5</v>
      </c>
      <c r="AA3296">
        <v>0.99996569999999996</v>
      </c>
      <c r="AB3296">
        <v>30</v>
      </c>
      <c r="AC3296">
        <v>30.652899999999899</v>
      </c>
      <c r="AD3296">
        <v>-1.121087500952</v>
      </c>
      <c r="AE3296">
        <v>-0.47759999999999497</v>
      </c>
      <c r="AF3296">
        <v>0.25651435091539199</v>
      </c>
      <c r="AG3296">
        <v>-1.121087500952</v>
      </c>
      <c r="AH3296">
        <v>30.614603370553201</v>
      </c>
      <c r="AI3296">
        <v>92.097124728809703</v>
      </c>
      <c r="AJ3296">
        <v>89.519940023673399</v>
      </c>
      <c r="AK3296">
        <v>30.636197158480702</v>
      </c>
      <c r="AL3296">
        <v>97.472851346893606</v>
      </c>
      <c r="AM3296">
        <v>89.088688538915903</v>
      </c>
      <c r="AN3296">
        <v>1.0000000160623601</v>
      </c>
    </row>
    <row r="3297" spans="1:40" x14ac:dyDescent="0.25">
      <c r="A3297" t="str">
        <f>"20190303154535623"</f>
        <v>20190303154535623</v>
      </c>
      <c r="B3297" t="str">
        <f>"1551599135614537"</f>
        <v>1551599135614537</v>
      </c>
      <c r="C3297" t="s">
        <v>40</v>
      </c>
      <c r="D3297">
        <v>4.7034649999999996</v>
      </c>
      <c r="E3297">
        <v>0.49782769999999998</v>
      </c>
      <c r="F3297" t="s">
        <v>57</v>
      </c>
      <c r="G3297">
        <v>-283.78570000000002</v>
      </c>
      <c r="H3297" s="1">
        <v>5.5107469999999998E-6</v>
      </c>
      <c r="I3297">
        <v>213.78890000000001</v>
      </c>
      <c r="J3297">
        <v>-314.20519999999999</v>
      </c>
      <c r="K3297">
        <v>1.121097</v>
      </c>
      <c r="L3297">
        <v>214.23750000000001</v>
      </c>
      <c r="M3297">
        <v>0.99987550000000003</v>
      </c>
      <c r="N3297">
        <v>-1.4252890000000001E-2</v>
      </c>
      <c r="O3297">
        <v>-6.7835819999999998E-3</v>
      </c>
      <c r="P3297">
        <v>0.98929129999999998</v>
      </c>
      <c r="Q3297">
        <v>-0.14430209999999999</v>
      </c>
      <c r="R3297">
        <v>-2.19086E-2</v>
      </c>
      <c r="S3297">
        <v>3.0153810000000001</v>
      </c>
      <c r="T3297">
        <v>-0.110161999999999</v>
      </c>
      <c r="U3297">
        <v>-4.4219969999999997E-2</v>
      </c>
      <c r="V3297">
        <v>1.530959E-2</v>
      </c>
      <c r="W3297">
        <v>-0.13017219999999999</v>
      </c>
      <c r="X3297">
        <v>0.99137319999999995</v>
      </c>
      <c r="Y3297">
        <v>7.8737319999999996E-3</v>
      </c>
      <c r="Z3297" s="1">
        <v>-4.8855669999999998E-5</v>
      </c>
      <c r="AA3297">
        <v>0.999969</v>
      </c>
      <c r="AB3297">
        <v>30</v>
      </c>
      <c r="AC3297">
        <v>30.4194999999999</v>
      </c>
      <c r="AD3297">
        <v>-1.121091489253</v>
      </c>
      <c r="AE3297">
        <v>-0.448599999999998</v>
      </c>
      <c r="AF3297">
        <v>0.24188708846065499</v>
      </c>
      <c r="AG3297">
        <v>-1.121091489253</v>
      </c>
      <c r="AH3297">
        <v>30.380588070947798</v>
      </c>
      <c r="AI3297">
        <v>92.113278553481607</v>
      </c>
      <c r="AJ3297">
        <v>89.543826590353504</v>
      </c>
      <c r="AK3297">
        <v>30.402228323388599</v>
      </c>
      <c r="AL3297">
        <v>97.479543179472401</v>
      </c>
      <c r="AM3297">
        <v>89.1152623720658</v>
      </c>
      <c r="AN3297">
        <v>1.0000000034385199</v>
      </c>
    </row>
    <row r="3298" spans="1:40" x14ac:dyDescent="0.25">
      <c r="A3298" t="str">
        <f>"20190303154535644"</f>
        <v>20190303154535644</v>
      </c>
      <c r="B3298" t="str">
        <f>"1551599135634053"</f>
        <v>1551599135634053</v>
      </c>
      <c r="C3298" t="s">
        <v>40</v>
      </c>
      <c r="D3298">
        <v>4.6978049999999998</v>
      </c>
      <c r="E3298">
        <v>0.4977934</v>
      </c>
      <c r="F3298" t="s">
        <v>57</v>
      </c>
      <c r="G3298">
        <v>-283.62889999999999</v>
      </c>
      <c r="H3298" s="1">
        <v>5.5765779999999999E-6</v>
      </c>
      <c r="I3298">
        <v>213.81989999999999</v>
      </c>
      <c r="J3298">
        <v>-313.91559999999998</v>
      </c>
      <c r="K3298">
        <v>1.121097</v>
      </c>
      <c r="L3298">
        <v>214.23599999999999</v>
      </c>
      <c r="M3298">
        <v>0.99987839999999995</v>
      </c>
      <c r="N3298">
        <v>-1.424985E-2</v>
      </c>
      <c r="O3298">
        <v>-6.3334539999999996E-3</v>
      </c>
      <c r="P3298">
        <v>0.98924009999999996</v>
      </c>
      <c r="Q3298">
        <v>-0.14472599999999999</v>
      </c>
      <c r="R3298">
        <v>-2.141204E-2</v>
      </c>
      <c r="S3298">
        <v>3.0154420000000002</v>
      </c>
      <c r="T3298">
        <v>-0.11056240000000001</v>
      </c>
      <c r="U3298">
        <v>-4.118347E-2</v>
      </c>
      <c r="V3298">
        <v>1.525908E-2</v>
      </c>
      <c r="W3298">
        <v>-0.13059999999999999</v>
      </c>
      <c r="X3298">
        <v>0.99131769999999997</v>
      </c>
      <c r="Y3298">
        <v>7.3172330000000002E-3</v>
      </c>
      <c r="Z3298" s="1">
        <v>-4.4365279999999999E-5</v>
      </c>
      <c r="AA3298">
        <v>0.99997320000000001</v>
      </c>
      <c r="AB3298">
        <v>30</v>
      </c>
      <c r="AC3298">
        <v>30.2867</v>
      </c>
      <c r="AD3298">
        <v>-1.121091423422</v>
      </c>
      <c r="AE3298">
        <v>-0.41610000000000003</v>
      </c>
      <c r="AF3298">
        <v>0.223945963182418</v>
      </c>
      <c r="AG3298">
        <v>-1.121091423422</v>
      </c>
      <c r="AH3298">
        <v>30.247291585768</v>
      </c>
      <c r="AI3298">
        <v>92.122592006885398</v>
      </c>
      <c r="AJ3298">
        <v>89.575799239861695</v>
      </c>
      <c r="AK3298">
        <v>30.268889078533501</v>
      </c>
      <c r="AL3298">
        <v>97.504265454453602</v>
      </c>
      <c r="AM3298">
        <v>89.1181315096661</v>
      </c>
      <c r="AN3298">
        <v>0.99999999092786795</v>
      </c>
    </row>
    <row r="3299" spans="1:40" x14ac:dyDescent="0.25">
      <c r="A3299" t="str">
        <f>"20190303154535667"</f>
        <v>20190303154535667</v>
      </c>
      <c r="B3299" t="str">
        <f>"1551599135664309"</f>
        <v>1551599135664309</v>
      </c>
      <c r="C3299" t="s">
        <v>40</v>
      </c>
      <c r="D3299">
        <v>4.7262709999999997</v>
      </c>
      <c r="E3299">
        <v>0.49775439999999999</v>
      </c>
      <c r="F3299" t="s">
        <v>57</v>
      </c>
      <c r="G3299">
        <v>-283.73079999999999</v>
      </c>
      <c r="H3299" s="1">
        <v>5.5290599999999999E-6</v>
      </c>
      <c r="I3299">
        <v>213.83949999999999</v>
      </c>
      <c r="J3299">
        <v>-313.61509999999998</v>
      </c>
      <c r="K3299">
        <v>1.121097</v>
      </c>
      <c r="L3299">
        <v>214.2346</v>
      </c>
      <c r="M3299">
        <v>0.99988140000000003</v>
      </c>
      <c r="N3299">
        <v>-1.4246730000000001E-2</v>
      </c>
      <c r="O3299">
        <v>-5.8683119999999997E-3</v>
      </c>
      <c r="P3299">
        <v>0.98927759999999998</v>
      </c>
      <c r="Q3299">
        <v>-0.14453550000000001</v>
      </c>
      <c r="R3299">
        <v>-2.097125E-2</v>
      </c>
      <c r="S3299">
        <v>3.0153810000000001</v>
      </c>
      <c r="T3299">
        <v>-0.1119941</v>
      </c>
      <c r="U3299">
        <v>-3.9611819999999999E-2</v>
      </c>
      <c r="V3299">
        <v>1.5277860000000001E-2</v>
      </c>
      <c r="W3299">
        <v>-0.1304121</v>
      </c>
      <c r="X3299">
        <v>0.9913421</v>
      </c>
      <c r="Y3299">
        <v>7.2614369999999999E-3</v>
      </c>
      <c r="Z3299" s="1">
        <v>-5.2272550000000002E-5</v>
      </c>
      <c r="AA3299">
        <v>0.99997369999999997</v>
      </c>
      <c r="AB3299">
        <v>30</v>
      </c>
      <c r="AC3299">
        <v>29.8843</v>
      </c>
      <c r="AD3299">
        <v>-1.1210914709399999</v>
      </c>
      <c r="AE3299">
        <v>-0.395100000000013</v>
      </c>
      <c r="AF3299">
        <v>0.21939630940646199</v>
      </c>
      <c r="AG3299">
        <v>-1.1210914709399999</v>
      </c>
      <c r="AH3299">
        <v>29.844110962043601</v>
      </c>
      <c r="AI3299">
        <v>92.151241437679204</v>
      </c>
      <c r="AJ3299">
        <v>89.578802794855704</v>
      </c>
      <c r="AK3299">
        <v>29.8659662482493</v>
      </c>
      <c r="AL3299">
        <v>97.493407061502396</v>
      </c>
      <c r="AM3299">
        <v>89.117068057040797</v>
      </c>
      <c r="AN3299">
        <v>0.99999994403249803</v>
      </c>
    </row>
    <row r="3300" spans="1:40" x14ac:dyDescent="0.25">
      <c r="A3300" t="str">
        <f>"20190303154535690"</f>
        <v>20190303154535690</v>
      </c>
      <c r="B3300" t="str">
        <f>"1551599135683829"</f>
        <v>1551599135683829</v>
      </c>
      <c r="C3300" t="s">
        <v>40</v>
      </c>
      <c r="D3300">
        <v>4.6873839999999998</v>
      </c>
      <c r="E3300">
        <v>0.49772739999999999</v>
      </c>
      <c r="F3300" t="s">
        <v>57</v>
      </c>
      <c r="G3300">
        <v>-283.36419999999998</v>
      </c>
      <c r="H3300" s="1">
        <v>5.68983899999999E-6</v>
      </c>
      <c r="I3300">
        <v>213.8545</v>
      </c>
      <c r="J3300">
        <v>-313.30220000000003</v>
      </c>
      <c r="K3300">
        <v>1.121094</v>
      </c>
      <c r="L3300">
        <v>214.23330000000001</v>
      </c>
      <c r="M3300">
        <v>0.9998842</v>
      </c>
      <c r="N3300">
        <v>-1.4243469999999999E-2</v>
      </c>
      <c r="O3300">
        <v>-5.385295E-3</v>
      </c>
      <c r="P3300">
        <v>0.98923430000000001</v>
      </c>
      <c r="Q3300">
        <v>-0.14488029999999999</v>
      </c>
      <c r="R3300">
        <v>-2.0629749999999999E-2</v>
      </c>
      <c r="S3300">
        <v>3.0153810000000001</v>
      </c>
      <c r="T3300">
        <v>-0.111749399999999</v>
      </c>
      <c r="U3300">
        <v>-3.7887570000000002E-2</v>
      </c>
      <c r="V3300">
        <v>1.541467E-2</v>
      </c>
      <c r="W3300">
        <v>-0.13076079999999901</v>
      </c>
      <c r="X3300">
        <v>0.99129409999999896</v>
      </c>
      <c r="Y3300">
        <v>7.1727680000000004E-3</v>
      </c>
      <c r="Z3300" s="1">
        <v>-6.1162919999999897E-5</v>
      </c>
      <c r="AA3300">
        <v>0.99997429999999998</v>
      </c>
      <c r="AB3300">
        <v>30</v>
      </c>
      <c r="AC3300">
        <v>29.937999999999999</v>
      </c>
      <c r="AD3300">
        <v>-1.1210883101610001</v>
      </c>
      <c r="AE3300">
        <v>-0.37880000000001202</v>
      </c>
      <c r="AF3300">
        <v>0.21724861673148299</v>
      </c>
      <c r="AG3300">
        <v>-1.1210883101610001</v>
      </c>
      <c r="AH3300">
        <v>29.897687788207399</v>
      </c>
      <c r="AI3300">
        <v>92.147385297350297</v>
      </c>
      <c r="AJ3300">
        <v>89.583673163568406</v>
      </c>
      <c r="AK3300">
        <v>29.919488148057901</v>
      </c>
      <c r="AL3300">
        <v>97.513558269628902</v>
      </c>
      <c r="AM3300">
        <v>89.1091197282569</v>
      </c>
      <c r="AN3300">
        <v>0.99999999578132903</v>
      </c>
    </row>
    <row r="3301" spans="1:40" x14ac:dyDescent="0.25">
      <c r="A3301" t="str">
        <f>"20190303154535711"</f>
        <v>20190303154535711</v>
      </c>
      <c r="B3301" t="str">
        <f>"1551599135704325"</f>
        <v>1551599135704325</v>
      </c>
      <c r="C3301" t="s">
        <v>40</v>
      </c>
      <c r="D3301">
        <v>4.6938469999999999</v>
      </c>
      <c r="E3301">
        <v>0.49769400000000003</v>
      </c>
      <c r="F3301" t="s">
        <v>57</v>
      </c>
      <c r="G3301">
        <v>-283.33479999999997</v>
      </c>
      <c r="H3301" s="1">
        <v>5.700932E-6</v>
      </c>
      <c r="I3301">
        <v>213.8707</v>
      </c>
      <c r="J3301">
        <v>-313.02050000000003</v>
      </c>
      <c r="K3301">
        <v>1.1210960000000001</v>
      </c>
      <c r="L3301">
        <v>214.23230000000001</v>
      </c>
      <c r="M3301">
        <v>0.99988650000000001</v>
      </c>
      <c r="N3301">
        <v>-1.424051E-2</v>
      </c>
      <c r="O3301">
        <v>-4.9512719999999996E-3</v>
      </c>
      <c r="P3301">
        <v>0.98927180000000003</v>
      </c>
      <c r="Q3301">
        <v>-0.14466379999999901</v>
      </c>
      <c r="R3301">
        <v>-2.0344310000000001E-2</v>
      </c>
      <c r="S3301">
        <v>3.0153810000000001</v>
      </c>
      <c r="T3301">
        <v>-0.1128064</v>
      </c>
      <c r="U3301">
        <v>-3.6483759999999997E-2</v>
      </c>
      <c r="V3301">
        <v>1.555782E-2</v>
      </c>
      <c r="W3301">
        <v>-0.13054669999999999</v>
      </c>
      <c r="X3301">
        <v>0.99132010000000004</v>
      </c>
      <c r="Y3301">
        <v>7.1412079999999996E-3</v>
      </c>
      <c r="Z3301" s="1">
        <v>-6.9741910000000005E-5</v>
      </c>
      <c r="AA3301">
        <v>0.99997449999999999</v>
      </c>
      <c r="AB3301">
        <v>30</v>
      </c>
      <c r="AC3301">
        <v>29.685700000000001</v>
      </c>
      <c r="AD3301">
        <v>-1.1210902990679901</v>
      </c>
      <c r="AE3301">
        <v>-0.36160000000000903</v>
      </c>
      <c r="AF3301">
        <v>0.21429312555128899</v>
      </c>
      <c r="AG3301">
        <v>-1.1210902990679901</v>
      </c>
      <c r="AH3301">
        <v>29.644852794255101</v>
      </c>
      <c r="AI3301">
        <v>92.165686979515797</v>
      </c>
      <c r="AJ3301">
        <v>89.585834414301502</v>
      </c>
      <c r="AK3301">
        <v>29.666817527253802</v>
      </c>
      <c r="AL3301">
        <v>97.5011850469498</v>
      </c>
      <c r="AM3301">
        <v>89.100871403066904</v>
      </c>
      <c r="AN3301">
        <v>1.0000000136540199</v>
      </c>
    </row>
    <row r="3302" spans="1:40" x14ac:dyDescent="0.25">
      <c r="A3302" t="str">
        <f>"20190303154535734"</f>
        <v>20190303154535734</v>
      </c>
      <c r="B3302" t="str">
        <f>"1551599135723846"</f>
        <v>1551599135723846</v>
      </c>
      <c r="C3302" t="s">
        <v>40</v>
      </c>
      <c r="D3302">
        <v>4.6863609999999998</v>
      </c>
      <c r="E3302">
        <v>0.49768190000000001</v>
      </c>
      <c r="F3302" t="s">
        <v>57</v>
      </c>
      <c r="G3302">
        <v>-282.98390000000001</v>
      </c>
      <c r="H3302" s="1">
        <v>5.8556669999999901E-6</v>
      </c>
      <c r="I3302">
        <v>213.87799999999999</v>
      </c>
      <c r="J3302">
        <v>-312.72500000000002</v>
      </c>
      <c r="K3302">
        <v>1.121094</v>
      </c>
      <c r="L3302">
        <v>214.2313</v>
      </c>
      <c r="M3302">
        <v>0.99988860000000002</v>
      </c>
      <c r="N3302">
        <v>-1.4237379999999999E-2</v>
      </c>
      <c r="O3302">
        <v>-4.4963879999999996E-3</v>
      </c>
      <c r="P3302">
        <v>0.98933740000000003</v>
      </c>
      <c r="Q3302">
        <v>-0.1442946</v>
      </c>
      <c r="R3302">
        <v>-1.9775890000000001E-2</v>
      </c>
      <c r="S3302">
        <v>3.0153810000000001</v>
      </c>
      <c r="T3302">
        <v>-0.1125468</v>
      </c>
      <c r="U3302">
        <v>-3.5568240000000001E-2</v>
      </c>
      <c r="V3302">
        <v>1.54386E-2</v>
      </c>
      <c r="W3302">
        <v>-0.13017999999999999</v>
      </c>
      <c r="X3302">
        <v>0.99137010000000003</v>
      </c>
      <c r="Y3302">
        <v>7.2923160000000001E-3</v>
      </c>
      <c r="Z3302" s="1">
        <v>-8.4225279999999993E-5</v>
      </c>
      <c r="AA3302">
        <v>0.99997340000000001</v>
      </c>
      <c r="AB3302">
        <v>30</v>
      </c>
      <c r="AC3302">
        <v>29.741099999999999</v>
      </c>
      <c r="AD3302">
        <v>-1.1210881443330001</v>
      </c>
      <c r="AE3302">
        <v>-0.35330000000001799</v>
      </c>
      <c r="AF3302">
        <v>0.21924387496630601</v>
      </c>
      <c r="AG3302">
        <v>-1.1210881443330001</v>
      </c>
      <c r="AH3302">
        <v>29.700192787816601</v>
      </c>
      <c r="AI3302">
        <v>92.161648946138797</v>
      </c>
      <c r="AJ3302">
        <v>89.577055925416303</v>
      </c>
      <c r="AK3302">
        <v>29.7221526497921</v>
      </c>
      <c r="AL3302">
        <v>97.4799944821645</v>
      </c>
      <c r="AM3302">
        <v>89.107805324992199</v>
      </c>
      <c r="AN3302">
        <v>0.99999992897198198</v>
      </c>
    </row>
    <row r="3303" spans="1:40" x14ac:dyDescent="0.25">
      <c r="A3303" t="str">
        <f>"20190303154535758"</f>
        <v>20190303154535758</v>
      </c>
      <c r="B3303" t="str">
        <f>"1551599135754101"</f>
        <v>1551599135754101</v>
      </c>
      <c r="C3303" t="s">
        <v>40</v>
      </c>
      <c r="D3303">
        <v>4.7005439999999998</v>
      </c>
      <c r="E3303">
        <v>0.4976603</v>
      </c>
      <c r="F3303" t="s">
        <v>57</v>
      </c>
      <c r="G3303">
        <v>-282.46699999999998</v>
      </c>
      <c r="H3303" s="1">
        <v>6.0833109999999999E-6</v>
      </c>
      <c r="I3303">
        <v>213.8914</v>
      </c>
      <c r="J3303">
        <v>-312.40469999999999</v>
      </c>
      <c r="K3303">
        <v>1.1210960000000001</v>
      </c>
      <c r="L3303">
        <v>214.2304</v>
      </c>
      <c r="M3303">
        <v>0.99989070000000002</v>
      </c>
      <c r="N3303">
        <v>-1.423401E-2</v>
      </c>
      <c r="O3303">
        <v>-4.0033580000000003E-3</v>
      </c>
      <c r="P3303">
        <v>0.98930340000000005</v>
      </c>
      <c r="Q3303">
        <v>-0.14462</v>
      </c>
      <c r="R3303">
        <v>-1.9088999999999998E-2</v>
      </c>
      <c r="S3303">
        <v>3.0153810000000001</v>
      </c>
      <c r="T3303">
        <v>-0.1117228</v>
      </c>
      <c r="U3303">
        <v>-3.3874509999999997E-2</v>
      </c>
      <c r="V3303">
        <v>1.5239610000000001E-2</v>
      </c>
      <c r="W3303">
        <v>-0.1305096</v>
      </c>
      <c r="X3303">
        <v>0.99132989999999999</v>
      </c>
      <c r="Y3303">
        <v>7.2237789999999996E-3</v>
      </c>
      <c r="Z3303" s="1">
        <v>-9.3915900000000007E-5</v>
      </c>
      <c r="AA3303">
        <v>0.99997389999999997</v>
      </c>
      <c r="AB3303">
        <v>30</v>
      </c>
      <c r="AC3303">
        <v>29.9377</v>
      </c>
      <c r="AD3303">
        <v>-1.1210899166889901</v>
      </c>
      <c r="AE3303">
        <v>-0.33899999999999803</v>
      </c>
      <c r="AF3303">
        <v>0.21882698769905001</v>
      </c>
      <c r="AG3303">
        <v>-1.1210899166889901</v>
      </c>
      <c r="AH3303">
        <v>29.8968979785767</v>
      </c>
      <c r="AI3303">
        <v>92.147444218814201</v>
      </c>
      <c r="AJ3303">
        <v>89.580637464258004</v>
      </c>
      <c r="AK3303">
        <v>29.918710476778099</v>
      </c>
      <c r="AL3303">
        <v>97.499041239073406</v>
      </c>
      <c r="AM3303">
        <v>89.119267399964599</v>
      </c>
      <c r="AN3303">
        <v>0.99999998601955997</v>
      </c>
    </row>
    <row r="3304" spans="1:40" x14ac:dyDescent="0.25">
      <c r="A3304" t="str">
        <f>"20190303154535780"</f>
        <v>20190303154535780</v>
      </c>
      <c r="B3304" t="str">
        <f>"1551599135774598"</f>
        <v>1551599135774598</v>
      </c>
      <c r="C3304" t="s">
        <v>40</v>
      </c>
      <c r="D3304">
        <v>4.6693800000000003</v>
      </c>
      <c r="E3304">
        <v>0.49764140000000001</v>
      </c>
      <c r="F3304" t="s">
        <v>57</v>
      </c>
      <c r="G3304">
        <v>-282.51089999999999</v>
      </c>
      <c r="H3304" s="1">
        <v>6.0602309999999998E-6</v>
      </c>
      <c r="I3304">
        <v>213.92169999999999</v>
      </c>
      <c r="J3304">
        <v>-312.10570000000001</v>
      </c>
      <c r="K3304">
        <v>1.1210979999999999</v>
      </c>
      <c r="L3304">
        <v>214.22970000000001</v>
      </c>
      <c r="M3304">
        <v>0.99989249999999996</v>
      </c>
      <c r="N3304">
        <v>-1.423083E-2</v>
      </c>
      <c r="O3304">
        <v>-3.5415550000000001E-3</v>
      </c>
      <c r="P3304">
        <v>0.98931780000000002</v>
      </c>
      <c r="Q3304">
        <v>-0.14460410000000001</v>
      </c>
      <c r="R3304">
        <v>-1.8443000000000001E-2</v>
      </c>
      <c r="S3304">
        <v>3.01532</v>
      </c>
      <c r="T3304">
        <v>-0.1130818</v>
      </c>
      <c r="U3304">
        <v>-3.1143190000000001E-2</v>
      </c>
      <c r="V3304">
        <v>1.5050300000000001E-2</v>
      </c>
      <c r="W3304">
        <v>-0.1304969</v>
      </c>
      <c r="X3304">
        <v>0.99133450000000001</v>
      </c>
      <c r="Y3304">
        <v>6.7803619999999998E-3</v>
      </c>
      <c r="Z3304" s="1">
        <v>-9.2988080000000004E-5</v>
      </c>
      <c r="AA3304">
        <v>0.999977</v>
      </c>
      <c r="AB3304">
        <v>30</v>
      </c>
      <c r="AC3304">
        <v>29.594799999999999</v>
      </c>
      <c r="AD3304">
        <v>-1.121091939769</v>
      </c>
      <c r="AE3304">
        <v>-0.30800000000002098</v>
      </c>
      <c r="AF3304">
        <v>0.20288473728451001</v>
      </c>
      <c r="AG3304">
        <v>-1.121091939769</v>
      </c>
      <c r="AH3304">
        <v>29.553300904544098</v>
      </c>
      <c r="AI3304">
        <v>92.172398286634206</v>
      </c>
      <c r="AJ3304">
        <v>89.606668080791295</v>
      </c>
      <c r="AK3304">
        <v>29.575253231520499</v>
      </c>
      <c r="AL3304">
        <v>97.498307037163798</v>
      </c>
      <c r="AM3304">
        <v>89.130210410350003</v>
      </c>
      <c r="AN3304">
        <v>1.00000002166497</v>
      </c>
    </row>
    <row r="3305" spans="1:40" x14ac:dyDescent="0.25">
      <c r="A3305" t="str">
        <f>"20190303154535803"</f>
        <v>20190303154535803</v>
      </c>
      <c r="B3305" t="str">
        <f>"1551599135794117"</f>
        <v>1551599135794117</v>
      </c>
      <c r="C3305" t="s">
        <v>40</v>
      </c>
      <c r="D3305">
        <v>4.7108270000000001</v>
      </c>
      <c r="E3305">
        <v>0.4976487</v>
      </c>
      <c r="F3305" t="s">
        <v>57</v>
      </c>
      <c r="G3305">
        <v>-282.25700000000001</v>
      </c>
      <c r="H3305" s="1">
        <v>6.170339E-6</v>
      </c>
      <c r="I3305">
        <v>213.9427</v>
      </c>
      <c r="J3305">
        <v>-311.80799999999999</v>
      </c>
      <c r="K3305">
        <v>1.121105</v>
      </c>
      <c r="L3305">
        <v>214.22919999999999</v>
      </c>
      <c r="M3305">
        <v>0.99989410000000001</v>
      </c>
      <c r="N3305">
        <v>-1.422766E-2</v>
      </c>
      <c r="O3305">
        <v>-3.0803380000000002E-3</v>
      </c>
      <c r="P3305">
        <v>0.98930469999999904</v>
      </c>
      <c r="Q3305">
        <v>-0.14472019999999999</v>
      </c>
      <c r="R3305">
        <v>-1.8239209999999999E-2</v>
      </c>
      <c r="S3305">
        <v>3.0152890000000001</v>
      </c>
      <c r="T3305">
        <v>-0.1132518</v>
      </c>
      <c r="U3305">
        <v>-2.8991699999999999E-2</v>
      </c>
      <c r="V3305">
        <v>1.5303010000000001E-2</v>
      </c>
      <c r="W3305">
        <v>-0.13061619999999999</v>
      </c>
      <c r="X3305">
        <v>0.9913149</v>
      </c>
      <c r="Y3305">
        <v>6.5283919999999896E-3</v>
      </c>
      <c r="Z3305" s="1">
        <v>-9.7189219999999901E-5</v>
      </c>
      <c r="AA3305">
        <v>0.9999787</v>
      </c>
      <c r="AB3305">
        <v>30</v>
      </c>
      <c r="AC3305">
        <v>29.550999999999899</v>
      </c>
      <c r="AD3305">
        <v>-1.1210988296610001</v>
      </c>
      <c r="AE3305">
        <v>-0.28649999999998899</v>
      </c>
      <c r="AF3305">
        <v>0.19518147027622601</v>
      </c>
      <c r="AG3305">
        <v>-1.1210988296610001</v>
      </c>
      <c r="AH3305">
        <v>29.509274445104001</v>
      </c>
      <c r="AI3305">
        <v>92.175653322934096</v>
      </c>
      <c r="AJ3305">
        <v>89.621037398553796</v>
      </c>
      <c r="AK3305">
        <v>29.5312078430375</v>
      </c>
      <c r="AL3305">
        <v>97.505201579086005</v>
      </c>
      <c r="AM3305">
        <v>89.115590566836204</v>
      </c>
      <c r="AN3305">
        <v>1.00000000238975</v>
      </c>
    </row>
    <row r="3306" spans="1:40" x14ac:dyDescent="0.25">
      <c r="A3306" t="str">
        <f>"20190303154535825"</f>
        <v>20190303154535825</v>
      </c>
      <c r="B3306" t="str">
        <f>"1551599135814614"</f>
        <v>1551599135814614</v>
      </c>
      <c r="C3306" t="s">
        <v>40</v>
      </c>
      <c r="D3306">
        <v>4.7786589999999904</v>
      </c>
      <c r="E3306">
        <v>0.497668</v>
      </c>
      <c r="F3306" t="s">
        <v>57</v>
      </c>
      <c r="G3306">
        <v>-282.1601</v>
      </c>
      <c r="H3306" s="1">
        <v>6.2126090000000001E-6</v>
      </c>
      <c r="I3306">
        <v>213.94839999999999</v>
      </c>
      <c r="J3306">
        <v>-311.52359999999999</v>
      </c>
      <c r="K3306">
        <v>1.1210979999999999</v>
      </c>
      <c r="L3306">
        <v>214.22880000000001</v>
      </c>
      <c r="M3306">
        <v>0.99989539999999999</v>
      </c>
      <c r="N3306">
        <v>-1.422465E-2</v>
      </c>
      <c r="O3306">
        <v>-2.6384289999999999E-3</v>
      </c>
      <c r="P3306">
        <v>0.98933729999999998</v>
      </c>
      <c r="Q3306">
        <v>-0.1444984</v>
      </c>
      <c r="R3306">
        <v>-1.8226900000000001E-2</v>
      </c>
      <c r="S3306">
        <v>3.015228</v>
      </c>
      <c r="T3306">
        <v>-0.1140172</v>
      </c>
      <c r="U3306">
        <v>-2.8549189999999999E-2</v>
      </c>
      <c r="V3306">
        <v>1.5727749999999999E-2</v>
      </c>
      <c r="W3306">
        <v>-0.13039680000000001</v>
      </c>
      <c r="X3306">
        <v>0.99133709999999997</v>
      </c>
      <c r="Y3306">
        <v>6.8233240000000004E-3</v>
      </c>
      <c r="Z3306">
        <v>-1.153089E-4</v>
      </c>
      <c r="AA3306">
        <v>0.99997670000000005</v>
      </c>
      <c r="AB3306">
        <v>30</v>
      </c>
      <c r="AC3306">
        <v>29.363499999999899</v>
      </c>
      <c r="AD3306">
        <v>-1.121091787391</v>
      </c>
      <c r="AE3306">
        <v>-0.28040000000001403</v>
      </c>
      <c r="AF3306">
        <v>0.20262234437624699</v>
      </c>
      <c r="AG3306">
        <v>-1.121091787391</v>
      </c>
      <c r="AH3306">
        <v>29.3213999007558</v>
      </c>
      <c r="AI3306">
        <v>92.189562002580999</v>
      </c>
      <c r="AJ3306">
        <v>89.604070050686801</v>
      </c>
      <c r="AK3306">
        <v>29.3435238979615</v>
      </c>
      <c r="AL3306">
        <v>97.492522715109203</v>
      </c>
      <c r="AM3306">
        <v>89.091067910933404</v>
      </c>
      <c r="AN3306">
        <v>0.999999966703355</v>
      </c>
    </row>
    <row r="3307" spans="1:40" x14ac:dyDescent="0.25">
      <c r="A3307" t="str">
        <f>"20190303154535846"</f>
        <v>20190303154535846</v>
      </c>
      <c r="B3307" t="str">
        <f>"1551599135843893"</f>
        <v>1551599135843893</v>
      </c>
      <c r="C3307" t="s">
        <v>40</v>
      </c>
      <c r="D3307">
        <v>4.7571979999999998</v>
      </c>
      <c r="E3307">
        <v>0.49788559999999998</v>
      </c>
      <c r="F3307" t="s">
        <v>57</v>
      </c>
      <c r="G3307">
        <v>-281.69720000000001</v>
      </c>
      <c r="H3307" s="1">
        <v>6.4185350000000004E-6</v>
      </c>
      <c r="I3307">
        <v>213.94290000000001</v>
      </c>
      <c r="J3307">
        <v>-311.23140000000001</v>
      </c>
      <c r="K3307">
        <v>1.1211009999999999</v>
      </c>
      <c r="L3307">
        <v>214.2285</v>
      </c>
      <c r="M3307">
        <v>0.99989660000000002</v>
      </c>
      <c r="N3307">
        <v>-1.422153E-2</v>
      </c>
      <c r="O3307">
        <v>-2.183885E-3</v>
      </c>
      <c r="P3307">
        <v>0.98928970000000005</v>
      </c>
      <c r="Q3307">
        <v>-0.14482249999999999</v>
      </c>
      <c r="R3307">
        <v>-1.8238890000000001E-2</v>
      </c>
      <c r="S3307">
        <v>3.0152589999999999</v>
      </c>
      <c r="T3307">
        <v>-0.11333550000000001</v>
      </c>
      <c r="U3307">
        <v>-2.8900149999999999E-2</v>
      </c>
      <c r="V3307">
        <v>1.6190019999999999E-2</v>
      </c>
      <c r="W3307">
        <v>-0.13072429999999999</v>
      </c>
      <c r="X3307">
        <v>0.99128660000000002</v>
      </c>
      <c r="Y3307">
        <v>7.3935629999999997E-3</v>
      </c>
      <c r="Z3307">
        <v>-1.4050029999999999E-4</v>
      </c>
      <c r="AA3307">
        <v>0.99997259999999999</v>
      </c>
      <c r="AB3307">
        <v>30</v>
      </c>
      <c r="AC3307">
        <v>29.534199999999998</v>
      </c>
      <c r="AD3307">
        <v>-1.121094581465</v>
      </c>
      <c r="AE3307">
        <v>-0.28559999999998797</v>
      </c>
      <c r="AF3307">
        <v>0.22077542063449601</v>
      </c>
      <c r="AG3307">
        <v>-1.121094581465</v>
      </c>
      <c r="AH3307">
        <v>29.492261886282002</v>
      </c>
      <c r="AI3307">
        <v>92.176885532902901</v>
      </c>
      <c r="AJ3307">
        <v>89.571098900666399</v>
      </c>
      <c r="AK3307">
        <v>29.5143881186107</v>
      </c>
      <c r="AL3307">
        <v>97.511448523050902</v>
      </c>
      <c r="AM3307">
        <v>89.0643096052017</v>
      </c>
      <c r="AN3307">
        <v>1.0000000413488199</v>
      </c>
    </row>
    <row r="3308" spans="1:40" x14ac:dyDescent="0.25">
      <c r="A3308" t="str">
        <f>"20190303154535869"</f>
        <v>20190303154535869</v>
      </c>
      <c r="B3308" t="str">
        <f>"1551599135864389"</f>
        <v>1551599135864389</v>
      </c>
      <c r="C3308" t="s">
        <v>40</v>
      </c>
      <c r="D3308">
        <v>4.7838440000000002</v>
      </c>
      <c r="E3308">
        <v>0.49803839999999999</v>
      </c>
      <c r="F3308" t="s">
        <v>57</v>
      </c>
      <c r="G3308">
        <v>-281.7527</v>
      </c>
      <c r="H3308" s="1">
        <v>6.3958930000000001E-6</v>
      </c>
      <c r="I3308">
        <v>213.92670000000001</v>
      </c>
      <c r="J3308">
        <v>-310.94670000000002</v>
      </c>
      <c r="K3308">
        <v>1.121102</v>
      </c>
      <c r="L3308">
        <v>214.22839999999999</v>
      </c>
      <c r="M3308">
        <v>0.99989740000000005</v>
      </c>
      <c r="N3308">
        <v>-1.421847E-2</v>
      </c>
      <c r="O3308">
        <v>-1.7393619999999999E-3</v>
      </c>
      <c r="P3308">
        <v>0.98936489999999999</v>
      </c>
      <c r="Q3308">
        <v>-0.14426749999999999</v>
      </c>
      <c r="R3308">
        <v>-1.8548450000000001E-2</v>
      </c>
      <c r="S3308">
        <v>3.0151370000000002</v>
      </c>
      <c r="T3308">
        <v>-0.1146673</v>
      </c>
      <c r="U3308">
        <v>-3.0868530000000002E-2</v>
      </c>
      <c r="V3308">
        <v>1.6938539999999998E-2</v>
      </c>
      <c r="W3308">
        <v>-0.1301708</v>
      </c>
      <c r="X3308">
        <v>0.99134690000000003</v>
      </c>
      <c r="Y3308">
        <v>8.4899150000000007E-3</v>
      </c>
      <c r="Z3308">
        <v>-1.8037000000000001E-4</v>
      </c>
      <c r="AA3308">
        <v>0.99996390000000002</v>
      </c>
      <c r="AB3308">
        <v>29</v>
      </c>
      <c r="AC3308">
        <v>29.193999999999999</v>
      </c>
      <c r="AD3308">
        <v>-1.1210956041069999</v>
      </c>
      <c r="AE3308">
        <v>-0.30169999999998198</v>
      </c>
      <c r="AF3308">
        <v>0.25054603964841099</v>
      </c>
      <c r="AG3308">
        <v>-1.1210956041069999</v>
      </c>
      <c r="AH3308">
        <v>29.151496080694699</v>
      </c>
      <c r="AI3308">
        <v>92.202289673865593</v>
      </c>
      <c r="AJ3308">
        <v>89.507576655419498</v>
      </c>
      <c r="AK3308">
        <v>29.174121279213999</v>
      </c>
      <c r="AL3308">
        <v>97.479462199646505</v>
      </c>
      <c r="AM3308">
        <v>89.021117204415404</v>
      </c>
      <c r="AN3308">
        <v>1.00000001372479</v>
      </c>
    </row>
    <row r="3309" spans="1:40" x14ac:dyDescent="0.25">
      <c r="A3309" t="str">
        <f>"20190303154535891"</f>
        <v>20190303154535891</v>
      </c>
      <c r="B3309" t="str">
        <f>"1551599135883909"</f>
        <v>1551599135883909</v>
      </c>
      <c r="C3309" t="s">
        <v>40</v>
      </c>
      <c r="D3309">
        <v>4.7974170000000003</v>
      </c>
      <c r="E3309">
        <v>0.49817090000000003</v>
      </c>
      <c r="F3309" t="s">
        <v>57</v>
      </c>
      <c r="G3309">
        <v>-280.85399999999998</v>
      </c>
      <c r="H3309" s="1">
        <v>6.79763299999999E-6</v>
      </c>
      <c r="I3309">
        <v>213.89959999999999</v>
      </c>
      <c r="J3309">
        <v>-310.64659999999998</v>
      </c>
      <c r="K3309">
        <v>1.1211040000000001</v>
      </c>
      <c r="L3309">
        <v>214.22839999999999</v>
      </c>
      <c r="M3309">
        <v>0.99989830000000002</v>
      </c>
      <c r="N3309">
        <v>-1.4215200000000001E-2</v>
      </c>
      <c r="O3309">
        <v>-1.2701679999999999E-3</v>
      </c>
      <c r="P3309">
        <v>0.98933210000000005</v>
      </c>
      <c r="Q3309">
        <v>-0.14443110000000001</v>
      </c>
      <c r="R3309">
        <v>-1.902794E-2</v>
      </c>
      <c r="S3309">
        <v>3.0152890000000001</v>
      </c>
      <c r="T3309">
        <v>-0.1123338</v>
      </c>
      <c r="U3309">
        <v>-3.2943729999999997E-2</v>
      </c>
      <c r="V3309">
        <v>1.788213E-2</v>
      </c>
      <c r="W3309">
        <v>-0.13033739999999999</v>
      </c>
      <c r="X3309">
        <v>0.99130850000000004</v>
      </c>
      <c r="Y3309">
        <v>9.6457729999999998E-3</v>
      </c>
      <c r="Z3309">
        <v>-2.1895470000000001E-4</v>
      </c>
      <c r="AA3309">
        <v>0.99995339999999999</v>
      </c>
      <c r="AB3309">
        <v>29</v>
      </c>
      <c r="AC3309">
        <v>29.792599999999901</v>
      </c>
      <c r="AD3309">
        <v>-1.1210972023670001</v>
      </c>
      <c r="AE3309">
        <v>-0.32880000000000098</v>
      </c>
      <c r="AF3309">
        <v>0.29054294437369599</v>
      </c>
      <c r="AG3309">
        <v>-1.1210972023670001</v>
      </c>
      <c r="AH3309">
        <v>29.750870905385799</v>
      </c>
      <c r="AI3309">
        <v>92.157943598192006</v>
      </c>
      <c r="AJ3309">
        <v>89.440475025182195</v>
      </c>
      <c r="AK3309">
        <v>29.773404134707398</v>
      </c>
      <c r="AL3309">
        <v>97.489089232727395</v>
      </c>
      <c r="AM3309">
        <v>88.966558375318499</v>
      </c>
      <c r="AN3309">
        <v>1.0000000752921701</v>
      </c>
    </row>
    <row r="3310" spans="1:40" x14ac:dyDescent="0.25">
      <c r="A3310" t="str">
        <f>"20190303154535914"</f>
        <v>20190303154535914</v>
      </c>
      <c r="B3310" t="str">
        <f>"1551599135904406"</f>
        <v>1551599135904406</v>
      </c>
      <c r="C3310" t="s">
        <v>40</v>
      </c>
      <c r="D3310">
        <v>4.7885970000000002</v>
      </c>
      <c r="E3310">
        <v>0.49826690000000001</v>
      </c>
      <c r="F3310" t="s">
        <v>57</v>
      </c>
      <c r="G3310">
        <v>-280.58010000000002</v>
      </c>
      <c r="H3310" s="1">
        <v>6.9222049999999999E-6</v>
      </c>
      <c r="I3310">
        <v>213.8734</v>
      </c>
      <c r="J3310">
        <v>-310.35539999999997</v>
      </c>
      <c r="K3310">
        <v>1.1211070000000001</v>
      </c>
      <c r="L3310">
        <v>214.2285</v>
      </c>
      <c r="M3310">
        <v>0.99989870000000003</v>
      </c>
      <c r="N3310">
        <v>-1.4212010000000001E-2</v>
      </c>
      <c r="O3310">
        <v>-8.1444579999999996E-4</v>
      </c>
      <c r="P3310">
        <v>0.98938999999999999</v>
      </c>
      <c r="Q3310">
        <v>-0.1438729</v>
      </c>
      <c r="R3310">
        <v>-2.019992E-2</v>
      </c>
      <c r="S3310">
        <v>3.0152890000000001</v>
      </c>
      <c r="T3310">
        <v>-0.11243209999999999</v>
      </c>
      <c r="U3310">
        <v>-3.5598749999999998E-2</v>
      </c>
      <c r="V3310">
        <v>1.950443E-2</v>
      </c>
      <c r="W3310">
        <v>-0.12978039999999999</v>
      </c>
      <c r="X3310">
        <v>0.99135090000000003</v>
      </c>
      <c r="Y3310">
        <v>1.0980459999999999E-2</v>
      </c>
      <c r="Z3310">
        <v>-2.639249E-4</v>
      </c>
      <c r="AA3310">
        <v>0.99993969999999999</v>
      </c>
      <c r="AB3310">
        <v>29</v>
      </c>
      <c r="AC3310">
        <v>29.775299999999898</v>
      </c>
      <c r="AD3310">
        <v>-1.121100077795</v>
      </c>
      <c r="AE3310">
        <v>-0.35509999999999298</v>
      </c>
      <c r="AF3310">
        <v>0.33037876252654003</v>
      </c>
      <c r="AG3310">
        <v>-1.121100077795</v>
      </c>
      <c r="AH3310">
        <v>29.733433031490399</v>
      </c>
      <c r="AI3310">
        <v>92.159183216318695</v>
      </c>
      <c r="AJ3310">
        <v>89.363392388866401</v>
      </c>
      <c r="AK3310">
        <v>29.756395200851902</v>
      </c>
      <c r="AL3310">
        <v>97.4569027290229</v>
      </c>
      <c r="AM3310">
        <v>88.872874014069694</v>
      </c>
      <c r="AN3310">
        <v>0.99999999097229697</v>
      </c>
    </row>
    <row r="3311" spans="1:40" x14ac:dyDescent="0.25">
      <c r="A3311" t="str">
        <f>"20190303154535934"</f>
        <v>20190303154535934</v>
      </c>
      <c r="B3311" t="str">
        <f>"1551599135923930"</f>
        <v>1551599135923930</v>
      </c>
      <c r="C3311" t="s">
        <v>40</v>
      </c>
      <c r="D3311">
        <v>4.8075020000000004</v>
      </c>
      <c r="E3311">
        <v>0.49835869999999999</v>
      </c>
      <c r="F3311" t="s">
        <v>55</v>
      </c>
      <c r="G3311">
        <v>-279.72519999999997</v>
      </c>
      <c r="H3311" s="1">
        <v>3.6729629999999999E-6</v>
      </c>
      <c r="I3311">
        <v>213.82749999999999</v>
      </c>
      <c r="J3311">
        <v>-310.08019999999999</v>
      </c>
      <c r="K3311">
        <v>1.121108</v>
      </c>
      <c r="L3311">
        <v>214.22880000000001</v>
      </c>
      <c r="M3311">
        <v>0.99989899999999998</v>
      </c>
      <c r="N3311">
        <v>-1.420897E-2</v>
      </c>
      <c r="O3311">
        <v>-3.8375799999999999E-4</v>
      </c>
      <c r="P3311">
        <v>0.98944410000000005</v>
      </c>
      <c r="Q3311">
        <v>-0.14348549999999999</v>
      </c>
      <c r="R3311">
        <v>-2.0306560000000001E-2</v>
      </c>
      <c r="S3311">
        <v>3.0153500000000002</v>
      </c>
      <c r="T3311">
        <v>-0.11036559999999999</v>
      </c>
      <c r="U3311">
        <v>-3.9474490000000001E-2</v>
      </c>
      <c r="V3311">
        <v>2.0036640000000001E-2</v>
      </c>
      <c r="W3311">
        <v>-0.12939500000000001</v>
      </c>
      <c r="X3311">
        <v>0.99139060000000001</v>
      </c>
      <c r="Y3311">
        <v>1.269459E-2</v>
      </c>
      <c r="Z3311">
        <v>-3.1388109999999999E-4</v>
      </c>
      <c r="AA3311">
        <v>0.99991940000000001</v>
      </c>
      <c r="AB3311">
        <v>29</v>
      </c>
      <c r="AC3311">
        <v>30.355</v>
      </c>
      <c r="AD3311">
        <v>-1.121104327037</v>
      </c>
      <c r="AE3311">
        <v>-0.40130000000001997</v>
      </c>
      <c r="AF3311">
        <v>0.38911913376260898</v>
      </c>
      <c r="AG3311">
        <v>-1.121104327037</v>
      </c>
      <c r="AH3311">
        <v>30.313809332836399</v>
      </c>
      <c r="AI3311">
        <v>92.117846674841601</v>
      </c>
      <c r="AJ3311">
        <v>89.264570828351495</v>
      </c>
      <c r="AK3311">
        <v>30.337028939563599</v>
      </c>
      <c r="AL3311">
        <v>97.434633632976201</v>
      </c>
      <c r="AM3311">
        <v>88.842173169660796</v>
      </c>
      <c r="AN3311">
        <v>0.99999992736792198</v>
      </c>
    </row>
    <row r="3312" spans="1:40" x14ac:dyDescent="0.25">
      <c r="A3312" t="str">
        <f>"20190303154535959"</f>
        <v>20190303154535959</v>
      </c>
      <c r="B3312" t="str">
        <f>"1551599135954186"</f>
        <v>1551599135954186</v>
      </c>
      <c r="C3312" t="s">
        <v>40</v>
      </c>
      <c r="D3312">
        <v>4.7742750000000003</v>
      </c>
      <c r="E3312">
        <v>0.49847619999999998</v>
      </c>
      <c r="F3312" t="s">
        <v>55</v>
      </c>
      <c r="G3312">
        <v>-279.06799999999998</v>
      </c>
      <c r="H3312" s="1">
        <v>3.3239430000000002E-6</v>
      </c>
      <c r="I3312">
        <v>213.8107</v>
      </c>
      <c r="J3312">
        <v>-309.76330000000002</v>
      </c>
      <c r="K3312">
        <v>1.1211070000000001</v>
      </c>
      <c r="L3312">
        <v>214.22919999999999</v>
      </c>
      <c r="M3312">
        <v>0.99989910000000004</v>
      </c>
      <c r="N3312">
        <v>-1.4205499999999999E-2</v>
      </c>
      <c r="O3312">
        <v>1.1237440000000001E-4</v>
      </c>
      <c r="P3312">
        <v>0.98939900000000003</v>
      </c>
      <c r="Q3312">
        <v>-0.1438297</v>
      </c>
      <c r="R3312">
        <v>-2.0072079999999999E-2</v>
      </c>
      <c r="S3312">
        <v>3.0153810000000001</v>
      </c>
      <c r="T3312">
        <v>-0.1090071</v>
      </c>
      <c r="U3312">
        <v>-4.0649409999999997E-2</v>
      </c>
      <c r="V3312">
        <v>2.0292999999999999E-2</v>
      </c>
      <c r="W3312">
        <v>-0.1297432</v>
      </c>
      <c r="X3312">
        <v>0.99133990000000005</v>
      </c>
      <c r="Y3312">
        <v>1.357946E-2</v>
      </c>
      <c r="Z3312">
        <v>-3.4432929999999998E-4</v>
      </c>
      <c r="AA3312">
        <v>0.99990769999999995</v>
      </c>
      <c r="AB3312">
        <v>29</v>
      </c>
      <c r="AC3312">
        <v>30.6953</v>
      </c>
      <c r="AD3312">
        <v>-1.1211036760569999</v>
      </c>
      <c r="AE3312">
        <v>-0.41849999999999399</v>
      </c>
      <c r="AF3312">
        <v>0.421387695025427</v>
      </c>
      <c r="AG3312">
        <v>-1.1211036760569999</v>
      </c>
      <c r="AH3312">
        <v>30.654368202541502</v>
      </c>
      <c r="AI3312">
        <v>92.094312718801703</v>
      </c>
      <c r="AJ3312">
        <v>89.212437988892404</v>
      </c>
      <c r="AK3312">
        <v>30.677756289190601</v>
      </c>
      <c r="AL3312">
        <v>97.454753454698405</v>
      </c>
      <c r="AM3312">
        <v>88.827303439382703</v>
      </c>
      <c r="AN3312">
        <v>0.99999995056362301</v>
      </c>
    </row>
    <row r="3313" spans="1:40" x14ac:dyDescent="0.25">
      <c r="A3313" t="str">
        <f>"20190303154535982"</f>
        <v>20190303154535982</v>
      </c>
      <c r="B3313" t="str">
        <f>"1551599135973706"</f>
        <v>1551599135973706</v>
      </c>
      <c r="C3313" t="s">
        <v>40</v>
      </c>
      <c r="D3313">
        <v>4.8141350000000003</v>
      </c>
      <c r="E3313">
        <v>0.49851760000000001</v>
      </c>
      <c r="F3313" t="s">
        <v>55</v>
      </c>
      <c r="G3313">
        <v>-279.012</v>
      </c>
      <c r="H3313" s="1">
        <v>3.294033E-6</v>
      </c>
      <c r="I3313">
        <v>213.81360000000001</v>
      </c>
      <c r="J3313">
        <v>-309.46359999999999</v>
      </c>
      <c r="K3313">
        <v>1.1211059999999999</v>
      </c>
      <c r="L3313">
        <v>214.22980000000001</v>
      </c>
      <c r="M3313">
        <v>0.99989910000000004</v>
      </c>
      <c r="N3313">
        <v>-1.420222E-2</v>
      </c>
      <c r="O3313">
        <v>5.8126879999999997E-4</v>
      </c>
      <c r="P3313">
        <v>0.98922299999999996</v>
      </c>
      <c r="Q3313">
        <v>-0.1451443</v>
      </c>
      <c r="R3313">
        <v>-1.926421E-2</v>
      </c>
      <c r="S3313">
        <v>3.0153500000000002</v>
      </c>
      <c r="T3313">
        <v>-0.109931</v>
      </c>
      <c r="U3313">
        <v>-4.0756229999999997E-2</v>
      </c>
      <c r="V3313">
        <v>1.9949910000000001E-2</v>
      </c>
      <c r="W3313">
        <v>-0.13106379999999901</v>
      </c>
      <c r="X3313">
        <v>0.99117319999999998</v>
      </c>
      <c r="Y3313">
        <v>1.4083139999999999E-2</v>
      </c>
      <c r="Z3313">
        <v>-3.6960980000000002E-4</v>
      </c>
      <c r="AA3313">
        <v>0.99990080000000003</v>
      </c>
      <c r="AB3313">
        <v>29</v>
      </c>
      <c r="AC3313">
        <v>30.4515999999999</v>
      </c>
      <c r="AD3313">
        <v>-1.121102705967</v>
      </c>
      <c r="AE3313">
        <v>-0.41620000000000301</v>
      </c>
      <c r="AF3313">
        <v>0.43331506811444498</v>
      </c>
      <c r="AG3313">
        <v>-1.121102705967</v>
      </c>
      <c r="AH3313">
        <v>30.4101424043325</v>
      </c>
      <c r="AI3313">
        <v>92.111100458365996</v>
      </c>
      <c r="AJ3313">
        <v>89.183645896179698</v>
      </c>
      <c r="AK3313">
        <v>30.433885625686401</v>
      </c>
      <c r="AL3313">
        <v>97.531069444973397</v>
      </c>
      <c r="AM3313">
        <v>88.846930762845304</v>
      </c>
      <c r="AN3313">
        <v>1.00000001548884</v>
      </c>
    </row>
    <row r="3314" spans="1:40" x14ac:dyDescent="0.25">
      <c r="A3314" t="str">
        <f>"20190303154536006"</f>
        <v>20190303154536006</v>
      </c>
      <c r="B3314" t="str">
        <f>"1551599136003962"</f>
        <v>1551599136003962</v>
      </c>
      <c r="C3314" t="s">
        <v>40</v>
      </c>
      <c r="D3314">
        <v>4.8947560000000001</v>
      </c>
      <c r="E3314">
        <v>0.49859750000000003</v>
      </c>
      <c r="F3314" t="s">
        <v>55</v>
      </c>
      <c r="G3314">
        <v>-279.77890000000002</v>
      </c>
      <c r="H3314" s="1">
        <v>3.7005329999999998E-6</v>
      </c>
      <c r="I3314">
        <v>213.84989999999999</v>
      </c>
      <c r="J3314">
        <v>-309.13310000000001</v>
      </c>
      <c r="K3314">
        <v>1.1211</v>
      </c>
      <c r="L3314">
        <v>214.23060000000001</v>
      </c>
      <c r="M3314">
        <v>0.99989870000000003</v>
      </c>
      <c r="N3314">
        <v>-1.4198550000000001E-2</v>
      </c>
      <c r="O3314">
        <v>1.0917889999999999E-3</v>
      </c>
      <c r="P3314">
        <v>0.98919959999999996</v>
      </c>
      <c r="Q3314">
        <v>-0.14543029999999901</v>
      </c>
      <c r="R3314">
        <v>-1.8283669999999998E-2</v>
      </c>
      <c r="S3314">
        <v>3.015228</v>
      </c>
      <c r="T3314">
        <v>-0.11387609999999999</v>
      </c>
      <c r="U3314">
        <v>-3.8589480000000002E-2</v>
      </c>
      <c r="V3314">
        <v>1.947372E-2</v>
      </c>
      <c r="W3314">
        <v>-0.13135450000000001</v>
      </c>
      <c r="X3314">
        <v>0.99114420000000003</v>
      </c>
      <c r="Y3314">
        <v>1.387503E-2</v>
      </c>
      <c r="Z3314">
        <v>-3.8618380000000001E-4</v>
      </c>
      <c r="AA3314">
        <v>0.99990369999999995</v>
      </c>
      <c r="AB3314">
        <v>29</v>
      </c>
      <c r="AC3314">
        <v>29.354199999999899</v>
      </c>
      <c r="AD3314">
        <v>-1.121096299467</v>
      </c>
      <c r="AE3314">
        <v>-0.38070000000001802</v>
      </c>
      <c r="AF3314">
        <v>0.412150519178412</v>
      </c>
      <c r="AG3314">
        <v>-1.121096299467</v>
      </c>
      <c r="AH3314">
        <v>29.311020052636401</v>
      </c>
      <c r="AI3314">
        <v>92.190181386648504</v>
      </c>
      <c r="AJ3314">
        <v>89.194400977312199</v>
      </c>
      <c r="AK3314">
        <v>29.3353476456168</v>
      </c>
      <c r="AL3314">
        <v>97.547870484972705</v>
      </c>
      <c r="AM3314">
        <v>88.874413604892297</v>
      </c>
      <c r="AN3314">
        <v>1.0000000278172601</v>
      </c>
    </row>
    <row r="3315" spans="1:40" x14ac:dyDescent="0.25">
      <c r="A3315" t="str">
        <f>"20190303154536024"</f>
        <v>20190303154536024</v>
      </c>
      <c r="B3315" t="str">
        <f>"1551599136013722"</f>
        <v>1551599136013722</v>
      </c>
      <c r="C3315" t="s">
        <v>40</v>
      </c>
      <c r="D3315">
        <v>4.7456060000000004</v>
      </c>
      <c r="E3315">
        <v>0.498643</v>
      </c>
      <c r="F3315" t="s">
        <v>55</v>
      </c>
      <c r="G3315">
        <v>-279.69560000000001</v>
      </c>
      <c r="H3315" s="1">
        <v>3.6550370000000001E-6</v>
      </c>
      <c r="I3315">
        <v>213.87690000000001</v>
      </c>
      <c r="J3315">
        <v>-308.90969999999999</v>
      </c>
      <c r="K3315">
        <v>1.121089</v>
      </c>
      <c r="L3315">
        <v>214.2312</v>
      </c>
      <c r="M3315">
        <v>0.99989819999999996</v>
      </c>
      <c r="N3315">
        <v>-1.419607E-2</v>
      </c>
      <c r="O3315">
        <v>1.4339209999999999E-3</v>
      </c>
      <c r="P3315">
        <v>0.98937109999999995</v>
      </c>
      <c r="Q3315">
        <v>-0.1443817</v>
      </c>
      <c r="R3315">
        <v>-1.7282280000000001E-2</v>
      </c>
      <c r="S3315">
        <v>3.0151979999999998</v>
      </c>
      <c r="T3315">
        <v>-0.1148306</v>
      </c>
      <c r="U3315">
        <v>-3.6224369999999999E-2</v>
      </c>
      <c r="V3315">
        <v>1.8808990000000001E-2</v>
      </c>
      <c r="W3315">
        <v>-0.1303069</v>
      </c>
      <c r="X3315">
        <v>0.99129529999999999</v>
      </c>
      <c r="Y3315">
        <v>1.3433230000000001E-2</v>
      </c>
      <c r="Z3315">
        <v>-3.8533460000000002E-4</v>
      </c>
      <c r="AA3315">
        <v>0.99990970000000001</v>
      </c>
      <c r="AB3315">
        <v>29</v>
      </c>
      <c r="AC3315">
        <v>29.214099999999899</v>
      </c>
      <c r="AD3315">
        <v>-1.1210853449630001</v>
      </c>
      <c r="AE3315">
        <v>-0.35429999999999401</v>
      </c>
      <c r="AF3315">
        <v>0.39561206624144402</v>
      </c>
      <c r="AG3315">
        <v>-1.1210853449630001</v>
      </c>
      <c r="AH3315">
        <v>29.1706108013903</v>
      </c>
      <c r="AI3315">
        <v>92.200706897603595</v>
      </c>
      <c r="AJ3315">
        <v>89.223001796754005</v>
      </c>
      <c r="AK3315">
        <v>29.194826181771301</v>
      </c>
      <c r="AL3315">
        <v>97.487327103550101</v>
      </c>
      <c r="AM3315">
        <v>88.9129914727868</v>
      </c>
      <c r="AN3315">
        <v>1.00000001904725</v>
      </c>
    </row>
    <row r="3316" spans="1:40" x14ac:dyDescent="0.25">
      <c r="A3316" t="str">
        <f>"20190303154536046"</f>
        <v>20190303154536046</v>
      </c>
      <c r="B3316" t="str">
        <f>"1551599136043978"</f>
        <v>1551599136043978</v>
      </c>
      <c r="C3316" t="s">
        <v>40</v>
      </c>
      <c r="D3316">
        <v>4.7956760000000003</v>
      </c>
      <c r="E3316">
        <v>0.49874299999999999</v>
      </c>
      <c r="F3316" t="s">
        <v>55</v>
      </c>
      <c r="G3316">
        <v>-278.63679999999999</v>
      </c>
      <c r="H3316" s="1">
        <v>3.090849E-6</v>
      </c>
      <c r="I3316">
        <v>213.89429999999999</v>
      </c>
      <c r="J3316">
        <v>-308.61349999999999</v>
      </c>
      <c r="K3316">
        <v>1.1210850000000001</v>
      </c>
      <c r="L3316">
        <v>214.2321</v>
      </c>
      <c r="M3316">
        <v>0.9998977</v>
      </c>
      <c r="N3316">
        <v>-1.41928E-2</v>
      </c>
      <c r="O3316">
        <v>1.878815E-3</v>
      </c>
      <c r="P3316">
        <v>0.98947010000000002</v>
      </c>
      <c r="Q3316">
        <v>-0.14374219999999999</v>
      </c>
      <c r="R3316">
        <v>-1.695872E-2</v>
      </c>
      <c r="S3316">
        <v>3.0153500000000002</v>
      </c>
      <c r="T3316">
        <v>-0.1116664</v>
      </c>
      <c r="U3316">
        <v>-3.355408E-2</v>
      </c>
      <c r="V3316">
        <v>1.8922979999999999E-2</v>
      </c>
      <c r="W3316">
        <v>-0.12966949999999999</v>
      </c>
      <c r="X3316">
        <v>0.9913767</v>
      </c>
      <c r="Y3316">
        <v>1.299312E-2</v>
      </c>
      <c r="Z3316">
        <v>-3.756419E-4</v>
      </c>
      <c r="AA3316">
        <v>0.99991549999999996</v>
      </c>
      <c r="AB3316">
        <v>29</v>
      </c>
      <c r="AC3316">
        <v>29.976699999999902</v>
      </c>
      <c r="AD3316">
        <v>-1.121081909151</v>
      </c>
      <c r="AE3316">
        <v>-0.33780000000001498</v>
      </c>
      <c r="AF3316">
        <v>0.393575338327738</v>
      </c>
      <c r="AG3316">
        <v>-1.121081909151</v>
      </c>
      <c r="AH3316">
        <v>29.934150463203501</v>
      </c>
      <c r="AI3316">
        <v>92.144631163006807</v>
      </c>
      <c r="AJ3316">
        <v>89.246716336769197</v>
      </c>
      <c r="AK3316">
        <v>29.957721711566698</v>
      </c>
      <c r="AL3316">
        <v>97.450494335933499</v>
      </c>
      <c r="AM3316">
        <v>88.906495132624102</v>
      </c>
      <c r="AN3316">
        <v>1.0000000098526101</v>
      </c>
    </row>
    <row r="3317" spans="1:40" x14ac:dyDescent="0.25">
      <c r="A3317" t="str">
        <f>"20190303154536069"</f>
        <v>20190303154536069</v>
      </c>
      <c r="B3317" t="str">
        <f>"1551599136064474"</f>
        <v>1551599136064474</v>
      </c>
      <c r="C3317" t="s">
        <v>40</v>
      </c>
      <c r="D3317">
        <v>4.9270209999999999</v>
      </c>
      <c r="E3317">
        <v>0.49880530000000001</v>
      </c>
      <c r="F3317" t="s">
        <v>55</v>
      </c>
      <c r="G3317">
        <v>-277.85829999999999</v>
      </c>
      <c r="H3317" s="1">
        <v>2.6765160000000001E-6</v>
      </c>
      <c r="I3317">
        <v>213.89580000000001</v>
      </c>
      <c r="J3317">
        <v>-308.32330000000002</v>
      </c>
      <c r="K3317">
        <v>1.121078</v>
      </c>
      <c r="L3317">
        <v>214.23310000000001</v>
      </c>
      <c r="M3317">
        <v>0.99989669999999997</v>
      </c>
      <c r="N3317">
        <v>-1.41896E-2</v>
      </c>
      <c r="O3317">
        <v>2.302746E-3</v>
      </c>
      <c r="P3317">
        <v>0.98941860000000004</v>
      </c>
      <c r="Q3317">
        <v>-0.14412549999999999</v>
      </c>
      <c r="R3317">
        <v>-1.6700090000000001E-2</v>
      </c>
      <c r="S3317">
        <v>3.0153500000000002</v>
      </c>
      <c r="T3317">
        <v>-0.109915</v>
      </c>
      <c r="U3317">
        <v>-3.2974240000000002E-2</v>
      </c>
      <c r="V3317">
        <v>1.908112E-2</v>
      </c>
      <c r="W3317">
        <v>-0.13005710000000001</v>
      </c>
      <c r="X3317">
        <v>0.99132290000000001</v>
      </c>
      <c r="Y3317">
        <v>1.322484E-2</v>
      </c>
      <c r="Z3317">
        <v>-3.8606630000000001E-4</v>
      </c>
      <c r="AA3317">
        <v>0.99991249999999998</v>
      </c>
      <c r="AB3317">
        <v>29</v>
      </c>
      <c r="AC3317">
        <v>30.465</v>
      </c>
      <c r="AD3317">
        <v>-1.1210753234840001</v>
      </c>
      <c r="AE3317">
        <v>-0.33729999999999899</v>
      </c>
      <c r="AF3317">
        <v>0.40690837592502899</v>
      </c>
      <c r="AG3317">
        <v>-1.1210753234840001</v>
      </c>
      <c r="AH3317">
        <v>30.4229501858016</v>
      </c>
      <c r="AI3317">
        <v>92.110186458796093</v>
      </c>
      <c r="AJ3317">
        <v>89.233711972061101</v>
      </c>
      <c r="AK3317">
        <v>30.4463180420078</v>
      </c>
      <c r="AL3317">
        <v>97.472891803739699</v>
      </c>
      <c r="AM3317">
        <v>88.897299094795201</v>
      </c>
      <c r="AN3317">
        <v>1.00000001523263</v>
      </c>
    </row>
    <row r="3318" spans="1:40" x14ac:dyDescent="0.25">
      <c r="A3318" t="str">
        <f>"20190303154536091"</f>
        <v>20190303154536091</v>
      </c>
      <c r="B3318" t="str">
        <f>"1551599136083994"</f>
        <v>1551599136083994</v>
      </c>
      <c r="C3318" t="s">
        <v>40</v>
      </c>
      <c r="D3318">
        <v>4.8481059999999996</v>
      </c>
      <c r="E3318">
        <v>0.49886829999999999</v>
      </c>
      <c r="F3318" t="s">
        <v>55</v>
      </c>
      <c r="G3318">
        <v>-277.86739999999998</v>
      </c>
      <c r="H3318" s="1">
        <v>2.6811270000000002E-6</v>
      </c>
      <c r="I3318">
        <v>213.90119999999999</v>
      </c>
      <c r="J3318">
        <v>-308.03410000000002</v>
      </c>
      <c r="K3318">
        <v>1.121065</v>
      </c>
      <c r="L3318">
        <v>214.23429999999999</v>
      </c>
      <c r="M3318">
        <v>0.99989570000000005</v>
      </c>
      <c r="N3318">
        <v>-1.418645E-2</v>
      </c>
      <c r="O3318">
        <v>2.7118730000000001E-3</v>
      </c>
      <c r="P3318">
        <v>0.98925569999999896</v>
      </c>
      <c r="Q3318">
        <v>-0.14521800000000001</v>
      </c>
      <c r="R3318">
        <v>-1.6889339999999999E-2</v>
      </c>
      <c r="S3318">
        <v>3.01532</v>
      </c>
      <c r="T3318">
        <v>-0.1109933</v>
      </c>
      <c r="U3318">
        <v>-3.2867430000000003E-2</v>
      </c>
      <c r="V3318">
        <v>1.9671899999999999E-2</v>
      </c>
      <c r="W3318">
        <v>-0.1311551</v>
      </c>
      <c r="X3318">
        <v>0.99116669999999996</v>
      </c>
      <c r="Y3318">
        <v>1.3597990000000001E-2</v>
      </c>
      <c r="Z3318">
        <v>-4.0800649999999999E-4</v>
      </c>
      <c r="AA3318">
        <v>0.9999074</v>
      </c>
      <c r="AB3318">
        <v>29</v>
      </c>
      <c r="AC3318">
        <v>30.166699999999999</v>
      </c>
      <c r="AD3318">
        <v>-1.121062318873</v>
      </c>
      <c r="AE3318">
        <v>-0.33310000000000101</v>
      </c>
      <c r="AF3318">
        <v>0.41434311515643302</v>
      </c>
      <c r="AG3318">
        <v>-1.121062318873</v>
      </c>
      <c r="AH3318">
        <v>30.124088361285299</v>
      </c>
      <c r="AI3318">
        <v>92.131066805751999</v>
      </c>
      <c r="AJ3318">
        <v>89.211972341097294</v>
      </c>
      <c r="AK3318">
        <v>30.1477886508845</v>
      </c>
      <c r="AL3318">
        <v>97.536345946118203</v>
      </c>
      <c r="AM3318">
        <v>88.862987542840401</v>
      </c>
      <c r="AN3318">
        <v>1.00000003554725</v>
      </c>
    </row>
    <row r="3319" spans="1:40" x14ac:dyDescent="0.25">
      <c r="A3319" t="str">
        <f>"20190303154536114"</f>
        <v>20190303154536114</v>
      </c>
      <c r="B3319" t="str">
        <f>"1551599136104490"</f>
        <v>1551599136104490</v>
      </c>
      <c r="C3319" t="s">
        <v>40</v>
      </c>
      <c r="D3319">
        <v>4.8444399999999996</v>
      </c>
      <c r="E3319">
        <v>0.49895220000000001</v>
      </c>
      <c r="F3319" t="s">
        <v>55</v>
      </c>
      <c r="G3319">
        <v>-278.4898</v>
      </c>
      <c r="H3319" s="1">
        <v>3.0121910000000001E-6</v>
      </c>
      <c r="I3319">
        <v>213.90430000000001</v>
      </c>
      <c r="J3319">
        <v>-307.74779999999998</v>
      </c>
      <c r="K3319">
        <v>1.1210530000000001</v>
      </c>
      <c r="L3319">
        <v>214.2355</v>
      </c>
      <c r="M3319">
        <v>0.99989450000000002</v>
      </c>
      <c r="N3319">
        <v>-1.418346E-2</v>
      </c>
      <c r="O3319">
        <v>3.1046120000000001E-3</v>
      </c>
      <c r="P3319">
        <v>0.98917480000000002</v>
      </c>
      <c r="Q3319">
        <v>-0.14574979999999901</v>
      </c>
      <c r="R3319">
        <v>-1.7040599999999899E-2</v>
      </c>
      <c r="S3319">
        <v>3.0152589999999999</v>
      </c>
      <c r="T3319">
        <v>-0.1144145</v>
      </c>
      <c r="U3319">
        <v>-3.3676150000000002E-2</v>
      </c>
      <c r="V3319">
        <v>2.0208360000000002E-2</v>
      </c>
      <c r="W3319">
        <v>-0.13169120000000001</v>
      </c>
      <c r="X3319">
        <v>0.99108479999999999</v>
      </c>
      <c r="Y3319">
        <v>1.4257580000000001E-2</v>
      </c>
      <c r="Z3319">
        <v>-4.4530090000000002E-4</v>
      </c>
      <c r="AA3319">
        <v>0.99989830000000002</v>
      </c>
      <c r="AB3319">
        <v>29</v>
      </c>
      <c r="AC3319">
        <v>29.2579999999999</v>
      </c>
      <c r="AD3319">
        <v>-1.1210499878089999</v>
      </c>
      <c r="AE3319">
        <v>-0.331199999999995</v>
      </c>
      <c r="AF3319">
        <v>0.421423667591101</v>
      </c>
      <c r="AG3319">
        <v>-1.1210499878089999</v>
      </c>
      <c r="AH3319">
        <v>29.2139466187352</v>
      </c>
      <c r="AI3319">
        <v>92.1973498289384</v>
      </c>
      <c r="AJ3319">
        <v>89.173541212788706</v>
      </c>
      <c r="AK3319">
        <v>29.238485392117699</v>
      </c>
      <c r="AL3319">
        <v>97.567331119143304</v>
      </c>
      <c r="AM3319">
        <v>88.8318927738393</v>
      </c>
      <c r="AN3319">
        <v>1.0000000153811801</v>
      </c>
    </row>
    <row r="3320" spans="1:40" x14ac:dyDescent="0.25">
      <c r="A3320" t="str">
        <f>"20190303154536135"</f>
        <v>20190303154536135</v>
      </c>
      <c r="B3320" t="str">
        <f>"1551599136124010"</f>
        <v>1551599136124010</v>
      </c>
      <c r="C3320" t="s">
        <v>40</v>
      </c>
      <c r="D3320">
        <v>4.8357070000000002</v>
      </c>
      <c r="E3320">
        <v>0.4990484</v>
      </c>
      <c r="F3320" t="s">
        <v>55</v>
      </c>
      <c r="G3320">
        <v>-278.60489999999999</v>
      </c>
      <c r="H3320" s="1">
        <v>3.0736270000000002E-6</v>
      </c>
      <c r="I3320">
        <v>213.8997</v>
      </c>
      <c r="J3320">
        <v>-307.45839999999998</v>
      </c>
      <c r="K3320">
        <v>1.1210420000000001</v>
      </c>
      <c r="L3320">
        <v>214.23679999999999</v>
      </c>
      <c r="M3320">
        <v>0.99989349999999999</v>
      </c>
      <c r="N3320">
        <v>-1.418052E-2</v>
      </c>
      <c r="O3320">
        <v>3.4902169999999999E-3</v>
      </c>
      <c r="P3320">
        <v>0.98916700000000002</v>
      </c>
      <c r="Q3320">
        <v>-0.14581479999999999</v>
      </c>
      <c r="R3320">
        <v>-1.69440999999999E-2</v>
      </c>
      <c r="S3320">
        <v>3.0151669999999999</v>
      </c>
      <c r="T3320">
        <v>-0.1159853</v>
      </c>
      <c r="U3320">
        <v>-3.4744259999999999E-2</v>
      </c>
      <c r="V3320">
        <v>2.0490370000000001E-2</v>
      </c>
      <c r="W3320">
        <v>-0.1317596</v>
      </c>
      <c r="X3320">
        <v>0.99106989999999995</v>
      </c>
      <c r="Y3320">
        <v>1.499645E-2</v>
      </c>
      <c r="Z3320">
        <v>-4.7943490000000003E-4</v>
      </c>
      <c r="AA3320">
        <v>0.99988739999999998</v>
      </c>
      <c r="AB3320">
        <v>29</v>
      </c>
      <c r="AC3320">
        <v>28.8535</v>
      </c>
      <c r="AD3320">
        <v>-1.1210389263730001</v>
      </c>
      <c r="AE3320">
        <v>-0.33709999999999202</v>
      </c>
      <c r="AF3320">
        <v>0.43715322538743401</v>
      </c>
      <c r="AG3320">
        <v>-1.1210389263730001</v>
      </c>
      <c r="AH3320">
        <v>28.808665678982099</v>
      </c>
      <c r="AI3320">
        <v>92.228184619787797</v>
      </c>
      <c r="AJ3320">
        <v>89.130639617085805</v>
      </c>
      <c r="AK3320">
        <v>28.8337831270936</v>
      </c>
      <c r="AL3320">
        <v>97.571284739515093</v>
      </c>
      <c r="AM3320">
        <v>88.815578512424494</v>
      </c>
      <c r="AN3320">
        <v>0.99999999707045295</v>
      </c>
    </row>
    <row r="3321" spans="1:40" x14ac:dyDescent="0.25">
      <c r="A3321" t="str">
        <f>"20190303154536160"</f>
        <v>20190303154536160</v>
      </c>
      <c r="B3321" t="str">
        <f>"1551599136154266"</f>
        <v>1551599136154266</v>
      </c>
      <c r="C3321" t="s">
        <v>40</v>
      </c>
      <c r="D3321">
        <v>4.8904769999999997</v>
      </c>
      <c r="E3321">
        <v>0.49919269999999999</v>
      </c>
      <c r="F3321" t="s">
        <v>55</v>
      </c>
      <c r="G3321">
        <v>-278.38260000000002</v>
      </c>
      <c r="H3321" s="1">
        <v>2.9554169999999999E-6</v>
      </c>
      <c r="I3321">
        <v>213.89769999999999</v>
      </c>
      <c r="J3321">
        <v>-307.15089999999998</v>
      </c>
      <c r="K3321">
        <v>1.121041</v>
      </c>
      <c r="L3321">
        <v>214.23840000000001</v>
      </c>
      <c r="M3321">
        <v>0.99989189999999994</v>
      </c>
      <c r="N3321">
        <v>-1.41774E-2</v>
      </c>
      <c r="O3321">
        <v>3.8905709999999998E-3</v>
      </c>
      <c r="P3321">
        <v>0.9893459</v>
      </c>
      <c r="Q3321">
        <v>-0.14471789999999901</v>
      </c>
      <c r="R3321">
        <v>-1.5851569999999999E-2</v>
      </c>
      <c r="S3321">
        <v>3.0150760000000001</v>
      </c>
      <c r="T3321">
        <v>-0.1162485</v>
      </c>
      <c r="U3321">
        <v>-3.5171510000000003E-2</v>
      </c>
      <c r="V3321">
        <v>1.9791369999999999E-2</v>
      </c>
      <c r="W3321">
        <v>-0.13066430000000001</v>
      </c>
      <c r="X3321">
        <v>0.99122909999999997</v>
      </c>
      <c r="Y3321">
        <v>1.5538089999999999E-2</v>
      </c>
      <c r="Z3321">
        <v>-5.0442759999999999E-4</v>
      </c>
      <c r="AA3321">
        <v>0.99987910000000002</v>
      </c>
      <c r="AB3321">
        <v>29</v>
      </c>
      <c r="AC3321">
        <v>28.768299999999901</v>
      </c>
      <c r="AD3321">
        <v>-1.1210380445829999</v>
      </c>
      <c r="AE3321">
        <v>-0.34070000000002598</v>
      </c>
      <c r="AF3321">
        <v>0.45194760546682899</v>
      </c>
      <c r="AG3321">
        <v>-1.1210380445829999</v>
      </c>
      <c r="AH3321">
        <v>28.723146846439999</v>
      </c>
      <c r="AI3321">
        <v>92.234790904916096</v>
      </c>
      <c r="AJ3321">
        <v>89.098547459843502</v>
      </c>
      <c r="AK3321">
        <v>28.748567750370501</v>
      </c>
      <c r="AL3321">
        <v>97.507981398721498</v>
      </c>
      <c r="AM3321">
        <v>88.856156140841904</v>
      </c>
      <c r="AN3321">
        <v>0.99999999315388799</v>
      </c>
    </row>
    <row r="3322" spans="1:40" x14ac:dyDescent="0.25">
      <c r="A3322" t="str">
        <f>"20190303154536182"</f>
        <v>20190303154536182</v>
      </c>
      <c r="B3322" t="str">
        <f>"1551599136173788"</f>
        <v>1551599136173788</v>
      </c>
      <c r="C3322" t="s">
        <v>40</v>
      </c>
      <c r="D3322">
        <v>4.7683819999999999</v>
      </c>
      <c r="E3322">
        <v>0.49928020000000001</v>
      </c>
      <c r="F3322" t="s">
        <v>55</v>
      </c>
      <c r="G3322">
        <v>-277.18400000000003</v>
      </c>
      <c r="H3322" s="1">
        <v>2.3167359999999999E-6</v>
      </c>
      <c r="I3322">
        <v>213.9169</v>
      </c>
      <c r="J3322">
        <v>-306.86439999999999</v>
      </c>
      <c r="K3322">
        <v>1.1210359999999999</v>
      </c>
      <c r="L3322">
        <v>214.23990000000001</v>
      </c>
      <c r="M3322">
        <v>0.99989059999999996</v>
      </c>
      <c r="N3322">
        <v>-1.417449E-2</v>
      </c>
      <c r="O3322">
        <v>4.257233E-3</v>
      </c>
      <c r="P3322">
        <v>0.98929520000000004</v>
      </c>
      <c r="Q3322">
        <v>-0.145152</v>
      </c>
      <c r="R3322">
        <v>-1.50335E-2</v>
      </c>
      <c r="S3322">
        <v>3.0152890000000001</v>
      </c>
      <c r="T3322">
        <v>-0.11279939999999999</v>
      </c>
      <c r="U3322">
        <v>-3.2348630000000003E-2</v>
      </c>
      <c r="V3322">
        <v>1.9334500000000001E-2</v>
      </c>
      <c r="W3322">
        <v>-0.13110260000000001</v>
      </c>
      <c r="X3322">
        <v>0.99118019999999996</v>
      </c>
      <c r="Y3322">
        <v>1.496932E-2</v>
      </c>
      <c r="Z3322">
        <v>-4.8490719999999998E-4</v>
      </c>
      <c r="AA3322">
        <v>0.99988779999999999</v>
      </c>
      <c r="AB3322">
        <v>29</v>
      </c>
      <c r="AC3322">
        <v>29.680399999999899</v>
      </c>
      <c r="AD3322">
        <v>-1.121033683264</v>
      </c>
      <c r="AE3322">
        <v>-0.323000000000007</v>
      </c>
      <c r="AF3322">
        <v>0.44872605988310199</v>
      </c>
      <c r="AG3322">
        <v>-1.121033683264</v>
      </c>
      <c r="AH3322">
        <v>29.636481785788899</v>
      </c>
      <c r="AI3322">
        <v>92.165997327733095</v>
      </c>
      <c r="AJ3322">
        <v>89.132550713534997</v>
      </c>
      <c r="AK3322">
        <v>29.6610708544926</v>
      </c>
      <c r="AL3322">
        <v>97.533312353232205</v>
      </c>
      <c r="AM3322">
        <v>88.882499090447894</v>
      </c>
      <c r="AN3322">
        <v>0.99999995174452305</v>
      </c>
    </row>
    <row r="3323" spans="1:40" x14ac:dyDescent="0.25">
      <c r="A3323" t="str">
        <f>"20190303154536206"</f>
        <v>20190303154536206</v>
      </c>
      <c r="B3323" t="str">
        <f>"1551599136194282"</f>
        <v>1551599136194282</v>
      </c>
      <c r="C3323" t="s">
        <v>40</v>
      </c>
      <c r="D3323">
        <v>4.8433999999999999</v>
      </c>
      <c r="E3323">
        <v>0.49936439999999999</v>
      </c>
      <c r="F3323" t="s">
        <v>55</v>
      </c>
      <c r="G3323">
        <v>-277.21190000000001</v>
      </c>
      <c r="H3323" s="1">
        <v>2.3306749999999999E-6</v>
      </c>
      <c r="I3323">
        <v>213.9384</v>
      </c>
      <c r="J3323">
        <v>-306.55200000000002</v>
      </c>
      <c r="K3323">
        <v>1.1210340000000001</v>
      </c>
      <c r="L3323">
        <v>214.24170000000001</v>
      </c>
      <c r="M3323">
        <v>0.99988880000000002</v>
      </c>
      <c r="N3323">
        <v>-1.417129E-2</v>
      </c>
      <c r="O3323">
        <v>4.6512619999999998E-3</v>
      </c>
      <c r="P3323">
        <v>0.98929630000000002</v>
      </c>
      <c r="Q3323">
        <v>-0.1451809</v>
      </c>
      <c r="R3323">
        <v>-1.469202E-2</v>
      </c>
      <c r="S3323">
        <v>3.0152589999999999</v>
      </c>
      <c r="T3323">
        <v>-0.1139941</v>
      </c>
      <c r="U3323">
        <v>-3.065491E-2</v>
      </c>
      <c r="V3323">
        <v>1.938117E-2</v>
      </c>
      <c r="W3323">
        <v>-0.1311349</v>
      </c>
      <c r="X3323">
        <v>0.99117509999999998</v>
      </c>
      <c r="Y3323">
        <v>1.480161E-2</v>
      </c>
      <c r="Z3323">
        <v>-4.9450099999999995E-4</v>
      </c>
      <c r="AA3323">
        <v>0.99989030000000001</v>
      </c>
      <c r="AB3323">
        <v>29</v>
      </c>
      <c r="AC3323">
        <v>29.3401</v>
      </c>
      <c r="AD3323">
        <v>-1.121031669325</v>
      </c>
      <c r="AE3323">
        <v>-0.30330000000000701</v>
      </c>
      <c r="AF3323">
        <v>0.43913789763605399</v>
      </c>
      <c r="AG3323">
        <v>-1.121031669325</v>
      </c>
      <c r="AH3323">
        <v>29.295608636931298</v>
      </c>
      <c r="AI3323">
        <v>92.191176717023794</v>
      </c>
      <c r="AJ3323">
        <v>89.141206990717905</v>
      </c>
      <c r="AK3323">
        <v>29.320338325213999</v>
      </c>
      <c r="AL3323">
        <v>97.535178490152504</v>
      </c>
      <c r="AM3323">
        <v>88.879796568672603</v>
      </c>
      <c r="AN3323">
        <v>1.0000000353042899</v>
      </c>
    </row>
    <row r="3324" spans="1:40" x14ac:dyDescent="0.25">
      <c r="A3324" t="str">
        <f>"20190303154536225"</f>
        <v>20190303154536225</v>
      </c>
      <c r="B3324" t="str">
        <f>"1551599136213802"</f>
        <v>1551599136213802</v>
      </c>
      <c r="C3324" t="s">
        <v>40</v>
      </c>
      <c r="D3324">
        <v>4.8777699999999999</v>
      </c>
      <c r="E3324">
        <v>0.49946940000000001</v>
      </c>
      <c r="F3324" t="s">
        <v>55</v>
      </c>
      <c r="G3324">
        <v>-276.89600000000002</v>
      </c>
      <c r="H3324" s="1">
        <v>2.162298E-6</v>
      </c>
      <c r="I3324">
        <v>213.9443</v>
      </c>
      <c r="J3324">
        <v>-306.30610000000001</v>
      </c>
      <c r="K3324">
        <v>1.121032</v>
      </c>
      <c r="L3324">
        <v>214.2432</v>
      </c>
      <c r="M3324">
        <v>0.99988750000000004</v>
      </c>
      <c r="N3324">
        <v>-1.4168790000000001E-2</v>
      </c>
      <c r="O3324">
        <v>4.9588260000000004E-3</v>
      </c>
      <c r="P3324">
        <v>0.98924290000000004</v>
      </c>
      <c r="Q3324">
        <v>-0.14558470000000001</v>
      </c>
      <c r="R3324">
        <v>-1.427719E-2</v>
      </c>
      <c r="S3324">
        <v>3.0152890000000001</v>
      </c>
      <c r="T3324">
        <v>-0.113981399999999</v>
      </c>
      <c r="U3324">
        <v>-3.024292E-2</v>
      </c>
      <c r="V3324">
        <v>1.9269809999999998E-2</v>
      </c>
      <c r="W3324">
        <v>-0.1315422</v>
      </c>
      <c r="X3324">
        <v>0.99112330000000004</v>
      </c>
      <c r="Y3324">
        <v>1.497222E-2</v>
      </c>
      <c r="Z3324">
        <v>-5.0613619999999998E-4</v>
      </c>
      <c r="AA3324">
        <v>0.99988779999999999</v>
      </c>
      <c r="AB3324">
        <v>29</v>
      </c>
      <c r="AC3324">
        <v>29.4101</v>
      </c>
      <c r="AD3324">
        <v>-1.121029837702</v>
      </c>
      <c r="AE3324">
        <v>-0.298900000000003</v>
      </c>
      <c r="AF3324">
        <v>0.44410532561213401</v>
      </c>
      <c r="AG3324">
        <v>-1.121029837702</v>
      </c>
      <c r="AH3324">
        <v>29.3655945693848</v>
      </c>
      <c r="AI3324">
        <v>92.185951684370096</v>
      </c>
      <c r="AJ3324">
        <v>89.133563561525193</v>
      </c>
      <c r="AK3324">
        <v>29.3903399410544</v>
      </c>
      <c r="AL3324">
        <v>97.558718973841096</v>
      </c>
      <c r="AM3324">
        <v>88.886173193414606</v>
      </c>
      <c r="AN3324">
        <v>1.0000000358805801</v>
      </c>
    </row>
    <row r="3325" spans="1:40" x14ac:dyDescent="0.25">
      <c r="A3325" t="str">
        <f>"20190303154536247"</f>
        <v>20190303154536247</v>
      </c>
      <c r="B3325" t="str">
        <f>"1551599136244059"</f>
        <v>1551599136244059</v>
      </c>
      <c r="C3325" t="s">
        <v>40</v>
      </c>
      <c r="D3325">
        <v>4.8589469999999997</v>
      </c>
      <c r="E3325">
        <v>0.49959160000000002</v>
      </c>
      <c r="F3325" t="s">
        <v>55</v>
      </c>
      <c r="G3325">
        <v>-276.9674</v>
      </c>
      <c r="H3325" s="1">
        <v>2.2001209999999999E-6</v>
      </c>
      <c r="I3325">
        <v>213.9485</v>
      </c>
      <c r="J3325">
        <v>-306.02159999999998</v>
      </c>
      <c r="K3325">
        <v>1.1210260000000001</v>
      </c>
      <c r="L3325">
        <v>214.245</v>
      </c>
      <c r="M3325">
        <v>0.99988560000000004</v>
      </c>
      <c r="N3325">
        <v>-1.416588E-2</v>
      </c>
      <c r="O3325">
        <v>5.3106530000000002E-3</v>
      </c>
      <c r="P3325">
        <v>0.98918430000000002</v>
      </c>
      <c r="Q3325">
        <v>-0.1459857</v>
      </c>
      <c r="R3325">
        <v>-1.4236560000000001E-2</v>
      </c>
      <c r="S3325">
        <v>3.015228</v>
      </c>
      <c r="T3325">
        <v>-0.11521199999999999</v>
      </c>
      <c r="U3325">
        <v>-3.0288700000000002E-2</v>
      </c>
      <c r="V3325">
        <v>1.957532E-2</v>
      </c>
      <c r="W3325">
        <v>-0.13194700000000001</v>
      </c>
      <c r="X3325">
        <v>0.99106349999999999</v>
      </c>
      <c r="Y3325">
        <v>1.5338630000000001E-2</v>
      </c>
      <c r="Z3325">
        <v>-5.2926310000000001E-4</v>
      </c>
      <c r="AA3325">
        <v>0.99988220000000005</v>
      </c>
      <c r="AB3325">
        <v>29</v>
      </c>
      <c r="AC3325">
        <v>29.054199999999899</v>
      </c>
      <c r="AD3325">
        <v>-1.121023799879</v>
      </c>
      <c r="AE3325">
        <v>-0.29650000000000798</v>
      </c>
      <c r="AF3325">
        <v>0.45013801164897599</v>
      </c>
      <c r="AG3325">
        <v>-1.121023799879</v>
      </c>
      <c r="AH3325">
        <v>29.009033727807601</v>
      </c>
      <c r="AI3325">
        <v>92.212768242688</v>
      </c>
      <c r="AJ3325">
        <v>89.111003186131995</v>
      </c>
      <c r="AK3325">
        <v>29.034175662665302</v>
      </c>
      <c r="AL3325">
        <v>97.582116268287194</v>
      </c>
      <c r="AM3325">
        <v>88.868450511488902</v>
      </c>
      <c r="AN3325">
        <v>1.0000000324971701</v>
      </c>
    </row>
    <row r="3326" spans="1:40" x14ac:dyDescent="0.25">
      <c r="A3326" t="str">
        <f>"20190303154536271"</f>
        <v>20190303154536271</v>
      </c>
      <c r="B3326" t="str">
        <f>"1551599136264554"</f>
        <v>1551599136264554</v>
      </c>
      <c r="C3326" t="s">
        <v>40</v>
      </c>
      <c r="D3326">
        <v>4.8836729999999999</v>
      </c>
      <c r="E3326">
        <v>0.49967909999999999</v>
      </c>
      <c r="F3326" t="s">
        <v>55</v>
      </c>
      <c r="G3326">
        <v>-276.99990000000003</v>
      </c>
      <c r="H3326" s="1">
        <v>2.217286E-6</v>
      </c>
      <c r="I3326">
        <v>213.95169999999999</v>
      </c>
      <c r="J3326">
        <v>-305.714</v>
      </c>
      <c r="K3326">
        <v>1.1210199999999999</v>
      </c>
      <c r="L3326">
        <v>214.24709999999999</v>
      </c>
      <c r="M3326">
        <v>0.99988359999999998</v>
      </c>
      <c r="N3326">
        <v>-1.416269E-2</v>
      </c>
      <c r="O3326">
        <v>5.6831269999999996E-3</v>
      </c>
      <c r="P3326">
        <v>0.98921530000000002</v>
      </c>
      <c r="Q3326">
        <v>-0.1458151</v>
      </c>
      <c r="R3326">
        <v>-1.38274E-2</v>
      </c>
      <c r="S3326">
        <v>3.0151669999999999</v>
      </c>
      <c r="T3326">
        <v>-0.1164674</v>
      </c>
      <c r="U3326">
        <v>-3.04718E-2</v>
      </c>
      <c r="V3326">
        <v>1.9532600000000001E-2</v>
      </c>
      <c r="W3326">
        <v>-0.1317796</v>
      </c>
      <c r="X3326">
        <v>0.99108660000000004</v>
      </c>
      <c r="Y3326">
        <v>1.5771130000000001E-2</v>
      </c>
      <c r="Z3326">
        <v>-5.5518709999999999E-4</v>
      </c>
      <c r="AA3326">
        <v>0.99987550000000003</v>
      </c>
      <c r="AB3326">
        <v>29</v>
      </c>
      <c r="AC3326">
        <v>28.714099999999899</v>
      </c>
      <c r="AD3326">
        <v>-1.121017782714</v>
      </c>
      <c r="AE3326">
        <v>-0.2954</v>
      </c>
      <c r="AF3326">
        <v>0.45789962159665898</v>
      </c>
      <c r="AG3326">
        <v>-1.121017782714</v>
      </c>
      <c r="AH3326">
        <v>28.6682664301245</v>
      </c>
      <c r="AI3326">
        <v>92.239015817553906</v>
      </c>
      <c r="AJ3326">
        <v>89.084929494666795</v>
      </c>
      <c r="AK3326">
        <v>28.693829529033302</v>
      </c>
      <c r="AL3326">
        <v>97.572440582633405</v>
      </c>
      <c r="AM3326">
        <v>88.870945606541198</v>
      </c>
      <c r="AN3326">
        <v>1.00000001706923</v>
      </c>
    </row>
    <row r="3327" spans="1:40" x14ac:dyDescent="0.25">
      <c r="A3327" t="str">
        <f>"20190303154536291"</f>
        <v>20190303154536291</v>
      </c>
      <c r="B3327" t="str">
        <f>"1551599136284074"</f>
        <v>1551599136284074</v>
      </c>
      <c r="C3327" t="s">
        <v>40</v>
      </c>
      <c r="D3327">
        <v>4.9018560000000004</v>
      </c>
      <c r="E3327">
        <v>0.49976490000000001</v>
      </c>
      <c r="F3327" t="s">
        <v>55</v>
      </c>
      <c r="G3327">
        <v>-276.58760000000001</v>
      </c>
      <c r="H3327" s="1">
        <v>1.9973739999999998E-6</v>
      </c>
      <c r="I3327">
        <v>213.96279999999999</v>
      </c>
      <c r="J3327">
        <v>-305.44749999999999</v>
      </c>
      <c r="K3327">
        <v>1.121008</v>
      </c>
      <c r="L3327">
        <v>214.249</v>
      </c>
      <c r="M3327">
        <v>0.99988169999999998</v>
      </c>
      <c r="N3327">
        <v>-1.4159919999999999E-2</v>
      </c>
      <c r="O3327">
        <v>5.9957989999999996E-3</v>
      </c>
      <c r="P3327">
        <v>0.98924020000000001</v>
      </c>
      <c r="Q3327">
        <v>-0.14567949999999999</v>
      </c>
      <c r="R3327">
        <v>-1.347188E-2</v>
      </c>
      <c r="S3327">
        <v>3.015228</v>
      </c>
      <c r="T3327">
        <v>-0.11605020000000001</v>
      </c>
      <c r="U3327">
        <v>-2.9434200000000001E-2</v>
      </c>
      <c r="V3327">
        <v>1.948362E-2</v>
      </c>
      <c r="W3327">
        <v>-0.13164679999999901</v>
      </c>
      <c r="X3327">
        <v>0.99110520000000002</v>
      </c>
      <c r="Y3327">
        <v>1.5739610000000001E-2</v>
      </c>
      <c r="Z3327">
        <v>-5.6006879999999999E-4</v>
      </c>
      <c r="AA3327">
        <v>0.99987599999999999</v>
      </c>
      <c r="AB3327">
        <v>29</v>
      </c>
      <c r="AC3327">
        <v>28.8598999999999</v>
      </c>
      <c r="AD3327">
        <v>-1.121006002626</v>
      </c>
      <c r="AE3327">
        <v>-0.28620000000003598</v>
      </c>
      <c r="AF3327">
        <v>0.45855857910352399</v>
      </c>
      <c r="AG3327">
        <v>-1.121006002626</v>
      </c>
      <c r="AH3327">
        <v>28.8141949329647</v>
      </c>
      <c r="AI3327">
        <v>92.227666524377796</v>
      </c>
      <c r="AJ3327">
        <v>89.088253078650197</v>
      </c>
      <c r="AK3327">
        <v>28.8396386950891</v>
      </c>
      <c r="AL3327">
        <v>97.564764927213901</v>
      </c>
      <c r="AM3327">
        <v>88.873797226550494</v>
      </c>
      <c r="AN3327">
        <v>1.0000000044327899</v>
      </c>
    </row>
    <row r="3328" spans="1:40" x14ac:dyDescent="0.25">
      <c r="A3328" t="str">
        <f>"20190303154536315"</f>
        <v>20190303154536315</v>
      </c>
      <c r="B3328" t="str">
        <f>"1551599136304570"</f>
        <v>1551599136304570</v>
      </c>
      <c r="C3328" t="s">
        <v>40</v>
      </c>
      <c r="D3328">
        <v>4.9851289999999997</v>
      </c>
      <c r="E3328">
        <v>0.49984580000000001</v>
      </c>
      <c r="F3328" t="s">
        <v>55</v>
      </c>
      <c r="G3328">
        <v>-276.29390000000001</v>
      </c>
      <c r="H3328" s="1">
        <v>1.84076E-6</v>
      </c>
      <c r="I3328">
        <v>213.96969999999999</v>
      </c>
      <c r="J3328">
        <v>-305.1601</v>
      </c>
      <c r="K3328">
        <v>1.1209929999999999</v>
      </c>
      <c r="L3328">
        <v>214.25110000000001</v>
      </c>
      <c r="M3328">
        <v>0.99987979999999999</v>
      </c>
      <c r="N3328">
        <v>-1.415691E-2</v>
      </c>
      <c r="O3328">
        <v>6.3167500000000003E-3</v>
      </c>
      <c r="P3328">
        <v>0.9892668</v>
      </c>
      <c r="Q3328">
        <v>-0.14557800000000001</v>
      </c>
      <c r="R3328">
        <v>-1.259507E-2</v>
      </c>
      <c r="S3328">
        <v>3.0151979999999998</v>
      </c>
      <c r="T3328">
        <v>-0.1159393</v>
      </c>
      <c r="U3328">
        <v>-2.888489E-2</v>
      </c>
      <c r="V3328">
        <v>1.8920530000000001E-2</v>
      </c>
      <c r="W3328">
        <v>-0.1315489</v>
      </c>
      <c r="X3328">
        <v>0.99112909999999999</v>
      </c>
      <c r="Y3328">
        <v>1.587831E-2</v>
      </c>
      <c r="Z3328">
        <v>-5.710003E-4</v>
      </c>
      <c r="AA3328">
        <v>0.99987380000000003</v>
      </c>
      <c r="AB3328">
        <v>29</v>
      </c>
      <c r="AC3328">
        <v>28.8661999999999</v>
      </c>
      <c r="AD3328">
        <v>-1.1209911592399999</v>
      </c>
      <c r="AE3328">
        <v>-0.28140000000001902</v>
      </c>
      <c r="AF3328">
        <v>0.46305497568713599</v>
      </c>
      <c r="AG3328">
        <v>-1.1209911592399999</v>
      </c>
      <c r="AH3328">
        <v>28.820386871947498</v>
      </c>
      <c r="AI3328">
        <v>92.227153513208506</v>
      </c>
      <c r="AJ3328">
        <v>89.079512246144205</v>
      </c>
      <c r="AK3328">
        <v>28.845896424592699</v>
      </c>
      <c r="AL3328">
        <v>97.559106522326502</v>
      </c>
      <c r="AM3328">
        <v>88.906363603318496</v>
      </c>
      <c r="AN3328">
        <v>0.99999999620674995</v>
      </c>
    </row>
    <row r="3329" spans="1:40" x14ac:dyDescent="0.25">
      <c r="A3329" t="str">
        <f>"20190303154536336"</f>
        <v>20190303154536336</v>
      </c>
      <c r="B3329" t="str">
        <f>"1551599136333851"</f>
        <v>1551599136333851</v>
      </c>
      <c r="C3329" t="s">
        <v>40</v>
      </c>
      <c r="D3329">
        <v>4.8505469999999997</v>
      </c>
      <c r="E3329">
        <v>0.49992950000000003</v>
      </c>
      <c r="F3329" t="s">
        <v>55</v>
      </c>
      <c r="G3329">
        <v>-275.96179999999998</v>
      </c>
      <c r="H3329" s="1">
        <v>1.6630790000000001E-6</v>
      </c>
      <c r="I3329">
        <v>213.99170000000001</v>
      </c>
      <c r="J3329">
        <v>-304.87540000000001</v>
      </c>
      <c r="K3329">
        <v>1.1209720000000001</v>
      </c>
      <c r="L3329">
        <v>214.25319999999999</v>
      </c>
      <c r="M3329">
        <v>0.99987800000000004</v>
      </c>
      <c r="N3329">
        <v>-1.4153880000000001E-2</v>
      </c>
      <c r="O3329">
        <v>6.6130859999999998E-3</v>
      </c>
      <c r="P3329">
        <v>0.98922129999999997</v>
      </c>
      <c r="Q3329">
        <v>-0.14598620000000001</v>
      </c>
      <c r="R3329">
        <v>-1.136969E-2</v>
      </c>
      <c r="S3329">
        <v>3.0151669999999999</v>
      </c>
      <c r="T3329">
        <v>-0.1157595</v>
      </c>
      <c r="U3329">
        <v>-2.6779170000000001E-2</v>
      </c>
      <c r="V3329">
        <v>1.7983369999999999E-2</v>
      </c>
      <c r="W3329">
        <v>-0.13196189999999999</v>
      </c>
      <c r="X3329">
        <v>0.99109170000000002</v>
      </c>
      <c r="Y3329">
        <v>1.547688E-2</v>
      </c>
      <c r="Z3329">
        <v>-5.6678640000000003E-4</v>
      </c>
      <c r="AA3329">
        <v>0.99988010000000005</v>
      </c>
      <c r="AB3329">
        <v>29</v>
      </c>
      <c r="AC3329">
        <v>28.913599999999999</v>
      </c>
      <c r="AD3329">
        <v>-1.12097033692099</v>
      </c>
      <c r="AE3329">
        <v>-0.26149999999998302</v>
      </c>
      <c r="AF3329">
        <v>0.45204214911634599</v>
      </c>
      <c r="AG3329">
        <v>-1.12097033692099</v>
      </c>
      <c r="AH3329">
        <v>28.8678508125635</v>
      </c>
      <c r="AI3329">
        <v>92.223468459898697</v>
      </c>
      <c r="AJ3329">
        <v>89.102877770761495</v>
      </c>
      <c r="AK3329">
        <v>28.893143254711099</v>
      </c>
      <c r="AL3329">
        <v>97.582977363352299</v>
      </c>
      <c r="AM3329">
        <v>88.960481513003501</v>
      </c>
      <c r="AN3329">
        <v>1.0000000512285201</v>
      </c>
    </row>
    <row r="3330" spans="1:40" x14ac:dyDescent="0.25">
      <c r="A3330" t="str">
        <f>"20190303154536359"</f>
        <v>20190303154536359</v>
      </c>
      <c r="B3330" t="str">
        <f>"1551599136354346"</f>
        <v>1551599136354346</v>
      </c>
      <c r="C3330" t="s">
        <v>40</v>
      </c>
      <c r="D3330">
        <v>4.8418010000000002</v>
      </c>
      <c r="E3330">
        <v>0.50000270000000002</v>
      </c>
      <c r="F3330" t="s">
        <v>55</v>
      </c>
      <c r="G3330">
        <v>-276.10590000000002</v>
      </c>
      <c r="H3330" s="1">
        <v>1.738117E-6</v>
      </c>
      <c r="I3330">
        <v>214.029</v>
      </c>
      <c r="J3330">
        <v>-304.58539999999999</v>
      </c>
      <c r="K3330">
        <v>1.120951</v>
      </c>
      <c r="L3330">
        <v>214.25540000000001</v>
      </c>
      <c r="M3330">
        <v>0.99987630000000005</v>
      </c>
      <c r="N3330">
        <v>-1.4150799999999899E-2</v>
      </c>
      <c r="O3330">
        <v>6.8895140000000002E-3</v>
      </c>
      <c r="P3330">
        <v>0.98916809999999999</v>
      </c>
      <c r="Q3330">
        <v>-0.14642639999999901</v>
      </c>
      <c r="R3330">
        <v>-1.02886E-2</v>
      </c>
      <c r="S3330">
        <v>3.0150450000000002</v>
      </c>
      <c r="T3330">
        <v>-0.117477399999999</v>
      </c>
      <c r="U3330">
        <v>-2.3498539999999998E-2</v>
      </c>
      <c r="V3330">
        <v>1.7169319999999998E-2</v>
      </c>
      <c r="W3330">
        <v>-0.1324071</v>
      </c>
      <c r="X3330">
        <v>0.99104669999999895</v>
      </c>
      <c r="Y3330">
        <v>1.466604E-2</v>
      </c>
      <c r="Z3330">
        <v>-5.6030139999999995E-4</v>
      </c>
      <c r="AA3330">
        <v>0.99989229999999996</v>
      </c>
      <c r="AB3330">
        <v>29</v>
      </c>
      <c r="AC3330">
        <v>28.479499999999899</v>
      </c>
      <c r="AD3330">
        <v>-1.1209492618829999</v>
      </c>
      <c r="AE3330">
        <v>-0.226399999999983</v>
      </c>
      <c r="AF3330">
        <v>0.421970480845902</v>
      </c>
      <c r="AG3330">
        <v>-1.1209492618829999</v>
      </c>
      <c r="AH3330">
        <v>28.4332180917486</v>
      </c>
      <c r="AI3330">
        <v>92.257407435410997</v>
      </c>
      <c r="AJ3330">
        <v>89.149749676609304</v>
      </c>
      <c r="AK3330">
        <v>28.458434204772399</v>
      </c>
      <c r="AL3330">
        <v>97.608711695687802</v>
      </c>
      <c r="AM3330">
        <v>89.007482519938193</v>
      </c>
      <c r="AN3330">
        <v>0.99999999363028103</v>
      </c>
    </row>
    <row r="3331" spans="1:40" x14ac:dyDescent="0.25">
      <c r="A3331" t="str">
        <f>"20190303154536383"</f>
        <v>20190303154536383</v>
      </c>
      <c r="B3331" t="str">
        <f>"1551599136374843"</f>
        <v>1551599136374843</v>
      </c>
      <c r="C3331" t="s">
        <v>40</v>
      </c>
      <c r="D3331">
        <v>4.8836069999999996</v>
      </c>
      <c r="E3331">
        <v>0.50008790000000003</v>
      </c>
      <c r="F3331" t="s">
        <v>55</v>
      </c>
      <c r="G3331">
        <v>-276.35309999999998</v>
      </c>
      <c r="H3331" s="1">
        <v>1.868378E-6</v>
      </c>
      <c r="I3331">
        <v>214.05940000000001</v>
      </c>
      <c r="J3331">
        <v>-304.2867</v>
      </c>
      <c r="K3331">
        <v>1.120932</v>
      </c>
      <c r="L3331">
        <v>214.2578</v>
      </c>
      <c r="M3331">
        <v>0.9998745</v>
      </c>
      <c r="N3331">
        <v>-1.4147430000000001E-2</v>
      </c>
      <c r="O3331">
        <v>7.1439669999999898E-3</v>
      </c>
      <c r="P3331">
        <v>0.98906550000000004</v>
      </c>
      <c r="Q3331">
        <v>-0.1471604</v>
      </c>
      <c r="R3331">
        <v>-9.6754679999999996E-3</v>
      </c>
      <c r="S3331">
        <v>3.0148619999999999</v>
      </c>
      <c r="T3331">
        <v>-0.1197039</v>
      </c>
      <c r="U3331">
        <v>-2.0935059999999998E-2</v>
      </c>
      <c r="V3331">
        <v>1.680019E-2</v>
      </c>
      <c r="W3331">
        <v>-0.13314690000000001</v>
      </c>
      <c r="X3331">
        <v>0.99095390000000005</v>
      </c>
      <c r="Y3331">
        <v>1.407075E-2</v>
      </c>
      <c r="Z3331">
        <v>-5.6130129999999896E-4</v>
      </c>
      <c r="AA3331">
        <v>0.99990080000000003</v>
      </c>
      <c r="AB3331">
        <v>29</v>
      </c>
      <c r="AC3331">
        <v>27.933599999999998</v>
      </c>
      <c r="AD3331">
        <v>-1.1209301316219999</v>
      </c>
      <c r="AE3331">
        <v>-0.198399999999992</v>
      </c>
      <c r="AF3331">
        <v>0.397331820229471</v>
      </c>
      <c r="AG3331">
        <v>-1.1209301316219999</v>
      </c>
      <c r="AH3331">
        <v>27.886566422107599</v>
      </c>
      <c r="AI3331">
        <v>92.301592131746901</v>
      </c>
      <c r="AJ3331">
        <v>89.183696706353004</v>
      </c>
      <c r="AK3331">
        <v>27.9119140108658</v>
      </c>
      <c r="AL3331">
        <v>97.651477814261796</v>
      </c>
      <c r="AM3331">
        <v>89.028725982728503</v>
      </c>
      <c r="AN3331">
        <v>0.99999998764442799</v>
      </c>
    </row>
    <row r="3332" spans="1:40" x14ac:dyDescent="0.25">
      <c r="A3332" t="str">
        <f>"20190303154536407"</f>
        <v>20190303154536407</v>
      </c>
      <c r="B3332" t="str">
        <f>"1551599136394363"</f>
        <v>1551599136394363</v>
      </c>
      <c r="C3332" t="s">
        <v>40</v>
      </c>
      <c r="D3332">
        <v>4.8938249999999996</v>
      </c>
      <c r="E3332">
        <v>0.50015639999999995</v>
      </c>
      <c r="F3332" t="s">
        <v>55</v>
      </c>
      <c r="G3332">
        <v>-276.75850000000003</v>
      </c>
      <c r="H3332" s="1">
        <v>2.0833640000000001E-6</v>
      </c>
      <c r="I3332">
        <v>214.0754</v>
      </c>
      <c r="J3332">
        <v>-303.9796</v>
      </c>
      <c r="K3332">
        <v>1.1209039999999999</v>
      </c>
      <c r="L3332">
        <v>214.2603</v>
      </c>
      <c r="M3332">
        <v>0.99987289999999995</v>
      </c>
      <c r="N3332">
        <v>-1.414403E-2</v>
      </c>
      <c r="O3332">
        <v>7.3728980000000001E-3</v>
      </c>
      <c r="P3332">
        <v>0.98903160000000001</v>
      </c>
      <c r="Q3332">
        <v>-0.14742189999999999</v>
      </c>
      <c r="R3332">
        <v>-9.1411010000000004E-3</v>
      </c>
      <c r="S3332">
        <v>3.0147089999999999</v>
      </c>
      <c r="T3332">
        <v>-0.1227567</v>
      </c>
      <c r="U3332">
        <v>-1.9973749999999998E-2</v>
      </c>
      <c r="V3332">
        <v>1.648496E-2</v>
      </c>
      <c r="W3332">
        <v>-0.13341320000000001</v>
      </c>
      <c r="X3332">
        <v>0.99092340000000001</v>
      </c>
      <c r="Y3332">
        <v>1.3980370000000001E-2</v>
      </c>
      <c r="Z3332">
        <v>-5.7927719999999996E-4</v>
      </c>
      <c r="AA3332">
        <v>0.99990210000000002</v>
      </c>
      <c r="AB3332">
        <v>29</v>
      </c>
      <c r="AC3332">
        <v>27.2210999999999</v>
      </c>
      <c r="AD3332">
        <v>-1.1209019166359999</v>
      </c>
      <c r="AE3332">
        <v>-0.18489999999999801</v>
      </c>
      <c r="AF3332">
        <v>0.38496071235268398</v>
      </c>
      <c r="AG3332">
        <v>-1.1209019166359999</v>
      </c>
      <c r="AH3332">
        <v>27.172924257691101</v>
      </c>
      <c r="AI3332">
        <v>92.361914562016494</v>
      </c>
      <c r="AJ3332">
        <v>89.188340995860102</v>
      </c>
      <c r="AK3332">
        <v>27.198757849780399</v>
      </c>
      <c r="AL3332">
        <v>97.666872855900095</v>
      </c>
      <c r="AM3332">
        <v>89.046917739091199</v>
      </c>
      <c r="AN3332">
        <v>1.0000000102540001</v>
      </c>
    </row>
    <row r="3333" spans="1:40" x14ac:dyDescent="0.25">
      <c r="A3333" t="str">
        <f>"20190303154536428"</f>
        <v>20190303154536428</v>
      </c>
      <c r="B3333" t="str">
        <f>"1551599136424620"</f>
        <v>1551599136424620</v>
      </c>
      <c r="C3333" t="s">
        <v>40</v>
      </c>
      <c r="D3333">
        <v>4.9809609999999997</v>
      </c>
      <c r="E3333">
        <v>0.5002875</v>
      </c>
      <c r="F3333" t="s">
        <v>55</v>
      </c>
      <c r="G3333">
        <v>-276.83449999999999</v>
      </c>
      <c r="H3333" s="1">
        <v>2.123151E-6</v>
      </c>
      <c r="I3333">
        <v>214.09059999999999</v>
      </c>
      <c r="J3333">
        <v>-303.70420000000001</v>
      </c>
      <c r="K3333">
        <v>1.120886</v>
      </c>
      <c r="L3333">
        <v>214.26249999999999</v>
      </c>
      <c r="M3333">
        <v>0.99987139999999997</v>
      </c>
      <c r="N3333">
        <v>-1.414119E-2</v>
      </c>
      <c r="O3333">
        <v>7.5570309999999996E-3</v>
      </c>
      <c r="P3333">
        <v>0.98905089999999996</v>
      </c>
      <c r="Q3333">
        <v>-0.14726639999999999</v>
      </c>
      <c r="R3333">
        <v>-9.5548930000000001E-3</v>
      </c>
      <c r="S3333">
        <v>3.0145870000000001</v>
      </c>
      <c r="T3333">
        <v>-0.1244813</v>
      </c>
      <c r="U3333">
        <v>-1.88446E-2</v>
      </c>
      <c r="V3333">
        <v>1.7075119999999999E-2</v>
      </c>
      <c r="W3333">
        <v>-0.13326089999999999</v>
      </c>
      <c r="X3333">
        <v>0.99093390000000003</v>
      </c>
      <c r="Y3333">
        <v>1.3789920000000001E-2</v>
      </c>
      <c r="Z3333">
        <v>-5.8723010000000003E-4</v>
      </c>
      <c r="AA3333">
        <v>0.99990480000000004</v>
      </c>
      <c r="AB3333">
        <v>29</v>
      </c>
      <c r="AC3333">
        <v>26.869700000000002</v>
      </c>
      <c r="AD3333">
        <v>-1.1208838768489999</v>
      </c>
      <c r="AE3333">
        <v>-0.171899999999993</v>
      </c>
      <c r="AF3333">
        <v>0.37431920417909598</v>
      </c>
      <c r="AG3333">
        <v>-1.1208838768489999</v>
      </c>
      <c r="AH3333">
        <v>26.820961859283599</v>
      </c>
      <c r="AI3333">
        <v>92.392841990761099</v>
      </c>
      <c r="AJ3333">
        <v>89.200419492137897</v>
      </c>
      <c r="AK3333">
        <v>26.8469828954604</v>
      </c>
      <c r="AL3333">
        <v>97.658068085507907</v>
      </c>
      <c r="AM3333">
        <v>89.012814578848605</v>
      </c>
      <c r="AN3333">
        <v>1.00000001068051</v>
      </c>
    </row>
    <row r="3334" spans="1:40" x14ac:dyDescent="0.25">
      <c r="A3334" t="str">
        <f>"20190303154536449"</f>
        <v>20190303154536449</v>
      </c>
      <c r="B3334" t="str">
        <f>"1551599136444139"</f>
        <v>1551599136444139</v>
      </c>
      <c r="C3334" t="s">
        <v>40</v>
      </c>
      <c r="D3334">
        <v>4.9476389999999997</v>
      </c>
      <c r="E3334">
        <v>0.50040129999999905</v>
      </c>
      <c r="F3334" t="s">
        <v>55</v>
      </c>
      <c r="G3334">
        <v>-276.73140000000001</v>
      </c>
      <c r="H3334" s="1">
        <v>2.0690480000000001E-6</v>
      </c>
      <c r="I3334">
        <v>214.07400000000001</v>
      </c>
      <c r="J3334">
        <v>-303.43380000000002</v>
      </c>
      <c r="K3334">
        <v>1.120873</v>
      </c>
      <c r="L3334">
        <v>214.26480000000001</v>
      </c>
      <c r="M3334">
        <v>0.99987029999999999</v>
      </c>
      <c r="N3334">
        <v>-1.4138309999999999E-2</v>
      </c>
      <c r="O3334">
        <v>7.7203590000000004E-3</v>
      </c>
      <c r="P3334">
        <v>0.98922149999999998</v>
      </c>
      <c r="Q3334">
        <v>-0.146093</v>
      </c>
      <c r="R3334">
        <v>-9.8894150000000004E-3</v>
      </c>
      <c r="S3334">
        <v>3.014313</v>
      </c>
      <c r="T3334">
        <v>-0.12526319999999999</v>
      </c>
      <c r="U3334">
        <v>-2.107239E-2</v>
      </c>
      <c r="V3334">
        <v>1.7567610000000001E-2</v>
      </c>
      <c r="W3334">
        <v>-0.1320885</v>
      </c>
      <c r="X3334">
        <v>0.99108229999999997</v>
      </c>
      <c r="Y3334">
        <v>1.469144E-2</v>
      </c>
      <c r="Z3334">
        <v>-6.2060689999999998E-4</v>
      </c>
      <c r="AA3334">
        <v>0.99989189999999994</v>
      </c>
      <c r="AB3334">
        <v>28</v>
      </c>
      <c r="AC3334">
        <v>26.702400000000001</v>
      </c>
      <c r="AD3334">
        <v>-1.120870930952</v>
      </c>
      <c r="AE3334">
        <v>-0.190799999999995</v>
      </c>
      <c r="AF3334">
        <v>0.39626882466685098</v>
      </c>
      <c r="AG3334">
        <v>-1.120870930952</v>
      </c>
      <c r="AH3334">
        <v>26.653169855987901</v>
      </c>
      <c r="AI3334">
        <v>92.407828820087701</v>
      </c>
      <c r="AJ3334">
        <v>89.148211689735305</v>
      </c>
      <c r="AK3334">
        <v>26.679670987427802</v>
      </c>
      <c r="AL3334">
        <v>97.590295005373207</v>
      </c>
      <c r="AM3334">
        <v>88.984499562007699</v>
      </c>
      <c r="AN3334">
        <v>1.00000005906332</v>
      </c>
    </row>
    <row r="3335" spans="1:40" x14ac:dyDescent="0.25">
      <c r="A3335" t="str">
        <f>"20190303154536475"</f>
        <v>20190303154536475</v>
      </c>
      <c r="B3335" t="str">
        <f>"1551599136464635"</f>
        <v>1551599136464635</v>
      </c>
      <c r="C3335" t="s">
        <v>40</v>
      </c>
      <c r="D3335">
        <v>4.9538149999999996</v>
      </c>
      <c r="E3335">
        <v>0.50050899999999998</v>
      </c>
      <c r="F3335" t="s">
        <v>55</v>
      </c>
      <c r="G3335">
        <v>-275.85120000000001</v>
      </c>
      <c r="H3335" s="1">
        <v>1.6014780000000001E-6</v>
      </c>
      <c r="I3335">
        <v>214.05439999999999</v>
      </c>
      <c r="J3335">
        <v>-303.11329999999998</v>
      </c>
      <c r="K3335">
        <v>1.1208689999999999</v>
      </c>
      <c r="L3335">
        <v>214.26750000000001</v>
      </c>
      <c r="M3335">
        <v>0.99986900000000001</v>
      </c>
      <c r="N3335">
        <v>-1.4134900000000001E-2</v>
      </c>
      <c r="O3335">
        <v>7.8951409999999996E-3</v>
      </c>
      <c r="P3335">
        <v>0.98943700000000001</v>
      </c>
      <c r="Q3335">
        <v>-0.14459549999999999</v>
      </c>
      <c r="R3335">
        <v>-1.031929E-2</v>
      </c>
      <c r="S3335">
        <v>3.0144039999999999</v>
      </c>
      <c r="T3335">
        <v>-0.1224958</v>
      </c>
      <c r="U3335">
        <v>-2.2995000000000002E-2</v>
      </c>
      <c r="V3335">
        <v>1.8167329999999999E-2</v>
      </c>
      <c r="W3335">
        <v>-0.13059209999999999</v>
      </c>
      <c r="X3335">
        <v>0.99126970000000003</v>
      </c>
      <c r="Y3335">
        <v>1.5503589999999999E-2</v>
      </c>
      <c r="Z3335">
        <v>-6.3363779999999999E-4</v>
      </c>
      <c r="AA3335">
        <v>0.99987959999999998</v>
      </c>
      <c r="AB3335">
        <v>28</v>
      </c>
      <c r="AC3335">
        <v>27.262099999999901</v>
      </c>
      <c r="AD3335">
        <v>-1.1208673985219999</v>
      </c>
      <c r="AE3335">
        <v>-0.21310000000002499</v>
      </c>
      <c r="AF3335">
        <v>0.42763014727264798</v>
      </c>
      <c r="AG3335">
        <v>-1.1208673985219999</v>
      </c>
      <c r="AH3335">
        <v>27.213568481289201</v>
      </c>
      <c r="AI3335">
        <v>92.358263992563593</v>
      </c>
      <c r="AJ3335">
        <v>89.099736358553997</v>
      </c>
      <c r="AK3335">
        <v>27.239998545406401</v>
      </c>
      <c r="AL3335">
        <v>97.503808965339303</v>
      </c>
      <c r="AM3335">
        <v>88.950038709742003</v>
      </c>
      <c r="AN3335">
        <v>0.99999998329991402</v>
      </c>
    </row>
    <row r="3336" spans="1:40" x14ac:dyDescent="0.25">
      <c r="A3336" t="str">
        <f>"20190303154536495"</f>
        <v>20190303154536495</v>
      </c>
      <c r="B3336" t="str">
        <f>"1551599136484155"</f>
        <v>1551599136484155</v>
      </c>
      <c r="C3336" t="s">
        <v>40</v>
      </c>
      <c r="D3336">
        <v>4.9498519999999999</v>
      </c>
      <c r="E3336">
        <v>0.50060439999999995</v>
      </c>
      <c r="F3336" t="s">
        <v>55</v>
      </c>
      <c r="G3336">
        <v>-274.66739999999999</v>
      </c>
      <c r="H3336" s="1">
        <v>9.7253109999999995E-7</v>
      </c>
      <c r="I3336">
        <v>214.0309</v>
      </c>
      <c r="J3336">
        <v>-302.86079999999998</v>
      </c>
      <c r="K3336">
        <v>1.12087</v>
      </c>
      <c r="L3336">
        <v>214.2696</v>
      </c>
      <c r="M3336">
        <v>0.99986790000000003</v>
      </c>
      <c r="N3336">
        <v>-1.4132189999999999E-2</v>
      </c>
      <c r="O3336">
        <v>8.0218990000000007E-3</v>
      </c>
      <c r="P3336">
        <v>0.98955490000000002</v>
      </c>
      <c r="Q3336">
        <v>-0.14377599999999999</v>
      </c>
      <c r="R3336">
        <v>-1.0463399999999999E-2</v>
      </c>
      <c r="S3336">
        <v>3.0144350000000002</v>
      </c>
      <c r="T3336">
        <v>-0.1187792</v>
      </c>
      <c r="U3336">
        <v>-2.5070189999999999E-2</v>
      </c>
      <c r="V3336">
        <v>1.843471E-2</v>
      </c>
      <c r="W3336">
        <v>-0.129774</v>
      </c>
      <c r="X3336">
        <v>0.99137220000000004</v>
      </c>
      <c r="Y3336">
        <v>1.631881E-2</v>
      </c>
      <c r="Z3336">
        <v>-6.3937769999999905E-4</v>
      </c>
      <c r="AA3336">
        <v>0.9998667</v>
      </c>
      <c r="AB3336">
        <v>28</v>
      </c>
      <c r="AC3336">
        <v>28.1934</v>
      </c>
      <c r="AD3336">
        <v>-1.1208690274688999</v>
      </c>
      <c r="AE3336">
        <v>-0.238699999999994</v>
      </c>
      <c r="AF3336">
        <v>0.46414596169524203</v>
      </c>
      <c r="AG3336">
        <v>-1.1208690274688999</v>
      </c>
      <c r="AH3336">
        <v>28.146093855414101</v>
      </c>
      <c r="AI3336">
        <v>92.280189624615105</v>
      </c>
      <c r="AJ3336">
        <v>89.055243878864999</v>
      </c>
      <c r="AK3336">
        <v>28.1722270715021</v>
      </c>
      <c r="AL3336">
        <v>97.456532958779206</v>
      </c>
      <c r="AM3336">
        <v>88.934699435986801</v>
      </c>
      <c r="AN3336">
        <v>0.99999998427081105</v>
      </c>
    </row>
    <row r="3337" spans="1:40" x14ac:dyDescent="0.25">
      <c r="A3337" t="str">
        <f>"20190303154536517"</f>
        <v>20190303154536517</v>
      </c>
      <c r="B3337" t="str">
        <f>"1551599136504652"</f>
        <v>1551599136504652</v>
      </c>
      <c r="C3337" t="s">
        <v>40</v>
      </c>
      <c r="D3337">
        <v>4.9693389999999997</v>
      </c>
      <c r="E3337">
        <v>0.50067359999999905</v>
      </c>
      <c r="F3337" t="s">
        <v>55</v>
      </c>
      <c r="G3337">
        <v>-274.01220000000001</v>
      </c>
      <c r="H3337" s="1">
        <v>6.2435909999999998E-7</v>
      </c>
      <c r="I3337">
        <v>214.02019999999999</v>
      </c>
      <c r="J3337">
        <v>-302.58280000000002</v>
      </c>
      <c r="K3337">
        <v>1.1208659999999999</v>
      </c>
      <c r="L3337">
        <v>214.27199999999999</v>
      </c>
      <c r="M3337">
        <v>0.99986699999999995</v>
      </c>
      <c r="N3337">
        <v>-1.412921E-2</v>
      </c>
      <c r="O3337">
        <v>8.1537320000000003E-3</v>
      </c>
      <c r="P3337">
        <v>0.98954279999999994</v>
      </c>
      <c r="Q3337">
        <v>-0.1438381</v>
      </c>
      <c r="R3337">
        <v>-1.075396E-2</v>
      </c>
      <c r="S3337">
        <v>3.0143740000000001</v>
      </c>
      <c r="T3337">
        <v>-0.117119</v>
      </c>
      <c r="U3337">
        <v>-2.606201E-2</v>
      </c>
      <c r="V3337">
        <v>1.885293E-2</v>
      </c>
      <c r="W3337">
        <v>-0.1298396</v>
      </c>
      <c r="X3337">
        <v>0.99135580000000001</v>
      </c>
      <c r="Y3337">
        <v>1.6779789999999999E-2</v>
      </c>
      <c r="Z3337">
        <v>-6.4595349999999995E-4</v>
      </c>
      <c r="AA3337">
        <v>0.99985900000000005</v>
      </c>
      <c r="AB3337">
        <v>28</v>
      </c>
      <c r="AC3337">
        <v>28.570599999999999</v>
      </c>
      <c r="AD3337">
        <v>-1.1208653756408999</v>
      </c>
      <c r="AE3337">
        <v>-0.251800000000031</v>
      </c>
      <c r="AF3337">
        <v>0.484026973869007</v>
      </c>
      <c r="AG3337">
        <v>-1.1208653756408999</v>
      </c>
      <c r="AH3337">
        <v>28.5236991936663</v>
      </c>
      <c r="AI3337">
        <v>92.250009700087205</v>
      </c>
      <c r="AJ3337">
        <v>89.027824508173794</v>
      </c>
      <c r="AK3337">
        <v>28.549816759350801</v>
      </c>
      <c r="AL3337">
        <v>97.460323227256396</v>
      </c>
      <c r="AM3337">
        <v>88.910519181547897</v>
      </c>
      <c r="AN3337">
        <v>1.00000003844569</v>
      </c>
    </row>
    <row r="3338" spans="1:40" x14ac:dyDescent="0.25">
      <c r="A3338" t="str">
        <f>"20190303154536538"</f>
        <v>20190303154536538</v>
      </c>
      <c r="B3338" t="str">
        <f>"1551599136533930"</f>
        <v>1551599136533930</v>
      </c>
      <c r="C3338" t="s">
        <v>40</v>
      </c>
      <c r="D3338">
        <v>4.9900140000000004</v>
      </c>
      <c r="E3338">
        <v>0.50077170000000004</v>
      </c>
      <c r="F3338" t="s">
        <v>55</v>
      </c>
      <c r="G3338">
        <v>-274.0292</v>
      </c>
      <c r="H3338" s="1">
        <v>6.3389019999999905E-7</v>
      </c>
      <c r="I3338">
        <v>214.00970000000001</v>
      </c>
      <c r="J3338">
        <v>-302.31700000000001</v>
      </c>
      <c r="K3338">
        <v>1.120859</v>
      </c>
      <c r="L3338">
        <v>214.27430000000001</v>
      </c>
      <c r="M3338">
        <v>0.99986609999999998</v>
      </c>
      <c r="N3338">
        <v>-1.4126369999999999E-2</v>
      </c>
      <c r="O3338">
        <v>8.273674E-3</v>
      </c>
      <c r="P3338">
        <v>0.98954520000000001</v>
      </c>
      <c r="Q3338">
        <v>-0.14381279999999999</v>
      </c>
      <c r="R3338">
        <v>-1.0874770000000001E-2</v>
      </c>
      <c r="S3338">
        <v>3.0141909999999998</v>
      </c>
      <c r="T3338">
        <v>-0.11832139999999999</v>
      </c>
      <c r="U3338">
        <v>-2.7694699999999999E-2</v>
      </c>
      <c r="V3338">
        <v>1.9090340000000001E-2</v>
      </c>
      <c r="W3338">
        <v>-0.1298174</v>
      </c>
      <c r="X3338">
        <v>0.99135410000000002</v>
      </c>
      <c r="Y3338">
        <v>1.744068E-2</v>
      </c>
      <c r="Z3338">
        <v>-6.7323429999999998E-4</v>
      </c>
      <c r="AA3338">
        <v>0.99984770000000001</v>
      </c>
      <c r="AB3338">
        <v>28</v>
      </c>
      <c r="AC3338">
        <v>28.287800000000001</v>
      </c>
      <c r="AD3338">
        <v>-1.1208583661097999</v>
      </c>
      <c r="AE3338">
        <v>-0.264600000000001</v>
      </c>
      <c r="AF3338">
        <v>0.497876701997576</v>
      </c>
      <c r="AG3338">
        <v>-1.1208583661097999</v>
      </c>
      <c r="AH3338">
        <v>28.240308395775301</v>
      </c>
      <c r="AI3338">
        <v>92.272524798709796</v>
      </c>
      <c r="AJ3338">
        <v>88.989979910475</v>
      </c>
      <c r="AK3338">
        <v>28.266928078158202</v>
      </c>
      <c r="AL3338">
        <v>97.459040879673907</v>
      </c>
      <c r="AM3338">
        <v>88.896801113715</v>
      </c>
      <c r="AN3338">
        <v>0.99999997500544202</v>
      </c>
    </row>
    <row r="3339" spans="1:40" x14ac:dyDescent="0.25">
      <c r="A3339" t="str">
        <f>"20190303154536560"</f>
        <v>20190303154536560</v>
      </c>
      <c r="B3339" t="str">
        <f>"1551599136554426"</f>
        <v>1551599136554426</v>
      </c>
      <c r="C3339" t="s">
        <v>40</v>
      </c>
      <c r="D3339">
        <v>4.9905989999999996</v>
      </c>
      <c r="E3339">
        <v>0.5008302</v>
      </c>
      <c r="F3339" t="s">
        <v>55</v>
      </c>
      <c r="G3339">
        <v>-274.16750000000002</v>
      </c>
      <c r="H3339" s="1">
        <v>7.0775339999999997E-7</v>
      </c>
      <c r="I3339">
        <v>214.00360000000001</v>
      </c>
      <c r="J3339">
        <v>-302.04070000000002</v>
      </c>
      <c r="K3339">
        <v>1.1208579999999999</v>
      </c>
      <c r="L3339">
        <v>214.27670000000001</v>
      </c>
      <c r="M3339">
        <v>0.99986509999999995</v>
      </c>
      <c r="N3339">
        <v>-1.4123419999999999E-2</v>
      </c>
      <c r="O3339">
        <v>8.3929769999999994E-3</v>
      </c>
      <c r="P3339">
        <v>0.9896026</v>
      </c>
      <c r="Q3339">
        <v>-0.1434628</v>
      </c>
      <c r="R3339">
        <v>-1.026966E-2</v>
      </c>
      <c r="S3339">
        <v>3.0139469999999999</v>
      </c>
      <c r="T3339">
        <v>-0.12000950000000001</v>
      </c>
      <c r="U3339">
        <v>-2.8991699999999999E-2</v>
      </c>
      <c r="V3339">
        <v>1.8601530000000002E-2</v>
      </c>
      <c r="W3339">
        <v>-0.129469899999999</v>
      </c>
      <c r="X3339">
        <v>0.99140890000000004</v>
      </c>
      <c r="Y3339">
        <v>1.7989740000000001E-2</v>
      </c>
      <c r="Z3339">
        <v>-7.0066619999999895E-4</v>
      </c>
      <c r="AA3339">
        <v>0.99983789999999995</v>
      </c>
      <c r="AB3339">
        <v>28</v>
      </c>
      <c r="AC3339">
        <v>27.873200000000001</v>
      </c>
      <c r="AD3339">
        <v>-1.12085729224659</v>
      </c>
      <c r="AE3339">
        <v>-0.27309999999999901</v>
      </c>
      <c r="AF3339">
        <v>0.50623429149355803</v>
      </c>
      <c r="AG3339">
        <v>-1.12085729224659</v>
      </c>
      <c r="AH3339">
        <v>27.824935354963401</v>
      </c>
      <c r="AI3339">
        <v>92.306387422491696</v>
      </c>
      <c r="AJ3339">
        <v>88.957701488443504</v>
      </c>
      <c r="AK3339">
        <v>27.85210264478</v>
      </c>
      <c r="AL3339">
        <v>97.438960653505902</v>
      </c>
      <c r="AM3339">
        <v>88.925101316743493</v>
      </c>
      <c r="AN3339">
        <v>1.0000000394617701</v>
      </c>
    </row>
    <row r="3340" spans="1:40" x14ac:dyDescent="0.25">
      <c r="A3340" t="str">
        <f>"20190303154536584"</f>
        <v>20190303154536584</v>
      </c>
      <c r="B3340" t="str">
        <f>"1551599136573947"</f>
        <v>1551599136573947</v>
      </c>
      <c r="C3340" t="s">
        <v>40</v>
      </c>
      <c r="D3340">
        <v>5.196841</v>
      </c>
      <c r="E3340">
        <v>0.50088619999999995</v>
      </c>
      <c r="F3340" t="s">
        <v>55</v>
      </c>
      <c r="G3340">
        <v>-273.91180000000003</v>
      </c>
      <c r="H3340" s="1">
        <v>5.7092389999999999E-7</v>
      </c>
      <c r="I3340">
        <v>214.02010000000001</v>
      </c>
      <c r="J3340">
        <v>-301.74290000000002</v>
      </c>
      <c r="K3340">
        <v>1.1208499999999999</v>
      </c>
      <c r="L3340">
        <v>214.27940000000001</v>
      </c>
      <c r="M3340">
        <v>0.99986419999999998</v>
      </c>
      <c r="N3340">
        <v>-1.4120209999999999E-2</v>
      </c>
      <c r="O3340">
        <v>8.5129309999999996E-3</v>
      </c>
      <c r="P3340">
        <v>0.98958639999999998</v>
      </c>
      <c r="Q3340">
        <v>-0.143623</v>
      </c>
      <c r="R3340">
        <v>-9.5734449999999999E-3</v>
      </c>
      <c r="S3340">
        <v>3.0137939999999999</v>
      </c>
      <c r="T3340">
        <v>-0.120091</v>
      </c>
      <c r="U3340">
        <v>-2.7496340000000001E-2</v>
      </c>
      <c r="V3340">
        <v>1.8021969999999998E-2</v>
      </c>
      <c r="W3340">
        <v>-0.12963379999999999</v>
      </c>
      <c r="X3340">
        <v>0.99139820000000001</v>
      </c>
      <c r="Y3340">
        <v>1.7614459999999998E-2</v>
      </c>
      <c r="Z3340">
        <v>-6.9412899999999895E-4</v>
      </c>
      <c r="AA3340">
        <v>0.99984459999999997</v>
      </c>
      <c r="AB3340">
        <v>28</v>
      </c>
      <c r="AC3340">
        <v>27.8310999999999</v>
      </c>
      <c r="AD3340">
        <v>-1.1208494290761</v>
      </c>
      <c r="AE3340">
        <v>-0.25929999999999598</v>
      </c>
      <c r="AF3340">
        <v>0.49543493270051597</v>
      </c>
      <c r="AG3340">
        <v>-1.1208494290761</v>
      </c>
      <c r="AH3340">
        <v>27.782825634796801</v>
      </c>
      <c r="AI3340">
        <v>92.309878189105802</v>
      </c>
      <c r="AJ3340">
        <v>88.978386046491806</v>
      </c>
      <c r="AK3340">
        <v>27.809839256434401</v>
      </c>
      <c r="AL3340">
        <v>97.448431147714004</v>
      </c>
      <c r="AM3340">
        <v>88.958572748668701</v>
      </c>
      <c r="AN3340">
        <v>1.0000000522341701</v>
      </c>
    </row>
    <row r="3341" spans="1:40" x14ac:dyDescent="0.25">
      <c r="A3341" t="str">
        <f>"20190303154536628"</f>
        <v>20190303154536628</v>
      </c>
      <c r="B3341" t="str">
        <f>"1551599136624699"</f>
        <v>1551599136624699</v>
      </c>
      <c r="C3341" t="s">
        <v>40</v>
      </c>
      <c r="D3341">
        <v>4.9737359999999997</v>
      </c>
      <c r="E3341">
        <v>0.50101879999999999</v>
      </c>
      <c r="F3341" t="s">
        <v>55</v>
      </c>
      <c r="G3341">
        <v>-274.01069999999999</v>
      </c>
      <c r="H3341" s="1">
        <v>6.2266689999999998E-7</v>
      </c>
      <c r="I3341">
        <v>214.04060000000001</v>
      </c>
      <c r="J3341">
        <v>-301.18549999999999</v>
      </c>
      <c r="K3341">
        <v>1.1208209999999901</v>
      </c>
      <c r="L3341">
        <v>214.28440000000001</v>
      </c>
      <c r="M3341">
        <v>0.99986249999999999</v>
      </c>
      <c r="N3341">
        <v>-1.4114150000000001E-2</v>
      </c>
      <c r="O3341">
        <v>8.7118100000000004E-3</v>
      </c>
      <c r="P3341">
        <v>0.98939449999999995</v>
      </c>
      <c r="Q3341">
        <v>-0.14494029999999899</v>
      </c>
      <c r="R3341">
        <v>-9.5432889999999999E-3</v>
      </c>
      <c r="S3341">
        <v>3.0136409999999998</v>
      </c>
      <c r="T3341">
        <v>-0.1218022</v>
      </c>
      <c r="U3341">
        <v>-2.5955200000000001E-2</v>
      </c>
      <c r="V3341">
        <v>1.8182830000000001E-2</v>
      </c>
      <c r="W3341">
        <v>-0.1309604</v>
      </c>
      <c r="X3341">
        <v>0.99122080000000001</v>
      </c>
      <c r="Y3341">
        <v>1.7302209999999998E-2</v>
      </c>
      <c r="Z3341">
        <v>-7.0070429999999904E-4</v>
      </c>
      <c r="AA3341">
        <v>0.99985000000000002</v>
      </c>
      <c r="AB3341">
        <v>28</v>
      </c>
      <c r="AC3341">
        <v>27.174800000000001</v>
      </c>
      <c r="AD3341">
        <v>-1.12082037733309</v>
      </c>
      <c r="AE3341">
        <v>-0.24379999999999299</v>
      </c>
      <c r="AF3341">
        <v>0.479739972329363</v>
      </c>
      <c r="AG3341">
        <v>-1.12082037733309</v>
      </c>
      <c r="AH3341">
        <v>27.125503911983898</v>
      </c>
      <c r="AI3341">
        <v>92.365734609523102</v>
      </c>
      <c r="AJ3341">
        <v>88.986776047034397</v>
      </c>
      <c r="AK3341">
        <v>27.152888451108701</v>
      </c>
      <c r="AL3341">
        <v>97.525093988887207</v>
      </c>
      <c r="AM3341">
        <v>88.949091274305403</v>
      </c>
      <c r="AN3341">
        <v>0.99999995801380304</v>
      </c>
    </row>
    <row r="3342" spans="1:40" x14ac:dyDescent="0.25">
      <c r="A3342" t="str">
        <f>"20190303154536649"</f>
        <v>20190303154536649</v>
      </c>
      <c r="B3342" t="str">
        <f>"1551599136644219"</f>
        <v>1551599136644219</v>
      </c>
      <c r="C3342" t="s">
        <v>40</v>
      </c>
      <c r="D3342">
        <v>4.9968110000000001</v>
      </c>
      <c r="E3342">
        <v>0.50107679999999999</v>
      </c>
      <c r="F3342" t="s">
        <v>55</v>
      </c>
      <c r="G3342">
        <v>-274.99310000000003</v>
      </c>
      <c r="H3342" s="1">
        <v>1.145091E-6</v>
      </c>
      <c r="I3342">
        <v>214.04910000000001</v>
      </c>
      <c r="J3342">
        <v>-300.91609999999997</v>
      </c>
      <c r="K3342">
        <v>1.120811</v>
      </c>
      <c r="L3342">
        <v>214.2868</v>
      </c>
      <c r="M3342">
        <v>0.99986180000000002</v>
      </c>
      <c r="N3342">
        <v>-1.411129E-2</v>
      </c>
      <c r="O3342">
        <v>8.7947289999999994E-3</v>
      </c>
      <c r="P3342">
        <v>0.98928519999999998</v>
      </c>
      <c r="Q3342">
        <v>-0.14563429999999999</v>
      </c>
      <c r="R3342">
        <v>-1.0260480000000001E-2</v>
      </c>
      <c r="S3342">
        <v>3.0129999999999999</v>
      </c>
      <c r="T3342">
        <v>-0.12893160000000001</v>
      </c>
      <c r="U3342">
        <v>-2.7069090000000001E-2</v>
      </c>
      <c r="V3342">
        <v>1.8979010000000001E-2</v>
      </c>
      <c r="W3342">
        <v>-0.131659</v>
      </c>
      <c r="X3342">
        <v>0.99111340000000003</v>
      </c>
      <c r="Y3342">
        <v>1.7753410000000001E-2</v>
      </c>
      <c r="Z3342">
        <v>-7.5710729999999905E-4</v>
      </c>
      <c r="AA3342">
        <v>0.99984209999999996</v>
      </c>
      <c r="AB3342">
        <v>28</v>
      </c>
      <c r="AC3342">
        <v>25.922999999999899</v>
      </c>
      <c r="AD3342">
        <v>-1.120809854909</v>
      </c>
      <c r="AE3342">
        <v>-0.237699999999989</v>
      </c>
      <c r="AF3342">
        <v>0.46483039381778402</v>
      </c>
      <c r="AG3342">
        <v>-1.120809854909</v>
      </c>
      <c r="AH3342">
        <v>25.871547313310799</v>
      </c>
      <c r="AI3342">
        <v>92.480222809168495</v>
      </c>
      <c r="AJ3342">
        <v>88.970685663846396</v>
      </c>
      <c r="AK3342">
        <v>25.899985374720998</v>
      </c>
      <c r="AL3342">
        <v>97.565469853115303</v>
      </c>
      <c r="AM3342">
        <v>88.902966818772597</v>
      </c>
      <c r="AN3342">
        <v>1.0000000333805601</v>
      </c>
    </row>
    <row r="3343" spans="1:40" x14ac:dyDescent="0.25">
      <c r="A3343" t="str">
        <f>"20190303154536672"</f>
        <v>20190303154536672</v>
      </c>
      <c r="B3343" t="str">
        <f>"1551599136664715"</f>
        <v>1551599136664715</v>
      </c>
      <c r="C3343" t="s">
        <v>40</v>
      </c>
      <c r="D3343">
        <v>4.9960959999999996</v>
      </c>
      <c r="E3343">
        <v>0.50113299999999905</v>
      </c>
      <c r="F3343" t="s">
        <v>55</v>
      </c>
      <c r="G3343">
        <v>-275.40730000000002</v>
      </c>
      <c r="H3343" s="1">
        <v>1.366155E-6</v>
      </c>
      <c r="I3343">
        <v>214.03389999999999</v>
      </c>
      <c r="J3343">
        <v>-300.62819999999999</v>
      </c>
      <c r="K3343">
        <v>1.120808</v>
      </c>
      <c r="L3343">
        <v>214.2895</v>
      </c>
      <c r="M3343">
        <v>0.99986109999999995</v>
      </c>
      <c r="N3343">
        <v>-1.4108219999999999E-2</v>
      </c>
      <c r="O3343">
        <v>8.8708239999999994E-3</v>
      </c>
      <c r="P3343">
        <v>0.98923799999999995</v>
      </c>
      <c r="Q3343">
        <v>-0.1459252</v>
      </c>
      <c r="R3343">
        <v>-1.068907E-2</v>
      </c>
      <c r="S3343">
        <v>3.0126949999999999</v>
      </c>
      <c r="T3343">
        <v>-0.13237199999999999</v>
      </c>
      <c r="U3343">
        <v>-2.9876710000000001E-2</v>
      </c>
      <c r="V3343">
        <v>1.9479380000000001E-2</v>
      </c>
      <c r="W3343">
        <v>-0.13195399999999999</v>
      </c>
      <c r="X3343">
        <v>0.99106439999999996</v>
      </c>
      <c r="Y3343">
        <v>1.875947E-2</v>
      </c>
      <c r="Z3343">
        <v>-8.0880060000000002E-4</v>
      </c>
      <c r="AA3343">
        <v>0.99982369999999998</v>
      </c>
      <c r="AB3343">
        <v>28</v>
      </c>
      <c r="AC3343">
        <v>25.220899999999901</v>
      </c>
      <c r="AD3343">
        <v>-1.120806633845</v>
      </c>
      <c r="AE3343">
        <v>-0.25560000000001498</v>
      </c>
      <c r="AF3343">
        <v>0.47839770053221597</v>
      </c>
      <c r="AG3343">
        <v>-1.120806633845</v>
      </c>
      <c r="AH3343">
        <v>25.1679413351292</v>
      </c>
      <c r="AI3343">
        <v>92.549414438618101</v>
      </c>
      <c r="AJ3343">
        <v>88.911040505494299</v>
      </c>
      <c r="AK3343">
        <v>25.197427307541801</v>
      </c>
      <c r="AL3343">
        <v>97.582521317674207</v>
      </c>
      <c r="AM3343">
        <v>88.873995904893306</v>
      </c>
      <c r="AN3343">
        <v>0.99999997465427104</v>
      </c>
    </row>
    <row r="3344" spans="1:40" x14ac:dyDescent="0.25">
      <c r="A3344" t="str">
        <f>"20190303154536706"</f>
        <v>20190303154536706</v>
      </c>
      <c r="B3344" t="str">
        <f>"1551599136693995"</f>
        <v>1551599136693995</v>
      </c>
      <c r="C3344" t="s">
        <v>40</v>
      </c>
      <c r="D3344">
        <v>5.0182289999999998</v>
      </c>
      <c r="E3344">
        <v>0.50121260000000001</v>
      </c>
      <c r="F3344" t="s">
        <v>55</v>
      </c>
      <c r="G3344">
        <v>-275.53309999999999</v>
      </c>
      <c r="H3344" s="1">
        <v>1.4335210000000001E-6</v>
      </c>
      <c r="I3344">
        <v>214.02500000000001</v>
      </c>
      <c r="J3344">
        <v>-300.20359999999999</v>
      </c>
      <c r="K3344">
        <v>1.120806</v>
      </c>
      <c r="L3344">
        <v>214.29339999999999</v>
      </c>
      <c r="M3344">
        <v>0.99986050000000004</v>
      </c>
      <c r="N3344">
        <v>-1.410371E-2</v>
      </c>
      <c r="O3344">
        <v>8.9483559999999993E-3</v>
      </c>
      <c r="P3344">
        <v>0.98951480000000003</v>
      </c>
      <c r="Q3344">
        <v>-0.1440805</v>
      </c>
      <c r="R3344">
        <v>-1.0059749999999999E-2</v>
      </c>
      <c r="S3344">
        <v>3.012451</v>
      </c>
      <c r="T3344">
        <v>-0.1345432</v>
      </c>
      <c r="U3344">
        <v>-3.1753539999999997E-2</v>
      </c>
      <c r="V3344">
        <v>1.8922850000000001E-2</v>
      </c>
      <c r="W3344">
        <v>-0.13011099999999901</v>
      </c>
      <c r="X3344">
        <v>0.99131879999999994</v>
      </c>
      <c r="Y3344">
        <v>1.9458799999999998E-2</v>
      </c>
      <c r="Z3344">
        <v>-8.4491160000000004E-4</v>
      </c>
      <c r="AA3344">
        <v>0.99981030000000004</v>
      </c>
      <c r="AB3344">
        <v>28</v>
      </c>
      <c r="AC3344">
        <v>24.670500000000001</v>
      </c>
      <c r="AD3344">
        <v>-1.1208045664790001</v>
      </c>
      <c r="AE3344">
        <v>-0.26839999999998498</v>
      </c>
      <c r="AF3344">
        <v>0.48816418910166798</v>
      </c>
      <c r="AG3344">
        <v>-1.1208045664790001</v>
      </c>
      <c r="AH3344">
        <v>24.616308716379301</v>
      </c>
      <c r="AI3344">
        <v>92.606420567193993</v>
      </c>
      <c r="AJ3344">
        <v>88.863920565071993</v>
      </c>
      <c r="AK3344">
        <v>24.646646059288798</v>
      </c>
      <c r="AL3344">
        <v>97.476006965576502</v>
      </c>
      <c r="AM3344">
        <v>88.906438790689805</v>
      </c>
      <c r="AN3344">
        <v>0.99999995490327998</v>
      </c>
    </row>
    <row r="3345" spans="1:40" x14ac:dyDescent="0.25">
      <c r="A3345" t="str">
        <f>"20190303154536728"</f>
        <v>20190303154536728</v>
      </c>
      <c r="B3345" t="str">
        <f>"1551599136724251"</f>
        <v>1551599136724251</v>
      </c>
      <c r="C3345" t="s">
        <v>40</v>
      </c>
      <c r="D3345">
        <v>4.970942</v>
      </c>
      <c r="E3345">
        <v>0.50127840000000001</v>
      </c>
      <c r="F3345" t="s">
        <v>55</v>
      </c>
      <c r="G3345">
        <v>-274.40480000000002</v>
      </c>
      <c r="H3345" s="1">
        <v>8.3262599999999995E-7</v>
      </c>
      <c r="I3345">
        <v>214.0351</v>
      </c>
      <c r="J3345">
        <v>-299.9323</v>
      </c>
      <c r="K3345">
        <v>1.120797</v>
      </c>
      <c r="L3345">
        <v>214.29589999999999</v>
      </c>
      <c r="M3345">
        <v>0.99986039999999998</v>
      </c>
      <c r="N3345">
        <v>-1.410086E-2</v>
      </c>
      <c r="O3345">
        <v>8.9750100000000003E-3</v>
      </c>
      <c r="P3345">
        <v>0.98966480000000001</v>
      </c>
      <c r="Q3345">
        <v>-0.14309759999999999</v>
      </c>
      <c r="R3345">
        <v>-9.3493450000000002E-3</v>
      </c>
      <c r="S3345">
        <v>3.0124209999999998</v>
      </c>
      <c r="T3345">
        <v>-0.13087180000000001</v>
      </c>
      <c r="U3345">
        <v>-3.015137E-2</v>
      </c>
      <c r="V3345">
        <v>1.8235319999999999E-2</v>
      </c>
      <c r="W3345">
        <v>-0.12912939999999901</v>
      </c>
      <c r="X3345">
        <v>0.99146009999999996</v>
      </c>
      <c r="Y3345">
        <v>1.8956009999999999E-2</v>
      </c>
      <c r="Z3345">
        <v>-8.0849990000000005E-4</v>
      </c>
      <c r="AA3345">
        <v>0.99982000000000004</v>
      </c>
      <c r="AB3345">
        <v>28</v>
      </c>
      <c r="AC3345">
        <v>25.5274999999999</v>
      </c>
      <c r="AD3345">
        <v>-1.1207961673739999</v>
      </c>
      <c r="AE3345">
        <v>-0.26079999999998899</v>
      </c>
      <c r="AF3345">
        <v>0.48897931792089699</v>
      </c>
      <c r="AG3345">
        <v>-1.1207961673739999</v>
      </c>
      <c r="AH3345">
        <v>25.475027953466899</v>
      </c>
      <c r="AI3345">
        <v>92.518690115354403</v>
      </c>
      <c r="AJ3345">
        <v>88.9003736787365</v>
      </c>
      <c r="AK3345">
        <v>25.5043591186306</v>
      </c>
      <c r="AL3345">
        <v>97.419286361430494</v>
      </c>
      <c r="AM3345">
        <v>88.946312528803702</v>
      </c>
      <c r="AN3345">
        <v>1.0000000293659299</v>
      </c>
    </row>
    <row r="3346" spans="1:40" x14ac:dyDescent="0.25">
      <c r="A3346" t="str">
        <f>"20190303154536750"</f>
        <v>20190303154536750</v>
      </c>
      <c r="B3346" t="str">
        <f>"1551599136744747"</f>
        <v>1551599136744747</v>
      </c>
      <c r="C3346" t="s">
        <v>40</v>
      </c>
      <c r="D3346">
        <v>5.0391640000000004</v>
      </c>
      <c r="E3346">
        <v>0.50130549999999996</v>
      </c>
      <c r="F3346" t="s">
        <v>55</v>
      </c>
      <c r="G3346">
        <v>-273.9846</v>
      </c>
      <c r="H3346" s="1">
        <v>6.0838829999999998E-7</v>
      </c>
      <c r="I3346">
        <v>214.04949999999999</v>
      </c>
      <c r="J3346">
        <v>-299.64830000000001</v>
      </c>
      <c r="K3346">
        <v>1.1207830000000001</v>
      </c>
      <c r="L3346">
        <v>214.29839999999999</v>
      </c>
      <c r="M3346">
        <v>0.99986019999999998</v>
      </c>
      <c r="N3346">
        <v>-1.4097899999999899E-2</v>
      </c>
      <c r="O3346">
        <v>8.9894099999999998E-3</v>
      </c>
      <c r="P3346">
        <v>0.98967550000000004</v>
      </c>
      <c r="Q3346">
        <v>-0.1430565</v>
      </c>
      <c r="R3346">
        <v>-8.8017770000000002E-3</v>
      </c>
      <c r="S3346">
        <v>3.012238</v>
      </c>
      <c r="T3346">
        <v>-0.1301117</v>
      </c>
      <c r="U3346">
        <v>-2.8594970000000001E-2</v>
      </c>
      <c r="V3346">
        <v>1.769811E-2</v>
      </c>
      <c r="W3346">
        <v>-0.1290916</v>
      </c>
      <c r="X3346">
        <v>0.99147470000000004</v>
      </c>
      <c r="Y3346">
        <v>1.8455389999999999E-2</v>
      </c>
      <c r="Z3346">
        <v>-7.899777E-4</v>
      </c>
      <c r="AA3346">
        <v>0.99982939999999998</v>
      </c>
      <c r="AB3346">
        <v>28</v>
      </c>
      <c r="AC3346">
        <v>25.663699999999999</v>
      </c>
      <c r="AD3346">
        <v>-1.1207823916116999</v>
      </c>
      <c r="AE3346">
        <v>-0.24889999999999099</v>
      </c>
      <c r="AF3346">
        <v>0.478701484231698</v>
      </c>
      <c r="AG3346">
        <v>-1.1207823916116999</v>
      </c>
      <c r="AH3346">
        <v>25.611582455587701</v>
      </c>
      <c r="AI3346">
        <v>92.505271358810703</v>
      </c>
      <c r="AJ3346">
        <v>88.929219563120895</v>
      </c>
      <c r="AK3346">
        <v>25.640562867451202</v>
      </c>
      <c r="AL3346">
        <v>97.417102724954603</v>
      </c>
      <c r="AM3346">
        <v>88.977362379310193</v>
      </c>
      <c r="AN3346">
        <v>0.99999997251410999</v>
      </c>
    </row>
    <row r="3347" spans="1:40" x14ac:dyDescent="0.25">
      <c r="A3347" t="str">
        <f>"20190303154536773"</f>
        <v>20190303154536773</v>
      </c>
      <c r="B3347" t="str">
        <f>"1551599136764267"</f>
        <v>1551599136764267</v>
      </c>
      <c r="C3347" t="s">
        <v>40</v>
      </c>
      <c r="D3347">
        <v>4.9927359999999998</v>
      </c>
      <c r="E3347">
        <v>0.50544730000000004</v>
      </c>
      <c r="F3347" t="s">
        <v>55</v>
      </c>
      <c r="G3347">
        <v>-273.81220000000002</v>
      </c>
      <c r="H3347" s="1">
        <v>5.1594829999999999E-7</v>
      </c>
      <c r="I3347">
        <v>214.06489999999999</v>
      </c>
      <c r="J3347">
        <v>-299.38119999999998</v>
      </c>
      <c r="K3347">
        <v>1.1207720000000001</v>
      </c>
      <c r="L3347">
        <v>214.30080000000001</v>
      </c>
      <c r="M3347">
        <v>0.99986030000000004</v>
      </c>
      <c r="N3347">
        <v>-1.4095109999999999E-2</v>
      </c>
      <c r="O3347">
        <v>8.9926190000000003E-3</v>
      </c>
      <c r="P3347">
        <v>0.9896317</v>
      </c>
      <c r="Q3347">
        <v>-0.14337520000000001</v>
      </c>
      <c r="R3347">
        <v>-8.5382759999999992E-3</v>
      </c>
      <c r="S3347">
        <v>3.0122070000000001</v>
      </c>
      <c r="T3347">
        <v>-0.13067049999999999</v>
      </c>
      <c r="U3347">
        <v>-2.7221680000000002E-2</v>
      </c>
      <c r="V3347">
        <v>1.7434789999999999E-2</v>
      </c>
      <c r="W3347">
        <v>-0.1294141</v>
      </c>
      <c r="X3347">
        <v>0.99143740000000002</v>
      </c>
      <c r="Y3347">
        <v>1.800324E-2</v>
      </c>
      <c r="Z3347">
        <v>-7.8046479999999998E-4</v>
      </c>
      <c r="AA3347">
        <v>0.99983759999999999</v>
      </c>
      <c r="AB3347">
        <v>28</v>
      </c>
      <c r="AC3347">
        <v>25.5689999999999</v>
      </c>
      <c r="AD3347">
        <v>-1.12077148405169</v>
      </c>
      <c r="AE3347">
        <v>-0.23590000000001499</v>
      </c>
      <c r="AF3347">
        <v>0.46495230011646399</v>
      </c>
      <c r="AG3347">
        <v>-1.12077148405169</v>
      </c>
      <c r="AH3347">
        <v>25.516821765342101</v>
      </c>
      <c r="AI3347">
        <v>92.514560463223404</v>
      </c>
      <c r="AJ3347">
        <v>88.956106015401403</v>
      </c>
      <c r="AK3347">
        <v>25.5456552541736</v>
      </c>
      <c r="AL3347">
        <v>97.435736347490504</v>
      </c>
      <c r="AM3347">
        <v>88.992536563203004</v>
      </c>
      <c r="AN3347">
        <v>1.0000000496499499</v>
      </c>
    </row>
    <row r="3348" spans="1:40" x14ac:dyDescent="0.25">
      <c r="A3348" t="str">
        <f>"20190303154536796"</f>
        <v>20190303154536796</v>
      </c>
      <c r="B3348" t="str">
        <f>"1551599136784764"</f>
        <v>1551599136784764</v>
      </c>
      <c r="C3348" t="s">
        <v>40</v>
      </c>
      <c r="D3348">
        <v>4.9947710000000001</v>
      </c>
      <c r="E3348">
        <v>0.50499589999999905</v>
      </c>
      <c r="F3348" t="s">
        <v>42</v>
      </c>
      <c r="G3348">
        <v>-298.52629999999999</v>
      </c>
      <c r="H3348">
        <v>1.048378</v>
      </c>
      <c r="I3348">
        <v>214.28270000000001</v>
      </c>
      <c r="J3348">
        <v>-299.07870000000003</v>
      </c>
      <c r="K3348">
        <v>1.120773</v>
      </c>
      <c r="L3348">
        <v>214.30359999999999</v>
      </c>
      <c r="M3348">
        <v>0.99986039999999998</v>
      </c>
      <c r="N3348">
        <v>-1.4091930000000001E-2</v>
      </c>
      <c r="O3348">
        <v>8.9873550000000007E-3</v>
      </c>
      <c r="P3348">
        <v>0.98956869999999997</v>
      </c>
      <c r="Q3348">
        <v>-0.143832399999999</v>
      </c>
      <c r="R3348">
        <v>-8.1539490000000006E-3</v>
      </c>
      <c r="S3348">
        <v>2.9941710000000001</v>
      </c>
      <c r="T3348">
        <v>-0.25361319999999998</v>
      </c>
      <c r="U3348">
        <v>-6.3354489999999999E-2</v>
      </c>
      <c r="V3348">
        <v>1.7042870000000002E-2</v>
      </c>
      <c r="W3348">
        <v>-0.1298754</v>
      </c>
      <c r="X3348">
        <v>0.99138389999999998</v>
      </c>
      <c r="Y3348">
        <v>2.999228E-2</v>
      </c>
      <c r="Z3348">
        <v>-2.1129600000000001E-3</v>
      </c>
      <c r="AA3348">
        <v>0.99954790000000004</v>
      </c>
      <c r="AB3348">
        <v>28</v>
      </c>
      <c r="AC3348">
        <v>0.55240000000003397</v>
      </c>
      <c r="AD3348">
        <v>-7.2394999999999904E-2</v>
      </c>
      <c r="AE3348">
        <v>-2.0899999999983199E-2</v>
      </c>
      <c r="AF3348">
        <v>2.54281459802362E-2</v>
      </c>
      <c r="AG3348">
        <v>-7.2394999999999904E-2</v>
      </c>
      <c r="AH3348">
        <v>0.54287893368590101</v>
      </c>
      <c r="AI3348">
        <v>97.587577093526704</v>
      </c>
      <c r="AJ3348">
        <v>87.318257737072997</v>
      </c>
      <c r="AK3348">
        <v>0.54827471515010895</v>
      </c>
      <c r="AL3348">
        <v>97.462391785287807</v>
      </c>
      <c r="AM3348">
        <v>89.015125880784893</v>
      </c>
      <c r="AN3348">
        <v>1.0000000580610999</v>
      </c>
    </row>
    <row r="3349" spans="1:40" x14ac:dyDescent="0.25">
      <c r="A3349" t="str">
        <f>"20190303154536821"</f>
        <v>20190303154536821</v>
      </c>
      <c r="B3349" t="str">
        <f>"1551599136815019"</f>
        <v>1551599136815019</v>
      </c>
      <c r="C3349" t="s">
        <v>40</v>
      </c>
      <c r="D3349">
        <v>4.9940030000000002</v>
      </c>
      <c r="E3349">
        <v>0.50458970000000003</v>
      </c>
      <c r="F3349" t="s">
        <v>57</v>
      </c>
      <c r="G3349">
        <v>-286.05529999999999</v>
      </c>
      <c r="H3349" s="1">
        <v>4.4733010000000003E-6</v>
      </c>
      <c r="I3349">
        <v>214.04859999999999</v>
      </c>
      <c r="J3349">
        <v>-298.76960000000003</v>
      </c>
      <c r="K3349">
        <v>1.120765</v>
      </c>
      <c r="L3349">
        <v>214.30629999999999</v>
      </c>
      <c r="M3349">
        <v>0.99986059999999999</v>
      </c>
      <c r="N3349">
        <v>-1.4088689999999999E-2</v>
      </c>
      <c r="O3349">
        <v>8.9718530000000001E-3</v>
      </c>
      <c r="P3349">
        <v>0.98951080000000002</v>
      </c>
      <c r="Q3349">
        <v>-0.14421329999999999</v>
      </c>
      <c r="R3349">
        <v>-8.4423009999999993E-3</v>
      </c>
      <c r="S3349">
        <v>2.9936829999999999</v>
      </c>
      <c r="T3349">
        <v>-0.25763170000000002</v>
      </c>
      <c r="U3349">
        <v>-5.8609010000000003E-2</v>
      </c>
      <c r="V3349">
        <v>1.7313470000000001E-2</v>
      </c>
      <c r="W3349">
        <v>-0.1302606</v>
      </c>
      <c r="X3349">
        <v>0.9913286</v>
      </c>
      <c r="Y3349">
        <v>2.8398679999999999E-2</v>
      </c>
      <c r="Z3349">
        <v>-2.064527E-3</v>
      </c>
      <c r="AA3349">
        <v>0.9995946</v>
      </c>
      <c r="AB3349">
        <v>28</v>
      </c>
      <c r="AC3349">
        <v>12.7143</v>
      </c>
      <c r="AD3349">
        <v>-1.1207605266989999</v>
      </c>
      <c r="AE3349">
        <v>-0.25769999999999899</v>
      </c>
      <c r="AF3349">
        <v>0.36890641180435901</v>
      </c>
      <c r="AG3349">
        <v>-1.1207605266989999</v>
      </c>
      <c r="AH3349">
        <v>12.613504763360901</v>
      </c>
      <c r="AI3349">
        <v>95.075466396581902</v>
      </c>
      <c r="AJ3349">
        <v>88.324751349043098</v>
      </c>
      <c r="AK3349">
        <v>12.668571289383999</v>
      </c>
      <c r="AL3349">
        <v>97.484651747949798</v>
      </c>
      <c r="AM3349">
        <v>88.999435789204895</v>
      </c>
      <c r="AN3349">
        <v>0.99999998666687995</v>
      </c>
    </row>
    <row r="3350" spans="1:40" x14ac:dyDescent="0.25">
      <c r="A3350" t="str">
        <f>"20190303154536841"</f>
        <v>20190303154536841</v>
      </c>
      <c r="B3350" t="str">
        <f>"1551599136834539"</f>
        <v>1551599136834539</v>
      </c>
      <c r="C3350" t="s">
        <v>40</v>
      </c>
      <c r="D3350">
        <v>4.983975</v>
      </c>
      <c r="E3350">
        <v>0.50435450000000004</v>
      </c>
      <c r="F3350" t="s">
        <v>57</v>
      </c>
      <c r="G3350">
        <v>-286.0197</v>
      </c>
      <c r="H3350" s="1">
        <v>4.4870439999999999E-6</v>
      </c>
      <c r="I3350">
        <v>214.06569999999999</v>
      </c>
      <c r="J3350">
        <v>-298.52229999999997</v>
      </c>
      <c r="K3350">
        <v>1.120754</v>
      </c>
      <c r="L3350">
        <v>214.30850000000001</v>
      </c>
      <c r="M3350">
        <v>0.99986079999999999</v>
      </c>
      <c r="N3350">
        <v>-1.4086049999999999E-2</v>
      </c>
      <c r="O3350">
        <v>8.9489249999999999E-3</v>
      </c>
      <c r="P3350">
        <v>0.98938610000000005</v>
      </c>
      <c r="Q3350">
        <v>-0.14505489999999999</v>
      </c>
      <c r="R3350">
        <v>-8.6386929999999994E-3</v>
      </c>
      <c r="S3350">
        <v>2.9929809999999999</v>
      </c>
      <c r="T3350">
        <v>-0.26309539999999998</v>
      </c>
      <c r="U3350">
        <v>-5.6488040000000003E-2</v>
      </c>
      <c r="V3350">
        <v>1.7484010000000001E-2</v>
      </c>
      <c r="W3350">
        <v>-0.1311068</v>
      </c>
      <c r="X3350">
        <v>0.99121400000000004</v>
      </c>
      <c r="Y3350">
        <v>2.7669450000000002E-2</v>
      </c>
      <c r="Z3350">
        <v>-2.0682489999999999E-3</v>
      </c>
      <c r="AA3350">
        <v>0.99961500000000003</v>
      </c>
      <c r="AB3350">
        <v>28</v>
      </c>
      <c r="AC3350">
        <v>12.5025999999999</v>
      </c>
      <c r="AD3350">
        <v>-1.1207495129559999</v>
      </c>
      <c r="AE3350">
        <v>-0.242800000000016</v>
      </c>
      <c r="AF3350">
        <v>0.35185987321692802</v>
      </c>
      <c r="AG3350">
        <v>-1.1207495129559999</v>
      </c>
      <c r="AH3350">
        <v>12.400320231585001</v>
      </c>
      <c r="AI3350">
        <v>95.162333999767199</v>
      </c>
      <c r="AJ3350">
        <v>88.374664737763197</v>
      </c>
      <c r="AK3350">
        <v>12.4558350457537</v>
      </c>
      <c r="AL3350">
        <v>97.533555189511603</v>
      </c>
      <c r="AM3350">
        <v>88.989465334884301</v>
      </c>
      <c r="AN3350">
        <v>0.99999993870395798</v>
      </c>
    </row>
    <row r="3351" spans="1:40" x14ac:dyDescent="0.25">
      <c r="A3351" t="str">
        <f>"20190303154536861"</f>
        <v>20190303154536861</v>
      </c>
      <c r="B3351" t="str">
        <f>"1551599136854059"</f>
        <v>1551599136854059</v>
      </c>
      <c r="C3351" t="s">
        <v>40</v>
      </c>
      <c r="D3351">
        <v>4.9507219999999998</v>
      </c>
      <c r="E3351">
        <v>0.50411340000000004</v>
      </c>
      <c r="F3351" t="s">
        <v>57</v>
      </c>
      <c r="G3351">
        <v>-286.00940000000003</v>
      </c>
      <c r="H3351" s="1">
        <v>4.4903E-6</v>
      </c>
      <c r="I3351">
        <v>214.07689999999999</v>
      </c>
      <c r="J3351">
        <v>-298.27050000000003</v>
      </c>
      <c r="K3351">
        <v>1.1207389999999999</v>
      </c>
      <c r="L3351">
        <v>214.3107</v>
      </c>
      <c r="M3351">
        <v>0.99986120000000001</v>
      </c>
      <c r="N3351">
        <v>-1.408335E-2</v>
      </c>
      <c r="O3351">
        <v>8.9152190000000003E-3</v>
      </c>
      <c r="P3351">
        <v>0.98925439999999998</v>
      </c>
      <c r="Q3351">
        <v>-0.145926</v>
      </c>
      <c r="R3351">
        <v>-9.0190340000000004E-3</v>
      </c>
      <c r="S3351">
        <v>2.9924010000000001</v>
      </c>
      <c r="T3351">
        <v>-0.26802229999999999</v>
      </c>
      <c r="U3351">
        <v>-5.5389399999999998E-2</v>
      </c>
      <c r="V3351">
        <v>1.7826700000000001E-2</v>
      </c>
      <c r="W3351">
        <v>-0.13198280000000001</v>
      </c>
      <c r="X3351">
        <v>0.99109170000000002</v>
      </c>
      <c r="Y3351">
        <v>2.726899E-2</v>
      </c>
      <c r="Z3351">
        <v>-2.0826769999999998E-3</v>
      </c>
      <c r="AA3351">
        <v>0.99962600000000001</v>
      </c>
      <c r="AB3351">
        <v>28</v>
      </c>
      <c r="AC3351">
        <v>12.261100000000001</v>
      </c>
      <c r="AD3351">
        <v>-1.1207345097000001</v>
      </c>
      <c r="AE3351">
        <v>-0.23380000000000201</v>
      </c>
      <c r="AF3351">
        <v>0.340270003461074</v>
      </c>
      <c r="AG3351">
        <v>-1.1207345097000001</v>
      </c>
      <c r="AH3351">
        <v>12.1569932470615</v>
      </c>
      <c r="AI3351">
        <v>95.265071821304403</v>
      </c>
      <c r="AJ3351">
        <v>88.396729693725604</v>
      </c>
      <c r="AK3351">
        <v>12.2132843381945</v>
      </c>
      <c r="AL3351">
        <v>97.584185769643298</v>
      </c>
      <c r="AM3351">
        <v>88.969535772018702</v>
      </c>
      <c r="AN3351">
        <v>1.00000000426881</v>
      </c>
    </row>
    <row r="3352" spans="1:40" x14ac:dyDescent="0.25">
      <c r="A3352" t="str">
        <f>"20190303154536884"</f>
        <v>20190303154536884</v>
      </c>
      <c r="B3352" t="str">
        <f>"1551599136874555"</f>
        <v>1551599136874555</v>
      </c>
      <c r="C3352" t="s">
        <v>40</v>
      </c>
      <c r="D3352">
        <v>4.9298349999999997</v>
      </c>
      <c r="E3352">
        <v>0.50409939999999998</v>
      </c>
      <c r="F3352" t="s">
        <v>42</v>
      </c>
      <c r="G3352">
        <v>-297.29989999999998</v>
      </c>
      <c r="H3352">
        <v>1.032187</v>
      </c>
      <c r="I3352">
        <v>214.2927</v>
      </c>
      <c r="J3352">
        <v>-297.99360000000001</v>
      </c>
      <c r="K3352">
        <v>1.1207149999999999</v>
      </c>
      <c r="L3352">
        <v>214.31319999999999</v>
      </c>
      <c r="M3352">
        <v>0.99986169999999996</v>
      </c>
      <c r="N3352">
        <v>-1.408043E-2</v>
      </c>
      <c r="O3352">
        <v>8.8641699999999993E-3</v>
      </c>
      <c r="P3352">
        <v>0.98911629999999995</v>
      </c>
      <c r="Q3352">
        <v>-0.14683969999999999</v>
      </c>
      <c r="R3352">
        <v>-9.3472380000000008E-3</v>
      </c>
      <c r="S3352">
        <v>2.9917910000000001</v>
      </c>
      <c r="T3352">
        <v>-0.27307589999999998</v>
      </c>
      <c r="U3352">
        <v>-5.4672239999999997E-2</v>
      </c>
      <c r="V3352">
        <v>1.8098650000000001E-2</v>
      </c>
      <c r="W3352">
        <v>-0.13290199999999999</v>
      </c>
      <c r="X3352">
        <v>0.99096390000000001</v>
      </c>
      <c r="Y3352">
        <v>2.697805E-2</v>
      </c>
      <c r="Z3352">
        <v>-2.1017219999999999E-3</v>
      </c>
      <c r="AA3352">
        <v>0.99963380000000002</v>
      </c>
      <c r="AB3352">
        <v>28</v>
      </c>
      <c r="AC3352">
        <v>0.69370000000003496</v>
      </c>
      <c r="AD3352">
        <v>-8.8527999999999704E-2</v>
      </c>
      <c r="AE3352">
        <v>-2.0499999999998401E-2</v>
      </c>
      <c r="AF3352">
        <v>2.6222192614686501E-2</v>
      </c>
      <c r="AG3352">
        <v>-8.8527999999999704E-2</v>
      </c>
      <c r="AH3352">
        <v>0.68238725622501795</v>
      </c>
      <c r="AI3352">
        <v>97.386464518886896</v>
      </c>
      <c r="AJ3352">
        <v>87.7993696498296</v>
      </c>
      <c r="AK3352">
        <v>0.68860524077865604</v>
      </c>
      <c r="AL3352">
        <v>97.637320338372405</v>
      </c>
      <c r="AM3352">
        <v>88.9536844033411</v>
      </c>
      <c r="AN3352">
        <v>0.99999997691951603</v>
      </c>
    </row>
    <row r="3353" spans="1:40" x14ac:dyDescent="0.25">
      <c r="A3353" t="str">
        <f>"20190303154536906"</f>
        <v>20190303154536906</v>
      </c>
      <c r="B3353" t="str">
        <f>"1551599136894075"</f>
        <v>1551599136894075</v>
      </c>
      <c r="C3353" t="s">
        <v>40</v>
      </c>
      <c r="D3353">
        <v>4.9166619999999996</v>
      </c>
      <c r="E3353">
        <v>0.5037007</v>
      </c>
      <c r="F3353" t="s">
        <v>42</v>
      </c>
      <c r="G3353">
        <v>-297.05189999999999</v>
      </c>
      <c r="H3353">
        <v>1.0333330000000001</v>
      </c>
      <c r="I3353">
        <v>214.2955</v>
      </c>
      <c r="J3353">
        <v>-297.71170000000001</v>
      </c>
      <c r="K3353">
        <v>1.1207</v>
      </c>
      <c r="L3353">
        <v>214.31559999999999</v>
      </c>
      <c r="M3353">
        <v>0.99986220000000003</v>
      </c>
      <c r="N3353">
        <v>-1.407743E-2</v>
      </c>
      <c r="O3353">
        <v>8.7981780000000002E-3</v>
      </c>
      <c r="P3353">
        <v>0.98903790000000003</v>
      </c>
      <c r="Q3353">
        <v>-0.1473479</v>
      </c>
      <c r="R3353">
        <v>-9.6195800000000008E-3</v>
      </c>
      <c r="S3353">
        <v>2.9912719999999999</v>
      </c>
      <c r="T3353">
        <v>-0.27772150000000001</v>
      </c>
      <c r="U3353">
        <v>-5.5404660000000001E-2</v>
      </c>
      <c r="V3353">
        <v>1.8301029999999999E-2</v>
      </c>
      <c r="W3353">
        <v>-0.1334148</v>
      </c>
      <c r="X3353">
        <v>0.99089130000000003</v>
      </c>
      <c r="Y3353">
        <v>2.7154000000000001E-2</v>
      </c>
      <c r="Z3353">
        <v>-2.140777E-3</v>
      </c>
      <c r="AA3353">
        <v>0.99962899999999999</v>
      </c>
      <c r="AB3353">
        <v>28</v>
      </c>
      <c r="AC3353">
        <v>0.65980000000001804</v>
      </c>
      <c r="AD3353">
        <v>-8.7366999999999903E-2</v>
      </c>
      <c r="AE3353">
        <v>-2.0099999999985099E-2</v>
      </c>
      <c r="AF3353">
        <v>2.5458864244203801E-2</v>
      </c>
      <c r="AG3353">
        <v>-8.7366999999999903E-2</v>
      </c>
      <c r="AH3353">
        <v>0.64824213941041897</v>
      </c>
      <c r="AI3353">
        <v>97.669958551752401</v>
      </c>
      <c r="AJ3353">
        <v>87.750938874571204</v>
      </c>
      <c r="AK3353">
        <v>0.65459836370479996</v>
      </c>
      <c r="AL3353">
        <v>97.6669654159695</v>
      </c>
      <c r="AM3353">
        <v>88.941909595155906</v>
      </c>
      <c r="AN3353">
        <v>1.00000000248689</v>
      </c>
    </row>
    <row r="3354" spans="1:40" x14ac:dyDescent="0.25">
      <c r="A3354" t="str">
        <f>"20190303154536929"</f>
        <v>20190303154536929</v>
      </c>
      <c r="B3354" t="str">
        <f>"1551599136924331"</f>
        <v>1551599136924331</v>
      </c>
      <c r="C3354" t="s">
        <v>40</v>
      </c>
      <c r="D3354">
        <v>4.8383979999999998</v>
      </c>
      <c r="E3354">
        <v>0.49390859999999898</v>
      </c>
      <c r="F3354" t="s">
        <v>42</v>
      </c>
      <c r="G3354">
        <v>-296.80380000000002</v>
      </c>
      <c r="H3354">
        <v>1.035142</v>
      </c>
      <c r="I3354">
        <v>214.29920000000001</v>
      </c>
      <c r="J3354">
        <v>-297.4332</v>
      </c>
      <c r="K3354">
        <v>1.1206969999999901</v>
      </c>
      <c r="L3354">
        <v>214.31790000000001</v>
      </c>
      <c r="M3354">
        <v>0.9998629</v>
      </c>
      <c r="N3354">
        <v>-1.4074450000000001E-2</v>
      </c>
      <c r="O3354">
        <v>8.7206750000000006E-3</v>
      </c>
      <c r="P3354">
        <v>0.98904309999999995</v>
      </c>
      <c r="Q3354">
        <v>-0.14728829999999901</v>
      </c>
      <c r="R3354">
        <v>-9.9865160000000008E-3</v>
      </c>
      <c r="S3354">
        <v>2.9906920000000001</v>
      </c>
      <c r="T3354">
        <v>-0.28199279999999999</v>
      </c>
      <c r="U3354">
        <v>-5.334473E-2</v>
      </c>
      <c r="V3354">
        <v>1.8588339999999998E-2</v>
      </c>
      <c r="W3354">
        <v>-0.13335849999999999</v>
      </c>
      <c r="X3354">
        <v>0.99089349999999998</v>
      </c>
      <c r="Y3354">
        <v>2.639099E-2</v>
      </c>
      <c r="Z3354">
        <v>-2.1254640000000001E-3</v>
      </c>
      <c r="AA3354">
        <v>0.99964949999999997</v>
      </c>
      <c r="AB3354">
        <v>28</v>
      </c>
      <c r="AC3354">
        <v>0.62939999999997498</v>
      </c>
      <c r="AD3354">
        <v>-8.5554999999999798E-2</v>
      </c>
      <c r="AE3354">
        <v>-1.8699999999995401E-2</v>
      </c>
      <c r="AF3354">
        <v>2.37501745952176E-2</v>
      </c>
      <c r="AG3354">
        <v>-8.5554999999999798E-2</v>
      </c>
      <c r="AH3354">
        <v>0.61780765101905599</v>
      </c>
      <c r="AI3354">
        <v>97.8785215762002</v>
      </c>
      <c r="AJ3354">
        <v>87.798481423179993</v>
      </c>
      <c r="AK3354">
        <v>0.62415544736546802</v>
      </c>
      <c r="AL3354">
        <v>97.6637108126979</v>
      </c>
      <c r="AM3354">
        <v>88.925304762008807</v>
      </c>
      <c r="AN3354">
        <v>0.99999997212422698</v>
      </c>
    </row>
    <row r="3355" spans="1:40" x14ac:dyDescent="0.25">
      <c r="A3355" t="str">
        <f>"20190303154536951"</f>
        <v>20190303154536951</v>
      </c>
      <c r="B3355" t="str">
        <f>"1551599136944828"</f>
        <v>1551599136944828</v>
      </c>
      <c r="C3355" t="s">
        <v>40</v>
      </c>
      <c r="D3355">
        <v>4.8098150000000004</v>
      </c>
      <c r="E3355">
        <v>0.49357319999999999</v>
      </c>
      <c r="F3355" t="s">
        <v>55</v>
      </c>
      <c r="G3355">
        <v>-278.38760000000002</v>
      </c>
      <c r="H3355" s="1">
        <v>2.932368E-6</v>
      </c>
      <c r="I3355">
        <v>214.48650000000001</v>
      </c>
      <c r="J3355">
        <v>-297.15440000000001</v>
      </c>
      <c r="K3355">
        <v>1.120692</v>
      </c>
      <c r="L3355">
        <v>214.3203</v>
      </c>
      <c r="M3355">
        <v>0.99986379999999997</v>
      </c>
      <c r="N3355">
        <v>-1.4071470000000001E-2</v>
      </c>
      <c r="O3355">
        <v>8.6332760000000005E-3</v>
      </c>
      <c r="P3355">
        <v>0.98903110000000005</v>
      </c>
      <c r="Q3355">
        <v>-0.14732479999999901</v>
      </c>
      <c r="R3355">
        <v>-1.0638130000000001E-2</v>
      </c>
      <c r="S3355">
        <v>3.0071409999999998</v>
      </c>
      <c r="T3355">
        <v>-0.1769483</v>
      </c>
      <c r="U3355">
        <v>2.6611329999999999E-2</v>
      </c>
      <c r="V3355">
        <v>1.9151439999999999E-2</v>
      </c>
      <c r="W3355">
        <v>-0.13339860000000001</v>
      </c>
      <c r="X3355">
        <v>0.99087740000000002</v>
      </c>
      <c r="Y3355">
        <v>-2.2307499999999999E-4</v>
      </c>
      <c r="Z3355">
        <v>-3.7800920000000002E-4</v>
      </c>
      <c r="AA3355">
        <v>0.99999990000000005</v>
      </c>
      <c r="AB3355">
        <v>28</v>
      </c>
      <c r="AC3355">
        <v>18.7667999999999</v>
      </c>
      <c r="AD3355">
        <v>-1.120689067632</v>
      </c>
      <c r="AE3355">
        <v>0.16620000000000301</v>
      </c>
      <c r="AF3355">
        <v>-4.1440341941928098E-3</v>
      </c>
      <c r="AG3355">
        <v>-1.120689067632</v>
      </c>
      <c r="AH3355">
        <v>18.700852152740801</v>
      </c>
      <c r="AI3355">
        <v>93.429472137553702</v>
      </c>
      <c r="AJ3355">
        <v>90.0126965158411</v>
      </c>
      <c r="AK3355">
        <v>18.734402376323601</v>
      </c>
      <c r="AL3355">
        <v>97.666028926049904</v>
      </c>
      <c r="AM3355">
        <v>88.892738821173396</v>
      </c>
      <c r="AN3355">
        <v>0.99999999298339604</v>
      </c>
    </row>
    <row r="3356" spans="1:40" x14ac:dyDescent="0.25">
      <c r="A3356" t="str">
        <f>"20190303154536973"</f>
        <v>20190303154536973</v>
      </c>
      <c r="B3356" t="str">
        <f>"1551599136964347"</f>
        <v>1551599136964347</v>
      </c>
      <c r="C3356" t="s">
        <v>40</v>
      </c>
      <c r="D3356">
        <v>4.787369</v>
      </c>
      <c r="E3356">
        <v>0.4932145</v>
      </c>
      <c r="F3356" t="s">
        <v>55</v>
      </c>
      <c r="G3356">
        <v>-275.91419999999999</v>
      </c>
      <c r="H3356" s="1">
        <v>1.6149880000000001E-6</v>
      </c>
      <c r="I3356">
        <v>214.51230000000001</v>
      </c>
      <c r="J3356">
        <v>-296.89</v>
      </c>
      <c r="K3356">
        <v>1.1206910000000001</v>
      </c>
      <c r="L3356">
        <v>214.32239999999999</v>
      </c>
      <c r="M3356">
        <v>0.99986450000000004</v>
      </c>
      <c r="N3356">
        <v>-1.406861E-2</v>
      </c>
      <c r="O3356">
        <v>8.5451490000000001E-3</v>
      </c>
      <c r="P3356">
        <v>0.98914329999999995</v>
      </c>
      <c r="Q3356">
        <v>-0.14652319999999999</v>
      </c>
      <c r="R3356">
        <v>-1.1257990000000001E-2</v>
      </c>
      <c r="S3356">
        <v>3.0099179999999999</v>
      </c>
      <c r="T3356">
        <v>-0.15881110000000001</v>
      </c>
      <c r="U3356">
        <v>2.7206419999999999E-2</v>
      </c>
      <c r="V3356">
        <v>1.9683920000000001E-2</v>
      </c>
      <c r="W3356">
        <v>-0.13259870000000001</v>
      </c>
      <c r="X3356">
        <v>0.99097440000000003</v>
      </c>
      <c r="Y3356">
        <v>-4.9809129999999998E-4</v>
      </c>
      <c r="Z3356">
        <v>-3.1373250000000001E-4</v>
      </c>
      <c r="AA3356">
        <v>0.99999979999999999</v>
      </c>
      <c r="AB3356">
        <v>28</v>
      </c>
      <c r="AC3356">
        <v>20.9757999999999</v>
      </c>
      <c r="AD3356">
        <v>-1.1206893850120001</v>
      </c>
      <c r="AE3356">
        <v>0.189900000000022</v>
      </c>
      <c r="AF3356">
        <v>-1.06037186992317E-2</v>
      </c>
      <c r="AG3356">
        <v>-1.1206893850120001</v>
      </c>
      <c r="AH3356">
        <v>20.916953877608599</v>
      </c>
      <c r="AI3356">
        <v>93.066862812782404</v>
      </c>
      <c r="AJ3356">
        <v>90.029045733911303</v>
      </c>
      <c r="AK3356">
        <v>20.9469572170884</v>
      </c>
      <c r="AL3356">
        <v>97.619786664206998</v>
      </c>
      <c r="AM3356">
        <v>88.862072268036002</v>
      </c>
      <c r="AN3356">
        <v>1.0000000667018001</v>
      </c>
    </row>
    <row r="3357" spans="1:40" x14ac:dyDescent="0.25">
      <c r="A3357" t="str">
        <f>"20190303154536998"</f>
        <v>20190303154536998</v>
      </c>
      <c r="B3357" t="str">
        <f>"1551599136994603"</f>
        <v>1551599136994603</v>
      </c>
      <c r="C3357" t="s">
        <v>40</v>
      </c>
      <c r="D3357">
        <v>4.7663120000000001</v>
      </c>
      <c r="E3357">
        <v>0.49343160000000003</v>
      </c>
      <c r="F3357" t="s">
        <v>55</v>
      </c>
      <c r="G3357">
        <v>-274.46429999999998</v>
      </c>
      <c r="H3357" s="1">
        <v>8.4242299999999997E-7</v>
      </c>
      <c r="I3357">
        <v>214.53550000000001</v>
      </c>
      <c r="J3357">
        <v>-296.58550000000002</v>
      </c>
      <c r="K3357">
        <v>1.1206849999999999</v>
      </c>
      <c r="L3357">
        <v>214.32499999999999</v>
      </c>
      <c r="M3357">
        <v>0.99986549999999996</v>
      </c>
      <c r="N3357">
        <v>-1.4065309999999999E-2</v>
      </c>
      <c r="O3357">
        <v>8.4410760000000005E-3</v>
      </c>
      <c r="P3357">
        <v>0.98922900000000002</v>
      </c>
      <c r="Q3357">
        <v>-0.1459107</v>
      </c>
      <c r="R3357">
        <v>-1.166173E-2</v>
      </c>
      <c r="S3357">
        <v>3.0109560000000002</v>
      </c>
      <c r="T3357">
        <v>-0.1504682</v>
      </c>
      <c r="U3357">
        <v>2.861023E-2</v>
      </c>
      <c r="V3357">
        <v>1.998511E-2</v>
      </c>
      <c r="W3357">
        <v>-0.13198840000000001</v>
      </c>
      <c r="X3357">
        <v>0.99104979999999998</v>
      </c>
      <c r="Y3357">
        <v>-1.063481E-3</v>
      </c>
      <c r="Z3357">
        <v>-2.6883020000000003E-4</v>
      </c>
      <c r="AA3357">
        <v>0.99999939999999998</v>
      </c>
      <c r="AB3357">
        <v>28</v>
      </c>
      <c r="AC3357">
        <v>22.121200000000002</v>
      </c>
      <c r="AD3357">
        <v>-1.1206841575769999</v>
      </c>
      <c r="AE3357">
        <v>0.210500000000024</v>
      </c>
      <c r="AF3357">
        <v>-2.36865181929303E-2</v>
      </c>
      <c r="AG3357">
        <v>-1.1206841575769999</v>
      </c>
      <c r="AH3357">
        <v>22.065561607429501</v>
      </c>
      <c r="AI3357">
        <v>92.907485950410504</v>
      </c>
      <c r="AJ3357">
        <v>90.061504756900106</v>
      </c>
      <c r="AK3357">
        <v>22.0940150964793</v>
      </c>
      <c r="AL3357">
        <v>97.584509305553297</v>
      </c>
      <c r="AM3357">
        <v>88.844753028288807</v>
      </c>
      <c r="AN3357">
        <v>1.0000000242181499</v>
      </c>
    </row>
    <row r="3358" spans="1:40" x14ac:dyDescent="0.25">
      <c r="A3358" t="str">
        <f>"20190303154537023"</f>
        <v>20190303154537023</v>
      </c>
      <c r="B3358" t="str">
        <f>"1551599137014123"</f>
        <v>1551599137014123</v>
      </c>
      <c r="C3358" t="s">
        <v>40</v>
      </c>
      <c r="D3358">
        <v>4.7759479999999996</v>
      </c>
      <c r="E3358">
        <v>0.49367699999999998</v>
      </c>
      <c r="F3358" t="s">
        <v>55</v>
      </c>
      <c r="G3358">
        <v>-272.90219999999999</v>
      </c>
      <c r="H3358" s="1">
        <v>1.129768E-8</v>
      </c>
      <c r="I3358">
        <v>214.53190000000001</v>
      </c>
      <c r="J3358">
        <v>-296.28930000000003</v>
      </c>
      <c r="K3358">
        <v>1.1206739999999999</v>
      </c>
      <c r="L3358">
        <v>214.32730000000001</v>
      </c>
      <c r="M3358">
        <v>0.99986649999999999</v>
      </c>
      <c r="N3358">
        <v>-1.405466E-2</v>
      </c>
      <c r="O3358">
        <v>8.3393859999999903E-3</v>
      </c>
      <c r="P3358">
        <v>0.98909159999999996</v>
      </c>
      <c r="Q3358">
        <v>-0.14682509999999999</v>
      </c>
      <c r="R3358">
        <v>-1.18604E-2</v>
      </c>
      <c r="S3358">
        <v>3.0119630000000002</v>
      </c>
      <c r="T3358">
        <v>-0.14252500000000001</v>
      </c>
      <c r="U3358">
        <v>2.632141E-2</v>
      </c>
      <c r="V3358">
        <v>2.0081330000000001E-2</v>
      </c>
      <c r="W3358">
        <v>-0.13291529999999999</v>
      </c>
      <c r="X3358">
        <v>0.99092389999999997</v>
      </c>
      <c r="Y3358">
        <v>-4.024535E-4</v>
      </c>
      <c r="Z3358">
        <v>-2.6486780000000001E-4</v>
      </c>
      <c r="AA3358">
        <v>0.99999990000000005</v>
      </c>
      <c r="AB3358">
        <v>28</v>
      </c>
      <c r="AC3358">
        <v>23.3871</v>
      </c>
      <c r="AD3358">
        <v>-1.12067398870232</v>
      </c>
      <c r="AE3358">
        <v>0.204599999999999</v>
      </c>
      <c r="AF3358">
        <v>-9.5177206347171993E-3</v>
      </c>
      <c r="AG3358">
        <v>-1.12067398870232</v>
      </c>
      <c r="AH3358">
        <v>23.334417089821699</v>
      </c>
      <c r="AI3358">
        <v>92.749611632398995</v>
      </c>
      <c r="AJ3358">
        <v>90.023369994228403</v>
      </c>
      <c r="AK3358">
        <v>23.361314639756898</v>
      </c>
      <c r="AL3358">
        <v>97.638089352593695</v>
      </c>
      <c r="AM3358">
        <v>88.839045068532101</v>
      </c>
      <c r="AN3358">
        <v>0.99999995618993298</v>
      </c>
    </row>
    <row r="3359" spans="1:40" x14ac:dyDescent="0.25">
      <c r="A3359" t="str">
        <f>"20190303154537044"</f>
        <v>20190303154537044</v>
      </c>
      <c r="B3359" t="str">
        <f>"1551599137034077"</f>
        <v>1551599137034077</v>
      </c>
      <c r="C3359" t="s">
        <v>40</v>
      </c>
      <c r="D3359">
        <v>4.7419989999999999</v>
      </c>
      <c r="E3359">
        <v>0.49387710000000001</v>
      </c>
      <c r="F3359" t="s">
        <v>55</v>
      </c>
      <c r="G3359">
        <v>-272.50319999999999</v>
      </c>
      <c r="H3359" s="1">
        <v>-2.0020400000000001E-7</v>
      </c>
      <c r="I3359">
        <v>214.5137</v>
      </c>
      <c r="J3359">
        <v>-296.01769999999999</v>
      </c>
      <c r="K3359">
        <v>1.1206609999999999</v>
      </c>
      <c r="L3359">
        <v>214.3295</v>
      </c>
      <c r="M3359">
        <v>0.99986790000000003</v>
      </c>
      <c r="N3359">
        <v>-1.4020700000000001E-2</v>
      </c>
      <c r="O3359">
        <v>8.2457309999999992E-3</v>
      </c>
      <c r="P3359">
        <v>0.98903850000000004</v>
      </c>
      <c r="Q3359">
        <v>-0.14716389999999999</v>
      </c>
      <c r="R3359">
        <v>-1.2079049999999999E-2</v>
      </c>
      <c r="S3359">
        <v>3.0122990000000001</v>
      </c>
      <c r="T3359">
        <v>-0.14192370000000001</v>
      </c>
      <c r="U3359">
        <v>2.3605350000000001E-2</v>
      </c>
      <c r="V3359">
        <v>2.0206390000000001E-2</v>
      </c>
      <c r="W3359">
        <v>-0.13328860000000001</v>
      </c>
      <c r="X3359">
        <v>0.99087130000000001</v>
      </c>
      <c r="Y3359">
        <v>4.053754E-4</v>
      </c>
      <c r="Z3359">
        <v>-2.8508420000000002E-4</v>
      </c>
      <c r="AA3359">
        <v>0.99999990000000005</v>
      </c>
      <c r="AB3359">
        <v>27</v>
      </c>
      <c r="AC3359">
        <v>23.514500000000002</v>
      </c>
      <c r="AD3359">
        <v>-1.120661200204</v>
      </c>
      <c r="AE3359">
        <v>0.184200000000004</v>
      </c>
      <c r="AF3359">
        <v>9.6975031825567992E-3</v>
      </c>
      <c r="AG3359">
        <v>-1.120661200204</v>
      </c>
      <c r="AH3359">
        <v>23.4619332949507</v>
      </c>
      <c r="AI3359">
        <v>92.734659005331807</v>
      </c>
      <c r="AJ3359">
        <v>89.976317980042396</v>
      </c>
      <c r="AK3359">
        <v>23.4886842863522</v>
      </c>
      <c r="AL3359">
        <v>97.659669229680006</v>
      </c>
      <c r="AM3359">
        <v>88.831755020319306</v>
      </c>
      <c r="AN3359">
        <v>1.0000000411252401</v>
      </c>
    </row>
    <row r="3360" spans="1:40" x14ac:dyDescent="0.25">
      <c r="A3360" t="str">
        <f>"20190303154537064"</f>
        <v>20190303154537064</v>
      </c>
      <c r="B3360" t="str">
        <f>"1551599137054572"</f>
        <v>1551599137054572</v>
      </c>
      <c r="C3360" t="s">
        <v>40</v>
      </c>
      <c r="D3360">
        <v>4.7472180000000002</v>
      </c>
      <c r="E3360">
        <v>0.49395080000000002</v>
      </c>
      <c r="F3360" t="s">
        <v>55</v>
      </c>
      <c r="G3360">
        <v>-272.00880000000001</v>
      </c>
      <c r="H3360" s="1">
        <v>-4.6267759999999898E-7</v>
      </c>
      <c r="I3360">
        <v>214.49940000000001</v>
      </c>
      <c r="J3360">
        <v>-295.78019999999998</v>
      </c>
      <c r="K3360">
        <v>1.1206480000000001</v>
      </c>
      <c r="L3360">
        <v>214.3314</v>
      </c>
      <c r="M3360">
        <v>0.99986900000000001</v>
      </c>
      <c r="N3360">
        <v>-1.39779E-2</v>
      </c>
      <c r="O3360">
        <v>8.1651299999999996E-3</v>
      </c>
      <c r="P3360">
        <v>0.98899210000000004</v>
      </c>
      <c r="Q3360">
        <v>-0.1474994</v>
      </c>
      <c r="R3360">
        <v>-1.1768890000000001E-2</v>
      </c>
      <c r="S3360">
        <v>3.012543</v>
      </c>
      <c r="T3360">
        <v>-0.14061650000000001</v>
      </c>
      <c r="U3360">
        <v>2.131653E-2</v>
      </c>
      <c r="V3360">
        <v>1.9815599999999999E-2</v>
      </c>
      <c r="W3360">
        <v>-0.13366710000000001</v>
      </c>
      <c r="X3360">
        <v>0.99082820000000005</v>
      </c>
      <c r="Y3360">
        <v>1.084315E-3</v>
      </c>
      <c r="Z3360">
        <v>-2.996885E-4</v>
      </c>
      <c r="AA3360">
        <v>0.99999930000000004</v>
      </c>
      <c r="AB3360">
        <v>27</v>
      </c>
      <c r="AC3360">
        <v>23.7713999999999</v>
      </c>
      <c r="AD3360">
        <v>-1.1206484626776001</v>
      </c>
      <c r="AE3360">
        <v>0.16800000000000601</v>
      </c>
      <c r="AF3360">
        <v>2.6063209387141899E-2</v>
      </c>
      <c r="AG3360">
        <v>-1.1206484626776001</v>
      </c>
      <c r="AH3360">
        <v>23.719267373076502</v>
      </c>
      <c r="AI3360">
        <v>92.705002466213898</v>
      </c>
      <c r="AJ3360">
        <v>89.937042267202003</v>
      </c>
      <c r="AK3360">
        <v>23.745740186047598</v>
      </c>
      <c r="AL3360">
        <v>97.681551522011006</v>
      </c>
      <c r="AM3360">
        <v>88.854292883945106</v>
      </c>
      <c r="AN3360">
        <v>1.0000000367705</v>
      </c>
    </row>
    <row r="3361" spans="1:40" x14ac:dyDescent="0.25">
      <c r="A3361" t="str">
        <f>"20190303154537083"</f>
        <v>20190303154537083</v>
      </c>
      <c r="B3361" t="str">
        <f>"1551599137074093"</f>
        <v>1551599137074093</v>
      </c>
      <c r="C3361" t="s">
        <v>40</v>
      </c>
      <c r="D3361">
        <v>4.753495</v>
      </c>
      <c r="E3361">
        <v>0.49414079999999999</v>
      </c>
      <c r="F3361" t="s">
        <v>55</v>
      </c>
      <c r="G3361">
        <v>-271.6481</v>
      </c>
      <c r="H3361" s="1">
        <v>-6.5508779999999999E-7</v>
      </c>
      <c r="I3361">
        <v>214.5093</v>
      </c>
      <c r="J3361">
        <v>-295.52850000000001</v>
      </c>
      <c r="K3361">
        <v>1.120638</v>
      </c>
      <c r="L3361">
        <v>214.33330000000001</v>
      </c>
      <c r="M3361">
        <v>0.9998707</v>
      </c>
      <c r="N3361">
        <v>-1.390591E-2</v>
      </c>
      <c r="O3361">
        <v>8.0794909999999994E-3</v>
      </c>
      <c r="P3361">
        <v>0.98910600000000004</v>
      </c>
      <c r="Q3361">
        <v>-0.14681559999999999</v>
      </c>
      <c r="R3361">
        <v>-1.072123E-2</v>
      </c>
      <c r="S3361">
        <v>3.0127869999999999</v>
      </c>
      <c r="T3361">
        <v>-0.13990820000000001</v>
      </c>
      <c r="U3361">
        <v>2.2216799999999998E-2</v>
      </c>
      <c r="V3361">
        <v>1.8683700000000001E-2</v>
      </c>
      <c r="W3361">
        <v>-0.1330529</v>
      </c>
      <c r="X3361">
        <v>0.99093279999999995</v>
      </c>
      <c r="Y3361">
        <v>7.0107100000000005E-4</v>
      </c>
      <c r="Z3361">
        <v>-2.8381499999999998E-4</v>
      </c>
      <c r="AA3361">
        <v>0.99999970000000005</v>
      </c>
      <c r="AB3361">
        <v>27</v>
      </c>
      <c r="AC3361">
        <v>23.880400000000002</v>
      </c>
      <c r="AD3361">
        <v>-1.1206386550878</v>
      </c>
      <c r="AE3361">
        <v>0.175999999999987</v>
      </c>
      <c r="AF3361">
        <v>1.69285961724919E-2</v>
      </c>
      <c r="AG3361">
        <v>-1.1206386550878</v>
      </c>
      <c r="AH3361">
        <v>23.828571158510801</v>
      </c>
      <c r="AI3361">
        <v>92.692590095475595</v>
      </c>
      <c r="AJ3361">
        <v>89.959295211444498</v>
      </c>
      <c r="AK3361">
        <v>23.854913980747401</v>
      </c>
      <c r="AL3361">
        <v>97.646043685569794</v>
      </c>
      <c r="AM3361">
        <v>88.919835603906293</v>
      </c>
      <c r="AN3361">
        <v>0.99999998447996996</v>
      </c>
    </row>
    <row r="3362" spans="1:40" x14ac:dyDescent="0.25">
      <c r="A3362" t="str">
        <f>"20190303154537107"</f>
        <v>20190303154537107</v>
      </c>
      <c r="B3362" t="str">
        <f>"1551599137104348"</f>
        <v>1551599137104348</v>
      </c>
      <c r="C3362" t="s">
        <v>40</v>
      </c>
      <c r="D3362">
        <v>4.721508</v>
      </c>
      <c r="E3362">
        <v>0.49403409999999898</v>
      </c>
      <c r="F3362" t="s">
        <v>55</v>
      </c>
      <c r="G3362">
        <v>-270.49970000000002</v>
      </c>
      <c r="H3362" s="1">
        <v>-1.267279E-6</v>
      </c>
      <c r="I3362">
        <v>214.53370000000001</v>
      </c>
      <c r="J3362">
        <v>-295.24040000000002</v>
      </c>
      <c r="K3362">
        <v>1.120611</v>
      </c>
      <c r="L3362">
        <v>214.3355</v>
      </c>
      <c r="M3362">
        <v>0.99987320000000002</v>
      </c>
      <c r="N3362">
        <v>-1.3785840000000001E-2</v>
      </c>
      <c r="O3362">
        <v>7.9790119999999902E-3</v>
      </c>
      <c r="P3362">
        <v>0.98902080000000003</v>
      </c>
      <c r="Q3362">
        <v>-0.14739340000000001</v>
      </c>
      <c r="R3362">
        <v>-1.0650440000000001E-2</v>
      </c>
      <c r="S3362">
        <v>3.0132750000000001</v>
      </c>
      <c r="T3362">
        <v>-0.13491629999999999</v>
      </c>
      <c r="U3362">
        <v>2.412415E-2</v>
      </c>
      <c r="V3362">
        <v>1.85115E-2</v>
      </c>
      <c r="W3362">
        <v>-0.133750799999999</v>
      </c>
      <c r="X3362">
        <v>0.99084209999999995</v>
      </c>
      <c r="Y3362" s="1">
        <v>-2.9718560000000001E-5</v>
      </c>
      <c r="Z3362">
        <v>-2.4622730000000001E-4</v>
      </c>
      <c r="AA3362">
        <v>0.99999990000000005</v>
      </c>
      <c r="AB3362">
        <v>27</v>
      </c>
      <c r="AC3362">
        <v>24.7407</v>
      </c>
      <c r="AD3362">
        <v>-1.120612267279</v>
      </c>
      <c r="AE3362">
        <v>0.198200000000014</v>
      </c>
      <c r="AF3362">
        <v>-7.6702553379184803E-4</v>
      </c>
      <c r="AG3362">
        <v>-1.120612267279</v>
      </c>
      <c r="AH3362">
        <v>24.690842083104201</v>
      </c>
      <c r="AI3362">
        <v>92.598628351879</v>
      </c>
      <c r="AJ3362">
        <v>90.001779903889101</v>
      </c>
      <c r="AK3362">
        <v>24.716258924333498</v>
      </c>
      <c r="AL3362">
        <v>97.686390840510398</v>
      </c>
      <c r="AM3362">
        <v>88.929690767396593</v>
      </c>
      <c r="AN3362">
        <v>1.00000000963265</v>
      </c>
    </row>
    <row r="3363" spans="1:40" x14ac:dyDescent="0.25">
      <c r="A3363" t="str">
        <f>"20190303154537129"</f>
        <v>20190303154537129</v>
      </c>
      <c r="B3363" t="str">
        <f>"1551599137124844"</f>
        <v>1551599137124844</v>
      </c>
      <c r="C3363" t="s">
        <v>40</v>
      </c>
      <c r="D3363">
        <v>4.7069409999999996</v>
      </c>
      <c r="E3363">
        <v>0.49404949999999997</v>
      </c>
      <c r="F3363" t="s">
        <v>55</v>
      </c>
      <c r="G3363">
        <v>-270.2448</v>
      </c>
      <c r="H3363" s="1">
        <v>-1.403309E-6</v>
      </c>
      <c r="I3363">
        <v>214.5429</v>
      </c>
      <c r="J3363">
        <v>-294.9649</v>
      </c>
      <c r="K3363">
        <v>1.120587</v>
      </c>
      <c r="L3363">
        <v>214.33760000000001</v>
      </c>
      <c r="M3363">
        <v>0.99987579999999998</v>
      </c>
      <c r="N3363">
        <v>-1.365158E-2</v>
      </c>
      <c r="O3363">
        <v>7.8732330000000003E-3</v>
      </c>
      <c r="P3363">
        <v>0.98904069999999999</v>
      </c>
      <c r="Q3363">
        <v>-0.14726639999999999</v>
      </c>
      <c r="R3363">
        <v>-1.05472E-2</v>
      </c>
      <c r="S3363">
        <v>3.0133969999999999</v>
      </c>
      <c r="T3363">
        <v>-0.13509760000000001</v>
      </c>
      <c r="U3363">
        <v>2.4993899999999999E-2</v>
      </c>
      <c r="V3363">
        <v>1.8301939999999999E-2</v>
      </c>
      <c r="W3363">
        <v>-0.13375670000000001</v>
      </c>
      <c r="X3363">
        <v>0.99084519999999998</v>
      </c>
      <c r="Y3363">
        <v>-4.2328919999999999E-4</v>
      </c>
      <c r="Z3363">
        <v>-2.329621E-4</v>
      </c>
      <c r="AA3363">
        <v>0.99999990000000005</v>
      </c>
      <c r="AB3363">
        <v>27</v>
      </c>
      <c r="AC3363">
        <v>24.720099999999999</v>
      </c>
      <c r="AD3363">
        <v>-1.1205884033089999</v>
      </c>
      <c r="AE3363">
        <v>0.20529999999999399</v>
      </c>
      <c r="AF3363">
        <v>-1.0626552063895799E-2</v>
      </c>
      <c r="AG3363">
        <v>-1.1205884033089999</v>
      </c>
      <c r="AH3363">
        <v>24.670258650803198</v>
      </c>
      <c r="AI3363">
        <v>92.600737972014699</v>
      </c>
      <c r="AJ3363">
        <v>90.024679779608206</v>
      </c>
      <c r="AK3363">
        <v>24.695697868065398</v>
      </c>
      <c r="AL3363">
        <v>97.686731923936506</v>
      </c>
      <c r="AM3363">
        <v>88.941807774755404</v>
      </c>
      <c r="AN3363">
        <v>1.0000000130828399</v>
      </c>
    </row>
    <row r="3364" spans="1:40" x14ac:dyDescent="0.25">
      <c r="A3364" t="str">
        <f>"20190303154537152"</f>
        <v>20190303154537152</v>
      </c>
      <c r="B3364" t="str">
        <f>"1551599137144364"</f>
        <v>1551599137144364</v>
      </c>
      <c r="C3364" t="s">
        <v>40</v>
      </c>
      <c r="D3364">
        <v>4.685378</v>
      </c>
      <c r="E3364">
        <v>0.4941604</v>
      </c>
      <c r="F3364" t="s">
        <v>55</v>
      </c>
      <c r="G3364">
        <v>-269.65309999999999</v>
      </c>
      <c r="H3364" s="1">
        <v>3.6030410000000001E-6</v>
      </c>
      <c r="I3364">
        <v>214.54949999999999</v>
      </c>
      <c r="J3364">
        <v>-294.69170000000003</v>
      </c>
      <c r="K3364">
        <v>1.12056</v>
      </c>
      <c r="L3364">
        <v>214.33959999999999</v>
      </c>
      <c r="M3364">
        <v>0.99987859999999995</v>
      </c>
      <c r="N3364">
        <v>-1.351925E-2</v>
      </c>
      <c r="O3364">
        <v>7.7588850000000001E-3</v>
      </c>
      <c r="P3364">
        <v>0.98906329999999998</v>
      </c>
      <c r="Q3364">
        <v>-0.14713490000000001</v>
      </c>
      <c r="R3364">
        <v>-1.025468E-2</v>
      </c>
      <c r="S3364">
        <v>3.0136409999999998</v>
      </c>
      <c r="T3364">
        <v>-0.1334177</v>
      </c>
      <c r="U3364">
        <v>2.522278E-2</v>
      </c>
      <c r="V3364">
        <v>1.7895370000000001E-2</v>
      </c>
      <c r="W3364">
        <v>-0.13375600000000001</v>
      </c>
      <c r="X3364">
        <v>0.99085270000000003</v>
      </c>
      <c r="Y3364">
        <v>-6.1255179999999997E-4</v>
      </c>
      <c r="Z3364">
        <v>-2.20757E-4</v>
      </c>
      <c r="AA3364">
        <v>0.99999979999999999</v>
      </c>
      <c r="AB3364">
        <v>27</v>
      </c>
      <c r="AC3364">
        <v>25.038599999999999</v>
      </c>
      <c r="AD3364">
        <v>-1.120556396959</v>
      </c>
      <c r="AE3364">
        <v>0.209900000000004</v>
      </c>
      <c r="AF3364">
        <v>-1.5573136414009399E-2</v>
      </c>
      <c r="AG3364">
        <v>-1.120556396959</v>
      </c>
      <c r="AH3364">
        <v>24.989428487709201</v>
      </c>
      <c r="AI3364">
        <v>92.567492083517706</v>
      </c>
      <c r="AJ3364">
        <v>90.035706093688106</v>
      </c>
      <c r="AK3364">
        <v>25.014544275354599</v>
      </c>
      <c r="AL3364">
        <v>97.686691612785594</v>
      </c>
      <c r="AM3364">
        <v>88.965317737424201</v>
      </c>
      <c r="AN3364">
        <v>0.99999999245036297</v>
      </c>
    </row>
    <row r="3365" spans="1:40" x14ac:dyDescent="0.25">
      <c r="A3365" t="str">
        <f>"20190303154537173"</f>
        <v>20190303154537173</v>
      </c>
      <c r="B3365" t="str">
        <f>"1551599137164869"</f>
        <v>1551599137164869</v>
      </c>
      <c r="C3365" t="s">
        <v>40</v>
      </c>
      <c r="D3365">
        <v>4.6834429999999996</v>
      </c>
      <c r="E3365">
        <v>0.49419800000000003</v>
      </c>
      <c r="F3365" t="s">
        <v>55</v>
      </c>
      <c r="G3365">
        <v>-269.16480000000001</v>
      </c>
      <c r="H3365" s="1">
        <v>3.3429249999999998E-6</v>
      </c>
      <c r="I3365">
        <v>214.5557</v>
      </c>
      <c r="J3365">
        <v>-294.42809999999997</v>
      </c>
      <c r="K3365">
        <v>1.1205480000000001</v>
      </c>
      <c r="L3365">
        <v>214.3415</v>
      </c>
      <c r="M3365">
        <v>0.99988109999999997</v>
      </c>
      <c r="N3365">
        <v>-1.339928E-2</v>
      </c>
      <c r="O3365">
        <v>7.6411150000000004E-3</v>
      </c>
      <c r="P3365">
        <v>0.9892552</v>
      </c>
      <c r="Q3365">
        <v>-0.14583070000000001</v>
      </c>
      <c r="R3365">
        <v>-1.0381039999999999E-2</v>
      </c>
      <c r="S3365">
        <v>3.013763</v>
      </c>
      <c r="T3365">
        <v>-0.13229540000000001</v>
      </c>
      <c r="U3365">
        <v>2.5512699999999999E-2</v>
      </c>
      <c r="V3365">
        <v>1.790593E-2</v>
      </c>
      <c r="W3365">
        <v>-0.1325684</v>
      </c>
      <c r="X3365">
        <v>0.99101209999999995</v>
      </c>
      <c r="Y3365">
        <v>-8.2583099999999996E-4</v>
      </c>
      <c r="Z3365">
        <v>-2.0924109999999999E-4</v>
      </c>
      <c r="AA3365">
        <v>0.99999959999999999</v>
      </c>
      <c r="AB3365">
        <v>27</v>
      </c>
      <c r="AC3365">
        <v>25.263299999999902</v>
      </c>
      <c r="AD3365">
        <v>-1.120544657075</v>
      </c>
      <c r="AE3365">
        <v>0.214200000000005</v>
      </c>
      <c r="AF3365">
        <v>-2.1095148846430201E-2</v>
      </c>
      <c r="AG3365">
        <v>-1.120544657075</v>
      </c>
      <c r="AH3365">
        <v>25.2145972329823</v>
      </c>
      <c r="AI3365">
        <v>92.544567387602299</v>
      </c>
      <c r="AJ3365">
        <v>90.047935039530302</v>
      </c>
      <c r="AK3365">
        <v>25.239492446468201</v>
      </c>
      <c r="AL3365">
        <v>97.618035706722097</v>
      </c>
      <c r="AM3365">
        <v>88.964873793721907</v>
      </c>
      <c r="AN3365">
        <v>0.99999999267706696</v>
      </c>
    </row>
    <row r="3366" spans="1:40" x14ac:dyDescent="0.25">
      <c r="A3366" t="str">
        <f>"20190303154537198"</f>
        <v>20190303154537198</v>
      </c>
      <c r="B3366" t="str">
        <f>"1551599137194140"</f>
        <v>1551599137194140</v>
      </c>
      <c r="C3366" t="s">
        <v>40</v>
      </c>
      <c r="D3366">
        <v>4.6815850000000001</v>
      </c>
      <c r="E3366">
        <v>0.49426759999999997</v>
      </c>
      <c r="F3366" t="s">
        <v>55</v>
      </c>
      <c r="G3366">
        <v>-267.94119999999998</v>
      </c>
      <c r="H3366" s="1">
        <v>2.6916089999999998E-6</v>
      </c>
      <c r="I3366">
        <v>214.55959999999999</v>
      </c>
      <c r="J3366">
        <v>-294.14370000000002</v>
      </c>
      <c r="K3366">
        <v>1.1205400000000001</v>
      </c>
      <c r="L3366">
        <v>214.34350000000001</v>
      </c>
      <c r="M3366">
        <v>0.99988379999999999</v>
      </c>
      <c r="N3366">
        <v>-1.327863E-2</v>
      </c>
      <c r="O3366">
        <v>7.5041580000000004E-3</v>
      </c>
      <c r="P3366">
        <v>0.98941950000000001</v>
      </c>
      <c r="Q3366">
        <v>-0.14469699999999999</v>
      </c>
      <c r="R3366">
        <v>-1.057788E-2</v>
      </c>
      <c r="S3366">
        <v>3.0140380000000002</v>
      </c>
      <c r="T3366">
        <v>-0.12751100000000001</v>
      </c>
      <c r="U3366">
        <v>2.4810789999999999E-2</v>
      </c>
      <c r="V3366">
        <v>1.796679E-2</v>
      </c>
      <c r="W3366">
        <v>-0.13155249999999999</v>
      </c>
      <c r="X3366">
        <v>0.99114639999999998</v>
      </c>
      <c r="Y3366">
        <v>-7.2897199999999896E-4</v>
      </c>
      <c r="Z3366">
        <v>-1.9744249999999999E-4</v>
      </c>
      <c r="AA3366">
        <v>0.99999970000000005</v>
      </c>
      <c r="AB3366">
        <v>27</v>
      </c>
      <c r="AC3366">
        <v>26.202500000000001</v>
      </c>
      <c r="AD3366">
        <v>-1.120537308391</v>
      </c>
      <c r="AE3366">
        <v>0.216099999999983</v>
      </c>
      <c r="AF3366">
        <v>-1.9413400592803099E-2</v>
      </c>
      <c r="AG3366">
        <v>-1.120537308391</v>
      </c>
      <c r="AH3366">
        <v>26.1555537581553</v>
      </c>
      <c r="AI3366">
        <v>92.4531235856374</v>
      </c>
      <c r="AJ3366">
        <v>90.042526559597604</v>
      </c>
      <c r="AK3366">
        <v>26.1795525770662</v>
      </c>
      <c r="AL3366">
        <v>97.559314368749696</v>
      </c>
      <c r="AM3366">
        <v>88.961497004627404</v>
      </c>
      <c r="AN3366">
        <v>1.00000002601605</v>
      </c>
    </row>
    <row r="3367" spans="1:40" x14ac:dyDescent="0.25">
      <c r="A3367" t="str">
        <f>"20190303154537221"</f>
        <v>20190303154537221</v>
      </c>
      <c r="B3367" t="str">
        <f>"1551599137214637"</f>
        <v>1551599137214637</v>
      </c>
      <c r="C3367" t="s">
        <v>40</v>
      </c>
      <c r="D3367">
        <v>4.6797129999999996</v>
      </c>
      <c r="E3367">
        <v>0.49432959999999898</v>
      </c>
      <c r="F3367" t="s">
        <v>55</v>
      </c>
      <c r="G3367">
        <v>-266.8279</v>
      </c>
      <c r="H3367" s="1">
        <v>2.0992690000000002E-6</v>
      </c>
      <c r="I3367">
        <v>214.5574</v>
      </c>
      <c r="J3367">
        <v>-293.85489999999999</v>
      </c>
      <c r="K3367">
        <v>1.1205179999999999</v>
      </c>
      <c r="L3367">
        <v>214.34559999999999</v>
      </c>
      <c r="M3367">
        <v>0.99988630000000001</v>
      </c>
      <c r="N3367">
        <v>-1.316557E-2</v>
      </c>
      <c r="O3367">
        <v>7.3530590000000003E-3</v>
      </c>
      <c r="P3367">
        <v>0.989514</v>
      </c>
      <c r="Q3367">
        <v>-0.1440303</v>
      </c>
      <c r="R3367">
        <v>-1.084771E-2</v>
      </c>
      <c r="S3367">
        <v>3.0142820000000001</v>
      </c>
      <c r="T3367">
        <v>-0.12365080000000001</v>
      </c>
      <c r="U3367">
        <v>2.3605350000000001E-2</v>
      </c>
      <c r="V3367">
        <v>1.8084349999999999E-2</v>
      </c>
      <c r="W3367">
        <v>-0.13099720000000001</v>
      </c>
      <c r="X3367">
        <v>0.99121780000000004</v>
      </c>
      <c r="Y3367">
        <v>-4.7956229999999999E-4</v>
      </c>
      <c r="Z3367">
        <v>-1.9172460000000001E-4</v>
      </c>
      <c r="AA3367">
        <v>0.99999990000000005</v>
      </c>
      <c r="AB3367">
        <v>27</v>
      </c>
      <c r="AC3367">
        <v>27.026999999999902</v>
      </c>
      <c r="AD3367">
        <v>-1.1205159007309999</v>
      </c>
      <c r="AE3367">
        <v>0.21180000000001001</v>
      </c>
      <c r="AF3367">
        <v>-1.3023539094604601E-2</v>
      </c>
      <c r="AG3367">
        <v>-1.1205159007309999</v>
      </c>
      <c r="AH3367">
        <v>26.981452259470899</v>
      </c>
      <c r="AI3367">
        <v>92.378076379544297</v>
      </c>
      <c r="AJ3367">
        <v>90.027655804413996</v>
      </c>
      <c r="AK3367">
        <v>27.004712394811101</v>
      </c>
      <c r="AL3367">
        <v>97.527220337209798</v>
      </c>
      <c r="AM3367">
        <v>88.954778670706105</v>
      </c>
      <c r="AN3367">
        <v>1.0000000185797999</v>
      </c>
    </row>
    <row r="3368" spans="1:40" x14ac:dyDescent="0.25">
      <c r="A3368" t="str">
        <f>"20190303154537243"</f>
        <v>20190303154537243</v>
      </c>
      <c r="B3368" t="str">
        <f>"1551599137234157"</f>
        <v>1551599137234157</v>
      </c>
      <c r="C3368" t="s">
        <v>40</v>
      </c>
      <c r="D3368">
        <v>4.7529329999999996</v>
      </c>
      <c r="E3368">
        <v>0.49442029999999998</v>
      </c>
      <c r="F3368" t="s">
        <v>55</v>
      </c>
      <c r="G3368">
        <v>-265.96719999999999</v>
      </c>
      <c r="H3368" s="1">
        <v>1.6412799999999999E-6</v>
      </c>
      <c r="I3368">
        <v>214.55600000000001</v>
      </c>
      <c r="J3368">
        <v>-293.5788</v>
      </c>
      <c r="K3368">
        <v>1.120498</v>
      </c>
      <c r="L3368">
        <v>214.34739999999999</v>
      </c>
      <c r="M3368">
        <v>0.99988869999999996</v>
      </c>
      <c r="N3368">
        <v>-1.306849E-2</v>
      </c>
      <c r="O3368">
        <v>7.1914369999999898E-3</v>
      </c>
      <c r="P3368">
        <v>0.98953590000000002</v>
      </c>
      <c r="Q3368">
        <v>-0.14390329999999901</v>
      </c>
      <c r="R3368">
        <v>-1.051794E-2</v>
      </c>
      <c r="S3368">
        <v>3.0144039999999999</v>
      </c>
      <c r="T3368">
        <v>-0.1211174</v>
      </c>
      <c r="U3368">
        <v>2.275085E-2</v>
      </c>
      <c r="V3368">
        <v>1.7590459999999999E-2</v>
      </c>
      <c r="W3368">
        <v>-0.13096650000000001</v>
      </c>
      <c r="X3368">
        <v>0.99123070000000002</v>
      </c>
      <c r="Y3368">
        <v>-3.5738250000000001E-4</v>
      </c>
      <c r="Z3368">
        <v>-1.8535120000000001E-4</v>
      </c>
      <c r="AA3368">
        <v>0.99999990000000005</v>
      </c>
      <c r="AB3368">
        <v>27</v>
      </c>
      <c r="AC3368">
        <v>27.611599999999999</v>
      </c>
      <c r="AD3368">
        <v>-1.1204963587200001</v>
      </c>
      <c r="AE3368">
        <v>0.20859999999998899</v>
      </c>
      <c r="AF3368">
        <v>-9.9940990181665301E-3</v>
      </c>
      <c r="AG3368">
        <v>-1.1204963587200001</v>
      </c>
      <c r="AH3368">
        <v>27.5669917329027</v>
      </c>
      <c r="AI3368">
        <v>92.327580335005194</v>
      </c>
      <c r="AJ3368">
        <v>90.0207719316724</v>
      </c>
      <c r="AK3368">
        <v>27.589756163725799</v>
      </c>
      <c r="AL3368">
        <v>97.525446404630699</v>
      </c>
      <c r="AM3368">
        <v>88.983331187972993</v>
      </c>
      <c r="AN3368">
        <v>0.99999997451387501</v>
      </c>
    </row>
    <row r="3369" spans="1:40" x14ac:dyDescent="0.25">
      <c r="A3369" t="str">
        <f>"20190303154537264"</f>
        <v>20190303154537264</v>
      </c>
      <c r="B3369" t="str">
        <f>"1551599137254652"</f>
        <v>1551599137254652</v>
      </c>
      <c r="C3369" t="s">
        <v>40</v>
      </c>
      <c r="D3369">
        <v>4.7344720000000002</v>
      </c>
      <c r="E3369">
        <v>0.49478850000000002</v>
      </c>
      <c r="F3369" t="s">
        <v>55</v>
      </c>
      <c r="G3369">
        <v>-265.4785</v>
      </c>
      <c r="H3369" s="1">
        <v>1.380922E-6</v>
      </c>
      <c r="I3369">
        <v>214.56299999999999</v>
      </c>
      <c r="J3369">
        <v>-293.32920000000001</v>
      </c>
      <c r="K3369">
        <v>1.1204829999999999</v>
      </c>
      <c r="L3369">
        <v>214.34899999999999</v>
      </c>
      <c r="M3369">
        <v>0.99989099999999997</v>
      </c>
      <c r="N3369">
        <v>-1.298994E-2</v>
      </c>
      <c r="O3369">
        <v>7.0288130000000001E-3</v>
      </c>
      <c r="P3369">
        <v>0.98955029999999999</v>
      </c>
      <c r="Q3369">
        <v>-0.1437812</v>
      </c>
      <c r="R3369">
        <v>-1.0843749999999999E-2</v>
      </c>
      <c r="S3369">
        <v>3.0144959999999998</v>
      </c>
      <c r="T3369">
        <v>-0.1202027</v>
      </c>
      <c r="U3369">
        <v>2.3132320000000001E-2</v>
      </c>
      <c r="V3369">
        <v>1.7751570000000001E-2</v>
      </c>
      <c r="W3369">
        <v>-0.130922699999999</v>
      </c>
      <c r="X3369">
        <v>0.99123360000000005</v>
      </c>
      <c r="Y3369">
        <v>-6.4594010000000005E-4</v>
      </c>
      <c r="Z3369">
        <v>-1.718E-4</v>
      </c>
      <c r="AA3369">
        <v>0.99999979999999999</v>
      </c>
      <c r="AB3369">
        <v>27</v>
      </c>
      <c r="AC3369">
        <v>27.8507</v>
      </c>
      <c r="AD3369">
        <v>-1.12048161907799</v>
      </c>
      <c r="AE3369">
        <v>0.21399999999996999</v>
      </c>
      <c r="AF3369">
        <v>-1.8191405002137801E-2</v>
      </c>
      <c r="AG3369">
        <v>-1.12048161907799</v>
      </c>
      <c r="AH3369">
        <v>27.806511472675101</v>
      </c>
      <c r="AI3369">
        <v>92.307522126050401</v>
      </c>
      <c r="AJ3369">
        <v>90.037483687313994</v>
      </c>
      <c r="AK3369">
        <v>27.8290835326268</v>
      </c>
      <c r="AL3369">
        <v>97.522915158290303</v>
      </c>
      <c r="AM3369">
        <v>88.974024559822197</v>
      </c>
      <c r="AN3369">
        <v>0.99999996069085595</v>
      </c>
    </row>
    <row r="3370" spans="1:40" x14ac:dyDescent="0.25">
      <c r="A3370" t="str">
        <f>"20190303154537286"</f>
        <v>20190303154537286</v>
      </c>
      <c r="B3370" t="str">
        <f>"1551599137283933"</f>
        <v>1551599137283933</v>
      </c>
      <c r="C3370" t="s">
        <v>40</v>
      </c>
      <c r="D3370">
        <v>4.7563170000000001</v>
      </c>
      <c r="E3370">
        <v>0.49516110000000002</v>
      </c>
      <c r="F3370" t="s">
        <v>55</v>
      </c>
      <c r="G3370">
        <v>-265.59300000000002</v>
      </c>
      <c r="H3370" s="1">
        <v>1.443613E-6</v>
      </c>
      <c r="I3370">
        <v>214.52269999999999</v>
      </c>
      <c r="J3370">
        <v>-293.04169999999999</v>
      </c>
      <c r="K3370">
        <v>1.1204609999999999</v>
      </c>
      <c r="L3370">
        <v>214.35079999999999</v>
      </c>
      <c r="M3370">
        <v>0.99989340000000004</v>
      </c>
      <c r="N3370">
        <v>-1.2909759999999999E-2</v>
      </c>
      <c r="O3370">
        <v>6.8238819999999999E-3</v>
      </c>
      <c r="P3370">
        <v>0.98964969999999997</v>
      </c>
      <c r="Q3370">
        <v>-0.1430797</v>
      </c>
      <c r="R3370">
        <v>-1.102858E-2</v>
      </c>
      <c r="S3370">
        <v>3.014221</v>
      </c>
      <c r="T3370">
        <v>-0.121767899999999</v>
      </c>
      <c r="U3370">
        <v>1.8875119999999999E-2</v>
      </c>
      <c r="V3370">
        <v>1.7730699999999999E-2</v>
      </c>
      <c r="W3370">
        <v>-0.1302999</v>
      </c>
      <c r="X3370">
        <v>0.99131610000000003</v>
      </c>
      <c r="Y3370">
        <v>5.593846E-4</v>
      </c>
      <c r="Z3370">
        <v>-2.0238480000000001E-4</v>
      </c>
      <c r="AA3370">
        <v>0.99999979999999999</v>
      </c>
      <c r="AB3370">
        <v>27</v>
      </c>
      <c r="AC3370">
        <v>27.448699999999899</v>
      </c>
      <c r="AD3370">
        <v>-1.1204595563869999</v>
      </c>
      <c r="AE3370">
        <v>0.171899999999993</v>
      </c>
      <c r="AF3370">
        <v>1.54006388182847E-2</v>
      </c>
      <c r="AG3370">
        <v>-1.1204595563869999</v>
      </c>
      <c r="AH3370">
        <v>27.403573606926098</v>
      </c>
      <c r="AI3370">
        <v>92.341368161525807</v>
      </c>
      <c r="AJ3370">
        <v>89.967800129798604</v>
      </c>
      <c r="AK3370">
        <v>27.426474677351301</v>
      </c>
      <c r="AL3370">
        <v>97.486922532706103</v>
      </c>
      <c r="AM3370">
        <v>88.975315777565896</v>
      </c>
      <c r="AN3370">
        <v>1.0000000258908499</v>
      </c>
    </row>
    <row r="3371" spans="1:40" x14ac:dyDescent="0.25">
      <c r="A3371" t="str">
        <f>"20190303154537308"</f>
        <v>20190303154537308</v>
      </c>
      <c r="B3371" t="str">
        <f>"1551599137304428"</f>
        <v>1551599137304428</v>
      </c>
      <c r="C3371" t="s">
        <v>40</v>
      </c>
      <c r="D3371">
        <v>4.7609029999999999</v>
      </c>
      <c r="E3371">
        <v>0.49534270000000002</v>
      </c>
      <c r="F3371" t="s">
        <v>55</v>
      </c>
      <c r="G3371">
        <v>-264.6705</v>
      </c>
      <c r="H3371" s="1">
        <v>9.5395020000000008E-7</v>
      </c>
      <c r="I3371">
        <v>214.4948</v>
      </c>
      <c r="J3371">
        <v>-292.78399999999999</v>
      </c>
      <c r="K3371">
        <v>1.120447</v>
      </c>
      <c r="L3371">
        <v>214.35230000000001</v>
      </c>
      <c r="M3371">
        <v>0.9998956</v>
      </c>
      <c r="N3371">
        <v>-1.284604E-2</v>
      </c>
      <c r="O3371">
        <v>6.6253809999999996E-3</v>
      </c>
      <c r="P3371">
        <v>0.98966560000000003</v>
      </c>
      <c r="Q3371">
        <v>-0.1429619</v>
      </c>
      <c r="R3371">
        <v>-1.114857E-2</v>
      </c>
      <c r="S3371">
        <v>3.0143430000000002</v>
      </c>
      <c r="T3371">
        <v>-0.1190451</v>
      </c>
      <c r="U3371">
        <v>1.530457E-2</v>
      </c>
      <c r="V3371">
        <v>1.765129E-2</v>
      </c>
      <c r="W3371">
        <v>-0.13024549999999999</v>
      </c>
      <c r="X3371">
        <v>0.99132469999999995</v>
      </c>
      <c r="Y3371">
        <v>1.544824E-3</v>
      </c>
      <c r="Z3371">
        <v>-2.1687869999999999E-4</v>
      </c>
      <c r="AA3371">
        <v>0.99999879999999997</v>
      </c>
      <c r="AB3371">
        <v>27</v>
      </c>
      <c r="AC3371">
        <v>28.113499999999899</v>
      </c>
      <c r="AD3371">
        <v>-1.1204460460498</v>
      </c>
      <c r="AE3371">
        <v>0.142499999999984</v>
      </c>
      <c r="AF3371">
        <v>4.3711706861035399E-2</v>
      </c>
      <c r="AG3371">
        <v>-1.1204460460498</v>
      </c>
      <c r="AH3371">
        <v>28.0692438164394</v>
      </c>
      <c r="AI3371">
        <v>92.285871615813207</v>
      </c>
      <c r="AJ3371">
        <v>89.910774429469498</v>
      </c>
      <c r="AK3371">
        <v>28.091631467078301</v>
      </c>
      <c r="AL3371">
        <v>97.483778599086193</v>
      </c>
      <c r="AM3371">
        <v>88.979912878504095</v>
      </c>
      <c r="AN3371">
        <v>1.0000000595695</v>
      </c>
    </row>
    <row r="3372" spans="1:40" x14ac:dyDescent="0.25">
      <c r="A3372" t="str">
        <f>"20190303154537330"</f>
        <v>20190303154537330</v>
      </c>
      <c r="B3372" t="str">
        <f>"1551599137323948"</f>
        <v>1551599137323948</v>
      </c>
      <c r="C3372" t="s">
        <v>40</v>
      </c>
      <c r="D3372">
        <v>4.7645819999999999</v>
      </c>
      <c r="E3372">
        <v>0.49554730000000002</v>
      </c>
      <c r="F3372" t="s">
        <v>55</v>
      </c>
      <c r="G3372">
        <v>-264.31619999999998</v>
      </c>
      <c r="H3372" s="1">
        <v>7.6614940000000001E-7</v>
      </c>
      <c r="I3372">
        <v>214.4776</v>
      </c>
      <c r="J3372">
        <v>-292.5163</v>
      </c>
      <c r="K3372">
        <v>1.1204379999999901</v>
      </c>
      <c r="L3372">
        <v>214.35380000000001</v>
      </c>
      <c r="M3372">
        <v>0.9998977</v>
      </c>
      <c r="N3372">
        <v>-1.2787649999999999E-2</v>
      </c>
      <c r="O3372">
        <v>6.4079089999999998E-3</v>
      </c>
      <c r="P3372">
        <v>0.98960420000000004</v>
      </c>
      <c r="Q3372">
        <v>-0.14335290000000001</v>
      </c>
      <c r="R3372">
        <v>-1.1563749999999999E-2</v>
      </c>
      <c r="S3372">
        <v>3.0143430000000002</v>
      </c>
      <c r="T3372">
        <v>-0.1186398</v>
      </c>
      <c r="U3372">
        <v>1.3275149999999999E-2</v>
      </c>
      <c r="V3372">
        <v>1.7847910000000002E-2</v>
      </c>
      <c r="W3372">
        <v>-0.13069549999999999</v>
      </c>
      <c r="X3372">
        <v>0.99126190000000003</v>
      </c>
      <c r="Y3372">
        <v>2.0001979999999999E-3</v>
      </c>
      <c r="Z3372">
        <v>-2.2232290000000001E-4</v>
      </c>
      <c r="AA3372">
        <v>0.99999800000000005</v>
      </c>
      <c r="AB3372">
        <v>27</v>
      </c>
      <c r="AC3372">
        <v>28.200099999999999</v>
      </c>
      <c r="AD3372">
        <v>-1.1204372338505999</v>
      </c>
      <c r="AE3372">
        <v>0.123799999999988</v>
      </c>
      <c r="AF3372">
        <v>5.6831281139642101E-2</v>
      </c>
      <c r="AG3372">
        <v>-1.1204372338505999</v>
      </c>
      <c r="AH3372">
        <v>28.1558681292546</v>
      </c>
      <c r="AI3372">
        <v>92.278826550648304</v>
      </c>
      <c r="AJ3372">
        <v>89.884351350254406</v>
      </c>
      <c r="AK3372">
        <v>28.178210012374599</v>
      </c>
      <c r="AL3372">
        <v>97.509784377107295</v>
      </c>
      <c r="AM3372">
        <v>88.968487105761199</v>
      </c>
      <c r="AN3372">
        <v>1.00000000800161</v>
      </c>
    </row>
    <row r="3373" spans="1:40" x14ac:dyDescent="0.25">
      <c r="A3373" t="str">
        <f>"20190303154537364"</f>
        <v>20190303154537364</v>
      </c>
      <c r="B3373" t="str">
        <f>"1551599137354204"</f>
        <v>1551599137354204</v>
      </c>
      <c r="C3373" t="s">
        <v>40</v>
      </c>
      <c r="D3373">
        <v>4.7736669999999997</v>
      </c>
      <c r="E3373">
        <v>0.49576959999999998</v>
      </c>
      <c r="F3373" t="s">
        <v>55</v>
      </c>
      <c r="G3373">
        <v>-264.28879999999998</v>
      </c>
      <c r="H3373" s="1">
        <v>7.5271449999999999E-7</v>
      </c>
      <c r="I3373">
        <v>214.45050000000001</v>
      </c>
      <c r="J3373">
        <v>-292.10270000000003</v>
      </c>
      <c r="K3373">
        <v>1.1204289999999999</v>
      </c>
      <c r="L3373">
        <v>214.35599999999999</v>
      </c>
      <c r="M3373">
        <v>0.99990080000000003</v>
      </c>
      <c r="N3373">
        <v>-1.2710870000000001E-2</v>
      </c>
      <c r="O3373">
        <v>6.0575029999999997E-3</v>
      </c>
      <c r="P3373">
        <v>0.98944960000000004</v>
      </c>
      <c r="Q3373">
        <v>-0.14423540000000001</v>
      </c>
      <c r="R3373">
        <v>-1.3625780000000001E-2</v>
      </c>
      <c r="S3373">
        <v>3.014313</v>
      </c>
      <c r="T3373">
        <v>-0.11964710000000001</v>
      </c>
      <c r="U3373">
        <v>1.0330199999999999E-2</v>
      </c>
      <c r="V3373">
        <v>1.9558639999999999E-2</v>
      </c>
      <c r="W3373">
        <v>-0.13165729999999901</v>
      </c>
      <c r="X3373">
        <v>0.99110229999999999</v>
      </c>
      <c r="Y3373">
        <v>2.6260569999999998E-3</v>
      </c>
      <c r="Z3373">
        <v>-2.321611E-4</v>
      </c>
      <c r="AA3373">
        <v>0.99999649999999995</v>
      </c>
      <c r="AB3373">
        <v>27</v>
      </c>
      <c r="AC3373">
        <v>27.8139</v>
      </c>
      <c r="AD3373">
        <v>-1.1204282472855001</v>
      </c>
      <c r="AE3373">
        <v>9.4500000000010603E-2</v>
      </c>
      <c r="AF3373">
        <v>7.3878257421301302E-2</v>
      </c>
      <c r="AG3373">
        <v>-1.1204282472855001</v>
      </c>
      <c r="AH3373">
        <v>27.768901393166001</v>
      </c>
      <c r="AI3373">
        <v>92.310526421126298</v>
      </c>
      <c r="AJ3373">
        <v>89.847566804996703</v>
      </c>
      <c r="AK3373">
        <v>27.791594089537501</v>
      </c>
      <c r="AL3373">
        <v>97.565372023602094</v>
      </c>
      <c r="AM3373">
        <v>88.869458695962393</v>
      </c>
      <c r="AN3373">
        <v>0.99999997705361399</v>
      </c>
    </row>
    <row r="3374" spans="1:40" x14ac:dyDescent="0.25">
      <c r="A3374" t="str">
        <f>"20190303154537386"</f>
        <v>20190303154537386</v>
      </c>
      <c r="B3374" t="str">
        <f>"1551599137374701"</f>
        <v>1551599137374701</v>
      </c>
      <c r="C3374" t="s">
        <v>40</v>
      </c>
      <c r="D3374">
        <v>4.8472650000000002</v>
      </c>
      <c r="E3374">
        <v>0.49589359999999999</v>
      </c>
      <c r="F3374" t="s">
        <v>55</v>
      </c>
      <c r="G3374">
        <v>-264.58780000000002</v>
      </c>
      <c r="H3374" s="1">
        <v>9.1510540000000004E-7</v>
      </c>
      <c r="I3374">
        <v>214.3767</v>
      </c>
      <c r="J3374">
        <v>-291.8263</v>
      </c>
      <c r="K3374">
        <v>1.1204289999999999</v>
      </c>
      <c r="L3374">
        <v>214.35740000000001</v>
      </c>
      <c r="M3374">
        <v>0.99990290000000004</v>
      </c>
      <c r="N3374">
        <v>-1.266801E-2</v>
      </c>
      <c r="O3374">
        <v>5.817895E-3</v>
      </c>
      <c r="P3374">
        <v>0.98947450000000003</v>
      </c>
      <c r="Q3374">
        <v>-0.1439859</v>
      </c>
      <c r="R3374">
        <v>-1.4431599999999999E-2</v>
      </c>
      <c r="S3374">
        <v>3.0140690000000001</v>
      </c>
      <c r="T3374">
        <v>-0.12273530000000001</v>
      </c>
      <c r="U3374">
        <v>2.2583009999999999E-3</v>
      </c>
      <c r="V3374">
        <v>2.0126740000000001E-2</v>
      </c>
      <c r="W3374">
        <v>-0.1314504</v>
      </c>
      <c r="X3374">
        <v>0.99111839999999995</v>
      </c>
      <c r="Y3374">
        <v>5.061332E-3</v>
      </c>
      <c r="Z3374">
        <v>-2.982118E-4</v>
      </c>
      <c r="AA3374">
        <v>0.99998710000000002</v>
      </c>
      <c r="AB3374">
        <v>27</v>
      </c>
      <c r="AC3374">
        <v>27.238499999999899</v>
      </c>
      <c r="AD3374">
        <v>-1.1204280848946</v>
      </c>
      <c r="AE3374">
        <v>1.9299999999986901E-2</v>
      </c>
      <c r="AF3374">
        <v>0.13894866429060501</v>
      </c>
      <c r="AG3374">
        <v>-1.1204280848946</v>
      </c>
      <c r="AH3374">
        <v>27.1921420210723</v>
      </c>
      <c r="AI3374">
        <v>92.359456296816504</v>
      </c>
      <c r="AJ3374">
        <v>89.707227818367002</v>
      </c>
      <c r="AK3374">
        <v>27.215570056842399</v>
      </c>
      <c r="AL3374">
        <v>97.553413512432996</v>
      </c>
      <c r="AM3374">
        <v>88.836648798491197</v>
      </c>
      <c r="AN3374">
        <v>0.99999998807087298</v>
      </c>
    </row>
    <row r="3375" spans="1:40" x14ac:dyDescent="0.25">
      <c r="A3375" t="str">
        <f>"20190303154537409"</f>
        <v>20190303154537409</v>
      </c>
      <c r="B3375" t="str">
        <f>"1551599137403981"</f>
        <v>1551599137403981</v>
      </c>
      <c r="C3375" t="s">
        <v>40</v>
      </c>
      <c r="D3375">
        <v>4.835153</v>
      </c>
      <c r="E3375">
        <v>0.49602309999999999</v>
      </c>
      <c r="F3375" t="s">
        <v>55</v>
      </c>
      <c r="G3375">
        <v>-264.15050000000002</v>
      </c>
      <c r="H3375" s="1">
        <v>6.836211E-7</v>
      </c>
      <c r="I3375">
        <v>214.34790000000001</v>
      </c>
      <c r="J3375">
        <v>-291.54559999999998</v>
      </c>
      <c r="K3375">
        <v>1.12043</v>
      </c>
      <c r="L3375">
        <v>214.3588</v>
      </c>
      <c r="M3375">
        <v>0.99990480000000004</v>
      </c>
      <c r="N3375">
        <v>-1.263009E-2</v>
      </c>
      <c r="O3375">
        <v>5.5735819999999997E-3</v>
      </c>
      <c r="P3375">
        <v>0.98954050000000005</v>
      </c>
      <c r="Q3375">
        <v>-0.14347579999999999</v>
      </c>
      <c r="R3375">
        <v>-1.4997419999999999E-2</v>
      </c>
      <c r="S3375">
        <v>3.0140989999999999</v>
      </c>
      <c r="T3375">
        <v>-0.1220229</v>
      </c>
      <c r="U3375">
        <v>-1.037598E-3</v>
      </c>
      <c r="V3375">
        <v>2.0450969999999999E-2</v>
      </c>
      <c r="W3375">
        <v>-0.13097729999999999</v>
      </c>
      <c r="X3375">
        <v>0.99117440000000001</v>
      </c>
      <c r="Y3375">
        <v>5.909755E-3</v>
      </c>
      <c r="Z3375">
        <v>-3.120881E-4</v>
      </c>
      <c r="AA3375">
        <v>0.9999825</v>
      </c>
      <c r="AB3375">
        <v>27</v>
      </c>
      <c r="AC3375">
        <v>27.3950999999999</v>
      </c>
      <c r="AD3375">
        <v>-1.1204293163788901</v>
      </c>
      <c r="AE3375">
        <v>-1.08999999999923E-2</v>
      </c>
      <c r="AF3375">
        <v>0.16332763074338699</v>
      </c>
      <c r="AG3375">
        <v>-1.1204293163788901</v>
      </c>
      <c r="AH3375">
        <v>27.348866681867101</v>
      </c>
      <c r="AI3375">
        <v>92.345941793589603</v>
      </c>
      <c r="AJ3375">
        <v>89.657833255751498</v>
      </c>
      <c r="AK3375">
        <v>27.3722952371647</v>
      </c>
      <c r="AL3375">
        <v>97.526070433780504</v>
      </c>
      <c r="AM3375">
        <v>88.817979934426603</v>
      </c>
      <c r="AN3375">
        <v>0.99999999325229505</v>
      </c>
    </row>
    <row r="3376" spans="1:40" x14ac:dyDescent="0.25">
      <c r="A3376" t="str">
        <f>"20190303154537439"</f>
        <v>20190303154537439</v>
      </c>
      <c r="B3376" t="str">
        <f>"1551599137434236"</f>
        <v>1551599137434236</v>
      </c>
      <c r="C3376" t="s">
        <v>40</v>
      </c>
      <c r="D3376">
        <v>4.892709</v>
      </c>
      <c r="E3376">
        <v>0.49616529999999998</v>
      </c>
      <c r="F3376" t="s">
        <v>55</v>
      </c>
      <c r="G3376">
        <v>-263.68299999999999</v>
      </c>
      <c r="H3376" s="1">
        <v>4.3586220000000003E-7</v>
      </c>
      <c r="I3376">
        <v>214.32419999999999</v>
      </c>
      <c r="J3376">
        <v>-291.1979</v>
      </c>
      <c r="K3376">
        <v>1.120433</v>
      </c>
      <c r="L3376">
        <v>214.3603</v>
      </c>
      <c r="M3376">
        <v>0.99990699999999999</v>
      </c>
      <c r="N3376">
        <v>-1.259E-2</v>
      </c>
      <c r="O3376">
        <v>5.2715549999999998E-3</v>
      </c>
      <c r="P3376">
        <v>0.98957910000000004</v>
      </c>
      <c r="Q3376">
        <v>-0.1432137</v>
      </c>
      <c r="R3376">
        <v>-1.4955090000000001E-2</v>
      </c>
      <c r="S3376">
        <v>3.0140989999999999</v>
      </c>
      <c r="T3376">
        <v>-0.1212046</v>
      </c>
      <c r="U3376">
        <v>-3.738403E-3</v>
      </c>
      <c r="V3376">
        <v>2.0110200000000002E-2</v>
      </c>
      <c r="W3376">
        <v>-0.13075419999999999</v>
      </c>
      <c r="X3376">
        <v>0.99121079999999995</v>
      </c>
      <c r="Y3376">
        <v>6.5033440000000003E-3</v>
      </c>
      <c r="Z3376">
        <v>-3.1721020000000002E-4</v>
      </c>
      <c r="AA3376">
        <v>0.99997879999999995</v>
      </c>
      <c r="AB3376">
        <v>27</v>
      </c>
      <c r="AC3376">
        <v>27.514900000000001</v>
      </c>
      <c r="AD3376">
        <v>-1.1204325641377999</v>
      </c>
      <c r="AE3376">
        <v>-3.6100000000004601E-2</v>
      </c>
      <c r="AF3376">
        <v>0.180857385390987</v>
      </c>
      <c r="AG3376">
        <v>-1.1204325641377999</v>
      </c>
      <c r="AH3376">
        <v>27.4687787991259</v>
      </c>
      <c r="AI3376">
        <v>92.335709991587507</v>
      </c>
      <c r="AJ3376">
        <v>89.622763894290401</v>
      </c>
      <c r="AK3376">
        <v>27.492215029712298</v>
      </c>
      <c r="AL3376">
        <v>97.513177071524794</v>
      </c>
      <c r="AM3376">
        <v>88.837712897128995</v>
      </c>
      <c r="AN3376">
        <v>0.99999996549915904</v>
      </c>
    </row>
    <row r="3377" spans="1:40" x14ac:dyDescent="0.25">
      <c r="A3377" t="str">
        <f>"20190303154537457"</f>
        <v>20190303154537457</v>
      </c>
      <c r="B3377" t="str">
        <f>"1551599137454732"</f>
        <v>1551599137454732</v>
      </c>
      <c r="C3377" t="s">
        <v>40</v>
      </c>
      <c r="D3377">
        <v>5.0231120000000002</v>
      </c>
      <c r="E3377">
        <v>0.49628670000000003</v>
      </c>
      <c r="F3377" t="s">
        <v>55</v>
      </c>
      <c r="G3377">
        <v>-263.33530000000002</v>
      </c>
      <c r="H3377" s="1">
        <v>2.5108619999999999E-7</v>
      </c>
      <c r="I3377">
        <v>214.3184</v>
      </c>
      <c r="J3377">
        <v>-290.96559999999999</v>
      </c>
      <c r="K3377">
        <v>1.1204350000000001</v>
      </c>
      <c r="L3377">
        <v>214.3613</v>
      </c>
      <c r="M3377">
        <v>0.99990820000000002</v>
      </c>
      <c r="N3377">
        <v>-1.256722E-2</v>
      </c>
      <c r="O3377">
        <v>5.0712800000000001E-3</v>
      </c>
      <c r="P3377">
        <v>0.98969940000000001</v>
      </c>
      <c r="Q3377">
        <v>-0.14249129999999999</v>
      </c>
      <c r="R3377">
        <v>-1.383742E-2</v>
      </c>
      <c r="S3377">
        <v>3.0139469999999999</v>
      </c>
      <c r="T3377">
        <v>-0.1211989</v>
      </c>
      <c r="U3377">
        <v>-4.5318600000000004E-3</v>
      </c>
      <c r="V3377">
        <v>1.8795900000000001E-2</v>
      </c>
      <c r="W3377">
        <v>-0.1300521</v>
      </c>
      <c r="X3377">
        <v>0.99132900000000002</v>
      </c>
      <c r="Y3377">
        <v>6.5663809999999996E-3</v>
      </c>
      <c r="Z3377">
        <v>-3.1338669999999999E-4</v>
      </c>
      <c r="AA3377">
        <v>0.99997840000000005</v>
      </c>
      <c r="AB3377">
        <v>27</v>
      </c>
      <c r="AC3377">
        <v>27.630299999999899</v>
      </c>
      <c r="AD3377">
        <v>-1.1204347489138</v>
      </c>
      <c r="AE3377">
        <v>-4.2900000000002998E-2</v>
      </c>
      <c r="AF3377">
        <v>0.18273101972500999</v>
      </c>
      <c r="AG3377">
        <v>-1.1204347489138</v>
      </c>
      <c r="AH3377">
        <v>27.584368022278898</v>
      </c>
      <c r="AI3377">
        <v>92.325937142563802</v>
      </c>
      <c r="AJ3377">
        <v>89.620453038341907</v>
      </c>
      <c r="AK3377">
        <v>27.6077185555176</v>
      </c>
      <c r="AL3377">
        <v>97.472602907164401</v>
      </c>
      <c r="AM3377">
        <v>88.913784706355997</v>
      </c>
      <c r="AN3377">
        <v>1.00000001040611</v>
      </c>
    </row>
    <row r="3378" spans="1:40" x14ac:dyDescent="0.25">
      <c r="A3378" t="str">
        <f>"20190303154537487"</f>
        <v>20190303154537487</v>
      </c>
      <c r="B3378" t="str">
        <f>"1551599137474252"</f>
        <v>1551599137474252</v>
      </c>
      <c r="C3378" t="s">
        <v>40</v>
      </c>
      <c r="D3378">
        <v>4.9615470000000004</v>
      </c>
      <c r="E3378">
        <v>0.49641940000000001</v>
      </c>
      <c r="F3378" t="s">
        <v>55</v>
      </c>
      <c r="G3378">
        <v>-262.70699999999999</v>
      </c>
      <c r="H3378" s="1">
        <v>-8.4233319999999993E-8</v>
      </c>
      <c r="I3378">
        <v>214.3409</v>
      </c>
      <c r="J3378">
        <v>-290.59660000000002</v>
      </c>
      <c r="K3378">
        <v>1.120433</v>
      </c>
      <c r="L3378">
        <v>214.36279999999999</v>
      </c>
      <c r="M3378">
        <v>0.99991019999999997</v>
      </c>
      <c r="N3378">
        <v>-1.253609E-2</v>
      </c>
      <c r="O3378">
        <v>4.7553789999999997E-3</v>
      </c>
      <c r="P3378">
        <v>0.98969969999999996</v>
      </c>
      <c r="Q3378">
        <v>-0.1426307</v>
      </c>
      <c r="R3378">
        <v>-1.230709E-2</v>
      </c>
      <c r="S3378">
        <v>3.0139469999999999</v>
      </c>
      <c r="T3378">
        <v>-0.1195008</v>
      </c>
      <c r="U3378">
        <v>-2.1820070000000001E-3</v>
      </c>
      <c r="V3378">
        <v>1.6953269999999999E-2</v>
      </c>
      <c r="W3378">
        <v>-0.13022120000000001</v>
      </c>
      <c r="X3378">
        <v>0.99134</v>
      </c>
      <c r="Y3378">
        <v>5.4723050000000002E-3</v>
      </c>
      <c r="Z3378">
        <v>-2.7163600000000001E-4</v>
      </c>
      <c r="AA3378">
        <v>0.99998500000000001</v>
      </c>
      <c r="AB3378">
        <v>27</v>
      </c>
      <c r="AC3378">
        <v>27.889600000000002</v>
      </c>
      <c r="AD3378">
        <v>-1.1204330842333201</v>
      </c>
      <c r="AE3378">
        <v>-2.1899999999987999E-2</v>
      </c>
      <c r="AF3378">
        <v>0.154286772019673</v>
      </c>
      <c r="AG3378">
        <v>-1.1204330842333201</v>
      </c>
      <c r="AH3378">
        <v>27.844241558850801</v>
      </c>
      <c r="AI3378">
        <v>92.304264159040301</v>
      </c>
      <c r="AJ3378">
        <v>89.682523570200601</v>
      </c>
      <c r="AK3378">
        <v>27.867202276007099</v>
      </c>
      <c r="AL3378">
        <v>97.482374913831705</v>
      </c>
      <c r="AM3378">
        <v>89.020259301706105</v>
      </c>
      <c r="AN3378">
        <v>0.99999998494656595</v>
      </c>
    </row>
    <row r="3379" spans="1:40" x14ac:dyDescent="0.25">
      <c r="A3379" t="str">
        <f>"20190303154537510"</f>
        <v>20190303154537510</v>
      </c>
      <c r="B3379" t="str">
        <f>"1551599137504509"</f>
        <v>1551599137504509</v>
      </c>
      <c r="C3379" t="s">
        <v>40</v>
      </c>
      <c r="D3379">
        <v>4.926107</v>
      </c>
      <c r="E3379">
        <v>0.4964614</v>
      </c>
      <c r="F3379" t="s">
        <v>55</v>
      </c>
      <c r="G3379">
        <v>-262.61739999999998</v>
      </c>
      <c r="H3379" s="1">
        <v>-1.3333920000000001E-7</v>
      </c>
      <c r="I3379">
        <v>214.37389999999999</v>
      </c>
      <c r="J3379">
        <v>-290.31900000000002</v>
      </c>
      <c r="K3379">
        <v>1.120428</v>
      </c>
      <c r="L3379">
        <v>214.3638</v>
      </c>
      <c r="M3379">
        <v>0.99991140000000001</v>
      </c>
      <c r="N3379">
        <v>-1.25162E-2</v>
      </c>
      <c r="O3379">
        <v>4.5192619999999996E-3</v>
      </c>
      <c r="P3379">
        <v>0.9897087</v>
      </c>
      <c r="Q3379">
        <v>-0.1426296</v>
      </c>
      <c r="R3379">
        <v>-1.155726E-2</v>
      </c>
      <c r="S3379">
        <v>3.0138850000000001</v>
      </c>
      <c r="T3379">
        <v>-0.1206918</v>
      </c>
      <c r="U3379">
        <v>1.205444E-3</v>
      </c>
      <c r="V3379">
        <v>1.5970060000000001E-2</v>
      </c>
      <c r="W3379">
        <v>-0.1302392</v>
      </c>
      <c r="X3379">
        <v>0.99135399999999996</v>
      </c>
      <c r="Y3379">
        <v>4.1136180000000003E-3</v>
      </c>
      <c r="Z3379">
        <v>-2.3244159999999999E-4</v>
      </c>
      <c r="AA3379">
        <v>0.99999150000000003</v>
      </c>
      <c r="AB3379">
        <v>27</v>
      </c>
      <c r="AC3379">
        <v>27.701599999999999</v>
      </c>
      <c r="AD3379">
        <v>-1.1204281333392001</v>
      </c>
      <c r="AE3379">
        <v>1.00999999999942E-2</v>
      </c>
      <c r="AF3379">
        <v>0.11491271914753499</v>
      </c>
      <c r="AG3379">
        <v>-1.1204281333392001</v>
      </c>
      <c r="AH3379">
        <v>27.656119915303901</v>
      </c>
      <c r="AI3379">
        <v>92.319926420149102</v>
      </c>
      <c r="AJ3379">
        <v>89.761934213830202</v>
      </c>
      <c r="AK3379">
        <v>27.679045014318501</v>
      </c>
      <c r="AL3379">
        <v>97.483414812346297</v>
      </c>
      <c r="AM3379">
        <v>89.077082559205806</v>
      </c>
      <c r="AN3379">
        <v>1.00000002267452</v>
      </c>
    </row>
    <row r="3380" spans="1:40" x14ac:dyDescent="0.25">
      <c r="A3380" t="str">
        <f>"20190303154537532"</f>
        <v>20190303154537532</v>
      </c>
      <c r="B3380" t="str">
        <f>"1551599137523819"</f>
        <v>1551599137523819</v>
      </c>
      <c r="C3380" t="s">
        <v>40</v>
      </c>
      <c r="D3380">
        <v>4.9412589999999996</v>
      </c>
      <c r="E3380">
        <v>0.4964636</v>
      </c>
      <c r="F3380" t="s">
        <v>55</v>
      </c>
      <c r="G3380">
        <v>-262.70839999999998</v>
      </c>
      <c r="H3380" s="1">
        <v>-8.5696509999999999E-8</v>
      </c>
      <c r="I3380">
        <v>214.39150000000001</v>
      </c>
      <c r="J3380">
        <v>-290.05419999999998</v>
      </c>
      <c r="K3380">
        <v>1.1204270000000001</v>
      </c>
      <c r="L3380">
        <v>214.3647</v>
      </c>
      <c r="M3380">
        <v>0.99991280000000005</v>
      </c>
      <c r="N3380">
        <v>-1.2499629999999999E-2</v>
      </c>
      <c r="O3380">
        <v>4.2943249999999999E-3</v>
      </c>
      <c r="P3380">
        <v>0.98962150000000004</v>
      </c>
      <c r="Q3380">
        <v>-0.14324219999999999</v>
      </c>
      <c r="R3380">
        <v>-1.1460059999999999E-2</v>
      </c>
      <c r="S3380">
        <v>3.0136409999999998</v>
      </c>
      <c r="T3380">
        <v>-0.1222925</v>
      </c>
      <c r="U3380">
        <v>3.0212400000000001E-3</v>
      </c>
      <c r="V3380">
        <v>1.5649920000000001E-2</v>
      </c>
      <c r="W3380">
        <v>-0.13086900000000001</v>
      </c>
      <c r="X3380">
        <v>0.99127609999999999</v>
      </c>
      <c r="Y3380">
        <v>3.2869150000000001E-3</v>
      </c>
      <c r="Z3380">
        <v>-2.0774349999999999E-4</v>
      </c>
      <c r="AA3380">
        <v>0.99999459999999996</v>
      </c>
      <c r="AB3380">
        <v>27</v>
      </c>
      <c r="AC3380">
        <v>27.345800000000001</v>
      </c>
      <c r="AD3380">
        <v>-1.12042708569651</v>
      </c>
      <c r="AE3380">
        <v>2.6800000000008602E-2</v>
      </c>
      <c r="AF3380">
        <v>9.0489248969816194E-2</v>
      </c>
      <c r="AG3380">
        <v>-1.12042708569651</v>
      </c>
      <c r="AH3380">
        <v>27.299833369983901</v>
      </c>
      <c r="AI3380">
        <v>92.350174918063104</v>
      </c>
      <c r="AJ3380">
        <v>89.810085541569407</v>
      </c>
      <c r="AK3380">
        <v>27.322965563558999</v>
      </c>
      <c r="AL3380">
        <v>97.519811672024602</v>
      </c>
      <c r="AM3380">
        <v>89.095509436578993</v>
      </c>
      <c r="AN3380">
        <v>0.99999996079410702</v>
      </c>
    </row>
    <row r="3381" spans="1:40" x14ac:dyDescent="0.25">
      <c r="A3381" t="str">
        <f>"20190303154537554"</f>
        <v>20190303154537554</v>
      </c>
      <c r="B3381" t="str">
        <f>"1551599137544315"</f>
        <v>1551599137544315</v>
      </c>
      <c r="C3381" t="s">
        <v>40</v>
      </c>
      <c r="D3381">
        <v>4.973643</v>
      </c>
      <c r="E3381">
        <v>0.49651010000000001</v>
      </c>
      <c r="F3381" t="s">
        <v>55</v>
      </c>
      <c r="G3381">
        <v>-263.19850000000002</v>
      </c>
      <c r="H3381" s="1">
        <v>1.7504950000000001E-7</v>
      </c>
      <c r="I3381">
        <v>214.393</v>
      </c>
      <c r="J3381">
        <v>-289.78949999999998</v>
      </c>
      <c r="K3381">
        <v>1.1204149999999999</v>
      </c>
      <c r="L3381">
        <v>214.3656</v>
      </c>
      <c r="M3381">
        <v>0.99991379999999996</v>
      </c>
      <c r="N3381">
        <v>-1.248514E-2</v>
      </c>
      <c r="O3381">
        <v>4.0696700000000001E-3</v>
      </c>
      <c r="P3381">
        <v>0.98961279999999996</v>
      </c>
      <c r="Q3381">
        <v>-0.14328850000000001</v>
      </c>
      <c r="R3381">
        <v>-1.160418E-2</v>
      </c>
      <c r="S3381">
        <v>3.013306</v>
      </c>
      <c r="T3381">
        <v>-0.12571570000000001</v>
      </c>
      <c r="U3381">
        <v>3.1738280000000001E-3</v>
      </c>
      <c r="V3381">
        <v>1.5571959999999999E-2</v>
      </c>
      <c r="W3381">
        <v>-0.13092970000000001</v>
      </c>
      <c r="X3381">
        <v>0.99126939999999997</v>
      </c>
      <c r="Y3381">
        <v>3.0115810000000002E-3</v>
      </c>
      <c r="Z3381">
        <v>-2.005221E-4</v>
      </c>
      <c r="AA3381">
        <v>0.99999550000000004</v>
      </c>
      <c r="AB3381">
        <v>27</v>
      </c>
      <c r="AC3381">
        <v>26.590999999999902</v>
      </c>
      <c r="AD3381">
        <v>-1.1204148249504999</v>
      </c>
      <c r="AE3381">
        <v>2.7400000000000001E-2</v>
      </c>
      <c r="AF3381">
        <v>8.0682014506177499E-2</v>
      </c>
      <c r="AG3381">
        <v>-1.1204148249504999</v>
      </c>
      <c r="AH3381">
        <v>26.543766379849501</v>
      </c>
      <c r="AI3381">
        <v>92.417014197508394</v>
      </c>
      <c r="AJ3381">
        <v>89.825845186732806</v>
      </c>
      <c r="AK3381">
        <v>26.567524773592702</v>
      </c>
      <c r="AL3381">
        <v>97.523319051749297</v>
      </c>
      <c r="AM3381">
        <v>89.1000083269345</v>
      </c>
      <c r="AN3381">
        <v>1.00000004782834</v>
      </c>
    </row>
    <row r="3382" spans="1:40" x14ac:dyDescent="0.25">
      <c r="A3382" t="str">
        <f>"20190303154537576"</f>
        <v>20190303154537576</v>
      </c>
      <c r="B3382" t="str">
        <f>"1551599137563835"</f>
        <v>1551599137563835</v>
      </c>
      <c r="C3382" t="s">
        <v>40</v>
      </c>
      <c r="D3382">
        <v>4.9562499999999998</v>
      </c>
      <c r="E3382">
        <v>0.4965425</v>
      </c>
      <c r="F3382" t="s">
        <v>55</v>
      </c>
      <c r="G3382">
        <v>-263.05590000000001</v>
      </c>
      <c r="H3382" s="1">
        <v>9.9461240000000003E-8</v>
      </c>
      <c r="I3382">
        <v>214.386</v>
      </c>
      <c r="J3382">
        <v>-289.51530000000002</v>
      </c>
      <c r="K3382">
        <v>1.120411</v>
      </c>
      <c r="L3382">
        <v>214.3664</v>
      </c>
      <c r="M3382">
        <v>0.999915</v>
      </c>
      <c r="N3382">
        <v>-1.247201E-2</v>
      </c>
      <c r="O3382">
        <v>3.8365410000000002E-3</v>
      </c>
      <c r="P3382">
        <v>0.98958270000000004</v>
      </c>
      <c r="Q3382">
        <v>-0.1433951</v>
      </c>
      <c r="R3382">
        <v>-1.280679E-2</v>
      </c>
      <c r="S3382">
        <v>3.0132750000000001</v>
      </c>
      <c r="T3382">
        <v>-0.12628729999999999</v>
      </c>
      <c r="U3382">
        <v>2.3040769999999999E-3</v>
      </c>
      <c r="V3382">
        <v>1.6543950000000002E-2</v>
      </c>
      <c r="W3382">
        <v>-0.13105020000000001</v>
      </c>
      <c r="X3382">
        <v>0.9912377</v>
      </c>
      <c r="Y3382">
        <v>3.0670459999999999E-3</v>
      </c>
      <c r="Z3382">
        <v>-1.962632E-4</v>
      </c>
      <c r="AA3382">
        <v>0.99999530000000003</v>
      </c>
      <c r="AB3382">
        <v>27</v>
      </c>
      <c r="AC3382">
        <v>26.459399999999999</v>
      </c>
      <c r="AD3382">
        <v>-1.1204109005387599</v>
      </c>
      <c r="AE3382">
        <v>1.9599999999996901E-2</v>
      </c>
      <c r="AF3382">
        <v>8.1773973732188698E-2</v>
      </c>
      <c r="AG3382">
        <v>-1.1204109005387599</v>
      </c>
      <c r="AH3382">
        <v>26.411922323957999</v>
      </c>
      <c r="AI3382">
        <v>92.429056207811001</v>
      </c>
      <c r="AJ3382">
        <v>89.822607058258399</v>
      </c>
      <c r="AK3382">
        <v>26.435802397801702</v>
      </c>
      <c r="AL3382">
        <v>97.530283427365006</v>
      </c>
      <c r="AM3382">
        <v>89.043811075963006</v>
      </c>
      <c r="AN3382">
        <v>1.0000000175514601</v>
      </c>
    </row>
    <row r="3383" spans="1:40" x14ac:dyDescent="0.25">
      <c r="A3383" t="str">
        <f>"20190303154537599"</f>
        <v>20190303154537599</v>
      </c>
      <c r="B3383" t="str">
        <f>"1551599137594092"</f>
        <v>1551599137594092</v>
      </c>
      <c r="C3383" t="s">
        <v>40</v>
      </c>
      <c r="D3383">
        <v>4.9098509999999997</v>
      </c>
      <c r="E3383">
        <v>0.49660500000000002</v>
      </c>
      <c r="F3383" t="s">
        <v>55</v>
      </c>
      <c r="G3383">
        <v>-262.9905</v>
      </c>
      <c r="H3383" s="1">
        <v>6.621342E-8</v>
      </c>
      <c r="I3383">
        <v>214.35079999999999</v>
      </c>
      <c r="J3383">
        <v>-289.23039999999997</v>
      </c>
      <c r="K3383">
        <v>1.1204080000000001</v>
      </c>
      <c r="L3383">
        <v>214.3672</v>
      </c>
      <c r="M3383">
        <v>0.99991600000000003</v>
      </c>
      <c r="N3383">
        <v>-1.246014E-2</v>
      </c>
      <c r="O3383">
        <v>3.5941620000000001E-3</v>
      </c>
      <c r="P3383">
        <v>0.98942410000000003</v>
      </c>
      <c r="Q3383">
        <v>-0.14430379999999901</v>
      </c>
      <c r="R3383">
        <v>-1.4716129999999999E-2</v>
      </c>
      <c r="S3383">
        <v>3.0131230000000002</v>
      </c>
      <c r="T3383">
        <v>-0.12727479999999999</v>
      </c>
      <c r="U3383">
        <v>-1.77002E-3</v>
      </c>
      <c r="V3383">
        <v>1.8212519999999999E-2</v>
      </c>
      <c r="W3383">
        <v>-0.13197329999999999</v>
      </c>
      <c r="X3383">
        <v>0.99108589999999996</v>
      </c>
      <c r="Y3383">
        <v>4.1754579999999999E-3</v>
      </c>
      <c r="Z3383">
        <v>-2.2115470000000001E-4</v>
      </c>
      <c r="AA3383">
        <v>0.99999119999999997</v>
      </c>
      <c r="AB3383">
        <v>27</v>
      </c>
      <c r="AC3383">
        <v>26.239899999999899</v>
      </c>
      <c r="AD3383">
        <v>-1.12040793378658</v>
      </c>
      <c r="AE3383">
        <v>-1.6400000000004401E-2</v>
      </c>
      <c r="AF3383">
        <v>0.110516168892265</v>
      </c>
      <c r="AG3383">
        <v>-1.12040793378658</v>
      </c>
      <c r="AH3383">
        <v>26.1919191465682</v>
      </c>
      <c r="AI3383">
        <v>92.449418172860405</v>
      </c>
      <c r="AJ3383">
        <v>89.758243279862796</v>
      </c>
      <c r="AK3383">
        <v>26.216104904086102</v>
      </c>
      <c r="AL3383">
        <v>97.583637036187</v>
      </c>
      <c r="AM3383">
        <v>88.947232430220893</v>
      </c>
      <c r="AN3383">
        <v>0.99999995448822399</v>
      </c>
    </row>
    <row r="3384" spans="1:40" x14ac:dyDescent="0.25">
      <c r="A3384" t="str">
        <f>"20190303154537622"</f>
        <v>20190303154537622</v>
      </c>
      <c r="B3384" t="str">
        <f>"1551599137614587"</f>
        <v>1551599137614587</v>
      </c>
      <c r="C3384" t="s">
        <v>40</v>
      </c>
      <c r="D3384">
        <v>4.9262240000000004</v>
      </c>
      <c r="E3384">
        <v>0.49643999999999999</v>
      </c>
      <c r="F3384" t="s">
        <v>55</v>
      </c>
      <c r="G3384">
        <v>-263.43400000000003</v>
      </c>
      <c r="H3384" s="1">
        <v>3.0463879999999999E-7</v>
      </c>
      <c r="I3384">
        <v>214.29560000000001</v>
      </c>
      <c r="J3384">
        <v>-288.95600000000002</v>
      </c>
      <c r="K3384">
        <v>1.1204099999999999</v>
      </c>
      <c r="L3384">
        <v>214.36789999999999</v>
      </c>
      <c r="M3384">
        <v>0.99991699999999994</v>
      </c>
      <c r="N3384">
        <v>-1.245024E-2</v>
      </c>
      <c r="O3384">
        <v>3.3605280000000002E-3</v>
      </c>
      <c r="P3384">
        <v>0.9895041</v>
      </c>
      <c r="Q3384">
        <v>-0.1436395</v>
      </c>
      <c r="R3384">
        <v>-1.5800649999999999E-2</v>
      </c>
      <c r="S3384">
        <v>3.012848</v>
      </c>
      <c r="T3384">
        <v>-0.13085619999999901</v>
      </c>
      <c r="U3384">
        <v>-8.3618159999999993E-3</v>
      </c>
      <c r="V3384">
        <v>1.9066380000000001E-2</v>
      </c>
      <c r="W3384">
        <v>-0.1313182</v>
      </c>
      <c r="X3384">
        <v>0.99115690000000001</v>
      </c>
      <c r="Y3384">
        <v>6.1270889999999996E-3</v>
      </c>
      <c r="Z3384">
        <v>-2.752225E-4</v>
      </c>
      <c r="AA3384">
        <v>0.99998120000000001</v>
      </c>
      <c r="AB3384">
        <v>27</v>
      </c>
      <c r="AC3384">
        <v>25.521999999999899</v>
      </c>
      <c r="AD3384">
        <v>-1.1204096953611999</v>
      </c>
      <c r="AE3384">
        <v>-7.2299999999984196E-2</v>
      </c>
      <c r="AF3384">
        <v>0.157769572835468</v>
      </c>
      <c r="AG3384">
        <v>-1.1204096953611999</v>
      </c>
      <c r="AH3384">
        <v>25.472522908479402</v>
      </c>
      <c r="AI3384">
        <v>92.518485010432201</v>
      </c>
      <c r="AJ3384">
        <v>89.645130751188404</v>
      </c>
      <c r="AK3384">
        <v>25.497639742661999</v>
      </c>
      <c r="AL3384">
        <v>97.545772697821306</v>
      </c>
      <c r="AM3384">
        <v>88.897966218241393</v>
      </c>
      <c r="AN3384">
        <v>0.99999999845757703</v>
      </c>
    </row>
    <row r="3385" spans="1:40" x14ac:dyDescent="0.25">
      <c r="A3385" t="str">
        <f>"20190303154537647"</f>
        <v>20190303154537647</v>
      </c>
      <c r="B3385" t="str">
        <f>"1551599137643867"</f>
        <v>1551599137643867</v>
      </c>
      <c r="C3385" t="s">
        <v>40</v>
      </c>
      <c r="D3385">
        <v>4.9097839999999904</v>
      </c>
      <c r="E3385">
        <v>0.49621169999999998</v>
      </c>
      <c r="F3385" t="s">
        <v>55</v>
      </c>
      <c r="G3385">
        <v>-263.02589999999998</v>
      </c>
      <c r="H3385" s="1">
        <v>8.8160160000000001E-8</v>
      </c>
      <c r="I3385">
        <v>214.28030000000001</v>
      </c>
      <c r="J3385">
        <v>-288.65300000000002</v>
      </c>
      <c r="K3385">
        <v>1.1204130000000001</v>
      </c>
      <c r="L3385">
        <v>214.36859999999999</v>
      </c>
      <c r="M3385">
        <v>0.99991779999999997</v>
      </c>
      <c r="N3385">
        <v>-1.2440949999999999E-2</v>
      </c>
      <c r="O3385">
        <v>3.105268E-3</v>
      </c>
      <c r="P3385">
        <v>0.98938879999999996</v>
      </c>
      <c r="Q3385">
        <v>-0.144316</v>
      </c>
      <c r="R3385">
        <v>-1.6809569999999999E-2</v>
      </c>
      <c r="S3385">
        <v>3.0127869999999999</v>
      </c>
      <c r="T3385">
        <v>-0.1301794</v>
      </c>
      <c r="U3385">
        <v>-1.017761E-2</v>
      </c>
      <c r="V3385">
        <v>1.982248E-2</v>
      </c>
      <c r="W3385">
        <v>-0.1320057</v>
      </c>
      <c r="X3385">
        <v>0.99105069999999995</v>
      </c>
      <c r="Y3385">
        <v>6.4743429999999996E-3</v>
      </c>
      <c r="Z3385">
        <v>-2.7560010000000001E-4</v>
      </c>
      <c r="AA3385">
        <v>0.99997899999999995</v>
      </c>
      <c r="AB3385">
        <v>27</v>
      </c>
      <c r="AC3385">
        <v>25.627099999999999</v>
      </c>
      <c r="AD3385">
        <v>-1.1204129118398301</v>
      </c>
      <c r="AE3385">
        <v>-8.8299999999975398E-2</v>
      </c>
      <c r="AF3385">
        <v>0.16756446281760301</v>
      </c>
      <c r="AG3385">
        <v>-1.1204129118398301</v>
      </c>
      <c r="AH3385">
        <v>25.577812714490801</v>
      </c>
      <c r="AI3385">
        <v>92.508132543007505</v>
      </c>
      <c r="AJ3385">
        <v>89.624651283549298</v>
      </c>
      <c r="AK3385">
        <v>25.602888629992201</v>
      </c>
      <c r="AL3385">
        <v>97.585509741061202</v>
      </c>
      <c r="AM3385">
        <v>88.854152441612797</v>
      </c>
      <c r="AN3385">
        <v>0.99999996275816405</v>
      </c>
    </row>
    <row r="3386" spans="1:40" x14ac:dyDescent="0.25">
      <c r="A3386" t="str">
        <f>"20190303154537666"</f>
        <v>20190303154537666</v>
      </c>
      <c r="B3386" t="str">
        <f>"1551599137654604"</f>
        <v>1551599137654604</v>
      </c>
      <c r="C3386" t="s">
        <v>40</v>
      </c>
      <c r="D3386">
        <v>4.9099779999999997</v>
      </c>
      <c r="E3386">
        <v>0.49613099999999999</v>
      </c>
      <c r="F3386" t="s">
        <v>55</v>
      </c>
      <c r="G3386">
        <v>-263.45170000000002</v>
      </c>
      <c r="H3386" s="1">
        <v>3.1510699999999999E-7</v>
      </c>
      <c r="I3386">
        <v>214.27180000000001</v>
      </c>
      <c r="J3386">
        <v>-288.42689999999999</v>
      </c>
      <c r="K3386">
        <v>1.120411</v>
      </c>
      <c r="L3386">
        <v>214.369</v>
      </c>
      <c r="M3386">
        <v>0.99991839999999999</v>
      </c>
      <c r="N3386">
        <v>-1.2434860000000001E-2</v>
      </c>
      <c r="O3386">
        <v>2.9162680000000001E-3</v>
      </c>
      <c r="P3386">
        <v>0.98930479999999998</v>
      </c>
      <c r="Q3386">
        <v>-0.1448439</v>
      </c>
      <c r="R3386">
        <v>-1.720882E-2</v>
      </c>
      <c r="S3386">
        <v>3.012451</v>
      </c>
      <c r="T3386">
        <v>-0.1339293</v>
      </c>
      <c r="U3386">
        <v>-1.1566160000000001E-2</v>
      </c>
      <c r="V3386">
        <v>2.00346E-2</v>
      </c>
      <c r="W3386">
        <v>-0.13254050000000001</v>
      </c>
      <c r="X3386">
        <v>0.9909751</v>
      </c>
      <c r="Y3386">
        <v>6.7458559999999997E-3</v>
      </c>
      <c r="Z3386">
        <v>-2.8518800000000002E-4</v>
      </c>
      <c r="AA3386">
        <v>0.99997720000000001</v>
      </c>
      <c r="AB3386">
        <v>27</v>
      </c>
      <c r="AC3386">
        <v>24.975199999999901</v>
      </c>
      <c r="AD3386">
        <v>-1.120410684893</v>
      </c>
      <c r="AE3386">
        <v>-9.7200000000014997E-2</v>
      </c>
      <c r="AF3386">
        <v>0.16969808441673501</v>
      </c>
      <c r="AG3386">
        <v>-1.120410684893</v>
      </c>
      <c r="AH3386">
        <v>24.924650124740001</v>
      </c>
      <c r="AI3386">
        <v>92.573762594046499</v>
      </c>
      <c r="AJ3386">
        <v>89.609910921596196</v>
      </c>
      <c r="AK3386">
        <v>24.950396818154601</v>
      </c>
      <c r="AL3386">
        <v>97.616422797150094</v>
      </c>
      <c r="AM3386">
        <v>88.8418057432974</v>
      </c>
      <c r="AN3386">
        <v>1.00000000907871</v>
      </c>
    </row>
    <row r="3387" spans="1:40" x14ac:dyDescent="0.25">
      <c r="A3387" t="str">
        <f>"20190303154537687"</f>
        <v>20190303154537687</v>
      </c>
      <c r="B3387" t="str">
        <f>"1551599137683884"</f>
        <v>1551599137683884</v>
      </c>
      <c r="C3387" t="s">
        <v>40</v>
      </c>
      <c r="D3387">
        <v>4.9568890000000003</v>
      </c>
      <c r="E3387">
        <v>0.49594909999999998</v>
      </c>
      <c r="F3387" t="s">
        <v>55</v>
      </c>
      <c r="G3387">
        <v>-263.6182</v>
      </c>
      <c r="H3387" s="1">
        <v>4.0403909999999997E-7</v>
      </c>
      <c r="I3387">
        <v>214.26390000000001</v>
      </c>
      <c r="J3387">
        <v>-288.15480000000002</v>
      </c>
      <c r="K3387">
        <v>1.1204099999999999</v>
      </c>
      <c r="L3387">
        <v>214.36959999999999</v>
      </c>
      <c r="M3387">
        <v>0.99991920000000001</v>
      </c>
      <c r="N3387">
        <v>-1.2428420000000001E-2</v>
      </c>
      <c r="O3387">
        <v>2.6914690000000002E-3</v>
      </c>
      <c r="P3387">
        <v>0.98917429999999995</v>
      </c>
      <c r="Q3387">
        <v>-0.14568989999999901</v>
      </c>
      <c r="R3387">
        <v>-1.7569230000000002E-2</v>
      </c>
      <c r="S3387">
        <v>3.0123289999999998</v>
      </c>
      <c r="T3387">
        <v>-0.13604260000000001</v>
      </c>
      <c r="U3387">
        <v>-1.2771609999999999E-2</v>
      </c>
      <c r="V3387">
        <v>2.017271E-2</v>
      </c>
      <c r="W3387">
        <v>-0.1333944</v>
      </c>
      <c r="X3387">
        <v>0.99085769999999995</v>
      </c>
      <c r="Y3387">
        <v>6.9209369999999899E-3</v>
      </c>
      <c r="Z3387">
        <v>-2.8728910000000001E-4</v>
      </c>
      <c r="AA3387">
        <v>0.99997599999999998</v>
      </c>
      <c r="AB3387">
        <v>27</v>
      </c>
      <c r="AC3387">
        <v>24.5366</v>
      </c>
      <c r="AD3387">
        <v>-1.1204095959609</v>
      </c>
      <c r="AE3387">
        <v>-0.105699999999984</v>
      </c>
      <c r="AF3387">
        <v>0.171386862073934</v>
      </c>
      <c r="AG3387">
        <v>-1.1204095959609</v>
      </c>
      <c r="AH3387">
        <v>24.485173752733999</v>
      </c>
      <c r="AI3387">
        <v>92.619888422157203</v>
      </c>
      <c r="AJ3387">
        <v>89.598957981958193</v>
      </c>
      <c r="AK3387">
        <v>24.5113937755645</v>
      </c>
      <c r="AL3387">
        <v>97.665786114229306</v>
      </c>
      <c r="AM3387">
        <v>88.833685708536706</v>
      </c>
      <c r="AN3387">
        <v>0.99999999291469699</v>
      </c>
    </row>
    <row r="3388" spans="1:40" x14ac:dyDescent="0.25">
      <c r="A3388" t="str">
        <f>"20190303154537710"</f>
        <v>20190303154537710</v>
      </c>
      <c r="B3388" t="str">
        <f>"1551599137704379"</f>
        <v>1551599137704379</v>
      </c>
      <c r="C3388" t="s">
        <v>40</v>
      </c>
      <c r="D3388">
        <v>4.9608309999999998</v>
      </c>
      <c r="E3388">
        <v>0.49582480000000001</v>
      </c>
      <c r="F3388" t="s">
        <v>55</v>
      </c>
      <c r="G3388">
        <v>-264.14960000000002</v>
      </c>
      <c r="H3388" s="1">
        <v>6.8671599999999899E-7</v>
      </c>
      <c r="I3388">
        <v>214.26669999999999</v>
      </c>
      <c r="J3388">
        <v>-287.88650000000001</v>
      </c>
      <c r="K3388">
        <v>1.1204099999999999</v>
      </c>
      <c r="L3388">
        <v>214.37</v>
      </c>
      <c r="M3388">
        <v>0.99991989999999997</v>
      </c>
      <c r="N3388">
        <v>-1.2422839999999999E-2</v>
      </c>
      <c r="O3388">
        <v>2.4762209999999998E-3</v>
      </c>
      <c r="P3388">
        <v>0.98923139999999998</v>
      </c>
      <c r="Q3388">
        <v>-0.1452273</v>
      </c>
      <c r="R3388">
        <v>-1.81808E-2</v>
      </c>
      <c r="S3388">
        <v>3.0119020000000001</v>
      </c>
      <c r="T3388">
        <v>-0.1405767</v>
      </c>
      <c r="U3388">
        <v>-1.2908940000000001E-2</v>
      </c>
      <c r="V3388">
        <v>2.0572719999999999E-2</v>
      </c>
      <c r="W3388">
        <v>-0.13293659999999999</v>
      </c>
      <c r="X3388">
        <v>0.99091099999999999</v>
      </c>
      <c r="Y3388">
        <v>6.7515530000000004E-3</v>
      </c>
      <c r="Z3388">
        <v>-2.8420179999999999E-4</v>
      </c>
      <c r="AA3388">
        <v>0.99997720000000001</v>
      </c>
      <c r="AB3388">
        <v>27</v>
      </c>
      <c r="AC3388">
        <v>23.736899999999899</v>
      </c>
      <c r="AD3388">
        <v>-1.1204093132840001</v>
      </c>
      <c r="AE3388">
        <v>-0.103300000000018</v>
      </c>
      <c r="AF3388">
        <v>0.16172172067180299</v>
      </c>
      <c r="AG3388">
        <v>-1.1204093132840001</v>
      </c>
      <c r="AH3388">
        <v>23.6838060679382</v>
      </c>
      <c r="AI3388">
        <v>92.708407913722596</v>
      </c>
      <c r="AJ3388">
        <v>89.608769468304303</v>
      </c>
      <c r="AK3388">
        <v>23.7108443714672</v>
      </c>
      <c r="AL3388">
        <v>97.639320395360002</v>
      </c>
      <c r="AM3388">
        <v>88.810629093528405</v>
      </c>
      <c r="AN3388">
        <v>0.99999999317437904</v>
      </c>
    </row>
    <row r="3389" spans="1:40" x14ac:dyDescent="0.25">
      <c r="A3389" t="str">
        <f>"20190303154537732"</f>
        <v>20190303154537732</v>
      </c>
      <c r="B3389" t="str">
        <f>"1551599137723899"</f>
        <v>1551599137723899</v>
      </c>
      <c r="C3389" t="s">
        <v>40</v>
      </c>
      <c r="D3389">
        <v>4.982138</v>
      </c>
      <c r="E3389">
        <v>0.49565429999999999</v>
      </c>
      <c r="F3389" t="s">
        <v>55</v>
      </c>
      <c r="G3389">
        <v>-263.80900000000003</v>
      </c>
      <c r="H3389" s="1">
        <v>5.056315E-7</v>
      </c>
      <c r="I3389">
        <v>214.26220000000001</v>
      </c>
      <c r="J3389">
        <v>-287.61500000000001</v>
      </c>
      <c r="K3389">
        <v>1.1204190000000001</v>
      </c>
      <c r="L3389">
        <v>214.37039999999999</v>
      </c>
      <c r="M3389">
        <v>0.99992049999999999</v>
      </c>
      <c r="N3389">
        <v>-1.2417879999999999E-2</v>
      </c>
      <c r="O3389">
        <v>2.268937E-3</v>
      </c>
      <c r="P3389">
        <v>0.98923000000000005</v>
      </c>
      <c r="Q3389">
        <v>-0.1452436</v>
      </c>
      <c r="R3389">
        <v>-1.8127009999999999E-2</v>
      </c>
      <c r="S3389">
        <v>3.011841</v>
      </c>
      <c r="T3389">
        <v>-0.14015139999999901</v>
      </c>
      <c r="U3389">
        <v>-1.3488770000000001E-2</v>
      </c>
      <c r="V3389">
        <v>2.031591E-2</v>
      </c>
      <c r="W3389">
        <v>-0.132957299999999</v>
      </c>
      <c r="X3389">
        <v>0.9909135</v>
      </c>
      <c r="Y3389">
        <v>6.7370549999999996E-3</v>
      </c>
      <c r="Z3389">
        <v>-2.7588290000000001E-4</v>
      </c>
      <c r="AA3389">
        <v>0.99997729999999996</v>
      </c>
      <c r="AB3389">
        <v>27</v>
      </c>
      <c r="AC3389">
        <v>23.805999999999901</v>
      </c>
      <c r="AD3389">
        <v>-1.1204184943685001</v>
      </c>
      <c r="AE3389">
        <v>-0.10819999999998201</v>
      </c>
      <c r="AF3389">
        <v>0.16185966780662001</v>
      </c>
      <c r="AG3389">
        <v>-1.1204184943685001</v>
      </c>
      <c r="AH3389">
        <v>23.753079520947502</v>
      </c>
      <c r="AI3389">
        <v>92.700543182024802</v>
      </c>
      <c r="AJ3389">
        <v>89.609577684736195</v>
      </c>
      <c r="AK3389">
        <v>23.780040430643499</v>
      </c>
      <c r="AL3389">
        <v>97.640517202015204</v>
      </c>
      <c r="AM3389">
        <v>88.825474830235905</v>
      </c>
      <c r="AN3389">
        <v>0.99999997215233305</v>
      </c>
    </row>
    <row r="3390" spans="1:40" x14ac:dyDescent="0.25">
      <c r="A3390" t="str">
        <f>"20190303154537754"</f>
        <v>20190303154537754</v>
      </c>
      <c r="B3390" t="str">
        <f>"1551599137744395"</f>
        <v>1551599137744395</v>
      </c>
      <c r="C3390" t="s">
        <v>40</v>
      </c>
      <c r="D3390">
        <v>5.0292649999999997</v>
      </c>
      <c r="E3390">
        <v>0.49546459999999998</v>
      </c>
      <c r="F3390" t="s">
        <v>55</v>
      </c>
      <c r="G3390">
        <v>-263.77449999999999</v>
      </c>
      <c r="H3390" s="1">
        <v>4.8672720000000003E-7</v>
      </c>
      <c r="I3390">
        <v>214.27529999999999</v>
      </c>
      <c r="J3390">
        <v>-287.34039999999999</v>
      </c>
      <c r="K3390">
        <v>1.12043</v>
      </c>
      <c r="L3390">
        <v>214.3708</v>
      </c>
      <c r="M3390">
        <v>0.99992080000000005</v>
      </c>
      <c r="N3390">
        <v>-1.2413449999999999E-2</v>
      </c>
      <c r="O3390">
        <v>2.0744629999999999E-3</v>
      </c>
      <c r="P3390">
        <v>0.98921809999999999</v>
      </c>
      <c r="Q3390">
        <v>-0.1453197</v>
      </c>
      <c r="R3390">
        <v>-1.816804E-2</v>
      </c>
      <c r="S3390">
        <v>3.0116269999999998</v>
      </c>
      <c r="T3390">
        <v>-0.1415361</v>
      </c>
      <c r="U3390">
        <v>-1.202393E-2</v>
      </c>
      <c r="V3390">
        <v>2.0167899999999999E-2</v>
      </c>
      <c r="W3390">
        <v>-0.133037299999999</v>
      </c>
      <c r="X3390">
        <v>0.99090579999999995</v>
      </c>
      <c r="Y3390">
        <v>6.0573729999999996E-3</v>
      </c>
      <c r="Z3390">
        <v>-2.5157990000000002E-4</v>
      </c>
      <c r="AA3390">
        <v>0.99998160000000003</v>
      </c>
      <c r="AB3390">
        <v>27</v>
      </c>
      <c r="AC3390">
        <v>23.565899999999999</v>
      </c>
      <c r="AD3390">
        <v>-1.1204295132727999</v>
      </c>
      <c r="AE3390">
        <v>-9.5500000000015406E-2</v>
      </c>
      <c r="AF3390">
        <v>0.14406449916938999</v>
      </c>
      <c r="AG3390">
        <v>-1.1204295132727999</v>
      </c>
      <c r="AH3390">
        <v>23.512502447367101</v>
      </c>
      <c r="AI3390">
        <v>92.728172178855999</v>
      </c>
      <c r="AJ3390">
        <v>89.648944874881096</v>
      </c>
      <c r="AK3390">
        <v>23.539623790782599</v>
      </c>
      <c r="AL3390">
        <v>97.645141842965401</v>
      </c>
      <c r="AM3390">
        <v>88.834020314287699</v>
      </c>
      <c r="AN3390">
        <v>0.99999998592766903</v>
      </c>
    </row>
    <row r="3391" spans="1:40" x14ac:dyDescent="0.25">
      <c r="A3391" t="str">
        <f>"20190303154537801"</f>
        <v>20190303154537801</v>
      </c>
      <c r="B3391" t="str">
        <f>"1551599137794172"</f>
        <v>1551599137794172</v>
      </c>
      <c r="C3391" t="s">
        <v>40</v>
      </c>
      <c r="D3391">
        <v>5.0002610000000001</v>
      </c>
      <c r="E3391">
        <v>0.49508770000000002</v>
      </c>
      <c r="F3391" t="s">
        <v>55</v>
      </c>
      <c r="G3391">
        <v>-263.73860000000002</v>
      </c>
      <c r="H3391" s="1">
        <v>4.6716460000000002E-7</v>
      </c>
      <c r="I3391">
        <v>214.2859</v>
      </c>
      <c r="J3391">
        <v>-286.78989999999999</v>
      </c>
      <c r="K3391">
        <v>1.120449</v>
      </c>
      <c r="L3391">
        <v>214.37139999999999</v>
      </c>
      <c r="M3391">
        <v>0.99992159999999997</v>
      </c>
      <c r="N3391">
        <v>-1.240611E-2</v>
      </c>
      <c r="O3391">
        <v>1.7464030000000001E-3</v>
      </c>
      <c r="P3391">
        <v>0.98915019999999998</v>
      </c>
      <c r="Q3391">
        <v>-0.1459145</v>
      </c>
      <c r="R3391">
        <v>-1.7063459999999999E-2</v>
      </c>
      <c r="S3391">
        <v>3.0115050000000001</v>
      </c>
      <c r="T3391">
        <v>-0.1429628</v>
      </c>
      <c r="U3391">
        <v>-1.083374E-2</v>
      </c>
      <c r="V3391">
        <v>1.874839E-2</v>
      </c>
      <c r="W3391">
        <v>-0.13363810000000001</v>
      </c>
      <c r="X3391">
        <v>0.99085279999999998</v>
      </c>
      <c r="Y3391">
        <v>5.335294E-3</v>
      </c>
      <c r="Z3391">
        <v>-2.208883E-4</v>
      </c>
      <c r="AA3391">
        <v>0.99998580000000004</v>
      </c>
      <c r="AB3391">
        <v>27</v>
      </c>
      <c r="AC3391">
        <v>23.051299999999902</v>
      </c>
      <c r="AD3391">
        <v>-1.1204485328353999</v>
      </c>
      <c r="AE3391">
        <v>-8.5499999999996107E-2</v>
      </c>
      <c r="AF3391">
        <v>0.125463406387475</v>
      </c>
      <c r="AG3391">
        <v>-1.1204485328353999</v>
      </c>
      <c r="AH3391">
        <v>22.996783711870499</v>
      </c>
      <c r="AI3391">
        <v>92.789315864491797</v>
      </c>
      <c r="AJ3391">
        <v>89.6874148820324</v>
      </c>
      <c r="AK3391">
        <v>23.024404597548799</v>
      </c>
      <c r="AL3391">
        <v>97.6798755140602</v>
      </c>
      <c r="AM3391">
        <v>88.916009067106998</v>
      </c>
      <c r="AN3391">
        <v>0.99999995758352</v>
      </c>
    </row>
    <row r="3392" spans="1:40" x14ac:dyDescent="0.25">
      <c r="A3392" t="str">
        <f>"20190303154537825"</f>
        <v>20190303154537825</v>
      </c>
      <c r="B3392" t="str">
        <f>"1551599137814668"</f>
        <v>1551599137814668</v>
      </c>
      <c r="C3392" t="s">
        <v>40</v>
      </c>
      <c r="D3392">
        <v>5.0216310000000002</v>
      </c>
      <c r="E3392">
        <v>0.49491230000000003</v>
      </c>
      <c r="F3392" t="s">
        <v>55</v>
      </c>
      <c r="G3392">
        <v>-263.9751</v>
      </c>
      <c r="H3392" s="1">
        <v>5.9070609999999896E-7</v>
      </c>
      <c r="I3392">
        <v>214.3383</v>
      </c>
      <c r="J3392">
        <v>-286.48399999999998</v>
      </c>
      <c r="K3392">
        <v>1.1204689999999999</v>
      </c>
      <c r="L3392">
        <v>214.37180000000001</v>
      </c>
      <c r="M3392">
        <v>0.99992190000000003</v>
      </c>
      <c r="N3392">
        <v>-1.240277E-2</v>
      </c>
      <c r="O3392">
        <v>1.6038459999999999E-3</v>
      </c>
      <c r="P3392">
        <v>0.98916789999999999</v>
      </c>
      <c r="Q3392">
        <v>-0.14586830000000001</v>
      </c>
      <c r="R3392">
        <v>-1.6420029999999999E-2</v>
      </c>
      <c r="S3392">
        <v>3.0110169999999998</v>
      </c>
      <c r="T3392">
        <v>-0.14787259999999999</v>
      </c>
      <c r="U3392">
        <v>-4.379272E-3</v>
      </c>
      <c r="V3392">
        <v>1.797021E-2</v>
      </c>
      <c r="W3392">
        <v>-0.13359389999999999</v>
      </c>
      <c r="X3392">
        <v>0.99087320000000001</v>
      </c>
      <c r="Y3392">
        <v>3.0526920000000001E-3</v>
      </c>
      <c r="Z3392">
        <v>-1.526946E-4</v>
      </c>
      <c r="AA3392">
        <v>0.99999539999999998</v>
      </c>
      <c r="AB3392">
        <v>27</v>
      </c>
      <c r="AC3392">
        <v>22.508900000000001</v>
      </c>
      <c r="AD3392">
        <v>-1.1204684092938999</v>
      </c>
      <c r="AE3392">
        <v>-3.3500000000003603E-2</v>
      </c>
      <c r="AF3392">
        <v>6.9431492733896705E-2</v>
      </c>
      <c r="AG3392">
        <v>-1.1204684092938999</v>
      </c>
      <c r="AH3392">
        <v>22.453179815751898</v>
      </c>
      <c r="AI3392">
        <v>92.856815600878804</v>
      </c>
      <c r="AJ3392">
        <v>89.822826038370394</v>
      </c>
      <c r="AK3392">
        <v>22.481226702003902</v>
      </c>
      <c r="AL3392">
        <v>97.677319965083299</v>
      </c>
      <c r="AM3392">
        <v>88.961013043604694</v>
      </c>
      <c r="AN3392">
        <v>0.99999997852144595</v>
      </c>
    </row>
    <row r="3393" spans="1:40" x14ac:dyDescent="0.25">
      <c r="A3393" t="str">
        <f>"20190303154537849"</f>
        <v>20190303154537849</v>
      </c>
      <c r="B3393" t="str">
        <f>"1551599137844454"</f>
        <v>1551599137844454</v>
      </c>
      <c r="C3393" t="s">
        <v>40</v>
      </c>
      <c r="D3393">
        <v>5.0562469999999999</v>
      </c>
      <c r="E3393">
        <v>0.4946641</v>
      </c>
      <c r="F3393" t="s">
        <v>55</v>
      </c>
      <c r="G3393">
        <v>-263.8707</v>
      </c>
      <c r="H3393" s="1">
        <v>5.3413080000000002E-7</v>
      </c>
      <c r="I3393">
        <v>214.3622</v>
      </c>
      <c r="J3393">
        <v>-286.20150000000001</v>
      </c>
      <c r="K3393">
        <v>1.1204940000000001</v>
      </c>
      <c r="L3393">
        <v>214.37209999999999</v>
      </c>
      <c r="M3393">
        <v>0.99992210000000004</v>
      </c>
      <c r="N3393">
        <v>-1.2400039999999999E-2</v>
      </c>
      <c r="O3393">
        <v>1.505291E-3</v>
      </c>
      <c r="P3393">
        <v>0.98918629999999996</v>
      </c>
      <c r="Q3393">
        <v>-0.1457176</v>
      </c>
      <c r="R3393">
        <v>-1.6640229999999999E-2</v>
      </c>
      <c r="S3393">
        <v>3.010834</v>
      </c>
      <c r="T3393">
        <v>-0.14918399999999901</v>
      </c>
      <c r="U3393">
        <v>-1.2817379999999999E-3</v>
      </c>
      <c r="V3393">
        <v>1.809943E-2</v>
      </c>
      <c r="W3393">
        <v>-0.133444799999999</v>
      </c>
      <c r="X3393">
        <v>0.99089099999999997</v>
      </c>
      <c r="Y3393">
        <v>1.92712E-3</v>
      </c>
      <c r="Z3393">
        <v>-1.155542E-4</v>
      </c>
      <c r="AA3393">
        <v>0.99999819999999995</v>
      </c>
      <c r="AB3393">
        <v>27</v>
      </c>
      <c r="AC3393">
        <v>22.3308</v>
      </c>
      <c r="AD3393">
        <v>-1.1204934658691901</v>
      </c>
      <c r="AE3393">
        <v>-9.8999999999875802E-3</v>
      </c>
      <c r="AF3393">
        <v>4.3407632800768897E-2</v>
      </c>
      <c r="AG3393">
        <v>-1.1204934658691901</v>
      </c>
      <c r="AH3393">
        <v>22.2746780575984</v>
      </c>
      <c r="AI3393">
        <v>92.879743351272694</v>
      </c>
      <c r="AJ3393">
        <v>89.888345366725005</v>
      </c>
      <c r="AK3393">
        <v>22.302884844775001</v>
      </c>
      <c r="AL3393">
        <v>97.668699516444704</v>
      </c>
      <c r="AM3393">
        <v>88.953562356364102</v>
      </c>
      <c r="AN3393">
        <v>1.0000000389471799</v>
      </c>
    </row>
    <row r="3394" spans="1:40" x14ac:dyDescent="0.25">
      <c r="A3394" t="str">
        <f>"20190303154537869"</f>
        <v>20190303154537869</v>
      </c>
      <c r="B3394" t="str">
        <f>"1551599137863975"</f>
        <v>1551599137863975</v>
      </c>
      <c r="C3394" t="s">
        <v>40</v>
      </c>
      <c r="D3394">
        <v>4.9982179999999996</v>
      </c>
      <c r="E3394">
        <v>0.49450919999999998</v>
      </c>
      <c r="F3394" t="s">
        <v>55</v>
      </c>
      <c r="G3394">
        <v>-263.84390000000002</v>
      </c>
      <c r="H3394" s="1">
        <v>5.1948790000000001E-7</v>
      </c>
      <c r="I3394">
        <v>214.3707</v>
      </c>
      <c r="J3394">
        <v>-285.93979999999999</v>
      </c>
      <c r="K3394">
        <v>1.1205130000000001</v>
      </c>
      <c r="L3394">
        <v>214.3723</v>
      </c>
      <c r="M3394">
        <v>0.99992219999999998</v>
      </c>
      <c r="N3394">
        <v>-1.2397770000000001E-2</v>
      </c>
      <c r="O3394">
        <v>1.4384210000000001E-3</v>
      </c>
      <c r="P3394">
        <v>0.98920569999999997</v>
      </c>
      <c r="Q3394">
        <v>-0.14555650000000001</v>
      </c>
      <c r="R3394">
        <v>-1.6901469999999998E-2</v>
      </c>
      <c r="S3394">
        <v>3.0105590000000002</v>
      </c>
      <c r="T3394">
        <v>-0.15087970000000001</v>
      </c>
      <c r="U3394">
        <v>-1.8310550000000001E-4</v>
      </c>
      <c r="V3394">
        <v>1.83007E-2</v>
      </c>
      <c r="W3394">
        <v>-0.13328499999999999</v>
      </c>
      <c r="X3394">
        <v>0.99090880000000003</v>
      </c>
      <c r="Y3394">
        <v>1.495988E-3</v>
      </c>
      <c r="Z3394">
        <v>-1.009631E-4</v>
      </c>
      <c r="AA3394">
        <v>0.99999890000000002</v>
      </c>
      <c r="AB3394">
        <v>27</v>
      </c>
      <c r="AC3394">
        <v>22.095899999999901</v>
      </c>
      <c r="AD3394">
        <v>-1.1205124805120901</v>
      </c>
      <c r="AE3394">
        <v>-1.59999999999627E-3</v>
      </c>
      <c r="AF3394">
        <v>3.3300009353446999E-2</v>
      </c>
      <c r="AG3394">
        <v>-1.1205124805120901</v>
      </c>
      <c r="AH3394">
        <v>22.039197975078899</v>
      </c>
      <c r="AI3394">
        <v>92.910511148142305</v>
      </c>
      <c r="AJ3394">
        <v>89.913429311541293</v>
      </c>
      <c r="AK3394">
        <v>22.067689151660801</v>
      </c>
      <c r="AL3394">
        <v>97.659461206114003</v>
      </c>
      <c r="AM3394">
        <v>88.941947351943199</v>
      </c>
      <c r="AN3394">
        <v>1.0000000283814601</v>
      </c>
    </row>
    <row r="3395" spans="1:40" x14ac:dyDescent="0.25">
      <c r="A3395" t="str">
        <f>"20190303154537891"</f>
        <v>20190303154537891</v>
      </c>
      <c r="B3395" t="str">
        <f>"1551599137884470"</f>
        <v>1551599137884470</v>
      </c>
      <c r="C3395" t="s">
        <v>40</v>
      </c>
      <c r="D3395">
        <v>5.05863</v>
      </c>
      <c r="E3395">
        <v>0.49432009999999998</v>
      </c>
      <c r="F3395" t="s">
        <v>55</v>
      </c>
      <c r="G3395">
        <v>-263.71159999999998</v>
      </c>
      <c r="H3395" s="1">
        <v>4.4895779999999998E-7</v>
      </c>
      <c r="I3395">
        <v>214.3734</v>
      </c>
      <c r="J3395">
        <v>-285.68270000000001</v>
      </c>
      <c r="K3395">
        <v>1.12053799999999</v>
      </c>
      <c r="L3395">
        <v>214.37260000000001</v>
      </c>
      <c r="M3395">
        <v>0.99992230000000004</v>
      </c>
      <c r="N3395">
        <v>-1.239577E-2</v>
      </c>
      <c r="O3395">
        <v>1.3947300000000001E-3</v>
      </c>
      <c r="P3395">
        <v>0.98923300000000003</v>
      </c>
      <c r="Q3395">
        <v>-0.145291</v>
      </c>
      <c r="R3395">
        <v>-1.757974E-2</v>
      </c>
      <c r="S3395">
        <v>3.010345</v>
      </c>
      <c r="T3395">
        <v>-0.15174960000000001</v>
      </c>
      <c r="U3395">
        <v>1.3732910000000001E-4</v>
      </c>
      <c r="V3395">
        <v>1.8941719999999999E-2</v>
      </c>
      <c r="W3395">
        <v>-0.13302039999999901</v>
      </c>
      <c r="X3395">
        <v>0.99093229999999999</v>
      </c>
      <c r="Y3395">
        <v>1.3460810000000001E-3</v>
      </c>
      <c r="Z3395" s="1">
        <v>-9.5237460000000001E-5</v>
      </c>
      <c r="AA3395">
        <v>0.99999910000000003</v>
      </c>
      <c r="AB3395">
        <v>27</v>
      </c>
      <c r="AC3395">
        <v>21.9711</v>
      </c>
      <c r="AD3395">
        <v>-1.12053755104219</v>
      </c>
      <c r="AE3395">
        <v>7.9999999999813499E-4</v>
      </c>
      <c r="AF3395">
        <v>2.97686745686935E-2</v>
      </c>
      <c r="AG3395">
        <v>-1.12053755104219</v>
      </c>
      <c r="AH3395">
        <v>21.914080055569201</v>
      </c>
      <c r="AI3395">
        <v>92.927165842476199</v>
      </c>
      <c r="AJ3395">
        <v>89.922167923042096</v>
      </c>
      <c r="AK3395">
        <v>21.9427298953247</v>
      </c>
      <c r="AL3395">
        <v>97.644164603796298</v>
      </c>
      <c r="AM3395">
        <v>88.904921698592105</v>
      </c>
      <c r="AN3395">
        <v>1.0000000193780001</v>
      </c>
    </row>
    <row r="3396" spans="1:40" x14ac:dyDescent="0.25">
      <c r="A3396" t="str">
        <f>"20190303154537912"</f>
        <v>20190303154537912</v>
      </c>
      <c r="B3396" t="str">
        <f>"1551599137903990"</f>
        <v>1551599137903990</v>
      </c>
      <c r="C3396" t="s">
        <v>40</v>
      </c>
      <c r="D3396">
        <v>5.0817009999999998</v>
      </c>
      <c r="E3396">
        <v>0.49410809999999999</v>
      </c>
      <c r="F3396" t="s">
        <v>55</v>
      </c>
      <c r="G3396">
        <v>-263.60640000000001</v>
      </c>
      <c r="H3396" s="1">
        <v>3.931053E-7</v>
      </c>
      <c r="I3396">
        <v>214.3706</v>
      </c>
      <c r="J3396">
        <v>-285.42689999999999</v>
      </c>
      <c r="K3396">
        <v>1.120557</v>
      </c>
      <c r="L3396">
        <v>214.37289999999999</v>
      </c>
      <c r="M3396">
        <v>0.99992230000000004</v>
      </c>
      <c r="N3396">
        <v>-1.2393970000000001E-2</v>
      </c>
      <c r="O3396">
        <v>1.371773E-3</v>
      </c>
      <c r="P3396">
        <v>0.98931259999999999</v>
      </c>
      <c r="Q3396">
        <v>-0.14462410000000001</v>
      </c>
      <c r="R3396">
        <v>-1.8557560000000001E-2</v>
      </c>
      <c r="S3396">
        <v>3.0101930000000001</v>
      </c>
      <c r="T3396">
        <v>-0.1527897</v>
      </c>
      <c r="U3396">
        <v>-2.7465820000000001E-4</v>
      </c>
      <c r="V3396">
        <v>1.9903089999999998E-2</v>
      </c>
      <c r="W3396">
        <v>-0.13235350000000001</v>
      </c>
      <c r="X3396">
        <v>0.99100270000000001</v>
      </c>
      <c r="Y3396">
        <v>1.4597729999999999E-3</v>
      </c>
      <c r="Z3396" s="1">
        <v>-9.8665910000000001E-5</v>
      </c>
      <c r="AA3396">
        <v>0.99999890000000002</v>
      </c>
      <c r="AB3396">
        <v>27</v>
      </c>
      <c r="AC3396">
        <v>21.8204999999999</v>
      </c>
      <c r="AD3396">
        <v>-1.1205566068946999</v>
      </c>
      <c r="AE3396">
        <v>-2.29999999999108E-3</v>
      </c>
      <c r="AF3396">
        <v>3.2150282594432401E-2</v>
      </c>
      <c r="AG3396">
        <v>-1.1205566068946999</v>
      </c>
      <c r="AH3396">
        <v>21.763083350746001</v>
      </c>
      <c r="AI3396">
        <v>92.947488967095097</v>
      </c>
      <c r="AJ3396">
        <v>89.915357850121794</v>
      </c>
      <c r="AK3396">
        <v>21.791936070056799</v>
      </c>
      <c r="AL3396">
        <v>97.605613579731994</v>
      </c>
      <c r="AM3396">
        <v>88.849438282784405</v>
      </c>
      <c r="AN3396">
        <v>0.99999996668054303</v>
      </c>
    </row>
    <row r="3397" spans="1:40" x14ac:dyDescent="0.25">
      <c r="A3397" t="str">
        <f>"20190303154537933"</f>
        <v>20190303154537933</v>
      </c>
      <c r="B3397" t="str">
        <f>"1551599137924017"</f>
        <v>1551599137924017</v>
      </c>
      <c r="C3397" t="s">
        <v>40</v>
      </c>
      <c r="D3397">
        <v>5.0727140000000004</v>
      </c>
      <c r="E3397">
        <v>0.49390450000000002</v>
      </c>
      <c r="F3397" t="s">
        <v>55</v>
      </c>
      <c r="G3397">
        <v>-263.36009999999999</v>
      </c>
      <c r="H3397" s="1">
        <v>2.6259059999999998E-7</v>
      </c>
      <c r="I3397">
        <v>214.3579</v>
      </c>
      <c r="J3397">
        <v>-285.17110000000002</v>
      </c>
      <c r="K3397">
        <v>1.120579</v>
      </c>
      <c r="L3397">
        <v>214.3732</v>
      </c>
      <c r="M3397">
        <v>0.99992230000000004</v>
      </c>
      <c r="N3397">
        <v>-1.239234E-2</v>
      </c>
      <c r="O3397">
        <v>1.365476E-3</v>
      </c>
      <c r="P3397">
        <v>0.98939290000000002</v>
      </c>
      <c r="Q3397">
        <v>-0.14404890000000001</v>
      </c>
      <c r="R3397">
        <v>-1.8751899999999998E-2</v>
      </c>
      <c r="S3397">
        <v>3.01004</v>
      </c>
      <c r="T3397">
        <v>-0.15285029999999999</v>
      </c>
      <c r="U3397">
        <v>-2.0446779999999999E-3</v>
      </c>
      <c r="V3397">
        <v>2.009648E-2</v>
      </c>
      <c r="W3397">
        <v>-0.13177820000000001</v>
      </c>
      <c r="X3397">
        <v>0.9910755</v>
      </c>
      <c r="Y3397">
        <v>2.0405890000000002E-3</v>
      </c>
      <c r="Z3397">
        <v>-1.168123E-4</v>
      </c>
      <c r="AA3397">
        <v>0.9999979</v>
      </c>
      <c r="AB3397">
        <v>27</v>
      </c>
      <c r="AC3397">
        <v>21.811</v>
      </c>
      <c r="AD3397">
        <v>-1.1205787374093901</v>
      </c>
      <c r="AE3397">
        <v>-1.5299999999996299E-2</v>
      </c>
      <c r="AF3397">
        <v>4.4965978368007802E-2</v>
      </c>
      <c r="AG3397">
        <v>-1.1205787374093901</v>
      </c>
      <c r="AH3397">
        <v>21.753538754871101</v>
      </c>
      <c r="AI3397">
        <v>92.948834984917099</v>
      </c>
      <c r="AJ3397">
        <v>89.881566068775399</v>
      </c>
      <c r="AK3397">
        <v>21.782427941017598</v>
      </c>
      <c r="AL3397">
        <v>97.572359757813402</v>
      </c>
      <c r="AM3397">
        <v>88.838347117716495</v>
      </c>
      <c r="AN3397">
        <v>1.0000000046019399</v>
      </c>
    </row>
    <row r="3398" spans="1:40" x14ac:dyDescent="0.25">
      <c r="A3398" t="str">
        <f>"20190303154537956"</f>
        <v>20190303154537956</v>
      </c>
      <c r="B3398" t="str">
        <f>"1551599137944513"</f>
        <v>1551599137944513</v>
      </c>
      <c r="C3398" t="s">
        <v>40</v>
      </c>
      <c r="D3398">
        <v>5.0604480000000001</v>
      </c>
      <c r="E3398">
        <v>0.49380380000000001</v>
      </c>
      <c r="F3398" t="s">
        <v>55</v>
      </c>
      <c r="G3398">
        <v>-263.15289999999999</v>
      </c>
      <c r="H3398" s="1">
        <v>1.5194239999999999E-7</v>
      </c>
      <c r="I3398">
        <v>214.36600000000001</v>
      </c>
      <c r="J3398">
        <v>-284.89609999999999</v>
      </c>
      <c r="K3398">
        <v>1.1205959999999999</v>
      </c>
      <c r="L3398">
        <v>214.37360000000001</v>
      </c>
      <c r="M3398">
        <v>0.99992239999999999</v>
      </c>
      <c r="N3398">
        <v>-1.2390719999999999E-2</v>
      </c>
      <c r="O3398">
        <v>1.3698530000000001E-3</v>
      </c>
      <c r="P3398">
        <v>0.98946699999999999</v>
      </c>
      <c r="Q3398">
        <v>-0.14350489999999999</v>
      </c>
      <c r="R3398">
        <v>-1.9015589999999999E-2</v>
      </c>
      <c r="S3398">
        <v>3.0098880000000001</v>
      </c>
      <c r="T3398">
        <v>-0.1531825</v>
      </c>
      <c r="U3398">
        <v>-9.9182130000000004E-4</v>
      </c>
      <c r="V3398">
        <v>2.0368689999999998E-2</v>
      </c>
      <c r="W3398">
        <v>-0.1312344</v>
      </c>
      <c r="X3398">
        <v>0.99114210000000003</v>
      </c>
      <c r="Y3398">
        <v>1.695734E-3</v>
      </c>
      <c r="Z3398">
        <v>-1.0634239999999999E-4</v>
      </c>
      <c r="AA3398">
        <v>0.99999859999999896</v>
      </c>
      <c r="AB3398">
        <v>27</v>
      </c>
      <c r="AC3398">
        <v>21.743200000000002</v>
      </c>
      <c r="AD3398">
        <v>-1.1205958480575999</v>
      </c>
      <c r="AE3398">
        <v>-7.6000000000249202E-3</v>
      </c>
      <c r="AF3398">
        <v>3.7288221405059399E-2</v>
      </c>
      <c r="AG3398">
        <v>-1.1205958480575999</v>
      </c>
      <c r="AH3398">
        <v>21.685569265882901</v>
      </c>
      <c r="AI3398">
        <v>92.958108215598003</v>
      </c>
      <c r="AJ3398">
        <v>89.901480307928495</v>
      </c>
      <c r="AK3398">
        <v>21.714535220712101</v>
      </c>
      <c r="AL3398">
        <v>97.540929333151297</v>
      </c>
      <c r="AM3398">
        <v>88.822695837541204</v>
      </c>
      <c r="AN3398">
        <v>1.00000000683404</v>
      </c>
    </row>
    <row r="3399" spans="1:40" x14ac:dyDescent="0.25">
      <c r="A3399" t="str">
        <f>"20190303154537978"</f>
        <v>20190303154537978</v>
      </c>
      <c r="B3399" t="str">
        <f>"1551599137974769"</f>
        <v>1551599137974769</v>
      </c>
      <c r="C3399" t="s">
        <v>40</v>
      </c>
      <c r="D3399">
        <v>5.0497709999999998</v>
      </c>
      <c r="E3399">
        <v>0.48444310000000002</v>
      </c>
      <c r="F3399" t="s">
        <v>55</v>
      </c>
      <c r="G3399">
        <v>-262.77519999999998</v>
      </c>
      <c r="H3399" s="1">
        <v>-4.9104190000000002E-8</v>
      </c>
      <c r="I3399">
        <v>214.36770000000001</v>
      </c>
      <c r="J3399">
        <v>-284.62290000000002</v>
      </c>
      <c r="K3399">
        <v>1.1206039999999999</v>
      </c>
      <c r="L3399">
        <v>214.374</v>
      </c>
      <c r="M3399">
        <v>0.99992239999999999</v>
      </c>
      <c r="N3399">
        <v>-1.2389219999999999E-2</v>
      </c>
      <c r="O3399">
        <v>1.3802689999999999E-3</v>
      </c>
      <c r="P3399">
        <v>0.98956750000000004</v>
      </c>
      <c r="Q3399">
        <v>-0.1428547</v>
      </c>
      <c r="R3399">
        <v>-1.8683620000000001E-2</v>
      </c>
      <c r="S3399">
        <v>3.0097659999999999</v>
      </c>
      <c r="T3399">
        <v>-0.15246779999999999</v>
      </c>
      <c r="U3399">
        <v>-8.0871580000000005E-4</v>
      </c>
      <c r="V3399">
        <v>2.0049299999999999E-2</v>
      </c>
      <c r="W3399">
        <v>-0.13058419999999901</v>
      </c>
      <c r="X3399">
        <v>0.99123450000000002</v>
      </c>
      <c r="Y3399">
        <v>1.645435E-3</v>
      </c>
      <c r="Z3399">
        <v>-1.046352E-4</v>
      </c>
      <c r="AA3399">
        <v>0.99999859999999896</v>
      </c>
      <c r="AB3399">
        <v>27</v>
      </c>
      <c r="AC3399">
        <v>21.8477</v>
      </c>
      <c r="AD3399">
        <v>-1.12060404910419</v>
      </c>
      <c r="AE3399">
        <v>-6.3000000000101803E-3</v>
      </c>
      <c r="AF3399">
        <v>3.63623453888463E-2</v>
      </c>
      <c r="AG3399">
        <v>-1.12060404910419</v>
      </c>
      <c r="AH3399">
        <v>21.790343784857399</v>
      </c>
      <c r="AI3399">
        <v>92.943931582726293</v>
      </c>
      <c r="AJ3399">
        <v>89.904388521325103</v>
      </c>
      <c r="AK3399">
        <v>21.819169505673301</v>
      </c>
      <c r="AL3399">
        <v>97.503352135719993</v>
      </c>
      <c r="AM3399">
        <v>88.841259404374597</v>
      </c>
      <c r="AN3399">
        <v>1.00000002085518</v>
      </c>
    </row>
    <row r="3400" spans="1:40" x14ac:dyDescent="0.25">
      <c r="A3400" t="str">
        <f>"20190303154538001"</f>
        <v>20190303154538001</v>
      </c>
      <c r="B3400" t="str">
        <f>"1551599137994290"</f>
        <v>1551599137994290</v>
      </c>
      <c r="C3400" t="s">
        <v>40</v>
      </c>
      <c r="D3400">
        <v>5.0438150000000004</v>
      </c>
      <c r="E3400">
        <v>0.48467470000000001</v>
      </c>
      <c r="F3400" t="s">
        <v>55</v>
      </c>
      <c r="G3400">
        <v>-271.7303</v>
      </c>
      <c r="H3400" s="1">
        <v>-6.1892829999999997E-7</v>
      </c>
      <c r="I3400">
        <v>214.68369999999999</v>
      </c>
      <c r="J3400">
        <v>-284.34679999999997</v>
      </c>
      <c r="K3400">
        <v>1.1205959999999999</v>
      </c>
      <c r="L3400">
        <v>214.37440000000001</v>
      </c>
      <c r="M3400">
        <v>0.99992230000000004</v>
      </c>
      <c r="N3400">
        <v>-1.2387840000000001E-2</v>
      </c>
      <c r="O3400">
        <v>1.3925610000000001E-3</v>
      </c>
      <c r="P3400">
        <v>0.98959540000000001</v>
      </c>
      <c r="Q3400">
        <v>-0.14270559999999999</v>
      </c>
      <c r="R3400">
        <v>-1.833914E-2</v>
      </c>
      <c r="S3400">
        <v>2.9953919999999998</v>
      </c>
      <c r="T3400">
        <v>-0.26035520000000001</v>
      </c>
      <c r="U3400">
        <v>7.1960449999999995E-2</v>
      </c>
      <c r="V3400">
        <v>1.9717120000000001E-2</v>
      </c>
      <c r="W3400">
        <v>-0.130436</v>
      </c>
      <c r="X3400">
        <v>0.99126060000000005</v>
      </c>
      <c r="Y3400">
        <v>-2.2531300000000001E-2</v>
      </c>
      <c r="Z3400">
        <v>1.013522E-3</v>
      </c>
      <c r="AA3400">
        <v>0.99974560000000001</v>
      </c>
      <c r="AB3400">
        <v>27</v>
      </c>
      <c r="AC3400">
        <v>12.616499999999901</v>
      </c>
      <c r="AD3400">
        <v>-1.1205966189283001</v>
      </c>
      <c r="AE3400">
        <v>0.30929999999997898</v>
      </c>
      <c r="AF3400">
        <v>-0.28944703579436298</v>
      </c>
      <c r="AG3400">
        <v>-1.1205966189283001</v>
      </c>
      <c r="AH3400">
        <v>12.518221838538199</v>
      </c>
      <c r="AI3400">
        <v>95.113965682526697</v>
      </c>
      <c r="AJ3400">
        <v>91.324560249573906</v>
      </c>
      <c r="AK3400">
        <v>12.571610651294399</v>
      </c>
      <c r="AL3400">
        <v>97.494788213276195</v>
      </c>
      <c r="AM3400">
        <v>88.860482494863405</v>
      </c>
      <c r="AN3400">
        <v>0.99999994601472497</v>
      </c>
    </row>
    <row r="3401" spans="1:40" x14ac:dyDescent="0.25">
      <c r="A3401" t="str">
        <f>"20190303154538024"</f>
        <v>20190303154538024</v>
      </c>
      <c r="B3401" t="str">
        <f>"1551599138014785"</f>
        <v>1551599138014785</v>
      </c>
      <c r="C3401" t="s">
        <v>40</v>
      </c>
      <c r="D3401">
        <v>5.0872279999999996</v>
      </c>
      <c r="E3401">
        <v>0.48455219999999999</v>
      </c>
      <c r="F3401" t="s">
        <v>55</v>
      </c>
      <c r="G3401">
        <v>-270.68860000000001</v>
      </c>
      <c r="H3401" s="1">
        <v>-1.1740089999999999E-6</v>
      </c>
      <c r="I3401">
        <v>214.70050000000001</v>
      </c>
      <c r="J3401">
        <v>-284.07150000000001</v>
      </c>
      <c r="K3401">
        <v>1.1205860000000001</v>
      </c>
      <c r="L3401">
        <v>214.37479999999999</v>
      </c>
      <c r="M3401">
        <v>0.99992239999999999</v>
      </c>
      <c r="N3401">
        <v>-1.2387169999999999E-2</v>
      </c>
      <c r="O3401">
        <v>1.402478E-3</v>
      </c>
      <c r="P3401">
        <v>0.98957589999999995</v>
      </c>
      <c r="Q3401">
        <v>-0.14290369999999999</v>
      </c>
      <c r="R3401">
        <v>-1.784239E-2</v>
      </c>
      <c r="S3401">
        <v>2.9974059999999998</v>
      </c>
      <c r="T3401">
        <v>-0.24592549999999999</v>
      </c>
      <c r="U3401">
        <v>7.1563719999999997E-2</v>
      </c>
      <c r="V3401">
        <v>1.9229280000000001E-2</v>
      </c>
      <c r="W3401">
        <v>-0.13063519999999901</v>
      </c>
      <c r="X3401">
        <v>0.99124400000000001</v>
      </c>
      <c r="Y3401">
        <v>-2.238304E-2</v>
      </c>
      <c r="Z3401">
        <v>9.5796309999999997E-4</v>
      </c>
      <c r="AA3401">
        <v>0.999749</v>
      </c>
      <c r="AB3401">
        <v>27</v>
      </c>
      <c r="AC3401">
        <v>13.382899999999999</v>
      </c>
      <c r="AD3401">
        <v>-1.1205871740090001</v>
      </c>
      <c r="AE3401">
        <v>0.32570000000001098</v>
      </c>
      <c r="AF3401">
        <v>-0.30479332417725802</v>
      </c>
      <c r="AG3401">
        <v>-1.1205871740090001</v>
      </c>
      <c r="AH3401">
        <v>13.2902187612028</v>
      </c>
      <c r="AI3401">
        <v>94.818329418810606</v>
      </c>
      <c r="AJ3401">
        <v>91.313771484371401</v>
      </c>
      <c r="AK3401">
        <v>13.340859391570101</v>
      </c>
      <c r="AL3401">
        <v>97.506299669557905</v>
      </c>
      <c r="AM3401">
        <v>88.888650613262101</v>
      </c>
      <c r="AN3401">
        <v>0.99999999411217899</v>
      </c>
    </row>
    <row r="3402" spans="1:40" x14ac:dyDescent="0.25">
      <c r="A3402" t="str">
        <f>"20190303154538052"</f>
        <v>20190303154538052</v>
      </c>
      <c r="B3402" t="str">
        <f>"1551599138044572"</f>
        <v>1551599138044572</v>
      </c>
      <c r="C3402" t="s">
        <v>40</v>
      </c>
      <c r="D3402">
        <v>5.0718620000000003</v>
      </c>
      <c r="E3402">
        <v>0.484574</v>
      </c>
      <c r="F3402" t="s">
        <v>55</v>
      </c>
      <c r="G3402">
        <v>-270.21409999999997</v>
      </c>
      <c r="H3402" s="1">
        <v>-1.42727399999999E-6</v>
      </c>
      <c r="I3402">
        <v>214.71690000000001</v>
      </c>
      <c r="J3402">
        <v>-283.7285</v>
      </c>
      <c r="K3402">
        <v>1.120587</v>
      </c>
      <c r="L3402">
        <v>214.37530000000001</v>
      </c>
      <c r="M3402">
        <v>0.99992219999999998</v>
      </c>
      <c r="N3402">
        <v>-1.2394540000000001E-2</v>
      </c>
      <c r="O3402">
        <v>1.4123510000000001E-3</v>
      </c>
      <c r="P3402">
        <v>0.98962280000000002</v>
      </c>
      <c r="Q3402">
        <v>-0.14259659999999999</v>
      </c>
      <c r="R3402">
        <v>-1.7693500000000001E-2</v>
      </c>
      <c r="S3402">
        <v>2.997925</v>
      </c>
      <c r="T3402">
        <v>-0.2424289</v>
      </c>
      <c r="U3402">
        <v>7.4020390000000005E-2</v>
      </c>
      <c r="V3402">
        <v>1.908938E-2</v>
      </c>
      <c r="W3402">
        <v>-0.1303203</v>
      </c>
      <c r="X3402">
        <v>0.99128810000000001</v>
      </c>
      <c r="Y3402">
        <v>-2.3186990000000001E-2</v>
      </c>
      <c r="Z3402">
        <v>9.8331120000000002E-4</v>
      </c>
      <c r="AA3402">
        <v>0.99973060000000002</v>
      </c>
      <c r="AB3402">
        <v>27</v>
      </c>
      <c r="AC3402">
        <v>13.5144</v>
      </c>
      <c r="AD3402">
        <v>-1.1205884272740001</v>
      </c>
      <c r="AE3402">
        <v>0.34159999999999902</v>
      </c>
      <c r="AF3402">
        <v>-0.320310258009806</v>
      </c>
      <c r="AG3402">
        <v>-1.1205884272740001</v>
      </c>
      <c r="AH3402">
        <v>13.422641748335099</v>
      </c>
      <c r="AI3402">
        <v>94.7709160749652</v>
      </c>
      <c r="AJ3402">
        <v>91.367014316199899</v>
      </c>
      <c r="AK3402">
        <v>13.4731447178777</v>
      </c>
      <c r="AL3402">
        <v>97.488102057077299</v>
      </c>
      <c r="AM3402">
        <v>88.896783147623196</v>
      </c>
      <c r="AN3402">
        <v>0.99999994111124002</v>
      </c>
    </row>
    <row r="3403" spans="1:40" x14ac:dyDescent="0.25">
      <c r="A3403" t="str">
        <f>"20190303154538070"</f>
        <v>20190303154538070</v>
      </c>
      <c r="B3403" t="str">
        <f>"1551599138064093"</f>
        <v>1551599138064093</v>
      </c>
      <c r="C3403" t="s">
        <v>40</v>
      </c>
      <c r="D3403">
        <v>5.0976819999999998</v>
      </c>
      <c r="E3403">
        <v>0.48438700000000001</v>
      </c>
      <c r="F3403" t="s">
        <v>55</v>
      </c>
      <c r="G3403">
        <v>-269.61079999999998</v>
      </c>
      <c r="H3403" s="1">
        <v>3.5728439999999999E-6</v>
      </c>
      <c r="I3403">
        <v>214.72499999999999</v>
      </c>
      <c r="J3403">
        <v>-283.50470000000001</v>
      </c>
      <c r="K3403">
        <v>1.1205909999999999</v>
      </c>
      <c r="L3403">
        <v>214.37559999999999</v>
      </c>
      <c r="M3403">
        <v>0.99992210000000004</v>
      </c>
      <c r="N3403">
        <v>-1.240407E-2</v>
      </c>
      <c r="O3403">
        <v>1.4171850000000001E-3</v>
      </c>
      <c r="P3403">
        <v>0.98969050000000003</v>
      </c>
      <c r="Q3403">
        <v>-0.1421277</v>
      </c>
      <c r="R3403">
        <v>-1.7673999999999999E-2</v>
      </c>
      <c r="S3403">
        <v>2.9985050000000002</v>
      </c>
      <c r="T3403">
        <v>-0.23800379999999999</v>
      </c>
      <c r="U3403">
        <v>7.4279789999999998E-2</v>
      </c>
      <c r="V3403">
        <v>1.9074959999999998E-2</v>
      </c>
      <c r="W3403">
        <v>-0.12984109999999999</v>
      </c>
      <c r="X3403">
        <v>0.99135130000000005</v>
      </c>
      <c r="Y3403">
        <v>-2.326636E-2</v>
      </c>
      <c r="Z3403">
        <v>9.7163209999999998E-4</v>
      </c>
      <c r="AA3403">
        <v>0.99972890000000003</v>
      </c>
      <c r="AB3403">
        <v>27</v>
      </c>
      <c r="AC3403">
        <v>13.8939</v>
      </c>
      <c r="AD3403">
        <v>-1.1205874271559999</v>
      </c>
      <c r="AE3403">
        <v>0.34940000000000199</v>
      </c>
      <c r="AF3403">
        <v>-0.32757837792808497</v>
      </c>
      <c r="AG3403">
        <v>-1.1205874271559999</v>
      </c>
      <c r="AH3403">
        <v>13.8046396778006</v>
      </c>
      <c r="AI3403">
        <v>94.639491740804999</v>
      </c>
      <c r="AJ3403">
        <v>91.359349991768198</v>
      </c>
      <c r="AK3403">
        <v>13.8539200376461</v>
      </c>
      <c r="AL3403">
        <v>97.460410323056607</v>
      </c>
      <c r="AM3403">
        <v>88.897686566231002</v>
      </c>
      <c r="AN3403">
        <v>0.99999998267995005</v>
      </c>
    </row>
    <row r="3404" spans="1:40" x14ac:dyDescent="0.25">
      <c r="A3404" t="str">
        <f>"20190303154538090"</f>
        <v>20190303154538090</v>
      </c>
      <c r="B3404" t="str">
        <f>"1551599138084589"</f>
        <v>1551599138084589</v>
      </c>
      <c r="C3404" t="s">
        <v>40</v>
      </c>
      <c r="D3404">
        <v>5.0977379999999997</v>
      </c>
      <c r="E3404">
        <v>0.48439579999999999</v>
      </c>
      <c r="F3404" t="s">
        <v>55</v>
      </c>
      <c r="G3404">
        <v>-269.33510000000001</v>
      </c>
      <c r="H3404" s="1">
        <v>3.425772E-6</v>
      </c>
      <c r="I3404">
        <v>214.73310000000001</v>
      </c>
      <c r="J3404">
        <v>-283.26580000000001</v>
      </c>
      <c r="K3404">
        <v>1.1206039999999999</v>
      </c>
      <c r="L3404">
        <v>214.376</v>
      </c>
      <c r="M3404">
        <v>0.99992199999999998</v>
      </c>
      <c r="N3404">
        <v>-1.241834E-2</v>
      </c>
      <c r="O3404">
        <v>1.4259989999999901E-3</v>
      </c>
      <c r="P3404">
        <v>0.9897435</v>
      </c>
      <c r="Q3404">
        <v>-0.14167460000000001</v>
      </c>
      <c r="R3404">
        <v>-1.834477E-2</v>
      </c>
      <c r="S3404">
        <v>2.9985659999999998</v>
      </c>
      <c r="T3404">
        <v>-0.2371386</v>
      </c>
      <c r="U3404">
        <v>7.5653079999999998E-2</v>
      </c>
      <c r="V3404">
        <v>1.9754919999999999E-2</v>
      </c>
      <c r="W3404">
        <v>-0.1293733</v>
      </c>
      <c r="X3404">
        <v>0.99139920000000004</v>
      </c>
      <c r="Y3404">
        <v>-2.371355E-2</v>
      </c>
      <c r="Z3404">
        <v>9.8871149999999993E-4</v>
      </c>
      <c r="AA3404">
        <v>0.99971829999999995</v>
      </c>
      <c r="AB3404">
        <v>27</v>
      </c>
      <c r="AC3404">
        <v>13.9307</v>
      </c>
      <c r="AD3404">
        <v>-1.1206005742280001</v>
      </c>
      <c r="AE3404">
        <v>0.357100000000031</v>
      </c>
      <c r="AF3404">
        <v>-0.33506623123954599</v>
      </c>
      <c r="AG3404">
        <v>-1.1206005742280001</v>
      </c>
      <c r="AH3404">
        <v>13.8416875697371</v>
      </c>
      <c r="AI3404">
        <v>94.627129288315601</v>
      </c>
      <c r="AJ3404">
        <v>91.386690189806501</v>
      </c>
      <c r="AK3404">
        <v>13.8910161544968</v>
      </c>
      <c r="AL3404">
        <v>97.433378928108297</v>
      </c>
      <c r="AM3404">
        <v>88.858458056050097</v>
      </c>
      <c r="AN3404">
        <v>1.0000000406888601</v>
      </c>
    </row>
    <row r="3405" spans="1:40" x14ac:dyDescent="0.25">
      <c r="A3405" t="str">
        <f>"20190303154538111"</f>
        <v>20190303154538111</v>
      </c>
      <c r="B3405" t="str">
        <f>"1551599138104109"</f>
        <v>1551599138104109</v>
      </c>
      <c r="C3405" t="s">
        <v>40</v>
      </c>
      <c r="D3405">
        <v>5.0563229999999999</v>
      </c>
      <c r="E3405">
        <v>0.48424630000000002</v>
      </c>
      <c r="F3405" t="s">
        <v>55</v>
      </c>
      <c r="G3405">
        <v>-268.9443</v>
      </c>
      <c r="H3405" s="1">
        <v>3.2180080000000002E-6</v>
      </c>
      <c r="I3405">
        <v>214.7287</v>
      </c>
      <c r="J3405">
        <v>-283.0016</v>
      </c>
      <c r="K3405">
        <v>1.120608</v>
      </c>
      <c r="L3405">
        <v>214.37629999999999</v>
      </c>
      <c r="M3405">
        <v>0.99992159999999997</v>
      </c>
      <c r="N3405">
        <v>-1.243855E-2</v>
      </c>
      <c r="O3405">
        <v>1.443794E-3</v>
      </c>
      <c r="P3405">
        <v>0.98971209999999998</v>
      </c>
      <c r="Q3405">
        <v>-0.14181930000000001</v>
      </c>
      <c r="R3405">
        <v>-1.891201E-2</v>
      </c>
      <c r="S3405">
        <v>2.9988709999999998</v>
      </c>
      <c r="T3405">
        <v>-0.23464950000000001</v>
      </c>
      <c r="U3405">
        <v>7.3852539999999994E-2</v>
      </c>
      <c r="V3405">
        <v>2.034064E-2</v>
      </c>
      <c r="W3405">
        <v>-0.12949820000000001</v>
      </c>
      <c r="X3405">
        <v>0.991371</v>
      </c>
      <c r="Y3405">
        <v>-2.309713E-2</v>
      </c>
      <c r="Z3405">
        <v>9.5119509999999998E-4</v>
      </c>
      <c r="AA3405">
        <v>0.99973279999999998</v>
      </c>
      <c r="AB3405">
        <v>27</v>
      </c>
      <c r="AC3405">
        <v>14.0572999999999</v>
      </c>
      <c r="AD3405">
        <v>-1.120604781992</v>
      </c>
      <c r="AE3405">
        <v>0.35240000000001698</v>
      </c>
      <c r="AF3405">
        <v>-0.330006413156962</v>
      </c>
      <c r="AG3405">
        <v>-1.120604781992</v>
      </c>
      <c r="AH3405">
        <v>13.969079382903899</v>
      </c>
      <c r="AI3405">
        <v>94.585193428794597</v>
      </c>
      <c r="AJ3405">
        <v>91.353307390898195</v>
      </c>
      <c r="AK3405">
        <v>14.0178399946646</v>
      </c>
      <c r="AL3405">
        <v>97.440596241336095</v>
      </c>
      <c r="AM3405">
        <v>88.824588043889904</v>
      </c>
      <c r="AN3405">
        <v>0.999999992539924</v>
      </c>
    </row>
    <row r="3406" spans="1:40" x14ac:dyDescent="0.25">
      <c r="A3406" t="str">
        <f>"20190303154538134"</f>
        <v>20190303154538134</v>
      </c>
      <c r="B3406" t="str">
        <f>"1551599138124604"</f>
        <v>1551599138124604</v>
      </c>
      <c r="C3406" t="s">
        <v>40</v>
      </c>
      <c r="D3406">
        <v>5.1087639999999999</v>
      </c>
      <c r="E3406">
        <v>0.48388370000000003</v>
      </c>
      <c r="F3406" t="s">
        <v>55</v>
      </c>
      <c r="G3406">
        <v>-268.83420000000001</v>
      </c>
      <c r="H3406" s="1">
        <v>3.159668E-6</v>
      </c>
      <c r="I3406">
        <v>214.72300000000001</v>
      </c>
      <c r="J3406">
        <v>-282.73039999999997</v>
      </c>
      <c r="K3406">
        <v>1.1206160000000001</v>
      </c>
      <c r="L3406">
        <v>214.3768</v>
      </c>
      <c r="M3406">
        <v>0.99992130000000001</v>
      </c>
      <c r="N3406">
        <v>-1.246392E-2</v>
      </c>
      <c r="O3406">
        <v>1.4671230000000001E-3</v>
      </c>
      <c r="P3406">
        <v>0.98960559999999997</v>
      </c>
      <c r="Q3406">
        <v>-0.142537</v>
      </c>
      <c r="R3406">
        <v>-1.9083059999999999E-2</v>
      </c>
      <c r="S3406">
        <v>2.998596</v>
      </c>
      <c r="T3406">
        <v>-0.237182</v>
      </c>
      <c r="U3406">
        <v>7.3379520000000004E-2</v>
      </c>
      <c r="V3406">
        <v>2.0536019999999999E-2</v>
      </c>
      <c r="W3406">
        <v>-0.1301918</v>
      </c>
      <c r="X3406">
        <v>0.99127609999999999</v>
      </c>
      <c r="Y3406">
        <v>-2.291754E-2</v>
      </c>
      <c r="Z3406">
        <v>9.5033279999999997E-4</v>
      </c>
      <c r="AA3406">
        <v>0.99973690000000004</v>
      </c>
      <c r="AB3406">
        <v>27</v>
      </c>
      <c r="AC3406">
        <v>13.896199999999901</v>
      </c>
      <c r="AD3406">
        <v>-1.1206128403319999</v>
      </c>
      <c r="AE3406">
        <v>0.34619999999998102</v>
      </c>
      <c r="AF3406">
        <v>-0.32370682452961203</v>
      </c>
      <c r="AG3406">
        <v>-1.1206128403319999</v>
      </c>
      <c r="AH3406">
        <v>13.806960926456</v>
      </c>
      <c r="AI3406">
        <v>94.638850850827296</v>
      </c>
      <c r="AJ3406">
        <v>91.343064398586705</v>
      </c>
      <c r="AK3406">
        <v>13.856144098227601</v>
      </c>
      <c r="AL3406">
        <v>97.480676069420795</v>
      </c>
      <c r="AM3406">
        <v>88.813187377810607</v>
      </c>
      <c r="AN3406">
        <v>0.99999996966794402</v>
      </c>
    </row>
    <row r="3407" spans="1:40" x14ac:dyDescent="0.25">
      <c r="A3407" t="str">
        <f>"20190303154538156"</f>
        <v>20190303154538156</v>
      </c>
      <c r="B3407" t="str">
        <f>"1551599138153885"</f>
        <v>1551599138153885</v>
      </c>
      <c r="C3407" t="s">
        <v>40</v>
      </c>
      <c r="D3407">
        <v>5.1259600000000001</v>
      </c>
      <c r="E3407">
        <v>0.483095</v>
      </c>
      <c r="F3407" t="s">
        <v>55</v>
      </c>
      <c r="G3407">
        <v>-269.08499999999998</v>
      </c>
      <c r="H3407" s="1">
        <v>3.2931930000000001E-6</v>
      </c>
      <c r="I3407">
        <v>214.72120000000001</v>
      </c>
      <c r="J3407">
        <v>-282.4579</v>
      </c>
      <c r="K3407">
        <v>1.1206149999999999</v>
      </c>
      <c r="L3407">
        <v>214.37719999999999</v>
      </c>
      <c r="M3407">
        <v>0.9999209</v>
      </c>
      <c r="N3407">
        <v>-1.249424E-2</v>
      </c>
      <c r="O3407">
        <v>1.4949430000000001E-3</v>
      </c>
      <c r="P3407">
        <v>0.98957519999999999</v>
      </c>
      <c r="Q3407">
        <v>-0.1427629</v>
      </c>
      <c r="R3407">
        <v>-1.8970890000000001E-2</v>
      </c>
      <c r="S3407">
        <v>2.997528</v>
      </c>
      <c r="T3407">
        <v>-0.24616840000000001</v>
      </c>
      <c r="U3407">
        <v>7.5668330000000006E-2</v>
      </c>
      <c r="V3407">
        <v>2.045245E-2</v>
      </c>
      <c r="W3407">
        <v>-0.1303878</v>
      </c>
      <c r="X3407">
        <v>0.99125209999999997</v>
      </c>
      <c r="Y3407">
        <v>-2.365281E-2</v>
      </c>
      <c r="Z3407">
        <v>1.0136259999999999E-3</v>
      </c>
      <c r="AA3407">
        <v>0.99971969999999999</v>
      </c>
      <c r="AB3407">
        <v>27</v>
      </c>
      <c r="AC3407">
        <v>13.3729</v>
      </c>
      <c r="AD3407">
        <v>-1.1206117068069901</v>
      </c>
      <c r="AE3407">
        <v>0.34400000000002201</v>
      </c>
      <c r="AF3407">
        <v>-0.32174851798336701</v>
      </c>
      <c r="AG3407">
        <v>-1.1206117068069901</v>
      </c>
      <c r="AH3407">
        <v>13.2802077684354</v>
      </c>
      <c r="AI3407">
        <v>94.821903197624394</v>
      </c>
      <c r="AJ3407">
        <v>91.387871844808302</v>
      </c>
      <c r="AK3407">
        <v>13.331286925089801</v>
      </c>
      <c r="AL3407">
        <v>97.492002335977503</v>
      </c>
      <c r="AM3407">
        <v>88.817987051923396</v>
      </c>
      <c r="AN3407">
        <v>1.0000000034271199</v>
      </c>
    </row>
    <row r="3408" spans="1:40" x14ac:dyDescent="0.25">
      <c r="A3408" t="str">
        <f>"20190303154538179"</f>
        <v>20190303154538179</v>
      </c>
      <c r="B3408" t="str">
        <f>"1551599138174381"</f>
        <v>1551599138174381</v>
      </c>
      <c r="C3408" t="s">
        <v>40</v>
      </c>
      <c r="D3408">
        <v>5.0790259999999998</v>
      </c>
      <c r="E3408">
        <v>0.48263630000000002</v>
      </c>
      <c r="F3408" t="s">
        <v>55</v>
      </c>
      <c r="G3408">
        <v>-269.60160000000002</v>
      </c>
      <c r="H3408" s="1">
        <v>3.5677670000000001E-6</v>
      </c>
      <c r="I3408">
        <v>214.72900000000001</v>
      </c>
      <c r="J3408">
        <v>-282.18950000000001</v>
      </c>
      <c r="K3408">
        <v>1.120625</v>
      </c>
      <c r="L3408">
        <v>214.3777</v>
      </c>
      <c r="M3408">
        <v>0.99992029999999998</v>
      </c>
      <c r="N3408">
        <v>-1.2536179999999999E-2</v>
      </c>
      <c r="O3408">
        <v>1.525885E-3</v>
      </c>
      <c r="P3408">
        <v>0.98959790000000003</v>
      </c>
      <c r="Q3408">
        <v>-0.142683</v>
      </c>
      <c r="R3408">
        <v>-1.8386420000000001E-2</v>
      </c>
      <c r="S3408">
        <v>2.995514</v>
      </c>
      <c r="T3408">
        <v>-0.26110080000000002</v>
      </c>
      <c r="U3408">
        <v>8.1970210000000002E-2</v>
      </c>
      <c r="V3408">
        <v>1.9899219999999999E-2</v>
      </c>
      <c r="W3408">
        <v>-0.13026589999999999</v>
      </c>
      <c r="X3408">
        <v>0.99127940000000003</v>
      </c>
      <c r="Y3408">
        <v>-2.5721330000000001E-2</v>
      </c>
      <c r="Z3408">
        <v>1.166636E-3</v>
      </c>
      <c r="AA3408">
        <v>0.99966849999999996</v>
      </c>
      <c r="AB3408">
        <v>27</v>
      </c>
      <c r="AC3408">
        <v>12.5878999999999</v>
      </c>
      <c r="AD3408">
        <v>-1.1206214322329999</v>
      </c>
      <c r="AE3408">
        <v>0.35130000000000899</v>
      </c>
      <c r="AF3408">
        <v>-0.32948121586411799</v>
      </c>
      <c r="AG3408">
        <v>-1.1206214322329999</v>
      </c>
      <c r="AH3408">
        <v>12.4895163065818</v>
      </c>
      <c r="AI3408">
        <v>95.125358880537604</v>
      </c>
      <c r="AJ3408">
        <v>91.511147844982304</v>
      </c>
      <c r="AK3408">
        <v>12.544017212932999</v>
      </c>
      <c r="AL3408">
        <v>97.4849578024523</v>
      </c>
      <c r="AM3408">
        <v>88.849982952849501</v>
      </c>
      <c r="AN3408">
        <v>1.0000000162618801</v>
      </c>
    </row>
    <row r="3409" spans="1:40" x14ac:dyDescent="0.25">
      <c r="A3409" t="str">
        <f>"20190303154538201"</f>
        <v>20190303154538201</v>
      </c>
      <c r="B3409" t="str">
        <f>"1551599138193900"</f>
        <v>1551599138193900</v>
      </c>
      <c r="C3409" t="s">
        <v>40</v>
      </c>
      <c r="D3409">
        <v>5.0654490000000001</v>
      </c>
      <c r="E3409">
        <v>0.48250989999999999</v>
      </c>
      <c r="F3409" t="s">
        <v>55</v>
      </c>
      <c r="G3409">
        <v>-269.72770000000003</v>
      </c>
      <c r="H3409" s="1">
        <v>3.6343699999999999E-6</v>
      </c>
      <c r="I3409">
        <v>214.74100000000001</v>
      </c>
      <c r="J3409">
        <v>-281.92320000000001</v>
      </c>
      <c r="K3409">
        <v>1.1206430000000001</v>
      </c>
      <c r="L3409">
        <v>214.37809999999999</v>
      </c>
      <c r="M3409">
        <v>0.99991940000000001</v>
      </c>
      <c r="N3409">
        <v>-1.2591929999999999E-2</v>
      </c>
      <c r="O3409">
        <v>1.559401E-3</v>
      </c>
      <c r="P3409">
        <v>0.98959819999999998</v>
      </c>
      <c r="Q3409">
        <v>-0.14275829999999901</v>
      </c>
      <c r="R3409">
        <v>-1.7761639999999999E-2</v>
      </c>
      <c r="S3409">
        <v>2.9942929999999999</v>
      </c>
      <c r="T3409">
        <v>-0.26926050000000001</v>
      </c>
      <c r="U3409">
        <v>8.7310789999999999E-2</v>
      </c>
      <c r="V3409">
        <v>1.9307899999999999E-2</v>
      </c>
      <c r="W3409">
        <v>-0.13028589999999901</v>
      </c>
      <c r="X3409">
        <v>0.99128839999999996</v>
      </c>
      <c r="Y3409">
        <v>-2.7466109999999998E-2</v>
      </c>
      <c r="Z3409">
        <v>1.285242E-3</v>
      </c>
      <c r="AA3409">
        <v>0.99962189999999995</v>
      </c>
      <c r="AB3409">
        <v>27</v>
      </c>
      <c r="AC3409">
        <v>12.1954999999999</v>
      </c>
      <c r="AD3409">
        <v>-1.12063936563</v>
      </c>
      <c r="AE3409">
        <v>0.362899999999996</v>
      </c>
      <c r="AF3409">
        <v>-0.34100359103737399</v>
      </c>
      <c r="AG3409">
        <v>-1.12063936563</v>
      </c>
      <c r="AH3409">
        <v>12.094023222882401</v>
      </c>
      <c r="AI3409">
        <v>95.291853017043195</v>
      </c>
      <c r="AJ3409">
        <v>91.615086309708701</v>
      </c>
      <c r="AK3409">
        <v>12.150617834189299</v>
      </c>
      <c r="AL3409">
        <v>97.486114056370994</v>
      </c>
      <c r="AM3409">
        <v>88.884157913353903</v>
      </c>
      <c r="AN3409">
        <v>0.999999951357888</v>
      </c>
    </row>
    <row r="3410" spans="1:40" x14ac:dyDescent="0.25">
      <c r="A3410" t="str">
        <f>"20190303154538225"</f>
        <v>20190303154538225</v>
      </c>
      <c r="B3410" t="str">
        <f>"1551599138214397"</f>
        <v>1551599138214397</v>
      </c>
      <c r="C3410" t="s">
        <v>40</v>
      </c>
      <c r="D3410">
        <v>5.148695</v>
      </c>
      <c r="E3410">
        <v>0.50835810000000003</v>
      </c>
      <c r="F3410" t="s">
        <v>55</v>
      </c>
      <c r="G3410">
        <v>-269.66030000000001</v>
      </c>
      <c r="H3410" s="1">
        <v>3.5982620000000001E-6</v>
      </c>
      <c r="I3410">
        <v>214.74619999999999</v>
      </c>
      <c r="J3410">
        <v>-281.64</v>
      </c>
      <c r="K3410">
        <v>1.12066</v>
      </c>
      <c r="L3410">
        <v>214.37860000000001</v>
      </c>
      <c r="M3410">
        <v>0.99991850000000004</v>
      </c>
      <c r="N3410">
        <v>-1.2676389999999999E-2</v>
      </c>
      <c r="O3410">
        <v>1.596117E-3</v>
      </c>
      <c r="P3410">
        <v>0.98953380000000002</v>
      </c>
      <c r="Q3410">
        <v>-0.1432706</v>
      </c>
      <c r="R3410">
        <v>-1.7219580000000002E-2</v>
      </c>
      <c r="S3410">
        <v>2.9936829999999999</v>
      </c>
      <c r="T3410">
        <v>-0.2735765</v>
      </c>
      <c r="U3410">
        <v>8.9874270000000006E-2</v>
      </c>
      <c r="V3410">
        <v>1.8802159999999998E-2</v>
      </c>
      <c r="W3410">
        <v>-0.13071530000000001</v>
      </c>
      <c r="X3410">
        <v>0.99124159999999994</v>
      </c>
      <c r="Y3410">
        <v>-2.8282990000000001E-2</v>
      </c>
      <c r="Z3410">
        <v>1.343744E-3</v>
      </c>
      <c r="AA3410">
        <v>0.99959900000000002</v>
      </c>
      <c r="AB3410">
        <v>27</v>
      </c>
      <c r="AC3410">
        <v>11.9796999999999</v>
      </c>
      <c r="AD3410">
        <v>-1.1206564017380001</v>
      </c>
      <c r="AE3410">
        <v>0.367599999999981</v>
      </c>
      <c r="AF3410">
        <v>-0.345456778377359</v>
      </c>
      <c r="AG3410">
        <v>-1.1206564017380001</v>
      </c>
      <c r="AH3410">
        <v>11.8764396650942</v>
      </c>
      <c r="AI3410">
        <v>95.388182208108802</v>
      </c>
      <c r="AJ3410">
        <v>91.666125247642697</v>
      </c>
      <c r="AK3410">
        <v>11.934195836968099</v>
      </c>
      <c r="AL3410">
        <v>97.510929010895495</v>
      </c>
      <c r="AM3410">
        <v>88.913327244634402</v>
      </c>
      <c r="AN3410">
        <v>0.99999996022265702</v>
      </c>
    </row>
    <row r="3411" spans="1:40" x14ac:dyDescent="0.25">
      <c r="A3411" t="str">
        <f>"20190303154538252"</f>
        <v>20190303154538252</v>
      </c>
      <c r="B3411" t="str">
        <f>"1551599138244653"</f>
        <v>1551599138244653</v>
      </c>
      <c r="C3411" t="s">
        <v>40</v>
      </c>
      <c r="D3411">
        <v>5.0731349999999997</v>
      </c>
      <c r="E3411">
        <v>0.52422630000000003</v>
      </c>
      <c r="F3411" t="s">
        <v>42</v>
      </c>
      <c r="G3411">
        <v>-280.72410000000002</v>
      </c>
      <c r="H3411">
        <v>1.013541</v>
      </c>
      <c r="I3411">
        <v>214.3425</v>
      </c>
      <c r="J3411">
        <v>-281.31079999999997</v>
      </c>
      <c r="K3411">
        <v>1.120681</v>
      </c>
      <c r="L3411">
        <v>214.3792</v>
      </c>
      <c r="M3411">
        <v>0.99991680000000005</v>
      </c>
      <c r="N3411">
        <v>-1.280711E-2</v>
      </c>
      <c r="O3411">
        <v>1.6380139999999999E-3</v>
      </c>
      <c r="P3411">
        <v>0.98942580000000002</v>
      </c>
      <c r="Q3411">
        <v>-0.14401739999999999</v>
      </c>
      <c r="R3411">
        <v>-1.720607E-2</v>
      </c>
      <c r="S3411">
        <v>2.9792179999999999</v>
      </c>
      <c r="T3411">
        <v>-0.3485781</v>
      </c>
      <c r="U3411">
        <v>-0.1163483</v>
      </c>
      <c r="V3411">
        <v>1.8829930000000002E-2</v>
      </c>
      <c r="W3411">
        <v>-0.1313339</v>
      </c>
      <c r="X3411">
        <v>0.99115929999999997</v>
      </c>
      <c r="Y3411">
        <v>4.0346399999999998E-2</v>
      </c>
      <c r="Z3411">
        <v>-2.7808860000000002E-3</v>
      </c>
      <c r="AA3411">
        <v>0.99918189999999996</v>
      </c>
      <c r="AB3411">
        <v>27</v>
      </c>
      <c r="AC3411">
        <v>0.58669999999995004</v>
      </c>
      <c r="AD3411">
        <v>-0.10714</v>
      </c>
      <c r="AE3411">
        <v>-3.6699999999996097E-2</v>
      </c>
      <c r="AF3411">
        <v>3.64502436268462E-2</v>
      </c>
      <c r="AG3411">
        <v>-0.10714</v>
      </c>
      <c r="AH3411">
        <v>0.56777855575035197</v>
      </c>
      <c r="AI3411">
        <v>100.664630019087</v>
      </c>
      <c r="AJ3411">
        <v>86.326766692211706</v>
      </c>
      <c r="AK3411">
        <v>0.57894739677315399</v>
      </c>
      <c r="AL3411">
        <v>97.546680401659401</v>
      </c>
      <c r="AM3411">
        <v>88.9116323179869</v>
      </c>
      <c r="AN3411">
        <v>0.99999995876475101</v>
      </c>
    </row>
    <row r="3412" spans="1:40" x14ac:dyDescent="0.25">
      <c r="A3412" t="str">
        <f>"20190303154538274"</f>
        <v>20190303154538274</v>
      </c>
      <c r="B3412" t="str">
        <f>"1551599138264173"</f>
        <v>1551599138264173</v>
      </c>
      <c r="C3412" t="s">
        <v>40</v>
      </c>
      <c r="D3412">
        <v>5.0077489999999996</v>
      </c>
      <c r="E3412">
        <v>0.52865569999999995</v>
      </c>
      <c r="F3412" t="s">
        <v>42</v>
      </c>
      <c r="G3412">
        <v>-280.49770000000001</v>
      </c>
      <c r="H3412">
        <v>0.98471330000000001</v>
      </c>
      <c r="I3412">
        <v>214.31120000000001</v>
      </c>
      <c r="J3412">
        <v>-281.03899999999999</v>
      </c>
      <c r="K3412">
        <v>1.1206959999999999</v>
      </c>
      <c r="L3412">
        <v>214.37960000000001</v>
      </c>
      <c r="M3412">
        <v>0.99991509999999995</v>
      </c>
      <c r="N3412">
        <v>-1.2923169999999999E-2</v>
      </c>
      <c r="O3412">
        <v>1.672013E-3</v>
      </c>
      <c r="P3412">
        <v>0.98933879999999996</v>
      </c>
      <c r="Q3412">
        <v>-0.1446095</v>
      </c>
      <c r="R3412">
        <v>-1.7237570000000001E-2</v>
      </c>
      <c r="S3412">
        <v>2.9558719999999998</v>
      </c>
      <c r="T3412">
        <v>-0.49431249999999999</v>
      </c>
      <c r="U3412">
        <v>-0.24629210000000001</v>
      </c>
      <c r="V3412">
        <v>1.8894540000000001E-2</v>
      </c>
      <c r="W3412">
        <v>-0.13181199999999901</v>
      </c>
      <c r="X3412">
        <v>0.99109460000000005</v>
      </c>
      <c r="Y3412">
        <v>8.3440420000000001E-2</v>
      </c>
      <c r="Z3412">
        <v>-7.7169319999999897E-3</v>
      </c>
      <c r="AA3412">
        <v>0.99648289999999995</v>
      </c>
      <c r="AB3412">
        <v>27</v>
      </c>
      <c r="AC3412">
        <v>0.54129999999997802</v>
      </c>
      <c r="AD3412">
        <v>-0.13598269999999901</v>
      </c>
      <c r="AE3412">
        <v>-6.8399999999996894E-2</v>
      </c>
      <c r="AF3412">
        <v>6.5251786153217806E-2</v>
      </c>
      <c r="AG3412">
        <v>-0.13598269999999901</v>
      </c>
      <c r="AH3412">
        <v>0.50953406815247504</v>
      </c>
      <c r="AI3412">
        <v>104.82695504978901</v>
      </c>
      <c r="AJ3412">
        <v>82.702326973692607</v>
      </c>
      <c r="AK3412">
        <v>0.53138880012989198</v>
      </c>
      <c r="AL3412">
        <v>97.574313762745604</v>
      </c>
      <c r="AM3412">
        <v>88.907827494105106</v>
      </c>
      <c r="AN3412">
        <v>0.99999995656748397</v>
      </c>
    </row>
    <row r="3413" spans="1:40" x14ac:dyDescent="0.25">
      <c r="A3413" t="str">
        <f>"20190303154538291"</f>
        <v>20190303154538291</v>
      </c>
      <c r="B3413" t="str">
        <f>"1551599138284669"</f>
        <v>1551599138284669</v>
      </c>
      <c r="C3413" t="s">
        <v>40</v>
      </c>
      <c r="D3413">
        <v>5.0229509999999999</v>
      </c>
      <c r="E3413">
        <v>0.53099410000000002</v>
      </c>
      <c r="F3413" t="s">
        <v>42</v>
      </c>
      <c r="G3413">
        <v>-280.26159999999999</v>
      </c>
      <c r="H3413">
        <v>0.97562490000000002</v>
      </c>
      <c r="I3413">
        <v>214.3047</v>
      </c>
      <c r="J3413">
        <v>-280.83429999999998</v>
      </c>
      <c r="K3413">
        <v>1.1207100000000001</v>
      </c>
      <c r="L3413">
        <v>214.38</v>
      </c>
      <c r="M3413">
        <v>0.99991410000000003</v>
      </c>
      <c r="N3413">
        <v>-1.301043E-2</v>
      </c>
      <c r="O3413">
        <v>1.696658E-3</v>
      </c>
      <c r="P3413">
        <v>0.9893324</v>
      </c>
      <c r="Q3413">
        <v>-0.14463010000000001</v>
      </c>
      <c r="R3413">
        <v>-1.743283E-2</v>
      </c>
      <c r="S3413">
        <v>2.9469599999999998</v>
      </c>
      <c r="T3413">
        <v>-0.55008020000000002</v>
      </c>
      <c r="U3413">
        <v>-0.28320309999999999</v>
      </c>
      <c r="V3413">
        <v>1.9114280000000001E-2</v>
      </c>
      <c r="W3413">
        <v>-0.13174620000000001</v>
      </c>
      <c r="X3413">
        <v>0.99109919999999996</v>
      </c>
      <c r="Y3413">
        <v>9.5570509999999997E-2</v>
      </c>
      <c r="Z3413">
        <v>-9.7436789999999999E-3</v>
      </c>
      <c r="AA3413">
        <v>0.99537500000000001</v>
      </c>
      <c r="AB3413">
        <v>27</v>
      </c>
      <c r="AC3413">
        <v>0.57269999999999699</v>
      </c>
      <c r="AD3413">
        <v>-0.14508509999999999</v>
      </c>
      <c r="AE3413">
        <v>-7.5299999999998493E-2</v>
      </c>
      <c r="AF3413">
        <v>7.1745370139794498E-2</v>
      </c>
      <c r="AG3413">
        <v>-0.14508509999999999</v>
      </c>
      <c r="AH3413">
        <v>0.53859261783412304</v>
      </c>
      <c r="AI3413">
        <v>104.950290189342</v>
      </c>
      <c r="AJ3413">
        <v>82.412357539666502</v>
      </c>
      <c r="AK3413">
        <v>0.56238695963181795</v>
      </c>
      <c r="AL3413">
        <v>97.570510045297397</v>
      </c>
      <c r="AM3413">
        <v>88.895133987481302</v>
      </c>
      <c r="AN3413">
        <v>1.0000000205774899</v>
      </c>
    </row>
    <row r="3414" spans="1:40" x14ac:dyDescent="0.25">
      <c r="A3414" t="str">
        <f>"20190303154538312"</f>
        <v>20190303154538312</v>
      </c>
      <c r="B3414" t="str">
        <f>"1551599138304189"</f>
        <v>1551599138304189</v>
      </c>
      <c r="C3414" t="s">
        <v>40</v>
      </c>
      <c r="D3414">
        <v>4.9666370000000004</v>
      </c>
      <c r="E3414">
        <v>0.53269940000000005</v>
      </c>
      <c r="F3414" t="s">
        <v>42</v>
      </c>
      <c r="G3414">
        <v>-280.02800000000002</v>
      </c>
      <c r="H3414">
        <v>0.96210490000000004</v>
      </c>
      <c r="I3414">
        <v>214.29689999999999</v>
      </c>
      <c r="J3414">
        <v>-280.577</v>
      </c>
      <c r="K3414">
        <v>1.1207240000000001</v>
      </c>
      <c r="L3414">
        <v>214.38050000000001</v>
      </c>
      <c r="M3414">
        <v>0.99991260000000004</v>
      </c>
      <c r="N3414">
        <v>-1.311619E-2</v>
      </c>
      <c r="O3414">
        <v>1.727316E-3</v>
      </c>
      <c r="P3414">
        <v>0.98932220000000004</v>
      </c>
      <c r="Q3414">
        <v>-0.14466709999999999</v>
      </c>
      <c r="R3414">
        <v>-1.7706699999999999E-2</v>
      </c>
      <c r="S3414">
        <v>2.942383</v>
      </c>
      <c r="T3414">
        <v>-0.57883719999999905</v>
      </c>
      <c r="U3414">
        <v>-0.30300899999999997</v>
      </c>
      <c r="V3414">
        <v>1.9418410000000001E-2</v>
      </c>
      <c r="W3414">
        <v>-0.1316785</v>
      </c>
      <c r="X3414">
        <v>0.99110229999999999</v>
      </c>
      <c r="Y3414">
        <v>0.1020602</v>
      </c>
      <c r="Z3414">
        <v>-1.0909220000000001E-2</v>
      </c>
      <c r="AA3414">
        <v>0.9947184</v>
      </c>
      <c r="AB3414">
        <v>27</v>
      </c>
      <c r="AC3414">
        <v>0.54899999999997795</v>
      </c>
      <c r="AD3414">
        <v>-0.15861910000000001</v>
      </c>
      <c r="AE3414">
        <v>-8.3600000000018299E-2</v>
      </c>
      <c r="AF3414">
        <v>7.8170691288616798E-2</v>
      </c>
      <c r="AG3414">
        <v>-0.15861910000000001</v>
      </c>
      <c r="AH3414">
        <v>0.50745408390626001</v>
      </c>
      <c r="AI3414">
        <v>107.167709872063</v>
      </c>
      <c r="AJ3414">
        <v>81.242716506413899</v>
      </c>
      <c r="AK3414">
        <v>0.53738284596225405</v>
      </c>
      <c r="AL3414">
        <v>97.566596916982803</v>
      </c>
      <c r="AM3414">
        <v>88.877562280985003</v>
      </c>
      <c r="AN3414">
        <v>1.00000003553723</v>
      </c>
    </row>
    <row r="3415" spans="1:40" x14ac:dyDescent="0.25">
      <c r="A3415" t="str">
        <f>"20190303154538335"</f>
        <v>20190303154538335</v>
      </c>
      <c r="B3415" t="str">
        <f>"1551599138324685"</f>
        <v>1551599138324685</v>
      </c>
      <c r="C3415" t="s">
        <v>40</v>
      </c>
      <c r="D3415">
        <v>4.968102</v>
      </c>
      <c r="E3415">
        <v>0.53426099999999999</v>
      </c>
      <c r="F3415" t="s">
        <v>42</v>
      </c>
      <c r="G3415">
        <v>-279.78890000000001</v>
      </c>
      <c r="H3415">
        <v>0.96043979999999995</v>
      </c>
      <c r="I3415">
        <v>214.29499999999999</v>
      </c>
      <c r="J3415">
        <v>-280.31139999999999</v>
      </c>
      <c r="K3415">
        <v>1.1207339999999999</v>
      </c>
      <c r="L3415">
        <v>214.381</v>
      </c>
      <c r="M3415">
        <v>0.99991110000000005</v>
      </c>
      <c r="N3415">
        <v>-1.321818E-2</v>
      </c>
      <c r="O3415">
        <v>1.7586479999999901E-3</v>
      </c>
      <c r="P3415">
        <v>0.98925379999999996</v>
      </c>
      <c r="Q3415">
        <v>-0.14507579999999901</v>
      </c>
      <c r="R3415">
        <v>-1.8162600000000001E-2</v>
      </c>
      <c r="S3415">
        <v>2.93927</v>
      </c>
      <c r="T3415">
        <v>-0.59787389999999996</v>
      </c>
      <c r="U3415">
        <v>-0.31781009999999998</v>
      </c>
      <c r="V3415">
        <v>1.9905329999999999E-2</v>
      </c>
      <c r="W3415">
        <v>-0.13198699999999999</v>
      </c>
      <c r="X3415">
        <v>0.99105160000000003</v>
      </c>
      <c r="Y3415">
        <v>0.1069071</v>
      </c>
      <c r="Z3415">
        <v>-1.1778739999999999E-2</v>
      </c>
      <c r="AA3415">
        <v>0.99419919999999995</v>
      </c>
      <c r="AB3415">
        <v>27</v>
      </c>
      <c r="AC3415">
        <v>0.52249999999997898</v>
      </c>
      <c r="AD3415">
        <v>-0.1602942</v>
      </c>
      <c r="AE3415">
        <v>-8.5999999999984297E-2</v>
      </c>
      <c r="AF3415">
        <v>7.9622733638840704E-2</v>
      </c>
      <c r="AG3415">
        <v>-0.1602942</v>
      </c>
      <c r="AH3415">
        <v>0.478501209707834</v>
      </c>
      <c r="AI3415">
        <v>108.28606506111301</v>
      </c>
      <c r="AJ3415">
        <v>80.552528946644003</v>
      </c>
      <c r="AK3415">
        <v>0.51087906392572302</v>
      </c>
      <c r="AL3415">
        <v>97.584428323397702</v>
      </c>
      <c r="AM3415">
        <v>88.849365588836704</v>
      </c>
      <c r="AN3415">
        <v>1.00000003209698</v>
      </c>
    </row>
    <row r="3416" spans="1:40" x14ac:dyDescent="0.25">
      <c r="A3416" t="str">
        <f>"20190303154538358"</f>
        <v>20190303154538358</v>
      </c>
      <c r="B3416" t="str">
        <f>"1551599138353965"</f>
        <v>1551599138353965</v>
      </c>
      <c r="C3416" t="s">
        <v>40</v>
      </c>
      <c r="D3416">
        <v>4.960045</v>
      </c>
      <c r="E3416">
        <v>0.53531280000000003</v>
      </c>
      <c r="F3416" t="s">
        <v>42</v>
      </c>
      <c r="G3416">
        <v>-279.54860000000002</v>
      </c>
      <c r="H3416">
        <v>0.96196649999999995</v>
      </c>
      <c r="I3416">
        <v>214.2946</v>
      </c>
      <c r="J3416">
        <v>-280.02929999999998</v>
      </c>
      <c r="K3416">
        <v>1.120744</v>
      </c>
      <c r="L3416">
        <v>214.38149999999999</v>
      </c>
      <c r="M3416">
        <v>0.99990979999999996</v>
      </c>
      <c r="N3416">
        <v>-1.331711E-2</v>
      </c>
      <c r="O3416">
        <v>1.791663E-3</v>
      </c>
      <c r="P3416">
        <v>0.98931519999999995</v>
      </c>
      <c r="Q3416">
        <v>-0.1445901</v>
      </c>
      <c r="R3416">
        <v>-1.8688639999999999E-2</v>
      </c>
      <c r="S3416">
        <v>2.9368289999999999</v>
      </c>
      <c r="T3416">
        <v>-0.61131329999999995</v>
      </c>
      <c r="U3416">
        <v>-0.33200069999999998</v>
      </c>
      <c r="V3416">
        <v>2.046415E-2</v>
      </c>
      <c r="W3416">
        <v>-0.13140250000000001</v>
      </c>
      <c r="X3416">
        <v>0.99111780000000005</v>
      </c>
      <c r="Y3416">
        <v>0.1115616</v>
      </c>
      <c r="Z3416">
        <v>-1.255039E-2</v>
      </c>
      <c r="AA3416">
        <v>0.99367830000000001</v>
      </c>
      <c r="AB3416">
        <v>27</v>
      </c>
      <c r="AC3416">
        <v>0.480699999999956</v>
      </c>
      <c r="AD3416">
        <v>-0.15877749999999899</v>
      </c>
      <c r="AE3416">
        <v>-8.6899999999985697E-2</v>
      </c>
      <c r="AF3416">
        <v>7.9375302184288996E-2</v>
      </c>
      <c r="AG3416">
        <v>-0.15877749999999899</v>
      </c>
      <c r="AH3416">
        <v>0.43462591354164198</v>
      </c>
      <c r="AI3416">
        <v>109.767212919708</v>
      </c>
      <c r="AJ3416">
        <v>79.650189310353696</v>
      </c>
      <c r="AK3416">
        <v>0.46947887899777202</v>
      </c>
      <c r="AL3416">
        <v>97.550645350363496</v>
      </c>
      <c r="AM3416">
        <v>88.817150850203305</v>
      </c>
      <c r="AN3416">
        <v>0.99999994595915398</v>
      </c>
    </row>
    <row r="3417" spans="1:40" x14ac:dyDescent="0.25">
      <c r="A3417" t="str">
        <f>"20190303154538380"</f>
        <v>20190303154538380</v>
      </c>
      <c r="B3417" t="str">
        <f>"1551599138374461"</f>
        <v>1551599138374461</v>
      </c>
      <c r="C3417" t="s">
        <v>40</v>
      </c>
      <c r="D3417">
        <v>4.9624100000000002</v>
      </c>
      <c r="E3417">
        <v>0.53580539999999999</v>
      </c>
      <c r="F3417" t="s">
        <v>42</v>
      </c>
      <c r="G3417">
        <v>-279.30689999999998</v>
      </c>
      <c r="H3417">
        <v>0.96676969999999995</v>
      </c>
      <c r="I3417">
        <v>214.297</v>
      </c>
      <c r="J3417">
        <v>-279.7679</v>
      </c>
      <c r="K3417">
        <v>1.1207510000000001</v>
      </c>
      <c r="L3417">
        <v>214.38200000000001</v>
      </c>
      <c r="M3417">
        <v>0.99990860000000004</v>
      </c>
      <c r="N3417">
        <v>-1.339982E-2</v>
      </c>
      <c r="O3417">
        <v>1.8226360000000001E-3</v>
      </c>
      <c r="P3417">
        <v>0.98928050000000001</v>
      </c>
      <c r="Q3417">
        <v>-0.14483360000000001</v>
      </c>
      <c r="R3417">
        <v>-1.8631390000000001E-2</v>
      </c>
      <c r="S3417">
        <v>2.9345089999999998</v>
      </c>
      <c r="T3417">
        <v>-0.62551000000000001</v>
      </c>
      <c r="U3417">
        <v>-0.34259030000000001</v>
      </c>
      <c r="V3417">
        <v>2.0437339999999998E-2</v>
      </c>
      <c r="W3417">
        <v>-0.1315645</v>
      </c>
      <c r="X3417">
        <v>0.99109689999999995</v>
      </c>
      <c r="Y3417">
        <v>0.1150173</v>
      </c>
      <c r="Z3417">
        <v>-1.322359E-2</v>
      </c>
      <c r="AA3417">
        <v>0.99327549999999998</v>
      </c>
      <c r="AB3417">
        <v>27</v>
      </c>
      <c r="AC3417">
        <v>0.46100000000001201</v>
      </c>
      <c r="AD3417">
        <v>-0.15398129999999999</v>
      </c>
      <c r="AE3417">
        <v>-8.5000000000007903E-2</v>
      </c>
      <c r="AF3417">
        <v>7.7480182087594704E-2</v>
      </c>
      <c r="AG3417">
        <v>-0.15398129999999999</v>
      </c>
      <c r="AH3417">
        <v>0.41596259925710699</v>
      </c>
      <c r="AI3417">
        <v>109.99752211937999</v>
      </c>
      <c r="AJ3417">
        <v>79.448596146315595</v>
      </c>
      <c r="AK3417">
        <v>0.45026470364303001</v>
      </c>
      <c r="AL3417">
        <v>97.560008266956302</v>
      </c>
      <c r="AM3417">
        <v>88.818675152783499</v>
      </c>
      <c r="AN3417">
        <v>0.99999998385806699</v>
      </c>
    </row>
    <row r="3418" spans="1:40" x14ac:dyDescent="0.25">
      <c r="A3418" t="str">
        <f>"20190303154538402"</f>
        <v>20190303154538402</v>
      </c>
      <c r="B3418" t="str">
        <f>"1551599138393981"</f>
        <v>1551599138393981</v>
      </c>
      <c r="C3418" t="s">
        <v>40</v>
      </c>
      <c r="D3418">
        <v>4.9554210000000003</v>
      </c>
      <c r="E3418">
        <v>0.53633399999999998</v>
      </c>
      <c r="F3418" t="s">
        <v>42</v>
      </c>
      <c r="G3418">
        <v>-279.06659999999999</v>
      </c>
      <c r="H3418">
        <v>0.96937580000000001</v>
      </c>
      <c r="I3418">
        <v>214.29920000000001</v>
      </c>
      <c r="J3418">
        <v>-279.51150000000001</v>
      </c>
      <c r="K3418">
        <v>1.120754</v>
      </c>
      <c r="L3418">
        <v>214.38249999999999</v>
      </c>
      <c r="M3418">
        <v>0.99990769999999995</v>
      </c>
      <c r="N3418">
        <v>-1.3472100000000001E-2</v>
      </c>
      <c r="O3418">
        <v>1.8527820000000001E-3</v>
      </c>
      <c r="P3418">
        <v>0.98927279999999995</v>
      </c>
      <c r="Q3418">
        <v>-0.14487120000000001</v>
      </c>
      <c r="R3418">
        <v>-1.87698E-2</v>
      </c>
      <c r="S3418">
        <v>2.933319</v>
      </c>
      <c r="T3418">
        <v>-0.63312469999999998</v>
      </c>
      <c r="U3418">
        <v>-0.34634399999999999</v>
      </c>
      <c r="V3418">
        <v>2.060522E-2</v>
      </c>
      <c r="W3418">
        <v>-0.13153049999999999</v>
      </c>
      <c r="X3418">
        <v>0.99109789999999998</v>
      </c>
      <c r="Y3418">
        <v>0.11624959999999999</v>
      </c>
      <c r="Z3418">
        <v>-1.35259E-2</v>
      </c>
      <c r="AA3418">
        <v>0.99312789999999995</v>
      </c>
      <c r="AB3418">
        <v>27</v>
      </c>
      <c r="AC3418">
        <v>0.444900000000018</v>
      </c>
      <c r="AD3418">
        <v>-0.15137819999999999</v>
      </c>
      <c r="AE3418">
        <v>-8.3299999999979904E-2</v>
      </c>
      <c r="AF3418">
        <v>7.5661462214569E-2</v>
      </c>
      <c r="AG3418">
        <v>-0.15137819999999999</v>
      </c>
      <c r="AH3418">
        <v>0.40000421515267398</v>
      </c>
      <c r="AI3418">
        <v>110.39754625107101</v>
      </c>
      <c r="AJ3418">
        <v>79.288952825634496</v>
      </c>
      <c r="AK3418">
        <v>0.43433096647555902</v>
      </c>
      <c r="AL3418">
        <v>97.558043409907995</v>
      </c>
      <c r="AM3418">
        <v>88.808975291224996</v>
      </c>
      <c r="AN3418">
        <v>0.99999994745295195</v>
      </c>
    </row>
    <row r="3419" spans="1:40" x14ac:dyDescent="0.25">
      <c r="A3419" t="str">
        <f>"20190303154538426"</f>
        <v>20190303154538426</v>
      </c>
      <c r="B3419" t="str">
        <f>"1551599138414477"</f>
        <v>1551599138414477</v>
      </c>
      <c r="C3419" t="s">
        <v>40</v>
      </c>
      <c r="D3419">
        <v>4.9099180000000002</v>
      </c>
      <c r="E3419">
        <v>0.53708140000000004</v>
      </c>
      <c r="F3419" t="s">
        <v>42</v>
      </c>
      <c r="G3419">
        <v>-278.6105</v>
      </c>
      <c r="H3419">
        <v>0.92428049999999995</v>
      </c>
      <c r="I3419">
        <v>214.27459999999999</v>
      </c>
      <c r="J3419">
        <v>-279.23009999999999</v>
      </c>
      <c r="K3419">
        <v>1.120757</v>
      </c>
      <c r="L3419">
        <v>214.38310000000001</v>
      </c>
      <c r="M3419">
        <v>0.99990650000000003</v>
      </c>
      <c r="N3419">
        <v>-1.354171E-2</v>
      </c>
      <c r="O3419">
        <v>1.8861629999999999E-3</v>
      </c>
      <c r="P3419">
        <v>0.98926809999999998</v>
      </c>
      <c r="Q3419">
        <v>-0.14497650000000001</v>
      </c>
      <c r="R3419">
        <v>-1.817761E-2</v>
      </c>
      <c r="S3419">
        <v>2.93222</v>
      </c>
      <c r="T3419">
        <v>-0.63934349999999995</v>
      </c>
      <c r="U3419">
        <v>-0.35098269999999998</v>
      </c>
      <c r="V3419">
        <v>2.0046100000000001E-2</v>
      </c>
      <c r="W3419">
        <v>-0.13156699999999999</v>
      </c>
      <c r="X3419">
        <v>0.9911046</v>
      </c>
      <c r="Y3419">
        <v>0.11778039999999899</v>
      </c>
      <c r="Z3419">
        <v>-1.3837749999999999E-2</v>
      </c>
      <c r="AA3419">
        <v>0.99294320000000003</v>
      </c>
      <c r="AB3419">
        <v>27</v>
      </c>
      <c r="AC3419">
        <v>0.61959999999999105</v>
      </c>
      <c r="AD3419">
        <v>-0.196476499999999</v>
      </c>
      <c r="AE3419">
        <v>-0.10850000000002</v>
      </c>
      <c r="AF3419">
        <v>9.9920161586484701E-2</v>
      </c>
      <c r="AG3419">
        <v>-0.196476499999999</v>
      </c>
      <c r="AH3419">
        <v>0.56433639550678605</v>
      </c>
      <c r="AI3419">
        <v>108.922880903752</v>
      </c>
      <c r="AJ3419">
        <v>79.959394749439497</v>
      </c>
      <c r="AK3419">
        <v>0.60585693116222705</v>
      </c>
      <c r="AL3419">
        <v>97.560152450515304</v>
      </c>
      <c r="AM3419">
        <v>88.841292490843202</v>
      </c>
      <c r="AN3419">
        <v>1.0000000248776799</v>
      </c>
    </row>
    <row r="3420" spans="1:40" x14ac:dyDescent="0.25">
      <c r="A3420" t="str">
        <f>"20190303154538471"</f>
        <v>20190303154538471</v>
      </c>
      <c r="B3420" t="str">
        <f>"1551599138464253"</f>
        <v>1551599138464253</v>
      </c>
      <c r="C3420" t="s">
        <v>40</v>
      </c>
      <c r="D3420">
        <v>4.8543830000000003</v>
      </c>
      <c r="E3420">
        <v>0.54718230000000001</v>
      </c>
      <c r="F3420" t="s">
        <v>42</v>
      </c>
      <c r="G3420">
        <v>-278.36900000000003</v>
      </c>
      <c r="H3420">
        <v>0.93169120000000005</v>
      </c>
      <c r="I3420">
        <v>214.27860000000001</v>
      </c>
      <c r="J3420">
        <v>-278.69310000000002</v>
      </c>
      <c r="K3420">
        <v>1.120771</v>
      </c>
      <c r="L3420">
        <v>214.38419999999999</v>
      </c>
      <c r="M3420">
        <v>0.99990489999999999</v>
      </c>
      <c r="N3420">
        <v>-1.3650529999999999E-2</v>
      </c>
      <c r="O3420">
        <v>1.9497309999999999E-3</v>
      </c>
      <c r="P3420">
        <v>0.98927010000000004</v>
      </c>
      <c r="Q3420">
        <v>-0.1449684</v>
      </c>
      <c r="R3420">
        <v>-1.8137549999999999E-2</v>
      </c>
      <c r="S3420">
        <v>2.9316710000000001</v>
      </c>
      <c r="T3420">
        <v>-0.64373789999999997</v>
      </c>
      <c r="U3420">
        <v>-0.35494999999999999</v>
      </c>
      <c r="V3420">
        <v>2.006898E-2</v>
      </c>
      <c r="W3420">
        <v>-0.13145100000000001</v>
      </c>
      <c r="X3420">
        <v>0.99111950000000004</v>
      </c>
      <c r="Y3420">
        <v>0.11911430000000001</v>
      </c>
      <c r="Z3420">
        <v>-1.409965E-2</v>
      </c>
      <c r="AA3420">
        <v>0.99278040000000001</v>
      </c>
      <c r="AB3420">
        <v>27</v>
      </c>
      <c r="AC3420">
        <v>0.32409999999998701</v>
      </c>
      <c r="AD3420">
        <v>-0.18907979999999899</v>
      </c>
      <c r="AE3420">
        <v>-0.105599999999981</v>
      </c>
      <c r="AF3420">
        <v>8.12361986225653E-2</v>
      </c>
      <c r="AG3420">
        <v>-0.18907979999999899</v>
      </c>
      <c r="AH3420">
        <v>0.247683677976304</v>
      </c>
      <c r="AI3420">
        <v>125.95612547738899</v>
      </c>
      <c r="AJ3420">
        <v>71.841354938086894</v>
      </c>
      <c r="AK3420">
        <v>0.322021264935336</v>
      </c>
      <c r="AL3420">
        <v>97.553448128144595</v>
      </c>
      <c r="AM3420">
        <v>88.839987773567401</v>
      </c>
      <c r="AN3420">
        <v>0.99999999631974501</v>
      </c>
    </row>
    <row r="3421" spans="1:40" x14ac:dyDescent="0.25">
      <c r="A3421" t="str">
        <f>"20190303154538494"</f>
        <v>20190303154538494</v>
      </c>
      <c r="B3421" t="str">
        <f>"1551599138483773"</f>
        <v>1551599138483773</v>
      </c>
      <c r="C3421" t="s">
        <v>40</v>
      </c>
      <c r="D3421">
        <v>4.796519</v>
      </c>
      <c r="E3421">
        <v>0.54735669999999903</v>
      </c>
      <c r="F3421" t="s">
        <v>42</v>
      </c>
      <c r="G3421">
        <v>-277.9058</v>
      </c>
      <c r="H3421">
        <v>0.90351199999999998</v>
      </c>
      <c r="I3421">
        <v>214.26480000000001</v>
      </c>
      <c r="J3421">
        <v>-278.41719999999998</v>
      </c>
      <c r="K3421">
        <v>1.1207750000000001</v>
      </c>
      <c r="L3421">
        <v>214.38480000000001</v>
      </c>
      <c r="M3421">
        <v>0.99990440000000003</v>
      </c>
      <c r="N3421">
        <v>-1.369545E-2</v>
      </c>
      <c r="O3421">
        <v>1.98262E-3</v>
      </c>
      <c r="P3421">
        <v>0.98928709999999997</v>
      </c>
      <c r="Q3421">
        <v>-0.14485209999999901</v>
      </c>
      <c r="R3421">
        <v>-1.8152870000000002E-2</v>
      </c>
      <c r="S3421">
        <v>2.9069210000000001</v>
      </c>
      <c r="T3421">
        <v>-0.80209209999999997</v>
      </c>
      <c r="U3421">
        <v>-0.43994139999999998</v>
      </c>
      <c r="V3421">
        <v>2.0116709999999999E-2</v>
      </c>
      <c r="W3421">
        <v>-0.13128989999999999</v>
      </c>
      <c r="X3421">
        <v>0.99113989999999996</v>
      </c>
      <c r="Y3421">
        <v>0.14592069999999999</v>
      </c>
      <c r="Z3421">
        <v>-2.1187810000000001E-2</v>
      </c>
      <c r="AA3421">
        <v>0.98906939999999999</v>
      </c>
      <c r="AB3421">
        <v>27</v>
      </c>
      <c r="AC3421">
        <v>0.51139999999997998</v>
      </c>
      <c r="AD3421">
        <v>-0.21726300000000001</v>
      </c>
      <c r="AE3421">
        <v>-0.12000000000000401</v>
      </c>
      <c r="AF3421">
        <v>0.10333611015336799</v>
      </c>
      <c r="AG3421">
        <v>-0.21726300000000001</v>
      </c>
      <c r="AH3421">
        <v>0.43649078114051398</v>
      </c>
      <c r="AI3421">
        <v>115.84373062999001</v>
      </c>
      <c r="AJ3421">
        <v>76.680848905615207</v>
      </c>
      <c r="AK3421">
        <v>0.49840321512936198</v>
      </c>
      <c r="AL3421">
        <v>97.544136973924495</v>
      </c>
      <c r="AM3421">
        <v>88.837253602200093</v>
      </c>
      <c r="AN3421">
        <v>1.0000000106176199</v>
      </c>
    </row>
    <row r="3422" spans="1:40" x14ac:dyDescent="0.25">
      <c r="A3422" t="str">
        <f>"20190303154538515"</f>
        <v>20190303154538515</v>
      </c>
      <c r="B3422" t="str">
        <f>"1551599138504269"</f>
        <v>1551599138504269</v>
      </c>
      <c r="C3422" t="s">
        <v>40</v>
      </c>
      <c r="D3422">
        <v>4.7716560000000001</v>
      </c>
      <c r="E3422">
        <v>0.54765699999999995</v>
      </c>
      <c r="F3422" t="s">
        <v>42</v>
      </c>
      <c r="G3422">
        <v>-277.66379999999998</v>
      </c>
      <c r="H3422">
        <v>0.91499889999999995</v>
      </c>
      <c r="I3422">
        <v>214.2704</v>
      </c>
      <c r="J3422">
        <v>-278.16460000000001</v>
      </c>
      <c r="K3422">
        <v>1.1207769999999999</v>
      </c>
      <c r="L3422">
        <v>214.3853</v>
      </c>
      <c r="M3422">
        <v>0.99990369999999995</v>
      </c>
      <c r="N3422">
        <v>-1.373096E-2</v>
      </c>
      <c r="O3422">
        <v>2.0126530000000001E-3</v>
      </c>
      <c r="P3422">
        <v>0.98929440000000002</v>
      </c>
      <c r="Q3422">
        <v>-0.1448035</v>
      </c>
      <c r="R3422">
        <v>-1.8133E-2</v>
      </c>
      <c r="S3422">
        <v>2.9080810000000001</v>
      </c>
      <c r="T3422">
        <v>-0.79439720000000003</v>
      </c>
      <c r="U3422">
        <v>-0.4411774</v>
      </c>
      <c r="V3422">
        <v>2.012682E-2</v>
      </c>
      <c r="W3422">
        <v>-0.13120599999999999</v>
      </c>
      <c r="X3422">
        <v>0.9911508</v>
      </c>
      <c r="Y3422">
        <v>0.1463922</v>
      </c>
      <c r="Z3422">
        <v>-2.1068750000000001E-2</v>
      </c>
      <c r="AA3422">
        <v>0.98900220000000005</v>
      </c>
      <c r="AB3422">
        <v>27</v>
      </c>
      <c r="AC3422">
        <v>0.500800000000026</v>
      </c>
      <c r="AD3422">
        <v>-0.20577809999999999</v>
      </c>
      <c r="AE3422">
        <v>-0.114900000000005</v>
      </c>
      <c r="AF3422">
        <v>9.9886528840935296E-2</v>
      </c>
      <c r="AG3422">
        <v>-0.20577809999999999</v>
      </c>
      <c r="AH3422">
        <v>0.431377107195764</v>
      </c>
      <c r="AI3422">
        <v>114.92570871501</v>
      </c>
      <c r="AJ3422">
        <v>76.962771379690693</v>
      </c>
      <c r="AK3422">
        <v>0.48827057426808601</v>
      </c>
      <c r="AL3422">
        <v>97.539287947918794</v>
      </c>
      <c r="AM3422">
        <v>88.836682194466604</v>
      </c>
      <c r="AN3422">
        <v>1.0000000058299701</v>
      </c>
    </row>
    <row r="3423" spans="1:40" x14ac:dyDescent="0.25">
      <c r="A3423" t="str">
        <f>"20190303154538537"</f>
        <v>20190303154538537</v>
      </c>
      <c r="B3423" t="str">
        <f>"1551599138534525"</f>
        <v>1551599138534525</v>
      </c>
      <c r="C3423" t="s">
        <v>40</v>
      </c>
      <c r="D3423">
        <v>4.7413639999999999</v>
      </c>
      <c r="E3423">
        <v>0.54799129999999996</v>
      </c>
      <c r="F3423" t="s">
        <v>42</v>
      </c>
      <c r="G3423">
        <v>-277.42469999999997</v>
      </c>
      <c r="H3423">
        <v>0.9200121</v>
      </c>
      <c r="I3423">
        <v>214.2722</v>
      </c>
      <c r="J3423">
        <v>-277.90879999999999</v>
      </c>
      <c r="K3423">
        <v>1.1207780000000001</v>
      </c>
      <c r="L3423">
        <v>214.38579999999999</v>
      </c>
      <c r="M3423">
        <v>0.99990330000000005</v>
      </c>
      <c r="N3423">
        <v>-1.3762180000000001E-2</v>
      </c>
      <c r="O3423">
        <v>2.0427760000000001E-3</v>
      </c>
      <c r="P3423">
        <v>0.98934860000000002</v>
      </c>
      <c r="Q3423">
        <v>-0.14449049999999999</v>
      </c>
      <c r="R3423">
        <v>-1.7662310000000001E-2</v>
      </c>
      <c r="S3423">
        <v>2.9087830000000001</v>
      </c>
      <c r="T3423">
        <v>-0.78930080000000002</v>
      </c>
      <c r="U3423">
        <v>-0.44352720000000001</v>
      </c>
      <c r="V3423">
        <v>1.9685899999999999E-2</v>
      </c>
      <c r="W3423">
        <v>-0.13086139999999999</v>
      </c>
      <c r="X3423">
        <v>0.99120520000000001</v>
      </c>
      <c r="Y3423">
        <v>0.14720749999999999</v>
      </c>
      <c r="Z3423">
        <v>-2.1062190000000001E-2</v>
      </c>
      <c r="AA3423">
        <v>0.98888129999999996</v>
      </c>
      <c r="AB3423">
        <v>27</v>
      </c>
      <c r="AC3423">
        <v>0.48410000000001202</v>
      </c>
      <c r="AD3423">
        <v>-0.2007659</v>
      </c>
      <c r="AE3423">
        <v>-0.113599999999991</v>
      </c>
      <c r="AF3423">
        <v>9.8527255635007902E-2</v>
      </c>
      <c r="AG3423">
        <v>-0.2007659</v>
      </c>
      <c r="AH3423">
        <v>0.41604496605305902</v>
      </c>
      <c r="AI3423">
        <v>115.153356039344</v>
      </c>
      <c r="AJ3423">
        <v>76.676734936105603</v>
      </c>
      <c r="AK3423">
        <v>0.47234307498243999</v>
      </c>
      <c r="AL3423">
        <v>97.519372191244301</v>
      </c>
      <c r="AM3423">
        <v>88.862222755311095</v>
      </c>
      <c r="AN3423">
        <v>0.99999999458790501</v>
      </c>
    </row>
    <row r="3424" spans="1:40" x14ac:dyDescent="0.25">
      <c r="A3424" t="str">
        <f>"20190303154538558"</f>
        <v>20190303154538558</v>
      </c>
      <c r="B3424" t="str">
        <f>"1551599138554046"</f>
        <v>1551599138554046</v>
      </c>
      <c r="C3424" t="s">
        <v>40</v>
      </c>
      <c r="D3424">
        <v>4.7108650000000001</v>
      </c>
      <c r="E3424">
        <v>0.54830009999999996</v>
      </c>
      <c r="F3424" t="s">
        <v>42</v>
      </c>
      <c r="G3424">
        <v>-277.18529999999998</v>
      </c>
      <c r="H3424">
        <v>0.92579520000000004</v>
      </c>
      <c r="I3424">
        <v>214.27510000000001</v>
      </c>
      <c r="J3424">
        <v>-277.64749999999998</v>
      </c>
      <c r="K3424">
        <v>1.1207780000000001</v>
      </c>
      <c r="L3424">
        <v>214.38640000000001</v>
      </c>
      <c r="M3424">
        <v>0.99990279999999998</v>
      </c>
      <c r="N3424">
        <v>-1.37897E-2</v>
      </c>
      <c r="O3424">
        <v>2.0737580000000002E-3</v>
      </c>
      <c r="P3424">
        <v>0.9893748</v>
      </c>
      <c r="Q3424">
        <v>-0.14433270000000001</v>
      </c>
      <c r="R3424">
        <v>-1.748241E-2</v>
      </c>
      <c r="S3424">
        <v>2.909821</v>
      </c>
      <c r="T3424">
        <v>-0.78421509999999905</v>
      </c>
      <c r="U3424">
        <v>-0.44480900000000001</v>
      </c>
      <c r="V3424">
        <v>1.9536680000000001E-2</v>
      </c>
      <c r="W3424">
        <v>-0.13067599999999999</v>
      </c>
      <c r="X3424">
        <v>0.99123260000000002</v>
      </c>
      <c r="Y3424">
        <v>0.1476654</v>
      </c>
      <c r="Z3424">
        <v>-2.1003040000000001E-2</v>
      </c>
      <c r="AA3424">
        <v>0.98881439999999998</v>
      </c>
      <c r="AB3424">
        <v>27</v>
      </c>
      <c r="AC3424">
        <v>0.462199999999995</v>
      </c>
      <c r="AD3424">
        <v>-0.19498280000000001</v>
      </c>
      <c r="AE3424">
        <v>-0.111299999999999</v>
      </c>
      <c r="AF3424">
        <v>9.6094298693207097E-2</v>
      </c>
      <c r="AG3424">
        <v>-0.19498280000000001</v>
      </c>
      <c r="AH3424">
        <v>0.39544952034332798</v>
      </c>
      <c r="AI3424">
        <v>115.600162365855</v>
      </c>
      <c r="AJ3424">
        <v>76.341842948010594</v>
      </c>
      <c r="AK3424">
        <v>0.45125683338532102</v>
      </c>
      <c r="AL3424">
        <v>97.508657632931701</v>
      </c>
      <c r="AM3424">
        <v>88.870876120585706</v>
      </c>
      <c r="AN3424">
        <v>0.99999998307209104</v>
      </c>
    </row>
    <row r="3425" spans="1:40" x14ac:dyDescent="0.25">
      <c r="A3425" t="str">
        <f>"20190303154538581"</f>
        <v>20190303154538581</v>
      </c>
      <c r="B3425" t="str">
        <f>"1551599138574546"</f>
        <v>1551599138574546</v>
      </c>
      <c r="C3425" t="s">
        <v>40</v>
      </c>
      <c r="D3425">
        <v>4.693092</v>
      </c>
      <c r="E3425">
        <v>0.54871130000000001</v>
      </c>
      <c r="F3425" t="s">
        <v>42</v>
      </c>
      <c r="G3425">
        <v>-276.94600000000003</v>
      </c>
      <c r="H3425">
        <v>0.93238319999999997</v>
      </c>
      <c r="I3425">
        <v>214.2784</v>
      </c>
      <c r="J3425">
        <v>-277.3913</v>
      </c>
      <c r="K3425">
        <v>1.1207819999999999</v>
      </c>
      <c r="L3425">
        <v>214.387</v>
      </c>
      <c r="M3425">
        <v>0.99990239999999997</v>
      </c>
      <c r="N3425">
        <v>-1.3812799999999899E-2</v>
      </c>
      <c r="O3425">
        <v>2.1038749999999998E-3</v>
      </c>
      <c r="P3425">
        <v>0.98938219999999999</v>
      </c>
      <c r="Q3425">
        <v>-0.14428440000000001</v>
      </c>
      <c r="R3425">
        <v>-1.7461040000000001E-2</v>
      </c>
      <c r="S3425">
        <v>2.9103089999999998</v>
      </c>
      <c r="T3425">
        <v>-0.78148149999999905</v>
      </c>
      <c r="U3425">
        <v>-0.44700620000000002</v>
      </c>
      <c r="V3425">
        <v>1.9545159999999999E-2</v>
      </c>
      <c r="W3425">
        <v>-0.13060469999999999</v>
      </c>
      <c r="X3425">
        <v>0.99124190000000001</v>
      </c>
      <c r="Y3425">
        <v>0.1484104</v>
      </c>
      <c r="Z3425">
        <v>-2.1043570000000001E-2</v>
      </c>
      <c r="AA3425">
        <v>0.98870190000000002</v>
      </c>
      <c r="AB3425">
        <v>26</v>
      </c>
      <c r="AC3425">
        <v>0.445300000000031</v>
      </c>
      <c r="AD3425">
        <v>-0.18839879999999901</v>
      </c>
      <c r="AE3425">
        <v>-0.10859999999999501</v>
      </c>
      <c r="AF3425">
        <v>9.37051827966114E-2</v>
      </c>
      <c r="AG3425">
        <v>-0.18839879999999901</v>
      </c>
      <c r="AH3425">
        <v>0.38074373186913701</v>
      </c>
      <c r="AI3425">
        <v>115.66336750621799</v>
      </c>
      <c r="AJ3425">
        <v>76.173669068668602</v>
      </c>
      <c r="AK3425">
        <v>0.43501788294508498</v>
      </c>
      <c r="AL3425">
        <v>97.5045366053604</v>
      </c>
      <c r="AM3425">
        <v>88.870396740800103</v>
      </c>
      <c r="AN3425">
        <v>1.00000005262856</v>
      </c>
    </row>
    <row r="3426" spans="1:40" x14ac:dyDescent="0.25">
      <c r="A3426" t="str">
        <f>"20190303154538603"</f>
        <v>20190303154538603</v>
      </c>
      <c r="B3426" t="str">
        <f>"1551599138594061"</f>
        <v>1551599138594061</v>
      </c>
      <c r="C3426" t="s">
        <v>40</v>
      </c>
      <c r="D3426">
        <v>4.7799500000000004</v>
      </c>
      <c r="E3426">
        <v>0.54890260000000002</v>
      </c>
      <c r="F3426" t="s">
        <v>42</v>
      </c>
      <c r="G3426">
        <v>-276.70749999999998</v>
      </c>
      <c r="H3426">
        <v>0.93761380000000005</v>
      </c>
      <c r="I3426">
        <v>214.28120000000001</v>
      </c>
      <c r="J3426">
        <v>-277.12860000000001</v>
      </c>
      <c r="K3426">
        <v>1.120787</v>
      </c>
      <c r="L3426">
        <v>214.38759999999999</v>
      </c>
      <c r="M3426">
        <v>0.99990210000000002</v>
      </c>
      <c r="N3426">
        <v>-1.3832809999999999E-2</v>
      </c>
      <c r="O3426">
        <v>2.1349070000000001E-3</v>
      </c>
      <c r="P3426">
        <v>0.98944310000000002</v>
      </c>
      <c r="Q3426">
        <v>-0.14383979999999999</v>
      </c>
      <c r="R3426">
        <v>-1.767929E-2</v>
      </c>
      <c r="S3426">
        <v>2.9105829999999999</v>
      </c>
      <c r="T3426">
        <v>-0.77969630000000001</v>
      </c>
      <c r="U3426">
        <v>-0.44987490000000002</v>
      </c>
      <c r="V3426">
        <v>1.979421E-2</v>
      </c>
      <c r="W3426">
        <v>-0.13013949999999999</v>
      </c>
      <c r="X3426">
        <v>0.99129809999999996</v>
      </c>
      <c r="Y3426">
        <v>0.14936859999999999</v>
      </c>
      <c r="Z3426">
        <v>-2.113752E-2</v>
      </c>
      <c r="AA3426">
        <v>0.98855559999999998</v>
      </c>
      <c r="AB3426">
        <v>26</v>
      </c>
      <c r="AC3426">
        <v>0.42110000000002401</v>
      </c>
      <c r="AD3426">
        <v>-0.18317319999999901</v>
      </c>
      <c r="AE3426">
        <v>-0.106399999999979</v>
      </c>
      <c r="AF3426">
        <v>9.1096516474196698E-2</v>
      </c>
      <c r="AG3426">
        <v>-0.18317319999999901</v>
      </c>
      <c r="AH3426">
        <v>0.35731939090978199</v>
      </c>
      <c r="AI3426">
        <v>116.41554003713</v>
      </c>
      <c r="AJ3426">
        <v>75.697448561186704</v>
      </c>
      <c r="AK3426">
        <v>0.41173795505407401</v>
      </c>
      <c r="AL3426">
        <v>97.477653471649901</v>
      </c>
      <c r="AM3426">
        <v>88.856071654742493</v>
      </c>
      <c r="AN3426">
        <v>1.0000000116366901</v>
      </c>
    </row>
    <row r="3427" spans="1:40" x14ac:dyDescent="0.25">
      <c r="A3427" t="str">
        <f>"20190303154538627"</f>
        <v>20190303154538627</v>
      </c>
      <c r="B3427" t="str">
        <f>"1551599138614557"</f>
        <v>1551599138614557</v>
      </c>
      <c r="C3427" t="s">
        <v>40</v>
      </c>
      <c r="D3427">
        <v>4.6023040000000002</v>
      </c>
      <c r="E3427">
        <v>0.548849699999999</v>
      </c>
      <c r="F3427" t="s">
        <v>42</v>
      </c>
      <c r="G3427">
        <v>-276.25709999999998</v>
      </c>
      <c r="H3427">
        <v>0.88773539999999995</v>
      </c>
      <c r="I3427">
        <v>214.25200000000001</v>
      </c>
      <c r="J3427">
        <v>-276.85640000000001</v>
      </c>
      <c r="K3427">
        <v>1.120795</v>
      </c>
      <c r="L3427">
        <v>214.38820000000001</v>
      </c>
      <c r="M3427">
        <v>0.9999017</v>
      </c>
      <c r="N3427">
        <v>-1.3850309999999999E-2</v>
      </c>
      <c r="O3427">
        <v>2.1670880000000002E-3</v>
      </c>
      <c r="P3427">
        <v>0.98956759999999999</v>
      </c>
      <c r="Q3427">
        <v>-0.1430022</v>
      </c>
      <c r="R3427">
        <v>-1.7501099999999999E-2</v>
      </c>
      <c r="S3427">
        <v>2.9107669999999999</v>
      </c>
      <c r="T3427">
        <v>-0.77833209999999997</v>
      </c>
      <c r="U3427">
        <v>-0.45222469999999998</v>
      </c>
      <c r="V3427">
        <v>1.964807E-2</v>
      </c>
      <c r="W3427">
        <v>-0.1292828</v>
      </c>
      <c r="X3427">
        <v>0.99141310000000005</v>
      </c>
      <c r="Y3427">
        <v>0.15016019999999999</v>
      </c>
      <c r="Z3427">
        <v>-2.1219439999999999E-2</v>
      </c>
      <c r="AA3427">
        <v>0.98843400000000003</v>
      </c>
      <c r="AB3427">
        <v>26</v>
      </c>
      <c r="AC3427">
        <v>0.59930000000002703</v>
      </c>
      <c r="AD3427">
        <v>-0.23305960000000001</v>
      </c>
      <c r="AE3427">
        <v>-0.13620000000000199</v>
      </c>
      <c r="AF3427">
        <v>0.120211506761077</v>
      </c>
      <c r="AG3427">
        <v>-0.23305960000000001</v>
      </c>
      <c r="AH3427">
        <v>0.52369357359064805</v>
      </c>
      <c r="AI3427">
        <v>113.448778266172</v>
      </c>
      <c r="AJ3427">
        <v>77.071970148792602</v>
      </c>
      <c r="AK3427">
        <v>0.58568126359827499</v>
      </c>
      <c r="AL3427">
        <v>97.428149959627305</v>
      </c>
      <c r="AM3427">
        <v>88.864646697912804</v>
      </c>
      <c r="AN3427">
        <v>1.0000000119410799</v>
      </c>
    </row>
    <row r="3428" spans="1:40" x14ac:dyDescent="0.25">
      <c r="A3428" t="str">
        <f>"20190303154538651"</f>
        <v>20190303154538651</v>
      </c>
      <c r="B3428" t="str">
        <f>"1551599138643837"</f>
        <v>1551599138643837</v>
      </c>
      <c r="C3428" t="s">
        <v>40</v>
      </c>
      <c r="D3428">
        <v>4.6875710000000002</v>
      </c>
      <c r="E3428">
        <v>0.54898809999999998</v>
      </c>
      <c r="F3428" t="s">
        <v>42</v>
      </c>
      <c r="G3428">
        <v>-276.01670000000001</v>
      </c>
      <c r="H3428">
        <v>0.90041919999999898</v>
      </c>
      <c r="I3428">
        <v>214.25800000000001</v>
      </c>
      <c r="J3428">
        <v>-276.56400000000002</v>
      </c>
      <c r="K3428">
        <v>1.1208</v>
      </c>
      <c r="L3428">
        <v>214.38890000000001</v>
      </c>
      <c r="M3428">
        <v>0.9999015</v>
      </c>
      <c r="N3428">
        <v>-1.386594E-2</v>
      </c>
      <c r="O3428">
        <v>2.2015469999999999E-3</v>
      </c>
      <c r="P3428">
        <v>0.98974209999999996</v>
      </c>
      <c r="Q3428">
        <v>-0.1418198</v>
      </c>
      <c r="R3428">
        <v>-1.725668E-2</v>
      </c>
      <c r="S3428">
        <v>2.9131469999999999</v>
      </c>
      <c r="T3428">
        <v>-0.76454949999999999</v>
      </c>
      <c r="U3428">
        <v>-0.45135500000000001</v>
      </c>
      <c r="V3428">
        <v>1.9437969999999999E-2</v>
      </c>
      <c r="W3428">
        <v>-0.1280828</v>
      </c>
      <c r="X3428">
        <v>0.99157300000000004</v>
      </c>
      <c r="Y3428">
        <v>0.1499819</v>
      </c>
      <c r="Z3428">
        <v>-2.084329E-2</v>
      </c>
      <c r="AA3428">
        <v>0.98846900000000004</v>
      </c>
      <c r="AB3428">
        <v>26</v>
      </c>
      <c r="AC3428">
        <v>0.547300000000007</v>
      </c>
      <c r="AD3428">
        <v>-0.22038079999999999</v>
      </c>
      <c r="AE3428">
        <v>-0.130900000000025</v>
      </c>
      <c r="AF3428">
        <v>0.114538105502868</v>
      </c>
      <c r="AG3428">
        <v>-0.22038079999999999</v>
      </c>
      <c r="AH3428">
        <v>0.47427184422152702</v>
      </c>
      <c r="AI3428">
        <v>114.30805331277899</v>
      </c>
      <c r="AJ3428">
        <v>76.422865398013101</v>
      </c>
      <c r="AK3428">
        <v>0.53536945826421101</v>
      </c>
      <c r="AL3428">
        <v>97.358818479639893</v>
      </c>
      <c r="AM3428">
        <v>88.876965170122006</v>
      </c>
      <c r="AN3428">
        <v>1.00000002633128</v>
      </c>
    </row>
    <row r="3429" spans="1:40" x14ac:dyDescent="0.25">
      <c r="A3429" t="str">
        <f>"20190303154538674"</f>
        <v>20190303154538674</v>
      </c>
      <c r="B3429" t="str">
        <f>"1551599138664333"</f>
        <v>1551599138664333</v>
      </c>
      <c r="C3429" t="s">
        <v>40</v>
      </c>
      <c r="D3429">
        <v>4.6767329999999996</v>
      </c>
      <c r="E3429">
        <v>0.54917640000000001</v>
      </c>
      <c r="F3429" t="s">
        <v>42</v>
      </c>
      <c r="G3429">
        <v>-275.77499999999998</v>
      </c>
      <c r="H3429">
        <v>0.91700099999999996</v>
      </c>
      <c r="I3429">
        <v>214.26660000000001</v>
      </c>
      <c r="J3429">
        <v>-276.29500000000002</v>
      </c>
      <c r="K3429">
        <v>1.1208100000000001</v>
      </c>
      <c r="L3429">
        <v>214.3895</v>
      </c>
      <c r="M3429">
        <v>0.99990120000000005</v>
      </c>
      <c r="N3429">
        <v>-1.387788E-2</v>
      </c>
      <c r="O3429">
        <v>2.233409E-3</v>
      </c>
      <c r="P3429">
        <v>0.98980619999999997</v>
      </c>
      <c r="Q3429">
        <v>-0.1414174</v>
      </c>
      <c r="R3429">
        <v>-1.687835E-2</v>
      </c>
      <c r="S3429">
        <v>2.9153440000000002</v>
      </c>
      <c r="T3429">
        <v>-0.75306509999999904</v>
      </c>
      <c r="U3429">
        <v>-0.45118710000000001</v>
      </c>
      <c r="V3429">
        <v>1.909143E-2</v>
      </c>
      <c r="W3429">
        <v>-0.12766759999999999</v>
      </c>
      <c r="X3429">
        <v>0.99163319999999999</v>
      </c>
      <c r="Y3429">
        <v>0.15000250000000001</v>
      </c>
      <c r="Z3429">
        <v>-2.055181E-2</v>
      </c>
      <c r="AA3429">
        <v>0.98847200000000002</v>
      </c>
      <c r="AB3429">
        <v>26</v>
      </c>
      <c r="AC3429">
        <v>0.52000000000003799</v>
      </c>
      <c r="AD3429">
        <v>-0.20380899999999999</v>
      </c>
      <c r="AE3429">
        <v>-0.12289999999998701</v>
      </c>
      <c r="AF3429">
        <v>0.108304001514662</v>
      </c>
      <c r="AG3429">
        <v>-0.20380899999999999</v>
      </c>
      <c r="AH3429">
        <v>0.45371332462257402</v>
      </c>
      <c r="AI3429">
        <v>113.601789837108</v>
      </c>
      <c r="AJ3429">
        <v>76.574401006400805</v>
      </c>
      <c r="AK3429">
        <v>0.50904189038345005</v>
      </c>
      <c r="AL3429">
        <v>97.334832907833004</v>
      </c>
      <c r="AM3429">
        <v>88.897048581716206</v>
      </c>
      <c r="AN3429">
        <v>0.99999995106572104</v>
      </c>
    </row>
    <row r="3430" spans="1:40" x14ac:dyDescent="0.25">
      <c r="A3430" t="str">
        <f>"20190303154538692"</f>
        <v>20190303154538692</v>
      </c>
      <c r="B3430" t="str">
        <f>"1551599138683853"</f>
        <v>1551599138683853</v>
      </c>
      <c r="C3430" t="s">
        <v>40</v>
      </c>
      <c r="D3430">
        <v>4.7189249999999996</v>
      </c>
      <c r="E3430">
        <v>0.54925299999999999</v>
      </c>
      <c r="F3430" t="s">
        <v>42</v>
      </c>
      <c r="G3430">
        <v>-275.5369</v>
      </c>
      <c r="H3430">
        <v>0.92497149999999995</v>
      </c>
      <c r="I3430">
        <v>214.27170000000001</v>
      </c>
      <c r="J3430">
        <v>-276.07389999999998</v>
      </c>
      <c r="K3430">
        <v>1.120816</v>
      </c>
      <c r="L3430">
        <v>214.39</v>
      </c>
      <c r="M3430">
        <v>0.99990109999999999</v>
      </c>
      <c r="N3430">
        <v>-1.388619E-2</v>
      </c>
      <c r="O3430">
        <v>2.2596349999999999E-3</v>
      </c>
      <c r="P3430">
        <v>0.98981920000000001</v>
      </c>
      <c r="Q3430">
        <v>-0.14133180000000001</v>
      </c>
      <c r="R3430">
        <v>-1.683289E-2</v>
      </c>
      <c r="S3430">
        <v>2.9155880000000001</v>
      </c>
      <c r="T3430">
        <v>-0.75329880000000005</v>
      </c>
      <c r="U3430">
        <v>-0.45181270000000001</v>
      </c>
      <c r="V3430">
        <v>1.9071979999999999E-2</v>
      </c>
      <c r="W3430">
        <v>-0.12757360000000001</v>
      </c>
      <c r="X3430">
        <v>0.99164569999999996</v>
      </c>
      <c r="Y3430">
        <v>0.15021289999999901</v>
      </c>
      <c r="Z3430">
        <v>-2.0590799999999999E-2</v>
      </c>
      <c r="AA3430">
        <v>0.98843919999999996</v>
      </c>
      <c r="AB3430">
        <v>26</v>
      </c>
      <c r="AC3430">
        <v>0.53699999999997705</v>
      </c>
      <c r="AD3430">
        <v>-0.1958445</v>
      </c>
      <c r="AE3430">
        <v>-0.11829999999997599</v>
      </c>
      <c r="AF3430">
        <v>0.106059516016416</v>
      </c>
      <c r="AG3430">
        <v>-0.1958445</v>
      </c>
      <c r="AH3430">
        <v>0.476310919281342</v>
      </c>
      <c r="AI3430">
        <v>111.867581183688</v>
      </c>
      <c r="AJ3430">
        <v>77.446819098640006</v>
      </c>
      <c r="AK3430">
        <v>0.52580964325934798</v>
      </c>
      <c r="AL3430">
        <v>97.329402495340702</v>
      </c>
      <c r="AM3430">
        <v>88.898185856771903</v>
      </c>
      <c r="AN3430">
        <v>0.99999997908328397</v>
      </c>
    </row>
    <row r="3431" spans="1:40" x14ac:dyDescent="0.25">
      <c r="A3431" t="str">
        <f>"20190303154538715"</f>
        <v>20190303154538715</v>
      </c>
      <c r="B3431" t="str">
        <f>"1551599138704349"</f>
        <v>1551599138704349</v>
      </c>
      <c r="C3431" t="s">
        <v>40</v>
      </c>
      <c r="D3431">
        <v>4.7578569999999996</v>
      </c>
      <c r="E3431">
        <v>0.54933149999999997</v>
      </c>
      <c r="F3431" t="s">
        <v>42</v>
      </c>
      <c r="G3431">
        <v>-275.30430000000001</v>
      </c>
      <c r="H3431">
        <v>0.92126359999999996</v>
      </c>
      <c r="I3431">
        <v>214.2704</v>
      </c>
      <c r="J3431">
        <v>-275.81909999999999</v>
      </c>
      <c r="K3431">
        <v>1.1208229999999999</v>
      </c>
      <c r="L3431">
        <v>214.39070000000001</v>
      </c>
      <c r="M3431">
        <v>0.99990100000000004</v>
      </c>
      <c r="N3431">
        <v>-1.3883370000000001E-2</v>
      </c>
      <c r="O3431">
        <v>2.2896309999999999E-3</v>
      </c>
      <c r="P3431">
        <v>0.98987219999999998</v>
      </c>
      <c r="Q3431">
        <v>-0.1410061</v>
      </c>
      <c r="R3431">
        <v>-1.6438580000000001E-2</v>
      </c>
      <c r="S3431">
        <v>2.9152529999999999</v>
      </c>
      <c r="T3431">
        <v>-0.75597859999999995</v>
      </c>
      <c r="U3431">
        <v>-0.4526367</v>
      </c>
      <c r="V3431">
        <v>1.8707330000000001E-2</v>
      </c>
      <c r="W3431">
        <v>-0.12725</v>
      </c>
      <c r="X3431">
        <v>0.99169430000000003</v>
      </c>
      <c r="Y3431">
        <v>0.15048629999999999</v>
      </c>
      <c r="Z3431">
        <v>-2.0703699999999998E-2</v>
      </c>
      <c r="AA3431">
        <v>0.98839529999999998</v>
      </c>
      <c r="AB3431">
        <v>26</v>
      </c>
      <c r="AC3431">
        <v>0.51479999999997905</v>
      </c>
      <c r="AD3431">
        <v>-0.199559399999999</v>
      </c>
      <c r="AE3431">
        <v>-0.12030000000001401</v>
      </c>
      <c r="AF3431">
        <v>0.106328090953863</v>
      </c>
      <c r="AG3431">
        <v>-0.199559399999999</v>
      </c>
      <c r="AH3431">
        <v>0.45035349868485203</v>
      </c>
      <c r="AI3431">
        <v>113.32862342694899</v>
      </c>
      <c r="AJ3431">
        <v>76.715781117631906</v>
      </c>
      <c r="AK3431">
        <v>0.50393242685100204</v>
      </c>
      <c r="AL3431">
        <v>97.310708665711203</v>
      </c>
      <c r="AM3431">
        <v>88.9193000883416</v>
      </c>
      <c r="AN3431">
        <v>1.0000000556741</v>
      </c>
    </row>
    <row r="3432" spans="1:40" x14ac:dyDescent="0.25">
      <c r="A3432" t="str">
        <f>"20190303154538737"</f>
        <v>20190303154538737</v>
      </c>
      <c r="B3432" t="str">
        <f>"1551599138734605"</f>
        <v>1551599138734605</v>
      </c>
      <c r="C3432" t="s">
        <v>40</v>
      </c>
      <c r="D3432">
        <v>4.7703759999999997</v>
      </c>
      <c r="E3432">
        <v>0.54939249999999995</v>
      </c>
      <c r="F3432" t="s">
        <v>42</v>
      </c>
      <c r="G3432">
        <v>-275.06830000000002</v>
      </c>
      <c r="H3432">
        <v>0.92542409999999997</v>
      </c>
      <c r="I3432">
        <v>214.274</v>
      </c>
      <c r="J3432">
        <v>-275.55290000000002</v>
      </c>
      <c r="K3432">
        <v>1.1208149999999999</v>
      </c>
      <c r="L3432">
        <v>214.3913</v>
      </c>
      <c r="M3432">
        <v>0.9999015</v>
      </c>
      <c r="N3432">
        <v>-1.3841310000000001E-2</v>
      </c>
      <c r="O3432">
        <v>2.3205539999999998E-3</v>
      </c>
      <c r="P3432">
        <v>0.99000639999999995</v>
      </c>
      <c r="Q3432">
        <v>-0.1401269</v>
      </c>
      <c r="R3432">
        <v>-1.5869169999999998E-2</v>
      </c>
      <c r="S3432">
        <v>2.9151310000000001</v>
      </c>
      <c r="T3432">
        <v>-0.75875519999999996</v>
      </c>
      <c r="U3432">
        <v>-0.45219419999999999</v>
      </c>
      <c r="V3432">
        <v>1.8168670000000001E-2</v>
      </c>
      <c r="W3432">
        <v>-0.12641079999999999</v>
      </c>
      <c r="X3432">
        <v>0.99181160000000002</v>
      </c>
      <c r="Y3432">
        <v>0.15034410000000001</v>
      </c>
      <c r="Z3432">
        <v>-2.0759960000000001E-2</v>
      </c>
      <c r="AA3432">
        <v>0.98841570000000001</v>
      </c>
      <c r="AB3432">
        <v>26</v>
      </c>
      <c r="AC3432">
        <v>0.48459999999999998</v>
      </c>
      <c r="AD3432">
        <v>-0.19539089999999901</v>
      </c>
      <c r="AE3432">
        <v>-0.1173</v>
      </c>
      <c r="AF3432">
        <v>0.10265875946606599</v>
      </c>
      <c r="AG3432">
        <v>-0.19539089999999901</v>
      </c>
      <c r="AH3432">
        <v>0.41984914243608301</v>
      </c>
      <c r="AI3432">
        <v>114.326106351204</v>
      </c>
      <c r="AJ3432">
        <v>76.260001317982102</v>
      </c>
      <c r="AK3432">
        <v>0.474330820316619</v>
      </c>
      <c r="AL3432">
        <v>97.262234849845896</v>
      </c>
      <c r="AM3432">
        <v>88.950534868654401</v>
      </c>
      <c r="AN3432">
        <v>1.0000000204103801</v>
      </c>
    </row>
    <row r="3433" spans="1:40" x14ac:dyDescent="0.25">
      <c r="A3433" t="str">
        <f>"20190303154538759"</f>
        <v>20190303154538759</v>
      </c>
      <c r="B3433" t="str">
        <f>"1551599138754126"</f>
        <v>1551599138754126</v>
      </c>
      <c r="C3433" t="s">
        <v>40</v>
      </c>
      <c r="D3433">
        <v>4.8159589999999897</v>
      </c>
      <c r="E3433">
        <v>0.54925539999999995</v>
      </c>
      <c r="F3433" t="s">
        <v>42</v>
      </c>
      <c r="G3433">
        <v>-274.83120000000002</v>
      </c>
      <c r="H3433">
        <v>0.93251510000000004</v>
      </c>
      <c r="I3433">
        <v>214.27959999999999</v>
      </c>
      <c r="J3433">
        <v>-275.29360000000003</v>
      </c>
      <c r="K3433">
        <v>1.12079</v>
      </c>
      <c r="L3433">
        <v>214.392</v>
      </c>
      <c r="M3433">
        <v>0.99990290000000004</v>
      </c>
      <c r="N3433">
        <v>-1.3740550000000001E-2</v>
      </c>
      <c r="O3433">
        <v>2.3524409999999998E-3</v>
      </c>
      <c r="P3433">
        <v>0.99014100000000005</v>
      </c>
      <c r="Q3433">
        <v>-0.13921259999999999</v>
      </c>
      <c r="R3433">
        <v>-1.5520549999999999E-2</v>
      </c>
      <c r="S3433">
        <v>2.915375</v>
      </c>
      <c r="T3433">
        <v>-0.76061129999999999</v>
      </c>
      <c r="U3433">
        <v>-0.45068359999999902</v>
      </c>
      <c r="V3433">
        <v>1.785233E-2</v>
      </c>
      <c r="W3433">
        <v>-0.1255945</v>
      </c>
      <c r="X3433">
        <v>0.99192100000000005</v>
      </c>
      <c r="Y3433">
        <v>0.149856399999999</v>
      </c>
      <c r="Z3433">
        <v>-2.0740419999999999E-2</v>
      </c>
      <c r="AA3433">
        <v>0.98849019999999999</v>
      </c>
      <c r="AB3433">
        <v>26</v>
      </c>
      <c r="AC3433">
        <v>0.46240000000000198</v>
      </c>
      <c r="AD3433">
        <v>-0.1882749</v>
      </c>
      <c r="AE3433">
        <v>-0.11240000000000799</v>
      </c>
      <c r="AF3433">
        <v>9.8127038311647402E-2</v>
      </c>
      <c r="AG3433">
        <v>-0.1882749</v>
      </c>
      <c r="AH3433">
        <v>0.39958448474037001</v>
      </c>
      <c r="AI3433">
        <v>114.58794360256201</v>
      </c>
      <c r="AJ3433">
        <v>76.202748543717306</v>
      </c>
      <c r="AK3433">
        <v>0.45248658992621299</v>
      </c>
      <c r="AL3433">
        <v>97.215088857653598</v>
      </c>
      <c r="AM3433">
        <v>88.968917138029795</v>
      </c>
      <c r="AN3433">
        <v>0.99999997717883904</v>
      </c>
    </row>
    <row r="3434" spans="1:40" x14ac:dyDescent="0.25">
      <c r="A3434" t="str">
        <f>"20190303154538783"</f>
        <v>20190303154538783</v>
      </c>
      <c r="B3434" t="str">
        <f>"1551599138774621"</f>
        <v>1551599138774621</v>
      </c>
      <c r="C3434" t="s">
        <v>40</v>
      </c>
      <c r="D3434">
        <v>4.6996789999999997</v>
      </c>
      <c r="E3434">
        <v>0.54933509999999997</v>
      </c>
      <c r="F3434" t="s">
        <v>42</v>
      </c>
      <c r="G3434">
        <v>-274.59469999999999</v>
      </c>
      <c r="H3434">
        <v>0.93810939999999998</v>
      </c>
      <c r="I3434">
        <v>214.28440000000001</v>
      </c>
      <c r="J3434">
        <v>-275.02850000000001</v>
      </c>
      <c r="K3434">
        <v>1.1207530000000001</v>
      </c>
      <c r="L3434">
        <v>214.39259999999999</v>
      </c>
      <c r="M3434">
        <v>0.99990489999999999</v>
      </c>
      <c r="N3434">
        <v>-1.3580999999999999E-2</v>
      </c>
      <c r="O3434">
        <v>2.3833320000000002E-3</v>
      </c>
      <c r="P3434">
        <v>0.99010260000000005</v>
      </c>
      <c r="Q3434">
        <v>-0.1394599</v>
      </c>
      <c r="R3434">
        <v>-1.5737749999999998E-2</v>
      </c>
      <c r="S3434">
        <v>2.9157099999999998</v>
      </c>
      <c r="T3434">
        <v>-0.76211119999999899</v>
      </c>
      <c r="U3434">
        <v>-0.44857789999999997</v>
      </c>
      <c r="V3434">
        <v>1.8100120000000001E-2</v>
      </c>
      <c r="W3434">
        <v>-0.12600069999999999</v>
      </c>
      <c r="X3434">
        <v>0.991865</v>
      </c>
      <c r="Y3434">
        <v>0.14917859999999999</v>
      </c>
      <c r="Z3434">
        <v>-2.06812E-2</v>
      </c>
      <c r="AA3434">
        <v>0.98859390000000003</v>
      </c>
      <c r="AB3434">
        <v>26</v>
      </c>
      <c r="AC3434">
        <v>0.433800000000019</v>
      </c>
      <c r="AD3434">
        <v>-0.18264359999999999</v>
      </c>
      <c r="AE3434">
        <v>-0.10819999999998201</v>
      </c>
      <c r="AF3434">
        <v>9.3611309419212793E-2</v>
      </c>
      <c r="AG3434">
        <v>-0.18264359999999999</v>
      </c>
      <c r="AH3434">
        <v>0.37153677537292001</v>
      </c>
      <c r="AI3434">
        <v>115.48674593709499</v>
      </c>
      <c r="AJ3434">
        <v>75.858270512530893</v>
      </c>
      <c r="AK3434">
        <v>0.424454163987877</v>
      </c>
      <c r="AL3434">
        <v>97.238548718082498</v>
      </c>
      <c r="AM3434">
        <v>88.954549872843302</v>
      </c>
      <c r="AN3434">
        <v>0.99999998448475202</v>
      </c>
    </row>
    <row r="3435" spans="1:40" x14ac:dyDescent="0.25">
      <c r="A3435" t="str">
        <f>"20190303154538804"</f>
        <v>20190303154538804</v>
      </c>
      <c r="B3435" t="str">
        <f>"1551599138794141"</f>
        <v>1551599138794141</v>
      </c>
      <c r="C3435" t="s">
        <v>40</v>
      </c>
      <c r="D3435">
        <v>4.7656049999999999</v>
      </c>
      <c r="E3435">
        <v>0.54904010000000003</v>
      </c>
      <c r="F3435" t="s">
        <v>42</v>
      </c>
      <c r="G3435">
        <v>-274.14679999999998</v>
      </c>
      <c r="H3435">
        <v>0.88975559999999998</v>
      </c>
      <c r="I3435">
        <v>214.25640000000001</v>
      </c>
      <c r="J3435">
        <v>-274.77190000000002</v>
      </c>
      <c r="K3435">
        <v>1.1207119999999999</v>
      </c>
      <c r="L3435">
        <v>214.39320000000001</v>
      </c>
      <c r="M3435">
        <v>0.9999074</v>
      </c>
      <c r="N3435">
        <v>-1.339944E-2</v>
      </c>
      <c r="O3435">
        <v>2.4121310000000001E-3</v>
      </c>
      <c r="P3435">
        <v>0.99002900000000005</v>
      </c>
      <c r="Q3435">
        <v>-0.13984009999999999</v>
      </c>
      <c r="R3435">
        <v>-1.6943320000000001E-2</v>
      </c>
      <c r="S3435">
        <v>2.9152529999999999</v>
      </c>
      <c r="T3435">
        <v>-0.76381209999999999</v>
      </c>
      <c r="U3435">
        <v>-0.44966129999999999</v>
      </c>
      <c r="V3435">
        <v>1.933377E-2</v>
      </c>
      <c r="W3435">
        <v>-0.12656199999999901</v>
      </c>
      <c r="X3435">
        <v>0.99177029999999999</v>
      </c>
      <c r="Y3435">
        <v>0.1495551</v>
      </c>
      <c r="Z3435">
        <v>-2.077062E-2</v>
      </c>
      <c r="AA3435">
        <v>0.98853519999999995</v>
      </c>
      <c r="AB3435">
        <v>26</v>
      </c>
      <c r="AC3435">
        <v>0.62510000000003096</v>
      </c>
      <c r="AD3435">
        <v>-0.23095640000000001</v>
      </c>
      <c r="AE3435">
        <v>-0.13679999999999301</v>
      </c>
      <c r="AF3435">
        <v>0.122366845953681</v>
      </c>
      <c r="AG3435">
        <v>-0.23095640000000001</v>
      </c>
      <c r="AH3435">
        <v>0.55276017090082297</v>
      </c>
      <c r="AI3435">
        <v>112.19287541403401</v>
      </c>
      <c r="AJ3435">
        <v>77.517501666333402</v>
      </c>
      <c r="AK3435">
        <v>0.61143953930369799</v>
      </c>
      <c r="AL3435">
        <v>97.270968035008195</v>
      </c>
      <c r="AM3435">
        <v>88.883205988245805</v>
      </c>
      <c r="AN3435">
        <v>1.0000000312342501</v>
      </c>
    </row>
    <row r="3436" spans="1:40" x14ac:dyDescent="0.25">
      <c r="A3436" t="str">
        <f>"20190303154538831"</f>
        <v>20190303154538831</v>
      </c>
      <c r="B3436" t="str">
        <f>"1551599138824397"</f>
        <v>1551599138824397</v>
      </c>
      <c r="C3436" t="s">
        <v>40</v>
      </c>
      <c r="D3436">
        <v>4.7914870000000001</v>
      </c>
      <c r="E3436">
        <v>0.51972569999999996</v>
      </c>
      <c r="F3436" t="s">
        <v>42</v>
      </c>
      <c r="G3436">
        <v>-273.91059999999999</v>
      </c>
      <c r="H3436">
        <v>0.89495429999999998</v>
      </c>
      <c r="I3436">
        <v>214.25980000000001</v>
      </c>
      <c r="J3436">
        <v>-274.4631</v>
      </c>
      <c r="K3436">
        <v>1.1206719999999999</v>
      </c>
      <c r="L3436">
        <v>214.39400000000001</v>
      </c>
      <c r="M3436">
        <v>0.99991010000000002</v>
      </c>
      <c r="N3436">
        <v>-1.31816E-2</v>
      </c>
      <c r="O3436">
        <v>2.4467500000000001E-3</v>
      </c>
      <c r="P3436">
        <v>0.98994899999999997</v>
      </c>
      <c r="Q3436">
        <v>-0.1402098</v>
      </c>
      <c r="R3436">
        <v>-1.850009E-2</v>
      </c>
      <c r="S3436">
        <v>2.9145810000000001</v>
      </c>
      <c r="T3436">
        <v>-0.76401850000000004</v>
      </c>
      <c r="U3436">
        <v>-0.45091249999999999</v>
      </c>
      <c r="V3436">
        <v>2.0923830000000001E-2</v>
      </c>
      <c r="W3436">
        <v>-0.12714890000000001</v>
      </c>
      <c r="X3436">
        <v>0.99166290000000001</v>
      </c>
      <c r="Y3436">
        <v>0.1500204</v>
      </c>
      <c r="Z3436">
        <v>-2.0834620000000002E-2</v>
      </c>
      <c r="AA3436">
        <v>0.98846330000000004</v>
      </c>
      <c r="AB3436">
        <v>26</v>
      </c>
      <c r="AC3436">
        <v>0.55250000000000898</v>
      </c>
      <c r="AD3436">
        <v>-0.22571769999999899</v>
      </c>
      <c r="AE3436">
        <v>-0.13419999999999199</v>
      </c>
      <c r="AF3436">
        <v>0.117096494332687</v>
      </c>
      <c r="AG3436">
        <v>-0.22571769999999899</v>
      </c>
      <c r="AH3436">
        <v>0.476993212864599</v>
      </c>
      <c r="AI3436">
        <v>114.681821355799</v>
      </c>
      <c r="AJ3436">
        <v>76.207281673926701</v>
      </c>
      <c r="AK3436">
        <v>0.54053916990093098</v>
      </c>
      <c r="AL3436">
        <v>97.304869193044595</v>
      </c>
      <c r="AM3436">
        <v>88.791253268406706</v>
      </c>
      <c r="AN3436">
        <v>0.99999997833474397</v>
      </c>
    </row>
    <row r="3437" spans="1:40" x14ac:dyDescent="0.25">
      <c r="A3437" t="str">
        <f>"20190303154538856"</f>
        <v>20190303154538856</v>
      </c>
      <c r="B3437" t="str">
        <f>"1551599138844893"</f>
        <v>1551599138844893</v>
      </c>
      <c r="C3437" t="s">
        <v>40</v>
      </c>
      <c r="D3437">
        <v>4.807391</v>
      </c>
      <c r="E3437">
        <v>0.51616079999999998</v>
      </c>
      <c r="F3437" t="s">
        <v>42</v>
      </c>
      <c r="G3437">
        <v>-273.60489999999999</v>
      </c>
      <c r="H3437">
        <v>1.046392</v>
      </c>
      <c r="I3437">
        <v>214.334</v>
      </c>
      <c r="J3437">
        <v>-274.16030000000001</v>
      </c>
      <c r="K3437">
        <v>1.1206419999999999</v>
      </c>
      <c r="L3437">
        <v>214.3948</v>
      </c>
      <c r="M3437">
        <v>0.99991289999999999</v>
      </c>
      <c r="N3437">
        <v>-1.297096E-2</v>
      </c>
      <c r="O3437">
        <v>2.480061E-3</v>
      </c>
      <c r="P3437">
        <v>0.98983370000000004</v>
      </c>
      <c r="Q3437">
        <v>-0.140864299999999</v>
      </c>
      <c r="R3437">
        <v>-1.9668120000000001E-2</v>
      </c>
      <c r="S3437">
        <v>2.9898989999999999</v>
      </c>
      <c r="T3437">
        <v>-0.25881270000000001</v>
      </c>
      <c r="U3437">
        <v>-0.20869450000000001</v>
      </c>
      <c r="V3437">
        <v>2.2124250000000002E-2</v>
      </c>
      <c r="W3437">
        <v>-0.12801390000000001</v>
      </c>
      <c r="X3437">
        <v>0.99152560000000001</v>
      </c>
      <c r="Y3437">
        <v>7.1790290000000007E-2</v>
      </c>
      <c r="Z3437">
        <v>-3.7467429999999999E-3</v>
      </c>
      <c r="AA3437">
        <v>0.99741270000000004</v>
      </c>
      <c r="AB3437">
        <v>26</v>
      </c>
      <c r="AC3437">
        <v>0.55540000000001999</v>
      </c>
      <c r="AD3437">
        <v>-7.4249999999999899E-2</v>
      </c>
      <c r="AE3437">
        <v>-6.0800000000000402E-2</v>
      </c>
      <c r="AF3437">
        <v>6.1098316369038397E-2</v>
      </c>
      <c r="AG3437">
        <v>-7.4249999999999899E-2</v>
      </c>
      <c r="AH3437">
        <v>0.54561161529459201</v>
      </c>
      <c r="AI3437">
        <v>97.70198081369</v>
      </c>
      <c r="AJ3437">
        <v>83.610560937498704</v>
      </c>
      <c r="AK3437">
        <v>0.55401994684984401</v>
      </c>
      <c r="AL3437">
        <v>97.354838019068296</v>
      </c>
      <c r="AM3437">
        <v>88.721751778000893</v>
      </c>
      <c r="AN3437">
        <v>1.0000000282433099</v>
      </c>
    </row>
    <row r="3438" spans="1:40" x14ac:dyDescent="0.25">
      <c r="A3438" t="str">
        <f>"20190303154538877"</f>
        <v>20190303154538877</v>
      </c>
      <c r="B3438" t="str">
        <f>"1551599138864413"</f>
        <v>1551599138864413</v>
      </c>
      <c r="C3438" t="s">
        <v>40</v>
      </c>
      <c r="D3438">
        <v>4.8639679999999998</v>
      </c>
      <c r="E3438">
        <v>0.51274649999999999</v>
      </c>
      <c r="F3438" t="s">
        <v>55</v>
      </c>
      <c r="G3438">
        <v>-257.19220000000001</v>
      </c>
      <c r="H3438" s="1">
        <v>2.3452110000000001E-6</v>
      </c>
      <c r="I3438">
        <v>213.36539999999999</v>
      </c>
      <c r="J3438">
        <v>-273.9237</v>
      </c>
      <c r="K3438">
        <v>1.1206179999999999</v>
      </c>
      <c r="L3438">
        <v>214.3954</v>
      </c>
      <c r="M3438">
        <v>0.99991490000000005</v>
      </c>
      <c r="N3438">
        <v>-1.2802569999999999E-2</v>
      </c>
      <c r="O3438">
        <v>2.5040850000000001E-3</v>
      </c>
      <c r="P3438">
        <v>0.98988180000000003</v>
      </c>
      <c r="Q3438">
        <v>-0.140516</v>
      </c>
      <c r="R3438">
        <v>-1.9734950000000001E-2</v>
      </c>
      <c r="S3438">
        <v>2.9990230000000002</v>
      </c>
      <c r="T3438">
        <v>-0.1980672</v>
      </c>
      <c r="U3438">
        <v>-0.18194579999999999</v>
      </c>
      <c r="V3438">
        <v>2.2214680000000001E-2</v>
      </c>
      <c r="W3438">
        <v>-0.127832</v>
      </c>
      <c r="X3438">
        <v>0.99154699999999996</v>
      </c>
      <c r="Y3438">
        <v>6.2889860000000006E-2</v>
      </c>
      <c r="Z3438">
        <v>-2.6091199999999999E-3</v>
      </c>
      <c r="AA3438">
        <v>0.99801709999999999</v>
      </c>
      <c r="AB3438">
        <v>26</v>
      </c>
      <c r="AC3438">
        <v>16.731499999999901</v>
      </c>
      <c r="AD3438">
        <v>-1.120615654789</v>
      </c>
      <c r="AE3438">
        <v>-1.03</v>
      </c>
      <c r="AF3438">
        <v>1.06712840989498</v>
      </c>
      <c r="AG3438">
        <v>-1.120615654789</v>
      </c>
      <c r="AH3438">
        <v>16.654441042054799</v>
      </c>
      <c r="AI3438">
        <v>93.841564286807795</v>
      </c>
      <c r="AJ3438">
        <v>86.333801578914901</v>
      </c>
      <c r="AK3438">
        <v>16.726175561443899</v>
      </c>
      <c r="AL3438">
        <v>97.344329917055703</v>
      </c>
      <c r="AM3438">
        <v>88.716556539569694</v>
      </c>
      <c r="AN3438">
        <v>0.99999998272025103</v>
      </c>
    </row>
    <row r="3439" spans="1:40" x14ac:dyDescent="0.25">
      <c r="A3439" t="str">
        <f>"20190303154538897"</f>
        <v>20190303154538897</v>
      </c>
      <c r="B3439" t="str">
        <f>"1551599138894669"</f>
        <v>1551599138894669</v>
      </c>
      <c r="C3439" t="s">
        <v>40</v>
      </c>
      <c r="D3439">
        <v>5.0753000000000004</v>
      </c>
      <c r="E3439">
        <v>0.51033580000000001</v>
      </c>
      <c r="F3439" t="s">
        <v>55</v>
      </c>
      <c r="G3439">
        <v>-255.91229999999999</v>
      </c>
      <c r="H3439" s="1">
        <v>1.659641E-6</v>
      </c>
      <c r="I3439">
        <v>213.46780000000001</v>
      </c>
      <c r="J3439">
        <v>-273.66989999999998</v>
      </c>
      <c r="K3439">
        <v>1.1205889999999901</v>
      </c>
      <c r="L3439">
        <v>214.39609999999999</v>
      </c>
      <c r="M3439">
        <v>0.99991730000000001</v>
      </c>
      <c r="N3439">
        <v>-1.2610929999999999E-2</v>
      </c>
      <c r="O3439">
        <v>2.5257830000000002E-3</v>
      </c>
      <c r="P3439">
        <v>0.98998039999999998</v>
      </c>
      <c r="Q3439">
        <v>-0.1399204</v>
      </c>
      <c r="R3439">
        <v>-1.9009760000000001E-2</v>
      </c>
      <c r="S3439">
        <v>3.0010680000000001</v>
      </c>
      <c r="T3439">
        <v>-0.18671789999999999</v>
      </c>
      <c r="U3439">
        <v>-0.15455629999999901</v>
      </c>
      <c r="V3439">
        <v>2.151074E-2</v>
      </c>
      <c r="W3439">
        <v>-0.12742519999999999</v>
      </c>
      <c r="X3439">
        <v>0.99161489999999997</v>
      </c>
      <c r="Y3439">
        <v>5.3826699999999901E-2</v>
      </c>
      <c r="Z3439">
        <v>-2.1368699999999999E-3</v>
      </c>
      <c r="AA3439">
        <v>0.99854799999999999</v>
      </c>
      <c r="AB3439">
        <v>26</v>
      </c>
      <c r="AC3439">
        <v>17.757599999999901</v>
      </c>
      <c r="AD3439">
        <v>-1.1205873403590001</v>
      </c>
      <c r="AE3439">
        <v>-0.92829999999997803</v>
      </c>
      <c r="AF3439">
        <v>0.96930301201162905</v>
      </c>
      <c r="AG3439">
        <v>-1.1205873403590001</v>
      </c>
      <c r="AH3439">
        <v>17.684965370756402</v>
      </c>
      <c r="AI3439">
        <v>93.620214454048394</v>
      </c>
      <c r="AJ3439">
        <v>86.862789487101594</v>
      </c>
      <c r="AK3439">
        <v>17.746922676377402</v>
      </c>
      <c r="AL3439">
        <v>97.320829670387297</v>
      </c>
      <c r="AM3439">
        <v>88.757298474700605</v>
      </c>
      <c r="AN3439">
        <v>1.0000000017161901</v>
      </c>
    </row>
    <row r="3440" spans="1:40" x14ac:dyDescent="0.25">
      <c r="A3440" t="str">
        <f>"20190303154538918"</f>
        <v>20190303154538918</v>
      </c>
      <c r="B3440" t="str">
        <f>"1551599138914190"</f>
        <v>1551599138914190</v>
      </c>
      <c r="C3440" t="s">
        <v>40</v>
      </c>
      <c r="D3440">
        <v>4.9397769999999896</v>
      </c>
      <c r="E3440">
        <v>0.50915790000000005</v>
      </c>
      <c r="F3440" t="s">
        <v>55</v>
      </c>
      <c r="G3440">
        <v>-254.7268</v>
      </c>
      <c r="H3440" s="1">
        <v>1.0248539999999999E-6</v>
      </c>
      <c r="I3440">
        <v>213.5575</v>
      </c>
      <c r="J3440">
        <v>-273.4393</v>
      </c>
      <c r="K3440">
        <v>1.120576</v>
      </c>
      <c r="L3440">
        <v>214.39670000000001</v>
      </c>
      <c r="M3440">
        <v>0.99991949999999996</v>
      </c>
      <c r="N3440">
        <v>-1.2430699999999999E-2</v>
      </c>
      <c r="O3440">
        <v>2.5411769999999999E-3</v>
      </c>
      <c r="P3440">
        <v>0.99005489999999996</v>
      </c>
      <c r="Q3440">
        <v>-0.13952519999999999</v>
      </c>
      <c r="R3440">
        <v>-1.8002150000000001E-2</v>
      </c>
      <c r="S3440">
        <v>3.0027159999999999</v>
      </c>
      <c r="T3440">
        <v>-0.17762739999999999</v>
      </c>
      <c r="U3440">
        <v>-0.13291929999999999</v>
      </c>
      <c r="V3440">
        <v>2.0517759999999999E-2</v>
      </c>
      <c r="W3440">
        <v>-0.12720809999999999</v>
      </c>
      <c r="X3440">
        <v>0.99166379999999998</v>
      </c>
      <c r="Y3440">
        <v>4.6660449999999999E-2</v>
      </c>
      <c r="Z3440">
        <v>-1.7872750000000001E-3</v>
      </c>
      <c r="AA3440">
        <v>0.99890919999999905</v>
      </c>
      <c r="AB3440">
        <v>26</v>
      </c>
      <c r="AC3440">
        <v>18.712499999999999</v>
      </c>
      <c r="AD3440">
        <v>-1.1205749751459999</v>
      </c>
      <c r="AE3440">
        <v>-0.83920000000000505</v>
      </c>
      <c r="AF3440">
        <v>0.88359048602544299</v>
      </c>
      <c r="AG3440">
        <v>-1.1205749751459999</v>
      </c>
      <c r="AH3440">
        <v>18.643583935833501</v>
      </c>
      <c r="AI3440">
        <v>93.435784770793902</v>
      </c>
      <c r="AJ3440">
        <v>87.286565076920894</v>
      </c>
      <c r="AK3440">
        <v>18.698118685963799</v>
      </c>
      <c r="AL3440">
        <v>97.308288817419594</v>
      </c>
      <c r="AM3440">
        <v>88.814705804299194</v>
      </c>
      <c r="AN3440">
        <v>0.99999998570573301</v>
      </c>
    </row>
    <row r="3441" spans="1:40" x14ac:dyDescent="0.25">
      <c r="A3441" t="str">
        <f>"20190303154538939"</f>
        <v>20190303154538939</v>
      </c>
      <c r="B3441" t="str">
        <f>"1551599138934686"</f>
        <v>1551599138934686</v>
      </c>
      <c r="C3441" t="s">
        <v>40</v>
      </c>
      <c r="D3441">
        <v>4.9346800000000002</v>
      </c>
      <c r="E3441">
        <v>0.50832770000000005</v>
      </c>
      <c r="F3441" t="s">
        <v>55</v>
      </c>
      <c r="G3441">
        <v>-254.2381</v>
      </c>
      <c r="H3441" s="1">
        <v>7.61748E-7</v>
      </c>
      <c r="I3441">
        <v>213.62780000000001</v>
      </c>
      <c r="J3441">
        <v>-273.18430000000001</v>
      </c>
      <c r="K3441">
        <v>1.120552</v>
      </c>
      <c r="L3441">
        <v>214.3973</v>
      </c>
      <c r="M3441">
        <v>0.99992199999999998</v>
      </c>
      <c r="N3441">
        <v>-1.222609E-2</v>
      </c>
      <c r="O3441">
        <v>2.5535250000000001E-3</v>
      </c>
      <c r="P3441">
        <v>0.99017849999999996</v>
      </c>
      <c r="Q3441">
        <v>-0.1387833</v>
      </c>
      <c r="R3441">
        <v>-1.6910419999999999E-2</v>
      </c>
      <c r="S3441">
        <v>3.0032040000000002</v>
      </c>
      <c r="T3441">
        <v>-0.17526659999999999</v>
      </c>
      <c r="U3441">
        <v>-0.1202545</v>
      </c>
      <c r="V3441">
        <v>1.9437289999999999E-2</v>
      </c>
      <c r="W3441">
        <v>-0.12666769999999999</v>
      </c>
      <c r="X3441">
        <v>0.99175480000000005</v>
      </c>
      <c r="Y3441">
        <v>4.2471519999999999E-2</v>
      </c>
      <c r="Z3441">
        <v>-1.6154310000000001E-3</v>
      </c>
      <c r="AA3441">
        <v>0.9990964</v>
      </c>
      <c r="AB3441">
        <v>26</v>
      </c>
      <c r="AC3441">
        <v>18.946200000000001</v>
      </c>
      <c r="AD3441">
        <v>-1.120551238252</v>
      </c>
      <c r="AE3441">
        <v>-0.76949999999999297</v>
      </c>
      <c r="AF3441">
        <v>0.81503441110744101</v>
      </c>
      <c r="AG3441">
        <v>-1.120551238252</v>
      </c>
      <c r="AH3441">
        <v>18.878245876476502</v>
      </c>
      <c r="AI3441">
        <v>93.393751420405295</v>
      </c>
      <c r="AJ3441">
        <v>87.527892647653701</v>
      </c>
      <c r="AK3441">
        <v>18.929027538189601</v>
      </c>
      <c r="AL3441">
        <v>97.277073205232</v>
      </c>
      <c r="AM3441">
        <v>88.877210252503204</v>
      </c>
      <c r="AN3441">
        <v>1.0000000488944301</v>
      </c>
    </row>
    <row r="3442" spans="1:40" x14ac:dyDescent="0.25">
      <c r="A3442" t="str">
        <f>"20190303154538961"</f>
        <v>20190303154538961</v>
      </c>
      <c r="B3442" t="str">
        <f>"1551599138954205"</f>
        <v>1551599138954205</v>
      </c>
      <c r="C3442" t="s">
        <v>40</v>
      </c>
      <c r="D3442">
        <v>4.9919729999999998</v>
      </c>
      <c r="E3442">
        <v>0.50765199999999999</v>
      </c>
      <c r="F3442" t="s">
        <v>55</v>
      </c>
      <c r="G3442">
        <v>-253.66499999999999</v>
      </c>
      <c r="H3442" s="1">
        <v>4.544351E-7</v>
      </c>
      <c r="I3442">
        <v>213.6807</v>
      </c>
      <c r="J3442">
        <v>-272.93549999999999</v>
      </c>
      <c r="K3442">
        <v>1.1205229999999999</v>
      </c>
      <c r="L3442">
        <v>214.398</v>
      </c>
      <c r="M3442">
        <v>0.99992460000000005</v>
      </c>
      <c r="N3442">
        <v>-1.202464E-2</v>
      </c>
      <c r="O3442">
        <v>2.5612410000000001E-3</v>
      </c>
      <c r="P3442">
        <v>0.9902936</v>
      </c>
      <c r="Q3442">
        <v>-0.13807820000000001</v>
      </c>
      <c r="R3442">
        <v>-1.5915390000000001E-2</v>
      </c>
      <c r="S3442">
        <v>3.0036930000000002</v>
      </c>
      <c r="T3442">
        <v>-0.17243429999999901</v>
      </c>
      <c r="U3442">
        <v>-0.11027530000000001</v>
      </c>
      <c r="V3442">
        <v>1.8448840000000001E-2</v>
      </c>
      <c r="W3442">
        <v>-0.1261613</v>
      </c>
      <c r="X3442">
        <v>0.9918382</v>
      </c>
      <c r="Y3442">
        <v>3.9167540000000001E-2</v>
      </c>
      <c r="Z3442">
        <v>-1.474859E-3</v>
      </c>
      <c r="AA3442">
        <v>0.9992316</v>
      </c>
      <c r="AB3442">
        <v>26</v>
      </c>
      <c r="AC3442">
        <v>19.270499999999998</v>
      </c>
      <c r="AD3442">
        <v>-1.1205225455648999</v>
      </c>
      <c r="AE3442">
        <v>-0.71729999999999405</v>
      </c>
      <c r="AF3442">
        <v>0.76407776909498104</v>
      </c>
      <c r="AG3442">
        <v>-1.1205225455648999</v>
      </c>
      <c r="AH3442">
        <v>19.203759894019001</v>
      </c>
      <c r="AI3442">
        <v>93.336738005526001</v>
      </c>
      <c r="AJ3442">
        <v>87.721521619907406</v>
      </c>
      <c r="AK3442">
        <v>19.251591614188101</v>
      </c>
      <c r="AL3442">
        <v>97.247824152151495</v>
      </c>
      <c r="AM3442">
        <v>88.934383866542504</v>
      </c>
      <c r="AN3442">
        <v>1.0000000241471301</v>
      </c>
    </row>
    <row r="3443" spans="1:40" x14ac:dyDescent="0.25">
      <c r="A3443" t="str">
        <f>"20190303154538984"</f>
        <v>20190303154538984</v>
      </c>
      <c r="B3443" t="str">
        <f>"1551599138974702"</f>
        <v>1551599138974702</v>
      </c>
      <c r="C3443" t="s">
        <v>40</v>
      </c>
      <c r="D3443">
        <v>4.9614379999999896</v>
      </c>
      <c r="E3443">
        <v>0.5071369</v>
      </c>
      <c r="F3443" t="s">
        <v>55</v>
      </c>
      <c r="G3443">
        <v>-253.13720000000001</v>
      </c>
      <c r="H3443" s="1">
        <v>1.7154280000000001E-7</v>
      </c>
      <c r="I3443">
        <v>213.7269</v>
      </c>
      <c r="J3443">
        <v>-272.66219999999998</v>
      </c>
      <c r="K3443">
        <v>1.120487</v>
      </c>
      <c r="L3443">
        <v>214.39869999999999</v>
      </c>
      <c r="M3443">
        <v>0.99992700000000001</v>
      </c>
      <c r="N3443">
        <v>-1.180871E-2</v>
      </c>
      <c r="O3443">
        <v>2.5655169999999998E-3</v>
      </c>
      <c r="P3443">
        <v>0.99034829999999996</v>
      </c>
      <c r="Q3443">
        <v>-0.13774429999999999</v>
      </c>
      <c r="R3443">
        <v>-1.539629E-2</v>
      </c>
      <c r="S3443">
        <v>3.0040589999999998</v>
      </c>
      <c r="T3443">
        <v>-0.17002</v>
      </c>
      <c r="U3443">
        <v>-0.10182190000000001</v>
      </c>
      <c r="V3443">
        <v>1.7932779999999999E-2</v>
      </c>
      <c r="W3443">
        <v>-0.12604109999999999</v>
      </c>
      <c r="X3443">
        <v>0.99186289999999999</v>
      </c>
      <c r="Y3443">
        <v>3.6366570000000001E-2</v>
      </c>
      <c r="Z3443">
        <v>-1.357771E-3</v>
      </c>
      <c r="AA3443">
        <v>0.99933760000000005</v>
      </c>
      <c r="AB3443">
        <v>26</v>
      </c>
      <c r="AC3443">
        <v>19.524999999999899</v>
      </c>
      <c r="AD3443">
        <v>-1.1204868284571901</v>
      </c>
      <c r="AE3443">
        <v>-0.67179999999998996</v>
      </c>
      <c r="AF3443">
        <v>0.71952618599079599</v>
      </c>
      <c r="AG3443">
        <v>-1.1204868284571901</v>
      </c>
      <c r="AH3443">
        <v>19.4592028661366</v>
      </c>
      <c r="AI3443">
        <v>93.293282693587003</v>
      </c>
      <c r="AJ3443">
        <v>87.882388043769197</v>
      </c>
      <c r="AK3443">
        <v>19.504711862791801</v>
      </c>
      <c r="AL3443">
        <v>97.240882117686397</v>
      </c>
      <c r="AM3443">
        <v>88.964211004821706</v>
      </c>
      <c r="AN3443">
        <v>0.99999997794207296</v>
      </c>
    </row>
    <row r="3444" spans="1:40" x14ac:dyDescent="0.25">
      <c r="A3444" t="str">
        <f>"20190303154539007"</f>
        <v>20190303154539007</v>
      </c>
      <c r="B3444" t="str">
        <f>"1551599139003982"</f>
        <v>1551599139003982</v>
      </c>
      <c r="C3444" t="s">
        <v>40</v>
      </c>
      <c r="D3444">
        <v>5.0343999999999998</v>
      </c>
      <c r="E3444">
        <v>0.50591370000000002</v>
      </c>
      <c r="F3444" t="s">
        <v>55</v>
      </c>
      <c r="G3444">
        <v>-252.86330000000001</v>
      </c>
      <c r="H3444" s="1">
        <v>2.4186670000000001E-8</v>
      </c>
      <c r="I3444">
        <v>213.7636</v>
      </c>
      <c r="J3444">
        <v>-272.3877</v>
      </c>
      <c r="K3444">
        <v>1.1204620000000001</v>
      </c>
      <c r="L3444">
        <v>214.39940000000001</v>
      </c>
      <c r="M3444">
        <v>0.99992950000000003</v>
      </c>
      <c r="N3444">
        <v>-1.1601800000000001E-2</v>
      </c>
      <c r="O3444">
        <v>2.56587E-3</v>
      </c>
      <c r="P3444">
        <v>0.99026230000000004</v>
      </c>
      <c r="Q3444">
        <v>-0.1383404</v>
      </c>
      <c r="R3444">
        <v>-1.558356E-2</v>
      </c>
      <c r="S3444">
        <v>3.004089</v>
      </c>
      <c r="T3444">
        <v>-0.17001189999999999</v>
      </c>
      <c r="U3444">
        <v>-9.6359249999999994E-2</v>
      </c>
      <c r="V3444">
        <v>1.8119590000000001E-2</v>
      </c>
      <c r="W3444">
        <v>-0.1268435</v>
      </c>
      <c r="X3444">
        <v>0.99175720000000001</v>
      </c>
      <c r="Y3444">
        <v>3.4554979999999999E-2</v>
      </c>
      <c r="Z3444">
        <v>-1.292779E-3</v>
      </c>
      <c r="AA3444">
        <v>0.99940200000000001</v>
      </c>
      <c r="AB3444">
        <v>26</v>
      </c>
      <c r="AC3444">
        <v>19.524399999999901</v>
      </c>
      <c r="AD3444">
        <v>-1.1204619758133301</v>
      </c>
      <c r="AE3444">
        <v>-0.63580000000001702</v>
      </c>
      <c r="AF3444">
        <v>0.68364922999189204</v>
      </c>
      <c r="AG3444">
        <v>-1.1204619758133301</v>
      </c>
      <c r="AH3444">
        <v>19.458687704261799</v>
      </c>
      <c r="AI3444">
        <v>93.293514854031898</v>
      </c>
      <c r="AJ3444">
        <v>87.987833946696796</v>
      </c>
      <c r="AK3444">
        <v>19.502905898375801</v>
      </c>
      <c r="AL3444">
        <v>97.287228299047001</v>
      </c>
      <c r="AM3444">
        <v>88.9533118163029</v>
      </c>
      <c r="AN3444">
        <v>0.99999996839292804</v>
      </c>
    </row>
    <row r="3445" spans="1:40" x14ac:dyDescent="0.25">
      <c r="A3445" t="str">
        <f>"20190303154539034"</f>
        <v>20190303154539034</v>
      </c>
      <c r="B3445" t="str">
        <f>"1551599139024477"</f>
        <v>1551599139024477</v>
      </c>
      <c r="C3445" t="s">
        <v>40</v>
      </c>
      <c r="D3445">
        <v>4.9703350000000004</v>
      </c>
      <c r="E3445">
        <v>0.5053377</v>
      </c>
      <c r="F3445" t="s">
        <v>55</v>
      </c>
      <c r="G3445">
        <v>-253.4659</v>
      </c>
      <c r="H3445" s="1">
        <v>3.4113409999999898E-7</v>
      </c>
      <c r="I3445">
        <v>213.8484</v>
      </c>
      <c r="J3445">
        <v>-272.09089999999998</v>
      </c>
      <c r="K3445">
        <v>1.1204379999999901</v>
      </c>
      <c r="L3445">
        <v>214.40020000000001</v>
      </c>
      <c r="M3445">
        <v>0.99993180000000004</v>
      </c>
      <c r="N3445">
        <v>-1.139591E-2</v>
      </c>
      <c r="O3445">
        <v>2.564186E-3</v>
      </c>
      <c r="P3445">
        <v>0.99028870000000002</v>
      </c>
      <c r="Q3445">
        <v>-0.13814670000000001</v>
      </c>
      <c r="R3445">
        <v>-1.5627180000000001E-2</v>
      </c>
      <c r="S3445">
        <v>3.0032960000000002</v>
      </c>
      <c r="T3445">
        <v>-0.17784129999999901</v>
      </c>
      <c r="U3445">
        <v>-8.7463379999999993E-2</v>
      </c>
      <c r="V3445">
        <v>1.8161030000000002E-2</v>
      </c>
      <c r="W3445">
        <v>-0.12685379999999999</v>
      </c>
      <c r="X3445">
        <v>0.99175519999999995</v>
      </c>
      <c r="Y3445">
        <v>3.1604380000000001E-2</v>
      </c>
      <c r="Z3445">
        <v>-1.2375089999999999E-3</v>
      </c>
      <c r="AA3445">
        <v>0.99949969999999999</v>
      </c>
      <c r="AB3445">
        <v>26</v>
      </c>
      <c r="AC3445">
        <v>18.624999999999901</v>
      </c>
      <c r="AD3445">
        <v>-1.12043765886589</v>
      </c>
      <c r="AE3445">
        <v>-0.55180000000001395</v>
      </c>
      <c r="AF3445">
        <v>0.59739918720042195</v>
      </c>
      <c r="AG3445">
        <v>-1.12043765886589</v>
      </c>
      <c r="AH3445">
        <v>18.556427822575198</v>
      </c>
      <c r="AI3445">
        <v>93.4535409663915</v>
      </c>
      <c r="AJ3445">
        <v>88.156076447441393</v>
      </c>
      <c r="AK3445">
        <v>18.599819350486001</v>
      </c>
      <c r="AL3445">
        <v>97.287822703753605</v>
      </c>
      <c r="AM3445">
        <v>88.950916430920401</v>
      </c>
      <c r="AN3445">
        <v>1.0000000431560601</v>
      </c>
    </row>
    <row r="3446" spans="1:40" x14ac:dyDescent="0.25">
      <c r="A3446" t="str">
        <f>"20190303154539063"</f>
        <v>20190303154539063</v>
      </c>
      <c r="B3446" t="str">
        <f>"1551599139054733"</f>
        <v>1551599139054733</v>
      </c>
      <c r="C3446" t="s">
        <v>40</v>
      </c>
      <c r="D3446">
        <v>4.9309409999999998</v>
      </c>
      <c r="E3446">
        <v>0.50481279999999995</v>
      </c>
      <c r="F3446" t="s">
        <v>55</v>
      </c>
      <c r="G3446">
        <v>-253.3947</v>
      </c>
      <c r="H3446" s="1">
        <v>3.0178209999999999E-7</v>
      </c>
      <c r="I3446">
        <v>213.88300000000001</v>
      </c>
      <c r="J3446">
        <v>-271.7319</v>
      </c>
      <c r="K3446">
        <v>1.120428</v>
      </c>
      <c r="L3446">
        <v>214.40110000000001</v>
      </c>
      <c r="M3446">
        <v>0.9999344</v>
      </c>
      <c r="N3446">
        <v>-1.116983E-2</v>
      </c>
      <c r="O3446">
        <v>2.5605810000000001E-3</v>
      </c>
      <c r="P3446">
        <v>0.99021859999999995</v>
      </c>
      <c r="Q3446">
        <v>-0.13853799999999999</v>
      </c>
      <c r="R3446">
        <v>-1.655792E-2</v>
      </c>
      <c r="S3446">
        <v>3.0029599999999999</v>
      </c>
      <c r="T3446">
        <v>-0.17996419999999999</v>
      </c>
      <c r="U3446">
        <v>-8.306885E-2</v>
      </c>
      <c r="V3446">
        <v>1.90882E-2</v>
      </c>
      <c r="W3446">
        <v>-0.1274701</v>
      </c>
      <c r="X3446">
        <v>0.9916587</v>
      </c>
      <c r="Y3446">
        <v>3.0144239999999999E-2</v>
      </c>
      <c r="Z3446">
        <v>-1.1955550000000001E-3</v>
      </c>
      <c r="AA3446">
        <v>0.99954489999999996</v>
      </c>
      <c r="AB3446">
        <v>26</v>
      </c>
      <c r="AC3446">
        <v>18.337199999999999</v>
      </c>
      <c r="AD3446">
        <v>-1.1204276982179</v>
      </c>
      <c r="AE3446">
        <v>-0.51810000000003198</v>
      </c>
      <c r="AF3446">
        <v>0.56295506763846803</v>
      </c>
      <c r="AG3446">
        <v>-1.1204276982179</v>
      </c>
      <c r="AH3446">
        <v>18.267667502698501</v>
      </c>
      <c r="AI3446">
        <v>93.5081169535068</v>
      </c>
      <c r="AJ3446">
        <v>88.234873471373504</v>
      </c>
      <c r="AK3446">
        <v>18.310651343528399</v>
      </c>
      <c r="AL3446">
        <v>97.323423550635994</v>
      </c>
      <c r="AM3446">
        <v>88.897263489452001</v>
      </c>
      <c r="AN3446">
        <v>0.99999998152946901</v>
      </c>
    </row>
    <row r="3447" spans="1:40" x14ac:dyDescent="0.25">
      <c r="A3447" t="str">
        <f>"20190303154539086"</f>
        <v>20190303154539086</v>
      </c>
      <c r="B3447" t="str">
        <f>"1551599139074253"</f>
        <v>1551599139074253</v>
      </c>
      <c r="C3447" t="s">
        <v>40</v>
      </c>
      <c r="D3447">
        <v>4.919638</v>
      </c>
      <c r="E3447">
        <v>0.50443859999999996</v>
      </c>
      <c r="F3447" t="s">
        <v>55</v>
      </c>
      <c r="G3447">
        <v>-253.4648</v>
      </c>
      <c r="H3447" s="1">
        <v>3.38061299999999E-7</v>
      </c>
      <c r="I3447">
        <v>213.90539999999999</v>
      </c>
      <c r="J3447">
        <v>-271.45139999999998</v>
      </c>
      <c r="K3447">
        <v>1.1204050000000001</v>
      </c>
      <c r="L3447">
        <v>214.40180000000001</v>
      </c>
      <c r="M3447">
        <v>0.99993620000000005</v>
      </c>
      <c r="N3447">
        <v>-1.1005320000000001E-2</v>
      </c>
      <c r="O3447">
        <v>2.5582830000000002E-3</v>
      </c>
      <c r="P3447">
        <v>0.99020209999999997</v>
      </c>
      <c r="Q3447">
        <v>-0.138544</v>
      </c>
      <c r="R3447">
        <v>-1.7486959999999999E-2</v>
      </c>
      <c r="S3447">
        <v>3.002472</v>
      </c>
      <c r="T3447">
        <v>-0.18415889999999999</v>
      </c>
      <c r="U3447">
        <v>-8.1481929999999994E-2</v>
      </c>
      <c r="V3447">
        <v>2.0014730000000001E-2</v>
      </c>
      <c r="W3447">
        <v>-0.12763949999999999</v>
      </c>
      <c r="X3447">
        <v>0.99161869999999996</v>
      </c>
      <c r="Y3447">
        <v>2.961685E-2</v>
      </c>
      <c r="Z3447">
        <v>-1.199065E-3</v>
      </c>
      <c r="AA3447">
        <v>0.99956060000000002</v>
      </c>
      <c r="AB3447">
        <v>26</v>
      </c>
      <c r="AC3447">
        <v>17.9865999999999</v>
      </c>
      <c r="AD3447">
        <v>-1.12040466193869</v>
      </c>
      <c r="AE3447">
        <v>-0.49640000000002199</v>
      </c>
      <c r="AF3447">
        <v>0.54032102754011302</v>
      </c>
      <c r="AG3447">
        <v>-1.12040466193869</v>
      </c>
      <c r="AH3447">
        <v>17.915807508822599</v>
      </c>
      <c r="AI3447">
        <v>93.576836117740896</v>
      </c>
      <c r="AJ3447">
        <v>88.272545991305805</v>
      </c>
      <c r="AK3447">
        <v>17.9589368313517</v>
      </c>
      <c r="AL3447">
        <v>97.333208969116598</v>
      </c>
      <c r="AM3447">
        <v>88.843704874531895</v>
      </c>
      <c r="AN3447">
        <v>1.00000003878345</v>
      </c>
    </row>
    <row r="3448" spans="1:40" x14ac:dyDescent="0.25">
      <c r="A3448" t="str">
        <f>"20190303154539109"</f>
        <v>20190303154539109</v>
      </c>
      <c r="B3448" t="str">
        <f>"1551599139104510"</f>
        <v>1551599139104510</v>
      </c>
      <c r="C3448" t="s">
        <v>40</v>
      </c>
      <c r="D3448">
        <v>4.9030899999999997</v>
      </c>
      <c r="E3448">
        <v>0.50399749999999999</v>
      </c>
      <c r="F3448" t="s">
        <v>55</v>
      </c>
      <c r="G3448">
        <v>-253.43680000000001</v>
      </c>
      <c r="H3448" s="1">
        <v>3.227446E-7</v>
      </c>
      <c r="I3448">
        <v>213.91470000000001</v>
      </c>
      <c r="J3448">
        <v>-271.18200000000002</v>
      </c>
      <c r="K3448">
        <v>1.120395</v>
      </c>
      <c r="L3448">
        <v>214.4025</v>
      </c>
      <c r="M3448">
        <v>0.99993790000000005</v>
      </c>
      <c r="N3448">
        <v>-1.0858110000000001E-2</v>
      </c>
      <c r="O3448">
        <v>2.5570670000000001E-3</v>
      </c>
      <c r="P3448">
        <v>0.99008260000000003</v>
      </c>
      <c r="Q3448">
        <v>-0.13924020000000001</v>
      </c>
      <c r="R3448">
        <v>-1.8669459999999999E-2</v>
      </c>
      <c r="S3448">
        <v>3.0021360000000001</v>
      </c>
      <c r="T3448">
        <v>-0.18671550000000001</v>
      </c>
      <c r="U3448">
        <v>-8.1176760000000001E-2</v>
      </c>
      <c r="V3448">
        <v>2.119596E-2</v>
      </c>
      <c r="W3448">
        <v>-0.12848300000000001</v>
      </c>
      <c r="X3448">
        <v>0.99148519999999896</v>
      </c>
      <c r="Y3448">
        <v>2.9515650000000001E-2</v>
      </c>
      <c r="Z3448">
        <v>-1.208371E-3</v>
      </c>
      <c r="AA3448">
        <v>0.9995636</v>
      </c>
      <c r="AB3448">
        <v>27</v>
      </c>
      <c r="AC3448">
        <v>17.745200000000001</v>
      </c>
      <c r="AD3448">
        <v>-1.1203946772553901</v>
      </c>
      <c r="AE3448">
        <v>-0.48779999999999202</v>
      </c>
      <c r="AF3448">
        <v>0.531061318599514</v>
      </c>
      <c r="AG3448">
        <v>-1.1203946772553901</v>
      </c>
      <c r="AH3448">
        <v>17.673494245679102</v>
      </c>
      <c r="AI3448">
        <v>93.625726344836195</v>
      </c>
      <c r="AJ3448">
        <v>88.2788678364048</v>
      </c>
      <c r="AK3448">
        <v>17.716932838643</v>
      </c>
      <c r="AL3448">
        <v>97.381939286220103</v>
      </c>
      <c r="AM3448">
        <v>88.775317983128303</v>
      </c>
      <c r="AN3448">
        <v>1.0000000259141799</v>
      </c>
    </row>
    <row r="3449" spans="1:40" x14ac:dyDescent="0.25">
      <c r="A3449" t="str">
        <f>"20190303154539128"</f>
        <v>20190303154539128</v>
      </c>
      <c r="B3449" t="str">
        <f>"1551599139124030"</f>
        <v>1551599139124030</v>
      </c>
      <c r="C3449" t="s">
        <v>40</v>
      </c>
      <c r="D3449">
        <v>4.9003709999999998</v>
      </c>
      <c r="E3449">
        <v>0.50388829999999996</v>
      </c>
      <c r="F3449" t="s">
        <v>55</v>
      </c>
      <c r="G3449">
        <v>-253.65049999999999</v>
      </c>
      <c r="H3449" s="1">
        <v>4.3597990000000002E-7</v>
      </c>
      <c r="I3449">
        <v>213.92609999999999</v>
      </c>
      <c r="J3449">
        <v>-270.9545</v>
      </c>
      <c r="K3449">
        <v>1.1203879999999999</v>
      </c>
      <c r="L3449">
        <v>214.40309999999999</v>
      </c>
      <c r="M3449">
        <v>0.99993909999999997</v>
      </c>
      <c r="N3449">
        <v>-1.074047E-2</v>
      </c>
      <c r="O3449">
        <v>2.556872E-3</v>
      </c>
      <c r="P3449">
        <v>0.99011780000000005</v>
      </c>
      <c r="Q3449">
        <v>-0.1389185</v>
      </c>
      <c r="R3449">
        <v>-1.9207430000000001E-2</v>
      </c>
      <c r="S3449">
        <v>3.0015559999999999</v>
      </c>
      <c r="T3449">
        <v>-0.19182170000000001</v>
      </c>
      <c r="U3449">
        <v>-8.1558229999999995E-2</v>
      </c>
      <c r="V3449">
        <v>2.1733780000000001E-2</v>
      </c>
      <c r="W3449">
        <v>-0.12827759999999999</v>
      </c>
      <c r="X3449">
        <v>0.9915001</v>
      </c>
      <c r="Y3449">
        <v>2.9643719999999998E-2</v>
      </c>
      <c r="Z3449">
        <v>-1.241278E-3</v>
      </c>
      <c r="AA3449">
        <v>0.9995598</v>
      </c>
      <c r="AB3449">
        <v>27</v>
      </c>
      <c r="AC3449">
        <v>17.303999999999998</v>
      </c>
      <c r="AD3449">
        <v>-1.1203875640201</v>
      </c>
      <c r="AE3449">
        <v>-0.47700000000000298</v>
      </c>
      <c r="AF3449">
        <v>0.519070699981656</v>
      </c>
      <c r="AG3449">
        <v>-1.1203875640201</v>
      </c>
      <c r="AH3449">
        <v>17.2305444326946</v>
      </c>
      <c r="AI3449">
        <v>93.718643430254403</v>
      </c>
      <c r="AJ3449">
        <v>88.274484669003598</v>
      </c>
      <c r="AK3449">
        <v>17.2747319554386</v>
      </c>
      <c r="AL3449">
        <v>97.3700729203386</v>
      </c>
      <c r="AM3449">
        <v>88.744271957174902</v>
      </c>
      <c r="AN3449">
        <v>0.99999997407742802</v>
      </c>
    </row>
    <row r="3450" spans="1:40" x14ac:dyDescent="0.25">
      <c r="A3450" t="str">
        <f>"20190303154539150"</f>
        <v>20190303154539150</v>
      </c>
      <c r="B3450" t="str">
        <f>"1551599139144526"</f>
        <v>1551599139144526</v>
      </c>
      <c r="C3450" t="s">
        <v>40</v>
      </c>
      <c r="D3450">
        <v>4.915781</v>
      </c>
      <c r="E3450">
        <v>0.50371670000000002</v>
      </c>
      <c r="F3450" t="s">
        <v>55</v>
      </c>
      <c r="G3450">
        <v>-253.4057</v>
      </c>
      <c r="H3450" s="1">
        <v>3.0604740000000001E-7</v>
      </c>
      <c r="I3450">
        <v>213.91909999999999</v>
      </c>
      <c r="J3450">
        <v>-270.68770000000001</v>
      </c>
      <c r="K3450">
        <v>1.1203809999999901</v>
      </c>
      <c r="L3450">
        <v>214.40379999999999</v>
      </c>
      <c r="M3450">
        <v>0.99994050000000001</v>
      </c>
      <c r="N3450">
        <v>-1.060909E-2</v>
      </c>
      <c r="O3450">
        <v>2.5571019999999999E-3</v>
      </c>
      <c r="P3450">
        <v>0.99016360000000003</v>
      </c>
      <c r="Q3450">
        <v>-0.13861279999999901</v>
      </c>
      <c r="R3450">
        <v>-1.905109E-2</v>
      </c>
      <c r="S3450">
        <v>3.0014949999999998</v>
      </c>
      <c r="T3450">
        <v>-0.1916282</v>
      </c>
      <c r="U3450">
        <v>-8.2778930000000001E-2</v>
      </c>
      <c r="V3450">
        <v>2.157775E-2</v>
      </c>
      <c r="W3450">
        <v>-0.12810170000000001</v>
      </c>
      <c r="X3450">
        <v>0.99152620000000002</v>
      </c>
      <c r="Y3450">
        <v>3.005E-2</v>
      </c>
      <c r="Z3450">
        <v>-1.253688E-3</v>
      </c>
      <c r="AA3450">
        <v>0.99954759999999998</v>
      </c>
      <c r="AB3450">
        <v>27</v>
      </c>
      <c r="AC3450">
        <v>17.282</v>
      </c>
      <c r="AD3450">
        <v>-1.12038069395259</v>
      </c>
      <c r="AE3450">
        <v>-0.48470000000000302</v>
      </c>
      <c r="AF3450">
        <v>0.52668091926566196</v>
      </c>
      <c r="AG3450">
        <v>-1.12038069395259</v>
      </c>
      <c r="AH3450">
        <v>17.2084364736296</v>
      </c>
      <c r="AI3450">
        <v>93.723330461499401</v>
      </c>
      <c r="AJ3450">
        <v>88.246954232745097</v>
      </c>
      <c r="AK3450">
        <v>17.252910814035001</v>
      </c>
      <c r="AL3450">
        <v>97.359911113968295</v>
      </c>
      <c r="AM3450">
        <v>88.753316964747896</v>
      </c>
      <c r="AN3450">
        <v>0.99999992506219304</v>
      </c>
    </row>
    <row r="3451" spans="1:40" x14ac:dyDescent="0.25">
      <c r="A3451" t="str">
        <f>"20190303154539172"</f>
        <v>20190303154539172</v>
      </c>
      <c r="B3451" t="str">
        <f>"1551599139164046"</f>
        <v>1551599139164046</v>
      </c>
      <c r="C3451" t="s">
        <v>40</v>
      </c>
      <c r="D3451">
        <v>4.9620559999999996</v>
      </c>
      <c r="E3451">
        <v>0.49275809999999998</v>
      </c>
      <c r="F3451" t="s">
        <v>55</v>
      </c>
      <c r="G3451">
        <v>-253.13319999999999</v>
      </c>
      <c r="H3451" s="1">
        <v>1.6056899999999999E-7</v>
      </c>
      <c r="I3451">
        <v>213.9297</v>
      </c>
      <c r="J3451">
        <v>-270.41820000000001</v>
      </c>
      <c r="K3451">
        <v>1.1203669999999999</v>
      </c>
      <c r="L3451">
        <v>214.40450000000001</v>
      </c>
      <c r="M3451">
        <v>0.99994190000000005</v>
      </c>
      <c r="N3451">
        <v>-1.048433E-2</v>
      </c>
      <c r="O3451">
        <v>2.5572289999999998E-3</v>
      </c>
      <c r="P3451">
        <v>0.99012960000000005</v>
      </c>
      <c r="Q3451">
        <v>-0.13888729999999999</v>
      </c>
      <c r="R3451">
        <v>-1.8812099999999998E-2</v>
      </c>
      <c r="S3451">
        <v>3.0014340000000002</v>
      </c>
      <c r="T3451">
        <v>-0.1915606</v>
      </c>
      <c r="U3451">
        <v>-8.1054689999999999E-2</v>
      </c>
      <c r="V3451">
        <v>2.1338949999999999E-2</v>
      </c>
      <c r="W3451">
        <v>-0.12850020000000001</v>
      </c>
      <c r="X3451">
        <v>0.99147989999999997</v>
      </c>
      <c r="Y3451">
        <v>2.947839E-2</v>
      </c>
      <c r="Z3451">
        <v>-1.2305510000000001E-3</v>
      </c>
      <c r="AA3451">
        <v>0.99956460000000003</v>
      </c>
      <c r="AB3451">
        <v>27</v>
      </c>
      <c r="AC3451">
        <v>17.285</v>
      </c>
      <c r="AD3451">
        <v>-1.120366839431</v>
      </c>
      <c r="AE3451">
        <v>-0.47480000000001599</v>
      </c>
      <c r="AF3451">
        <v>0.51683285148359204</v>
      </c>
      <c r="AG3451">
        <v>-1.120366839431</v>
      </c>
      <c r="AH3451">
        <v>17.211473521975101</v>
      </c>
      <c r="AI3451">
        <v>93.722694347653899</v>
      </c>
      <c r="AJ3451">
        <v>88.280016794981506</v>
      </c>
      <c r="AK3451">
        <v>17.255641363012899</v>
      </c>
      <c r="AL3451">
        <v>97.382933038964893</v>
      </c>
      <c r="AM3451">
        <v>88.767052112582206</v>
      </c>
      <c r="AN3451">
        <v>1.00000002214557</v>
      </c>
    </row>
    <row r="3452" spans="1:40" x14ac:dyDescent="0.25">
      <c r="A3452" t="str">
        <f>"20190303154539195"</f>
        <v>20190303154539195</v>
      </c>
      <c r="B3452" t="str">
        <f>"1551599139184542"</f>
        <v>1551599139184542</v>
      </c>
      <c r="C3452" t="s">
        <v>40</v>
      </c>
      <c r="D3452">
        <v>4.9392459999999998</v>
      </c>
      <c r="E3452">
        <v>0.49277969999999999</v>
      </c>
      <c r="F3452" t="s">
        <v>55</v>
      </c>
      <c r="G3452">
        <v>-250.9323</v>
      </c>
      <c r="H3452" s="1">
        <v>-1.033687E-6</v>
      </c>
      <c r="I3452">
        <v>214.45660000000001</v>
      </c>
      <c r="J3452">
        <v>-270.15559999999999</v>
      </c>
      <c r="K3452">
        <v>1.1203529999999999</v>
      </c>
      <c r="L3452">
        <v>214.4051</v>
      </c>
      <c r="M3452">
        <v>0.99994300000000003</v>
      </c>
      <c r="N3452">
        <v>-1.0367639999999999E-2</v>
      </c>
      <c r="O3452">
        <v>2.5576639999999999E-3</v>
      </c>
      <c r="P3452">
        <v>0.99007959999999995</v>
      </c>
      <c r="Q3452">
        <v>-0.139288299999999</v>
      </c>
      <c r="R3452">
        <v>-1.847319E-2</v>
      </c>
      <c r="S3452">
        <v>3.0058289999999999</v>
      </c>
      <c r="T3452">
        <v>-0.17282400000000001</v>
      </c>
      <c r="U3452">
        <v>8.0413819999999997E-3</v>
      </c>
      <c r="V3452">
        <v>2.1000520000000002E-2</v>
      </c>
      <c r="W3452">
        <v>-0.1290174</v>
      </c>
      <c r="X3452">
        <v>0.99141990000000002</v>
      </c>
      <c r="Y3452">
        <v>-1.200554E-4</v>
      </c>
      <c r="Z3452">
        <v>-1.163632E-4</v>
      </c>
      <c r="AA3452">
        <v>1</v>
      </c>
      <c r="AB3452">
        <v>27</v>
      </c>
      <c r="AC3452">
        <v>19.223299999999899</v>
      </c>
      <c r="AD3452">
        <v>-1.1203540336869999</v>
      </c>
      <c r="AE3452">
        <v>5.1500000000004299E-2</v>
      </c>
      <c r="AF3452">
        <v>-2.3225584095437199E-3</v>
      </c>
      <c r="AG3452">
        <v>-1.1203540336869999</v>
      </c>
      <c r="AH3452">
        <v>19.158294708063899</v>
      </c>
      <c r="AI3452">
        <v>93.346776658615894</v>
      </c>
      <c r="AJ3452">
        <v>90.006945962358103</v>
      </c>
      <c r="AK3452">
        <v>19.191025368023102</v>
      </c>
      <c r="AL3452">
        <v>97.412815584336101</v>
      </c>
      <c r="AM3452">
        <v>88.786527028660402</v>
      </c>
      <c r="AN3452">
        <v>0.99999996472951902</v>
      </c>
    </row>
    <row r="3453" spans="1:40" x14ac:dyDescent="0.25">
      <c r="A3453" t="str">
        <f>"20190303154539217"</f>
        <v>20190303154539217</v>
      </c>
      <c r="B3453" t="str">
        <f>"1551599139204062"</f>
        <v>1551599139204062</v>
      </c>
      <c r="C3453" t="s">
        <v>40</v>
      </c>
      <c r="D3453">
        <v>4.9741109999999997</v>
      </c>
      <c r="E3453">
        <v>0.49280639999999998</v>
      </c>
      <c r="F3453" t="s">
        <v>55</v>
      </c>
      <c r="G3453">
        <v>-249.8793</v>
      </c>
      <c r="H3453" s="1">
        <v>3.7270649999999999E-6</v>
      </c>
      <c r="I3453">
        <v>214.46619999999999</v>
      </c>
      <c r="J3453">
        <v>-269.88740000000001</v>
      </c>
      <c r="K3453">
        <v>1.120336</v>
      </c>
      <c r="L3453">
        <v>214.4058</v>
      </c>
      <c r="M3453">
        <v>0.99994419999999995</v>
      </c>
      <c r="N3453">
        <v>-1.02539E-2</v>
      </c>
      <c r="O3453">
        <v>2.5580780000000001E-3</v>
      </c>
      <c r="P3453">
        <v>0.99006660000000002</v>
      </c>
      <c r="Q3453">
        <v>-0.13942199999999999</v>
      </c>
      <c r="R3453">
        <v>-1.8160740000000002E-2</v>
      </c>
      <c r="S3453">
        <v>3.006866</v>
      </c>
      <c r="T3453">
        <v>-0.16614219999999999</v>
      </c>
      <c r="U3453">
        <v>9.0484620000000002E-3</v>
      </c>
      <c r="V3453">
        <v>2.0688390000000001E-2</v>
      </c>
      <c r="W3453">
        <v>-0.12926389999999999</v>
      </c>
      <c r="X3453">
        <v>0.99139440000000001</v>
      </c>
      <c r="Y3453">
        <v>-4.5281100000000001E-4</v>
      </c>
      <c r="Z3453">
        <v>-1.001978E-4</v>
      </c>
      <c r="AA3453">
        <v>0.99999990000000005</v>
      </c>
      <c r="AB3453">
        <v>27</v>
      </c>
      <c r="AC3453">
        <v>20.008099999999999</v>
      </c>
      <c r="AD3453">
        <v>-1.120332272935</v>
      </c>
      <c r="AE3453">
        <v>6.0399999999987103E-2</v>
      </c>
      <c r="AF3453">
        <v>-9.1860323877194696E-3</v>
      </c>
      <c r="AG3453">
        <v>-1.120332272935</v>
      </c>
      <c r="AH3453">
        <v>19.945653590623198</v>
      </c>
      <c r="AI3453">
        <v>93.214882122041999</v>
      </c>
      <c r="AJ3453">
        <v>90.0263877464171</v>
      </c>
      <c r="AK3453">
        <v>19.9770950326145</v>
      </c>
      <c r="AL3453">
        <v>97.427057914222402</v>
      </c>
      <c r="AM3453">
        <v>88.804526822575497</v>
      </c>
      <c r="AN3453">
        <v>1.0000000108376801</v>
      </c>
    </row>
    <row r="3454" spans="1:40" x14ac:dyDescent="0.25">
      <c r="A3454" t="str">
        <f>"20190303154539241"</f>
        <v>20190303154539241</v>
      </c>
      <c r="B3454" t="str">
        <f>"1551599139234317"</f>
        <v>1551599139234317</v>
      </c>
      <c r="C3454" t="s">
        <v>40</v>
      </c>
      <c r="D3454">
        <v>5.0051240000000004</v>
      </c>
      <c r="E3454">
        <v>0.4931121</v>
      </c>
      <c r="F3454" t="s">
        <v>55</v>
      </c>
      <c r="G3454">
        <v>-249.8117</v>
      </c>
      <c r="H3454" s="1">
        <v>3.69091E-6</v>
      </c>
      <c r="I3454">
        <v>214.46950000000001</v>
      </c>
      <c r="J3454">
        <v>-269.6035</v>
      </c>
      <c r="K3454">
        <v>1.12032</v>
      </c>
      <c r="L3454">
        <v>214.40649999999999</v>
      </c>
      <c r="M3454">
        <v>0.99994539999999998</v>
      </c>
      <c r="N3454">
        <v>-1.013959E-2</v>
      </c>
      <c r="O3454">
        <v>2.558547E-3</v>
      </c>
      <c r="P3454">
        <v>0.99001810000000001</v>
      </c>
      <c r="Q3454">
        <v>-0.13981950000000001</v>
      </c>
      <c r="R3454">
        <v>-1.774885E-2</v>
      </c>
      <c r="S3454">
        <v>3.006653</v>
      </c>
      <c r="T3454">
        <v>-0.1677874</v>
      </c>
      <c r="U3454">
        <v>9.5367430000000003E-3</v>
      </c>
      <c r="V3454">
        <v>2.0276720000000002E-2</v>
      </c>
      <c r="W3454">
        <v>-0.12977520000000001</v>
      </c>
      <c r="X3454">
        <v>0.99133610000000005</v>
      </c>
      <c r="Y3454">
        <v>-6.1472359999999995E-4</v>
      </c>
      <c r="Z3454" s="1">
        <v>-9.6483800000000006E-5</v>
      </c>
      <c r="AA3454">
        <v>0.99999979999999999</v>
      </c>
      <c r="AB3454">
        <v>27</v>
      </c>
      <c r="AC3454">
        <v>19.791799999999899</v>
      </c>
      <c r="AD3454">
        <v>-1.1203163090899999</v>
      </c>
      <c r="AE3454">
        <v>6.3000000000016598E-2</v>
      </c>
      <c r="AF3454">
        <v>-1.23194711878998E-2</v>
      </c>
      <c r="AG3454">
        <v>-1.1203163090899999</v>
      </c>
      <c r="AH3454">
        <v>19.728683695533899</v>
      </c>
      <c r="AI3454">
        <v>93.250116501535501</v>
      </c>
      <c r="AJ3454">
        <v>90.0357780389228</v>
      </c>
      <c r="AK3454">
        <v>19.7604711674649</v>
      </c>
      <c r="AL3454">
        <v>97.456602140631105</v>
      </c>
      <c r="AM3454">
        <v>88.828239479035702</v>
      </c>
      <c r="AN3454">
        <v>1.0000000055361</v>
      </c>
    </row>
    <row r="3455" spans="1:40" x14ac:dyDescent="0.25">
      <c r="A3455" t="str">
        <f>"20190303154539267"</f>
        <v>20190303154539267</v>
      </c>
      <c r="B3455" t="str">
        <f>"1551599139254813"</f>
        <v>1551599139254813</v>
      </c>
      <c r="C3455" t="s">
        <v>40</v>
      </c>
      <c r="D3455">
        <v>4.9841899999999999</v>
      </c>
      <c r="E3455">
        <v>0.49305749999999998</v>
      </c>
      <c r="F3455" t="s">
        <v>55</v>
      </c>
      <c r="G3455">
        <v>-249.2201</v>
      </c>
      <c r="H3455" s="1">
        <v>3.3763429999999999E-6</v>
      </c>
      <c r="I3455">
        <v>214.46440000000001</v>
      </c>
      <c r="J3455">
        <v>-269.28930000000003</v>
      </c>
      <c r="K3455">
        <v>1.1203019999999999</v>
      </c>
      <c r="L3455">
        <v>214.40729999999999</v>
      </c>
      <c r="M3455">
        <v>0.99994660000000002</v>
      </c>
      <c r="N3455">
        <v>-1.002395E-2</v>
      </c>
      <c r="O3455">
        <v>2.5587779999999998E-3</v>
      </c>
      <c r="P3455">
        <v>0.99005900000000002</v>
      </c>
      <c r="Q3455">
        <v>-0.13963</v>
      </c>
      <c r="R3455">
        <v>-1.6941189999999998E-2</v>
      </c>
      <c r="S3455">
        <v>3.0070800000000002</v>
      </c>
      <c r="T3455">
        <v>-0.165275799999999</v>
      </c>
      <c r="U3455">
        <v>8.5296629999999998E-3</v>
      </c>
      <c r="V3455">
        <v>1.9469400000000001E-2</v>
      </c>
      <c r="W3455">
        <v>-0.12969990000000001</v>
      </c>
      <c r="X3455">
        <v>0.99136219999999997</v>
      </c>
      <c r="Y3455">
        <v>-2.796923E-4</v>
      </c>
      <c r="Z3455">
        <v>-1.058121E-4</v>
      </c>
      <c r="AA3455">
        <v>0.99999990000000005</v>
      </c>
      <c r="AB3455">
        <v>27</v>
      </c>
      <c r="AC3455">
        <v>20.069199999999999</v>
      </c>
      <c r="AD3455">
        <v>-1.1202986236570001</v>
      </c>
      <c r="AE3455">
        <v>5.71000000000196E-2</v>
      </c>
      <c r="AF3455">
        <v>-5.7267665054531796E-3</v>
      </c>
      <c r="AG3455">
        <v>-1.1202986236570001</v>
      </c>
      <c r="AH3455">
        <v>20.006937852817899</v>
      </c>
      <c r="AI3455">
        <v>93.204959160694699</v>
      </c>
      <c r="AJ3455">
        <v>90.016400287963705</v>
      </c>
      <c r="AK3455">
        <v>20.0382799673161</v>
      </c>
      <c r="AL3455">
        <v>97.452250536581104</v>
      </c>
      <c r="AM3455">
        <v>88.874910635184904</v>
      </c>
      <c r="AN3455">
        <v>1.0000000665926001</v>
      </c>
    </row>
    <row r="3456" spans="1:40" x14ac:dyDescent="0.25">
      <c r="A3456" t="str">
        <f>"20190303154539289"</f>
        <v>20190303154539289</v>
      </c>
      <c r="B3456" t="str">
        <f>"1551599139284094"</f>
        <v>1551599139284094</v>
      </c>
      <c r="C3456" t="s">
        <v>40</v>
      </c>
      <c r="D3456">
        <v>5.0092600000000003</v>
      </c>
      <c r="E3456">
        <v>0.49338500000000002</v>
      </c>
      <c r="F3456" t="s">
        <v>55</v>
      </c>
      <c r="G3456">
        <v>-248.83949999999999</v>
      </c>
      <c r="H3456" s="1">
        <v>3.1727979999999999E-6</v>
      </c>
      <c r="I3456">
        <v>214.48689999999999</v>
      </c>
      <c r="J3456">
        <v>-269.01850000000002</v>
      </c>
      <c r="K3456">
        <v>1.1202939999999999</v>
      </c>
      <c r="L3456">
        <v>214.40799999999999</v>
      </c>
      <c r="M3456">
        <v>0.99994740000000004</v>
      </c>
      <c r="N3456">
        <v>-9.9350180000000003E-3</v>
      </c>
      <c r="O3456">
        <v>2.5590470000000001E-3</v>
      </c>
      <c r="P3456">
        <v>0.99001640000000002</v>
      </c>
      <c r="Q3456">
        <v>-0.13996879999999901</v>
      </c>
      <c r="R3456">
        <v>-1.6627429999999999E-2</v>
      </c>
      <c r="S3456">
        <v>3.0070800000000002</v>
      </c>
      <c r="T3456">
        <v>-0.164736299999999</v>
      </c>
      <c r="U3456">
        <v>1.170349E-2</v>
      </c>
      <c r="V3456">
        <v>1.9156010000000001E-2</v>
      </c>
      <c r="W3456">
        <v>-0.1301272</v>
      </c>
      <c r="X3456">
        <v>0.99131230000000004</v>
      </c>
      <c r="Y3456">
        <v>-1.3329920000000001E-3</v>
      </c>
      <c r="Z3456" s="1">
        <v>-7.1564019999999996E-5</v>
      </c>
      <c r="AA3456">
        <v>0.99999910000000003</v>
      </c>
      <c r="AB3456">
        <v>27</v>
      </c>
      <c r="AC3456">
        <v>20.178999999999998</v>
      </c>
      <c r="AD3456">
        <v>-1.120290827202</v>
      </c>
      <c r="AE3456">
        <v>7.8900000000004397E-2</v>
      </c>
      <c r="AF3456">
        <v>-2.7174428943228499E-2</v>
      </c>
      <c r="AG3456">
        <v>-1.120290827202</v>
      </c>
      <c r="AH3456">
        <v>20.117131554947701</v>
      </c>
      <c r="AI3456">
        <v>93.187415049845498</v>
      </c>
      <c r="AJ3456">
        <v>90.077395683269799</v>
      </c>
      <c r="AK3456">
        <v>20.1483193340332</v>
      </c>
      <c r="AL3456">
        <v>97.476942336923599</v>
      </c>
      <c r="AM3456">
        <v>88.892960430530707</v>
      </c>
      <c r="AN3456">
        <v>1.0000000585151201</v>
      </c>
    </row>
    <row r="3457" spans="1:40" x14ac:dyDescent="0.25">
      <c r="A3457" t="str">
        <f>"20190303154539311"</f>
        <v>20190303154539311</v>
      </c>
      <c r="B3457" t="str">
        <f>"1551599139304589"</f>
        <v>1551599139304589</v>
      </c>
      <c r="C3457" t="s">
        <v>40</v>
      </c>
      <c r="D3457">
        <v>5.0476519999999896</v>
      </c>
      <c r="E3457">
        <v>0.49369859999999999</v>
      </c>
      <c r="F3457" t="s">
        <v>55</v>
      </c>
      <c r="G3457">
        <v>-248.5069</v>
      </c>
      <c r="H3457" s="1">
        <v>2.9962959999999999E-6</v>
      </c>
      <c r="I3457">
        <v>214.4759</v>
      </c>
      <c r="J3457">
        <v>-268.75279999999998</v>
      </c>
      <c r="K3457">
        <v>1.1202829999999999</v>
      </c>
      <c r="L3457">
        <v>214.40870000000001</v>
      </c>
      <c r="M3457">
        <v>0.99994830000000001</v>
      </c>
      <c r="N3457">
        <v>-9.8554320000000008E-3</v>
      </c>
      <c r="O3457">
        <v>2.5592649999999998E-3</v>
      </c>
      <c r="P3457">
        <v>0.99003370000000002</v>
      </c>
      <c r="Q3457">
        <v>-0.1398961</v>
      </c>
      <c r="R3457">
        <v>-1.621214E-2</v>
      </c>
      <c r="S3457">
        <v>3.0072019999999999</v>
      </c>
      <c r="T3457">
        <v>-0.16424540000000001</v>
      </c>
      <c r="U3457">
        <v>9.9487299999999994E-3</v>
      </c>
      <c r="V3457">
        <v>1.8740759999999999E-2</v>
      </c>
      <c r="W3457">
        <v>-0.13013330000000001</v>
      </c>
      <c r="X3457">
        <v>0.99131939999999996</v>
      </c>
      <c r="Y3457">
        <v>-7.501392E-4</v>
      </c>
      <c r="Z3457" s="1">
        <v>-9.0297809999999995E-5</v>
      </c>
      <c r="AA3457">
        <v>0.99999970000000005</v>
      </c>
      <c r="AB3457">
        <v>27</v>
      </c>
      <c r="AC3457">
        <v>20.245899999999899</v>
      </c>
      <c r="AD3457">
        <v>-1.1202800037039999</v>
      </c>
      <c r="AE3457">
        <v>6.7199999999985494E-2</v>
      </c>
      <c r="AF3457">
        <v>-1.5335692857692399E-2</v>
      </c>
      <c r="AG3457">
        <v>-1.1202800037039999</v>
      </c>
      <c r="AH3457">
        <v>20.184206050025701</v>
      </c>
      <c r="AI3457">
        <v>93.176815973419295</v>
      </c>
      <c r="AJ3457">
        <v>90.043532567265601</v>
      </c>
      <c r="AK3457">
        <v>20.215277300597901</v>
      </c>
      <c r="AL3457">
        <v>97.477295110584805</v>
      </c>
      <c r="AM3457">
        <v>88.916960001909999</v>
      </c>
      <c r="AN3457">
        <v>1.00000002233531</v>
      </c>
    </row>
    <row r="3458" spans="1:40" x14ac:dyDescent="0.25">
      <c r="A3458" t="str">
        <f>"20190303154539329"</f>
        <v>20190303154539329</v>
      </c>
      <c r="B3458" t="str">
        <f>"1551599139324110"</f>
        <v>1551599139324110</v>
      </c>
      <c r="C3458" t="s">
        <v>40</v>
      </c>
      <c r="D3458">
        <v>5.008146</v>
      </c>
      <c r="E3458">
        <v>0.4938806</v>
      </c>
      <c r="F3458" t="s">
        <v>55</v>
      </c>
      <c r="G3458">
        <v>-248.0487</v>
      </c>
      <c r="H3458" s="1">
        <v>2.7527969999999998E-6</v>
      </c>
      <c r="I3458">
        <v>214.46860000000001</v>
      </c>
      <c r="J3458">
        <v>-268.52999999999997</v>
      </c>
      <c r="K3458">
        <v>1.120279</v>
      </c>
      <c r="L3458">
        <v>214.4093</v>
      </c>
      <c r="M3458">
        <v>0.99994890000000003</v>
      </c>
      <c r="N3458">
        <v>-9.7919200000000008E-3</v>
      </c>
      <c r="O3458">
        <v>2.5594010000000002E-3</v>
      </c>
      <c r="P3458">
        <v>0.99002080000000003</v>
      </c>
      <c r="Q3458">
        <v>-0.14000170000000001</v>
      </c>
      <c r="R3458">
        <v>-1.6076199999999999E-2</v>
      </c>
      <c r="S3458">
        <v>3.007355</v>
      </c>
      <c r="T3458">
        <v>-0.16272529999999999</v>
      </c>
      <c r="U3458">
        <v>8.6975100000000003E-3</v>
      </c>
      <c r="V3458">
        <v>1.8605130000000001E-2</v>
      </c>
      <c r="W3458">
        <v>-0.130302</v>
      </c>
      <c r="X3458">
        <v>0.99129979999999995</v>
      </c>
      <c r="Y3458">
        <v>-3.3447879999999998E-4</v>
      </c>
      <c r="Z3458">
        <v>-1.026566E-4</v>
      </c>
      <c r="AA3458">
        <v>0.99999990000000005</v>
      </c>
      <c r="AB3458">
        <v>27</v>
      </c>
      <c r="AC3458">
        <v>20.481299999999901</v>
      </c>
      <c r="AD3458">
        <v>-1.1202762472029999</v>
      </c>
      <c r="AE3458">
        <v>5.9300000000007402E-2</v>
      </c>
      <c r="AF3458">
        <v>-6.8569244789419698E-3</v>
      </c>
      <c r="AG3458">
        <v>-1.1202762472029999</v>
      </c>
      <c r="AH3458">
        <v>20.420291401619</v>
      </c>
      <c r="AI3458">
        <v>93.140151965106995</v>
      </c>
      <c r="AJ3458">
        <v>90.019239334571196</v>
      </c>
      <c r="AK3458">
        <v>20.450999164209399</v>
      </c>
      <c r="AL3458">
        <v>97.487043874285902</v>
      </c>
      <c r="AM3458">
        <v>88.924775041971898</v>
      </c>
      <c r="AN3458">
        <v>1.00000002777317</v>
      </c>
    </row>
    <row r="3459" spans="1:40" x14ac:dyDescent="0.25">
      <c r="A3459" t="str">
        <f>"20190303154539352"</f>
        <v>20190303154539352</v>
      </c>
      <c r="B3459" t="str">
        <f>"1551599139344606"</f>
        <v>1551599139344606</v>
      </c>
      <c r="C3459" t="s">
        <v>40</v>
      </c>
      <c r="D3459">
        <v>4.9893380000000001</v>
      </c>
      <c r="E3459">
        <v>0.49406470000000002</v>
      </c>
      <c r="F3459" t="s">
        <v>55</v>
      </c>
      <c r="G3459">
        <v>-247.84289999999999</v>
      </c>
      <c r="H3459" s="1">
        <v>2.6434930000000002E-6</v>
      </c>
      <c r="I3459">
        <v>214.46369999999999</v>
      </c>
      <c r="J3459">
        <v>-268.25880000000001</v>
      </c>
      <c r="K3459">
        <v>1.1202650000000001</v>
      </c>
      <c r="L3459">
        <v>214.41</v>
      </c>
      <c r="M3459">
        <v>0.99994959999999999</v>
      </c>
      <c r="N3459">
        <v>-9.7199790000000001E-3</v>
      </c>
      <c r="O3459">
        <v>2.559754E-3</v>
      </c>
      <c r="P3459">
        <v>0.99007279999999998</v>
      </c>
      <c r="Q3459">
        <v>-0.13967669999999999</v>
      </c>
      <c r="R3459">
        <v>-1.5706990000000001E-2</v>
      </c>
      <c r="S3459">
        <v>3.007355</v>
      </c>
      <c r="T3459">
        <v>-0.16285839999999999</v>
      </c>
      <c r="U3459">
        <v>7.9040529999999994E-3</v>
      </c>
      <c r="V3459">
        <v>1.8236080000000002E-2</v>
      </c>
      <c r="W3459">
        <v>-0.13004779999999999</v>
      </c>
      <c r="X3459">
        <v>0.99134</v>
      </c>
      <c r="Y3459" s="1">
        <v>-7.0760130000000002E-5</v>
      </c>
      <c r="Z3459">
        <v>-1.1139219999999999E-4</v>
      </c>
      <c r="AA3459">
        <v>1</v>
      </c>
      <c r="AB3459">
        <v>27</v>
      </c>
      <c r="AC3459">
        <v>20.415900000000001</v>
      </c>
      <c r="AD3459">
        <v>-1.120262356507</v>
      </c>
      <c r="AE3459">
        <v>5.3699999999991997E-2</v>
      </c>
      <c r="AF3459">
        <v>-1.43336383425693E-3</v>
      </c>
      <c r="AG3459">
        <v>-1.120262356507</v>
      </c>
      <c r="AH3459">
        <v>20.354684218151998</v>
      </c>
      <c r="AI3459">
        <v>93.150214131367605</v>
      </c>
      <c r="AJ3459">
        <v>90.004034732113396</v>
      </c>
      <c r="AK3459">
        <v>20.385488942446901</v>
      </c>
      <c r="AL3459">
        <v>97.472354576545499</v>
      </c>
      <c r="AM3459">
        <v>88.9461409939193</v>
      </c>
      <c r="AN3459">
        <v>0.99999999024930297</v>
      </c>
    </row>
    <row r="3460" spans="1:40" x14ac:dyDescent="0.25">
      <c r="A3460" t="str">
        <f>"20190303154539373"</f>
        <v>20190303154539373</v>
      </c>
      <c r="B3460" t="str">
        <f>"1551599139364126"</f>
        <v>1551599139364126</v>
      </c>
      <c r="C3460" t="s">
        <v>40</v>
      </c>
      <c r="D3460">
        <v>5.0954319999999997</v>
      </c>
      <c r="E3460">
        <v>0.49415599999999998</v>
      </c>
      <c r="F3460" t="s">
        <v>55</v>
      </c>
      <c r="G3460">
        <v>-247.434</v>
      </c>
      <c r="H3460" s="1">
        <v>2.4259540000000002E-6</v>
      </c>
      <c r="I3460">
        <v>214.4622</v>
      </c>
      <c r="J3460">
        <v>-268.00130000000001</v>
      </c>
      <c r="K3460">
        <v>1.120258</v>
      </c>
      <c r="L3460">
        <v>214.41059999999999</v>
      </c>
      <c r="M3460">
        <v>0.99995020000000001</v>
      </c>
      <c r="N3460">
        <v>-9.6590849999999995E-3</v>
      </c>
      <c r="O3460">
        <v>2.5600509999999998E-3</v>
      </c>
      <c r="P3460">
        <v>0.99016890000000002</v>
      </c>
      <c r="Q3460">
        <v>-0.13895399999999999</v>
      </c>
      <c r="R3460">
        <v>-1.6053890000000001E-2</v>
      </c>
      <c r="S3460">
        <v>3.007355</v>
      </c>
      <c r="T3460">
        <v>-0.1617796</v>
      </c>
      <c r="U3460">
        <v>7.5378419999999899E-3</v>
      </c>
      <c r="V3460">
        <v>1.858365E-2</v>
      </c>
      <c r="W3460">
        <v>-0.12938450000000001</v>
      </c>
      <c r="X3460">
        <v>0.99142030000000003</v>
      </c>
      <c r="Y3460" s="1">
        <v>5.1130149999999997E-5</v>
      </c>
      <c r="Z3460">
        <v>-1.145249E-4</v>
      </c>
      <c r="AA3460">
        <v>1</v>
      </c>
      <c r="AB3460">
        <v>27</v>
      </c>
      <c r="AC3460">
        <v>20.5672999999999</v>
      </c>
      <c r="AD3460">
        <v>-1.1202555740459901</v>
      </c>
      <c r="AE3460">
        <v>5.1600000000007598E-2</v>
      </c>
      <c r="AF3460">
        <v>1.05283227720504E-3</v>
      </c>
      <c r="AG3460">
        <v>-1.1202555740459901</v>
      </c>
      <c r="AH3460">
        <v>20.5065275238433</v>
      </c>
      <c r="AI3460">
        <v>93.1269155241866</v>
      </c>
      <c r="AJ3460">
        <v>89.997058358813007</v>
      </c>
      <c r="AK3460">
        <v>20.537104098333401</v>
      </c>
      <c r="AL3460">
        <v>97.434026712589002</v>
      </c>
      <c r="AM3460">
        <v>88.926146624513095</v>
      </c>
      <c r="AN3460">
        <v>0.99999995606983005</v>
      </c>
    </row>
    <row r="3461" spans="1:40" x14ac:dyDescent="0.25">
      <c r="A3461" t="str">
        <f>"20190303154539396"</f>
        <v>20190303154539396</v>
      </c>
      <c r="B3461" t="str">
        <f>"1551599139384622"</f>
        <v>1551599139384622</v>
      </c>
      <c r="C3461" t="s">
        <v>40</v>
      </c>
      <c r="D3461">
        <v>5.0191189999999999</v>
      </c>
      <c r="E3461">
        <v>0.49422929999999998</v>
      </c>
      <c r="F3461" t="s">
        <v>55</v>
      </c>
      <c r="G3461">
        <v>-246.89660000000001</v>
      </c>
      <c r="H3461" s="1">
        <v>2.1405659999999998E-6</v>
      </c>
      <c r="I3461">
        <v>214.44900000000001</v>
      </c>
      <c r="J3461">
        <v>-267.7244</v>
      </c>
      <c r="K3461">
        <v>1.1202570000000001</v>
      </c>
      <c r="L3461">
        <v>214.41139999999999</v>
      </c>
      <c r="M3461">
        <v>0.99995060000000002</v>
      </c>
      <c r="N3461">
        <v>-9.6016750000000005E-3</v>
      </c>
      <c r="O3461">
        <v>2.5603290000000001E-3</v>
      </c>
      <c r="P3461">
        <v>0.99016610000000005</v>
      </c>
      <c r="Q3461">
        <v>-0.13893810000000001</v>
      </c>
      <c r="R3461">
        <v>-1.6349430000000002E-2</v>
      </c>
      <c r="S3461">
        <v>3.0074770000000002</v>
      </c>
      <c r="T3461">
        <v>-0.15963959999999999</v>
      </c>
      <c r="U3461">
        <v>5.4626459999999998E-3</v>
      </c>
      <c r="V3461">
        <v>1.8879719999999999E-2</v>
      </c>
      <c r="W3461">
        <v>-0.1294256</v>
      </c>
      <c r="X3461">
        <v>0.9914094</v>
      </c>
      <c r="Y3461">
        <v>7.4044659999999995E-4</v>
      </c>
      <c r="Z3461">
        <v>-1.344346E-4</v>
      </c>
      <c r="AA3461">
        <v>0.99999970000000005</v>
      </c>
      <c r="AB3461">
        <v>27</v>
      </c>
      <c r="AC3461">
        <v>20.8278</v>
      </c>
      <c r="AD3461">
        <v>-1.120254859434</v>
      </c>
      <c r="AE3461">
        <v>3.7600000000026002E-2</v>
      </c>
      <c r="AF3461">
        <v>1.56832319446027E-2</v>
      </c>
      <c r="AG3461">
        <v>-1.120254859434</v>
      </c>
      <c r="AH3461">
        <v>20.767747318683401</v>
      </c>
      <c r="AI3461">
        <v>93.087658464634899</v>
      </c>
      <c r="AJ3461">
        <v>89.956731810391105</v>
      </c>
      <c r="AK3461">
        <v>20.7979457064041</v>
      </c>
      <c r="AL3461">
        <v>97.436401103323703</v>
      </c>
      <c r="AM3461">
        <v>88.909030375633407</v>
      </c>
      <c r="AN3461">
        <v>1.0000000140854901</v>
      </c>
    </row>
    <row r="3462" spans="1:40" x14ac:dyDescent="0.25">
      <c r="A3462" t="str">
        <f>"20190303154539418"</f>
        <v>20190303154539418</v>
      </c>
      <c r="B3462" t="str">
        <f>"1551599139414878"</f>
        <v>1551599139414878</v>
      </c>
      <c r="C3462" t="s">
        <v>40</v>
      </c>
      <c r="D3462">
        <v>5.0716190000000001</v>
      </c>
      <c r="E3462">
        <v>0.49429529999999999</v>
      </c>
      <c r="F3462" t="s">
        <v>55</v>
      </c>
      <c r="G3462">
        <v>-246.73310000000001</v>
      </c>
      <c r="H3462" s="1">
        <v>2.0539279999999999E-6</v>
      </c>
      <c r="I3462">
        <v>214.44059999999999</v>
      </c>
      <c r="J3462">
        <v>-267.45650000000001</v>
      </c>
      <c r="K3462">
        <v>1.12025</v>
      </c>
      <c r="L3462">
        <v>214.41200000000001</v>
      </c>
      <c r="M3462">
        <v>0.99995120000000004</v>
      </c>
      <c r="N3462">
        <v>-9.5533709999999997E-3</v>
      </c>
      <c r="O3462">
        <v>2.5605609999999998E-3</v>
      </c>
      <c r="P3462">
        <v>0.99020699999999995</v>
      </c>
      <c r="Q3462">
        <v>-0.13859170000000001</v>
      </c>
      <c r="R3462">
        <v>-1.6809660000000001E-2</v>
      </c>
      <c r="S3462">
        <v>3.0073240000000001</v>
      </c>
      <c r="T3462">
        <v>-0.16049389999999999</v>
      </c>
      <c r="U3462">
        <v>4.1809079999999997E-3</v>
      </c>
      <c r="V3462">
        <v>1.934021E-2</v>
      </c>
      <c r="W3462">
        <v>-0.12912670000000001</v>
      </c>
      <c r="X3462">
        <v>0.99143950000000003</v>
      </c>
      <c r="Y3462">
        <v>1.166027E-3</v>
      </c>
      <c r="Z3462">
        <v>-1.487719E-4</v>
      </c>
      <c r="AA3462">
        <v>0.99999930000000004</v>
      </c>
      <c r="AB3462">
        <v>27</v>
      </c>
      <c r="AC3462">
        <v>20.723400000000002</v>
      </c>
      <c r="AD3462">
        <v>-1.1202479460720001</v>
      </c>
      <c r="AE3462">
        <v>2.8599999999983E-2</v>
      </c>
      <c r="AF3462">
        <v>2.4394753625637498E-2</v>
      </c>
      <c r="AG3462">
        <v>-1.1202479460720001</v>
      </c>
      <c r="AH3462">
        <v>20.6630244244474</v>
      </c>
      <c r="AI3462">
        <v>93.103256220819006</v>
      </c>
      <c r="AJ3462">
        <v>89.932356670208804</v>
      </c>
      <c r="AK3462">
        <v>20.6933836993855</v>
      </c>
      <c r="AL3462">
        <v>97.419130461930905</v>
      </c>
      <c r="AM3462">
        <v>88.882461428081598</v>
      </c>
      <c r="AN3462">
        <v>1.00000001526799</v>
      </c>
    </row>
    <row r="3463" spans="1:40" x14ac:dyDescent="0.25">
      <c r="A3463" t="str">
        <f>"20190303154539448"</f>
        <v>20190303154539448</v>
      </c>
      <c r="B3463" t="str">
        <f>"1551599139434398"</f>
        <v>1551599139434398</v>
      </c>
      <c r="C3463" t="s">
        <v>40</v>
      </c>
      <c r="D3463">
        <v>4.9961500000000001</v>
      </c>
      <c r="E3463">
        <v>0.49432159999999897</v>
      </c>
      <c r="F3463" t="s">
        <v>55</v>
      </c>
      <c r="G3463">
        <v>-246.45760000000001</v>
      </c>
      <c r="H3463" s="1">
        <v>1.9078679999999999E-6</v>
      </c>
      <c r="I3463">
        <v>214.428</v>
      </c>
      <c r="J3463">
        <v>-267.0994</v>
      </c>
      <c r="K3463">
        <v>1.120241</v>
      </c>
      <c r="L3463">
        <v>214.41290000000001</v>
      </c>
      <c r="M3463">
        <v>0.9999517</v>
      </c>
      <c r="N3463">
        <v>-9.4988360000000001E-3</v>
      </c>
      <c r="O3463">
        <v>2.5611800000000001E-3</v>
      </c>
      <c r="P3463">
        <v>0.99026800000000004</v>
      </c>
      <c r="Q3463">
        <v>-0.13810720000000001</v>
      </c>
      <c r="R3463">
        <v>-1.720261E-2</v>
      </c>
      <c r="S3463">
        <v>3.007263</v>
      </c>
      <c r="T3463">
        <v>-0.16043160000000001</v>
      </c>
      <c r="U3463">
        <v>2.2888180000000002E-3</v>
      </c>
      <c r="V3463">
        <v>1.973389E-2</v>
      </c>
      <c r="W3463">
        <v>-0.1286958</v>
      </c>
      <c r="X3463">
        <v>0.99148769999999997</v>
      </c>
      <c r="Y3463">
        <v>1.7947340000000001E-3</v>
      </c>
      <c r="Z3463">
        <v>-1.685922E-4</v>
      </c>
      <c r="AA3463">
        <v>0.99999839999999995</v>
      </c>
      <c r="AB3463">
        <v>27</v>
      </c>
      <c r="AC3463">
        <v>20.6417999999999</v>
      </c>
      <c r="AD3463">
        <v>-1.120239092132</v>
      </c>
      <c r="AE3463">
        <v>1.5099999999989599E-2</v>
      </c>
      <c r="AF3463">
        <v>3.7658879236200697E-2</v>
      </c>
      <c r="AG3463">
        <v>-1.120239092132</v>
      </c>
      <c r="AH3463">
        <v>20.581153777775501</v>
      </c>
      <c r="AI3463">
        <v>93.115548910020493</v>
      </c>
      <c r="AJ3463">
        <v>89.895161735989703</v>
      </c>
      <c r="AK3463">
        <v>20.6116531272766</v>
      </c>
      <c r="AL3463">
        <v>97.394234483176902</v>
      </c>
      <c r="AM3463">
        <v>88.859774716189193</v>
      </c>
      <c r="AN3463">
        <v>0.99999994730172903</v>
      </c>
    </row>
    <row r="3464" spans="1:40" x14ac:dyDescent="0.25">
      <c r="A3464" t="str">
        <f>"20190303154539471"</f>
        <v>20190303154539471</v>
      </c>
      <c r="B3464" t="str">
        <f>"1551599139464654"</f>
        <v>1551599139464654</v>
      </c>
      <c r="C3464" t="s">
        <v>40</v>
      </c>
      <c r="D3464">
        <v>5.0175799999999997</v>
      </c>
      <c r="E3464">
        <v>0.49438280000000001</v>
      </c>
      <c r="F3464" t="s">
        <v>55</v>
      </c>
      <c r="G3464">
        <v>-245.9563</v>
      </c>
      <c r="H3464" s="1">
        <v>1.6415559999999999E-6</v>
      </c>
      <c r="I3464">
        <v>214.41759999999999</v>
      </c>
      <c r="J3464">
        <v>-266.80520000000001</v>
      </c>
      <c r="K3464">
        <v>1.1202399999999999</v>
      </c>
      <c r="L3464">
        <v>214.41370000000001</v>
      </c>
      <c r="M3464">
        <v>0.99995199999999995</v>
      </c>
      <c r="N3464">
        <v>-9.4612389999999998E-3</v>
      </c>
      <c r="O3464">
        <v>2.5617169999999998E-3</v>
      </c>
      <c r="P3464">
        <v>0.99027549999999998</v>
      </c>
      <c r="Q3464">
        <v>-0.13803959999999901</v>
      </c>
      <c r="R3464">
        <v>-1.7308870000000001E-2</v>
      </c>
      <c r="S3464">
        <v>3.0073240000000001</v>
      </c>
      <c r="T3464">
        <v>-0.15933910000000001</v>
      </c>
      <c r="U3464">
        <v>6.7138669999999997E-4</v>
      </c>
      <c r="V3464">
        <v>1.9840759999999999E-2</v>
      </c>
      <c r="W3464">
        <v>-0.12866540000000001</v>
      </c>
      <c r="X3464">
        <v>0.99148950000000002</v>
      </c>
      <c r="Y3464">
        <v>2.3323010000000002E-3</v>
      </c>
      <c r="Z3464">
        <v>-1.841965E-4</v>
      </c>
      <c r="AA3464">
        <v>0.99999729999999998</v>
      </c>
      <c r="AB3464">
        <v>27</v>
      </c>
      <c r="AC3464">
        <v>20.8489</v>
      </c>
      <c r="AD3464">
        <v>-1.1202383584440001</v>
      </c>
      <c r="AE3464">
        <v>3.8999999999873498E-3</v>
      </c>
      <c r="AF3464">
        <v>4.9368852411013298E-2</v>
      </c>
      <c r="AG3464">
        <v>-1.1202383584440001</v>
      </c>
      <c r="AH3464">
        <v>20.7888231669248</v>
      </c>
      <c r="AI3464">
        <v>93.0844810741537</v>
      </c>
      <c r="AJ3464">
        <v>89.863935464627005</v>
      </c>
      <c r="AK3464">
        <v>20.819042723645801</v>
      </c>
      <c r="AL3464">
        <v>97.392478182098699</v>
      </c>
      <c r="AM3464">
        <v>88.853603485675094</v>
      </c>
      <c r="AN3464">
        <v>0.99999993476239102</v>
      </c>
    </row>
    <row r="3465" spans="1:40" x14ac:dyDescent="0.25">
      <c r="A3465" t="str">
        <f>"20190303154539493"</f>
        <v>20190303154539493</v>
      </c>
      <c r="B3465" t="str">
        <f>"1551599139484176"</f>
        <v>1551599139484176</v>
      </c>
      <c r="C3465" t="s">
        <v>40</v>
      </c>
      <c r="D3465">
        <v>5.0132320000000004</v>
      </c>
      <c r="E3465">
        <v>0.49437350000000002</v>
      </c>
      <c r="F3465" t="s">
        <v>55</v>
      </c>
      <c r="G3465">
        <v>-245.7466</v>
      </c>
      <c r="H3465" s="1">
        <v>1.5302369999999999E-6</v>
      </c>
      <c r="I3465">
        <v>214.41079999999999</v>
      </c>
      <c r="J3465">
        <v>-266.54090000000002</v>
      </c>
      <c r="K3465">
        <v>1.1202369999999999</v>
      </c>
      <c r="L3465">
        <v>214.4144</v>
      </c>
      <c r="M3465">
        <v>0.99995230000000002</v>
      </c>
      <c r="N3465">
        <v>-9.4324040000000001E-3</v>
      </c>
      <c r="O3465">
        <v>2.5621530000000002E-3</v>
      </c>
      <c r="P3465">
        <v>0.99027350000000003</v>
      </c>
      <c r="Q3465">
        <v>-0.13803489999999999</v>
      </c>
      <c r="R3465">
        <v>-1.7453219999999998E-2</v>
      </c>
      <c r="S3465">
        <v>3.0071409999999998</v>
      </c>
      <c r="T3465">
        <v>-0.1599681</v>
      </c>
      <c r="U3465">
        <v>-4.1198729999999999E-4</v>
      </c>
      <c r="V3465">
        <v>1.9985599999999999E-2</v>
      </c>
      <c r="W3465">
        <v>-0.12868940000000001</v>
      </c>
      <c r="X3465">
        <v>0.99148360000000002</v>
      </c>
      <c r="Y3465">
        <v>2.6923350000000001E-3</v>
      </c>
      <c r="Z3465">
        <v>-1.9631499999999999E-4</v>
      </c>
      <c r="AA3465">
        <v>0.99999640000000001</v>
      </c>
      <c r="AB3465">
        <v>27</v>
      </c>
      <c r="AC3465">
        <v>20.7943</v>
      </c>
      <c r="AD3465">
        <v>-1.1202354697629999</v>
      </c>
      <c r="AE3465">
        <v>-3.6000000000058199E-3</v>
      </c>
      <c r="AF3465">
        <v>5.6715930911383002E-2</v>
      </c>
      <c r="AG3465">
        <v>-1.1202354697629999</v>
      </c>
      <c r="AH3465">
        <v>20.734047791722901</v>
      </c>
      <c r="AI3465">
        <v>93.092603080943704</v>
      </c>
      <c r="AJ3465">
        <v>89.843273469794994</v>
      </c>
      <c r="AK3465">
        <v>20.7643656785846</v>
      </c>
      <c r="AL3465">
        <v>97.393863896223195</v>
      </c>
      <c r="AM3465">
        <v>88.845230037573202</v>
      </c>
      <c r="AN3465">
        <v>1.00000005747433</v>
      </c>
    </row>
    <row r="3466" spans="1:40" x14ac:dyDescent="0.25">
      <c r="A3466" t="str">
        <f>"20190303154539515"</f>
        <v>20190303154539515</v>
      </c>
      <c r="B3466" t="str">
        <f>"1551599139504670"</f>
        <v>1551599139504670</v>
      </c>
      <c r="C3466" t="s">
        <v>40</v>
      </c>
      <c r="D3466">
        <v>4.9822829999999998</v>
      </c>
      <c r="E3466">
        <v>0.49437900000000001</v>
      </c>
      <c r="F3466" t="s">
        <v>55</v>
      </c>
      <c r="G3466">
        <v>-245.64</v>
      </c>
      <c r="H3466" s="1">
        <v>1.4735439999999999E-6</v>
      </c>
      <c r="I3466">
        <v>214.4101</v>
      </c>
      <c r="J3466">
        <v>-266.27550000000002</v>
      </c>
      <c r="K3466">
        <v>1.120231</v>
      </c>
      <c r="L3466">
        <v>214.41499999999999</v>
      </c>
      <c r="M3466">
        <v>0.99995239999999996</v>
      </c>
      <c r="N3466">
        <v>-9.40766E-3</v>
      </c>
      <c r="O3466">
        <v>2.562628E-3</v>
      </c>
      <c r="P3466">
        <v>0.99031199999999997</v>
      </c>
      <c r="Q3466">
        <v>-0.13778950000000001</v>
      </c>
      <c r="R3466">
        <v>-1.7208520000000001E-2</v>
      </c>
      <c r="S3466">
        <v>3.0069889999999999</v>
      </c>
      <c r="T3466">
        <v>-0.16116710000000001</v>
      </c>
      <c r="U3466">
        <v>-6.1035159999999996E-4</v>
      </c>
      <c r="V3466">
        <v>1.9741419999999999E-2</v>
      </c>
      <c r="W3466">
        <v>-0.1284681</v>
      </c>
      <c r="X3466">
        <v>0.99151710000000004</v>
      </c>
      <c r="Y3466">
        <v>2.7585629999999999E-3</v>
      </c>
      <c r="Z3466">
        <v>-2.0001740000000001E-4</v>
      </c>
      <c r="AA3466">
        <v>0.9999962</v>
      </c>
      <c r="AB3466">
        <v>27</v>
      </c>
      <c r="AC3466">
        <v>20.6355</v>
      </c>
      <c r="AD3466">
        <v>-1.120229526456</v>
      </c>
      <c r="AE3466">
        <v>-4.8999999999921303E-3</v>
      </c>
      <c r="AF3466">
        <v>5.7613648664539101E-2</v>
      </c>
      <c r="AG3466">
        <v>-1.120229526456</v>
      </c>
      <c r="AH3466">
        <v>20.574785245623499</v>
      </c>
      <c r="AI3466">
        <v>93.116477821258002</v>
      </c>
      <c r="AJ3466">
        <v>89.839560401553399</v>
      </c>
      <c r="AK3466">
        <v>20.605339633890601</v>
      </c>
      <c r="AL3466">
        <v>97.381078875006295</v>
      </c>
      <c r="AM3466">
        <v>88.859373560678804</v>
      </c>
      <c r="AN3466">
        <v>0.99999996798681701</v>
      </c>
    </row>
    <row r="3467" spans="1:40" x14ac:dyDescent="0.25">
      <c r="A3467" t="str">
        <f>"20190303154539537"</f>
        <v>20190303154539537</v>
      </c>
      <c r="B3467" t="str">
        <f>"1551599139524190"</f>
        <v>1551599139524190</v>
      </c>
      <c r="C3467" t="s">
        <v>40</v>
      </c>
      <c r="D3467">
        <v>5.0378410000000002</v>
      </c>
      <c r="E3467">
        <v>0.49434860000000003</v>
      </c>
      <c r="F3467" t="s">
        <v>55</v>
      </c>
      <c r="G3467">
        <v>-245.31129999999999</v>
      </c>
      <c r="H3467" s="1">
        <v>1.2984449999999999E-6</v>
      </c>
      <c r="I3467">
        <v>214.41470000000001</v>
      </c>
      <c r="J3467">
        <v>-266.00450000000001</v>
      </c>
      <c r="K3467">
        <v>1.1202299999999901</v>
      </c>
      <c r="L3467">
        <v>214.41569999999999</v>
      </c>
      <c r="M3467">
        <v>0.99995270000000003</v>
      </c>
      <c r="N3467">
        <v>-9.3862900000000003E-3</v>
      </c>
      <c r="O3467">
        <v>2.5630869999999999E-3</v>
      </c>
      <c r="P3467">
        <v>0.9903381</v>
      </c>
      <c r="Q3467">
        <v>-0.13762869999999999</v>
      </c>
      <c r="R3467">
        <v>-1.6993580000000001E-2</v>
      </c>
      <c r="S3467">
        <v>3.0069889999999999</v>
      </c>
      <c r="T3467">
        <v>-0.16067960000000001</v>
      </c>
      <c r="U3467" s="1">
        <v>-4.5776370000000002E-5</v>
      </c>
      <c r="V3467">
        <v>1.9526979999999999E-2</v>
      </c>
      <c r="W3467">
        <v>-0.12832830000000001</v>
      </c>
      <c r="X3467">
        <v>0.99153950000000002</v>
      </c>
      <c r="Y3467">
        <v>2.5716239999999998E-3</v>
      </c>
      <c r="Z3467">
        <v>-1.9355570000000001E-4</v>
      </c>
      <c r="AA3467">
        <v>0.99999669999999896</v>
      </c>
      <c r="AB3467">
        <v>27</v>
      </c>
      <c r="AC3467">
        <v>20.693200000000001</v>
      </c>
      <c r="AD3467">
        <v>-1.1202287015550001</v>
      </c>
      <c r="AE3467">
        <v>-9.9999999997635292E-4</v>
      </c>
      <c r="AF3467">
        <v>5.3882893456542201E-2</v>
      </c>
      <c r="AG3467">
        <v>-1.1202287015550001</v>
      </c>
      <c r="AH3467">
        <v>20.632663163289699</v>
      </c>
      <c r="AI3467">
        <v>93.107752062936996</v>
      </c>
      <c r="AJ3467">
        <v>89.850370485859102</v>
      </c>
      <c r="AK3467">
        <v>20.663121858029299</v>
      </c>
      <c r="AL3467">
        <v>97.373001701309803</v>
      </c>
      <c r="AM3467">
        <v>88.871785808941695</v>
      </c>
      <c r="AN3467">
        <v>1.0000000177945301</v>
      </c>
    </row>
    <row r="3468" spans="1:40" x14ac:dyDescent="0.25">
      <c r="A3468" t="str">
        <f>"20190303154539557"</f>
        <v>20190303154539557</v>
      </c>
      <c r="B3468" t="str">
        <f>"1551599139554708"</f>
        <v>1551599139554708</v>
      </c>
      <c r="C3468" t="s">
        <v>40</v>
      </c>
      <c r="D3468">
        <v>5.0045650000000004</v>
      </c>
      <c r="E3468">
        <v>0.49428280000000002</v>
      </c>
      <c r="F3468" t="s">
        <v>55</v>
      </c>
      <c r="G3468">
        <v>-245.13030000000001</v>
      </c>
      <c r="H3468" s="1">
        <v>1.2018380000000001E-6</v>
      </c>
      <c r="I3468">
        <v>214.4212</v>
      </c>
      <c r="J3468">
        <v>-265.74740000000003</v>
      </c>
      <c r="K3468">
        <v>1.1202289999999999</v>
      </c>
      <c r="L3468">
        <v>214.41640000000001</v>
      </c>
      <c r="M3468">
        <v>0.99995290000000003</v>
      </c>
      <c r="N3468">
        <v>-9.3691139999999996E-3</v>
      </c>
      <c r="O3468">
        <v>2.5636449999999998E-3</v>
      </c>
      <c r="P3468">
        <v>0.99032900000000001</v>
      </c>
      <c r="Q3468">
        <v>-0.13768079999999999</v>
      </c>
      <c r="R3468">
        <v>-1.7101950000000001E-2</v>
      </c>
      <c r="S3468">
        <v>3.0068359999999998</v>
      </c>
      <c r="T3468">
        <v>-0.16136420000000001</v>
      </c>
      <c r="U3468">
        <v>7.9345700000000002E-4</v>
      </c>
      <c r="V3468">
        <v>1.9635900000000001E-2</v>
      </c>
      <c r="W3468">
        <v>-0.1283975</v>
      </c>
      <c r="X3468">
        <v>0.99152839999999998</v>
      </c>
      <c r="Y3468">
        <v>2.2934829999999998E-3</v>
      </c>
      <c r="Z3468">
        <v>-1.857254E-4</v>
      </c>
      <c r="AA3468">
        <v>0.99999740000000004</v>
      </c>
      <c r="AB3468">
        <v>28</v>
      </c>
      <c r="AC3468">
        <v>20.617100000000001</v>
      </c>
      <c r="AD3468">
        <v>-1.1202277981619999</v>
      </c>
      <c r="AE3468">
        <v>4.7999999999888097E-3</v>
      </c>
      <c r="AF3468">
        <v>4.7915796140177797E-2</v>
      </c>
      <c r="AG3468">
        <v>-1.1202277981619999</v>
      </c>
      <c r="AH3468">
        <v>20.556356433861001</v>
      </c>
      <c r="AI3468">
        <v>93.119265179576999</v>
      </c>
      <c r="AJ3468">
        <v>89.866446764166099</v>
      </c>
      <c r="AK3468">
        <v>20.586913223677701</v>
      </c>
      <c r="AL3468">
        <v>97.376999572654995</v>
      </c>
      <c r="AM3468">
        <v>88.865481659457402</v>
      </c>
      <c r="AN3468">
        <v>1.0000000272908001</v>
      </c>
    </row>
    <row r="3469" spans="1:40" x14ac:dyDescent="0.25">
      <c r="A3469" t="str">
        <f>"20190303154539578"</f>
        <v>20190303154539578</v>
      </c>
      <c r="B3469" t="str">
        <f>"1551599139574229"</f>
        <v>1551599139574229</v>
      </c>
      <c r="C3469" t="s">
        <v>40</v>
      </c>
      <c r="D3469">
        <v>5.0178589999999996</v>
      </c>
      <c r="E3469">
        <v>0.49425619999999998</v>
      </c>
      <c r="F3469" t="s">
        <v>55</v>
      </c>
      <c r="G3469">
        <v>-245.0487</v>
      </c>
      <c r="H3469" s="1">
        <v>1.1584509999999999E-6</v>
      </c>
      <c r="I3469">
        <v>214.42070000000001</v>
      </c>
      <c r="J3469">
        <v>-265.49299999999999</v>
      </c>
      <c r="K3469">
        <v>1.1202270000000001</v>
      </c>
      <c r="L3469">
        <v>214.417</v>
      </c>
      <c r="M3469">
        <v>0.99995310000000004</v>
      </c>
      <c r="N3469">
        <v>-9.3547400000000003E-3</v>
      </c>
      <c r="O3469">
        <v>2.563891E-3</v>
      </c>
      <c r="P3469">
        <v>0.99036199999999996</v>
      </c>
      <c r="Q3469">
        <v>-0.1374928</v>
      </c>
      <c r="R3469">
        <v>-1.6711489999999999E-2</v>
      </c>
      <c r="S3469">
        <v>3.0066830000000002</v>
      </c>
      <c r="T3469">
        <v>-0.162723799999999</v>
      </c>
      <c r="U3469">
        <v>6.256104E-4</v>
      </c>
      <c r="V3469">
        <v>1.9245780000000001E-2</v>
      </c>
      <c r="W3469">
        <v>-0.12822329999999901</v>
      </c>
      <c r="X3469">
        <v>0.99155859999999996</v>
      </c>
      <c r="Y3469">
        <v>2.3493310000000001E-3</v>
      </c>
      <c r="Z3469">
        <v>-1.8921300000000001E-4</v>
      </c>
      <c r="AA3469">
        <v>0.99999720000000003</v>
      </c>
      <c r="AB3469">
        <v>28</v>
      </c>
      <c r="AC3469">
        <v>20.444299999999998</v>
      </c>
      <c r="AD3469">
        <v>-1.1202258415490001</v>
      </c>
      <c r="AE3469">
        <v>3.70000000000914E-3</v>
      </c>
      <c r="AF3469">
        <v>4.8573418897385E-2</v>
      </c>
      <c r="AG3469">
        <v>-1.1202258415490001</v>
      </c>
      <c r="AH3469">
        <v>20.3830444976028</v>
      </c>
      <c r="AI3469">
        <v>93.145728600463698</v>
      </c>
      <c r="AJ3469">
        <v>89.863462662237595</v>
      </c>
      <c r="AK3469">
        <v>20.413862160413299</v>
      </c>
      <c r="AL3469">
        <v>97.366935394431593</v>
      </c>
      <c r="AM3469">
        <v>88.888050061994605</v>
      </c>
      <c r="AN3469">
        <v>1.00000003597232</v>
      </c>
    </row>
    <row r="3470" spans="1:40" x14ac:dyDescent="0.25">
      <c r="A3470" t="str">
        <f>"20190303154539599"</f>
        <v>20190303154539599</v>
      </c>
      <c r="B3470" t="str">
        <f>"1551599139594724"</f>
        <v>1551599139594724</v>
      </c>
      <c r="C3470" t="s">
        <v>40</v>
      </c>
      <c r="D3470">
        <v>5.0052469999999998</v>
      </c>
      <c r="E3470">
        <v>0.49420039999999998</v>
      </c>
      <c r="F3470" t="s">
        <v>55</v>
      </c>
      <c r="G3470">
        <v>-244.84299999999999</v>
      </c>
      <c r="H3470" s="1">
        <v>1.048507E-6</v>
      </c>
      <c r="I3470">
        <v>214.4308</v>
      </c>
      <c r="J3470">
        <v>-265.23439999999999</v>
      </c>
      <c r="K3470">
        <v>1.1202209999999999</v>
      </c>
      <c r="L3470">
        <v>214.4177</v>
      </c>
      <c r="M3470">
        <v>0.99995310000000004</v>
      </c>
      <c r="N3470">
        <v>-9.3425049999999992E-3</v>
      </c>
      <c r="O3470">
        <v>2.5644259999999999E-3</v>
      </c>
      <c r="P3470">
        <v>0.99041020000000002</v>
      </c>
      <c r="Q3470">
        <v>-0.13712240000000001</v>
      </c>
      <c r="R3470">
        <v>-1.6884440000000001E-2</v>
      </c>
      <c r="S3470">
        <v>3.0066220000000001</v>
      </c>
      <c r="T3470">
        <v>-0.16310359999999999</v>
      </c>
      <c r="U3470">
        <v>1.998901E-3</v>
      </c>
      <c r="V3470">
        <v>1.9419510000000001E-2</v>
      </c>
      <c r="W3470">
        <v>-0.1278647</v>
      </c>
      <c r="X3470">
        <v>0.99160150000000002</v>
      </c>
      <c r="Y3470">
        <v>1.8938589999999999E-3</v>
      </c>
      <c r="Z3470">
        <v>-1.7525470000000001E-4</v>
      </c>
      <c r="AA3470">
        <v>0.99999819999999995</v>
      </c>
      <c r="AB3470">
        <v>28</v>
      </c>
      <c r="AC3470">
        <v>20.391400000000001</v>
      </c>
      <c r="AD3470">
        <v>-1.120219951493</v>
      </c>
      <c r="AE3470">
        <v>1.3100000000008501E-2</v>
      </c>
      <c r="AF3470">
        <v>3.9076628675419202E-2</v>
      </c>
      <c r="AG3470">
        <v>-1.120219951493</v>
      </c>
      <c r="AH3470">
        <v>20.330011539089899</v>
      </c>
      <c r="AI3470">
        <v>93.153904590329603</v>
      </c>
      <c r="AJ3470">
        <v>89.889871034300896</v>
      </c>
      <c r="AK3470">
        <v>20.3608887060992</v>
      </c>
      <c r="AL3470">
        <v>97.346218739313102</v>
      </c>
      <c r="AM3470">
        <v>88.878063668360696</v>
      </c>
      <c r="AN3470">
        <v>1.0000000168384899</v>
      </c>
    </row>
    <row r="3471" spans="1:40" x14ac:dyDescent="0.25">
      <c r="A3471" t="str">
        <f>"20190303154539619"</f>
        <v>20190303154539619</v>
      </c>
      <c r="B3471" t="str">
        <f>"1551599139614245"</f>
        <v>1551599139614245</v>
      </c>
      <c r="C3471" t="s">
        <v>40</v>
      </c>
      <c r="D3471">
        <v>5.0029810000000001</v>
      </c>
      <c r="E3471">
        <v>0.49420150000000002</v>
      </c>
      <c r="F3471" t="s">
        <v>55</v>
      </c>
      <c r="G3471">
        <v>-244.56389999999999</v>
      </c>
      <c r="H3471" s="1">
        <v>9.0000609999999996E-7</v>
      </c>
      <c r="I3471">
        <v>214.43109999999999</v>
      </c>
      <c r="J3471">
        <v>-264.98250000000002</v>
      </c>
      <c r="K3471">
        <v>1.1202219999999901</v>
      </c>
      <c r="L3471">
        <v>214.41839999999999</v>
      </c>
      <c r="M3471">
        <v>0.99995319999999999</v>
      </c>
      <c r="N3471">
        <v>-9.332623E-3</v>
      </c>
      <c r="O3471">
        <v>2.5648300000000001E-3</v>
      </c>
      <c r="P3471">
        <v>0.99048190000000003</v>
      </c>
      <c r="Q3471">
        <v>-0.13656940000000001</v>
      </c>
      <c r="R3471">
        <v>-1.716384E-2</v>
      </c>
      <c r="S3471">
        <v>3.0065309999999998</v>
      </c>
      <c r="T3471">
        <v>-0.16293640000000001</v>
      </c>
      <c r="U3471">
        <v>1.953125E-3</v>
      </c>
      <c r="V3471">
        <v>1.9699330000000001E-2</v>
      </c>
      <c r="W3471">
        <v>-0.12732089999999999</v>
      </c>
      <c r="X3471">
        <v>0.99166600000000005</v>
      </c>
      <c r="Y3471">
        <v>1.9094520000000001E-3</v>
      </c>
      <c r="Z3471">
        <v>-1.755948E-4</v>
      </c>
      <c r="AA3471">
        <v>0.99999819999999995</v>
      </c>
      <c r="AB3471">
        <v>28</v>
      </c>
      <c r="AC3471">
        <v>20.418600000000001</v>
      </c>
      <c r="AD3471">
        <v>-1.12022109999389</v>
      </c>
      <c r="AE3471">
        <v>1.26999999999952E-2</v>
      </c>
      <c r="AF3471">
        <v>3.9553505366569298E-2</v>
      </c>
      <c r="AG3471">
        <v>-1.12022109999389</v>
      </c>
      <c r="AH3471">
        <v>20.357291525512501</v>
      </c>
      <c r="AI3471">
        <v>93.149689781145398</v>
      </c>
      <c r="AJ3471">
        <v>89.888676444612599</v>
      </c>
      <c r="AK3471">
        <v>20.3881283605769</v>
      </c>
      <c r="AL3471">
        <v>97.3148041779111</v>
      </c>
      <c r="AM3471">
        <v>88.861975667110798</v>
      </c>
      <c r="AN3471">
        <v>1.00000006536762</v>
      </c>
    </row>
    <row r="3472" spans="1:40" x14ac:dyDescent="0.25">
      <c r="A3472" t="str">
        <f>"20190303154539642"</f>
        <v>20190303154539642</v>
      </c>
      <c r="B3472" t="str">
        <f>"1551599139634744"</f>
        <v>1551599139634744</v>
      </c>
      <c r="C3472" t="s">
        <v>40</v>
      </c>
      <c r="D3472">
        <v>5.0076580000000002</v>
      </c>
      <c r="E3472">
        <v>0.49422729999999998</v>
      </c>
      <c r="F3472" t="s">
        <v>55</v>
      </c>
      <c r="G3472">
        <v>-244.19839999999999</v>
      </c>
      <c r="H3472" s="1">
        <v>7.0566739999999998E-7</v>
      </c>
      <c r="I3472">
        <v>214.42689999999999</v>
      </c>
      <c r="J3472">
        <v>-264.69639999999998</v>
      </c>
      <c r="K3472">
        <v>1.1202190000000001</v>
      </c>
      <c r="L3472">
        <v>214.41909999999999</v>
      </c>
      <c r="M3472">
        <v>0.99995339999999999</v>
      </c>
      <c r="N3472">
        <v>-9.3234500000000005E-3</v>
      </c>
      <c r="O3472">
        <v>2.5654100000000002E-3</v>
      </c>
      <c r="P3472">
        <v>0.99053729999999995</v>
      </c>
      <c r="Q3472">
        <v>-0.13618350000000001</v>
      </c>
      <c r="R3472">
        <v>-1.7037980000000001E-2</v>
      </c>
      <c r="S3472">
        <v>3.0064700000000002</v>
      </c>
      <c r="T3472">
        <v>-0.162042299999999</v>
      </c>
      <c r="U3472">
        <v>1.235962E-3</v>
      </c>
      <c r="V3472">
        <v>1.9574370000000001E-2</v>
      </c>
      <c r="W3472">
        <v>-0.12694349999999999</v>
      </c>
      <c r="X3472">
        <v>0.99171679999999995</v>
      </c>
      <c r="Y3472">
        <v>2.148217E-3</v>
      </c>
      <c r="Z3472">
        <v>-1.821383E-4</v>
      </c>
      <c r="AA3472">
        <v>0.99999769999999999</v>
      </c>
      <c r="AB3472">
        <v>28</v>
      </c>
      <c r="AC3472">
        <v>20.497999999999902</v>
      </c>
      <c r="AD3472">
        <v>-1.1202182943326</v>
      </c>
      <c r="AE3472">
        <v>7.80000000000313E-3</v>
      </c>
      <c r="AF3472">
        <v>4.4654710035108E-2</v>
      </c>
      <c r="AG3472">
        <v>-1.1202182943326</v>
      </c>
      <c r="AH3472">
        <v>20.4369149292393</v>
      </c>
      <c r="AI3472">
        <v>93.137433564685495</v>
      </c>
      <c r="AJ3472">
        <v>89.874808778252799</v>
      </c>
      <c r="AK3472">
        <v>20.467642143027799</v>
      </c>
      <c r="AL3472">
        <v>97.293004267098894</v>
      </c>
      <c r="AM3472">
        <v>88.869250597822898</v>
      </c>
      <c r="AN3472">
        <v>1.00000000977769</v>
      </c>
    </row>
    <row r="3473" spans="1:40" x14ac:dyDescent="0.25">
      <c r="A3473" t="str">
        <f>"20190303154539670"</f>
        <v>20190303154539670</v>
      </c>
      <c r="B3473" t="str">
        <f>"1551599139664021"</f>
        <v>1551599139664021</v>
      </c>
      <c r="C3473" t="s">
        <v>40</v>
      </c>
      <c r="D3473">
        <v>5.0299120000000004</v>
      </c>
      <c r="E3473">
        <v>0.49430289999999999</v>
      </c>
      <c r="F3473" t="s">
        <v>55</v>
      </c>
      <c r="G3473">
        <v>-243.887</v>
      </c>
      <c r="H3473" s="1">
        <v>5.3979790000000001E-7</v>
      </c>
      <c r="I3473">
        <v>214.43010000000001</v>
      </c>
      <c r="J3473">
        <v>-264.35250000000002</v>
      </c>
      <c r="K3473">
        <v>1.1202179999999999</v>
      </c>
      <c r="L3473">
        <v>214.42</v>
      </c>
      <c r="M3473">
        <v>0.99995330000000004</v>
      </c>
      <c r="N3473">
        <v>-9.3151150000000005E-3</v>
      </c>
      <c r="O3473">
        <v>2.5661049999999999E-3</v>
      </c>
      <c r="P3473">
        <v>0.99047859999999999</v>
      </c>
      <c r="Q3473">
        <v>-0.13663819999999999</v>
      </c>
      <c r="R3473">
        <v>-1.680618E-2</v>
      </c>
      <c r="S3473">
        <v>3.0064700000000002</v>
      </c>
      <c r="T3473">
        <v>-0.16184509999999999</v>
      </c>
      <c r="U3473">
        <v>1.586914E-3</v>
      </c>
      <c r="V3473">
        <v>1.9342930000000001E-2</v>
      </c>
      <c r="W3473">
        <v>-0.1274071</v>
      </c>
      <c r="X3473">
        <v>0.99166189999999999</v>
      </c>
      <c r="Y3473">
        <v>2.0323910000000001E-3</v>
      </c>
      <c r="Z3473">
        <v>-1.7828819999999901E-4</v>
      </c>
      <c r="AA3473">
        <v>0.9999979</v>
      </c>
      <c r="AB3473">
        <v>28</v>
      </c>
      <c r="AC3473">
        <v>20.465499999999999</v>
      </c>
      <c r="AD3473">
        <v>-1.1202174602021</v>
      </c>
      <c r="AE3473">
        <v>1.01000000000226E-2</v>
      </c>
      <c r="AF3473">
        <v>4.2292222082269799E-2</v>
      </c>
      <c r="AG3473">
        <v>-1.1202174602021</v>
      </c>
      <c r="AH3473">
        <v>20.4043246351074</v>
      </c>
      <c r="AI3473">
        <v>93.142433130714096</v>
      </c>
      <c r="AJ3473">
        <v>89.881242706886098</v>
      </c>
      <c r="AK3473">
        <v>20.435095781645899</v>
      </c>
      <c r="AL3473">
        <v>97.319783952789905</v>
      </c>
      <c r="AM3473">
        <v>88.882554899769303</v>
      </c>
      <c r="AN3473">
        <v>1.0000000209915001</v>
      </c>
    </row>
    <row r="3474" spans="1:40" x14ac:dyDescent="0.25">
      <c r="A3474" t="str">
        <f>"20190303154539708"</f>
        <v>20190303154539708</v>
      </c>
      <c r="B3474" t="str">
        <f>"1551599139704037"</f>
        <v>1551599139704037</v>
      </c>
      <c r="C3474" t="s">
        <v>40</v>
      </c>
      <c r="D3474">
        <v>5.0214160000000003</v>
      </c>
      <c r="E3474">
        <v>0.49432979999999999</v>
      </c>
      <c r="F3474" t="s">
        <v>55</v>
      </c>
      <c r="G3474">
        <v>-243.75970000000001</v>
      </c>
      <c r="H3474" s="1">
        <v>4.7200520000000001E-7</v>
      </c>
      <c r="I3474">
        <v>214.43180000000001</v>
      </c>
      <c r="J3474">
        <v>-263.87110000000001</v>
      </c>
      <c r="K3474">
        <v>1.1202019999999999</v>
      </c>
      <c r="L3474">
        <v>214.4212</v>
      </c>
      <c r="M3474">
        <v>0.99995339999999999</v>
      </c>
      <c r="N3474">
        <v>-9.307081E-3</v>
      </c>
      <c r="O3474">
        <v>2.5669780000000001E-3</v>
      </c>
      <c r="P3474">
        <v>0.99046029999999996</v>
      </c>
      <c r="Q3474">
        <v>-0.13679929999999901</v>
      </c>
      <c r="R3474">
        <v>-1.6564809999999999E-2</v>
      </c>
      <c r="S3474">
        <v>3.006348</v>
      </c>
      <c r="T3474">
        <v>-0.16354109999999999</v>
      </c>
      <c r="U3474">
        <v>1.7242430000000001E-3</v>
      </c>
      <c r="V3474">
        <v>1.9102520000000001E-2</v>
      </c>
      <c r="W3474">
        <v>-0.1275762</v>
      </c>
      <c r="X3474">
        <v>0.99164479999999999</v>
      </c>
      <c r="Y3474">
        <v>1.9875069999999999E-3</v>
      </c>
      <c r="Z3474">
        <v>-1.7893569999999999E-4</v>
      </c>
      <c r="AA3474">
        <v>0.99999800000000005</v>
      </c>
      <c r="AB3474">
        <v>28</v>
      </c>
      <c r="AC3474">
        <v>20.1114</v>
      </c>
      <c r="AD3474">
        <v>-1.1202015279948001</v>
      </c>
      <c r="AE3474">
        <v>1.06000000000108E-2</v>
      </c>
      <c r="AF3474">
        <v>4.0900898214067803E-2</v>
      </c>
      <c r="AG3474">
        <v>-1.1202015279948001</v>
      </c>
      <c r="AH3474">
        <v>20.049159029751898</v>
      </c>
      <c r="AI3474">
        <v>93.197940795480093</v>
      </c>
      <c r="AJ3474">
        <v>89.883115017863702</v>
      </c>
      <c r="AK3474">
        <v>20.080470665476899</v>
      </c>
      <c r="AL3474">
        <v>97.329552528476398</v>
      </c>
      <c r="AM3474">
        <v>88.896420954208594</v>
      </c>
      <c r="AN3474">
        <v>1.0000000012219099</v>
      </c>
    </row>
    <row r="3475" spans="1:40" x14ac:dyDescent="0.25">
      <c r="A3475" t="str">
        <f>"20190303154539731"</f>
        <v>20190303154539731</v>
      </c>
      <c r="B3475" t="str">
        <f>"1551599139724532"</f>
        <v>1551599139724532</v>
      </c>
      <c r="C3475" t="s">
        <v>40</v>
      </c>
      <c r="D3475">
        <v>5.0914950000000001</v>
      </c>
      <c r="E3475">
        <v>0.50976560000000004</v>
      </c>
      <c r="F3475" t="s">
        <v>55</v>
      </c>
      <c r="G3475">
        <v>-243.43469999999999</v>
      </c>
      <c r="H3475" s="1">
        <v>2.9892949999999998E-7</v>
      </c>
      <c r="I3475">
        <v>214.4341</v>
      </c>
      <c r="J3475">
        <v>-263.59070000000003</v>
      </c>
      <c r="K3475">
        <v>1.120201</v>
      </c>
      <c r="L3475">
        <v>214.42189999999999</v>
      </c>
      <c r="M3475">
        <v>0.99995339999999999</v>
      </c>
      <c r="N3475">
        <v>-9.3041649999999997E-3</v>
      </c>
      <c r="O3475">
        <v>2.567349E-3</v>
      </c>
      <c r="P3475">
        <v>0.99050709999999997</v>
      </c>
      <c r="Q3475">
        <v>-0.13644010000000001</v>
      </c>
      <c r="R3475">
        <v>-1.6728630000000001E-2</v>
      </c>
      <c r="S3475">
        <v>3.0061040000000001</v>
      </c>
      <c r="T3475">
        <v>-0.16477610000000001</v>
      </c>
      <c r="U3475">
        <v>1.8920899999999999E-3</v>
      </c>
      <c r="V3475">
        <v>1.926694E-2</v>
      </c>
      <c r="W3475">
        <v>-0.12721959999999999</v>
      </c>
      <c r="X3475">
        <v>0.9916874</v>
      </c>
      <c r="Y3475">
        <v>1.931997E-3</v>
      </c>
      <c r="Z3475">
        <v>-1.78654199999999E-4</v>
      </c>
      <c r="AA3475">
        <v>0.9999981</v>
      </c>
      <c r="AB3475">
        <v>28</v>
      </c>
      <c r="AC3475">
        <v>20.155999999999999</v>
      </c>
      <c r="AD3475">
        <v>-1.1202007010705</v>
      </c>
      <c r="AE3475">
        <v>1.2200000000007E-2</v>
      </c>
      <c r="AF3475">
        <v>3.9427984430808201E-2</v>
      </c>
      <c r="AG3475">
        <v>-1.1202007010705</v>
      </c>
      <c r="AH3475">
        <v>20.093899848009301</v>
      </c>
      <c r="AI3475">
        <v>93.190833176941794</v>
      </c>
      <c r="AJ3475">
        <v>89.887575123772294</v>
      </c>
      <c r="AK3475">
        <v>20.125138888426701</v>
      </c>
      <c r="AL3475">
        <v>97.308953228151694</v>
      </c>
      <c r="AM3475">
        <v>88.886972364991394</v>
      </c>
      <c r="AN3475">
        <v>0.99999997045994105</v>
      </c>
    </row>
    <row r="3476" spans="1:40" x14ac:dyDescent="0.25">
      <c r="A3476" t="str">
        <f>"20190303154539752"</f>
        <v>20190303154539752</v>
      </c>
      <c r="B3476" t="str">
        <f>"1551599139744053"</f>
        <v>1551599139744053</v>
      </c>
      <c r="C3476" t="s">
        <v>40</v>
      </c>
      <c r="D3476">
        <v>5.0369979999999996</v>
      </c>
      <c r="E3476">
        <v>0.51570020000000005</v>
      </c>
      <c r="F3476" t="s">
        <v>55</v>
      </c>
      <c r="G3476">
        <v>-246.48259999999999</v>
      </c>
      <c r="H3476" s="1">
        <v>1.9519809999999998E-6</v>
      </c>
      <c r="I3476">
        <v>213.72300000000001</v>
      </c>
      <c r="J3476">
        <v>-263.3159</v>
      </c>
      <c r="K3476">
        <v>1.1201970000000001</v>
      </c>
      <c r="L3476">
        <v>214.42259999999999</v>
      </c>
      <c r="M3476">
        <v>0.99995339999999999</v>
      </c>
      <c r="N3476">
        <v>-9.3024040000000002E-3</v>
      </c>
      <c r="O3476">
        <v>2.5678350000000001E-3</v>
      </c>
      <c r="P3476">
        <v>0.99054779999999998</v>
      </c>
      <c r="Q3476">
        <v>-0.13611799999999999</v>
      </c>
      <c r="R3476">
        <v>-1.6933409999999999E-2</v>
      </c>
      <c r="S3476">
        <v>2.999603</v>
      </c>
      <c r="T3476">
        <v>-0.1964072</v>
      </c>
      <c r="U3476">
        <v>-0.12254329999999999</v>
      </c>
      <c r="V3476">
        <v>1.9472199999999999E-2</v>
      </c>
      <c r="W3476">
        <v>-0.12689880000000001</v>
      </c>
      <c r="X3476">
        <v>0.99172450000000001</v>
      </c>
      <c r="Y3476">
        <v>4.3275050000000002E-2</v>
      </c>
      <c r="Z3476">
        <v>-1.760321E-3</v>
      </c>
      <c r="AA3476">
        <v>0.99906159999999999</v>
      </c>
      <c r="AB3476">
        <v>28</v>
      </c>
      <c r="AC3476">
        <v>16.833300000000001</v>
      </c>
      <c r="AD3476">
        <v>-1.1201950480189999</v>
      </c>
      <c r="AE3476">
        <v>-0.699600000000003</v>
      </c>
      <c r="AF3476">
        <v>0.73955528805104898</v>
      </c>
      <c r="AG3476">
        <v>-1.1201950480189999</v>
      </c>
      <c r="AH3476">
        <v>16.757367265400301</v>
      </c>
      <c r="AI3476">
        <v>93.820705456298199</v>
      </c>
      <c r="AJ3476">
        <v>87.4729969540968</v>
      </c>
      <c r="AK3476">
        <v>16.8110421044384</v>
      </c>
      <c r="AL3476">
        <v>97.290422497878694</v>
      </c>
      <c r="AM3476">
        <v>88.875159846323598</v>
      </c>
      <c r="AN3476">
        <v>0.99999997795726403</v>
      </c>
    </row>
    <row r="3477" spans="1:40" x14ac:dyDescent="0.25">
      <c r="A3477" t="str">
        <f>"20190303154539776"</f>
        <v>20190303154539776</v>
      </c>
      <c r="B3477" t="str">
        <f>"1551599139764548"</f>
        <v>1551599139764548</v>
      </c>
      <c r="C3477" t="s">
        <v>40</v>
      </c>
      <c r="D3477">
        <v>5.0081660000000001</v>
      </c>
      <c r="E3477">
        <v>0.51820849999999996</v>
      </c>
      <c r="F3477" t="s">
        <v>55</v>
      </c>
      <c r="G3477">
        <v>-247.74350000000001</v>
      </c>
      <c r="H3477" s="1">
        <v>2.631227E-6</v>
      </c>
      <c r="I3477">
        <v>213.53360000000001</v>
      </c>
      <c r="J3477">
        <v>-263.02550000000002</v>
      </c>
      <c r="K3477">
        <v>1.120193</v>
      </c>
      <c r="L3477">
        <v>214.42339999999999</v>
      </c>
      <c r="M3477">
        <v>0.99995350000000005</v>
      </c>
      <c r="N3477">
        <v>-9.3015340000000002E-3</v>
      </c>
      <c r="O3477">
        <v>2.5681969999999999E-3</v>
      </c>
      <c r="P3477">
        <v>0.99050150000000003</v>
      </c>
      <c r="Q3477">
        <v>-0.1363945</v>
      </c>
      <c r="R3477">
        <v>-1.7417789999999999E-2</v>
      </c>
      <c r="S3477">
        <v>2.9960939999999998</v>
      </c>
      <c r="T3477">
        <v>-0.2155222</v>
      </c>
      <c r="U3477">
        <v>-0.17105100000000001</v>
      </c>
      <c r="V3477">
        <v>1.9956829999999998E-2</v>
      </c>
      <c r="W3477">
        <v>-0.1271766</v>
      </c>
      <c r="X3477">
        <v>0.99167930000000004</v>
      </c>
      <c r="Y3477">
        <v>5.9384619999999999E-2</v>
      </c>
      <c r="Z3477">
        <v>-2.5687449999999999E-3</v>
      </c>
      <c r="AA3477">
        <v>0.99823189999999995</v>
      </c>
      <c r="AB3477">
        <v>28</v>
      </c>
      <c r="AC3477">
        <v>15.282</v>
      </c>
      <c r="AD3477">
        <v>-1.1201903687729999</v>
      </c>
      <c r="AE3477">
        <v>-0.88979999999997905</v>
      </c>
      <c r="AF3477">
        <v>0.92409747447855795</v>
      </c>
      <c r="AG3477">
        <v>-1.1201903687729999</v>
      </c>
      <c r="AH3477">
        <v>15.198278669209399</v>
      </c>
      <c r="AI3477">
        <v>94.207625297844899</v>
      </c>
      <c r="AJ3477">
        <v>86.520541382301403</v>
      </c>
      <c r="AK3477">
        <v>15.2674967532853</v>
      </c>
      <c r="AL3477">
        <v>97.306469128822002</v>
      </c>
      <c r="AM3477">
        <v>88.847119417145095</v>
      </c>
      <c r="AN3477">
        <v>0.99999999834984898</v>
      </c>
    </row>
    <row r="3478" spans="1:40" x14ac:dyDescent="0.25">
      <c r="A3478" t="str">
        <f>"20190303154539797"</f>
        <v>20190303154539797</v>
      </c>
      <c r="B3478" t="str">
        <f>"1551599139794805"</f>
        <v>1551599139794805</v>
      </c>
      <c r="C3478" t="s">
        <v>40</v>
      </c>
      <c r="D3478">
        <v>4.9298320000000002</v>
      </c>
      <c r="E3478">
        <v>0.51999200000000001</v>
      </c>
      <c r="F3478" t="s">
        <v>55</v>
      </c>
      <c r="G3478">
        <v>-247.6867</v>
      </c>
      <c r="H3478" s="1">
        <v>2.6052029999999999E-6</v>
      </c>
      <c r="I3478">
        <v>213.43729999999999</v>
      </c>
      <c r="J3478">
        <v>-262.75130000000001</v>
      </c>
      <c r="K3478">
        <v>1.1201840000000001</v>
      </c>
      <c r="L3478">
        <v>214.42410000000001</v>
      </c>
      <c r="M3478">
        <v>0.99995339999999999</v>
      </c>
      <c r="N3478">
        <v>-9.3015089999999995E-3</v>
      </c>
      <c r="O3478">
        <v>2.568674E-3</v>
      </c>
      <c r="P3478">
        <v>0.99036880000000005</v>
      </c>
      <c r="Q3478">
        <v>-0.13726089999999999</v>
      </c>
      <c r="R3478">
        <v>-1.813977E-2</v>
      </c>
      <c r="S3478">
        <v>2.9952700000000001</v>
      </c>
      <c r="T3478">
        <v>-0.21874279999999999</v>
      </c>
      <c r="U3478">
        <v>-0.19255069999999999</v>
      </c>
      <c r="V3478">
        <v>2.0678829999999999E-2</v>
      </c>
      <c r="W3478">
        <v>-0.1280443</v>
      </c>
      <c r="X3478">
        <v>0.99155280000000001</v>
      </c>
      <c r="Y3478">
        <v>6.6511559999999997E-2</v>
      </c>
      <c r="Z3478">
        <v>-2.8963579999999999E-3</v>
      </c>
      <c r="AA3478">
        <v>0.99778149999999999</v>
      </c>
      <c r="AB3478">
        <v>28</v>
      </c>
      <c r="AC3478">
        <v>15.0646</v>
      </c>
      <c r="AD3478">
        <v>-1.1201813947970001</v>
      </c>
      <c r="AE3478">
        <v>-0.986800000000016</v>
      </c>
      <c r="AF3478">
        <v>1.01987945226649</v>
      </c>
      <c r="AG3478">
        <v>-1.1201813947970001</v>
      </c>
      <c r="AH3478">
        <v>14.9795445440836</v>
      </c>
      <c r="AI3478">
        <v>94.266819136441995</v>
      </c>
      <c r="AJ3478">
        <v>86.105038703607505</v>
      </c>
      <c r="AK3478">
        <v>15.0559528161651</v>
      </c>
      <c r="AL3478">
        <v>97.356594798438195</v>
      </c>
      <c r="AM3478">
        <v>88.805269917066894</v>
      </c>
      <c r="AN3478">
        <v>0.99999995598024805</v>
      </c>
    </row>
    <row r="3479" spans="1:40" x14ac:dyDescent="0.25">
      <c r="A3479" t="str">
        <f>"20190303154539822"</f>
        <v>20190303154539822</v>
      </c>
      <c r="B3479" t="str">
        <f>"1551599139814325"</f>
        <v>1551599139814325</v>
      </c>
      <c r="C3479" t="s">
        <v>40</v>
      </c>
      <c r="D3479">
        <v>4.8861819999999998</v>
      </c>
      <c r="E3479">
        <v>0.52091670000000001</v>
      </c>
      <c r="F3479" t="s">
        <v>55</v>
      </c>
      <c r="G3479">
        <v>-247.49289999999999</v>
      </c>
      <c r="H3479" s="1">
        <v>2.5054900000000001E-6</v>
      </c>
      <c r="I3479">
        <v>213.35939999999999</v>
      </c>
      <c r="J3479">
        <v>-262.4545</v>
      </c>
      <c r="K3479">
        <v>1.12018</v>
      </c>
      <c r="L3479">
        <v>214.4248</v>
      </c>
      <c r="M3479">
        <v>0.9999536</v>
      </c>
      <c r="N3479">
        <v>-9.3021920000000008E-3</v>
      </c>
      <c r="O3479">
        <v>2.5690280000000001E-3</v>
      </c>
      <c r="P3479">
        <v>0.99022650000000001</v>
      </c>
      <c r="Q3479">
        <v>-0.13827900000000001</v>
      </c>
      <c r="R3479">
        <v>-1.8198329999999999E-2</v>
      </c>
      <c r="S3479">
        <v>2.9948730000000001</v>
      </c>
      <c r="T3479">
        <v>-0.2198658</v>
      </c>
      <c r="U3479">
        <v>-0.20896909999999999</v>
      </c>
      <c r="V3479">
        <v>2.0737120000000001E-2</v>
      </c>
      <c r="W3479">
        <v>-0.12906300000000001</v>
      </c>
      <c r="X3479">
        <v>0.99141959999999996</v>
      </c>
      <c r="Y3479">
        <v>7.1946529999999995E-2</v>
      </c>
      <c r="Z3479">
        <v>-3.1340389999999999E-3</v>
      </c>
      <c r="AA3479">
        <v>0.99740359999999995</v>
      </c>
      <c r="AB3479">
        <v>28</v>
      </c>
      <c r="AC3479">
        <v>14.961600000000001</v>
      </c>
      <c r="AD3479">
        <v>-1.12017749451</v>
      </c>
      <c r="AE3479">
        <v>-1.0654000000000099</v>
      </c>
      <c r="AF3479">
        <v>1.0977126795619601</v>
      </c>
      <c r="AG3479">
        <v>-1.12017749451</v>
      </c>
      <c r="AH3479">
        <v>14.8758469779753</v>
      </c>
      <c r="AI3479">
        <v>94.294712894331298</v>
      </c>
      <c r="AJ3479">
        <v>85.779701291266207</v>
      </c>
      <c r="AK3479">
        <v>14.958295158814501</v>
      </c>
      <c r="AL3479">
        <v>97.415449629031599</v>
      </c>
      <c r="AM3479">
        <v>88.801742241725094</v>
      </c>
      <c r="AN3479">
        <v>1.00000005468952</v>
      </c>
    </row>
    <row r="3480" spans="1:40" x14ac:dyDescent="0.25">
      <c r="A3480" t="str">
        <f>"20190303154539844"</f>
        <v>20190303154539844</v>
      </c>
      <c r="B3480" t="str">
        <f>"1551599139834821"</f>
        <v>1551599139834821</v>
      </c>
      <c r="C3480" t="s">
        <v>40</v>
      </c>
      <c r="D3480">
        <v>4.888217</v>
      </c>
      <c r="E3480">
        <v>0.52153279999999902</v>
      </c>
      <c r="F3480" t="s">
        <v>55</v>
      </c>
      <c r="G3480">
        <v>-247.11590000000001</v>
      </c>
      <c r="H3480" s="1">
        <v>2.3068129999999998E-6</v>
      </c>
      <c r="I3480">
        <v>213.31479999999999</v>
      </c>
      <c r="J3480">
        <v>-262.17</v>
      </c>
      <c r="K3480">
        <v>1.1201829999999999</v>
      </c>
      <c r="L3480">
        <v>214.4255</v>
      </c>
      <c r="M3480">
        <v>0.99995350000000005</v>
      </c>
      <c r="N3480">
        <v>-9.3034899999999993E-3</v>
      </c>
      <c r="O3480">
        <v>2.5698560000000001E-3</v>
      </c>
      <c r="P3480">
        <v>0.99016199999999999</v>
      </c>
      <c r="Q3480">
        <v>-0.1386802</v>
      </c>
      <c r="R3480">
        <v>-1.8635140000000001E-2</v>
      </c>
      <c r="S3480">
        <v>2.995117</v>
      </c>
      <c r="T3480">
        <v>-0.2187326</v>
      </c>
      <c r="U3480">
        <v>-0.21673580000000001</v>
      </c>
      <c r="V3480">
        <v>2.1174769999999999E-2</v>
      </c>
      <c r="W3480">
        <v>-0.12946359999999901</v>
      </c>
      <c r="X3480">
        <v>0.99135799999999996</v>
      </c>
      <c r="Y3480">
        <v>7.4509469999999994E-2</v>
      </c>
      <c r="Z3480">
        <v>-3.2244650000000001E-3</v>
      </c>
      <c r="AA3480">
        <v>0.99721510000000002</v>
      </c>
      <c r="AB3480">
        <v>28</v>
      </c>
      <c r="AC3480">
        <v>15.0541</v>
      </c>
      <c r="AD3480">
        <v>-1.120180693187</v>
      </c>
      <c r="AE3480">
        <v>-1.1107</v>
      </c>
      <c r="AF3480">
        <v>1.1430899660248599</v>
      </c>
      <c r="AG3480">
        <v>-1.120180693187</v>
      </c>
      <c r="AH3480">
        <v>14.9687640177674</v>
      </c>
      <c r="AI3480">
        <v>94.267347967063003</v>
      </c>
      <c r="AJ3480">
        <v>85.633082211283096</v>
      </c>
      <c r="AK3480">
        <v>15.054081030585101</v>
      </c>
      <c r="AL3480">
        <v>97.438597374999802</v>
      </c>
      <c r="AM3480">
        <v>88.776385015692497</v>
      </c>
      <c r="AN3480">
        <v>0.99999993938675402</v>
      </c>
    </row>
    <row r="3481" spans="1:40" x14ac:dyDescent="0.25">
      <c r="A3481" t="str">
        <f>"20190303154539868"</f>
        <v>20190303154539868</v>
      </c>
      <c r="B3481" t="str">
        <f>"1551599139864100"</f>
        <v>1551599139864100</v>
      </c>
      <c r="C3481" t="s">
        <v>40</v>
      </c>
      <c r="D3481">
        <v>4.8138059999999996</v>
      </c>
      <c r="E3481">
        <v>0.52202919999999997</v>
      </c>
      <c r="F3481" t="s">
        <v>42</v>
      </c>
      <c r="G3481">
        <v>-261.21609999999998</v>
      </c>
      <c r="H3481">
        <v>1.0513840000000001</v>
      </c>
      <c r="I3481">
        <v>214.3545</v>
      </c>
      <c r="J3481">
        <v>-261.86259999999999</v>
      </c>
      <c r="K3481">
        <v>1.120187</v>
      </c>
      <c r="L3481">
        <v>214.4263</v>
      </c>
      <c r="M3481">
        <v>0.99995339999999999</v>
      </c>
      <c r="N3481">
        <v>-9.3054179999999993E-3</v>
      </c>
      <c r="O3481">
        <v>2.5705020000000001E-3</v>
      </c>
      <c r="P3481">
        <v>0.99013859999999998</v>
      </c>
      <c r="Q3481">
        <v>-0.1387979</v>
      </c>
      <c r="R3481">
        <v>-1.899238E-2</v>
      </c>
      <c r="S3481">
        <v>2.9953609999999999</v>
      </c>
      <c r="T3481">
        <v>-0.21605089999999999</v>
      </c>
      <c r="U3481">
        <v>-0.22299189999999999</v>
      </c>
      <c r="V3481">
        <v>2.1532430000000002E-2</v>
      </c>
      <c r="W3481">
        <v>-0.12957959999999999</v>
      </c>
      <c r="X3481">
        <v>0.99133519999999997</v>
      </c>
      <c r="Y3481">
        <v>7.6575000000000004E-2</v>
      </c>
      <c r="Z3481">
        <v>-3.2725969999999999E-3</v>
      </c>
      <c r="AA3481">
        <v>0.99705849999999996</v>
      </c>
      <c r="AB3481">
        <v>28</v>
      </c>
      <c r="AC3481">
        <v>0.64650000000000296</v>
      </c>
      <c r="AD3481">
        <v>-6.8802999999999906E-2</v>
      </c>
      <c r="AE3481">
        <v>-7.1799999999996006E-2</v>
      </c>
      <c r="AF3481">
        <v>7.2648866290724395E-2</v>
      </c>
      <c r="AG3481">
        <v>-6.8802999999999906E-2</v>
      </c>
      <c r="AH3481">
        <v>0.63916232417750496</v>
      </c>
      <c r="AI3481">
        <v>96.104969733386298</v>
      </c>
      <c r="AJ3481">
        <v>83.515440941510406</v>
      </c>
      <c r="AK3481">
        <v>0.64694681947615895</v>
      </c>
      <c r="AL3481">
        <v>97.445299703204796</v>
      </c>
      <c r="AM3481">
        <v>88.755694945856504</v>
      </c>
      <c r="AN3481">
        <v>0.999999998518452</v>
      </c>
    </row>
    <row r="3482" spans="1:40" x14ac:dyDescent="0.25">
      <c r="A3482" t="str">
        <f>"20190303154539894"</f>
        <v>20190303154539894</v>
      </c>
      <c r="B3482" t="str">
        <f>"1551599139884597"</f>
        <v>1551599139884597</v>
      </c>
      <c r="C3482" t="s">
        <v>40</v>
      </c>
      <c r="D3482">
        <v>4.8012889999999997</v>
      </c>
      <c r="E3482">
        <v>0.52244409999999997</v>
      </c>
      <c r="F3482" t="s">
        <v>42</v>
      </c>
      <c r="G3482">
        <v>-260.95859999999999</v>
      </c>
      <c r="H3482">
        <v>1.0562100000000001</v>
      </c>
      <c r="I3482">
        <v>214.35730000000001</v>
      </c>
      <c r="J3482">
        <v>-261.53969999999998</v>
      </c>
      <c r="K3482">
        <v>1.1201760000000001</v>
      </c>
      <c r="L3482">
        <v>214.4272</v>
      </c>
      <c r="M3482">
        <v>0.99995350000000005</v>
      </c>
      <c r="N3482">
        <v>-9.3079579999999999E-3</v>
      </c>
      <c r="O3482">
        <v>2.5710260000000001E-3</v>
      </c>
      <c r="P3482">
        <v>0.99011389999999999</v>
      </c>
      <c r="Q3482">
        <v>-0.13897010000000001</v>
      </c>
      <c r="R3482">
        <v>-1.9032879999999999E-2</v>
      </c>
      <c r="S3482">
        <v>2.9957579999999999</v>
      </c>
      <c r="T3482">
        <v>-0.21212220000000001</v>
      </c>
      <c r="U3482">
        <v>-0.22811890000000001</v>
      </c>
      <c r="V3482">
        <v>2.15734E-2</v>
      </c>
      <c r="W3482">
        <v>-0.12974949999999999</v>
      </c>
      <c r="X3482">
        <v>0.99131210000000003</v>
      </c>
      <c r="Y3482">
        <v>7.8265500000000002E-2</v>
      </c>
      <c r="Z3482">
        <v>-3.2864280000000001E-3</v>
      </c>
      <c r="AA3482">
        <v>0.99692709999999995</v>
      </c>
      <c r="AB3482">
        <v>28</v>
      </c>
      <c r="AC3482">
        <v>0.58109999999999196</v>
      </c>
      <c r="AD3482">
        <v>-6.3965999999999898E-2</v>
      </c>
      <c r="AE3482">
        <v>-6.9899999999989804E-2</v>
      </c>
      <c r="AF3482">
        <v>7.0551178175324705E-2</v>
      </c>
      <c r="AG3482">
        <v>-6.3965999999999898E-2</v>
      </c>
      <c r="AH3482">
        <v>0.57406164042855601</v>
      </c>
      <c r="AI3482">
        <v>96.310978389106296</v>
      </c>
      <c r="AJ3482">
        <v>82.993582222830497</v>
      </c>
      <c r="AK3482">
        <v>0.58190711020699104</v>
      </c>
      <c r="AL3482">
        <v>97.455117034874704</v>
      </c>
      <c r="AM3482">
        <v>88.753299097580197</v>
      </c>
      <c r="AN3482">
        <v>1.00000001197211</v>
      </c>
    </row>
    <row r="3483" spans="1:40" x14ac:dyDescent="0.25">
      <c r="A3483" t="str">
        <f>"20190303154539913"</f>
        <v>20190303154539913</v>
      </c>
      <c r="B3483" t="str">
        <f>"1551599139904117"</f>
        <v>1551599139904117</v>
      </c>
      <c r="C3483" t="s">
        <v>40</v>
      </c>
      <c r="D3483">
        <v>4.7974560000000004</v>
      </c>
      <c r="E3483">
        <v>0.52275000000000005</v>
      </c>
      <c r="F3483" t="s">
        <v>55</v>
      </c>
      <c r="G3483">
        <v>-245.4367</v>
      </c>
      <c r="H3483" s="1">
        <v>1.4189310000000001E-6</v>
      </c>
      <c r="I3483">
        <v>213.18459999999999</v>
      </c>
      <c r="J3483">
        <v>-261.28640000000001</v>
      </c>
      <c r="K3483">
        <v>1.1201700000000001</v>
      </c>
      <c r="L3483">
        <v>214.42779999999999</v>
      </c>
      <c r="M3483">
        <v>0.99995330000000004</v>
      </c>
      <c r="N3483">
        <v>-9.3102029999999995E-3</v>
      </c>
      <c r="O3483">
        <v>2.5714930000000002E-3</v>
      </c>
      <c r="P3483">
        <v>0.99009610000000003</v>
      </c>
      <c r="Q3483">
        <v>-0.1390721</v>
      </c>
      <c r="R3483">
        <v>-1.9203149999999999E-2</v>
      </c>
      <c r="S3483">
        <v>2.9962460000000002</v>
      </c>
      <c r="T3483">
        <v>-0.20842769999999999</v>
      </c>
      <c r="U3483">
        <v>-0.2312012</v>
      </c>
      <c r="V3483">
        <v>2.1744360000000001E-2</v>
      </c>
      <c r="W3483">
        <v>-0.1298494</v>
      </c>
      <c r="X3483">
        <v>0.99129529999999999</v>
      </c>
      <c r="Y3483">
        <v>7.927787E-2</v>
      </c>
      <c r="Z3483">
        <v>-3.2746289999999998E-3</v>
      </c>
      <c r="AA3483">
        <v>0.99684720000000004</v>
      </c>
      <c r="AB3483">
        <v>28</v>
      </c>
      <c r="AC3483">
        <v>15.8497</v>
      </c>
      <c r="AD3483">
        <v>-1.1201685810690001</v>
      </c>
      <c r="AE3483">
        <v>-1.2432000000000001</v>
      </c>
      <c r="AF3483">
        <v>1.277612555833</v>
      </c>
      <c r="AG3483">
        <v>-1.1201685810690001</v>
      </c>
      <c r="AH3483">
        <v>15.7681721090319</v>
      </c>
      <c r="AI3483">
        <v>94.050228363427706</v>
      </c>
      <c r="AJ3483">
        <v>85.367741767790207</v>
      </c>
      <c r="AK3483">
        <v>15.859455323335901</v>
      </c>
      <c r="AL3483">
        <v>97.460889599497705</v>
      </c>
      <c r="AM3483">
        <v>88.743401390463603</v>
      </c>
      <c r="AN3483">
        <v>1.0000000278371199</v>
      </c>
    </row>
    <row r="3484" spans="1:40" x14ac:dyDescent="0.25">
      <c r="A3484" t="str">
        <f>"20190303154539932"</f>
        <v>20190303154539932</v>
      </c>
      <c r="B3484" t="str">
        <f>"1551599139924613"</f>
        <v>1551599139924613</v>
      </c>
      <c r="C3484" t="s">
        <v>40</v>
      </c>
      <c r="D3484">
        <v>4.7846640000000003</v>
      </c>
      <c r="E3484">
        <v>0.52297130000000003</v>
      </c>
      <c r="F3484" t="s">
        <v>55</v>
      </c>
      <c r="G3484">
        <v>-244.94110000000001</v>
      </c>
      <c r="H3484" s="1">
        <v>1.1566770000000001E-6</v>
      </c>
      <c r="I3484">
        <v>213.15090000000001</v>
      </c>
      <c r="J3484">
        <v>-261.053</v>
      </c>
      <c r="K3484">
        <v>1.1201680000000001</v>
      </c>
      <c r="L3484">
        <v>214.42840000000001</v>
      </c>
      <c r="M3484">
        <v>0.99995339999999999</v>
      </c>
      <c r="N3484">
        <v>-9.3125459999999997E-3</v>
      </c>
      <c r="O3484">
        <v>2.5718400000000002E-3</v>
      </c>
      <c r="P3484">
        <v>0.99009760000000002</v>
      </c>
      <c r="Q3484">
        <v>-0.13905870000000001</v>
      </c>
      <c r="R3484">
        <v>-1.9228780000000001E-2</v>
      </c>
      <c r="S3484">
        <v>2.9966430000000002</v>
      </c>
      <c r="T3484">
        <v>-0.20536470000000001</v>
      </c>
      <c r="U3484">
        <v>-0.23410030000000001</v>
      </c>
      <c r="V3484">
        <v>2.177012E-2</v>
      </c>
      <c r="W3484">
        <v>-0.12983359999999999</v>
      </c>
      <c r="X3484">
        <v>0.99129679999999998</v>
      </c>
      <c r="Y3484">
        <v>8.0230330000000002E-2</v>
      </c>
      <c r="Z3484">
        <v>-3.2683120000000002E-3</v>
      </c>
      <c r="AA3484">
        <v>0.99677099999999996</v>
      </c>
      <c r="AB3484">
        <v>28</v>
      </c>
      <c r="AC3484">
        <v>16.111899999999899</v>
      </c>
      <c r="AD3484">
        <v>-1.1201668433230001</v>
      </c>
      <c r="AE3484">
        <v>-1.2775000000000001</v>
      </c>
      <c r="AF3484">
        <v>1.3126296919585301</v>
      </c>
      <c r="AG3484">
        <v>-1.1201668433230001</v>
      </c>
      <c r="AH3484">
        <v>16.031554825514199</v>
      </c>
      <c r="AI3484">
        <v>93.983622862417107</v>
      </c>
      <c r="AJ3484">
        <v>85.3191845561593</v>
      </c>
      <c r="AK3484">
        <v>16.124159531230099</v>
      </c>
      <c r="AL3484">
        <v>97.459976628075694</v>
      </c>
      <c r="AM3484">
        <v>88.741915110743506</v>
      </c>
      <c r="AN3484">
        <v>1.0000000237519999</v>
      </c>
    </row>
    <row r="3485" spans="1:40" x14ac:dyDescent="0.25">
      <c r="A3485" t="str">
        <f>"20190303154539955"</f>
        <v>20190303154539955</v>
      </c>
      <c r="B3485" t="str">
        <f>"1551599139944132"</f>
        <v>1551599139944132</v>
      </c>
      <c r="C3485" t="s">
        <v>40</v>
      </c>
      <c r="D3485">
        <v>4.7158160000000002</v>
      </c>
      <c r="E3485">
        <v>0.52322329999999995</v>
      </c>
      <c r="F3485" t="s">
        <v>55</v>
      </c>
      <c r="G3485">
        <v>-244.4786</v>
      </c>
      <c r="H3485" s="1">
        <v>9.1175209999999999E-7</v>
      </c>
      <c r="I3485">
        <v>213.1234</v>
      </c>
      <c r="J3485">
        <v>-260.75619999999998</v>
      </c>
      <c r="K3485">
        <v>1.120169</v>
      </c>
      <c r="L3485">
        <v>214.42920000000001</v>
      </c>
      <c r="M3485">
        <v>0.99995330000000004</v>
      </c>
      <c r="N3485">
        <v>-9.3157069999999995E-3</v>
      </c>
      <c r="O3485">
        <v>2.5723019999999998E-3</v>
      </c>
      <c r="P3485">
        <v>0.990143</v>
      </c>
      <c r="Q3485">
        <v>-0.13878689999999999</v>
      </c>
      <c r="R3485">
        <v>-1.8844679999999999E-2</v>
      </c>
      <c r="S3485">
        <v>2.9969790000000001</v>
      </c>
      <c r="T3485">
        <v>-0.2025478</v>
      </c>
      <c r="U3485">
        <v>-0.2359772</v>
      </c>
      <c r="V3485">
        <v>2.1386769999999999E-2</v>
      </c>
      <c r="W3485">
        <v>-0.12955839999999999</v>
      </c>
      <c r="X3485">
        <v>0.99134109999999998</v>
      </c>
      <c r="Y3485">
        <v>8.084653E-2</v>
      </c>
      <c r="Z3485">
        <v>-3.251781E-3</v>
      </c>
      <c r="AA3485">
        <v>0.99672130000000003</v>
      </c>
      <c r="AB3485">
        <v>28</v>
      </c>
      <c r="AC3485">
        <v>16.2775999999999</v>
      </c>
      <c r="AD3485">
        <v>-1.1201680882478999</v>
      </c>
      <c r="AE3485">
        <v>-1.3058000000000001</v>
      </c>
      <c r="AF3485">
        <v>1.34135673281166</v>
      </c>
      <c r="AG3485">
        <v>-1.1201680882478999</v>
      </c>
      <c r="AH3485">
        <v>16.197968599569101</v>
      </c>
      <c r="AI3485">
        <v>93.942530570705301</v>
      </c>
      <c r="AJ3485">
        <v>85.266127221403195</v>
      </c>
      <c r="AK3485">
        <v>16.291967382216701</v>
      </c>
      <c r="AL3485">
        <v>97.444074884425504</v>
      </c>
      <c r="AM3485">
        <v>88.764117005027799</v>
      </c>
      <c r="AN3485">
        <v>0.99999997474540103</v>
      </c>
    </row>
    <row r="3486" spans="1:40" x14ac:dyDescent="0.25">
      <c r="A3486" t="str">
        <f>"20190303154539979"</f>
        <v>20190303154539979</v>
      </c>
      <c r="B3486" t="str">
        <f>"1551599139974389"</f>
        <v>1551599139974389</v>
      </c>
      <c r="C3486" t="s">
        <v>40</v>
      </c>
      <c r="D3486">
        <v>4.7154910000000001</v>
      </c>
      <c r="E3486">
        <v>0.52354619999999996</v>
      </c>
      <c r="F3486" t="s">
        <v>55</v>
      </c>
      <c r="G3486">
        <v>-243.86259999999999</v>
      </c>
      <c r="H3486" s="1">
        <v>5.8518380000000002E-7</v>
      </c>
      <c r="I3486">
        <v>213.09559999999999</v>
      </c>
      <c r="J3486">
        <v>-260.4529</v>
      </c>
      <c r="K3486">
        <v>1.120169</v>
      </c>
      <c r="L3486">
        <v>214.43</v>
      </c>
      <c r="M3486">
        <v>0.99995330000000004</v>
      </c>
      <c r="N3486">
        <v>-9.3188839999999995E-3</v>
      </c>
      <c r="O3486">
        <v>2.5726450000000001E-3</v>
      </c>
      <c r="P3486">
        <v>0.99011950000000004</v>
      </c>
      <c r="Q3486">
        <v>-0.139031399999999</v>
      </c>
      <c r="R3486">
        <v>-1.8273299999999999E-2</v>
      </c>
      <c r="S3486">
        <v>2.9974980000000002</v>
      </c>
      <c r="T3486">
        <v>-0.1987563</v>
      </c>
      <c r="U3486">
        <v>-0.23661799999999999</v>
      </c>
      <c r="V3486">
        <v>2.0815449999999999E-2</v>
      </c>
      <c r="W3486">
        <v>-0.1297999</v>
      </c>
      <c r="X3486">
        <v>0.99132169999999997</v>
      </c>
      <c r="Y3486">
        <v>8.1052159999999998E-2</v>
      </c>
      <c r="Z3486">
        <v>-3.2050249999999998E-3</v>
      </c>
      <c r="AA3486">
        <v>0.9967047</v>
      </c>
      <c r="AB3486">
        <v>28</v>
      </c>
      <c r="AC3486">
        <v>16.590299999999999</v>
      </c>
      <c r="AD3486">
        <v>-1.1201684148162001</v>
      </c>
      <c r="AE3486">
        <v>-1.33440000000001</v>
      </c>
      <c r="AF3486">
        <v>1.3708689324882599</v>
      </c>
      <c r="AG3486">
        <v>-1.1201684148162001</v>
      </c>
      <c r="AH3486">
        <v>16.512019552319401</v>
      </c>
      <c r="AI3486">
        <v>93.867708968019699</v>
      </c>
      <c r="AJ3486">
        <v>85.254046104554106</v>
      </c>
      <c r="AK3486">
        <v>16.606650734082098</v>
      </c>
      <c r="AL3486">
        <v>97.458029422977702</v>
      </c>
      <c r="AM3486">
        <v>88.797098660152599</v>
      </c>
      <c r="AN3486">
        <v>1.0000000049447999</v>
      </c>
    </row>
    <row r="3487" spans="1:40" x14ac:dyDescent="0.25">
      <c r="A3487" t="str">
        <f>"20190303154539999"</f>
        <v>20190303154539999</v>
      </c>
      <c r="B3487" t="str">
        <f>"1551599139993909"</f>
        <v>1551599139993909</v>
      </c>
      <c r="C3487" t="s">
        <v>40</v>
      </c>
      <c r="D3487">
        <v>4.7405650000000001</v>
      </c>
      <c r="E3487">
        <v>0.52372969999999996</v>
      </c>
      <c r="F3487" t="s">
        <v>55</v>
      </c>
      <c r="G3487">
        <v>-243.29810000000001</v>
      </c>
      <c r="H3487" s="1">
        <v>2.8580290000000002E-7</v>
      </c>
      <c r="I3487">
        <v>213.07220000000001</v>
      </c>
      <c r="J3487">
        <v>-260.18700000000001</v>
      </c>
      <c r="K3487">
        <v>1.1201669999999999</v>
      </c>
      <c r="L3487">
        <v>214.4306</v>
      </c>
      <c r="M3487">
        <v>0.99995330000000004</v>
      </c>
      <c r="N3487">
        <v>-9.3217720000000007E-3</v>
      </c>
      <c r="O3487">
        <v>2.5731669999999999E-3</v>
      </c>
      <c r="P3487">
        <v>0.9900833</v>
      </c>
      <c r="Q3487">
        <v>-0.13933389999999901</v>
      </c>
      <c r="R3487">
        <v>-1.7924289999999999E-2</v>
      </c>
      <c r="S3487">
        <v>2.9980470000000001</v>
      </c>
      <c r="T3487">
        <v>-0.1957663</v>
      </c>
      <c r="U3487">
        <v>-0.23728940000000001</v>
      </c>
      <c r="V3487">
        <v>2.046686E-2</v>
      </c>
      <c r="W3487">
        <v>-0.13009970000000001</v>
      </c>
      <c r="X3487">
        <v>0.99128970000000005</v>
      </c>
      <c r="Y3487">
        <v>8.1265519999999994E-2</v>
      </c>
      <c r="Z3487">
        <v>-3.1697750000000001E-3</v>
      </c>
      <c r="AA3487">
        <v>0.99668749999999995</v>
      </c>
      <c r="AB3487">
        <v>29</v>
      </c>
      <c r="AC3487">
        <v>16.8889</v>
      </c>
      <c r="AD3487">
        <v>-1.1201667141970999</v>
      </c>
      <c r="AE3487">
        <v>-1.3583999999999801</v>
      </c>
      <c r="AF3487">
        <v>1.39575476707211</v>
      </c>
      <c r="AG3487">
        <v>-1.1201667141970999</v>
      </c>
      <c r="AH3487">
        <v>16.8118670360262</v>
      </c>
      <c r="AI3487">
        <v>93.798924799921494</v>
      </c>
      <c r="AJ3487">
        <v>85.254074026187595</v>
      </c>
      <c r="AK3487">
        <v>16.906855948828099</v>
      </c>
      <c r="AL3487">
        <v>97.475353281938297</v>
      </c>
      <c r="AM3487">
        <v>88.817199341180398</v>
      </c>
      <c r="AN3487">
        <v>1.0000000468122101</v>
      </c>
    </row>
    <row r="3488" spans="1:40" x14ac:dyDescent="0.25">
      <c r="A3488" t="str">
        <f>"20190303154540022"</f>
        <v>20190303154540022</v>
      </c>
      <c r="B3488" t="str">
        <f>"1551599140014404"</f>
        <v>1551599140014404</v>
      </c>
      <c r="C3488" t="s">
        <v>40</v>
      </c>
      <c r="D3488">
        <v>4.761431</v>
      </c>
      <c r="E3488">
        <v>0.52397550000000004</v>
      </c>
      <c r="F3488" t="s">
        <v>55</v>
      </c>
      <c r="G3488">
        <v>-242.9556</v>
      </c>
      <c r="H3488" s="1">
        <v>1.039267E-7</v>
      </c>
      <c r="I3488">
        <v>213.0634</v>
      </c>
      <c r="J3488">
        <v>-259.90199999999999</v>
      </c>
      <c r="K3488">
        <v>1.120163</v>
      </c>
      <c r="L3488">
        <v>214.4314</v>
      </c>
      <c r="M3488">
        <v>0.99995319999999999</v>
      </c>
      <c r="N3488">
        <v>-9.3250329999999999E-3</v>
      </c>
      <c r="O3488">
        <v>2.573807E-3</v>
      </c>
      <c r="P3488">
        <v>0.99011119999999997</v>
      </c>
      <c r="Q3488">
        <v>-0.13915520000000001</v>
      </c>
      <c r="R3488">
        <v>-1.776695E-2</v>
      </c>
      <c r="S3488">
        <v>2.9983219999999999</v>
      </c>
      <c r="T3488">
        <v>-0.19491269999999999</v>
      </c>
      <c r="U3488">
        <v>-0.23789979999999999</v>
      </c>
      <c r="V3488">
        <v>2.03103E-2</v>
      </c>
      <c r="W3488">
        <v>-0.12991759999999999</v>
      </c>
      <c r="X3488">
        <v>0.99131670000000005</v>
      </c>
      <c r="Y3488">
        <v>8.1461790000000006E-2</v>
      </c>
      <c r="Z3488">
        <v>-3.164694E-3</v>
      </c>
      <c r="AA3488">
        <v>0.99667139999999999</v>
      </c>
      <c r="AB3488">
        <v>29</v>
      </c>
      <c r="AC3488">
        <v>16.946399999999901</v>
      </c>
      <c r="AD3488">
        <v>-1.1201628960733001</v>
      </c>
      <c r="AE3488">
        <v>-1.3679999999999899</v>
      </c>
      <c r="AF3488">
        <v>1.4055128425849699</v>
      </c>
      <c r="AG3488">
        <v>-1.1201628960733001</v>
      </c>
      <c r="AH3488">
        <v>16.869592389701399</v>
      </c>
      <c r="AI3488">
        <v>93.785858642821495</v>
      </c>
      <c r="AJ3488">
        <v>85.2373247449909</v>
      </c>
      <c r="AK3488">
        <v>16.965063473476398</v>
      </c>
      <c r="AL3488">
        <v>97.464831173328307</v>
      </c>
      <c r="AM3488">
        <v>88.826276521953702</v>
      </c>
      <c r="AN3488">
        <v>0.99999994538736803</v>
      </c>
    </row>
    <row r="3489" spans="1:40" x14ac:dyDescent="0.25">
      <c r="A3489" t="str">
        <f>"20190303154540043"</f>
        <v>20190303154540043</v>
      </c>
      <c r="B3489" t="str">
        <f>"1551599140033925"</f>
        <v>1551599140033925</v>
      </c>
      <c r="C3489" t="s">
        <v>40</v>
      </c>
      <c r="D3489">
        <v>4.7429290000000002</v>
      </c>
      <c r="E3489">
        <v>0.52417320000000001</v>
      </c>
      <c r="F3489" t="s">
        <v>55</v>
      </c>
      <c r="G3489">
        <v>-242.46420000000001</v>
      </c>
      <c r="H3489" s="1">
        <v>-1.565146E-7</v>
      </c>
      <c r="I3489">
        <v>213.0395</v>
      </c>
      <c r="J3489">
        <v>-259.62880000000001</v>
      </c>
      <c r="K3489">
        <v>1.1201669999999999</v>
      </c>
      <c r="L3489">
        <v>214.43209999999999</v>
      </c>
      <c r="M3489">
        <v>0.99995330000000004</v>
      </c>
      <c r="N3489">
        <v>-9.3283580000000001E-3</v>
      </c>
      <c r="O3489">
        <v>2.574149E-3</v>
      </c>
      <c r="P3489">
        <v>0.99014809999999998</v>
      </c>
      <c r="Q3489">
        <v>-0.13888900000000001</v>
      </c>
      <c r="R3489">
        <v>-1.7798499999999998E-2</v>
      </c>
      <c r="S3489">
        <v>2.998596</v>
      </c>
      <c r="T3489">
        <v>-0.19262309999999999</v>
      </c>
      <c r="U3489">
        <v>-0.23934939999999999</v>
      </c>
      <c r="V3489">
        <v>2.0342260000000001E-2</v>
      </c>
      <c r="W3489">
        <v>-0.12964769999999901</v>
      </c>
      <c r="X3489">
        <v>0.99135139999999999</v>
      </c>
      <c r="Y3489">
        <v>8.1937010000000005E-2</v>
      </c>
      <c r="Z3489">
        <v>-3.1490630000000001E-3</v>
      </c>
      <c r="AA3489">
        <v>0.99663250000000003</v>
      </c>
      <c r="AB3489">
        <v>29</v>
      </c>
      <c r="AC3489">
        <v>17.1646</v>
      </c>
      <c r="AD3489">
        <v>-1.1201671565146001</v>
      </c>
      <c r="AE3489">
        <v>-1.3925999999999801</v>
      </c>
      <c r="AF3489">
        <v>1.4307280477283</v>
      </c>
      <c r="AG3489">
        <v>-1.1201671565146001</v>
      </c>
      <c r="AH3489">
        <v>17.088655124020899</v>
      </c>
      <c r="AI3489">
        <v>93.737353652572097</v>
      </c>
      <c r="AJ3489">
        <v>85.2141382171679</v>
      </c>
      <c r="AK3489">
        <v>17.184990286666299</v>
      </c>
      <c r="AL3489">
        <v>97.449234983348902</v>
      </c>
      <c r="AM3489">
        <v>88.8244712218318</v>
      </c>
      <c r="AN3489">
        <v>0.99999996596957796</v>
      </c>
    </row>
    <row r="3490" spans="1:40" x14ac:dyDescent="0.25">
      <c r="A3490" t="str">
        <f>"20190303154540068"</f>
        <v>20190303154540068</v>
      </c>
      <c r="B3490" t="str">
        <f>"1551599140064181"</f>
        <v>1551599140064181</v>
      </c>
      <c r="C3490" t="s">
        <v>40</v>
      </c>
      <c r="D3490">
        <v>4.7432809999999996</v>
      </c>
      <c r="E3490">
        <v>0.52438189999999996</v>
      </c>
      <c r="F3490" t="s">
        <v>55</v>
      </c>
      <c r="G3490">
        <v>-241.95189999999999</v>
      </c>
      <c r="H3490" s="1">
        <v>-4.2795870000000002E-7</v>
      </c>
      <c r="I3490">
        <v>213.01249999999999</v>
      </c>
      <c r="J3490">
        <v>-259.32389999999998</v>
      </c>
      <c r="K3490">
        <v>1.12017099999999</v>
      </c>
      <c r="L3490">
        <v>214.43279999999999</v>
      </c>
      <c r="M3490">
        <v>0.99995330000000004</v>
      </c>
      <c r="N3490">
        <v>-9.3322370000000002E-3</v>
      </c>
      <c r="O3490">
        <v>2.5746079999999999E-3</v>
      </c>
      <c r="P3490">
        <v>0.99023689999999998</v>
      </c>
      <c r="Q3490">
        <v>-0.1382717</v>
      </c>
      <c r="R3490">
        <v>-1.7659089999999999E-2</v>
      </c>
      <c r="S3490">
        <v>2.9988709999999998</v>
      </c>
      <c r="T3490">
        <v>-0.19003529999999999</v>
      </c>
      <c r="U3490">
        <v>-0.2408295</v>
      </c>
      <c r="V3490">
        <v>2.0203769999999999E-2</v>
      </c>
      <c r="W3490">
        <v>-0.1290258</v>
      </c>
      <c r="X3490">
        <v>0.99143539999999997</v>
      </c>
      <c r="Y3490">
        <v>8.2422830000000002E-2</v>
      </c>
      <c r="Z3490">
        <v>-3.1291510000000002E-3</v>
      </c>
      <c r="AA3490">
        <v>0.99659249999999999</v>
      </c>
      <c r="AB3490">
        <v>29</v>
      </c>
      <c r="AC3490">
        <v>17.3719999999999</v>
      </c>
      <c r="AD3490">
        <v>-1.1201714279586901</v>
      </c>
      <c r="AE3490">
        <v>-1.4202999999999899</v>
      </c>
      <c r="AF3490">
        <v>1.45899730390458</v>
      </c>
      <c r="AG3490">
        <v>-1.1201714279586901</v>
      </c>
      <c r="AH3490">
        <v>17.2968453026395</v>
      </c>
      <c r="AI3490">
        <v>93.692316409476504</v>
      </c>
      <c r="AJ3490">
        <v>85.178486578611995</v>
      </c>
      <c r="AK3490">
        <v>17.394375946962199</v>
      </c>
      <c r="AL3490">
        <v>97.413300655983903</v>
      </c>
      <c r="AM3490">
        <v>88.832570885008494</v>
      </c>
      <c r="AN3490">
        <v>1.0000000008804999</v>
      </c>
    </row>
    <row r="3491" spans="1:40" x14ac:dyDescent="0.25">
      <c r="A3491" t="str">
        <f>"20190303154540093"</f>
        <v>20190303154540093</v>
      </c>
      <c r="B3491" t="str">
        <f>"1551599140084677"</f>
        <v>1551599140084677</v>
      </c>
      <c r="C3491" t="s">
        <v>40</v>
      </c>
      <c r="D3491">
        <v>4.7686719999999996</v>
      </c>
      <c r="E3491">
        <v>0.5244723</v>
      </c>
      <c r="F3491" t="s">
        <v>55</v>
      </c>
      <c r="G3491">
        <v>-241.30879999999999</v>
      </c>
      <c r="H3491" s="1">
        <v>-7.6869159999999996E-7</v>
      </c>
      <c r="I3491">
        <v>212.9776</v>
      </c>
      <c r="J3491">
        <v>-258.99029999999999</v>
      </c>
      <c r="K3491">
        <v>1.1201680000000001</v>
      </c>
      <c r="L3491">
        <v>214.43369999999999</v>
      </c>
      <c r="M3491">
        <v>0.99995319999999999</v>
      </c>
      <c r="N3491">
        <v>-9.3366490000000007E-3</v>
      </c>
      <c r="O3491">
        <v>2.5750640000000002E-3</v>
      </c>
      <c r="P3491">
        <v>0.99026389999999997</v>
      </c>
      <c r="Q3491">
        <v>-0.138069</v>
      </c>
      <c r="R3491">
        <v>-1.773974E-2</v>
      </c>
      <c r="S3491">
        <v>2.9992070000000002</v>
      </c>
      <c r="T3491">
        <v>-0.18648909999999999</v>
      </c>
      <c r="U3491">
        <v>-0.2422791</v>
      </c>
      <c r="V3491">
        <v>2.0284750000000001E-2</v>
      </c>
      <c r="W3491">
        <v>-0.1288185</v>
      </c>
      <c r="X3491">
        <v>0.99146069999999997</v>
      </c>
      <c r="Y3491">
        <v>8.2898609999999998E-2</v>
      </c>
      <c r="Z3491">
        <v>-3.0944200000000001E-3</v>
      </c>
      <c r="AA3491">
        <v>0.99655320000000003</v>
      </c>
      <c r="AB3491">
        <v>29</v>
      </c>
      <c r="AC3491">
        <v>17.6815</v>
      </c>
      <c r="AD3491">
        <v>-1.1201687686916</v>
      </c>
      <c r="AE3491">
        <v>-1.45609999999999</v>
      </c>
      <c r="AF3491">
        <v>1.49566565303845</v>
      </c>
      <c r="AG3491">
        <v>-1.1201687686916</v>
      </c>
      <c r="AH3491">
        <v>17.607499106268602</v>
      </c>
      <c r="AI3491">
        <v>93.627158083789396</v>
      </c>
      <c r="AJ3491">
        <v>85.144676609358399</v>
      </c>
      <c r="AK3491">
        <v>17.7063779072197</v>
      </c>
      <c r="AL3491">
        <v>97.401323305296799</v>
      </c>
      <c r="AM3491">
        <v>88.827922843169901</v>
      </c>
      <c r="AN3491">
        <v>0.99999999833465103</v>
      </c>
    </row>
    <row r="3492" spans="1:40" x14ac:dyDescent="0.25">
      <c r="A3492" t="str">
        <f>"20190303154540133"</f>
        <v>20190303154540133</v>
      </c>
      <c r="B3492" t="str">
        <f>"1551599140124696"</f>
        <v>1551599140124696</v>
      </c>
      <c r="C3492" t="s">
        <v>40</v>
      </c>
      <c r="D3492">
        <v>4.7425579999999998</v>
      </c>
      <c r="E3492">
        <v>0.52465240000000002</v>
      </c>
      <c r="F3492" t="s">
        <v>55</v>
      </c>
      <c r="G3492">
        <v>-240.89940000000001</v>
      </c>
      <c r="H3492" s="1">
        <v>-9.8608049999999996E-7</v>
      </c>
      <c r="I3492">
        <v>212.96639999999999</v>
      </c>
      <c r="J3492">
        <v>-258.47739999999999</v>
      </c>
      <c r="K3492">
        <v>1.1201639999999999</v>
      </c>
      <c r="L3492">
        <v>214.435</v>
      </c>
      <c r="M3492">
        <v>0.99995319999999999</v>
      </c>
      <c r="N3492">
        <v>-9.3438740000000003E-3</v>
      </c>
      <c r="O3492">
        <v>2.5759239999999998E-3</v>
      </c>
      <c r="P3492">
        <v>0.99024959999999995</v>
      </c>
      <c r="Q3492">
        <v>-0.13825760000000001</v>
      </c>
      <c r="R3492">
        <v>-1.7058940000000002E-2</v>
      </c>
      <c r="S3492">
        <v>2.9992519999999998</v>
      </c>
      <c r="T3492">
        <v>-0.18570970000000001</v>
      </c>
      <c r="U3492">
        <v>-0.24325559999999999</v>
      </c>
      <c r="V3492">
        <v>1.9604650000000001E-2</v>
      </c>
      <c r="W3492">
        <v>-0.129</v>
      </c>
      <c r="X3492">
        <v>0.99145079999999997</v>
      </c>
      <c r="Y3492">
        <v>8.3221349999999999E-2</v>
      </c>
      <c r="Z3492">
        <v>-3.0947599999999998E-3</v>
      </c>
      <c r="AA3492">
        <v>0.99652629999999998</v>
      </c>
      <c r="AB3492">
        <v>29</v>
      </c>
      <c r="AC3492">
        <v>17.5779999999999</v>
      </c>
      <c r="AD3492">
        <v>-1.1201649860805001</v>
      </c>
      <c r="AE3492">
        <v>-1.4685999999999999</v>
      </c>
      <c r="AF3492">
        <v>1.50779608388491</v>
      </c>
      <c r="AG3492">
        <v>-1.1201649860805001</v>
      </c>
      <c r="AH3492">
        <v>17.5035705253371</v>
      </c>
      <c r="AI3492">
        <v>93.648254287045106</v>
      </c>
      <c r="AJ3492">
        <v>85.076569531771398</v>
      </c>
      <c r="AK3492">
        <v>17.6040677049956</v>
      </c>
      <c r="AL3492">
        <v>97.411809857639298</v>
      </c>
      <c r="AM3492">
        <v>88.867198110315499</v>
      </c>
      <c r="AN3492">
        <v>1.0000000155611299</v>
      </c>
    </row>
    <row r="3493" spans="1:40" x14ac:dyDescent="0.25">
      <c r="A3493" t="str">
        <f>"20190303154540154"</f>
        <v>20190303154540154</v>
      </c>
      <c r="B3493" t="str">
        <f>"1551599140144213"</f>
        <v>1551599140144213</v>
      </c>
      <c r="C3493" t="s">
        <v>40</v>
      </c>
      <c r="D3493">
        <v>4.8019080000000001</v>
      </c>
      <c r="E3493">
        <v>0.52472379999999996</v>
      </c>
      <c r="F3493" t="s">
        <v>55</v>
      </c>
      <c r="G3493">
        <v>-240.4298</v>
      </c>
      <c r="H3493" s="1">
        <v>-1.236409E-6</v>
      </c>
      <c r="I3493">
        <v>212.9769</v>
      </c>
      <c r="J3493">
        <v>-258.19110000000001</v>
      </c>
      <c r="K3493">
        <v>1.1201639999999999</v>
      </c>
      <c r="L3493">
        <v>214.4358</v>
      </c>
      <c r="M3493">
        <v>0.99995310000000004</v>
      </c>
      <c r="N3493">
        <v>-9.3481320000000003E-3</v>
      </c>
      <c r="O3493">
        <v>2.5762020000000001E-3</v>
      </c>
      <c r="P3493">
        <v>0.9903284</v>
      </c>
      <c r="Q3493">
        <v>-0.13772699999999999</v>
      </c>
      <c r="R3493">
        <v>-1.676393E-2</v>
      </c>
      <c r="S3493">
        <v>2.9994049999999999</v>
      </c>
      <c r="T3493">
        <v>-0.18616550000000001</v>
      </c>
      <c r="U3493">
        <v>-0.24232480000000001</v>
      </c>
      <c r="V3493">
        <v>1.9310379999999999E-2</v>
      </c>
      <c r="W3493">
        <v>-0.12846450000000001</v>
      </c>
      <c r="X3493">
        <v>0.99152609999999997</v>
      </c>
      <c r="Y3493">
        <v>8.2910139999999993E-2</v>
      </c>
      <c r="Z3493">
        <v>-3.0904270000000002E-3</v>
      </c>
      <c r="AA3493">
        <v>0.9965522</v>
      </c>
      <c r="AB3493">
        <v>29</v>
      </c>
      <c r="AC3493">
        <v>17.761299999999999</v>
      </c>
      <c r="AD3493">
        <v>-1.120165236409</v>
      </c>
      <c r="AE3493">
        <v>-1.4589000000000001</v>
      </c>
      <c r="AF3493">
        <v>1.4987325291531799</v>
      </c>
      <c r="AG3493">
        <v>-1.120165236409</v>
      </c>
      <c r="AH3493">
        <v>17.6876007923697</v>
      </c>
      <c r="AI3493">
        <v>93.610828099120397</v>
      </c>
      <c r="AJ3493">
        <v>85.156696550192606</v>
      </c>
      <c r="AK3493">
        <v>17.786292225785498</v>
      </c>
      <c r="AL3493">
        <v>97.380870554481902</v>
      </c>
      <c r="AM3493">
        <v>88.884282094615301</v>
      </c>
      <c r="AN3493">
        <v>1.0000000127586</v>
      </c>
    </row>
    <row r="3494" spans="1:40" x14ac:dyDescent="0.25">
      <c r="A3494" t="str">
        <f>"20190303154540177"</f>
        <v>20190303154540177</v>
      </c>
      <c r="B3494" t="str">
        <f>"1551599140174469"</f>
        <v>1551599140174469</v>
      </c>
      <c r="C3494" t="s">
        <v>40</v>
      </c>
      <c r="D3494">
        <v>4.7849320000000004</v>
      </c>
      <c r="E3494">
        <v>0.52487499999999998</v>
      </c>
      <c r="F3494" t="s">
        <v>55</v>
      </c>
      <c r="G3494">
        <v>-239.99459999999999</v>
      </c>
      <c r="H3494" s="1">
        <v>-1.4675389999999999E-6</v>
      </c>
      <c r="I3494">
        <v>212.96629999999999</v>
      </c>
      <c r="J3494">
        <v>-257.89960000000002</v>
      </c>
      <c r="K3494">
        <v>1.1201669999999999</v>
      </c>
      <c r="L3494">
        <v>214.4365</v>
      </c>
      <c r="M3494">
        <v>0.99995310000000004</v>
      </c>
      <c r="N3494">
        <v>-9.3524739999999995E-3</v>
      </c>
      <c r="O3494">
        <v>2.5765390000000001E-3</v>
      </c>
      <c r="P3494">
        <v>0.99041330000000005</v>
      </c>
      <c r="Q3494">
        <v>-0.13706489999999999</v>
      </c>
      <c r="R3494">
        <v>-1.717484E-2</v>
      </c>
      <c r="S3494">
        <v>2.9995120000000002</v>
      </c>
      <c r="T3494">
        <v>-0.18464839999999999</v>
      </c>
      <c r="U3494">
        <v>-0.24223330000000001</v>
      </c>
      <c r="V3494">
        <v>1.9721829999999999E-2</v>
      </c>
      <c r="W3494">
        <v>-0.1277973</v>
      </c>
      <c r="X3494">
        <v>0.99160420000000005</v>
      </c>
      <c r="Y3494">
        <v>8.2880330000000002E-2</v>
      </c>
      <c r="Z3494">
        <v>-3.067289E-3</v>
      </c>
      <c r="AA3494">
        <v>0.99655479999999996</v>
      </c>
      <c r="AB3494">
        <v>29</v>
      </c>
      <c r="AC3494">
        <v>17.905000000000001</v>
      </c>
      <c r="AD3494">
        <v>-1.120168467539</v>
      </c>
      <c r="AE3494">
        <v>-1.4702</v>
      </c>
      <c r="AF3494">
        <v>1.5104577596586799</v>
      </c>
      <c r="AG3494">
        <v>-1.120168467539</v>
      </c>
      <c r="AH3494">
        <v>17.831826461126301</v>
      </c>
      <c r="AI3494">
        <v>93.581718333936905</v>
      </c>
      <c r="AJ3494">
        <v>85.158277358782598</v>
      </c>
      <c r="AK3494">
        <v>17.9307081560965</v>
      </c>
      <c r="AL3494">
        <v>97.342325221467306</v>
      </c>
      <c r="AM3494">
        <v>88.860605203690398</v>
      </c>
      <c r="AN3494">
        <v>0.99999999496173897</v>
      </c>
    </row>
    <row r="3495" spans="1:40" x14ac:dyDescent="0.25">
      <c r="A3495" t="str">
        <f>"20190303154540199"</f>
        <v>20190303154540199</v>
      </c>
      <c r="B3495" t="str">
        <f>"1551599140193989"</f>
        <v>1551599140193989</v>
      </c>
      <c r="C3495" t="s">
        <v>40</v>
      </c>
      <c r="D3495">
        <v>4.8055459999999997</v>
      </c>
      <c r="E3495">
        <v>0.52501070000000005</v>
      </c>
      <c r="F3495" t="s">
        <v>55</v>
      </c>
      <c r="G3495">
        <v>-239.458</v>
      </c>
      <c r="H3495" s="1">
        <v>3.5698800000000002E-6</v>
      </c>
      <c r="I3495">
        <v>212.9323</v>
      </c>
      <c r="J3495">
        <v>-257.61070000000001</v>
      </c>
      <c r="K3495">
        <v>1.1201669999999999</v>
      </c>
      <c r="L3495">
        <v>214.43729999999999</v>
      </c>
      <c r="M3495">
        <v>0.99995299999999998</v>
      </c>
      <c r="N3495">
        <v>-9.3568120000000008E-3</v>
      </c>
      <c r="O3495">
        <v>2.5769959999999998E-3</v>
      </c>
      <c r="P3495">
        <v>0.99050000000000005</v>
      </c>
      <c r="Q3495">
        <v>-0.13636889999999999</v>
      </c>
      <c r="R3495">
        <v>-1.7697560000000001E-2</v>
      </c>
      <c r="S3495">
        <v>2.9995880000000001</v>
      </c>
      <c r="T3495">
        <v>-0.18219769999999999</v>
      </c>
      <c r="U3495">
        <v>-0.24467469999999999</v>
      </c>
      <c r="V3495">
        <v>2.024536E-2</v>
      </c>
      <c r="W3495">
        <v>-0.1270963</v>
      </c>
      <c r="X3495">
        <v>0.99168369999999995</v>
      </c>
      <c r="Y3495">
        <v>8.3687339999999999E-2</v>
      </c>
      <c r="Z3495">
        <v>-3.0597559999999998E-3</v>
      </c>
      <c r="AA3495">
        <v>0.99648740000000002</v>
      </c>
      <c r="AB3495">
        <v>29</v>
      </c>
      <c r="AC3495">
        <v>18.152699999999999</v>
      </c>
      <c r="AD3495">
        <v>-1.1201634301200001</v>
      </c>
      <c r="AE3495">
        <v>-1.5049999999999899</v>
      </c>
      <c r="AF3495">
        <v>1.5459299918295999</v>
      </c>
      <c r="AG3495">
        <v>-1.1201634301200001</v>
      </c>
      <c r="AH3495">
        <v>18.080383710752901</v>
      </c>
      <c r="AI3495">
        <v>93.532351524147103</v>
      </c>
      <c r="AJ3495">
        <v>85.112915990232196</v>
      </c>
      <c r="AK3495">
        <v>18.180894938860298</v>
      </c>
      <c r="AL3495">
        <v>97.301830974361806</v>
      </c>
      <c r="AM3495">
        <v>88.8304611918566</v>
      </c>
      <c r="AN3495">
        <v>0.99999995246045303</v>
      </c>
    </row>
    <row r="3496" spans="1:40" x14ac:dyDescent="0.25">
      <c r="A3496" t="str">
        <f>"20190303154540222"</f>
        <v>20190303154540222</v>
      </c>
      <c r="B3496" t="str">
        <f>"1551599140214485"</f>
        <v>1551599140214485</v>
      </c>
      <c r="C3496" t="s">
        <v>40</v>
      </c>
      <c r="D3496">
        <v>4.829078</v>
      </c>
      <c r="E3496">
        <v>0.5308119</v>
      </c>
      <c r="F3496" t="s">
        <v>55</v>
      </c>
      <c r="G3496">
        <v>-238.87549999999999</v>
      </c>
      <c r="H3496" s="1">
        <v>3.2617090000000001E-6</v>
      </c>
      <c r="I3496">
        <v>212.89169999999999</v>
      </c>
      <c r="J3496">
        <v>-257.32049999999998</v>
      </c>
      <c r="K3496">
        <v>1.120169</v>
      </c>
      <c r="L3496">
        <v>214.43799999999999</v>
      </c>
      <c r="M3496">
        <v>0.99995290000000003</v>
      </c>
      <c r="N3496">
        <v>-9.361243E-3</v>
      </c>
      <c r="O3496">
        <v>2.5776900000000001E-3</v>
      </c>
      <c r="P3496">
        <v>0.99046179999999995</v>
      </c>
      <c r="Q3496">
        <v>-0.13653489999999999</v>
      </c>
      <c r="R3496">
        <v>-1.8552510000000001E-2</v>
      </c>
      <c r="S3496">
        <v>2.9996339999999999</v>
      </c>
      <c r="T3496">
        <v>-0.17934659999999999</v>
      </c>
      <c r="U3496">
        <v>-0.2474518</v>
      </c>
      <c r="V3496">
        <v>2.1100669999999998E-2</v>
      </c>
      <c r="W3496">
        <v>-0.12725829999999999</v>
      </c>
      <c r="X3496">
        <v>0.9916452</v>
      </c>
      <c r="Y3496">
        <v>8.4606539999999994E-2</v>
      </c>
      <c r="Z3496">
        <v>-3.0495119999999999E-3</v>
      </c>
      <c r="AA3496">
        <v>0.99640980000000001</v>
      </c>
      <c r="AB3496">
        <v>29</v>
      </c>
      <c r="AC3496">
        <v>18.445</v>
      </c>
      <c r="AD3496">
        <v>-1.120165738291</v>
      </c>
      <c r="AE3496">
        <v>-1.5463</v>
      </c>
      <c r="AF3496">
        <v>1.58802644865779</v>
      </c>
      <c r="AG3496">
        <v>-1.120165738291</v>
      </c>
      <c r="AH3496">
        <v>18.373660972490502</v>
      </c>
      <c r="AI3496">
        <v>93.475841140800497</v>
      </c>
      <c r="AJ3496">
        <v>85.060229777061707</v>
      </c>
      <c r="AK3496">
        <v>18.476147239478699</v>
      </c>
      <c r="AL3496">
        <v>97.311188101893407</v>
      </c>
      <c r="AM3496">
        <v>88.781018733991402</v>
      </c>
      <c r="AN3496">
        <v>1.00000005793818</v>
      </c>
    </row>
    <row r="3497" spans="1:40" x14ac:dyDescent="0.25">
      <c r="A3497" t="str">
        <f>"20190303154540244"</f>
        <v>20190303154540244</v>
      </c>
      <c r="B3497" t="str">
        <f>"1551599140234005"</f>
        <v>1551599140234005</v>
      </c>
      <c r="C3497" t="s">
        <v>40</v>
      </c>
      <c r="D3497">
        <v>4.8466300000000002</v>
      </c>
      <c r="E3497">
        <v>0.53068389999999999</v>
      </c>
      <c r="F3497" t="s">
        <v>55</v>
      </c>
      <c r="G3497">
        <v>-212.95060000000001</v>
      </c>
      <c r="H3497" s="1">
        <v>2.303246E-7</v>
      </c>
      <c r="I3497">
        <v>210.11</v>
      </c>
      <c r="J3497">
        <v>-257.03039999999999</v>
      </c>
      <c r="K3497">
        <v>1.1201669999999999</v>
      </c>
      <c r="L3497">
        <v>214.43879999999999</v>
      </c>
      <c r="M3497">
        <v>0.99995290000000003</v>
      </c>
      <c r="N3497">
        <v>-9.3657649999999999E-3</v>
      </c>
      <c r="O3497">
        <v>2.578145E-3</v>
      </c>
      <c r="P3497">
        <v>0.99037070000000005</v>
      </c>
      <c r="Q3497">
        <v>-0.1370586</v>
      </c>
      <c r="R3497">
        <v>-1.9518939999999999E-2</v>
      </c>
      <c r="S3497">
        <v>3.0128629999999998</v>
      </c>
      <c r="T3497">
        <v>-7.6063039999999998E-2</v>
      </c>
      <c r="U3497">
        <v>-0.29388429999999999</v>
      </c>
      <c r="V3497">
        <v>2.206727E-2</v>
      </c>
      <c r="W3497">
        <v>-0.12777830000000001</v>
      </c>
      <c r="X3497">
        <v>0.99155720000000003</v>
      </c>
      <c r="Y3497">
        <v>9.9604670000000006E-2</v>
      </c>
      <c r="Z3497">
        <v>-1.762631E-3</v>
      </c>
      <c r="AA3497">
        <v>0.99502550000000001</v>
      </c>
      <c r="AB3497">
        <v>29</v>
      </c>
      <c r="AC3497">
        <v>44.079799999999899</v>
      </c>
      <c r="AD3497">
        <v>-1.1201667696754001</v>
      </c>
      <c r="AE3497">
        <v>-4.32879999999997</v>
      </c>
      <c r="AF3497">
        <v>4.4395950767772696</v>
      </c>
      <c r="AG3497">
        <v>-1.1201667696754001</v>
      </c>
      <c r="AH3497">
        <v>44.040323926040998</v>
      </c>
      <c r="AI3497">
        <v>91.449661415877401</v>
      </c>
      <c r="AJ3497">
        <v>84.243602117095506</v>
      </c>
      <c r="AK3497">
        <v>44.2777021710505</v>
      </c>
      <c r="AL3497">
        <v>97.341227789968201</v>
      </c>
      <c r="AM3497">
        <v>88.725083378434704</v>
      </c>
      <c r="AN3497">
        <v>0.99999996961399096</v>
      </c>
    </row>
    <row r="3498" spans="1:40" x14ac:dyDescent="0.25">
      <c r="A3498" t="str">
        <f>"20190303154540270"</f>
        <v>20190303154540270</v>
      </c>
      <c r="B3498" t="str">
        <f>"1551599140264261"</f>
        <v>1551599140264261</v>
      </c>
      <c r="C3498" t="s">
        <v>40</v>
      </c>
      <c r="D3498">
        <v>4.8720829999999999</v>
      </c>
      <c r="E3498">
        <v>0.53058329999999998</v>
      </c>
      <c r="F3498" t="s">
        <v>55</v>
      </c>
      <c r="G3498">
        <v>-212.05260000000001</v>
      </c>
      <c r="H3498" s="1">
        <v>-2.4363259999999997E-7</v>
      </c>
      <c r="I3498">
        <v>210.02160000000001</v>
      </c>
      <c r="J3498">
        <v>-256.69439999999997</v>
      </c>
      <c r="K3498">
        <v>1.120163</v>
      </c>
      <c r="L3498">
        <v>214.43960000000001</v>
      </c>
      <c r="M3498">
        <v>0.99995290000000003</v>
      </c>
      <c r="N3498">
        <v>-9.3710849999999995E-3</v>
      </c>
      <c r="O3498">
        <v>2.578477E-3</v>
      </c>
      <c r="P3498">
        <v>0.99031400000000003</v>
      </c>
      <c r="Q3498">
        <v>-0.13739479999999901</v>
      </c>
      <c r="R3498">
        <v>-2.0025600000000001E-2</v>
      </c>
      <c r="S3498">
        <v>3.0129549999999998</v>
      </c>
      <c r="T3498">
        <v>-7.5037359999999997E-2</v>
      </c>
      <c r="U3498">
        <v>-0.29589840000000001</v>
      </c>
      <c r="V3498">
        <v>2.2574190000000001E-2</v>
      </c>
      <c r="W3498">
        <v>-0.1281098</v>
      </c>
      <c r="X3498">
        <v>0.99150309999999997</v>
      </c>
      <c r="Y3498">
        <v>0.1002617</v>
      </c>
      <c r="Z3498">
        <v>-1.7562859999999999E-3</v>
      </c>
      <c r="AA3498">
        <v>0.9949595</v>
      </c>
      <c r="AB3498">
        <v>29</v>
      </c>
      <c r="AC3498">
        <v>44.641799999999897</v>
      </c>
      <c r="AD3498">
        <v>-1.1201632436325999</v>
      </c>
      <c r="AE3498">
        <v>-4.4180000000000001</v>
      </c>
      <c r="AF3498">
        <v>4.5302735156700296</v>
      </c>
      <c r="AG3498">
        <v>-1.1201632436325999</v>
      </c>
      <c r="AH3498">
        <v>44.602449112930302</v>
      </c>
      <c r="AI3498">
        <v>91.431285181014303</v>
      </c>
      <c r="AJ3498">
        <v>84.200353531809398</v>
      </c>
      <c r="AK3498">
        <v>44.845920780943999</v>
      </c>
      <c r="AL3498">
        <v>97.360378095595905</v>
      </c>
      <c r="AM3498">
        <v>88.695735397396007</v>
      </c>
      <c r="AN3498">
        <v>1.0000000561099001</v>
      </c>
    </row>
    <row r="3499" spans="1:40" x14ac:dyDescent="0.25">
      <c r="A3499" t="str">
        <f>"20190303154540297"</f>
        <v>20190303154540297</v>
      </c>
      <c r="B3499" t="str">
        <f>"1551599140284758"</f>
        <v>1551599140284758</v>
      </c>
      <c r="C3499" t="s">
        <v>40</v>
      </c>
      <c r="D3499">
        <v>4.8698169999999896</v>
      </c>
      <c r="E3499">
        <v>0.53061340000000001</v>
      </c>
      <c r="F3499" t="s">
        <v>55</v>
      </c>
      <c r="G3499">
        <v>-214.02269999999999</v>
      </c>
      <c r="H3499" s="1">
        <v>7.9528479999999995E-7</v>
      </c>
      <c r="I3499">
        <v>210.2381</v>
      </c>
      <c r="J3499">
        <v>-256.34690000000001</v>
      </c>
      <c r="K3499">
        <v>1.120166</v>
      </c>
      <c r="L3499">
        <v>214.44049999999999</v>
      </c>
      <c r="M3499">
        <v>0.99995279999999998</v>
      </c>
      <c r="N3499">
        <v>-9.3766530000000004E-3</v>
      </c>
      <c r="O3499">
        <v>2.578927E-3</v>
      </c>
      <c r="P3499">
        <v>0.99033640000000001</v>
      </c>
      <c r="Q3499">
        <v>-0.1372119</v>
      </c>
      <c r="R3499">
        <v>-2.0174040000000001E-2</v>
      </c>
      <c r="S3499">
        <v>3.0123440000000001</v>
      </c>
      <c r="T3499">
        <v>-7.9076289999999994E-2</v>
      </c>
      <c r="U3499">
        <v>-0.29660029999999998</v>
      </c>
      <c r="V3499">
        <v>2.2723050000000002E-2</v>
      </c>
      <c r="W3499">
        <v>-0.12792129999999999</v>
      </c>
      <c r="X3499">
        <v>0.99152399999999996</v>
      </c>
      <c r="Y3499">
        <v>0.1005071</v>
      </c>
      <c r="Z3499">
        <v>-1.8316579999999999E-3</v>
      </c>
      <c r="AA3499">
        <v>0.99493469999999995</v>
      </c>
      <c r="AB3499">
        <v>29</v>
      </c>
      <c r="AC3499">
        <v>42.324199999999998</v>
      </c>
      <c r="AD3499">
        <v>-1.1201652047152</v>
      </c>
      <c r="AE3499">
        <v>-4.2023999999999804</v>
      </c>
      <c r="AF3499">
        <v>4.3085533059008503</v>
      </c>
      <c r="AG3499">
        <v>-1.1201652047152</v>
      </c>
      <c r="AH3499">
        <v>42.283891829554001</v>
      </c>
      <c r="AI3499">
        <v>91.509684759455993</v>
      </c>
      <c r="AJ3499">
        <v>84.181878179174902</v>
      </c>
      <c r="AK3499">
        <v>42.5175952980536</v>
      </c>
      <c r="AL3499">
        <v>97.349488513925493</v>
      </c>
      <c r="AM3499">
        <v>88.687165406001398</v>
      </c>
      <c r="AN3499">
        <v>1.0000000192854901</v>
      </c>
    </row>
    <row r="3500" spans="1:40" x14ac:dyDescent="0.25">
      <c r="A3500" t="str">
        <f>"20190303154540318"</f>
        <v>20190303154540318</v>
      </c>
      <c r="B3500" t="str">
        <f>"1551599140314037"</f>
        <v>1551599140314037</v>
      </c>
      <c r="C3500" t="s">
        <v>40</v>
      </c>
      <c r="D3500">
        <v>4.8572670000000002</v>
      </c>
      <c r="E3500">
        <v>0.53040019999999999</v>
      </c>
      <c r="F3500" t="s">
        <v>55</v>
      </c>
      <c r="G3500">
        <v>-214.36689999999999</v>
      </c>
      <c r="H3500" s="1">
        <v>9.7577980000000004E-7</v>
      </c>
      <c r="I3500">
        <v>210.2989</v>
      </c>
      <c r="J3500">
        <v>-256.0609</v>
      </c>
      <c r="K3500">
        <v>1.1201680000000001</v>
      </c>
      <c r="L3500">
        <v>214.44130000000001</v>
      </c>
      <c r="M3500">
        <v>0.99995279999999998</v>
      </c>
      <c r="N3500">
        <v>-9.3813109999999998E-3</v>
      </c>
      <c r="O3500">
        <v>2.5794419999999999E-3</v>
      </c>
      <c r="P3500">
        <v>0.99038230000000005</v>
      </c>
      <c r="Q3500">
        <v>-0.13695179999999901</v>
      </c>
      <c r="R3500">
        <v>-1.9681440000000001E-2</v>
      </c>
      <c r="S3500">
        <v>3.0120849999999999</v>
      </c>
      <c r="T3500">
        <v>-8.0372330000000006E-2</v>
      </c>
      <c r="U3500">
        <v>-0.29716490000000001</v>
      </c>
      <c r="V3500">
        <v>2.2231040000000001E-2</v>
      </c>
      <c r="W3500">
        <v>-0.12765609999999999</v>
      </c>
      <c r="X3500">
        <v>0.99156929999999999</v>
      </c>
      <c r="Y3500">
        <v>0.1006992</v>
      </c>
      <c r="Z3500">
        <v>-1.858129E-3</v>
      </c>
      <c r="AA3500">
        <v>0.9949152</v>
      </c>
      <c r="AB3500">
        <v>29</v>
      </c>
      <c r="AC3500">
        <v>41.694000000000003</v>
      </c>
      <c r="AD3500">
        <v>-1.1201670242202</v>
      </c>
      <c r="AE3500">
        <v>-4.1424000000000003</v>
      </c>
      <c r="AF3500">
        <v>4.24690272870283</v>
      </c>
      <c r="AG3500">
        <v>-1.1201670242202</v>
      </c>
      <c r="AH3500">
        <v>41.653404070094297</v>
      </c>
      <c r="AI3500">
        <v>91.532518189732997</v>
      </c>
      <c r="AJ3500">
        <v>84.178347390331297</v>
      </c>
      <c r="AK3500">
        <v>41.884329140810699</v>
      </c>
      <c r="AL3500">
        <v>97.334168299263993</v>
      </c>
      <c r="AM3500">
        <v>88.715640539903603</v>
      </c>
      <c r="AN3500">
        <v>0.99999998785458999</v>
      </c>
    </row>
    <row r="3501" spans="1:40" x14ac:dyDescent="0.25">
      <c r="A3501" t="str">
        <f>"20190303154540340"</f>
        <v>20190303154540340</v>
      </c>
      <c r="B3501" t="str">
        <f>"1551599140334533"</f>
        <v>1551599140334533</v>
      </c>
      <c r="C3501" t="s">
        <v>40</v>
      </c>
      <c r="D3501">
        <v>4.8958750000000002</v>
      </c>
      <c r="E3501">
        <v>0.53048619999999902</v>
      </c>
      <c r="F3501" t="s">
        <v>55</v>
      </c>
      <c r="G3501">
        <v>-213.3372</v>
      </c>
      <c r="H3501" s="1">
        <v>4.2884579999999999E-7</v>
      </c>
      <c r="I3501">
        <v>210.27600000000001</v>
      </c>
      <c r="J3501">
        <v>-255.77780000000001</v>
      </c>
      <c r="K3501">
        <v>1.12017099999999</v>
      </c>
      <c r="L3501">
        <v>214.44200000000001</v>
      </c>
      <c r="M3501">
        <v>0.99995270000000003</v>
      </c>
      <c r="N3501">
        <v>-9.3861350000000003E-3</v>
      </c>
      <c r="O3501">
        <v>2.5798959999999999E-3</v>
      </c>
      <c r="P3501">
        <v>0.99039940000000004</v>
      </c>
      <c r="Q3501">
        <v>-0.13691229999999999</v>
      </c>
      <c r="R3501">
        <v>-1.908671E-2</v>
      </c>
      <c r="S3501">
        <v>3.012375</v>
      </c>
      <c r="T3501">
        <v>-7.8981159999999995E-2</v>
      </c>
      <c r="U3501">
        <v>-0.2936859</v>
      </c>
      <c r="V3501">
        <v>2.163696E-2</v>
      </c>
      <c r="W3501">
        <v>-0.12761159999999999</v>
      </c>
      <c r="X3501">
        <v>0.99158820000000003</v>
      </c>
      <c r="Y3501">
        <v>9.9554130000000005E-2</v>
      </c>
      <c r="Z3501">
        <v>-1.813547E-3</v>
      </c>
      <c r="AA3501">
        <v>0.99503050000000004</v>
      </c>
      <c r="AB3501">
        <v>29</v>
      </c>
      <c r="AC3501">
        <v>42.440600000000003</v>
      </c>
      <c r="AD3501">
        <v>-1.1201705711541901</v>
      </c>
      <c r="AE3501">
        <v>-4.1660000000000199</v>
      </c>
      <c r="AF3501">
        <v>4.27253529142759</v>
      </c>
      <c r="AG3501">
        <v>-1.1201705711541901</v>
      </c>
      <c r="AH3501">
        <v>42.400454682557999</v>
      </c>
      <c r="AI3501">
        <v>91.505714124139402</v>
      </c>
      <c r="AJ3501">
        <v>84.245941324289305</v>
      </c>
      <c r="AK3501">
        <v>42.629894407711397</v>
      </c>
      <c r="AL3501">
        <v>97.331597386866207</v>
      </c>
      <c r="AM3501">
        <v>88.749975251877103</v>
      </c>
      <c r="AN3501">
        <v>1.0000000184359199</v>
      </c>
    </row>
    <row r="3502" spans="1:40" x14ac:dyDescent="0.25">
      <c r="A3502" t="str">
        <f>"20190303154540358"</f>
        <v>20190303154540358</v>
      </c>
      <c r="B3502" t="str">
        <f>"1551599140354053"</f>
        <v>1551599140354053</v>
      </c>
      <c r="C3502" t="s">
        <v>40</v>
      </c>
      <c r="D3502">
        <v>4.8886529999999997</v>
      </c>
      <c r="E3502">
        <v>0.5303348</v>
      </c>
      <c r="F3502" t="s">
        <v>55</v>
      </c>
      <c r="G3502">
        <v>-213.0522</v>
      </c>
      <c r="H3502" s="1">
        <v>2.7643149999999998E-7</v>
      </c>
      <c r="I3502">
        <v>210.29249999999999</v>
      </c>
      <c r="J3502">
        <v>-255.53749999999999</v>
      </c>
      <c r="K3502">
        <v>1.1201730000000001</v>
      </c>
      <c r="L3502">
        <v>214.4426</v>
      </c>
      <c r="M3502">
        <v>0.99995270000000003</v>
      </c>
      <c r="N3502">
        <v>-9.3900489999999993E-3</v>
      </c>
      <c r="O3502">
        <v>2.5802350000000002E-3</v>
      </c>
      <c r="P3502">
        <v>0.99050150000000003</v>
      </c>
      <c r="Q3502">
        <v>-0.1363636</v>
      </c>
      <c r="R3502">
        <v>-1.766999E-2</v>
      </c>
      <c r="S3502">
        <v>3.0124970000000002</v>
      </c>
      <c r="T3502">
        <v>-7.8980919999999996E-2</v>
      </c>
      <c r="U3502">
        <v>-0.292572</v>
      </c>
      <c r="V3502">
        <v>2.0220829999999999E-2</v>
      </c>
      <c r="W3502">
        <v>-0.1270579</v>
      </c>
      <c r="X3502">
        <v>0.99168909999999999</v>
      </c>
      <c r="Y3502">
        <v>9.9186259999999998E-2</v>
      </c>
      <c r="Z3502">
        <v>-1.807152E-3</v>
      </c>
      <c r="AA3502">
        <v>0.99506719999999904</v>
      </c>
      <c r="AB3502">
        <v>29</v>
      </c>
      <c r="AC3502">
        <v>42.485300000000002</v>
      </c>
      <c r="AD3502">
        <v>-1.1201727235685</v>
      </c>
      <c r="AE3502">
        <v>-4.1501000000000001</v>
      </c>
      <c r="AF3502">
        <v>4.2567818343001997</v>
      </c>
      <c r="AG3502">
        <v>-1.1201727235685</v>
      </c>
      <c r="AH3502">
        <v>42.4452219975581</v>
      </c>
      <c r="AI3502">
        <v>91.504201090856697</v>
      </c>
      <c r="AJ3502">
        <v>84.273022198412207</v>
      </c>
      <c r="AK3502">
        <v>42.672846740491202</v>
      </c>
      <c r="AL3502">
        <v>97.299612987424794</v>
      </c>
      <c r="AM3502">
        <v>88.831884212860999</v>
      </c>
      <c r="AN3502">
        <v>0.99999993148855204</v>
      </c>
    </row>
    <row r="3503" spans="1:40" x14ac:dyDescent="0.25">
      <c r="A3503" t="str">
        <f>"20190303154540380"</f>
        <v>20190303154540380</v>
      </c>
      <c r="B3503" t="str">
        <f>"1551599140374549"</f>
        <v>1551599140374549</v>
      </c>
      <c r="C3503" t="s">
        <v>40</v>
      </c>
      <c r="D3503">
        <v>4.8732749999999996</v>
      </c>
      <c r="E3503">
        <v>0.53040069999999995</v>
      </c>
      <c r="F3503" t="s">
        <v>55</v>
      </c>
      <c r="G3503">
        <v>-211.85230000000001</v>
      </c>
      <c r="H3503" s="1">
        <v>-3.6160089999999999E-7</v>
      </c>
      <c r="I3503">
        <v>210.28139999999999</v>
      </c>
      <c r="J3503">
        <v>-255.2517</v>
      </c>
      <c r="K3503">
        <v>1.1201730000000001</v>
      </c>
      <c r="L3503">
        <v>214.4434</v>
      </c>
      <c r="M3503">
        <v>0.99995270000000003</v>
      </c>
      <c r="N3503">
        <v>-9.3947500000000003E-3</v>
      </c>
      <c r="O3503">
        <v>2.5806900000000001E-3</v>
      </c>
      <c r="P3503">
        <v>0.99053190000000002</v>
      </c>
      <c r="Q3503">
        <v>-0.13625609999999999</v>
      </c>
      <c r="R3503">
        <v>-1.6766650000000001E-2</v>
      </c>
      <c r="S3503">
        <v>3.0130159999999999</v>
      </c>
      <c r="T3503">
        <v>-7.7259659999999994E-2</v>
      </c>
      <c r="U3503">
        <v>-0.2870026</v>
      </c>
      <c r="V3503">
        <v>1.9318129999999999E-2</v>
      </c>
      <c r="W3503">
        <v>-0.12694549999999999</v>
      </c>
      <c r="X3503">
        <v>0.99172159999999998</v>
      </c>
      <c r="Y3503">
        <v>9.7350140000000002E-2</v>
      </c>
      <c r="Z3503">
        <v>-1.7453659999999999E-3</v>
      </c>
      <c r="AA3503">
        <v>0.99524869999999999</v>
      </c>
      <c r="AB3503">
        <v>29</v>
      </c>
      <c r="AC3503">
        <v>43.399399999999901</v>
      </c>
      <c r="AD3503">
        <v>-1.12017336160089</v>
      </c>
      <c r="AE3503">
        <v>-4.1619999999999999</v>
      </c>
      <c r="AF3503">
        <v>4.2711719480434596</v>
      </c>
      <c r="AG3503">
        <v>-1.12017336160089</v>
      </c>
      <c r="AH3503">
        <v>43.359891150715796</v>
      </c>
      <c r="AI3503">
        <v>91.472743614090106</v>
      </c>
      <c r="AJ3503">
        <v>84.374220772800697</v>
      </c>
      <c r="AK3503">
        <v>43.584146874428001</v>
      </c>
      <c r="AL3503">
        <v>97.293119564252194</v>
      </c>
      <c r="AM3503">
        <v>88.8840544034949</v>
      </c>
      <c r="AN3503">
        <v>1.00000004101175</v>
      </c>
    </row>
    <row r="3504" spans="1:40" x14ac:dyDescent="0.25">
      <c r="A3504" t="str">
        <f>"20190303154540401"</f>
        <v>20190303154540401</v>
      </c>
      <c r="B3504" t="str">
        <f>"1551599140394069"</f>
        <v>1551599140394069</v>
      </c>
      <c r="C3504" t="s">
        <v>40</v>
      </c>
      <c r="D3504">
        <v>4.8639710000000003</v>
      </c>
      <c r="E3504">
        <v>0.53049550000000001</v>
      </c>
      <c r="F3504" t="s">
        <v>55</v>
      </c>
      <c r="G3504">
        <v>-211.49520000000001</v>
      </c>
      <c r="H3504" s="1">
        <v>-5.529396E-7</v>
      </c>
      <c r="I3504">
        <v>210.31180000000001</v>
      </c>
      <c r="J3504">
        <v>-254.97229999999999</v>
      </c>
      <c r="K3504">
        <v>1.1201639999999999</v>
      </c>
      <c r="L3504">
        <v>214.44409999999999</v>
      </c>
      <c r="M3504">
        <v>0.99995259999999997</v>
      </c>
      <c r="N3504">
        <v>-9.3993470000000006E-3</v>
      </c>
      <c r="O3504">
        <v>2.5813820000000001E-3</v>
      </c>
      <c r="P3504">
        <v>0.99055389999999999</v>
      </c>
      <c r="Q3504">
        <v>-0.13613120000000001</v>
      </c>
      <c r="R3504">
        <v>-1.6473390000000001E-2</v>
      </c>
      <c r="S3504">
        <v>3.0132599999999998</v>
      </c>
      <c r="T3504">
        <v>-7.7140089999999994E-2</v>
      </c>
      <c r="U3504">
        <v>-0.28451539999999997</v>
      </c>
      <c r="V3504">
        <v>1.9025489999999999E-2</v>
      </c>
      <c r="W3504">
        <v>-0.12681580000000001</v>
      </c>
      <c r="X3504">
        <v>0.99174379999999995</v>
      </c>
      <c r="Y3504">
        <v>9.6529500000000004E-2</v>
      </c>
      <c r="Z3504">
        <v>-1.7291419999999999E-3</v>
      </c>
      <c r="AA3504">
        <v>0.99532860000000001</v>
      </c>
      <c r="AB3504">
        <v>29</v>
      </c>
      <c r="AC3504">
        <v>43.477099999999901</v>
      </c>
      <c r="AD3504">
        <v>-1.1201645529396</v>
      </c>
      <c r="AE3504">
        <v>-4.1322999999999803</v>
      </c>
      <c r="AF3504">
        <v>4.2417316928820803</v>
      </c>
      <c r="AG3504">
        <v>-1.1201645529396</v>
      </c>
      <c r="AH3504">
        <v>43.437711460543902</v>
      </c>
      <c r="AI3504">
        <v>91.470216686345907</v>
      </c>
      <c r="AJ3504">
        <v>84.422698432457196</v>
      </c>
      <c r="AK3504">
        <v>43.658697109619801</v>
      </c>
      <c r="AL3504">
        <v>97.285628122202596</v>
      </c>
      <c r="AM3504">
        <v>88.900979682949298</v>
      </c>
      <c r="AN3504">
        <v>0.99999999061890998</v>
      </c>
    </row>
    <row r="3505" spans="1:40" x14ac:dyDescent="0.25">
      <c r="A3505" t="str">
        <f>"20190303154540423"</f>
        <v>20190303154540423</v>
      </c>
      <c r="B3505" t="str">
        <f>"1551599140414564"</f>
        <v>1551599140414564</v>
      </c>
      <c r="C3505" t="s">
        <v>40</v>
      </c>
      <c r="D3505">
        <v>4.8425849999999997</v>
      </c>
      <c r="E3505">
        <v>0.53047230000000001</v>
      </c>
      <c r="F3505" t="s">
        <v>55</v>
      </c>
      <c r="G3505">
        <v>-211.203</v>
      </c>
      <c r="H3505" s="1">
        <v>-7.0862940000000001E-7</v>
      </c>
      <c r="I3505">
        <v>210.31559999999999</v>
      </c>
      <c r="J3505">
        <v>-254.6842</v>
      </c>
      <c r="K3505">
        <v>1.1201650000000001</v>
      </c>
      <c r="L3505">
        <v>214.44489999999999</v>
      </c>
      <c r="M3505">
        <v>0.99995259999999997</v>
      </c>
      <c r="N3505">
        <v>-9.4040700000000005E-3</v>
      </c>
      <c r="O3505">
        <v>2.582015E-3</v>
      </c>
      <c r="P3505">
        <v>0.99059870000000005</v>
      </c>
      <c r="Q3505">
        <v>-0.13583990000000001</v>
      </c>
      <c r="R3505">
        <v>-1.6183799999999901E-2</v>
      </c>
      <c r="S3505">
        <v>3.01329</v>
      </c>
      <c r="T3505">
        <v>-7.7117560000000002E-2</v>
      </c>
      <c r="U3505">
        <v>-0.28422550000000002</v>
      </c>
      <c r="V3505">
        <v>1.8736679999999999E-2</v>
      </c>
      <c r="W3505">
        <v>-0.1265193</v>
      </c>
      <c r="X3505">
        <v>0.99178719999999998</v>
      </c>
      <c r="Y3505">
        <v>9.6434320000000004E-2</v>
      </c>
      <c r="Z3505">
        <v>-1.727316E-3</v>
      </c>
      <c r="AA3505">
        <v>0.99533780000000005</v>
      </c>
      <c r="AB3505">
        <v>29</v>
      </c>
      <c r="AC3505">
        <v>43.481200000000001</v>
      </c>
      <c r="AD3505">
        <v>-1.1201657086293999</v>
      </c>
      <c r="AE3505">
        <v>-4.1292999999999997</v>
      </c>
      <c r="AF3505">
        <v>4.2387722309939404</v>
      </c>
      <c r="AG3505">
        <v>-1.1201657086293999</v>
      </c>
      <c r="AH3505">
        <v>43.441818715261903</v>
      </c>
      <c r="AI3505">
        <v>91.470090251152797</v>
      </c>
      <c r="AJ3505">
        <v>84.427088843108393</v>
      </c>
      <c r="AK3505">
        <v>43.662496201324899</v>
      </c>
      <c r="AL3505">
        <v>97.268501737532802</v>
      </c>
      <c r="AM3505">
        <v>88.917706340317395</v>
      </c>
      <c r="AN3505">
        <v>1.00000002326687</v>
      </c>
    </row>
    <row r="3506" spans="1:40" x14ac:dyDescent="0.25">
      <c r="A3506" t="str">
        <f>"20190303154540449"</f>
        <v>20190303154540449</v>
      </c>
      <c r="B3506" t="str">
        <f>"1551599140444821"</f>
        <v>1551599140444821</v>
      </c>
      <c r="C3506" t="s">
        <v>40</v>
      </c>
      <c r="D3506">
        <v>4.8313100000000002</v>
      </c>
      <c r="E3506">
        <v>0.53073780000000004</v>
      </c>
      <c r="F3506" t="s">
        <v>55</v>
      </c>
      <c r="G3506">
        <v>-210.58500000000001</v>
      </c>
      <c r="H3506" s="1">
        <v>-1.036818E-6</v>
      </c>
      <c r="I3506">
        <v>210.2998</v>
      </c>
      <c r="J3506">
        <v>-254.35130000000001</v>
      </c>
      <c r="K3506">
        <v>1.12016</v>
      </c>
      <c r="L3506">
        <v>214.44569999999999</v>
      </c>
      <c r="M3506">
        <v>0.99995239999999996</v>
      </c>
      <c r="N3506">
        <v>-9.4095380000000003E-3</v>
      </c>
      <c r="O3506">
        <v>2.5826460000000001E-3</v>
      </c>
      <c r="P3506">
        <v>0.99054770000000003</v>
      </c>
      <c r="Q3506">
        <v>-0.1361725</v>
      </c>
      <c r="R3506">
        <v>-1.6505789999999999E-2</v>
      </c>
      <c r="S3506">
        <v>3.0133510000000001</v>
      </c>
      <c r="T3506">
        <v>-7.6542139999999995E-2</v>
      </c>
      <c r="U3506">
        <v>-0.28323359999999997</v>
      </c>
      <c r="V3506">
        <v>1.9059090000000001E-2</v>
      </c>
      <c r="W3506">
        <v>-0.12684699999999999</v>
      </c>
      <c r="X3506">
        <v>0.99173920000000004</v>
      </c>
      <c r="Y3506">
        <v>9.6109029999999998E-2</v>
      </c>
      <c r="Z3506">
        <v>-1.712231E-3</v>
      </c>
      <c r="AA3506">
        <v>0.99536930000000001</v>
      </c>
      <c r="AB3506">
        <v>30</v>
      </c>
      <c r="AC3506">
        <v>43.766300000000001</v>
      </c>
      <c r="AD3506">
        <v>-1.1201610368179999</v>
      </c>
      <c r="AE3506">
        <v>-4.1458999999999797</v>
      </c>
      <c r="AF3506">
        <v>4.2561607892195799</v>
      </c>
      <c r="AG3506">
        <v>-1.1201610368179999</v>
      </c>
      <c r="AH3506">
        <v>43.727057048551103</v>
      </c>
      <c r="AI3506">
        <v>91.460532362860505</v>
      </c>
      <c r="AJ3506">
        <v>84.440643827519295</v>
      </c>
      <c r="AK3506">
        <v>43.947982701590902</v>
      </c>
      <c r="AL3506">
        <v>97.287430048366602</v>
      </c>
      <c r="AM3506">
        <v>88.899034128153502</v>
      </c>
      <c r="AN3506">
        <v>1.0000000255686301</v>
      </c>
    </row>
    <row r="3507" spans="1:40" x14ac:dyDescent="0.25">
      <c r="A3507" t="str">
        <f>"20190303154540477"</f>
        <v>20190303154540477</v>
      </c>
      <c r="B3507" t="str">
        <f>"1551599140464341"</f>
        <v>1551599140464341</v>
      </c>
      <c r="C3507" t="s">
        <v>40</v>
      </c>
      <c r="D3507">
        <v>4.7993589999999999</v>
      </c>
      <c r="E3507">
        <v>0.53084209999999998</v>
      </c>
      <c r="F3507" t="s">
        <v>55</v>
      </c>
      <c r="G3507">
        <v>-210.42509999999999</v>
      </c>
      <c r="H3507" s="1">
        <v>-1.120694E-6</v>
      </c>
      <c r="I3507">
        <v>210.2722</v>
      </c>
      <c r="J3507">
        <v>-253.96940000000001</v>
      </c>
      <c r="K3507">
        <v>1.120155</v>
      </c>
      <c r="L3507">
        <v>214.44669999999999</v>
      </c>
      <c r="M3507">
        <v>0.99995239999999996</v>
      </c>
      <c r="N3507">
        <v>-9.4157890000000008E-3</v>
      </c>
      <c r="O3507">
        <v>2.5831539999999998E-3</v>
      </c>
      <c r="P3507">
        <v>0.99045059999999996</v>
      </c>
      <c r="Q3507">
        <v>-0.1368318</v>
      </c>
      <c r="R3507">
        <v>-1.6875899999999999E-2</v>
      </c>
      <c r="S3507">
        <v>3.0133209999999999</v>
      </c>
      <c r="T3507">
        <v>-7.6842670000000002E-2</v>
      </c>
      <c r="U3507">
        <v>-0.28630070000000002</v>
      </c>
      <c r="V3507">
        <v>1.942957E-2</v>
      </c>
      <c r="W3507">
        <v>-0.12750110000000001</v>
      </c>
      <c r="X3507">
        <v>0.99164810000000003</v>
      </c>
      <c r="Y3507">
        <v>9.7113809999999995E-2</v>
      </c>
      <c r="Z3507">
        <v>-1.735059E-3</v>
      </c>
      <c r="AA3507">
        <v>0.99527169999999998</v>
      </c>
      <c r="AB3507">
        <v>30</v>
      </c>
      <c r="AC3507">
        <v>43.5443</v>
      </c>
      <c r="AD3507">
        <v>-1.1201561206940001</v>
      </c>
      <c r="AE3507">
        <v>-4.1744999999999903</v>
      </c>
      <c r="AF3507">
        <v>4.2841634529486203</v>
      </c>
      <c r="AG3507">
        <v>-1.1201561206940001</v>
      </c>
      <c r="AH3507">
        <v>43.504843672082004</v>
      </c>
      <c r="AI3507">
        <v>91.467820424770906</v>
      </c>
      <c r="AJ3507">
        <v>84.375899546916699</v>
      </c>
      <c r="AK3507">
        <v>43.7296264465935</v>
      </c>
      <c r="AL3507">
        <v>97.325214221865906</v>
      </c>
      <c r="AM3507">
        <v>88.877535350304996</v>
      </c>
      <c r="AN3507">
        <v>0.99999999646260196</v>
      </c>
    </row>
    <row r="3508" spans="1:40" x14ac:dyDescent="0.25">
      <c r="A3508" t="str">
        <f>"20190303154540497"</f>
        <v>20190303154540497</v>
      </c>
      <c r="B3508" t="str">
        <f>"1551599140494598"</f>
        <v>1551599140494598</v>
      </c>
      <c r="C3508" t="s">
        <v>40</v>
      </c>
      <c r="D3508">
        <v>4.8032219999999999</v>
      </c>
      <c r="E3508">
        <v>0.53108829999999996</v>
      </c>
      <c r="F3508" t="s">
        <v>55</v>
      </c>
      <c r="G3508">
        <v>-211.26740000000001</v>
      </c>
      <c r="H3508" s="1">
        <v>-6.765007E-7</v>
      </c>
      <c r="I3508">
        <v>210.36429999999999</v>
      </c>
      <c r="J3508">
        <v>-253.70410000000001</v>
      </c>
      <c r="K3508">
        <v>1.1201509999999999</v>
      </c>
      <c r="L3508">
        <v>214.44739999999999</v>
      </c>
      <c r="M3508">
        <v>0.99995239999999996</v>
      </c>
      <c r="N3508">
        <v>-9.4237269999999998E-3</v>
      </c>
      <c r="O3508">
        <v>2.5835939999999998E-3</v>
      </c>
      <c r="P3508">
        <v>0.99038859999999995</v>
      </c>
      <c r="Q3508">
        <v>-0.13718229999999901</v>
      </c>
      <c r="R3508">
        <v>-1.7649539999999998E-2</v>
      </c>
      <c r="S3508">
        <v>3.013077</v>
      </c>
      <c r="T3508">
        <v>-7.9038739999999996E-2</v>
      </c>
      <c r="U3508">
        <v>-0.28805540000000002</v>
      </c>
      <c r="V3508">
        <v>2.0203459999999999E-2</v>
      </c>
      <c r="W3508">
        <v>-0.12784429999999999</v>
      </c>
      <c r="X3508">
        <v>0.99158849999999998</v>
      </c>
      <c r="Y3508">
        <v>9.7693779999999994E-2</v>
      </c>
      <c r="Z3508">
        <v>-1.7830179999999999E-3</v>
      </c>
      <c r="AA3508">
        <v>0.99521490000000001</v>
      </c>
      <c r="AB3508">
        <v>30</v>
      </c>
      <c r="AC3508">
        <v>42.436700000000002</v>
      </c>
      <c r="AD3508">
        <v>-1.1201516765007</v>
      </c>
      <c r="AE3508">
        <v>-4.0831</v>
      </c>
      <c r="AF3508">
        <v>4.1898379793659402</v>
      </c>
      <c r="AG3508">
        <v>-1.1201516765007</v>
      </c>
      <c r="AH3508">
        <v>42.396740286059298</v>
      </c>
      <c r="AI3508">
        <v>91.506109399784506</v>
      </c>
      <c r="AJ3508">
        <v>84.356097174544203</v>
      </c>
      <c r="AK3508">
        <v>42.617989968501199</v>
      </c>
      <c r="AL3508">
        <v>97.345039995196004</v>
      </c>
      <c r="AM3508">
        <v>88.832768989631006</v>
      </c>
      <c r="AN3508">
        <v>1.00000004908535</v>
      </c>
    </row>
    <row r="3509" spans="1:40" x14ac:dyDescent="0.25">
      <c r="A3509" t="str">
        <f>"20190303154540536"</f>
        <v>20190303154540536</v>
      </c>
      <c r="B3509" t="str">
        <f>"1551599140534613"</f>
        <v>1551599140534613</v>
      </c>
      <c r="C3509" t="s">
        <v>40</v>
      </c>
      <c r="D3509">
        <v>4.7127039999999996</v>
      </c>
      <c r="E3509">
        <v>0.53506180000000003</v>
      </c>
      <c r="F3509" t="s">
        <v>55</v>
      </c>
      <c r="G3509">
        <v>-210.71379999999999</v>
      </c>
      <c r="H3509" s="1">
        <v>-9.672560000000001E-7</v>
      </c>
      <c r="I3509">
        <v>210.27670000000001</v>
      </c>
      <c r="J3509">
        <v>-253.18090000000001</v>
      </c>
      <c r="K3509">
        <v>1.120152</v>
      </c>
      <c r="L3509">
        <v>214.44880000000001</v>
      </c>
      <c r="M3509">
        <v>0.99995199999999995</v>
      </c>
      <c r="N3509">
        <v>-9.4583949999999996E-3</v>
      </c>
      <c r="O3509">
        <v>2.5842640000000002E-3</v>
      </c>
      <c r="P3509">
        <v>0.99034580000000005</v>
      </c>
      <c r="Q3509">
        <v>-0.1374426</v>
      </c>
      <c r="R3509">
        <v>-1.8023000000000001E-2</v>
      </c>
      <c r="S3509">
        <v>3.0130309999999998</v>
      </c>
      <c r="T3509">
        <v>-7.8507300000000002E-2</v>
      </c>
      <c r="U3509">
        <v>-0.29231259999999998</v>
      </c>
      <c r="V3509">
        <v>2.057753E-2</v>
      </c>
      <c r="W3509">
        <v>-0.12807060000000001</v>
      </c>
      <c r="X3509">
        <v>0.99155159999999998</v>
      </c>
      <c r="Y3509">
        <v>9.9088880000000004E-2</v>
      </c>
      <c r="Z3509">
        <v>-1.8002980000000001E-3</v>
      </c>
      <c r="AA3509">
        <v>0.99507699999999999</v>
      </c>
      <c r="AB3509">
        <v>30</v>
      </c>
      <c r="AC3509">
        <v>42.467100000000002</v>
      </c>
      <c r="AD3509">
        <v>-1.120152967256</v>
      </c>
      <c r="AE3509">
        <v>-4.1721000000000004</v>
      </c>
      <c r="AF3509">
        <v>4.2788886140538498</v>
      </c>
      <c r="AG3509">
        <v>-1.120152967256</v>
      </c>
      <c r="AH3509">
        <v>42.426939781589098</v>
      </c>
      <c r="AI3509">
        <v>91.504737939210401</v>
      </c>
      <c r="AJ3509">
        <v>84.241015597143303</v>
      </c>
      <c r="AK3509">
        <v>42.656873416509598</v>
      </c>
      <c r="AL3509">
        <v>97.358113532852499</v>
      </c>
      <c r="AM3509">
        <v>88.811119454564306</v>
      </c>
      <c r="AN3509">
        <v>1.0000000443938999</v>
      </c>
    </row>
    <row r="3510" spans="1:40" x14ac:dyDescent="0.25">
      <c r="A3510" t="str">
        <f>"20190303154540559"</f>
        <v>20190303154540559</v>
      </c>
      <c r="B3510" t="str">
        <f>"1551599140554133"</f>
        <v>1551599140554133</v>
      </c>
      <c r="C3510" t="s">
        <v>40</v>
      </c>
      <c r="D3510">
        <v>4.7464879999999896</v>
      </c>
      <c r="E3510">
        <v>0.5353059</v>
      </c>
      <c r="F3510" t="s">
        <v>54</v>
      </c>
      <c r="G3510">
        <v>-186.43029999999999</v>
      </c>
      <c r="H3510" s="1">
        <v>4.6097479999999997E-6</v>
      </c>
      <c r="I3510">
        <v>207.27889999999999</v>
      </c>
      <c r="J3510">
        <v>-252.8879</v>
      </c>
      <c r="K3510">
        <v>1.1201620000000001</v>
      </c>
      <c r="L3510">
        <v>214.4495</v>
      </c>
      <c r="M3510">
        <v>0.9999517</v>
      </c>
      <c r="N3510">
        <v>-9.4816540000000008E-3</v>
      </c>
      <c r="O3510">
        <v>2.5848680000000001E-3</v>
      </c>
      <c r="P3510">
        <v>0.99035620000000002</v>
      </c>
      <c r="Q3510">
        <v>-0.1373402</v>
      </c>
      <c r="R3510">
        <v>-1.8228310000000001E-2</v>
      </c>
      <c r="S3510">
        <v>3.016327</v>
      </c>
      <c r="T3510">
        <v>-5.0617219999999997E-2</v>
      </c>
      <c r="U3510">
        <v>-0.3239899</v>
      </c>
      <c r="V3510">
        <v>2.0783349999999999E-2</v>
      </c>
      <c r="W3510">
        <v>-0.12794510000000001</v>
      </c>
      <c r="X3510">
        <v>0.99156339999999998</v>
      </c>
      <c r="Y3510">
        <v>0.1093436</v>
      </c>
      <c r="Z3510">
        <v>-1.4535049999999999E-3</v>
      </c>
      <c r="AA3510">
        <v>0.99400290000000002</v>
      </c>
      <c r="AB3510">
        <v>30</v>
      </c>
      <c r="AC3510">
        <v>66.457599999999999</v>
      </c>
      <c r="AD3510">
        <v>-1.1201573902519999</v>
      </c>
      <c r="AE3510">
        <v>-7.1706000000000003</v>
      </c>
      <c r="AF3510">
        <v>7.34030651847893</v>
      </c>
      <c r="AG3510">
        <v>-1.1201573902519999</v>
      </c>
      <c r="AH3510">
        <v>66.420189354548498</v>
      </c>
      <c r="AI3510">
        <v>90.960339758064407</v>
      </c>
      <c r="AJ3510">
        <v>83.693651457874296</v>
      </c>
      <c r="AK3510">
        <v>66.8339465111723</v>
      </c>
      <c r="AL3510">
        <v>97.350864065468897</v>
      </c>
      <c r="AM3510">
        <v>88.799245816326803</v>
      </c>
      <c r="AN3510">
        <v>0.99999993623539396</v>
      </c>
    </row>
    <row r="3511" spans="1:40" x14ac:dyDescent="0.25">
      <c r="A3511" t="str">
        <f>"20190303154540579"</f>
        <v>20190303154540579</v>
      </c>
      <c r="B3511" t="str">
        <f>"1551599140574630"</f>
        <v>1551599140574630</v>
      </c>
      <c r="C3511" t="s">
        <v>40</v>
      </c>
      <c r="D3511">
        <v>4.7570579999999998</v>
      </c>
      <c r="E3511">
        <v>0.53526499999999999</v>
      </c>
      <c r="F3511" t="s">
        <v>54</v>
      </c>
      <c r="G3511">
        <v>-189.12780000000001</v>
      </c>
      <c r="H3511" s="1">
        <v>4.9952330000000003E-6</v>
      </c>
      <c r="I3511">
        <v>207.5421</v>
      </c>
      <c r="J3511">
        <v>-252.60550000000001</v>
      </c>
      <c r="K3511">
        <v>1.1201680000000001</v>
      </c>
      <c r="L3511">
        <v>214.4503</v>
      </c>
      <c r="M3511">
        <v>0.99995149999999999</v>
      </c>
      <c r="N3511">
        <v>-9.5074749999999996E-3</v>
      </c>
      <c r="O3511">
        <v>2.5852219999999999E-3</v>
      </c>
      <c r="P3511">
        <v>0.99033059999999995</v>
      </c>
      <c r="Q3511">
        <v>-0.1375285</v>
      </c>
      <c r="R3511">
        <v>-1.8207859999999999E-2</v>
      </c>
      <c r="S3511">
        <v>3.0158230000000001</v>
      </c>
      <c r="T3511">
        <v>-5.2982929999999998E-2</v>
      </c>
      <c r="U3511">
        <v>-0.32672119999999999</v>
      </c>
      <c r="V3511">
        <v>2.0763170000000001E-2</v>
      </c>
      <c r="W3511">
        <v>-0.1281081</v>
      </c>
      <c r="X3511">
        <v>0.9915429</v>
      </c>
      <c r="Y3511">
        <v>0.11024929999999999</v>
      </c>
      <c r="Z3511">
        <v>-1.512025E-3</v>
      </c>
      <c r="AA3511">
        <v>0.99390279999999998</v>
      </c>
      <c r="AB3511">
        <v>30</v>
      </c>
      <c r="AC3511">
        <v>63.477699999999999</v>
      </c>
      <c r="AD3511">
        <v>-1.1201630047669999</v>
      </c>
      <c r="AE3511">
        <v>-6.9081999999999901</v>
      </c>
      <c r="AF3511">
        <v>7.0701124002190703</v>
      </c>
      <c r="AG3511">
        <v>-1.1201630047669999</v>
      </c>
      <c r="AH3511">
        <v>63.440103742612401</v>
      </c>
      <c r="AI3511">
        <v>91.005344766396405</v>
      </c>
      <c r="AJ3511">
        <v>83.6408850244581</v>
      </c>
      <c r="AK3511">
        <v>63.842681784073001</v>
      </c>
      <c r="AL3511">
        <v>97.360279865627902</v>
      </c>
      <c r="AM3511">
        <v>88.800386577161703</v>
      </c>
      <c r="AN3511">
        <v>1.00000005852723</v>
      </c>
    </row>
    <row r="3512" spans="1:40" x14ac:dyDescent="0.25">
      <c r="A3512" t="str">
        <f>"20190303154540602"</f>
        <v>20190303154540602</v>
      </c>
      <c r="B3512" t="str">
        <f>"1551599140594149"</f>
        <v>1551599140594149</v>
      </c>
      <c r="C3512" t="s">
        <v>40</v>
      </c>
      <c r="D3512">
        <v>4.6903119999999996</v>
      </c>
      <c r="E3512">
        <v>0.53517209999999904</v>
      </c>
      <c r="F3512" t="s">
        <v>54</v>
      </c>
      <c r="G3512">
        <v>-189.6191</v>
      </c>
      <c r="H3512" s="1">
        <v>5.0546270000000004E-6</v>
      </c>
      <c r="I3512">
        <v>207.6206</v>
      </c>
      <c r="J3512">
        <v>-252.30279999999999</v>
      </c>
      <c r="K3512">
        <v>1.1201749999999999</v>
      </c>
      <c r="L3512">
        <v>214.45099999999999</v>
      </c>
      <c r="M3512">
        <v>0.99995109999999998</v>
      </c>
      <c r="N3512">
        <v>-9.538576E-3</v>
      </c>
      <c r="O3512">
        <v>2.5857279999999998E-3</v>
      </c>
      <c r="P3512">
        <v>0.99030620000000003</v>
      </c>
      <c r="Q3512">
        <v>-0.1377138</v>
      </c>
      <c r="R3512">
        <v>-1.81254E-2</v>
      </c>
      <c r="S3512">
        <v>3.0158390000000002</v>
      </c>
      <c r="T3512">
        <v>-5.3634290000000001E-2</v>
      </c>
      <c r="U3512">
        <v>-0.3270111</v>
      </c>
      <c r="V3512">
        <v>2.06813E-2</v>
      </c>
      <c r="W3512">
        <v>-0.12826270000000001</v>
      </c>
      <c r="X3512">
        <v>0.99152459999999998</v>
      </c>
      <c r="Y3512">
        <v>0.1103431</v>
      </c>
      <c r="Z3512">
        <v>-1.5273680000000001E-3</v>
      </c>
      <c r="AA3512">
        <v>0.99389240000000001</v>
      </c>
      <c r="AB3512">
        <v>30</v>
      </c>
      <c r="AC3512">
        <v>62.683699999999902</v>
      </c>
      <c r="AD3512">
        <v>-1.1201699453730001</v>
      </c>
      <c r="AE3512">
        <v>-6.8303999999999903</v>
      </c>
      <c r="AF3512">
        <v>6.9902614437201196</v>
      </c>
      <c r="AG3512">
        <v>-1.1201699453730001</v>
      </c>
      <c r="AH3512">
        <v>62.646057185582301</v>
      </c>
      <c r="AI3512">
        <v>91.018075811868599</v>
      </c>
      <c r="AJ3512">
        <v>83.633078231101194</v>
      </c>
      <c r="AK3512">
        <v>63.044801662447398</v>
      </c>
      <c r="AL3512">
        <v>97.369211655264394</v>
      </c>
      <c r="AM3512">
        <v>88.8050932793291</v>
      </c>
      <c r="AN3512">
        <v>1.00000003439306</v>
      </c>
    </row>
    <row r="3513" spans="1:40" x14ac:dyDescent="0.25">
      <c r="A3513" t="str">
        <f>"20190303154540624"</f>
        <v>20190303154540624</v>
      </c>
      <c r="B3513" t="str">
        <f>"1551599140614646"</f>
        <v>1551599140614646</v>
      </c>
      <c r="C3513" t="s">
        <v>40</v>
      </c>
      <c r="D3513">
        <v>4.7257749999999996</v>
      </c>
      <c r="E3513">
        <v>0.53538699999999995</v>
      </c>
      <c r="F3513" t="s">
        <v>54</v>
      </c>
      <c r="G3513">
        <v>-185.09549999999999</v>
      </c>
      <c r="H3513" s="1">
        <v>4.4001189999999999E-6</v>
      </c>
      <c r="I3513">
        <v>207.2021</v>
      </c>
      <c r="J3513">
        <v>-252.0104</v>
      </c>
      <c r="K3513">
        <v>1.1201779999999999</v>
      </c>
      <c r="L3513">
        <v>214.45179999999999</v>
      </c>
      <c r="M3513">
        <v>0.99995089999999998</v>
      </c>
      <c r="N3513">
        <v>-9.5684229999999995E-3</v>
      </c>
      <c r="O3513">
        <v>2.5857639999999999E-3</v>
      </c>
      <c r="P3513">
        <v>0.99029579999999995</v>
      </c>
      <c r="Q3513">
        <v>-0.1377517</v>
      </c>
      <c r="R3513">
        <v>-1.8403639999999999E-2</v>
      </c>
      <c r="S3513">
        <v>3.0164339999999998</v>
      </c>
      <c r="T3513">
        <v>-5.0276040000000001E-2</v>
      </c>
      <c r="U3513">
        <v>-0.32534790000000002</v>
      </c>
      <c r="V3513">
        <v>2.095957E-2</v>
      </c>
      <c r="W3513">
        <v>-0.1282712</v>
      </c>
      <c r="X3513">
        <v>0.9915176</v>
      </c>
      <c r="Y3513">
        <v>0.109783199999999</v>
      </c>
      <c r="Z3513">
        <v>-1.4573079999999901E-3</v>
      </c>
      <c r="AA3513">
        <v>0.99395449999999996</v>
      </c>
      <c r="AB3513">
        <v>30</v>
      </c>
      <c r="AC3513">
        <v>66.914900000000003</v>
      </c>
      <c r="AD3513">
        <v>-1.1201735998810001</v>
      </c>
      <c r="AE3513">
        <v>-7.24969999999999</v>
      </c>
      <c r="AF3513">
        <v>7.4206544051238303</v>
      </c>
      <c r="AG3513">
        <v>-1.1201735998810001</v>
      </c>
      <c r="AH3513">
        <v>66.877405338438294</v>
      </c>
      <c r="AI3513">
        <v>90.953742774716801</v>
      </c>
      <c r="AJ3513">
        <v>83.668413725933505</v>
      </c>
      <c r="AK3513">
        <v>67.297163725493903</v>
      </c>
      <c r="AL3513">
        <v>97.369703145778999</v>
      </c>
      <c r="AM3513">
        <v>88.789011838838405</v>
      </c>
      <c r="AN3513">
        <v>0.99999997771689197</v>
      </c>
    </row>
    <row r="3514" spans="1:40" x14ac:dyDescent="0.25">
      <c r="A3514" t="str">
        <f>"20190303154540647"</f>
        <v>20190303154540647</v>
      </c>
      <c r="B3514" t="str">
        <f>"1551599140634165"</f>
        <v>1551599140634165</v>
      </c>
      <c r="C3514" t="s">
        <v>40</v>
      </c>
      <c r="D3514">
        <v>4.7232099999999999</v>
      </c>
      <c r="E3514">
        <v>0.53499030000000003</v>
      </c>
      <c r="F3514" t="s">
        <v>54</v>
      </c>
      <c r="G3514">
        <v>-179.95779999999999</v>
      </c>
      <c r="H3514">
        <v>2.0912400000000001E-2</v>
      </c>
      <c r="I3514">
        <v>206.63310000000001</v>
      </c>
      <c r="J3514">
        <v>-251.703</v>
      </c>
      <c r="K3514">
        <v>1.120179</v>
      </c>
      <c r="L3514">
        <v>214.45259999999999</v>
      </c>
      <c r="M3514">
        <v>0.99995060000000002</v>
      </c>
      <c r="N3514">
        <v>-9.5991489999999995E-3</v>
      </c>
      <c r="O3514">
        <v>2.586152E-3</v>
      </c>
      <c r="P3514">
        <v>0.99033020000000005</v>
      </c>
      <c r="Q3514">
        <v>-0.1375865</v>
      </c>
      <c r="R3514">
        <v>-1.777902E-2</v>
      </c>
      <c r="S3514">
        <v>3.0169220000000001</v>
      </c>
      <c r="T3514">
        <v>-4.6027419999999999E-2</v>
      </c>
      <c r="U3514">
        <v>-0.32737729999999998</v>
      </c>
      <c r="V3514">
        <v>2.0335229999999999E-2</v>
      </c>
      <c r="W3514">
        <v>-0.1280751</v>
      </c>
      <c r="X3514">
        <v>0.99155599999999999</v>
      </c>
      <c r="Y3514">
        <v>0.110430399999999</v>
      </c>
      <c r="Z3514">
        <v>-1.386092E-3</v>
      </c>
      <c r="AA3514">
        <v>0.99388290000000001</v>
      </c>
      <c r="AB3514">
        <v>30</v>
      </c>
      <c r="AC3514">
        <v>71.745199999999997</v>
      </c>
      <c r="AD3514">
        <v>-1.0992666</v>
      </c>
      <c r="AE3514">
        <v>-7.8194999999999704</v>
      </c>
      <c r="AF3514">
        <v>8.0031696346910799</v>
      </c>
      <c r="AG3514">
        <v>-1.0992666</v>
      </c>
      <c r="AH3514">
        <v>71.708100279936502</v>
      </c>
      <c r="AI3514">
        <v>90.872842159824998</v>
      </c>
      <c r="AJ3514">
        <v>83.631709458427295</v>
      </c>
      <c r="AK3514">
        <v>72.161698684391794</v>
      </c>
      <c r="AL3514">
        <v>97.358373633644206</v>
      </c>
      <c r="AM3514">
        <v>88.825119763771596</v>
      </c>
      <c r="AN3514">
        <v>1.0000000269775799</v>
      </c>
    </row>
    <row r="3515" spans="1:40" x14ac:dyDescent="0.25">
      <c r="A3515" t="str">
        <f>"20190303154540671"</f>
        <v>20190303154540671</v>
      </c>
      <c r="B3515" t="str">
        <f>"1551599140664421"</f>
        <v>1551599140664421</v>
      </c>
      <c r="C3515" t="s">
        <v>40</v>
      </c>
      <c r="D3515">
        <v>4.621982</v>
      </c>
      <c r="E3515">
        <v>0.5052738</v>
      </c>
      <c r="F3515" t="s">
        <v>54</v>
      </c>
      <c r="G3515">
        <v>-179.95779999999999</v>
      </c>
      <c r="H3515">
        <v>2.5213849999999999E-2</v>
      </c>
      <c r="I3515">
        <v>206.7816</v>
      </c>
      <c r="J3515">
        <v>-251.3903</v>
      </c>
      <c r="K3515">
        <v>1.120177</v>
      </c>
      <c r="L3515">
        <v>214.45339999999999</v>
      </c>
      <c r="M3515">
        <v>0.99995029999999996</v>
      </c>
      <c r="N3515">
        <v>-9.6359440000000005E-3</v>
      </c>
      <c r="O3515">
        <v>2.5862720000000001E-3</v>
      </c>
      <c r="P3515">
        <v>0.99033570000000004</v>
      </c>
      <c r="Q3515">
        <v>-0.1375951</v>
      </c>
      <c r="R3515">
        <v>-1.741098E-2</v>
      </c>
      <c r="S3515">
        <v>3.0171049999999999</v>
      </c>
      <c r="T3515">
        <v>-4.6046610000000002E-2</v>
      </c>
      <c r="U3515">
        <v>-0.32258609999999999</v>
      </c>
      <c r="V3515">
        <v>1.9967309999999999E-2</v>
      </c>
      <c r="W3515">
        <v>-0.1280471</v>
      </c>
      <c r="X3515">
        <v>0.99156710000000003</v>
      </c>
      <c r="Y3515">
        <v>0.1088639</v>
      </c>
      <c r="Z3515">
        <v>-1.368888E-3</v>
      </c>
      <c r="AA3515">
        <v>0.99405569999999999</v>
      </c>
      <c r="AB3515">
        <v>30</v>
      </c>
      <c r="AC3515">
        <v>71.432500000000005</v>
      </c>
      <c r="AD3515">
        <v>-1.0949631500000001</v>
      </c>
      <c r="AE3515">
        <v>-7.6717999999999904</v>
      </c>
      <c r="AF3515">
        <v>7.8547022267446902</v>
      </c>
      <c r="AG3515">
        <v>-1.0949631500000001</v>
      </c>
      <c r="AH3515">
        <v>71.395834409729105</v>
      </c>
      <c r="AI3515">
        <v>90.873379800616405</v>
      </c>
      <c r="AJ3515">
        <v>83.721781381052693</v>
      </c>
      <c r="AK3515">
        <v>71.834952929838806</v>
      </c>
      <c r="AL3515">
        <v>97.356755984411194</v>
      </c>
      <c r="AM3515">
        <v>88.8463836779395</v>
      </c>
      <c r="AN3515">
        <v>1.0000000335447199</v>
      </c>
    </row>
    <row r="3516" spans="1:40" x14ac:dyDescent="0.25">
      <c r="A3516" t="str">
        <f>"20190303154540697"</f>
        <v>20190303154540697</v>
      </c>
      <c r="B3516" t="str">
        <f>"1551599140694677"</f>
        <v>1551599140694677</v>
      </c>
      <c r="C3516" t="s">
        <v>40</v>
      </c>
      <c r="D3516">
        <v>4.5657059999999996</v>
      </c>
      <c r="E3516">
        <v>0.50290469999999998</v>
      </c>
      <c r="F3516" t="s">
        <v>55</v>
      </c>
      <c r="G3516">
        <v>-225.14859999999999</v>
      </c>
      <c r="H3516" s="1">
        <v>1.2431180000000001E-6</v>
      </c>
      <c r="I3516">
        <v>213.6995</v>
      </c>
      <c r="J3516">
        <v>-251.02770000000001</v>
      </c>
      <c r="K3516">
        <v>1.120179</v>
      </c>
      <c r="L3516">
        <v>214.45439999999999</v>
      </c>
      <c r="M3516">
        <v>0.9999498</v>
      </c>
      <c r="N3516">
        <v>-9.686198E-3</v>
      </c>
      <c r="O3516">
        <v>2.5868599999999999E-3</v>
      </c>
      <c r="P3516">
        <v>0.99033760000000004</v>
      </c>
      <c r="Q3516">
        <v>-0.1376937</v>
      </c>
      <c r="R3516">
        <v>-1.649778E-2</v>
      </c>
      <c r="S3516">
        <v>3.009903</v>
      </c>
      <c r="T3516">
        <v>-0.1284835</v>
      </c>
      <c r="U3516">
        <v>-8.6471560000000003E-2</v>
      </c>
      <c r="V3516">
        <v>1.9054720000000001E-2</v>
      </c>
      <c r="W3516">
        <v>-0.12809580000000001</v>
      </c>
      <c r="X3516">
        <v>0.99157879999999998</v>
      </c>
      <c r="Y3516">
        <v>3.1266670000000003E-2</v>
      </c>
      <c r="Z3516">
        <v>-9.0375480000000005E-4</v>
      </c>
      <c r="AA3516">
        <v>0.99951060000000003</v>
      </c>
      <c r="AB3516">
        <v>30</v>
      </c>
      <c r="AC3516">
        <v>25.879100000000001</v>
      </c>
      <c r="AD3516">
        <v>-1.1201777568819999</v>
      </c>
      <c r="AE3516">
        <v>-0.75489999999999202</v>
      </c>
      <c r="AF3516">
        <v>0.82031059678407203</v>
      </c>
      <c r="AG3516">
        <v>-1.1201777568819999</v>
      </c>
      <c r="AH3516">
        <v>25.828709110882599</v>
      </c>
      <c r="AI3516">
        <v>92.482082205607995</v>
      </c>
      <c r="AJ3516">
        <v>88.180917917586598</v>
      </c>
      <c r="AK3516">
        <v>25.8659993430913</v>
      </c>
      <c r="AL3516">
        <v>97.3595692142286</v>
      </c>
      <c r="AM3516">
        <v>88.899108493055905</v>
      </c>
      <c r="AN3516">
        <v>1.0000000664706701</v>
      </c>
    </row>
    <row r="3517" spans="1:40" x14ac:dyDescent="0.25">
      <c r="A3517" t="str">
        <f>"20190303154540736"</f>
        <v>20190303154540736</v>
      </c>
      <c r="B3517" t="str">
        <f>"1551599140723958"</f>
        <v>1551599140723958</v>
      </c>
      <c r="C3517" t="s">
        <v>40</v>
      </c>
      <c r="D3517">
        <v>4.5537140000000003</v>
      </c>
      <c r="E3517">
        <v>0.50226130000000002</v>
      </c>
      <c r="F3517" t="s">
        <v>55</v>
      </c>
      <c r="G3517">
        <v>-225.34110000000001</v>
      </c>
      <c r="H3517" s="1">
        <v>1.336658E-6</v>
      </c>
      <c r="I3517">
        <v>213.9034</v>
      </c>
      <c r="J3517">
        <v>-250.50229999999999</v>
      </c>
      <c r="K3517">
        <v>1.1201970000000001</v>
      </c>
      <c r="L3517">
        <v>214.45570000000001</v>
      </c>
      <c r="M3517">
        <v>0.99994899999999998</v>
      </c>
      <c r="N3517">
        <v>-9.770071E-3</v>
      </c>
      <c r="O3517">
        <v>2.587818E-3</v>
      </c>
      <c r="P3517">
        <v>0.99032200000000004</v>
      </c>
      <c r="Q3517">
        <v>-0.1378566</v>
      </c>
      <c r="R3517">
        <v>-1.6066359999999998E-2</v>
      </c>
      <c r="S3517">
        <v>3.0099330000000002</v>
      </c>
      <c r="T3517">
        <v>-0.13126179999999901</v>
      </c>
      <c r="U3517">
        <v>-6.4559939999999996E-2</v>
      </c>
      <c r="V3517">
        <v>1.8624109999999999E-2</v>
      </c>
      <c r="W3517">
        <v>-0.1281757</v>
      </c>
      <c r="X3517">
        <v>0.99157660000000003</v>
      </c>
      <c r="Y3517">
        <v>2.40019E-2</v>
      </c>
      <c r="Z3517">
        <v>-7.2789809999999997E-4</v>
      </c>
      <c r="AA3517">
        <v>0.99971160000000003</v>
      </c>
      <c r="AB3517">
        <v>30</v>
      </c>
      <c r="AC3517">
        <v>25.161199999999901</v>
      </c>
      <c r="AD3517">
        <v>-1.1201956633419901</v>
      </c>
      <c r="AE3517">
        <v>-0.55230000000000201</v>
      </c>
      <c r="AF3517">
        <v>0.616193092851265</v>
      </c>
      <c r="AG3517">
        <v>-1.1201956633419901</v>
      </c>
      <c r="AH3517">
        <v>25.109940034682499</v>
      </c>
      <c r="AI3517">
        <v>92.553597398342205</v>
      </c>
      <c r="AJ3517">
        <v>88.594254740243002</v>
      </c>
      <c r="AK3517">
        <v>25.1424664819742</v>
      </c>
      <c r="AL3517">
        <v>97.364185611607596</v>
      </c>
      <c r="AM3517">
        <v>88.923978796517801</v>
      </c>
      <c r="AN3517">
        <v>1.0000000106056699</v>
      </c>
    </row>
    <row r="3518" spans="1:40" x14ac:dyDescent="0.25">
      <c r="A3518" t="str">
        <f>"20190303154540759"</f>
        <v>20190303154540759</v>
      </c>
      <c r="B3518" t="str">
        <f>"1551599140754213"</f>
        <v>1551599140754213</v>
      </c>
      <c r="C3518" t="s">
        <v>40</v>
      </c>
      <c r="D3518">
        <v>4.5823159999999996</v>
      </c>
      <c r="E3518">
        <v>0.50192360000000003</v>
      </c>
      <c r="F3518" t="s">
        <v>55</v>
      </c>
      <c r="G3518">
        <v>-224.87989999999999</v>
      </c>
      <c r="H3518" s="1">
        <v>1.088714E-6</v>
      </c>
      <c r="I3518">
        <v>213.96019999999999</v>
      </c>
      <c r="J3518">
        <v>-250.2063</v>
      </c>
      <c r="K3518">
        <v>1.1202080000000001</v>
      </c>
      <c r="L3518">
        <v>214.45650000000001</v>
      </c>
      <c r="M3518">
        <v>0.99994850000000002</v>
      </c>
      <c r="N3518">
        <v>-9.8227339999999996E-3</v>
      </c>
      <c r="O3518">
        <v>2.5880949999999999E-3</v>
      </c>
      <c r="P3518">
        <v>0.99035689999999998</v>
      </c>
      <c r="Q3518">
        <v>-0.1376484</v>
      </c>
      <c r="R3518">
        <v>-1.569222E-2</v>
      </c>
      <c r="S3518">
        <v>3.0100709999999999</v>
      </c>
      <c r="T3518">
        <v>-0.1315984</v>
      </c>
      <c r="U3518">
        <v>-5.8212279999999998E-2</v>
      </c>
      <c r="V3518">
        <v>1.825038E-2</v>
      </c>
      <c r="W3518">
        <v>-0.127915</v>
      </c>
      <c r="X3518">
        <v>0.99161719999999998</v>
      </c>
      <c r="Y3518">
        <v>2.189613E-2</v>
      </c>
      <c r="Z3518">
        <v>-6.7365969999999998E-4</v>
      </c>
      <c r="AA3518">
        <v>0.99975999999999998</v>
      </c>
      <c r="AB3518">
        <v>30</v>
      </c>
      <c r="AC3518">
        <v>25.3264</v>
      </c>
      <c r="AD3518">
        <v>-1.120206911286</v>
      </c>
      <c r="AE3518">
        <v>-0.496300000000019</v>
      </c>
      <c r="AF3518">
        <v>0.56075200946517001</v>
      </c>
      <c r="AG3518">
        <v>-1.120206911286</v>
      </c>
      <c r="AH3518">
        <v>25.2756013522297</v>
      </c>
      <c r="AI3518">
        <v>92.537047272856299</v>
      </c>
      <c r="AJ3518">
        <v>88.729072618796906</v>
      </c>
      <c r="AK3518">
        <v>25.306626208506099</v>
      </c>
      <c r="AL3518">
        <v>97.349124721788897</v>
      </c>
      <c r="AM3518">
        <v>88.945609550369696</v>
      </c>
      <c r="AN3518">
        <v>0.99999999746549195</v>
      </c>
    </row>
    <row r="3519" spans="1:40" x14ac:dyDescent="0.25">
      <c r="A3519" t="str">
        <f>"20190303154540780"</f>
        <v>20190303154540780</v>
      </c>
      <c r="B3519" t="str">
        <f>"1551599140774710"</f>
        <v>1551599140774710</v>
      </c>
      <c r="C3519" t="s">
        <v>40</v>
      </c>
      <c r="D3519">
        <v>4.5810430000000002</v>
      </c>
      <c r="E3519">
        <v>0.50187099999999996</v>
      </c>
      <c r="F3519" t="s">
        <v>55</v>
      </c>
      <c r="G3519">
        <v>-224.48439999999999</v>
      </c>
      <c r="H3519" s="1">
        <v>8.7674429999999998E-7</v>
      </c>
      <c r="I3519">
        <v>213.99510000000001</v>
      </c>
      <c r="J3519">
        <v>-249.905</v>
      </c>
      <c r="K3519">
        <v>1.1202179999999999</v>
      </c>
      <c r="L3519">
        <v>214.4573</v>
      </c>
      <c r="M3519">
        <v>0.9999479</v>
      </c>
      <c r="N3519">
        <v>-9.8838620000000002E-3</v>
      </c>
      <c r="O3519">
        <v>2.5884480000000001E-3</v>
      </c>
      <c r="P3519">
        <v>0.9903923</v>
      </c>
      <c r="Q3519">
        <v>-0.1373655</v>
      </c>
      <c r="R3519">
        <v>-1.5937010000000001E-2</v>
      </c>
      <c r="S3519">
        <v>3.0101170000000002</v>
      </c>
      <c r="T3519">
        <v>-0.13109299999999999</v>
      </c>
      <c r="U3519">
        <v>-5.4000850000000003E-2</v>
      </c>
      <c r="V3519">
        <v>1.849576E-2</v>
      </c>
      <c r="W3519">
        <v>-0.12757109999999999</v>
      </c>
      <c r="X3519">
        <v>0.99165700000000001</v>
      </c>
      <c r="Y3519">
        <v>2.0499699999999999E-2</v>
      </c>
      <c r="Z3519">
        <v>-6.3461360000000001E-4</v>
      </c>
      <c r="AA3519">
        <v>0.9997897</v>
      </c>
      <c r="AB3519">
        <v>30</v>
      </c>
      <c r="AC3519">
        <v>25.4206</v>
      </c>
      <c r="AD3519">
        <v>-1.1202171232557001</v>
      </c>
      <c r="AE3519">
        <v>-0.462199999999995</v>
      </c>
      <c r="AF3519">
        <v>0.52697854510059405</v>
      </c>
      <c r="AG3519">
        <v>-1.1202171232557001</v>
      </c>
      <c r="AH3519">
        <v>25.3700678637585</v>
      </c>
      <c r="AI3519">
        <v>92.527712381539203</v>
      </c>
      <c r="AJ3519">
        <v>88.810042395503302</v>
      </c>
      <c r="AK3519">
        <v>25.400254648368101</v>
      </c>
      <c r="AL3519">
        <v>97.329257610950606</v>
      </c>
      <c r="AM3519">
        <v>88.931479202347802</v>
      </c>
      <c r="AN3519">
        <v>1.00000004217109</v>
      </c>
    </row>
    <row r="3520" spans="1:40" x14ac:dyDescent="0.25">
      <c r="A3520" t="str">
        <f>"20190303154540825"</f>
        <v>20190303154540825</v>
      </c>
      <c r="B3520" t="str">
        <f>"1551599140814725"</f>
        <v>1551599140814725</v>
      </c>
      <c r="C3520" t="s">
        <v>40</v>
      </c>
      <c r="D3520">
        <v>4.5389900000000001</v>
      </c>
      <c r="E3520">
        <v>0.50146899999999905</v>
      </c>
      <c r="F3520" t="s">
        <v>55</v>
      </c>
      <c r="G3520">
        <v>-223.9804</v>
      </c>
      <c r="H3520" s="1">
        <v>6.0874190000000005E-7</v>
      </c>
      <c r="I3520">
        <v>213.99039999999999</v>
      </c>
      <c r="J3520">
        <v>-249.30690000000001</v>
      </c>
      <c r="K3520">
        <v>1.1202449999999999</v>
      </c>
      <c r="L3520">
        <v>214.4588</v>
      </c>
      <c r="M3520">
        <v>0.99994640000000001</v>
      </c>
      <c r="N3520">
        <v>-1.0032549999999999E-2</v>
      </c>
      <c r="O3520">
        <v>2.588716E-3</v>
      </c>
      <c r="P3520">
        <v>0.99058460000000004</v>
      </c>
      <c r="Q3520">
        <v>-0.13590650000000001</v>
      </c>
      <c r="R3520">
        <v>-1.649014E-2</v>
      </c>
      <c r="S3520">
        <v>3.0101779999999998</v>
      </c>
      <c r="T3520">
        <v>-0.13007149999999901</v>
      </c>
      <c r="U3520">
        <v>-5.4214480000000002E-2</v>
      </c>
      <c r="V3520">
        <v>1.904954E-2</v>
      </c>
      <c r="W3520">
        <v>-0.12596280000000001</v>
      </c>
      <c r="X3520">
        <v>0.99185199999999996</v>
      </c>
      <c r="Y3520">
        <v>2.0570769999999999E-2</v>
      </c>
      <c r="Z3520">
        <v>-6.3329179999999997E-4</v>
      </c>
      <c r="AA3520">
        <v>0.99978820000000002</v>
      </c>
      <c r="AB3520">
        <v>30</v>
      </c>
      <c r="AC3520">
        <v>25.326499999999999</v>
      </c>
      <c r="AD3520">
        <v>-1.1202443912580999</v>
      </c>
      <c r="AE3520">
        <v>-0.46840000000000198</v>
      </c>
      <c r="AF3520">
        <v>0.53292254549996798</v>
      </c>
      <c r="AG3520">
        <v>-1.1202443912580999</v>
      </c>
      <c r="AH3520">
        <v>25.275767911979798</v>
      </c>
      <c r="AI3520">
        <v>92.537175687100202</v>
      </c>
      <c r="AJ3520">
        <v>88.792136036071199</v>
      </c>
      <c r="AK3520">
        <v>25.3061928680692</v>
      </c>
      <c r="AL3520">
        <v>97.236360011778103</v>
      </c>
      <c r="AM3520">
        <v>88.899710772671398</v>
      </c>
      <c r="AN3520">
        <v>0.99999995093102401</v>
      </c>
    </row>
    <row r="3521" spans="1:40" x14ac:dyDescent="0.25">
      <c r="A3521" t="str">
        <f>"20190303154540847"</f>
        <v>20190303154540847</v>
      </c>
      <c r="B3521" t="str">
        <f>"1551599140844006"</f>
        <v>1551599140844006</v>
      </c>
      <c r="C3521" t="s">
        <v>40</v>
      </c>
      <c r="D3521">
        <v>4.5403419999999999</v>
      </c>
      <c r="E3521">
        <v>0.50140359999999995</v>
      </c>
      <c r="F3521" t="s">
        <v>55</v>
      </c>
      <c r="G3521">
        <v>-222.90209999999999</v>
      </c>
      <c r="H3521" s="1">
        <v>3.4830349999999901E-8</v>
      </c>
      <c r="I3521">
        <v>213.99260000000001</v>
      </c>
      <c r="J3521">
        <v>-249.0025</v>
      </c>
      <c r="K3521">
        <v>1.12026</v>
      </c>
      <c r="L3521">
        <v>214.45959999999999</v>
      </c>
      <c r="M3521">
        <v>0.99994559999999999</v>
      </c>
      <c r="N3521">
        <v>-1.011042E-2</v>
      </c>
      <c r="O3521">
        <v>2.5887979999999998E-3</v>
      </c>
      <c r="P3521">
        <v>0.99060510000000002</v>
      </c>
      <c r="Q3521">
        <v>-0.1357457</v>
      </c>
      <c r="R3521">
        <v>-1.65847999999999E-2</v>
      </c>
      <c r="S3521">
        <v>3.0101170000000002</v>
      </c>
      <c r="T3521">
        <v>-0.1277065</v>
      </c>
      <c r="U3521">
        <v>-5.3146359999999997E-2</v>
      </c>
      <c r="V3521">
        <v>1.9144370000000001E-2</v>
      </c>
      <c r="W3521">
        <v>-0.12572449999999999</v>
      </c>
      <c r="X3521">
        <v>0.99188050000000005</v>
      </c>
      <c r="Y3521">
        <v>2.0217760000000001E-2</v>
      </c>
      <c r="Z3521">
        <v>-6.1453440000000005E-4</v>
      </c>
      <c r="AA3521">
        <v>0.9997954</v>
      </c>
      <c r="AB3521">
        <v>30</v>
      </c>
      <c r="AC3521">
        <v>26.1004</v>
      </c>
      <c r="AD3521">
        <v>-1.1202599651696401</v>
      </c>
      <c r="AE3521">
        <v>-0.46699999999998398</v>
      </c>
      <c r="AF3521">
        <v>0.53358787199153601</v>
      </c>
      <c r="AG3521">
        <v>-1.1202599651696401</v>
      </c>
      <c r="AH3521">
        <v>26.051126751971299</v>
      </c>
      <c r="AI3521">
        <v>92.461821063731506</v>
      </c>
      <c r="AJ3521">
        <v>88.826612793557601</v>
      </c>
      <c r="AK3521">
        <v>26.0806614842103</v>
      </c>
      <c r="AL3521">
        <v>97.222596354227505</v>
      </c>
      <c r="AM3521">
        <v>88.894266573603602</v>
      </c>
      <c r="AN3521">
        <v>1.0000000415415899</v>
      </c>
    </row>
    <row r="3522" spans="1:40" x14ac:dyDescent="0.25">
      <c r="A3522" t="str">
        <f>"20190303154540870"</f>
        <v>20190303154540870</v>
      </c>
      <c r="B3522" t="str">
        <f>"1551599140864502"</f>
        <v>1551599140864502</v>
      </c>
      <c r="C3522" t="s">
        <v>40</v>
      </c>
      <c r="D3522">
        <v>4.5424449999999998</v>
      </c>
      <c r="E3522">
        <v>0.50145059999999997</v>
      </c>
      <c r="F3522" t="s">
        <v>55</v>
      </c>
      <c r="G3522">
        <v>-222.62010000000001</v>
      </c>
      <c r="H3522" s="1">
        <v>-1.154717E-7</v>
      </c>
      <c r="I3522">
        <v>213.99780000000001</v>
      </c>
      <c r="J3522">
        <v>-248.68979999999999</v>
      </c>
      <c r="K3522">
        <v>1.1202700000000001</v>
      </c>
      <c r="L3522">
        <v>214.46039999999999</v>
      </c>
      <c r="M3522">
        <v>0.99994470000000002</v>
      </c>
      <c r="N3522">
        <v>-1.01983E-2</v>
      </c>
      <c r="O3522">
        <v>2.5890639999999999E-3</v>
      </c>
      <c r="P3522">
        <v>0.99059149999999996</v>
      </c>
      <c r="Q3522">
        <v>-0.13588120000000001</v>
      </c>
      <c r="R3522">
        <v>-1.628305E-2</v>
      </c>
      <c r="S3522">
        <v>3.0100560000000001</v>
      </c>
      <c r="T3522">
        <v>-0.12781419999999999</v>
      </c>
      <c r="U3522">
        <v>-5.2688600000000002E-2</v>
      </c>
      <c r="V3522">
        <v>1.8842790000000002E-2</v>
      </c>
      <c r="W3522">
        <v>-0.12577289999999999</v>
      </c>
      <c r="X3522">
        <v>0.99188010000000004</v>
      </c>
      <c r="Y3522">
        <v>2.0066480000000001E-2</v>
      </c>
      <c r="Z3522">
        <v>-6.1168769999999999E-4</v>
      </c>
      <c r="AA3522">
        <v>0.99979850000000003</v>
      </c>
      <c r="AB3522">
        <v>30</v>
      </c>
      <c r="AC3522">
        <v>26.069699999999902</v>
      </c>
      <c r="AD3522">
        <v>-1.1202701154717001</v>
      </c>
      <c r="AE3522">
        <v>-0.46259999999998003</v>
      </c>
      <c r="AF3522">
        <v>0.52912130841389804</v>
      </c>
      <c r="AG3522">
        <v>-1.1202701154717001</v>
      </c>
      <c r="AH3522">
        <v>26.020380674742999</v>
      </c>
      <c r="AI3522">
        <v>92.464756113235794</v>
      </c>
      <c r="AJ3522">
        <v>88.835057774483602</v>
      </c>
      <c r="AK3522">
        <v>26.0498595955751</v>
      </c>
      <c r="AL3522">
        <v>97.225391938989503</v>
      </c>
      <c r="AM3522">
        <v>88.911680457715406</v>
      </c>
      <c r="AN3522">
        <v>1.0000000029427001</v>
      </c>
    </row>
    <row r="3523" spans="1:40" x14ac:dyDescent="0.25">
      <c r="A3523" t="str">
        <f>"20190303154540897"</f>
        <v>20190303154540897</v>
      </c>
      <c r="B3523" t="str">
        <f>"1551599140894757"</f>
        <v>1551599140894757</v>
      </c>
      <c r="C3523" t="s">
        <v>40</v>
      </c>
      <c r="D3523">
        <v>4.5384279999999997</v>
      </c>
      <c r="E3523">
        <v>0.50163409999999997</v>
      </c>
      <c r="F3523" t="s">
        <v>55</v>
      </c>
      <c r="G3523">
        <v>-222.28540000000001</v>
      </c>
      <c r="H3523" s="1">
        <v>-2.9382490000000001E-7</v>
      </c>
      <c r="I3523">
        <v>214.00290000000001</v>
      </c>
      <c r="J3523">
        <v>-248.32820000000001</v>
      </c>
      <c r="K3523">
        <v>1.1202939999999999</v>
      </c>
      <c r="L3523">
        <v>214.4614</v>
      </c>
      <c r="M3523">
        <v>0.99994320000000003</v>
      </c>
      <c r="N3523">
        <v>-1.034654E-2</v>
      </c>
      <c r="O3523">
        <v>2.5891339999999999E-3</v>
      </c>
      <c r="P3523">
        <v>0.99057479999999998</v>
      </c>
      <c r="Q3523">
        <v>-0.13602159999999999</v>
      </c>
      <c r="R3523">
        <v>-1.6116999999999999E-2</v>
      </c>
      <c r="S3523">
        <v>3.0101170000000002</v>
      </c>
      <c r="T3523">
        <v>-0.1277113</v>
      </c>
      <c r="U3523">
        <v>-5.2154539999999999E-2</v>
      </c>
      <c r="V3523">
        <v>1.8676990000000001E-2</v>
      </c>
      <c r="W3523">
        <v>-0.1257665</v>
      </c>
      <c r="X3523">
        <v>0.99188410000000005</v>
      </c>
      <c r="Y3523">
        <v>1.988906E-2</v>
      </c>
      <c r="Z3523">
        <v>-6.0767329999999997E-4</v>
      </c>
      <c r="AA3523">
        <v>0.99980199999999997</v>
      </c>
      <c r="AB3523">
        <v>30</v>
      </c>
      <c r="AC3523">
        <v>26.0428</v>
      </c>
      <c r="AD3523">
        <v>-1.1202942938248901</v>
      </c>
      <c r="AE3523">
        <v>-0.45849999999998597</v>
      </c>
      <c r="AF3523">
        <v>0.52495923045289905</v>
      </c>
      <c r="AG3523">
        <v>-1.1202942938248901</v>
      </c>
      <c r="AH3523">
        <v>25.993439584744099</v>
      </c>
      <c r="AI3523">
        <v>92.467367698484793</v>
      </c>
      <c r="AJ3523">
        <v>88.843021143529896</v>
      </c>
      <c r="AK3523">
        <v>26.0228657711667</v>
      </c>
      <c r="AL3523">
        <v>97.225021931708298</v>
      </c>
      <c r="AM3523">
        <v>88.9212587899938</v>
      </c>
      <c r="AN3523">
        <v>1.0000000551552499</v>
      </c>
    </row>
    <row r="3524" spans="1:40" x14ac:dyDescent="0.25">
      <c r="A3524" t="str">
        <f>"20190303154540921"</f>
        <v>20190303154540921</v>
      </c>
      <c r="B3524" t="str">
        <f>"1551599140914278"</f>
        <v>1551599140914278</v>
      </c>
      <c r="C3524" t="s">
        <v>40</v>
      </c>
      <c r="D3524">
        <v>4.5283980000000001</v>
      </c>
      <c r="E3524">
        <v>0.50175239999999999</v>
      </c>
      <c r="F3524" t="s">
        <v>55</v>
      </c>
      <c r="G3524">
        <v>-221.7561</v>
      </c>
      <c r="H3524" s="1">
        <v>-5.7496289999999999E-7</v>
      </c>
      <c r="I3524">
        <v>213.99160000000001</v>
      </c>
      <c r="J3524">
        <v>-248.0087</v>
      </c>
      <c r="K3524">
        <v>1.1203179999999999</v>
      </c>
      <c r="L3524">
        <v>214.4622</v>
      </c>
      <c r="M3524">
        <v>0.99994119999999997</v>
      </c>
      <c r="N3524">
        <v>-1.0524810000000001E-2</v>
      </c>
      <c r="O3524">
        <v>2.5893280000000001E-3</v>
      </c>
      <c r="P3524">
        <v>0.99060700000000002</v>
      </c>
      <c r="Q3524">
        <v>-0.1358193</v>
      </c>
      <c r="R3524">
        <v>-1.5845270000000002E-2</v>
      </c>
      <c r="S3524">
        <v>3.0102540000000002</v>
      </c>
      <c r="T3524">
        <v>-0.12691430000000001</v>
      </c>
      <c r="U3524">
        <v>-5.3222659999999998E-2</v>
      </c>
      <c r="V3524">
        <v>1.8405479999999998E-2</v>
      </c>
      <c r="W3524">
        <v>-0.125387</v>
      </c>
      <c r="X3524">
        <v>0.99193719999999996</v>
      </c>
      <c r="Y3524">
        <v>2.0242929999999999E-2</v>
      </c>
      <c r="Z3524">
        <v>-6.1497150000000003E-4</v>
      </c>
      <c r="AA3524">
        <v>0.99979490000000004</v>
      </c>
      <c r="AB3524">
        <v>30</v>
      </c>
      <c r="AC3524">
        <v>26.252600000000001</v>
      </c>
      <c r="AD3524">
        <v>-1.1203185749629001</v>
      </c>
      <c r="AE3524">
        <v>-0.47059999999999003</v>
      </c>
      <c r="AF3524">
        <v>0.53760006438855301</v>
      </c>
      <c r="AG3524">
        <v>-1.1203185749629001</v>
      </c>
      <c r="AH3524">
        <v>26.203588842053801</v>
      </c>
      <c r="AI3524">
        <v>92.447640948521894</v>
      </c>
      <c r="AJ3524">
        <v>88.824668853533893</v>
      </c>
      <c r="AK3524">
        <v>26.233036342406901</v>
      </c>
      <c r="AL3524">
        <v>97.203104830719298</v>
      </c>
      <c r="AM3524">
        <v>88.936993870094597</v>
      </c>
      <c r="AN3524">
        <v>1.0000000351034299</v>
      </c>
    </row>
    <row r="3525" spans="1:40" x14ac:dyDescent="0.25">
      <c r="A3525" t="str">
        <f>"20190303154540941"</f>
        <v>20190303154540941</v>
      </c>
      <c r="B3525" t="str">
        <f>"1551599140934774"</f>
        <v>1551599140934774</v>
      </c>
      <c r="C3525" t="s">
        <v>40</v>
      </c>
      <c r="D3525">
        <v>4.5355569999999998</v>
      </c>
      <c r="E3525">
        <v>0.50180859999999905</v>
      </c>
      <c r="F3525" t="s">
        <v>55</v>
      </c>
      <c r="G3525">
        <v>-221.23920000000001</v>
      </c>
      <c r="H3525" s="1">
        <v>-8.4971819999999899E-7</v>
      </c>
      <c r="I3525">
        <v>213.9847</v>
      </c>
      <c r="J3525">
        <v>-247.73150000000001</v>
      </c>
      <c r="K3525">
        <v>1.12036</v>
      </c>
      <c r="L3525">
        <v>214.46289999999999</v>
      </c>
      <c r="M3525">
        <v>0.99993900000000002</v>
      </c>
      <c r="N3525">
        <v>-1.073707E-2</v>
      </c>
      <c r="O3525">
        <v>2.5889099999999998E-3</v>
      </c>
      <c r="P3525">
        <v>0.9905448</v>
      </c>
      <c r="Q3525">
        <v>-0.13626089999999999</v>
      </c>
      <c r="R3525">
        <v>-1.5937119999999999E-2</v>
      </c>
      <c r="S3525">
        <v>3.0103300000000002</v>
      </c>
      <c r="T3525">
        <v>-0.12598409999999999</v>
      </c>
      <c r="U3525">
        <v>-5.3695680000000003E-2</v>
      </c>
      <c r="V3525">
        <v>1.8496849999999999E-2</v>
      </c>
      <c r="W3525">
        <v>-0.1256187</v>
      </c>
      <c r="X3525">
        <v>0.99190619999999996</v>
      </c>
      <c r="Y3525">
        <v>2.0399199999999999E-2</v>
      </c>
      <c r="Z3525">
        <v>-6.1672959999999998E-4</v>
      </c>
      <c r="AA3525">
        <v>0.99979169999999995</v>
      </c>
      <c r="AB3525">
        <v>30</v>
      </c>
      <c r="AC3525">
        <v>26.4923</v>
      </c>
      <c r="AD3525">
        <v>-1.1203608497182</v>
      </c>
      <c r="AE3525">
        <v>-0.47819999999998603</v>
      </c>
      <c r="AF3525">
        <v>0.54581269164986201</v>
      </c>
      <c r="AG3525">
        <v>-1.1203608497182</v>
      </c>
      <c r="AH3525">
        <v>26.443695327808101</v>
      </c>
      <c r="AI3525">
        <v>92.425528461461198</v>
      </c>
      <c r="AJ3525">
        <v>88.817550901649696</v>
      </c>
      <c r="AK3525">
        <v>26.473045584478701</v>
      </c>
      <c r="AL3525">
        <v>97.216485953189306</v>
      </c>
      <c r="AM3525">
        <v>88.931684648165103</v>
      </c>
      <c r="AN3525">
        <v>1.0000000504240201</v>
      </c>
    </row>
    <row r="3526" spans="1:40" x14ac:dyDescent="0.25">
      <c r="A3526" t="str">
        <f>"20190303154540962"</f>
        <v>20190303154540962</v>
      </c>
      <c r="B3526" t="str">
        <f>"1551599140954293"</f>
        <v>1551599140954293</v>
      </c>
      <c r="C3526" t="s">
        <v>40</v>
      </c>
      <c r="D3526">
        <v>4.5308510000000002</v>
      </c>
      <c r="E3526">
        <v>0.50176049999999905</v>
      </c>
      <c r="F3526" t="s">
        <v>55</v>
      </c>
      <c r="G3526">
        <v>-221.20760000000001</v>
      </c>
      <c r="H3526" s="1">
        <v>-8.6653180000000004E-7</v>
      </c>
      <c r="I3526">
        <v>213.9846</v>
      </c>
      <c r="J3526">
        <v>-247.458</v>
      </c>
      <c r="K3526">
        <v>1.120414</v>
      </c>
      <c r="L3526">
        <v>214.46360000000001</v>
      </c>
      <c r="M3526">
        <v>0.99993600000000005</v>
      </c>
      <c r="N3526">
        <v>-1.1006699999999999E-2</v>
      </c>
      <c r="O3526">
        <v>2.5889239999999998E-3</v>
      </c>
      <c r="P3526">
        <v>0.99054370000000003</v>
      </c>
      <c r="Q3526">
        <v>-0.13623270000000001</v>
      </c>
      <c r="R3526">
        <v>-1.6248840000000001E-2</v>
      </c>
      <c r="S3526">
        <v>3.0102690000000001</v>
      </c>
      <c r="T3526">
        <v>-0.12715280000000001</v>
      </c>
      <c r="U3526">
        <v>-5.4290770000000002E-2</v>
      </c>
      <c r="V3526">
        <v>1.880828E-2</v>
      </c>
      <c r="W3526">
        <v>-0.12532299999999999</v>
      </c>
      <c r="X3526">
        <v>0.99193770000000003</v>
      </c>
      <c r="Y3526">
        <v>2.0596449999999999E-2</v>
      </c>
      <c r="Z3526">
        <v>-6.2900399999999996E-4</v>
      </c>
      <c r="AA3526">
        <v>0.99978769999999995</v>
      </c>
      <c r="AB3526">
        <v>30</v>
      </c>
      <c r="AC3526">
        <v>26.2503999999999</v>
      </c>
      <c r="AD3526">
        <v>-1.1204148665317999</v>
      </c>
      <c r="AE3526">
        <v>-0.47900000000001303</v>
      </c>
      <c r="AF3526">
        <v>0.54596852660617301</v>
      </c>
      <c r="AG3526">
        <v>-1.1204148665317999</v>
      </c>
      <c r="AH3526">
        <v>26.201355734505899</v>
      </c>
      <c r="AI3526">
        <v>92.448043212454195</v>
      </c>
      <c r="AJ3526">
        <v>88.806276807346293</v>
      </c>
      <c r="AK3526">
        <v>26.230982700450099</v>
      </c>
      <c r="AL3526">
        <v>97.199408976942493</v>
      </c>
      <c r="AM3526">
        <v>88.9137362698403</v>
      </c>
      <c r="AN3526">
        <v>1.00000000320342</v>
      </c>
    </row>
    <row r="3527" spans="1:40" x14ac:dyDescent="0.25">
      <c r="A3527" t="str">
        <f>"20190303154540983"</f>
        <v>20190303154540983</v>
      </c>
      <c r="B3527" t="str">
        <f>"1551599140974790"</f>
        <v>1551599140974790</v>
      </c>
      <c r="C3527" t="s">
        <v>40</v>
      </c>
      <c r="D3527">
        <v>4.5485319999999998</v>
      </c>
      <c r="E3527">
        <v>0.50172139999999998</v>
      </c>
      <c r="F3527" t="s">
        <v>55</v>
      </c>
      <c r="G3527">
        <v>-221.066</v>
      </c>
      <c r="H3527" s="1">
        <v>-9.4174840000000004E-7</v>
      </c>
      <c r="I3527">
        <v>213.98070000000001</v>
      </c>
      <c r="J3527">
        <v>-247.17019999999999</v>
      </c>
      <c r="K3527">
        <v>1.120468</v>
      </c>
      <c r="L3527">
        <v>214.46440000000001</v>
      </c>
      <c r="M3527">
        <v>0.99993259999999995</v>
      </c>
      <c r="N3527">
        <v>-1.131193E-2</v>
      </c>
      <c r="O3527">
        <v>2.5894160000000002E-3</v>
      </c>
      <c r="P3527">
        <v>0.9904212</v>
      </c>
      <c r="Q3527">
        <v>-0.1370372</v>
      </c>
      <c r="R3527">
        <v>-1.69342E-2</v>
      </c>
      <c r="S3527">
        <v>3.0101619999999998</v>
      </c>
      <c r="T3527">
        <v>-0.1277896</v>
      </c>
      <c r="U3527">
        <v>-5.5084229999999998E-2</v>
      </c>
      <c r="V3527">
        <v>1.9493940000000001E-2</v>
      </c>
      <c r="W3527">
        <v>-0.1258261</v>
      </c>
      <c r="X3527">
        <v>0.99186070000000004</v>
      </c>
      <c r="Y3527">
        <v>2.0860400000000001E-2</v>
      </c>
      <c r="Z3527">
        <v>-6.4121049999999998E-4</v>
      </c>
      <c r="AA3527">
        <v>0.99978219999999995</v>
      </c>
      <c r="AB3527">
        <v>30</v>
      </c>
      <c r="AC3527">
        <v>26.104199999999999</v>
      </c>
      <c r="AD3527">
        <v>-1.1204689417483999</v>
      </c>
      <c r="AE3527">
        <v>-0.48369999999999802</v>
      </c>
      <c r="AF3527">
        <v>0.55028385763916499</v>
      </c>
      <c r="AG3527">
        <v>-1.1204689417483999</v>
      </c>
      <c r="AH3527">
        <v>26.054873428527401</v>
      </c>
      <c r="AI3527">
        <v>92.461893484295899</v>
      </c>
      <c r="AJ3527">
        <v>88.790082171801004</v>
      </c>
      <c r="AK3527">
        <v>26.0847597717515</v>
      </c>
      <c r="AL3527">
        <v>97.228464979841405</v>
      </c>
      <c r="AM3527">
        <v>88.874058919606696</v>
      </c>
      <c r="AN3527">
        <v>0.99999993467120896</v>
      </c>
    </row>
    <row r="3528" spans="1:40" x14ac:dyDescent="0.25">
      <c r="A3528" t="str">
        <f>"20190303154541005"</f>
        <v>20190303154541005</v>
      </c>
      <c r="B3528" t="str">
        <f>"1551599140994309"</f>
        <v>1551599140994309</v>
      </c>
      <c r="C3528" t="s">
        <v>40</v>
      </c>
      <c r="D3528">
        <v>4.5358839999999896</v>
      </c>
      <c r="E3528">
        <v>0.5017568</v>
      </c>
      <c r="F3528" t="s">
        <v>55</v>
      </c>
      <c r="G3528">
        <v>-221.46600000000001</v>
      </c>
      <c r="H3528" s="1">
        <v>-7.2878590000000001E-7</v>
      </c>
      <c r="I3528">
        <v>213.97900000000001</v>
      </c>
      <c r="J3528">
        <v>-246.88229999999999</v>
      </c>
      <c r="K3528">
        <v>1.1205130000000001</v>
      </c>
      <c r="L3528">
        <v>214.46510000000001</v>
      </c>
      <c r="M3528">
        <v>0.99992919999999996</v>
      </c>
      <c r="N3528">
        <v>-1.1612320000000001E-2</v>
      </c>
      <c r="O3528">
        <v>2.589531E-3</v>
      </c>
      <c r="P3528">
        <v>0.99033419999999905</v>
      </c>
      <c r="Q3528">
        <v>-0.1376299</v>
      </c>
      <c r="R3528">
        <v>-1.7221859999999999E-2</v>
      </c>
      <c r="S3528">
        <v>3.0098880000000001</v>
      </c>
      <c r="T3528">
        <v>-0.13120390000000001</v>
      </c>
      <c r="U3528">
        <v>-5.6838989999999999E-2</v>
      </c>
      <c r="V3528">
        <v>1.978137E-2</v>
      </c>
      <c r="W3528">
        <v>-0.12612190000000001</v>
      </c>
      <c r="X3528">
        <v>0.99181750000000002</v>
      </c>
      <c r="Y3528">
        <v>2.1442800000000001E-2</v>
      </c>
      <c r="Z3528">
        <v>-6.744419E-4</v>
      </c>
      <c r="AA3528">
        <v>0.99976989999999999</v>
      </c>
      <c r="AB3528">
        <v>30</v>
      </c>
      <c r="AC3528">
        <v>25.4163</v>
      </c>
      <c r="AD3528">
        <v>-1.1205137287858999</v>
      </c>
      <c r="AE3528">
        <v>-0.48609999999999298</v>
      </c>
      <c r="AF3528">
        <v>0.55084886081477802</v>
      </c>
      <c r="AG3528">
        <v>-1.1205137287858999</v>
      </c>
      <c r="AH3528">
        <v>25.365672901087699</v>
      </c>
      <c r="AI3528">
        <v>92.528767638215797</v>
      </c>
      <c r="AJ3528">
        <v>88.755942529850898</v>
      </c>
      <c r="AK3528">
        <v>25.3963845302601</v>
      </c>
      <c r="AL3528">
        <v>97.245548735219799</v>
      </c>
      <c r="AM3528">
        <v>88.857412005885493</v>
      </c>
      <c r="AN3528">
        <v>0.99999999478246804</v>
      </c>
    </row>
    <row r="3529" spans="1:40" x14ac:dyDescent="0.25">
      <c r="A3529" t="str">
        <f>"20190303154541028"</f>
        <v>20190303154541028</v>
      </c>
      <c r="B3529" t="str">
        <f>"1551599141024565"</f>
        <v>1551599141024565</v>
      </c>
      <c r="C3529" t="s">
        <v>40</v>
      </c>
      <c r="D3529">
        <v>4.6542979999999998</v>
      </c>
      <c r="E3529">
        <v>0.50190319999999999</v>
      </c>
      <c r="F3529" t="s">
        <v>55</v>
      </c>
      <c r="G3529">
        <v>-221.59110000000001</v>
      </c>
      <c r="H3529" s="1">
        <v>-6.6217010000000005E-7</v>
      </c>
      <c r="I3529">
        <v>213.9776</v>
      </c>
      <c r="J3529">
        <v>-246.56209999999999</v>
      </c>
      <c r="K3529">
        <v>1.1205449999999999</v>
      </c>
      <c r="L3529">
        <v>214.4659</v>
      </c>
      <c r="M3529">
        <v>0.99992559999999997</v>
      </c>
      <c r="N3529">
        <v>-1.192791E-2</v>
      </c>
      <c r="O3529">
        <v>2.5893309999999998E-3</v>
      </c>
      <c r="P3529">
        <v>0.99030220000000002</v>
      </c>
      <c r="Q3529">
        <v>-0.1378182</v>
      </c>
      <c r="R3529">
        <v>-1.7544569999999999E-2</v>
      </c>
      <c r="S3529">
        <v>3.0097499999999999</v>
      </c>
      <c r="T3529">
        <v>-0.1333452</v>
      </c>
      <c r="U3529">
        <v>-5.8013919999999997E-2</v>
      </c>
      <c r="V3529">
        <v>2.0104029999999998E-2</v>
      </c>
      <c r="W3529">
        <v>-0.12599749999999901</v>
      </c>
      <c r="X3529">
        <v>0.99182680000000001</v>
      </c>
      <c r="Y3529">
        <v>2.183218E-2</v>
      </c>
      <c r="Z3529">
        <v>-6.9743339999999896E-4</v>
      </c>
      <c r="AA3529">
        <v>0.99976140000000002</v>
      </c>
      <c r="AB3529">
        <v>30</v>
      </c>
      <c r="AC3529">
        <v>24.970999999999901</v>
      </c>
      <c r="AD3529">
        <v>-1.1205456621701</v>
      </c>
      <c r="AE3529">
        <v>-0.488300000000009</v>
      </c>
      <c r="AF3529">
        <v>0.55185032436291304</v>
      </c>
      <c r="AG3529">
        <v>-1.1205456621701</v>
      </c>
      <c r="AH3529">
        <v>24.919491486776501</v>
      </c>
      <c r="AI3529">
        <v>92.574033733931401</v>
      </c>
      <c r="AJ3529">
        <v>88.731373500163897</v>
      </c>
      <c r="AK3529">
        <v>24.950775886153</v>
      </c>
      <c r="AL3529">
        <v>97.238363992306603</v>
      </c>
      <c r="AM3529">
        <v>88.838790849816206</v>
      </c>
      <c r="AN3529">
        <v>0.99999997161336496</v>
      </c>
    </row>
    <row r="3530" spans="1:40" x14ac:dyDescent="0.25">
      <c r="A3530" t="str">
        <f>"20190303154541050"</f>
        <v>20190303154541050</v>
      </c>
      <c r="B3530" t="str">
        <f>"1551599141044734"</f>
        <v>1551599141044734</v>
      </c>
      <c r="C3530" t="s">
        <v>40</v>
      </c>
      <c r="D3530">
        <v>4.5718430000000003</v>
      </c>
      <c r="E3530">
        <v>0.50201750000000001</v>
      </c>
      <c r="F3530" t="s">
        <v>55</v>
      </c>
      <c r="G3530">
        <v>-221.43719999999999</v>
      </c>
      <c r="H3530" s="1">
        <v>-7.4344459999999995E-7</v>
      </c>
      <c r="I3530">
        <v>213.96379999999999</v>
      </c>
      <c r="J3530">
        <v>-246.26249999999999</v>
      </c>
      <c r="K3530">
        <v>1.120582</v>
      </c>
      <c r="L3530">
        <v>214.4667</v>
      </c>
      <c r="M3530">
        <v>0.99992230000000004</v>
      </c>
      <c r="N3530">
        <v>-1.2201679999999999E-2</v>
      </c>
      <c r="O3530">
        <v>2.5893380000000001E-3</v>
      </c>
      <c r="P3530">
        <v>0.990263</v>
      </c>
      <c r="Q3530">
        <v>-0.13809540000000001</v>
      </c>
      <c r="R3530">
        <v>-1.7584720000000002E-2</v>
      </c>
      <c r="S3530">
        <v>3.0096280000000002</v>
      </c>
      <c r="T3530">
        <v>-0.1342266</v>
      </c>
      <c r="U3530">
        <v>-6.0150149999999999E-2</v>
      </c>
      <c r="V3530">
        <v>2.014386E-2</v>
      </c>
      <c r="W3530">
        <v>-0.12600359999999999</v>
      </c>
      <c r="X3530">
        <v>0.99182519999999996</v>
      </c>
      <c r="Y3530">
        <v>2.254097E-2</v>
      </c>
      <c r="Z3530">
        <v>-7.2381089999999995E-4</v>
      </c>
      <c r="AA3530">
        <v>0.99974569999999996</v>
      </c>
      <c r="AB3530">
        <v>30</v>
      </c>
      <c r="AC3530">
        <v>24.825299999999999</v>
      </c>
      <c r="AD3530">
        <v>-1.1205827434446001</v>
      </c>
      <c r="AE3530">
        <v>-0.502900000000011</v>
      </c>
      <c r="AF3530">
        <v>0.56603136689504996</v>
      </c>
      <c r="AG3530">
        <v>-1.1205827434446001</v>
      </c>
      <c r="AH3530">
        <v>24.7734591289604</v>
      </c>
      <c r="AI3530">
        <v>92.589231021898897</v>
      </c>
      <c r="AJ3530">
        <v>88.691116711645606</v>
      </c>
      <c r="AK3530">
        <v>24.805248928553102</v>
      </c>
      <c r="AL3530">
        <v>97.238716426566</v>
      </c>
      <c r="AM3530">
        <v>88.836489023620103</v>
      </c>
      <c r="AN3530">
        <v>0.999999954831848</v>
      </c>
    </row>
    <row r="3531" spans="1:40" x14ac:dyDescent="0.25">
      <c r="A3531" t="str">
        <f>"20190303154541073"</f>
        <v>20190303154541073</v>
      </c>
      <c r="B3531" t="str">
        <f>"1551599141064255"</f>
        <v>1551599141064255</v>
      </c>
      <c r="C3531" t="s">
        <v>40</v>
      </c>
      <c r="D3531">
        <v>4.5982450000000004</v>
      </c>
      <c r="E3531">
        <v>0.50201949999999995</v>
      </c>
      <c r="F3531" t="s">
        <v>55</v>
      </c>
      <c r="G3531">
        <v>-221.21719999999999</v>
      </c>
      <c r="H3531" s="1">
        <v>-8.6032340000000002E-7</v>
      </c>
      <c r="I3531">
        <v>213.95910000000001</v>
      </c>
      <c r="J3531">
        <v>-245.97030000000001</v>
      </c>
      <c r="K3531">
        <v>1.1206050000000001</v>
      </c>
      <c r="L3531">
        <v>214.4675</v>
      </c>
      <c r="M3531">
        <v>0.99991920000000001</v>
      </c>
      <c r="N3531">
        <v>-1.244611E-2</v>
      </c>
      <c r="O3531">
        <v>2.5893729999999998E-3</v>
      </c>
      <c r="P3531">
        <v>0.99030370000000001</v>
      </c>
      <c r="Q3531">
        <v>-0.13787920000000001</v>
      </c>
      <c r="R3531">
        <v>-1.697885E-2</v>
      </c>
      <c r="S3531">
        <v>3.0096280000000002</v>
      </c>
      <c r="T3531">
        <v>-0.13465729999999901</v>
      </c>
      <c r="U3531">
        <v>-6.1004639999999999E-2</v>
      </c>
      <c r="V3531">
        <v>1.9538300000000001E-2</v>
      </c>
      <c r="W3531">
        <v>-0.1255444</v>
      </c>
      <c r="X3531">
        <v>0.99189559999999999</v>
      </c>
      <c r="Y3531">
        <v>2.28241E-2</v>
      </c>
      <c r="Z3531">
        <v>-7.3601000000000005E-4</v>
      </c>
      <c r="AA3531">
        <v>0.99973920000000005</v>
      </c>
      <c r="AB3531">
        <v>30</v>
      </c>
      <c r="AC3531">
        <v>24.7531</v>
      </c>
      <c r="AD3531">
        <v>-1.1206058603233999</v>
      </c>
      <c r="AE3531">
        <v>-0.50839999999999397</v>
      </c>
      <c r="AF3531">
        <v>0.57132782949639005</v>
      </c>
      <c r="AG3531">
        <v>-1.1206058603233999</v>
      </c>
      <c r="AH3531">
        <v>24.7010970689795</v>
      </c>
      <c r="AI3531">
        <v>92.596842558928401</v>
      </c>
      <c r="AJ3531">
        <v>88.675004690876406</v>
      </c>
      <c r="AK3531">
        <v>24.733102704555598</v>
      </c>
      <c r="AL3531">
        <v>97.212195188864598</v>
      </c>
      <c r="AM3531">
        <v>88.871537109862004</v>
      </c>
      <c r="AN3531">
        <v>1.0000000114187999</v>
      </c>
    </row>
    <row r="3532" spans="1:40" x14ac:dyDescent="0.25">
      <c r="A3532" t="str">
        <f>"20190303154541098"</f>
        <v>20190303154541098</v>
      </c>
      <c r="B3532" t="str">
        <f>"1551599141094510"</f>
        <v>1551599141094510</v>
      </c>
      <c r="C3532" t="s">
        <v>40</v>
      </c>
      <c r="D3532">
        <v>4.6185289999999997</v>
      </c>
      <c r="E3532">
        <v>0.50195809999999996</v>
      </c>
      <c r="F3532" t="s">
        <v>55</v>
      </c>
      <c r="G3532">
        <v>-220.7894</v>
      </c>
      <c r="H3532" s="1">
        <v>-1.0884719999999999E-6</v>
      </c>
      <c r="I3532">
        <v>213.9701</v>
      </c>
      <c r="J3532">
        <v>-245.6277</v>
      </c>
      <c r="K3532">
        <v>1.120627</v>
      </c>
      <c r="L3532">
        <v>214.4684</v>
      </c>
      <c r="M3532">
        <v>0.99991600000000003</v>
      </c>
      <c r="N3532">
        <v>-1.2703549999999999E-2</v>
      </c>
      <c r="O3532">
        <v>2.5895900000000001E-3</v>
      </c>
      <c r="P3532">
        <v>0.99030359999999995</v>
      </c>
      <c r="Q3532">
        <v>-0.1379213</v>
      </c>
      <c r="R3532">
        <v>-1.6632299999999999E-2</v>
      </c>
      <c r="S3532">
        <v>3.0097049999999999</v>
      </c>
      <c r="T3532">
        <v>-0.13393859999999999</v>
      </c>
      <c r="U3532">
        <v>-5.9448239999999999E-2</v>
      </c>
      <c r="V3532">
        <v>1.9191860000000002E-2</v>
      </c>
      <c r="W3532">
        <v>-0.125331199999999</v>
      </c>
      <c r="X3532">
        <v>0.99192930000000001</v>
      </c>
      <c r="Y3532">
        <v>2.2307879999999999E-2</v>
      </c>
      <c r="Z3532">
        <v>-7.2017710000000005E-4</v>
      </c>
      <c r="AA3532">
        <v>0.9997509</v>
      </c>
      <c r="AB3532">
        <v>30</v>
      </c>
      <c r="AC3532">
        <v>24.8383</v>
      </c>
      <c r="AD3532">
        <v>-1.1206280884719999</v>
      </c>
      <c r="AE3532">
        <v>-0.49830000000000002</v>
      </c>
      <c r="AF3532">
        <v>0.56148207149635099</v>
      </c>
      <c r="AG3532">
        <v>-1.1206280884719999</v>
      </c>
      <c r="AH3532">
        <v>24.786492651049201</v>
      </c>
      <c r="AI3532">
        <v>92.587987443244003</v>
      </c>
      <c r="AJ3532">
        <v>88.702315314369898</v>
      </c>
      <c r="AK3532">
        <v>24.818164464154101</v>
      </c>
      <c r="AL3532">
        <v>97.199882655638206</v>
      </c>
      <c r="AM3532">
        <v>88.891578867447606</v>
      </c>
      <c r="AN3532">
        <v>0.99999998669109402</v>
      </c>
    </row>
    <row r="3533" spans="1:40" x14ac:dyDescent="0.25">
      <c r="A3533" t="str">
        <f>"20190303154541125"</f>
        <v>20190303154541125</v>
      </c>
      <c r="B3533" t="str">
        <f>"1551599141115006"</f>
        <v>1551599141115006</v>
      </c>
      <c r="C3533" t="s">
        <v>40</v>
      </c>
      <c r="D3533">
        <v>4.6284280000000004</v>
      </c>
      <c r="E3533">
        <v>0.50193080000000001</v>
      </c>
      <c r="F3533" t="s">
        <v>55</v>
      </c>
      <c r="G3533">
        <v>-220.5316</v>
      </c>
      <c r="H3533" s="1">
        <v>-1.226375E-6</v>
      </c>
      <c r="I3533">
        <v>213.98679999999999</v>
      </c>
      <c r="J3533">
        <v>-245.27070000000001</v>
      </c>
      <c r="K3533">
        <v>1.1206400000000001</v>
      </c>
      <c r="L3533">
        <v>214.4693</v>
      </c>
      <c r="M3533">
        <v>0.9999131</v>
      </c>
      <c r="N3533">
        <v>-1.293689E-2</v>
      </c>
      <c r="O3533">
        <v>2.589456E-3</v>
      </c>
      <c r="P3533">
        <v>0.99035689999999998</v>
      </c>
      <c r="Q3533">
        <v>-0.13760059999999999</v>
      </c>
      <c r="R3533">
        <v>-1.6108529999999999E-2</v>
      </c>
      <c r="S3533">
        <v>3.0097049999999999</v>
      </c>
      <c r="T3533">
        <v>-0.13439400000000001</v>
      </c>
      <c r="U3533">
        <v>-5.7754519999999997E-2</v>
      </c>
      <c r="V3533">
        <v>1.866833E-2</v>
      </c>
      <c r="W3533">
        <v>-0.12477829999999999</v>
      </c>
      <c r="X3533">
        <v>0.99200900000000003</v>
      </c>
      <c r="Y3533">
        <v>2.1745779999999999E-2</v>
      </c>
      <c r="Z3533">
        <v>-7.0807259999999903E-4</v>
      </c>
      <c r="AA3533">
        <v>0.99976330000000002</v>
      </c>
      <c r="AB3533">
        <v>30</v>
      </c>
      <c r="AC3533">
        <v>24.739100000000001</v>
      </c>
      <c r="AD3533">
        <v>-1.1206412263750001</v>
      </c>
      <c r="AE3533">
        <v>-0.48250000000001497</v>
      </c>
      <c r="AF3533">
        <v>0.54544574726908102</v>
      </c>
      <c r="AG3533">
        <v>-1.1206412263750001</v>
      </c>
      <c r="AH3533">
        <v>24.687130193248901</v>
      </c>
      <c r="AI3533">
        <v>92.598452329439297</v>
      </c>
      <c r="AJ3533">
        <v>88.734293729706806</v>
      </c>
      <c r="AK3533">
        <v>24.7185708526988</v>
      </c>
      <c r="AL3533">
        <v>97.167953118505295</v>
      </c>
      <c r="AM3533">
        <v>88.921894579242405</v>
      </c>
      <c r="AN3533">
        <v>0.99999999338843903</v>
      </c>
    </row>
    <row r="3534" spans="1:40" x14ac:dyDescent="0.25">
      <c r="A3534" t="str">
        <f>"20190303154541148"</f>
        <v>20190303154541148</v>
      </c>
      <c r="B3534" t="str">
        <f>"1551599141144286"</f>
        <v>1551599141144286</v>
      </c>
      <c r="C3534" t="s">
        <v>40</v>
      </c>
      <c r="D3534">
        <v>4.6245370000000001</v>
      </c>
      <c r="E3534">
        <v>0.50180519999999995</v>
      </c>
      <c r="F3534" t="s">
        <v>55</v>
      </c>
      <c r="G3534">
        <v>-220.11779999999999</v>
      </c>
      <c r="H3534" s="1">
        <v>-1.4471840000000001E-6</v>
      </c>
      <c r="I3534">
        <v>214.0001</v>
      </c>
      <c r="J3534">
        <v>-244.95429999999999</v>
      </c>
      <c r="K3534">
        <v>1.120649</v>
      </c>
      <c r="L3534">
        <v>214.4701</v>
      </c>
      <c r="M3534">
        <v>0.99991070000000004</v>
      </c>
      <c r="N3534">
        <v>-1.311563E-2</v>
      </c>
      <c r="O3534">
        <v>2.5895969999999999E-3</v>
      </c>
      <c r="P3534">
        <v>0.99034540000000004</v>
      </c>
      <c r="Q3534">
        <v>-0.13770729999999901</v>
      </c>
      <c r="R3534">
        <v>-1.5903629999999998E-2</v>
      </c>
      <c r="S3534">
        <v>3.009674</v>
      </c>
      <c r="T3534">
        <v>-0.1340904</v>
      </c>
      <c r="U3534">
        <v>-5.6137079999999999E-2</v>
      </c>
      <c r="V3534">
        <v>1.846341E-2</v>
      </c>
      <c r="W3534">
        <v>-0.1247077</v>
      </c>
      <c r="X3534">
        <v>0.99202170000000001</v>
      </c>
      <c r="Y3534">
        <v>2.1209760000000001E-2</v>
      </c>
      <c r="Z3534">
        <v>-6.9275990000000002E-4</v>
      </c>
      <c r="AA3534">
        <v>0.99977479999999996</v>
      </c>
      <c r="AB3534">
        <v>30</v>
      </c>
      <c r="AC3534">
        <v>24.836500000000001</v>
      </c>
      <c r="AD3534">
        <v>-1.120650447184</v>
      </c>
      <c r="AE3534">
        <v>-0.46999999999999797</v>
      </c>
      <c r="AF3534">
        <v>0.53323524520248999</v>
      </c>
      <c r="AG3534">
        <v>-1.120650447184</v>
      </c>
      <c r="AH3534">
        <v>24.7847579074108</v>
      </c>
      <c r="AI3534">
        <v>92.588284836620403</v>
      </c>
      <c r="AJ3534">
        <v>88.767491840279305</v>
      </c>
      <c r="AK3534">
        <v>24.815809915867401</v>
      </c>
      <c r="AL3534">
        <v>97.1638762839507</v>
      </c>
      <c r="AM3534">
        <v>88.933739712110295</v>
      </c>
      <c r="AN3534">
        <v>0.99999998060950301</v>
      </c>
    </row>
    <row r="3535" spans="1:40" x14ac:dyDescent="0.25">
      <c r="A3535" t="str">
        <f>"20190303154541165"</f>
        <v>20190303154541165</v>
      </c>
      <c r="B3535" t="str">
        <f>"1551599141155023"</f>
        <v>1551599141155023</v>
      </c>
      <c r="C3535" t="s">
        <v>40</v>
      </c>
      <c r="D3535">
        <v>4.6457670000000002</v>
      </c>
      <c r="E3535">
        <v>0.50177970000000005</v>
      </c>
      <c r="F3535" t="s">
        <v>55</v>
      </c>
      <c r="G3535">
        <v>-220.12970000000001</v>
      </c>
      <c r="H3535" s="1">
        <v>-1.4417319999999999E-6</v>
      </c>
      <c r="I3535">
        <v>214.02029999999999</v>
      </c>
      <c r="J3535">
        <v>-244.72380000000001</v>
      </c>
      <c r="K3535">
        <v>1.120652</v>
      </c>
      <c r="L3535">
        <v>214.47069999999999</v>
      </c>
      <c r="M3535">
        <v>0.99990919999999905</v>
      </c>
      <c r="N3535">
        <v>-1.323205E-2</v>
      </c>
      <c r="O3535">
        <v>2.589839E-3</v>
      </c>
      <c r="P3535">
        <v>0.99024230000000002</v>
      </c>
      <c r="Q3535">
        <v>-0.1384061</v>
      </c>
      <c r="R3535">
        <v>-1.6246969999999999E-2</v>
      </c>
      <c r="S3535">
        <v>3.0094759999999998</v>
      </c>
      <c r="T3535">
        <v>-0.135856</v>
      </c>
      <c r="U3535">
        <v>-5.4534909999999999E-2</v>
      </c>
      <c r="V3535">
        <v>1.880683E-2</v>
      </c>
      <c r="W3535">
        <v>-0.1252924</v>
      </c>
      <c r="X3535">
        <v>0.99194159999999998</v>
      </c>
      <c r="Y3535">
        <v>2.0679119999999999E-2</v>
      </c>
      <c r="Z3535">
        <v>-6.8599030000000003E-4</v>
      </c>
      <c r="AA3535">
        <v>0.99978590000000001</v>
      </c>
      <c r="AB3535">
        <v>30</v>
      </c>
      <c r="AC3535">
        <v>24.594100000000001</v>
      </c>
      <c r="AD3535">
        <v>-1.120653441732</v>
      </c>
      <c r="AE3535">
        <v>-0.45040000000000102</v>
      </c>
      <c r="AF3535">
        <v>0.51303398645171505</v>
      </c>
      <c r="AG3535">
        <v>-1.120653441732</v>
      </c>
      <c r="AH3535">
        <v>24.5419127433615</v>
      </c>
      <c r="AI3535">
        <v>92.613901622116899</v>
      </c>
      <c r="AJ3535">
        <v>88.802440468528502</v>
      </c>
      <c r="AK3535">
        <v>24.572841697908899</v>
      </c>
      <c r="AL3535">
        <v>97.197641747285601</v>
      </c>
      <c r="AM3535">
        <v>88.913824263365498</v>
      </c>
      <c r="AN3535">
        <v>1.0000000100814801</v>
      </c>
    </row>
    <row r="3536" spans="1:40" x14ac:dyDescent="0.25">
      <c r="A3536" t="str">
        <f>"20190303154541193"</f>
        <v>20190303154541193</v>
      </c>
      <c r="B3536" t="str">
        <f>"1551599141184302"</f>
        <v>1551599141184302</v>
      </c>
      <c r="C3536" t="s">
        <v>40</v>
      </c>
      <c r="D3536">
        <v>4.6764229999999998</v>
      </c>
      <c r="E3536">
        <v>0.50176299999999996</v>
      </c>
      <c r="F3536" t="s">
        <v>55</v>
      </c>
      <c r="G3536">
        <v>-220.3348</v>
      </c>
      <c r="H3536" s="1">
        <v>-1.3326259999999901E-6</v>
      </c>
      <c r="I3536">
        <v>214.02189999999999</v>
      </c>
      <c r="J3536">
        <v>-244.351</v>
      </c>
      <c r="K3536">
        <v>1.1206480000000001</v>
      </c>
      <c r="L3536">
        <v>214.4716</v>
      </c>
      <c r="M3536">
        <v>0.99990699999999999</v>
      </c>
      <c r="N3536">
        <v>-1.339517E-2</v>
      </c>
      <c r="O3536">
        <v>2.5901180000000002E-3</v>
      </c>
      <c r="P3536">
        <v>0.9901238</v>
      </c>
      <c r="Q3536">
        <v>-0.13921800000000001</v>
      </c>
      <c r="R3536">
        <v>-1.6528919999999999E-2</v>
      </c>
      <c r="S3536">
        <v>3.0093230000000002</v>
      </c>
      <c r="T3536">
        <v>-0.13827619999999999</v>
      </c>
      <c r="U3536">
        <v>-5.5374149999999997E-2</v>
      </c>
      <c r="V3536">
        <v>1.908872E-2</v>
      </c>
      <c r="W3536">
        <v>-0.125944</v>
      </c>
      <c r="X3536">
        <v>0.99185369999999995</v>
      </c>
      <c r="Y3536">
        <v>2.0957670000000001E-2</v>
      </c>
      <c r="Z3536">
        <v>-7.059411E-4</v>
      </c>
      <c r="AA3536">
        <v>0.99978009999999995</v>
      </c>
      <c r="AB3536">
        <v>30</v>
      </c>
      <c r="AC3536">
        <v>24.016200000000001</v>
      </c>
      <c r="AD3536">
        <v>-1.1206493326260001</v>
      </c>
      <c r="AE3536">
        <v>-0.44970000000000698</v>
      </c>
      <c r="AF3536">
        <v>0.51079705912476903</v>
      </c>
      <c r="AG3536">
        <v>-1.1206493326260001</v>
      </c>
      <c r="AH3536">
        <v>23.9627971194625</v>
      </c>
      <c r="AI3536">
        <v>92.676948671382803</v>
      </c>
      <c r="AJ3536">
        <v>88.778853570169701</v>
      </c>
      <c r="AK3536">
        <v>23.994424651382001</v>
      </c>
      <c r="AL3536">
        <v>97.235273728481204</v>
      </c>
      <c r="AM3536">
        <v>88.897450208281995</v>
      </c>
      <c r="AN3536">
        <v>1.0000000162854601</v>
      </c>
    </row>
    <row r="3537" spans="1:40" x14ac:dyDescent="0.25">
      <c r="A3537" t="str">
        <f>"20190303154541216"</f>
        <v>20190303154541216</v>
      </c>
      <c r="B3537" t="str">
        <f>"1551599141204797"</f>
        <v>1551599141204797</v>
      </c>
      <c r="C3537" t="s">
        <v>40</v>
      </c>
      <c r="D3537">
        <v>4.6756000000000002</v>
      </c>
      <c r="E3537">
        <v>0.50172090000000003</v>
      </c>
      <c r="F3537" t="s">
        <v>55</v>
      </c>
      <c r="G3537">
        <v>-220.70529999999999</v>
      </c>
      <c r="H3537" s="1">
        <v>-1.1357950000000001E-6</v>
      </c>
      <c r="I3537">
        <v>214.02869999999999</v>
      </c>
      <c r="J3537">
        <v>-244.04900000000001</v>
      </c>
      <c r="K3537">
        <v>1.120649</v>
      </c>
      <c r="L3537">
        <v>214.47239999999999</v>
      </c>
      <c r="M3537">
        <v>0.9999055</v>
      </c>
      <c r="N3537">
        <v>-1.350867E-2</v>
      </c>
      <c r="O3537">
        <v>2.590186E-3</v>
      </c>
      <c r="P3537">
        <v>0.98999939999999997</v>
      </c>
      <c r="Q3537">
        <v>-0.14001079999999999</v>
      </c>
      <c r="R3537">
        <v>-1.7270540000000001E-2</v>
      </c>
      <c r="S3537">
        <v>3.0089419999999998</v>
      </c>
      <c r="T3537">
        <v>-0.14260349999999999</v>
      </c>
      <c r="U3537">
        <v>-5.6365970000000001E-2</v>
      </c>
      <c r="V3537">
        <v>1.9829869999999999E-2</v>
      </c>
      <c r="W3537">
        <v>-0.12662590000000001</v>
      </c>
      <c r="X3537">
        <v>0.99175230000000003</v>
      </c>
      <c r="Y3537">
        <v>2.1287250000000001E-2</v>
      </c>
      <c r="Z3537">
        <v>-7.3571699999999999E-4</v>
      </c>
      <c r="AA3537">
        <v>0.99977309999999997</v>
      </c>
      <c r="AB3537">
        <v>30</v>
      </c>
      <c r="AC3537">
        <v>23.343699999999998</v>
      </c>
      <c r="AD3537">
        <v>-1.1206501357950001</v>
      </c>
      <c r="AE3537">
        <v>-0.44370000000000598</v>
      </c>
      <c r="AF3537">
        <v>0.503009716512965</v>
      </c>
      <c r="AG3537">
        <v>-1.1206501357950001</v>
      </c>
      <c r="AH3537">
        <v>23.288819641100702</v>
      </c>
      <c r="AI3537">
        <v>92.754287141463905</v>
      </c>
      <c r="AJ3537">
        <v>88.762674369803904</v>
      </c>
      <c r="AK3537">
        <v>23.3211919887788</v>
      </c>
      <c r="AL3537">
        <v>97.274659279524002</v>
      </c>
      <c r="AM3537">
        <v>88.854536071550498</v>
      </c>
      <c r="AN3537">
        <v>0.99999998342515795</v>
      </c>
    </row>
    <row r="3538" spans="1:40" x14ac:dyDescent="0.25">
      <c r="A3538" t="str">
        <f>"20190303154541239"</f>
        <v>20190303154541239</v>
      </c>
      <c r="B3538" t="str">
        <f>"1551599141235054"</f>
        <v>1551599141235054</v>
      </c>
      <c r="C3538" t="s">
        <v>40</v>
      </c>
      <c r="D3538">
        <v>4.6198370000000004</v>
      </c>
      <c r="E3538">
        <v>0.50128660000000003</v>
      </c>
      <c r="F3538" t="s">
        <v>55</v>
      </c>
      <c r="G3538">
        <v>-220.9597</v>
      </c>
      <c r="H3538" s="1">
        <v>-1.0001589999999999E-6</v>
      </c>
      <c r="I3538">
        <v>214.02279999999999</v>
      </c>
      <c r="J3538">
        <v>-243.73179999999999</v>
      </c>
      <c r="K3538">
        <v>1.120652</v>
      </c>
      <c r="L3538">
        <v>214.47319999999999</v>
      </c>
      <c r="M3538">
        <v>0.99990400000000002</v>
      </c>
      <c r="N3538">
        <v>-1.361182E-2</v>
      </c>
      <c r="O3538">
        <v>2.590317E-3</v>
      </c>
      <c r="P3538">
        <v>0.98985009999999996</v>
      </c>
      <c r="Q3538">
        <v>-0.1409714</v>
      </c>
      <c r="R3538">
        <v>-1.8000760000000001E-2</v>
      </c>
      <c r="S3538">
        <v>3.0086360000000001</v>
      </c>
      <c r="T3538">
        <v>-0.1460253</v>
      </c>
      <c r="U3538">
        <v>-5.8578489999999997E-2</v>
      </c>
      <c r="V3538">
        <v>2.055976E-2</v>
      </c>
      <c r="W3538">
        <v>-0.12748619999999999</v>
      </c>
      <c r="X3538">
        <v>0.99162720000000004</v>
      </c>
      <c r="Y3538">
        <v>2.2021659999999998E-2</v>
      </c>
      <c r="Z3538">
        <v>-7.7445589999999896E-4</v>
      </c>
      <c r="AA3538">
        <v>0.99975720000000001</v>
      </c>
      <c r="AB3538">
        <v>30</v>
      </c>
      <c r="AC3538">
        <v>22.772099999999899</v>
      </c>
      <c r="AD3538">
        <v>-1.120653000159</v>
      </c>
      <c r="AE3538">
        <v>-0.45040000000000102</v>
      </c>
      <c r="AF3538">
        <v>0.50816073536449102</v>
      </c>
      <c r="AG3538">
        <v>-1.120653000159</v>
      </c>
      <c r="AH3538">
        <v>22.715865300007</v>
      </c>
      <c r="AI3538">
        <v>92.823605928519299</v>
      </c>
      <c r="AJ3538">
        <v>88.718489928965298</v>
      </c>
      <c r="AK3538">
        <v>22.749167606921201</v>
      </c>
      <c r="AL3538">
        <v>97.3243536903191</v>
      </c>
      <c r="AM3538">
        <v>88.812236367971906</v>
      </c>
      <c r="AN3538">
        <v>0.99999996935076796</v>
      </c>
    </row>
    <row r="3539" spans="1:40" x14ac:dyDescent="0.25">
      <c r="A3539" t="str">
        <f>"20190303154541261"</f>
        <v>20190303154541261</v>
      </c>
      <c r="B3539" t="str">
        <f>"1551599141254574"</f>
        <v>1551599141254574</v>
      </c>
      <c r="C3539" t="s">
        <v>40</v>
      </c>
      <c r="D3539">
        <v>4.7409420000000004</v>
      </c>
      <c r="E3539">
        <v>0.4742343</v>
      </c>
      <c r="F3539" t="s">
        <v>55</v>
      </c>
      <c r="G3539">
        <v>-221.14570000000001</v>
      </c>
      <c r="H3539" s="1">
        <v>-9.0198790000000005E-7</v>
      </c>
      <c r="I3539">
        <v>214.04220000000001</v>
      </c>
      <c r="J3539">
        <v>-243.452</v>
      </c>
      <c r="K3539">
        <v>1.120652</v>
      </c>
      <c r="L3539">
        <v>214.47399999999999</v>
      </c>
      <c r="M3539">
        <v>0.99990299999999999</v>
      </c>
      <c r="N3539">
        <v>-1.3689959999999999E-2</v>
      </c>
      <c r="O3539">
        <v>2.5904370000000001E-3</v>
      </c>
      <c r="P3539">
        <v>0.98989269999999996</v>
      </c>
      <c r="Q3539">
        <v>-0.1406326</v>
      </c>
      <c r="R3539">
        <v>-1.8304310000000001E-2</v>
      </c>
      <c r="S3539">
        <v>3.0084379999999999</v>
      </c>
      <c r="T3539">
        <v>-0.1492696</v>
      </c>
      <c r="U3539">
        <v>-5.7418820000000002E-2</v>
      </c>
      <c r="V3539">
        <v>2.0863650000000001E-2</v>
      </c>
      <c r="W3539">
        <v>-0.1270693</v>
      </c>
      <c r="X3539">
        <v>0.99167439999999996</v>
      </c>
      <c r="Y3539">
        <v>2.163696E-2</v>
      </c>
      <c r="Z3539">
        <v>-7.7763690000000004E-4</v>
      </c>
      <c r="AA3539">
        <v>0.99976560000000003</v>
      </c>
      <c r="AB3539">
        <v>30</v>
      </c>
      <c r="AC3539">
        <v>22.3063</v>
      </c>
      <c r="AD3539">
        <v>-1.1206529019878999</v>
      </c>
      <c r="AE3539">
        <v>-0.43180000000000901</v>
      </c>
      <c r="AF3539">
        <v>0.48835488756913997</v>
      </c>
      <c r="AG3539">
        <v>-1.1206529019878999</v>
      </c>
      <c r="AH3539">
        <v>22.248971402898999</v>
      </c>
      <c r="AI3539">
        <v>92.882786846032005</v>
      </c>
      <c r="AJ3539">
        <v>88.742585388812003</v>
      </c>
      <c r="AK3539">
        <v>22.2825286246863</v>
      </c>
      <c r="AL3539">
        <v>97.300270940732403</v>
      </c>
      <c r="AM3539">
        <v>88.794742746936095</v>
      </c>
      <c r="AN3539">
        <v>1.00000000725458</v>
      </c>
    </row>
    <row r="3540" spans="1:40" x14ac:dyDescent="0.25">
      <c r="A3540" t="str">
        <f>"20190303154541288"</f>
        <v>20190303154541288</v>
      </c>
      <c r="B3540" t="str">
        <f>"1551599141284830"</f>
        <v>1551599141284830</v>
      </c>
      <c r="C3540" t="s">
        <v>40</v>
      </c>
      <c r="D3540">
        <v>4.7011180000000001</v>
      </c>
      <c r="E3540">
        <v>0.47403339999999999</v>
      </c>
      <c r="F3540" t="s">
        <v>55</v>
      </c>
      <c r="G3540">
        <v>-228.7724</v>
      </c>
      <c r="H3540" s="1">
        <v>3.104434E-6</v>
      </c>
      <c r="I3540">
        <v>215.23439999999999</v>
      </c>
      <c r="J3540">
        <v>-243.0949</v>
      </c>
      <c r="K3540">
        <v>1.120657</v>
      </c>
      <c r="L3540">
        <v>214.47489999999999</v>
      </c>
      <c r="M3540">
        <v>0.99990190000000001</v>
      </c>
      <c r="N3540">
        <v>-1.3774069999999999E-2</v>
      </c>
      <c r="O3540">
        <v>2.5905720000000002E-3</v>
      </c>
      <c r="P3540">
        <v>0.98976419999999998</v>
      </c>
      <c r="Q3540">
        <v>-0.1414928</v>
      </c>
      <c r="R3540">
        <v>-1.8622880000000001E-2</v>
      </c>
      <c r="S3540">
        <v>3.0009610000000002</v>
      </c>
      <c r="T3540">
        <v>-0.22909550000000001</v>
      </c>
      <c r="U3540">
        <v>0.1554565</v>
      </c>
      <c r="V3540">
        <v>2.1182090000000001E-2</v>
      </c>
      <c r="W3540">
        <v>-0.12784789999999999</v>
      </c>
      <c r="X3540">
        <v>0.99156759999999999</v>
      </c>
      <c r="Y3540">
        <v>-4.8982489999999997E-2</v>
      </c>
      <c r="Z3540">
        <v>2.0421559999999998E-3</v>
      </c>
      <c r="AA3540">
        <v>0.9987975</v>
      </c>
      <c r="AB3540">
        <v>30</v>
      </c>
      <c r="AC3540">
        <v>14.3224999999999</v>
      </c>
      <c r="AD3540">
        <v>-1.1206538955659999</v>
      </c>
      <c r="AE3540">
        <v>0.75950000000000195</v>
      </c>
      <c r="AF3540">
        <v>-0.71800703338726402</v>
      </c>
      <c r="AG3540">
        <v>-1.1206538955659999</v>
      </c>
      <c r="AH3540">
        <v>14.2374996912986</v>
      </c>
      <c r="AI3540">
        <v>94.494864695982599</v>
      </c>
      <c r="AJ3540">
        <v>92.8870202789102</v>
      </c>
      <c r="AK3540">
        <v>14.299573305290201</v>
      </c>
      <c r="AL3540">
        <v>97.345248063834106</v>
      </c>
      <c r="AM3540">
        <v>88.776220808920698</v>
      </c>
      <c r="AN3540">
        <v>1.0000000359204599</v>
      </c>
    </row>
    <row r="3541" spans="1:40" x14ac:dyDescent="0.25">
      <c r="A3541" t="str">
        <f>"20190303154541310"</f>
        <v>20190303154541310</v>
      </c>
      <c r="B3541" t="str">
        <f>"1551599141304350"</f>
        <v>1551599141304350</v>
      </c>
      <c r="C3541" t="s">
        <v>40</v>
      </c>
      <c r="D3541">
        <v>4.6355389999999996</v>
      </c>
      <c r="E3541">
        <v>0.47481410000000002</v>
      </c>
      <c r="F3541" t="s">
        <v>55</v>
      </c>
      <c r="G3541">
        <v>-228.5378</v>
      </c>
      <c r="H3541" s="1">
        <v>2.9797169999999999E-6</v>
      </c>
      <c r="I3541">
        <v>215.23079999999999</v>
      </c>
      <c r="J3541">
        <v>-242.80690000000001</v>
      </c>
      <c r="K3541">
        <v>1.1206609999999999</v>
      </c>
      <c r="L3541">
        <v>214.47559999999999</v>
      </c>
      <c r="M3541">
        <v>0.99990089999999998</v>
      </c>
      <c r="N3541">
        <v>-1.383215E-2</v>
      </c>
      <c r="O3541">
        <v>2.5906459999999998E-3</v>
      </c>
      <c r="P3541">
        <v>0.98974810000000002</v>
      </c>
      <c r="Q3541">
        <v>-0.14157500000000001</v>
      </c>
      <c r="R3541">
        <v>-1.8853249999999998E-2</v>
      </c>
      <c r="S3541">
        <v>3.0009459999999999</v>
      </c>
      <c r="T3541">
        <v>-0.2310219</v>
      </c>
      <c r="U3541">
        <v>0.155838</v>
      </c>
      <c r="V3541">
        <v>2.1412380000000002E-2</v>
      </c>
      <c r="W3541">
        <v>-0.12787269999999901</v>
      </c>
      <c r="X3541">
        <v>0.99155939999999998</v>
      </c>
      <c r="Y3541">
        <v>-4.9106240000000002E-2</v>
      </c>
      <c r="Z3541">
        <v>2.063339E-3</v>
      </c>
      <c r="AA3541">
        <v>0.99879150000000005</v>
      </c>
      <c r="AB3541">
        <v>30</v>
      </c>
      <c r="AC3541">
        <v>14.2691</v>
      </c>
      <c r="AD3541">
        <v>-1.1206580202830001</v>
      </c>
      <c r="AE3541">
        <v>0.75520000000000198</v>
      </c>
      <c r="AF3541">
        <v>-0.71383700312767295</v>
      </c>
      <c r="AG3541">
        <v>-1.1206580202830001</v>
      </c>
      <c r="AH3541">
        <v>14.183765911448299</v>
      </c>
      <c r="AI3541">
        <v>94.511862648841301</v>
      </c>
      <c r="AJ3541">
        <v>92.881136693800798</v>
      </c>
      <c r="AK3541">
        <v>14.2458644208143</v>
      </c>
      <c r="AL3541">
        <v>97.346681167247397</v>
      </c>
      <c r="AM3541">
        <v>88.762909863855896</v>
      </c>
      <c r="AN3541">
        <v>0.99999998057545703</v>
      </c>
    </row>
    <row r="3542" spans="1:40" x14ac:dyDescent="0.25">
      <c r="A3542" t="str">
        <f>"20190303154541335"</f>
        <v>20190303154541335</v>
      </c>
      <c r="B3542" t="str">
        <f>"1551599141324846"</f>
        <v>1551599141324846</v>
      </c>
      <c r="C3542" t="s">
        <v>40</v>
      </c>
      <c r="D3542">
        <v>4.6947179999999999</v>
      </c>
      <c r="E3542">
        <v>0.47434500000000002</v>
      </c>
      <c r="F3542" t="s">
        <v>55</v>
      </c>
      <c r="G3542">
        <v>-226.92490000000001</v>
      </c>
      <c r="H3542" s="1">
        <v>2.1200189999999999E-6</v>
      </c>
      <c r="I3542">
        <v>215.2628</v>
      </c>
      <c r="J3542">
        <v>-242.47319999999999</v>
      </c>
      <c r="K3542">
        <v>1.120668</v>
      </c>
      <c r="L3542">
        <v>214.47649999999999</v>
      </c>
      <c r="M3542">
        <v>0.99990029999999996</v>
      </c>
      <c r="N3542">
        <v>-1.388962E-2</v>
      </c>
      <c r="O3542">
        <v>2.590424E-3</v>
      </c>
      <c r="P3542">
        <v>0.98961759999999999</v>
      </c>
      <c r="Q3542">
        <v>-0.14239180000000001</v>
      </c>
      <c r="R3542">
        <v>-1.954995E-2</v>
      </c>
      <c r="S3542">
        <v>3.0036160000000001</v>
      </c>
      <c r="T3542">
        <v>-0.21193960000000001</v>
      </c>
      <c r="U3542">
        <v>0.14887999999999901</v>
      </c>
      <c r="V3542">
        <v>2.2108539999999999E-2</v>
      </c>
      <c r="W3542">
        <v>-0.12863430000000001</v>
      </c>
      <c r="X3542">
        <v>0.99144560000000004</v>
      </c>
      <c r="Y3542">
        <v>-4.6783640000000001E-2</v>
      </c>
      <c r="Z3542">
        <v>1.826587E-3</v>
      </c>
      <c r="AA3542">
        <v>0.9989034</v>
      </c>
      <c r="AB3542">
        <v>30</v>
      </c>
      <c r="AC3542">
        <v>15.5482999999999</v>
      </c>
      <c r="AD3542">
        <v>-1.1206658799809901</v>
      </c>
      <c r="AE3542">
        <v>0.78630000000001099</v>
      </c>
      <c r="AF3542">
        <v>-0.74217103968711196</v>
      </c>
      <c r="AG3542">
        <v>-1.1206658799809901</v>
      </c>
      <c r="AH3542">
        <v>15.470122425817401</v>
      </c>
      <c r="AI3542">
        <v>94.1385634096318</v>
      </c>
      <c r="AJ3542">
        <v>92.746629206163604</v>
      </c>
      <c r="AK3542">
        <v>15.5284061557032</v>
      </c>
      <c r="AL3542">
        <v>97.390681058487104</v>
      </c>
      <c r="AM3542">
        <v>88.722556101590797</v>
      </c>
      <c r="AN3542">
        <v>0.99999997421839004</v>
      </c>
    </row>
    <row r="3543" spans="1:40" x14ac:dyDescent="0.25">
      <c r="A3543" t="str">
        <f>"20190303154541356"</f>
        <v>20190303154541356</v>
      </c>
      <c r="B3543" t="str">
        <f>"1551599141344712"</f>
        <v>1551599141344712</v>
      </c>
      <c r="C3543" t="s">
        <v>40</v>
      </c>
      <c r="D3543">
        <v>4.6771019999999996</v>
      </c>
      <c r="E3543">
        <v>0.47400599999999998</v>
      </c>
      <c r="F3543" t="s">
        <v>55</v>
      </c>
      <c r="G3543">
        <v>-227.28890000000001</v>
      </c>
      <c r="H3543" s="1">
        <v>2.3148860000000001E-6</v>
      </c>
      <c r="I3543">
        <v>215.23670000000001</v>
      </c>
      <c r="J3543">
        <v>-242.19280000000001</v>
      </c>
      <c r="K3543">
        <v>1.1206750000000001</v>
      </c>
      <c r="L3543">
        <v>214.47720000000001</v>
      </c>
      <c r="M3543">
        <v>0.9998996</v>
      </c>
      <c r="N3543">
        <v>-1.3930710000000001E-2</v>
      </c>
      <c r="O3543">
        <v>2.5906140000000002E-3</v>
      </c>
      <c r="P3543">
        <v>0.98963290000000004</v>
      </c>
      <c r="Q3543">
        <v>-0.14220329999999901</v>
      </c>
      <c r="R3543">
        <v>-2.0128099999999999E-2</v>
      </c>
      <c r="S3543">
        <v>3.002548</v>
      </c>
      <c r="T3543">
        <v>-0.22160089999999999</v>
      </c>
      <c r="U3543">
        <v>0.15032960000000001</v>
      </c>
      <c r="V3543">
        <v>2.2686939999999999E-2</v>
      </c>
      <c r="W3543">
        <v>-0.12840489999999999</v>
      </c>
      <c r="X3543">
        <v>0.99146230000000002</v>
      </c>
      <c r="Y3543">
        <v>-4.726897E-2</v>
      </c>
      <c r="Z3543">
        <v>1.9160819999999999E-3</v>
      </c>
      <c r="AA3543">
        <v>0.9988804</v>
      </c>
      <c r="AB3543">
        <v>30</v>
      </c>
      <c r="AC3543">
        <v>14.903899999999901</v>
      </c>
      <c r="AD3543">
        <v>-1.1206726851140001</v>
      </c>
      <c r="AE3543">
        <v>0.75950000000000195</v>
      </c>
      <c r="AF3543">
        <v>-0.71684091333771904</v>
      </c>
      <c r="AG3543">
        <v>-1.1206726851140001</v>
      </c>
      <c r="AH3543">
        <v>14.8222295556275</v>
      </c>
      <c r="AI3543">
        <v>94.318739403638403</v>
      </c>
      <c r="AJ3543">
        <v>92.768813021854498</v>
      </c>
      <c r="AK3543">
        <v>14.881809606426</v>
      </c>
      <c r="AL3543">
        <v>97.377427273464207</v>
      </c>
      <c r="AM3543">
        <v>88.689169408167302</v>
      </c>
      <c r="AN3543">
        <v>1.00000000395593</v>
      </c>
    </row>
    <row r="3544" spans="1:40" x14ac:dyDescent="0.25">
      <c r="A3544" t="str">
        <f>"20190303154541374"</f>
        <v>20190303154541374</v>
      </c>
      <c r="B3544" t="str">
        <f>"1551599141364233"</f>
        <v>1551599141364233</v>
      </c>
      <c r="C3544" t="s">
        <v>40</v>
      </c>
      <c r="D3544">
        <v>4.6792850000000001</v>
      </c>
      <c r="E3544">
        <v>0.47365960000000001</v>
      </c>
      <c r="F3544" t="s">
        <v>55</v>
      </c>
      <c r="G3544">
        <v>-227.38570000000001</v>
      </c>
      <c r="H3544" s="1">
        <v>2.3669050000000001E-6</v>
      </c>
      <c r="I3544">
        <v>215.22450000000001</v>
      </c>
      <c r="J3544">
        <v>-241.95480000000001</v>
      </c>
      <c r="K3544">
        <v>1.1206780000000001</v>
      </c>
      <c r="L3544">
        <v>214.4778</v>
      </c>
      <c r="M3544">
        <v>0.99989930000000005</v>
      </c>
      <c r="N3544">
        <v>-1.396092E-2</v>
      </c>
      <c r="O3544">
        <v>2.5904019999999999E-3</v>
      </c>
      <c r="P3544">
        <v>0.98964859999999999</v>
      </c>
      <c r="Q3544">
        <v>-0.14198939999999999</v>
      </c>
      <c r="R3544">
        <v>-2.0854859999999999E-2</v>
      </c>
      <c r="S3544">
        <v>3.001846</v>
      </c>
      <c r="T3544">
        <v>-0.22719339999999999</v>
      </c>
      <c r="U3544">
        <v>0.15150449999999999</v>
      </c>
      <c r="V3544">
        <v>2.341356E-2</v>
      </c>
      <c r="W3544">
        <v>-0.12816089999999999</v>
      </c>
      <c r="X3544">
        <v>0.99147700000000005</v>
      </c>
      <c r="Y3544">
        <v>-4.7662499999999997E-2</v>
      </c>
      <c r="Z3544">
        <v>1.9738920000000001E-3</v>
      </c>
      <c r="AA3544">
        <v>0.99886160000000002</v>
      </c>
      <c r="AB3544">
        <v>30</v>
      </c>
      <c r="AC3544">
        <v>14.569099999999899</v>
      </c>
      <c r="AD3544">
        <v>-1.1206756330949901</v>
      </c>
      <c r="AE3544">
        <v>0.74670000000000403</v>
      </c>
      <c r="AF3544">
        <v>-0.70479471833952301</v>
      </c>
      <c r="AG3544">
        <v>-1.1206756330949901</v>
      </c>
      <c r="AH3544">
        <v>14.4855008071429</v>
      </c>
      <c r="AI3544">
        <v>94.418688597292999</v>
      </c>
      <c r="AJ3544">
        <v>92.7855400302726</v>
      </c>
      <c r="AK3544">
        <v>14.545871685923499</v>
      </c>
      <c r="AL3544">
        <v>97.363330465927902</v>
      </c>
      <c r="AM3544">
        <v>88.647221379733097</v>
      </c>
      <c r="AN3544">
        <v>1.0000000263048401</v>
      </c>
    </row>
    <row r="3545" spans="1:40" x14ac:dyDescent="0.25">
      <c r="A3545" t="str">
        <f>"20190303154541399"</f>
        <v>20190303154541399</v>
      </c>
      <c r="B3545" t="str">
        <f>"1551599141394488"</f>
        <v>1551599141394488</v>
      </c>
      <c r="C3545" t="s">
        <v>40</v>
      </c>
      <c r="D3545">
        <v>4.6760060000000001</v>
      </c>
      <c r="E3545">
        <v>0.47316360000000002</v>
      </c>
      <c r="F3545" t="s">
        <v>55</v>
      </c>
      <c r="G3545">
        <v>-227.34379999999999</v>
      </c>
      <c r="H3545" s="1">
        <v>2.3449920000000002E-6</v>
      </c>
      <c r="I3545">
        <v>215.2167</v>
      </c>
      <c r="J3545">
        <v>-241.63159999999999</v>
      </c>
      <c r="K3545">
        <v>1.120687</v>
      </c>
      <c r="L3545">
        <v>214.4786</v>
      </c>
      <c r="M3545">
        <v>0.99989870000000003</v>
      </c>
      <c r="N3545">
        <v>-1.399651E-2</v>
      </c>
      <c r="O3545">
        <v>2.590509E-3</v>
      </c>
      <c r="P3545">
        <v>0.98965919999999996</v>
      </c>
      <c r="Q3545">
        <v>-0.1418922</v>
      </c>
      <c r="R3545">
        <v>-2.1001329999999999E-2</v>
      </c>
      <c r="S3545">
        <v>3.0015559999999999</v>
      </c>
      <c r="T3545">
        <v>-0.23022200000000001</v>
      </c>
      <c r="U3545">
        <v>0.1517944</v>
      </c>
      <c r="V3545">
        <v>2.3560250000000001E-2</v>
      </c>
      <c r="W3545">
        <v>-0.12802830000000001</v>
      </c>
      <c r="X3545">
        <v>0.9914906</v>
      </c>
      <c r="Y3545">
        <v>-4.775923E-2</v>
      </c>
      <c r="Z3545">
        <v>2.0006989999999999E-3</v>
      </c>
      <c r="AA3545">
        <v>0.99885690000000005</v>
      </c>
      <c r="AB3545">
        <v>29</v>
      </c>
      <c r="AC3545">
        <v>14.287800000000001</v>
      </c>
      <c r="AD3545">
        <v>-1.1206846550080001</v>
      </c>
      <c r="AE3545">
        <v>0.73810000000000198</v>
      </c>
      <c r="AF3545">
        <v>-0.69680568896916595</v>
      </c>
      <c r="AG3545">
        <v>-1.1206846550080001</v>
      </c>
      <c r="AH3545">
        <v>14.202518976178499</v>
      </c>
      <c r="AI3545">
        <v>94.506317922649799</v>
      </c>
      <c r="AJ3545">
        <v>92.808800169571001</v>
      </c>
      <c r="AK3545">
        <v>14.2636957880088</v>
      </c>
      <c r="AL3545">
        <v>97.355670351215693</v>
      </c>
      <c r="AM3545">
        <v>88.638767831796301</v>
      </c>
      <c r="AN3545">
        <v>0.99999997043465505</v>
      </c>
    </row>
    <row r="3546" spans="1:40" x14ac:dyDescent="0.25">
      <c r="A3546" t="str">
        <f>"20190303154541418"</f>
        <v>20190303154541418</v>
      </c>
      <c r="B3546" t="str">
        <f>"1551599141414985"</f>
        <v>1551599141414985</v>
      </c>
      <c r="C3546" t="s">
        <v>40</v>
      </c>
      <c r="D3546">
        <v>4.6745320000000001</v>
      </c>
      <c r="E3546">
        <v>0.47290330000000003</v>
      </c>
      <c r="F3546" t="s">
        <v>55</v>
      </c>
      <c r="G3546">
        <v>-227.20169999999999</v>
      </c>
      <c r="H3546" s="1">
        <v>2.2690300000000002E-6</v>
      </c>
      <c r="I3546">
        <v>215.2243</v>
      </c>
      <c r="J3546">
        <v>-241.37379999999999</v>
      </c>
      <c r="K3546">
        <v>1.120692</v>
      </c>
      <c r="L3546">
        <v>214.47929999999999</v>
      </c>
      <c r="M3546">
        <v>0.99989839999999997</v>
      </c>
      <c r="N3546">
        <v>-1.402044E-2</v>
      </c>
      <c r="O3546">
        <v>2.5905199999999998E-3</v>
      </c>
      <c r="P3546">
        <v>0.98967300000000002</v>
      </c>
      <c r="Q3546">
        <v>-0.14184289999999999</v>
      </c>
      <c r="R3546">
        <v>-2.0691020000000001E-2</v>
      </c>
      <c r="S3546">
        <v>3.0012210000000001</v>
      </c>
      <c r="T3546">
        <v>-0.23308719999999999</v>
      </c>
      <c r="U3546">
        <v>0.15509029999999999</v>
      </c>
      <c r="V3546">
        <v>2.3249889999999999E-2</v>
      </c>
      <c r="W3546">
        <v>-0.12795509999999999</v>
      </c>
      <c r="X3546">
        <v>0.99150740000000004</v>
      </c>
      <c r="Y3546">
        <v>-4.8851279999999997E-2</v>
      </c>
      <c r="Z3546">
        <v>2.0717000000000001E-3</v>
      </c>
      <c r="AA3546">
        <v>0.99880389999999997</v>
      </c>
      <c r="AB3546">
        <v>29</v>
      </c>
      <c r="AC3546">
        <v>14.1721</v>
      </c>
      <c r="AD3546">
        <v>-1.1206897309699999</v>
      </c>
      <c r="AE3546">
        <v>0.74500000000000399</v>
      </c>
      <c r="AF3546">
        <v>-0.70389134000629205</v>
      </c>
      <c r="AG3546">
        <v>-1.1206897309699999</v>
      </c>
      <c r="AH3546">
        <v>14.086141831731201</v>
      </c>
      <c r="AI3546">
        <v>94.543210554961405</v>
      </c>
      <c r="AJ3546">
        <v>92.860718359501007</v>
      </c>
      <c r="AK3546">
        <v>14.148173033833199</v>
      </c>
      <c r="AL3546">
        <v>97.351441340055601</v>
      </c>
      <c r="AM3546">
        <v>88.656715529319399</v>
      </c>
      <c r="AN3546">
        <v>0.99999999462789102</v>
      </c>
    </row>
    <row r="3547" spans="1:40" x14ac:dyDescent="0.25">
      <c r="A3547" t="str">
        <f>"20190303154541443"</f>
        <v>20190303154541443</v>
      </c>
      <c r="B3547" t="str">
        <f>"1551599141434505"</f>
        <v>1551599141434505</v>
      </c>
      <c r="C3547" t="s">
        <v>40</v>
      </c>
      <c r="D3547">
        <v>4.5713929999999996</v>
      </c>
      <c r="E3547">
        <v>0.47283750000000002</v>
      </c>
      <c r="F3547" t="s">
        <v>55</v>
      </c>
      <c r="G3547">
        <v>-226.94319999999999</v>
      </c>
      <c r="H3547" s="1">
        <v>2.1307720000000001E-6</v>
      </c>
      <c r="I3547">
        <v>215.24010000000001</v>
      </c>
      <c r="J3547">
        <v>-241.06270000000001</v>
      </c>
      <c r="K3547">
        <v>1.120695</v>
      </c>
      <c r="L3547">
        <v>214.48009999999999</v>
      </c>
      <c r="M3547">
        <v>0.99989810000000001</v>
      </c>
      <c r="N3547">
        <v>-1.404536E-2</v>
      </c>
      <c r="O3547">
        <v>2.5903430000000002E-3</v>
      </c>
      <c r="P3547">
        <v>0.98965610000000004</v>
      </c>
      <c r="Q3547">
        <v>-0.14204739999999999</v>
      </c>
      <c r="R3547">
        <v>-2.0086630000000001E-2</v>
      </c>
      <c r="S3547">
        <v>3.001236</v>
      </c>
      <c r="T3547">
        <v>-0.23307739999999999</v>
      </c>
      <c r="U3547">
        <v>0.1582336</v>
      </c>
      <c r="V3547">
        <v>2.264538E-2</v>
      </c>
      <c r="W3547">
        <v>-0.128135</v>
      </c>
      <c r="X3547">
        <v>0.9914982</v>
      </c>
      <c r="Y3547">
        <v>-4.9890700000000003E-2</v>
      </c>
      <c r="Z3547">
        <v>2.1198599999999999E-3</v>
      </c>
      <c r="AA3547">
        <v>0.99875239999999998</v>
      </c>
      <c r="AB3547">
        <v>29</v>
      </c>
      <c r="AC3547">
        <v>14.1195</v>
      </c>
      <c r="AD3547">
        <v>-1.120692869228</v>
      </c>
      <c r="AE3547">
        <v>0.76000000000001899</v>
      </c>
      <c r="AF3547">
        <v>-0.71890355095383296</v>
      </c>
      <c r="AG3547">
        <v>-1.120692869228</v>
      </c>
      <c r="AH3547">
        <v>14.0332685012391</v>
      </c>
      <c r="AI3547">
        <v>94.559980404732002</v>
      </c>
      <c r="AJ3547">
        <v>92.932614264088201</v>
      </c>
      <c r="AK3547">
        <v>14.096290279736101</v>
      </c>
      <c r="AL3547">
        <v>97.361834096392897</v>
      </c>
      <c r="AM3547">
        <v>88.691617230278297</v>
      </c>
      <c r="AN3547">
        <v>1.00000003603179</v>
      </c>
    </row>
    <row r="3548" spans="1:40" x14ac:dyDescent="0.25">
      <c r="A3548" t="str">
        <f>"20190303154541465"</f>
        <v>20190303154541465</v>
      </c>
      <c r="B3548" t="str">
        <f>"1551599141455000"</f>
        <v>1551599141455000</v>
      </c>
      <c r="C3548" t="s">
        <v>40</v>
      </c>
      <c r="D3548">
        <v>4.567412</v>
      </c>
      <c r="E3548">
        <v>0.473775</v>
      </c>
      <c r="F3548" t="s">
        <v>55</v>
      </c>
      <c r="G3548">
        <v>-226.3143</v>
      </c>
      <c r="H3548" s="1">
        <v>1.7947369999999999E-6</v>
      </c>
      <c r="I3548">
        <v>215.27070000000001</v>
      </c>
      <c r="J3548">
        <v>-240.7567</v>
      </c>
      <c r="K3548">
        <v>1.1207020000000001</v>
      </c>
      <c r="L3548">
        <v>214.48089999999999</v>
      </c>
      <c r="M3548">
        <v>0.9998977</v>
      </c>
      <c r="N3548">
        <v>-1.406551E-2</v>
      </c>
      <c r="O3548">
        <v>2.5903789999999999E-3</v>
      </c>
      <c r="P3548">
        <v>0.98968270000000003</v>
      </c>
      <c r="Q3548">
        <v>-0.14199879999999901</v>
      </c>
      <c r="R3548">
        <v>-1.9095890000000001E-2</v>
      </c>
      <c r="S3548">
        <v>3.0018769999999999</v>
      </c>
      <c r="T3548">
        <v>-0.22810440000000001</v>
      </c>
      <c r="U3548">
        <v>0.16091920000000001</v>
      </c>
      <c r="V3548">
        <v>2.1654590000000001E-2</v>
      </c>
      <c r="W3548">
        <v>-0.12806589999999901</v>
      </c>
      <c r="X3548">
        <v>0.9915292</v>
      </c>
      <c r="Y3548">
        <v>-5.0774069999999998E-2</v>
      </c>
      <c r="Z3548">
        <v>2.1228620000000001E-3</v>
      </c>
      <c r="AA3548">
        <v>0.99870789999999998</v>
      </c>
      <c r="AB3548">
        <v>29</v>
      </c>
      <c r="AC3548">
        <v>14.4423999999999</v>
      </c>
      <c r="AD3548">
        <v>-1.120700205263</v>
      </c>
      <c r="AE3548">
        <v>0.78980000000001305</v>
      </c>
      <c r="AF3548">
        <v>-0.74789239842659405</v>
      </c>
      <c r="AG3548">
        <v>-1.120700205263</v>
      </c>
      <c r="AH3548">
        <v>14.358198414346599</v>
      </c>
      <c r="AI3548">
        <v>94.457039873944495</v>
      </c>
      <c r="AJ3548">
        <v>92.981738062490294</v>
      </c>
      <c r="AK3548">
        <v>14.421275037091799</v>
      </c>
      <c r="AL3548">
        <v>97.357842518480794</v>
      </c>
      <c r="AM3548">
        <v>88.748882624978293</v>
      </c>
      <c r="AN3548">
        <v>0.99999997523175799</v>
      </c>
    </row>
    <row r="3549" spans="1:40" x14ac:dyDescent="0.25">
      <c r="A3549" t="str">
        <f>"20190303154541490"</f>
        <v>20190303154541490</v>
      </c>
      <c r="B3549" t="str">
        <f>"1551599141484281"</f>
        <v>1551599141484281</v>
      </c>
      <c r="C3549" t="s">
        <v>40</v>
      </c>
      <c r="D3549">
        <v>4.5669649999999997</v>
      </c>
      <c r="E3549">
        <v>0.4748657</v>
      </c>
      <c r="F3549" t="s">
        <v>55</v>
      </c>
      <c r="G3549">
        <v>-224.999</v>
      </c>
      <c r="H3549" s="1">
        <v>1.0934589999999999E-6</v>
      </c>
      <c r="I3549">
        <v>215.3015</v>
      </c>
      <c r="J3549">
        <v>-240.4418</v>
      </c>
      <c r="K3549">
        <v>1.120706</v>
      </c>
      <c r="L3549">
        <v>214.48169999999999</v>
      </c>
      <c r="M3549">
        <v>0.99989749999999999</v>
      </c>
      <c r="N3549">
        <v>-1.4082600000000001E-2</v>
      </c>
      <c r="O3549">
        <v>2.590378E-3</v>
      </c>
      <c r="P3549">
        <v>0.98970670000000005</v>
      </c>
      <c r="Q3549">
        <v>-0.14185739999999999</v>
      </c>
      <c r="R3549">
        <v>-1.8906050000000001E-2</v>
      </c>
      <c r="S3549">
        <v>3.003647</v>
      </c>
      <c r="T3549">
        <v>-0.21362159999999999</v>
      </c>
      <c r="U3549">
        <v>0.1564178</v>
      </c>
      <c r="V3549">
        <v>2.146493E-2</v>
      </c>
      <c r="W3549">
        <v>-0.1279073</v>
      </c>
      <c r="X3549">
        <v>0.99155380000000004</v>
      </c>
      <c r="Y3549">
        <v>-4.9273579999999997E-2</v>
      </c>
      <c r="Z3549">
        <v>1.949072E-3</v>
      </c>
      <c r="AA3549">
        <v>0.99878339999999999</v>
      </c>
      <c r="AB3549">
        <v>29</v>
      </c>
      <c r="AC3549">
        <v>15.442799999999901</v>
      </c>
      <c r="AD3549">
        <v>-1.120704906541</v>
      </c>
      <c r="AE3549">
        <v>0.81980000000001496</v>
      </c>
      <c r="AF3549">
        <v>-0.77571668345743106</v>
      </c>
      <c r="AG3549">
        <v>-1.120704906541</v>
      </c>
      <c r="AH3549">
        <v>15.3641823515733</v>
      </c>
      <c r="AI3549">
        <v>94.166631615153193</v>
      </c>
      <c r="AJ3549">
        <v>92.890331778969497</v>
      </c>
      <c r="AK3549">
        <v>15.4245199339537</v>
      </c>
      <c r="AL3549">
        <v>97.348680023367905</v>
      </c>
      <c r="AM3549">
        <v>88.759867757727406</v>
      </c>
      <c r="AN3549">
        <v>0.99999997945381702</v>
      </c>
    </row>
    <row r="3550" spans="1:40" x14ac:dyDescent="0.25">
      <c r="A3550" t="str">
        <f>"20190303154541514"</f>
        <v>20190303154541514</v>
      </c>
      <c r="B3550" t="str">
        <f>"1551599141504777"</f>
        <v>1551599141504777</v>
      </c>
      <c r="C3550" t="s">
        <v>40</v>
      </c>
      <c r="D3550">
        <v>4.6305779999999999</v>
      </c>
      <c r="E3550">
        <v>0.47506779999999998</v>
      </c>
      <c r="F3550" t="s">
        <v>55</v>
      </c>
      <c r="G3550">
        <v>-223.32910000000001</v>
      </c>
      <c r="H3550" s="1">
        <v>2.037224E-7</v>
      </c>
      <c r="I3550">
        <v>215.32679999999999</v>
      </c>
      <c r="J3550">
        <v>-240.1242</v>
      </c>
      <c r="K3550">
        <v>1.1207119999999999</v>
      </c>
      <c r="L3550">
        <v>214.48249999999999</v>
      </c>
      <c r="M3550">
        <v>0.99989729999999999</v>
      </c>
      <c r="N3550">
        <v>-1.4096839999999999E-2</v>
      </c>
      <c r="O3550">
        <v>2.5904560000000001E-3</v>
      </c>
      <c r="P3550">
        <v>0.98973860000000002</v>
      </c>
      <c r="Q3550">
        <v>-0.14164589999999999</v>
      </c>
      <c r="R3550">
        <v>-1.8818919999999999E-2</v>
      </c>
      <c r="S3550">
        <v>3.005814</v>
      </c>
      <c r="T3550">
        <v>-0.1968492</v>
      </c>
      <c r="U3550">
        <v>0.1484375</v>
      </c>
      <c r="V3550">
        <v>2.137785E-2</v>
      </c>
      <c r="W3550">
        <v>-0.1276813</v>
      </c>
      <c r="X3550">
        <v>0.99158480000000004</v>
      </c>
      <c r="Y3550">
        <v>-4.6617899999999997E-2</v>
      </c>
      <c r="Z3550">
        <v>1.7202649999999999E-3</v>
      </c>
      <c r="AA3550">
        <v>0.99891129999999995</v>
      </c>
      <c r="AB3550">
        <v>29</v>
      </c>
      <c r="AC3550">
        <v>16.795099999999898</v>
      </c>
      <c r="AD3550">
        <v>-1.1207117962776001</v>
      </c>
      <c r="AE3550">
        <v>0.84430000000000405</v>
      </c>
      <c r="AF3550">
        <v>-0.79724493835718402</v>
      </c>
      <c r="AG3550">
        <v>-1.1207117962776001</v>
      </c>
      <c r="AH3550">
        <v>16.722956496191699</v>
      </c>
      <c r="AI3550">
        <v>93.829685507860205</v>
      </c>
      <c r="AJ3550">
        <v>92.729434319667206</v>
      </c>
      <c r="AK3550">
        <v>16.779417999310098</v>
      </c>
      <c r="AL3550">
        <v>97.335624188379697</v>
      </c>
      <c r="AM3550">
        <v>88.764935827705202</v>
      </c>
      <c r="AN3550">
        <v>0.99999997121567497</v>
      </c>
    </row>
    <row r="3551" spans="1:40" x14ac:dyDescent="0.25">
      <c r="A3551" t="str">
        <f>"20190303154541552"</f>
        <v>20190303154541552</v>
      </c>
      <c r="B3551" t="str">
        <f>"1551599141544793"</f>
        <v>1551599141544793</v>
      </c>
      <c r="C3551" t="s">
        <v>40</v>
      </c>
      <c r="D3551">
        <v>4.6282750000000004</v>
      </c>
      <c r="E3551">
        <v>0.50978509999999999</v>
      </c>
      <c r="F3551" t="s">
        <v>55</v>
      </c>
      <c r="G3551">
        <v>-222.6926</v>
      </c>
      <c r="H3551" s="1">
        <v>-1.35416899999999E-7</v>
      </c>
      <c r="I3551">
        <v>215.3374</v>
      </c>
      <c r="J3551">
        <v>-239.6267</v>
      </c>
      <c r="K3551">
        <v>1.1207149999999999</v>
      </c>
      <c r="L3551">
        <v>214.4838</v>
      </c>
      <c r="M3551">
        <v>0.99989709999999998</v>
      </c>
      <c r="N3551">
        <v>-1.411404E-2</v>
      </c>
      <c r="O3551">
        <v>2.590513E-3</v>
      </c>
      <c r="P3551">
        <v>0.98990339999999999</v>
      </c>
      <c r="Q3551">
        <v>-0.1403461</v>
      </c>
      <c r="R3551">
        <v>-1.9863260000000001E-2</v>
      </c>
      <c r="S3551">
        <v>3.0062410000000002</v>
      </c>
      <c r="T3551">
        <v>-0.19327749999999999</v>
      </c>
      <c r="U3551">
        <v>0.14743039999999999</v>
      </c>
      <c r="V3551">
        <v>2.2422770000000002E-2</v>
      </c>
      <c r="W3551">
        <v>-0.12636230000000001</v>
      </c>
      <c r="X3551">
        <v>0.99173069999999997</v>
      </c>
      <c r="Y3551">
        <v>-4.6281669999999997E-2</v>
      </c>
      <c r="Z3551">
        <v>1.68282E-3</v>
      </c>
      <c r="AA3551">
        <v>0.99892700000000001</v>
      </c>
      <c r="AB3551">
        <v>29</v>
      </c>
      <c r="AC3551">
        <v>16.934100000000001</v>
      </c>
      <c r="AD3551">
        <v>-1.1207151354168901</v>
      </c>
      <c r="AE3551">
        <v>0.85360000000000003</v>
      </c>
      <c r="AF3551">
        <v>-0.80620260783311404</v>
      </c>
      <c r="AG3551">
        <v>-1.1207151354168901</v>
      </c>
      <c r="AH3551">
        <v>16.8625850530224</v>
      </c>
      <c r="AI3551">
        <v>93.798054138097797</v>
      </c>
      <c r="AJ3551">
        <v>92.737235099288995</v>
      </c>
      <c r="AK3551">
        <v>16.919005281932002</v>
      </c>
      <c r="AL3551">
        <v>97.259433716340297</v>
      </c>
      <c r="AM3551">
        <v>88.704778187238503</v>
      </c>
      <c r="AN3551">
        <v>0.99999999639912596</v>
      </c>
    </row>
    <row r="3552" spans="1:40" x14ac:dyDescent="0.25">
      <c r="A3552" t="str">
        <f>"20190303154541577"</f>
        <v>20190303154541577</v>
      </c>
      <c r="B3552" t="str">
        <f>"1551599141564312"</f>
        <v>1551599141564312</v>
      </c>
      <c r="C3552" t="s">
        <v>40</v>
      </c>
      <c r="D3552">
        <v>4.6495540000000002</v>
      </c>
      <c r="E3552">
        <v>0.51661629999999903</v>
      </c>
      <c r="F3552" t="s">
        <v>54</v>
      </c>
      <c r="G3552">
        <v>-179.95769999999999</v>
      </c>
      <c r="H3552">
        <v>3.0348329999999998E-3</v>
      </c>
      <c r="I3552">
        <v>211.9091</v>
      </c>
      <c r="J3552">
        <v>-239.30789999999999</v>
      </c>
      <c r="K3552">
        <v>1.1207199999999999</v>
      </c>
      <c r="L3552">
        <v>214.4846</v>
      </c>
      <c r="M3552">
        <v>0.99989689999999998</v>
      </c>
      <c r="N3552">
        <v>-1.412238E-2</v>
      </c>
      <c r="O3552">
        <v>2.5906319999999998E-3</v>
      </c>
      <c r="P3552">
        <v>0.98994079999999995</v>
      </c>
      <c r="Q3552">
        <v>-0.13999679999999901</v>
      </c>
      <c r="R3552">
        <v>-2.044319E-2</v>
      </c>
      <c r="S3552">
        <v>3.0199739999999999</v>
      </c>
      <c r="T3552">
        <v>-5.6568149999999998E-2</v>
      </c>
      <c r="U3552">
        <v>-0.13031010000000001</v>
      </c>
      <c r="V3552">
        <v>2.3003050000000001E-2</v>
      </c>
      <c r="W3552">
        <v>-0.12600419999999901</v>
      </c>
      <c r="X3552">
        <v>0.99176299999999995</v>
      </c>
      <c r="Y3552">
        <v>4.5683559999999998E-2</v>
      </c>
      <c r="Z3552">
        <v>-7.6234689999999999E-4</v>
      </c>
      <c r="AA3552">
        <v>0.9989557</v>
      </c>
      <c r="AB3552">
        <v>29</v>
      </c>
      <c r="AC3552">
        <v>59.350200000000001</v>
      </c>
      <c r="AD3552">
        <v>-1.1176851670000001</v>
      </c>
      <c r="AE3552">
        <v>-2.5754999999999999</v>
      </c>
      <c r="AF3552">
        <v>2.7282954612397798</v>
      </c>
      <c r="AG3552">
        <v>-1.1176851670000001</v>
      </c>
      <c r="AH3552">
        <v>59.322329100166598</v>
      </c>
      <c r="AI3552">
        <v>91.078236015950694</v>
      </c>
      <c r="AJ3552">
        <v>87.366763196754604</v>
      </c>
      <c r="AK3552">
        <v>59.395551568487299</v>
      </c>
      <c r="AL3552">
        <v>97.238750580879099</v>
      </c>
      <c r="AM3552">
        <v>88.671314200393297</v>
      </c>
      <c r="AN3552">
        <v>1.00000002344797</v>
      </c>
    </row>
    <row r="3553" spans="1:40" x14ac:dyDescent="0.25">
      <c r="A3553" t="str">
        <f>"20190303154541597"</f>
        <v>20190303154541597</v>
      </c>
      <c r="B3553" t="str">
        <f>"1551599141584808"</f>
        <v>1551599141584808</v>
      </c>
      <c r="C3553" t="s">
        <v>40</v>
      </c>
      <c r="D3553">
        <v>4.6801750000000002</v>
      </c>
      <c r="E3553">
        <v>0.51941729999999997</v>
      </c>
      <c r="F3553" t="s">
        <v>54</v>
      </c>
      <c r="G3553">
        <v>-183.45750000000001</v>
      </c>
      <c r="H3553" s="1">
        <v>3.1319550000000001E-6</v>
      </c>
      <c r="I3553">
        <v>211.03720000000001</v>
      </c>
      <c r="J3553">
        <v>-239.0471</v>
      </c>
      <c r="K3553">
        <v>1.1207309999999999</v>
      </c>
      <c r="L3553">
        <v>214.4853</v>
      </c>
      <c r="M3553">
        <v>0.99989700000000004</v>
      </c>
      <c r="N3553">
        <v>-1.4127809999999999E-2</v>
      </c>
      <c r="O3553">
        <v>2.5905939999999999E-3</v>
      </c>
      <c r="P3553">
        <v>0.9899732</v>
      </c>
      <c r="Q3553">
        <v>-0.13964749999999901</v>
      </c>
      <c r="R3553">
        <v>-2.1253299999999999E-2</v>
      </c>
      <c r="S3553">
        <v>3.0180509999999998</v>
      </c>
      <c r="T3553">
        <v>-6.0561419999999998E-2</v>
      </c>
      <c r="U3553">
        <v>-0.1862946</v>
      </c>
      <c r="V3553">
        <v>2.38131E-2</v>
      </c>
      <c r="W3553">
        <v>-0.12564910000000001</v>
      </c>
      <c r="X3553">
        <v>0.99178889999999997</v>
      </c>
      <c r="Y3553">
        <v>6.4173220000000003E-2</v>
      </c>
      <c r="Z3553">
        <v>-1.1123960000000001E-3</v>
      </c>
      <c r="AA3553">
        <v>0.9979382</v>
      </c>
      <c r="AB3553">
        <v>29</v>
      </c>
      <c r="AC3553">
        <v>55.589599999999898</v>
      </c>
      <c r="AD3553">
        <v>-1.1207278680449999</v>
      </c>
      <c r="AE3553">
        <v>-3.4480999999999802</v>
      </c>
      <c r="AF3553">
        <v>3.5906590123742399</v>
      </c>
      <c r="AG3553">
        <v>-1.1207278680449999</v>
      </c>
      <c r="AH3553">
        <v>55.557984597968101</v>
      </c>
      <c r="AI3553">
        <v>91.153221027140802</v>
      </c>
      <c r="AJ3553">
        <v>86.302171756072994</v>
      </c>
      <c r="AK3553">
        <v>55.685173212314098</v>
      </c>
      <c r="AL3553">
        <v>97.218242086207098</v>
      </c>
      <c r="AM3553">
        <v>88.6245782433638</v>
      </c>
      <c r="AN3553">
        <v>0.99999999111281401</v>
      </c>
    </row>
    <row r="3554" spans="1:40" x14ac:dyDescent="0.25">
      <c r="A3554" t="str">
        <f>"20190303154541619"</f>
        <v>20190303154541619</v>
      </c>
      <c r="B3554" t="str">
        <f>"1551599141615065"</f>
        <v>1551599141615065</v>
      </c>
      <c r="C3554" t="s">
        <v>40</v>
      </c>
      <c r="D3554">
        <v>4.6756120000000001</v>
      </c>
      <c r="E3554">
        <v>0.52074379999999998</v>
      </c>
      <c r="F3554" t="s">
        <v>54</v>
      </c>
      <c r="G3554">
        <v>-191.9572</v>
      </c>
      <c r="H3554" s="1">
        <v>3.9171449999999999E-6</v>
      </c>
      <c r="I3554">
        <v>211.18799999999999</v>
      </c>
      <c r="J3554">
        <v>-238.74950000000001</v>
      </c>
      <c r="K3554">
        <v>1.120735</v>
      </c>
      <c r="L3554">
        <v>214.48609999999999</v>
      </c>
      <c r="M3554">
        <v>0.99989680000000003</v>
      </c>
      <c r="N3554">
        <v>-1.413271E-2</v>
      </c>
      <c r="O3554">
        <v>2.5905590000000001E-3</v>
      </c>
      <c r="P3554">
        <v>0.9900371</v>
      </c>
      <c r="Q3554">
        <v>-0.13920589999999999</v>
      </c>
      <c r="R3554">
        <v>-2.117289E-2</v>
      </c>
      <c r="S3554">
        <v>3.0157470000000002</v>
      </c>
      <c r="T3554">
        <v>-7.1773890000000007E-2</v>
      </c>
      <c r="U3554">
        <v>-0.2111664</v>
      </c>
      <c r="V3554">
        <v>2.373283E-2</v>
      </c>
      <c r="W3554">
        <v>-0.1252019</v>
      </c>
      <c r="X3554">
        <v>0.99184740000000005</v>
      </c>
      <c r="Y3554">
        <v>7.2401789999999994E-2</v>
      </c>
      <c r="Z3554">
        <v>-1.3977849999999999E-3</v>
      </c>
      <c r="AA3554">
        <v>0.9973746</v>
      </c>
      <c r="AB3554">
        <v>29</v>
      </c>
      <c r="AC3554">
        <v>46.792299999999997</v>
      </c>
      <c r="AD3554">
        <v>-1.1207310828549999</v>
      </c>
      <c r="AE3554">
        <v>-3.2980999999999998</v>
      </c>
      <c r="AF3554">
        <v>3.4173685348395</v>
      </c>
      <c r="AG3554">
        <v>-1.1207310828549999</v>
      </c>
      <c r="AH3554">
        <v>46.7569082400585</v>
      </c>
      <c r="AI3554">
        <v>91.369426325900506</v>
      </c>
      <c r="AJ3554">
        <v>85.819799293979401</v>
      </c>
      <c r="AK3554">
        <v>46.895020141079399</v>
      </c>
      <c r="AL3554">
        <v>97.192415296337501</v>
      </c>
      <c r="AM3554">
        <v>88.629293608732496</v>
      </c>
      <c r="AN3554">
        <v>1.00000001393508</v>
      </c>
    </row>
    <row r="3555" spans="1:40" x14ac:dyDescent="0.25">
      <c r="A3555" t="str">
        <f>"20190303154541642"</f>
        <v>20190303154541642</v>
      </c>
      <c r="B3555" t="str">
        <f>"1551599141634585"</f>
        <v>1551599141634585</v>
      </c>
      <c r="C3555" t="s">
        <v>40</v>
      </c>
      <c r="D3555">
        <v>4.743868</v>
      </c>
      <c r="E3555">
        <v>0.52137060000000002</v>
      </c>
      <c r="F3555" t="s">
        <v>54</v>
      </c>
      <c r="G3555">
        <v>-202.63229999999999</v>
      </c>
      <c r="H3555" s="1">
        <v>3.6287449999999998E-6</v>
      </c>
      <c r="I3555">
        <v>211.82040000000001</v>
      </c>
      <c r="J3555">
        <v>-238.46190000000001</v>
      </c>
      <c r="K3555">
        <v>1.1207370000000001</v>
      </c>
      <c r="L3555">
        <v>214.48679999999999</v>
      </c>
      <c r="M3555">
        <v>0.99989680000000003</v>
      </c>
      <c r="N3555">
        <v>-1.413654E-2</v>
      </c>
      <c r="O3555">
        <v>2.590532E-3</v>
      </c>
      <c r="P3555">
        <v>0.99003580000000002</v>
      </c>
      <c r="Q3555">
        <v>-0.1392466</v>
      </c>
      <c r="R3555">
        <v>-2.0974929999999999E-2</v>
      </c>
      <c r="S3555">
        <v>3.012283</v>
      </c>
      <c r="T3555">
        <v>-9.3472360000000004E-2</v>
      </c>
      <c r="U3555">
        <v>-0.22232060000000001</v>
      </c>
      <c r="V3555">
        <v>2.353485E-2</v>
      </c>
      <c r="W3555">
        <v>-0.12523869999999901</v>
      </c>
      <c r="X3555">
        <v>0.99184749999999999</v>
      </c>
      <c r="Y3555">
        <v>7.6134480000000004E-2</v>
      </c>
      <c r="Z3555">
        <v>-1.7621309999999999E-3</v>
      </c>
      <c r="AA3555">
        <v>0.99709599999999998</v>
      </c>
      <c r="AB3555">
        <v>29</v>
      </c>
      <c r="AC3555">
        <v>35.829599999999999</v>
      </c>
      <c r="AD3555">
        <v>-1.1207333712549901</v>
      </c>
      <c r="AE3555">
        <v>-2.6663999999999799</v>
      </c>
      <c r="AF3555">
        <v>2.7565358781217699</v>
      </c>
      <c r="AG3555">
        <v>-1.1207333712549901</v>
      </c>
      <c r="AH3555">
        <v>35.787749443231696</v>
      </c>
      <c r="AI3555">
        <v>91.788401366887697</v>
      </c>
      <c r="AJ3555">
        <v>85.595513984835193</v>
      </c>
      <c r="AK3555">
        <v>35.911245363372501</v>
      </c>
      <c r="AL3555">
        <v>97.194540304198298</v>
      </c>
      <c r="AM3555">
        <v>88.640723912803395</v>
      </c>
      <c r="AN3555">
        <v>1.0000000421992301</v>
      </c>
    </row>
    <row r="3556" spans="1:40" x14ac:dyDescent="0.25">
      <c r="A3556" t="str">
        <f>"20190303154541663"</f>
        <v>20190303154541663</v>
      </c>
      <c r="B3556" t="str">
        <f>"1551599141655081"</f>
        <v>1551599141655081</v>
      </c>
      <c r="C3556" t="s">
        <v>40</v>
      </c>
      <c r="D3556">
        <v>4.7092499999999999</v>
      </c>
      <c r="E3556">
        <v>0.52171160000000005</v>
      </c>
      <c r="F3556" t="s">
        <v>54</v>
      </c>
      <c r="G3556">
        <v>-205.54859999999999</v>
      </c>
      <c r="H3556" s="1">
        <v>4.9060089999999997E-6</v>
      </c>
      <c r="I3556">
        <v>212.0034</v>
      </c>
      <c r="J3556">
        <v>-238.17949999999999</v>
      </c>
      <c r="K3556">
        <v>1.1207450000000001</v>
      </c>
      <c r="L3556">
        <v>214.48750000000001</v>
      </c>
      <c r="M3556">
        <v>0.99989669999999997</v>
      </c>
      <c r="N3556">
        <v>-1.413937E-2</v>
      </c>
      <c r="O3556">
        <v>2.590691E-3</v>
      </c>
      <c r="P3556">
        <v>0.99004479999999995</v>
      </c>
      <c r="Q3556">
        <v>-0.13920199999999999</v>
      </c>
      <c r="R3556">
        <v>-2.083919E-2</v>
      </c>
      <c r="S3556">
        <v>3.0109560000000002</v>
      </c>
      <c r="T3556">
        <v>-0.1025263</v>
      </c>
      <c r="U3556">
        <v>-0.2271881</v>
      </c>
      <c r="V3556">
        <v>2.339929E-2</v>
      </c>
      <c r="W3556">
        <v>-0.1251912</v>
      </c>
      <c r="X3556">
        <v>0.99185659999999998</v>
      </c>
      <c r="Y3556">
        <v>7.7759250000000002E-2</v>
      </c>
      <c r="Z3556">
        <v>-1.923892E-3</v>
      </c>
      <c r="AA3556">
        <v>0.99697029999999998</v>
      </c>
      <c r="AB3556">
        <v>29</v>
      </c>
      <c r="AC3556">
        <v>32.630899999999997</v>
      </c>
      <c r="AD3556">
        <v>-1.1207400939909999</v>
      </c>
      <c r="AE3556">
        <v>-2.48410000000001</v>
      </c>
      <c r="AF3556">
        <v>2.5656275971201898</v>
      </c>
      <c r="AG3556">
        <v>-1.1207400939909999</v>
      </c>
      <c r="AH3556">
        <v>32.5861356796946</v>
      </c>
      <c r="AI3556">
        <v>91.963733913446802</v>
      </c>
      <c r="AJ3556">
        <v>85.498177225046703</v>
      </c>
      <c r="AK3556">
        <v>32.7061881279499</v>
      </c>
      <c r="AL3556">
        <v>97.191797910337996</v>
      </c>
      <c r="AM3556">
        <v>88.648562783076599</v>
      </c>
      <c r="AN3556">
        <v>0.99999993914675001</v>
      </c>
    </row>
    <row r="3557" spans="1:40" x14ac:dyDescent="0.25">
      <c r="A3557" t="str">
        <f>"20190303154541687"</f>
        <v>20190303154541687</v>
      </c>
      <c r="B3557" t="str">
        <f>"1551599141684360"</f>
        <v>1551599141684360</v>
      </c>
      <c r="C3557" t="s">
        <v>40</v>
      </c>
      <c r="D3557">
        <v>4.7342129999999996</v>
      </c>
      <c r="E3557">
        <v>0.52194989999999997</v>
      </c>
      <c r="F3557" t="s">
        <v>54</v>
      </c>
      <c r="G3557">
        <v>-207.49809999999999</v>
      </c>
      <c r="H3557" s="1">
        <v>5.7579959999999996E-6</v>
      </c>
      <c r="I3557">
        <v>212.14660000000001</v>
      </c>
      <c r="J3557">
        <v>-237.87739999999999</v>
      </c>
      <c r="K3557">
        <v>1.1207530000000001</v>
      </c>
      <c r="L3557">
        <v>214.48830000000001</v>
      </c>
      <c r="M3557">
        <v>0.99989680000000003</v>
      </c>
      <c r="N3557">
        <v>-1.414146E-2</v>
      </c>
      <c r="O3557">
        <v>2.5904970000000002E-3</v>
      </c>
      <c r="P3557">
        <v>0.99007579999999995</v>
      </c>
      <c r="Q3557">
        <v>-0.1389444</v>
      </c>
      <c r="R3557">
        <v>-2.1087040000000001E-2</v>
      </c>
      <c r="S3557">
        <v>3.0098569999999998</v>
      </c>
      <c r="T3557">
        <v>-0.1099451</v>
      </c>
      <c r="U3557">
        <v>-0.22964480000000001</v>
      </c>
      <c r="V3557">
        <v>2.364724E-2</v>
      </c>
      <c r="W3557">
        <v>-0.1249311</v>
      </c>
      <c r="X3557">
        <v>0.99188359999999998</v>
      </c>
      <c r="Y3557">
        <v>7.8586399999999904E-2</v>
      </c>
      <c r="Z3557">
        <v>-2.0473959999999999E-3</v>
      </c>
      <c r="AA3557">
        <v>0.99690520000000005</v>
      </c>
      <c r="AB3557">
        <v>29</v>
      </c>
      <c r="AC3557">
        <v>30.379300000000001</v>
      </c>
      <c r="AD3557">
        <v>-1.1207472420039899</v>
      </c>
      <c r="AE3557">
        <v>-2.3416999999999999</v>
      </c>
      <c r="AF3557">
        <v>2.4171271929045299</v>
      </c>
      <c r="AG3557">
        <v>-1.1207472420039899</v>
      </c>
      <c r="AH3557">
        <v>30.332092968513201</v>
      </c>
      <c r="AI3557">
        <v>92.1093908877681</v>
      </c>
      <c r="AJ3557">
        <v>85.443797919395806</v>
      </c>
      <c r="AK3557">
        <v>30.448882444150001</v>
      </c>
      <c r="AL3557">
        <v>97.176776740309094</v>
      </c>
      <c r="AM3557">
        <v>88.6342848704044</v>
      </c>
      <c r="AN3557">
        <v>1.0000000238278901</v>
      </c>
    </row>
    <row r="3558" spans="1:40" x14ac:dyDescent="0.25">
      <c r="A3558" t="str">
        <f>"20190303154541709"</f>
        <v>20190303154541709</v>
      </c>
      <c r="B3558" t="str">
        <f>"1551599141704856"</f>
        <v>1551599141704856</v>
      </c>
      <c r="C3558" t="s">
        <v>40</v>
      </c>
      <c r="D3558">
        <v>4.7568650000000003</v>
      </c>
      <c r="E3558">
        <v>0.5220458</v>
      </c>
      <c r="F3558" t="s">
        <v>54</v>
      </c>
      <c r="G3558">
        <v>-209.44280000000001</v>
      </c>
      <c r="H3558" s="1">
        <v>6.6077640000000004E-6</v>
      </c>
      <c r="I3558">
        <v>212.29079999999999</v>
      </c>
      <c r="J3558">
        <v>-237.59950000000001</v>
      </c>
      <c r="K3558">
        <v>1.120757</v>
      </c>
      <c r="L3558">
        <v>214.489</v>
      </c>
      <c r="M3558">
        <v>0.99989660000000002</v>
      </c>
      <c r="N3558">
        <v>-1.4142750000000001E-2</v>
      </c>
      <c r="O3558">
        <v>2.5906670000000001E-3</v>
      </c>
      <c r="P3558">
        <v>0.99009630000000004</v>
      </c>
      <c r="Q3558">
        <v>-0.13875609999999999</v>
      </c>
      <c r="R3558">
        <v>-2.1360569999999999E-2</v>
      </c>
      <c r="S3558">
        <v>3.0084689999999998</v>
      </c>
      <c r="T3558">
        <v>-0.11857819999999999</v>
      </c>
      <c r="U3558">
        <v>-0.23249819999999999</v>
      </c>
      <c r="V3558">
        <v>2.3920770000000001E-2</v>
      </c>
      <c r="W3558">
        <v>-0.1247413</v>
      </c>
      <c r="X3558">
        <v>0.99190089999999997</v>
      </c>
      <c r="Y3558">
        <v>7.9550060000000006E-2</v>
      </c>
      <c r="Z3558">
        <v>-2.1938209999999999E-3</v>
      </c>
      <c r="AA3558">
        <v>0.99682839999999995</v>
      </c>
      <c r="AB3558">
        <v>29</v>
      </c>
      <c r="AC3558">
        <v>28.156700000000001</v>
      </c>
      <c r="AD3558">
        <v>-1.120750392236</v>
      </c>
      <c r="AE3558">
        <v>-2.1982000000000101</v>
      </c>
      <c r="AF3558">
        <v>2.2675736616983699</v>
      </c>
      <c r="AG3558">
        <v>-1.120750392236</v>
      </c>
      <c r="AH3558">
        <v>28.106648796920901</v>
      </c>
      <c r="AI3558">
        <v>92.276067471602403</v>
      </c>
      <c r="AJ3558">
        <v>85.387510792888904</v>
      </c>
      <c r="AK3558">
        <v>28.220235263838202</v>
      </c>
      <c r="AL3558">
        <v>97.165816467334196</v>
      </c>
      <c r="AM3558">
        <v>88.618517679373397</v>
      </c>
      <c r="AN3558">
        <v>0.99999999529194605</v>
      </c>
    </row>
    <row r="3559" spans="1:40" x14ac:dyDescent="0.25">
      <c r="A3559" t="str">
        <f>"20190303154541736"</f>
        <v>20190303154541736</v>
      </c>
      <c r="B3559" t="str">
        <f>"1551599141724376"</f>
        <v>1551599141724376</v>
      </c>
      <c r="C3559" t="s">
        <v>40</v>
      </c>
      <c r="D3559">
        <v>4.8019480000000003</v>
      </c>
      <c r="E3559">
        <v>0.52205000000000001</v>
      </c>
      <c r="F3559" t="s">
        <v>55</v>
      </c>
      <c r="G3559">
        <v>-210.12139999999999</v>
      </c>
      <c r="H3559" s="1">
        <v>-1.373052E-6</v>
      </c>
      <c r="I3559">
        <v>212.34870000000001</v>
      </c>
      <c r="J3559">
        <v>-237.25360000000001</v>
      </c>
      <c r="K3559">
        <v>1.1207560000000001</v>
      </c>
      <c r="L3559">
        <v>214.48990000000001</v>
      </c>
      <c r="M3559">
        <v>0.99989660000000002</v>
      </c>
      <c r="N3559">
        <v>-1.4143660000000001E-2</v>
      </c>
      <c r="O3559">
        <v>2.5904809999999999E-3</v>
      </c>
      <c r="P3559">
        <v>0.99013410000000002</v>
      </c>
      <c r="Q3559">
        <v>-0.13838230000000001</v>
      </c>
      <c r="R3559">
        <v>-2.202026E-2</v>
      </c>
      <c r="S3559">
        <v>3.0077509999999998</v>
      </c>
      <c r="T3559">
        <v>-0.12267840000000001</v>
      </c>
      <c r="U3559">
        <v>-0.2342834</v>
      </c>
      <c r="V3559">
        <v>2.4580439999999999E-2</v>
      </c>
      <c r="W3559">
        <v>-0.1243662</v>
      </c>
      <c r="X3559">
        <v>0.99193189999999998</v>
      </c>
      <c r="Y3559">
        <v>8.0150369999999999E-2</v>
      </c>
      <c r="Z3559">
        <v>-2.2683109999999999E-3</v>
      </c>
      <c r="AA3559">
        <v>0.99678020000000001</v>
      </c>
      <c r="AB3559">
        <v>29</v>
      </c>
      <c r="AC3559">
        <v>27.132200000000001</v>
      </c>
      <c r="AD3559">
        <v>-1.120757373052</v>
      </c>
      <c r="AE3559">
        <v>-2.1411999999999898</v>
      </c>
      <c r="AF3559">
        <v>2.2077415605679001</v>
      </c>
      <c r="AG3559">
        <v>-1.120757373052</v>
      </c>
      <c r="AH3559">
        <v>27.080640186162299</v>
      </c>
      <c r="AI3559">
        <v>92.362058937399894</v>
      </c>
      <c r="AJ3559">
        <v>85.339284954712994</v>
      </c>
      <c r="AK3559">
        <v>27.193589185318999</v>
      </c>
      <c r="AL3559">
        <v>97.144155956610803</v>
      </c>
      <c r="AM3559">
        <v>88.5804798676415</v>
      </c>
      <c r="AN3559">
        <v>1.00000002198532</v>
      </c>
    </row>
    <row r="3560" spans="1:40" x14ac:dyDescent="0.25">
      <c r="A3560" t="str">
        <f>"20190303154541760"</f>
        <v>20190303154541760</v>
      </c>
      <c r="B3560" t="str">
        <f>"1551599141754633"</f>
        <v>1551599141754633</v>
      </c>
      <c r="C3560" t="s">
        <v>40</v>
      </c>
      <c r="D3560">
        <v>4.8147310000000001</v>
      </c>
      <c r="E3560">
        <v>0.5220783</v>
      </c>
      <c r="F3560" t="s">
        <v>55</v>
      </c>
      <c r="G3560">
        <v>-210.5214</v>
      </c>
      <c r="H3560" s="1">
        <v>-1.1619269999999999E-6</v>
      </c>
      <c r="I3560">
        <v>212.38820000000001</v>
      </c>
      <c r="J3560">
        <v>-236.9316</v>
      </c>
      <c r="K3560">
        <v>1.1207590000000001</v>
      </c>
      <c r="L3560">
        <v>214.49080000000001</v>
      </c>
      <c r="M3560">
        <v>0.99989660000000002</v>
      </c>
      <c r="N3560">
        <v>-1.4143930000000001E-2</v>
      </c>
      <c r="O3560">
        <v>2.5904790000000001E-3</v>
      </c>
      <c r="P3560">
        <v>0.99008019999999997</v>
      </c>
      <c r="Q3560">
        <v>-0.13868839999999999</v>
      </c>
      <c r="R3560">
        <v>-2.2508190000000001E-2</v>
      </c>
      <c r="S3560">
        <v>3.0070190000000001</v>
      </c>
      <c r="T3560">
        <v>-0.1260705</v>
      </c>
      <c r="U3560">
        <v>-0.23641970000000001</v>
      </c>
      <c r="V3560">
        <v>2.506827E-2</v>
      </c>
      <c r="W3560">
        <v>-0.1246728</v>
      </c>
      <c r="X3560">
        <v>0.99188120000000002</v>
      </c>
      <c r="Y3560">
        <v>8.0867679999999997E-2</v>
      </c>
      <c r="Z3560">
        <v>-2.3368120000000002E-3</v>
      </c>
      <c r="AA3560">
        <v>0.99672210000000006</v>
      </c>
      <c r="AB3560">
        <v>29</v>
      </c>
      <c r="AC3560">
        <v>26.4102</v>
      </c>
      <c r="AD3560">
        <v>-1.120760161927</v>
      </c>
      <c r="AE3560">
        <v>-2.10259999999999</v>
      </c>
      <c r="AF3560">
        <v>2.16713671001959</v>
      </c>
      <c r="AG3560">
        <v>-1.120760161927</v>
      </c>
      <c r="AH3560">
        <v>26.357496657181699</v>
      </c>
      <c r="AI3560">
        <v>92.426656673484601</v>
      </c>
      <c r="AJ3560">
        <v>85.299663111254603</v>
      </c>
      <c r="AK3560">
        <v>26.4701759513196</v>
      </c>
      <c r="AL3560">
        <v>97.161860648766094</v>
      </c>
      <c r="AM3560">
        <v>88.552245596144999</v>
      </c>
      <c r="AN3560">
        <v>1.00000002006703</v>
      </c>
    </row>
    <row r="3561" spans="1:40" x14ac:dyDescent="0.25">
      <c r="A3561" t="str">
        <f>"20190303154541780"</f>
        <v>20190303154541780</v>
      </c>
      <c r="B3561" t="str">
        <f>"1551599141775128"</f>
        <v>1551599141775128</v>
      </c>
      <c r="C3561" t="s">
        <v>40</v>
      </c>
      <c r="D3561">
        <v>4.855048</v>
      </c>
      <c r="E3561">
        <v>0.52211450000000004</v>
      </c>
      <c r="F3561" t="s">
        <v>55</v>
      </c>
      <c r="G3561">
        <v>-211.75299999999999</v>
      </c>
      <c r="H3561" s="1">
        <v>-5.1122009999999898E-7</v>
      </c>
      <c r="I3561">
        <v>212.4948</v>
      </c>
      <c r="J3561">
        <v>-236.68809999999999</v>
      </c>
      <c r="K3561">
        <v>1.1207609999999999</v>
      </c>
      <c r="L3561">
        <v>214.4914</v>
      </c>
      <c r="M3561">
        <v>0.99989669999999997</v>
      </c>
      <c r="N3561">
        <v>-1.414374E-2</v>
      </c>
      <c r="O3561">
        <v>2.5903020000000001E-3</v>
      </c>
      <c r="P3561">
        <v>0.98998549999999996</v>
      </c>
      <c r="Q3561">
        <v>-0.13931740000000001</v>
      </c>
      <c r="R3561">
        <v>-2.280095E-2</v>
      </c>
      <c r="S3561">
        <v>3.0059200000000001</v>
      </c>
      <c r="T3561">
        <v>-0.13380059999999999</v>
      </c>
      <c r="U3561">
        <v>-0.2382813</v>
      </c>
      <c r="V3561">
        <v>2.5360379999999998E-2</v>
      </c>
      <c r="W3561">
        <v>-0.12530330000000001</v>
      </c>
      <c r="X3561">
        <v>0.99179430000000002</v>
      </c>
      <c r="Y3561">
        <v>8.1497940000000005E-2</v>
      </c>
      <c r="Z3561">
        <v>-2.466247E-3</v>
      </c>
      <c r="AA3561">
        <v>0.99667050000000001</v>
      </c>
      <c r="AB3561">
        <v>29</v>
      </c>
      <c r="AC3561">
        <v>24.935099999999998</v>
      </c>
      <c r="AD3561">
        <v>-1.1207615112200999</v>
      </c>
      <c r="AE3561">
        <v>-1.9965999999999999</v>
      </c>
      <c r="AF3561">
        <v>2.05705990438998</v>
      </c>
      <c r="AG3561">
        <v>-1.1207615112200999</v>
      </c>
      <c r="AH3561">
        <v>24.879900715741901</v>
      </c>
      <c r="AI3561">
        <v>92.570492479877501</v>
      </c>
      <c r="AJ3561">
        <v>85.273558925048206</v>
      </c>
      <c r="AK3561">
        <v>24.989939204416899</v>
      </c>
      <c r="AL3561">
        <v>97.198271307345806</v>
      </c>
      <c r="AM3561">
        <v>88.535254556788203</v>
      </c>
      <c r="AN3561">
        <v>0.99999999968856201</v>
      </c>
    </row>
    <row r="3562" spans="1:40" x14ac:dyDescent="0.25">
      <c r="A3562" t="str">
        <f>"20190303154541801"</f>
        <v>20190303154541801</v>
      </c>
      <c r="B3562" t="str">
        <f>"1551599141794648"</f>
        <v>1551599141794648</v>
      </c>
      <c r="C3562" t="s">
        <v>40</v>
      </c>
      <c r="D3562">
        <v>4.8670679999999997</v>
      </c>
      <c r="E3562">
        <v>0.52209779999999995</v>
      </c>
      <c r="F3562" t="s">
        <v>55</v>
      </c>
      <c r="G3562">
        <v>-212.55779999999999</v>
      </c>
      <c r="H3562" s="1">
        <v>-8.62408999999999E-8</v>
      </c>
      <c r="I3562">
        <v>212.571</v>
      </c>
      <c r="J3562">
        <v>-236.41669999999999</v>
      </c>
      <c r="K3562">
        <v>1.120754</v>
      </c>
      <c r="L3562">
        <v>214.49209999999999</v>
      </c>
      <c r="M3562">
        <v>0.99989669999999997</v>
      </c>
      <c r="N3562">
        <v>-1.414325E-2</v>
      </c>
      <c r="O3562">
        <v>2.5903050000000002E-3</v>
      </c>
      <c r="P3562">
        <v>0.98997800000000002</v>
      </c>
      <c r="Q3562">
        <v>-0.13938499999999901</v>
      </c>
      <c r="R3562">
        <v>-2.2712840000000002E-2</v>
      </c>
      <c r="S3562">
        <v>3.005188</v>
      </c>
      <c r="T3562">
        <v>-0.1395797</v>
      </c>
      <c r="U3562">
        <v>-0.2391663</v>
      </c>
      <c r="V3562">
        <v>2.527221E-2</v>
      </c>
      <c r="W3562">
        <v>-0.12537139999999999</v>
      </c>
      <c r="X3562">
        <v>0.991788</v>
      </c>
      <c r="Y3562">
        <v>8.1799910000000003E-2</v>
      </c>
      <c r="Z3562">
        <v>-2.5589319999999999E-3</v>
      </c>
      <c r="AA3562">
        <v>0.99664549999999996</v>
      </c>
      <c r="AB3562">
        <v>29</v>
      </c>
      <c r="AC3562">
        <v>23.858899999999998</v>
      </c>
      <c r="AD3562">
        <v>-1.12075408624089</v>
      </c>
      <c r="AE3562">
        <v>-1.92109999999999</v>
      </c>
      <c r="AF3562">
        <v>1.97856382125068</v>
      </c>
      <c r="AG3562">
        <v>-1.12075408624089</v>
      </c>
      <c r="AH3562">
        <v>23.801661234601202</v>
      </c>
      <c r="AI3562">
        <v>92.686654830831202</v>
      </c>
      <c r="AJ3562">
        <v>85.248091529900194</v>
      </c>
      <c r="AK3562">
        <v>23.910037265619302</v>
      </c>
      <c r="AL3562">
        <v>97.202203765131003</v>
      </c>
      <c r="AM3562">
        <v>88.540335537351496</v>
      </c>
      <c r="AN3562">
        <v>1.00000005474012</v>
      </c>
    </row>
    <row r="3563" spans="1:40" x14ac:dyDescent="0.25">
      <c r="A3563" t="str">
        <f>"20190303154541824"</f>
        <v>20190303154541824</v>
      </c>
      <c r="B3563" t="str">
        <f>"1551599141814168"</f>
        <v>1551599141814168</v>
      </c>
      <c r="C3563" t="s">
        <v>40</v>
      </c>
      <c r="D3563">
        <v>4.885929</v>
      </c>
      <c r="E3563">
        <v>0.52203480000000002</v>
      </c>
      <c r="F3563" t="s">
        <v>55</v>
      </c>
      <c r="G3563">
        <v>-212.99449999999999</v>
      </c>
      <c r="H3563" s="1">
        <v>1.435958E-7</v>
      </c>
      <c r="I3563">
        <v>212.62899999999999</v>
      </c>
      <c r="J3563">
        <v>-236.11199999999999</v>
      </c>
      <c r="K3563">
        <v>1.120763</v>
      </c>
      <c r="L3563">
        <v>214.49289999999999</v>
      </c>
      <c r="M3563">
        <v>0.99989660000000002</v>
      </c>
      <c r="N3563">
        <v>-1.414234E-2</v>
      </c>
      <c r="O3563">
        <v>2.5903110000000001E-3</v>
      </c>
      <c r="P3563">
        <v>0.98994119999999997</v>
      </c>
      <c r="Q3563">
        <v>-0.13970729999999901</v>
      </c>
      <c r="R3563">
        <v>-2.2322539999999998E-2</v>
      </c>
      <c r="S3563">
        <v>3.0046539999999999</v>
      </c>
      <c r="T3563">
        <v>-0.14377309999999999</v>
      </c>
      <c r="U3563">
        <v>-0.2389984</v>
      </c>
      <c r="V3563">
        <v>2.4882020000000001E-2</v>
      </c>
      <c r="W3563">
        <v>-0.1256951</v>
      </c>
      <c r="X3563">
        <v>0.99175690000000005</v>
      </c>
      <c r="Y3563">
        <v>8.1752370000000005E-2</v>
      </c>
      <c r="Z3563">
        <v>-2.61831E-3</v>
      </c>
      <c r="AA3563">
        <v>0.99664920000000001</v>
      </c>
      <c r="AB3563">
        <v>29</v>
      </c>
      <c r="AC3563">
        <v>23.1175</v>
      </c>
      <c r="AD3563">
        <v>-1.12076285640419</v>
      </c>
      <c r="AE3563">
        <v>-1.8638999999999699</v>
      </c>
      <c r="AF3563">
        <v>1.9192992262189601</v>
      </c>
      <c r="AG3563">
        <v>-1.12076285640419</v>
      </c>
      <c r="AH3563">
        <v>23.0587461457052</v>
      </c>
      <c r="AI3563">
        <v>92.773078394202301</v>
      </c>
      <c r="AJ3563">
        <v>85.241942502214897</v>
      </c>
      <c r="AK3563">
        <v>23.1656122887381</v>
      </c>
      <c r="AL3563">
        <v>97.220898248055605</v>
      </c>
      <c r="AM3563">
        <v>88.562817437370896</v>
      </c>
      <c r="AN3563">
        <v>1.00000006089044</v>
      </c>
    </row>
    <row r="3564" spans="1:40" x14ac:dyDescent="0.25">
      <c r="A3564" t="str">
        <f>"20190303154541845"</f>
        <v>20190303154541845</v>
      </c>
      <c r="B3564" t="str">
        <f>"1551599141834664"</f>
        <v>1551599141834664</v>
      </c>
      <c r="C3564" t="s">
        <v>40</v>
      </c>
      <c r="D3564">
        <v>4.9166670000000003</v>
      </c>
      <c r="E3564">
        <v>0.52197499999999997</v>
      </c>
      <c r="F3564" t="s">
        <v>55</v>
      </c>
      <c r="G3564">
        <v>-213.42740000000001</v>
      </c>
      <c r="H3564" s="1">
        <v>3.7080709999999999E-7</v>
      </c>
      <c r="I3564">
        <v>212.7013</v>
      </c>
      <c r="J3564">
        <v>-235.85120000000001</v>
      </c>
      <c r="K3564">
        <v>1.1207670000000001</v>
      </c>
      <c r="L3564">
        <v>214.49359999999999</v>
      </c>
      <c r="M3564">
        <v>0.99989680000000003</v>
      </c>
      <c r="N3564">
        <v>-1.4141310000000001E-2</v>
      </c>
      <c r="O3564">
        <v>2.590139E-3</v>
      </c>
      <c r="P3564">
        <v>0.99000140000000003</v>
      </c>
      <c r="Q3564">
        <v>-0.13942470000000001</v>
      </c>
      <c r="R3564">
        <v>-2.141084E-2</v>
      </c>
      <c r="S3564">
        <v>3.0041959999999999</v>
      </c>
      <c r="T3564">
        <v>-0.14842640000000001</v>
      </c>
      <c r="U3564">
        <v>-0.23727419999999999</v>
      </c>
      <c r="V3564">
        <v>2.3970249999999999E-2</v>
      </c>
      <c r="W3564">
        <v>-0.12541260000000001</v>
      </c>
      <c r="X3564">
        <v>0.991815</v>
      </c>
      <c r="Y3564">
        <v>8.1189449999999996E-2</v>
      </c>
      <c r="Z3564">
        <v>-2.6678769999999999E-3</v>
      </c>
      <c r="AA3564">
        <v>0.99669509999999994</v>
      </c>
      <c r="AB3564">
        <v>29</v>
      </c>
      <c r="AC3564">
        <v>22.4238</v>
      </c>
      <c r="AD3564">
        <v>-1.1207666291928999</v>
      </c>
      <c r="AE3564">
        <v>-1.79229999999998</v>
      </c>
      <c r="AF3564">
        <v>1.84579880326928</v>
      </c>
      <c r="AG3564">
        <v>-1.1207666291928999</v>
      </c>
      <c r="AH3564">
        <v>22.363569929291899</v>
      </c>
      <c r="AI3564">
        <v>92.859313145319902</v>
      </c>
      <c r="AJ3564">
        <v>85.281732114613106</v>
      </c>
      <c r="AK3564">
        <v>22.4675844505276</v>
      </c>
      <c r="AL3564">
        <v>97.204583935219603</v>
      </c>
      <c r="AM3564">
        <v>88.615541351148195</v>
      </c>
      <c r="AN3564">
        <v>0.99999994367440903</v>
      </c>
    </row>
    <row r="3565" spans="1:40" x14ac:dyDescent="0.25">
      <c r="A3565" t="str">
        <f>"20190303154541867"</f>
        <v>20190303154541867</v>
      </c>
      <c r="B3565" t="str">
        <f>"1551599141864920"</f>
        <v>1551599141864920</v>
      </c>
      <c r="C3565" t="s">
        <v>40</v>
      </c>
      <c r="D3565">
        <v>4.9061570000000003</v>
      </c>
      <c r="E3565">
        <v>0.52259489999999997</v>
      </c>
      <c r="F3565" t="s">
        <v>55</v>
      </c>
      <c r="G3565">
        <v>-213.60929999999999</v>
      </c>
      <c r="H3565" s="1">
        <v>4.6505780000000002E-7</v>
      </c>
      <c r="I3565">
        <v>212.7594</v>
      </c>
      <c r="J3565">
        <v>-235.5659</v>
      </c>
      <c r="K3565">
        <v>1.12077</v>
      </c>
      <c r="L3565">
        <v>214.49430000000001</v>
      </c>
      <c r="M3565">
        <v>0.99989680000000003</v>
      </c>
      <c r="N3565">
        <v>-1.413994E-2</v>
      </c>
      <c r="O3565">
        <v>2.5901489999999999E-3</v>
      </c>
      <c r="P3565">
        <v>0.99008490000000005</v>
      </c>
      <c r="Q3565">
        <v>-0.13895669999999999</v>
      </c>
      <c r="R3565">
        <v>-2.0574370000000002E-2</v>
      </c>
      <c r="S3565">
        <v>3.0039060000000002</v>
      </c>
      <c r="T3565">
        <v>-0.15136649999999999</v>
      </c>
      <c r="U3565">
        <v>-0.2342224</v>
      </c>
      <c r="V3565">
        <v>2.313405E-2</v>
      </c>
      <c r="W3565">
        <v>-0.12494479999999999</v>
      </c>
      <c r="X3565">
        <v>0.9918939</v>
      </c>
      <c r="Y3565">
        <v>8.0187599999999998E-2</v>
      </c>
      <c r="Z3565">
        <v>-2.6779439999999998E-3</v>
      </c>
      <c r="AA3565">
        <v>0.9967762</v>
      </c>
      <c r="AB3565">
        <v>29</v>
      </c>
      <c r="AC3565">
        <v>21.956600000000002</v>
      </c>
      <c r="AD3565">
        <v>-1.1207695349422</v>
      </c>
      <c r="AE3565">
        <v>-1.7349000000000101</v>
      </c>
      <c r="AF3565">
        <v>1.7871430922824101</v>
      </c>
      <c r="AG3565">
        <v>-1.1207695349422</v>
      </c>
      <c r="AH3565">
        <v>21.895336414125701</v>
      </c>
      <c r="AI3565">
        <v>92.920579822400498</v>
      </c>
      <c r="AJ3565">
        <v>85.333742911913703</v>
      </c>
      <c r="AK3565">
        <v>21.9967216073324</v>
      </c>
      <c r="AL3565">
        <v>97.177568437987702</v>
      </c>
      <c r="AM3565">
        <v>88.663926487987894</v>
      </c>
      <c r="AN3565">
        <v>0.99999994808682402</v>
      </c>
    </row>
    <row r="3566" spans="1:40" x14ac:dyDescent="0.25">
      <c r="A3566" t="str">
        <f>"20190303154541888"</f>
        <v>20190303154541888</v>
      </c>
      <c r="B3566" t="str">
        <f>"1551599141884441"</f>
        <v>1551599141884441</v>
      </c>
      <c r="C3566" t="s">
        <v>40</v>
      </c>
      <c r="D3566">
        <v>4.8480540000000003</v>
      </c>
      <c r="E3566">
        <v>0.52283359999999901</v>
      </c>
      <c r="F3566" t="s">
        <v>55</v>
      </c>
      <c r="G3566">
        <v>-212.7236</v>
      </c>
      <c r="H3566" s="1">
        <v>-3.491685E-9</v>
      </c>
      <c r="I3566">
        <v>212.6961</v>
      </c>
      <c r="J3566">
        <v>-235.303</v>
      </c>
      <c r="K3566">
        <v>1.1207720000000001</v>
      </c>
      <c r="L3566">
        <v>214.495</v>
      </c>
      <c r="M3566">
        <v>0.99989680000000003</v>
      </c>
      <c r="N3566">
        <v>-1.413849E-2</v>
      </c>
      <c r="O3566">
        <v>2.5901600000000002E-3</v>
      </c>
      <c r="P3566">
        <v>0.99007699999999998</v>
      </c>
      <c r="Q3566">
        <v>-0.1390911</v>
      </c>
      <c r="R3566">
        <v>-2.003922E-2</v>
      </c>
      <c r="S3566">
        <v>3.0044249999999999</v>
      </c>
      <c r="T3566">
        <v>-0.14741399999999999</v>
      </c>
      <c r="U3566">
        <v>-0.2365265</v>
      </c>
      <c r="V3566">
        <v>2.259883E-2</v>
      </c>
      <c r="W3566">
        <v>-0.12508069999999999</v>
      </c>
      <c r="X3566">
        <v>0.99188920000000003</v>
      </c>
      <c r="Y3566">
        <v>8.0938969999999999E-2</v>
      </c>
      <c r="Z3566">
        <v>-2.6452060000000002E-3</v>
      </c>
      <c r="AA3566">
        <v>0.99671549999999998</v>
      </c>
      <c r="AB3566">
        <v>29</v>
      </c>
      <c r="AC3566">
        <v>22.5794</v>
      </c>
      <c r="AD3566">
        <v>-1.1207720034916799</v>
      </c>
      <c r="AE3566">
        <v>-1.7988999999999999</v>
      </c>
      <c r="AF3566">
        <v>1.8528477648123201</v>
      </c>
      <c r="AG3566">
        <v>-1.1207720034916799</v>
      </c>
      <c r="AH3566">
        <v>22.519530124468901</v>
      </c>
      <c r="AI3566">
        <v>92.839616940724994</v>
      </c>
      <c r="AJ3566">
        <v>85.296448391243999</v>
      </c>
      <c r="AK3566">
        <v>22.623404070790102</v>
      </c>
      <c r="AL3566">
        <v>97.185415860651602</v>
      </c>
      <c r="AM3566">
        <v>88.694820341936605</v>
      </c>
      <c r="AN3566">
        <v>1.00000003685324</v>
      </c>
    </row>
    <row r="3567" spans="1:40" x14ac:dyDescent="0.25">
      <c r="A3567" t="str">
        <f>"20190303154541911"</f>
        <v>20190303154541911</v>
      </c>
      <c r="B3567" t="str">
        <f>"1551599141904936"</f>
        <v>1551599141904936</v>
      </c>
      <c r="C3567" t="s">
        <v>40</v>
      </c>
      <c r="D3567">
        <v>4.7591549999999998</v>
      </c>
      <c r="E3567">
        <v>0.52989790000000003</v>
      </c>
      <c r="F3567" t="s">
        <v>55</v>
      </c>
      <c r="G3567">
        <v>-212.59700000000001</v>
      </c>
      <c r="H3567" s="1">
        <v>-7.1251139999999999E-8</v>
      </c>
      <c r="I3567">
        <v>212.7055</v>
      </c>
      <c r="J3567">
        <v>-235.00059999999999</v>
      </c>
      <c r="K3567">
        <v>1.12077</v>
      </c>
      <c r="L3567">
        <v>214.4958</v>
      </c>
      <c r="M3567">
        <v>0.99989680000000003</v>
      </c>
      <c r="N3567">
        <v>-1.4136630000000001E-2</v>
      </c>
      <c r="O3567">
        <v>2.5903520000000002E-3</v>
      </c>
      <c r="P3567">
        <v>0.99008830000000003</v>
      </c>
      <c r="Q3567">
        <v>-0.13901529999999901</v>
      </c>
      <c r="R3567">
        <v>-2.0000529999999999E-2</v>
      </c>
      <c r="S3567">
        <v>3.0044400000000002</v>
      </c>
      <c r="T3567">
        <v>-0.14829979999999901</v>
      </c>
      <c r="U3567">
        <v>-0.23678589999999999</v>
      </c>
      <c r="V3567">
        <v>2.2560429999999999E-2</v>
      </c>
      <c r="W3567">
        <v>-0.1250066</v>
      </c>
      <c r="X3567">
        <v>0.99189939999999999</v>
      </c>
      <c r="Y3567">
        <v>8.1022800000000006E-2</v>
      </c>
      <c r="Z3567">
        <v>-2.6604440000000001E-3</v>
      </c>
      <c r="AA3567">
        <v>0.9967087</v>
      </c>
      <c r="AB3567">
        <v>29</v>
      </c>
      <c r="AC3567">
        <v>22.403599999999901</v>
      </c>
      <c r="AD3567">
        <v>-1.1207700712511399</v>
      </c>
      <c r="AE3567">
        <v>-1.7903</v>
      </c>
      <c r="AF3567">
        <v>1.84374804846277</v>
      </c>
      <c r="AG3567">
        <v>-1.1207700712511399</v>
      </c>
      <c r="AH3567">
        <v>22.343324487002601</v>
      </c>
      <c r="AI3567">
        <v>92.861912439157294</v>
      </c>
      <c r="AJ3567">
        <v>85.2826994040675</v>
      </c>
      <c r="AK3567">
        <v>22.447264455837601</v>
      </c>
      <c r="AL3567">
        <v>97.181136768792001</v>
      </c>
      <c r="AM3567">
        <v>88.697050736094198</v>
      </c>
      <c r="AN3567">
        <v>1.0000000213828499</v>
      </c>
    </row>
    <row r="3568" spans="1:40" x14ac:dyDescent="0.25">
      <c r="A3568" t="str">
        <f>"20190303154541953"</f>
        <v>20190303154541953</v>
      </c>
      <c r="B3568" t="str">
        <f>"1551599141944952"</f>
        <v>1551599141944952</v>
      </c>
      <c r="C3568" t="s">
        <v>40</v>
      </c>
      <c r="D3568">
        <v>5.0298189999999998</v>
      </c>
      <c r="E3568">
        <v>0.53058019999999995</v>
      </c>
      <c r="F3568" t="s">
        <v>42</v>
      </c>
      <c r="G3568">
        <v>-234.17080000000001</v>
      </c>
      <c r="H3568">
        <v>0.99154770000000003</v>
      </c>
      <c r="I3568">
        <v>214.41159999999999</v>
      </c>
      <c r="J3568">
        <v>-234.46600000000001</v>
      </c>
      <c r="K3568">
        <v>1.1207769999999999</v>
      </c>
      <c r="L3568">
        <v>214.49719999999999</v>
      </c>
      <c r="M3568">
        <v>0.99989680000000003</v>
      </c>
      <c r="N3568">
        <v>-1.41329E-2</v>
      </c>
      <c r="O3568">
        <v>2.5903789999999999E-3</v>
      </c>
      <c r="P3568">
        <v>0.99003390000000002</v>
      </c>
      <c r="Q3568">
        <v>-0.13924879999999901</v>
      </c>
      <c r="R3568">
        <v>-2.1042539999999998E-2</v>
      </c>
      <c r="S3568">
        <v>2.9592740000000002</v>
      </c>
      <c r="T3568">
        <v>-0.46090510000000001</v>
      </c>
      <c r="U3568">
        <v>-0.2994385</v>
      </c>
      <c r="V3568">
        <v>2.3602350000000001E-2</v>
      </c>
      <c r="W3568">
        <v>-0.12524449999999901</v>
      </c>
      <c r="X3568">
        <v>0.99184510000000004</v>
      </c>
      <c r="Y3568">
        <v>0.10189520000000001</v>
      </c>
      <c r="Z3568">
        <v>-8.9580760000000006E-3</v>
      </c>
      <c r="AA3568">
        <v>0.99475480000000005</v>
      </c>
      <c r="AB3568">
        <v>29</v>
      </c>
      <c r="AC3568">
        <v>0.29519999999996499</v>
      </c>
      <c r="AD3568">
        <v>-0.12922929999999999</v>
      </c>
      <c r="AE3568">
        <v>-8.5599999999999399E-2</v>
      </c>
      <c r="AF3568">
        <v>7.3390672102816995E-2</v>
      </c>
      <c r="AG3568">
        <v>-0.12922929999999999</v>
      </c>
      <c r="AH3568">
        <v>0.25066533663086199</v>
      </c>
      <c r="AI3568">
        <v>116.325034148136</v>
      </c>
      <c r="AJ3568">
        <v>73.680840501012</v>
      </c>
      <c r="AK3568">
        <v>0.291409529216971</v>
      </c>
      <c r="AL3568">
        <v>97.194875713787397</v>
      </c>
      <c r="AM3568">
        <v>88.636823562214502</v>
      </c>
      <c r="AN3568">
        <v>0.99999997904989102</v>
      </c>
    </row>
    <row r="3569" spans="1:40" x14ac:dyDescent="0.25">
      <c r="A3569" t="str">
        <f>"20190303154541979"</f>
        <v>20190303154541979</v>
      </c>
      <c r="B3569" t="str">
        <f>"1551599141974233"</f>
        <v>1551599141974233</v>
      </c>
      <c r="C3569" t="s">
        <v>40</v>
      </c>
      <c r="D3569">
        <v>5.0186529999999996</v>
      </c>
      <c r="E3569">
        <v>0.52785930000000003</v>
      </c>
      <c r="F3569" t="s">
        <v>42</v>
      </c>
      <c r="G3569">
        <v>-233.70590000000001</v>
      </c>
      <c r="H3569">
        <v>0.90097260000000001</v>
      </c>
      <c r="I3569">
        <v>214.4143</v>
      </c>
      <c r="J3569">
        <v>-234.15129999999999</v>
      </c>
      <c r="K3569">
        <v>1.1207739999999999</v>
      </c>
      <c r="L3569">
        <v>214.49799999999999</v>
      </c>
      <c r="M3569">
        <v>0.99989680000000003</v>
      </c>
      <c r="N3569">
        <v>-1.4130459999999999E-2</v>
      </c>
      <c r="O3569">
        <v>2.590396E-3</v>
      </c>
      <c r="P3569">
        <v>0.99000659999999896</v>
      </c>
      <c r="Q3569">
        <v>-0.139322</v>
      </c>
      <c r="R3569">
        <v>-2.1826000000000002E-2</v>
      </c>
      <c r="S3569">
        <v>2.9053040000000001</v>
      </c>
      <c r="T3569">
        <v>-0.840169099999999</v>
      </c>
      <c r="U3569">
        <v>-0.31542969999999998</v>
      </c>
      <c r="V3569">
        <v>2.4385540000000001E-2</v>
      </c>
      <c r="W3569">
        <v>-0.12532069999999901</v>
      </c>
      <c r="X3569">
        <v>0.99181660000000005</v>
      </c>
      <c r="Y3569">
        <v>0.10590579999999999</v>
      </c>
      <c r="Z3569">
        <v>-1.6426690000000001E-2</v>
      </c>
      <c r="AA3569">
        <v>0.99424049999999997</v>
      </c>
      <c r="AB3569">
        <v>28</v>
      </c>
      <c r="AC3569">
        <v>0.44539999999997798</v>
      </c>
      <c r="AD3569">
        <v>-0.21980139999999901</v>
      </c>
      <c r="AE3569">
        <v>-8.3699999999993197E-2</v>
      </c>
      <c r="AF3569">
        <v>6.8694706003325404E-2</v>
      </c>
      <c r="AG3569">
        <v>-0.21980139999999901</v>
      </c>
      <c r="AH3569">
        <v>0.36040456687991901</v>
      </c>
      <c r="AI3569">
        <v>120.925348452528</v>
      </c>
      <c r="AJ3569">
        <v>79.208612120887906</v>
      </c>
      <c r="AK3569">
        <v>0.42769506649334299</v>
      </c>
      <c r="AL3569">
        <v>97.199275809160099</v>
      </c>
      <c r="AM3569">
        <v>88.591567142520603</v>
      </c>
      <c r="AN3569">
        <v>1.0000000502225601</v>
      </c>
    </row>
    <row r="3570" spans="1:40" x14ac:dyDescent="0.25">
      <c r="A3570" t="str">
        <f>"20190303154542000"</f>
        <v>20190303154542000</v>
      </c>
      <c r="B3570" t="str">
        <f>"1551599141994728"</f>
        <v>1551599141994728</v>
      </c>
      <c r="C3570" t="s">
        <v>40</v>
      </c>
      <c r="D3570">
        <v>5.0074249999999996</v>
      </c>
      <c r="E3570">
        <v>0.52734619999999999</v>
      </c>
      <c r="F3570" t="s">
        <v>42</v>
      </c>
      <c r="G3570">
        <v>-233.44919999999999</v>
      </c>
      <c r="H3570">
        <v>0.90721499999999999</v>
      </c>
      <c r="I3570">
        <v>214.42580000000001</v>
      </c>
      <c r="J3570">
        <v>-233.86709999999999</v>
      </c>
      <c r="K3570">
        <v>1.1207750000000001</v>
      </c>
      <c r="L3570">
        <v>214.49870000000001</v>
      </c>
      <c r="M3570">
        <v>0.99989689999999998</v>
      </c>
      <c r="N3570">
        <v>-1.4128140000000001E-2</v>
      </c>
      <c r="O3570">
        <v>2.5904130000000002E-3</v>
      </c>
      <c r="P3570">
        <v>0.98984609999999995</v>
      </c>
      <c r="Q3570">
        <v>-0.1404473</v>
      </c>
      <c r="R3570">
        <v>-2.189255E-2</v>
      </c>
      <c r="S3570">
        <v>2.899597</v>
      </c>
      <c r="T3570">
        <v>-0.88194819999999996</v>
      </c>
      <c r="U3570">
        <v>-0.29777530000000002</v>
      </c>
      <c r="V3570">
        <v>2.4451879999999999E-2</v>
      </c>
      <c r="W3570">
        <v>-0.12645049999999999</v>
      </c>
      <c r="X3570">
        <v>0.99167150000000004</v>
      </c>
      <c r="Y3570">
        <v>9.9935700000000002E-2</v>
      </c>
      <c r="Z3570">
        <v>-1.6282649999999999E-2</v>
      </c>
      <c r="AA3570">
        <v>0.99486059999999998</v>
      </c>
      <c r="AB3570">
        <v>28</v>
      </c>
      <c r="AC3570">
        <v>0.41790000000000299</v>
      </c>
      <c r="AD3570">
        <v>-0.21356</v>
      </c>
      <c r="AE3570">
        <v>-7.29000000000041E-2</v>
      </c>
      <c r="AF3570">
        <v>5.9023452471393699E-2</v>
      </c>
      <c r="AG3570">
        <v>-0.21356</v>
      </c>
      <c r="AH3570">
        <v>0.33325050102290499</v>
      </c>
      <c r="AI3570">
        <v>122.252675807568</v>
      </c>
      <c r="AJ3570">
        <v>79.956252183616996</v>
      </c>
      <c r="AK3570">
        <v>0.40018437997210798</v>
      </c>
      <c r="AL3570">
        <v>97.264528088344306</v>
      </c>
      <c r="AM3570">
        <v>88.5875305436915</v>
      </c>
      <c r="AN3570">
        <v>0.99999999364901704</v>
      </c>
    </row>
    <row r="3571" spans="1:40" x14ac:dyDescent="0.25">
      <c r="A3571" t="str">
        <f>"20190303154542024"</f>
        <v>20190303154542024</v>
      </c>
      <c r="B3571" t="str">
        <f>"1551599142014249"</f>
        <v>1551599142014249</v>
      </c>
      <c r="C3571" t="s">
        <v>40</v>
      </c>
      <c r="D3571">
        <v>4.8985580000000004</v>
      </c>
      <c r="E3571">
        <v>0.52736719999999904</v>
      </c>
      <c r="F3571" t="s">
        <v>42</v>
      </c>
      <c r="G3571">
        <v>-233.1942</v>
      </c>
      <c r="H3571">
        <v>0.90999569999999996</v>
      </c>
      <c r="I3571">
        <v>214.43020000000001</v>
      </c>
      <c r="J3571">
        <v>-233.56440000000001</v>
      </c>
      <c r="K3571">
        <v>1.1207670000000001</v>
      </c>
      <c r="L3571">
        <v>214.49950000000001</v>
      </c>
      <c r="M3571">
        <v>0.99989689999999998</v>
      </c>
      <c r="N3571">
        <v>-1.412557E-2</v>
      </c>
      <c r="O3571">
        <v>2.5902519999999999E-3</v>
      </c>
      <c r="P3571">
        <v>0.98979499999999998</v>
      </c>
      <c r="Q3571">
        <v>-0.1408201</v>
      </c>
      <c r="R3571">
        <v>-2.1806470000000001E-2</v>
      </c>
      <c r="S3571">
        <v>2.8955690000000001</v>
      </c>
      <c r="T3571">
        <v>-0.90707210000000005</v>
      </c>
      <c r="U3571">
        <v>-0.29428100000000001</v>
      </c>
      <c r="V3571">
        <v>2.4365459999999999E-2</v>
      </c>
      <c r="W3571">
        <v>-0.12682639999999901</v>
      </c>
      <c r="X3571">
        <v>0.9916256</v>
      </c>
      <c r="Y3571">
        <v>9.8671200000000001E-2</v>
      </c>
      <c r="Z3571">
        <v>-1.6527719999999999E-2</v>
      </c>
      <c r="AA3571">
        <v>0.99498279999999995</v>
      </c>
      <c r="AB3571">
        <v>28</v>
      </c>
      <c r="AC3571">
        <v>0.37020000000001102</v>
      </c>
      <c r="AD3571">
        <v>-0.210771299999999</v>
      </c>
      <c r="AE3571">
        <v>-6.9299999999998294E-2</v>
      </c>
      <c r="AF3571">
        <v>5.3502835028391003E-2</v>
      </c>
      <c r="AG3571">
        <v>-0.210771299999999</v>
      </c>
      <c r="AH3571">
        <v>0.28177374678671602</v>
      </c>
      <c r="AI3571">
        <v>126.31163243478601</v>
      </c>
      <c r="AJ3571">
        <v>79.248740436036698</v>
      </c>
      <c r="AK3571">
        <v>0.35592631068521702</v>
      </c>
      <c r="AL3571">
        <v>97.286240545147905</v>
      </c>
      <c r="AM3571">
        <v>88.592455484050703</v>
      </c>
      <c r="AN3571">
        <v>0.99999997097666504</v>
      </c>
    </row>
    <row r="3572" spans="1:40" x14ac:dyDescent="0.25">
      <c r="A3572" t="str">
        <f>"20190303154542140"</f>
        <v>20190303154542140</v>
      </c>
      <c r="B3572" t="str">
        <f>"1551599142134297"</f>
        <v>1551599142134297</v>
      </c>
      <c r="C3572" t="s">
        <v>40</v>
      </c>
      <c r="D3572">
        <v>4.902317</v>
      </c>
      <c r="E3572">
        <v>0.53291319999999998</v>
      </c>
      <c r="F3572" t="s">
        <v>42</v>
      </c>
      <c r="G3572">
        <v>-231.68879999999999</v>
      </c>
      <c r="H3572">
        <v>0.8846427</v>
      </c>
      <c r="I3572">
        <v>214.42330000000001</v>
      </c>
      <c r="J3572">
        <v>-232.1097</v>
      </c>
      <c r="K3572">
        <v>1.120762</v>
      </c>
      <c r="L3572">
        <v>214.5033</v>
      </c>
      <c r="M3572">
        <v>0.99989720000000004</v>
      </c>
      <c r="N3572">
        <v>-1.411228E-2</v>
      </c>
      <c r="O3572">
        <v>2.590167E-3</v>
      </c>
      <c r="P3572">
        <v>0.98965499999999995</v>
      </c>
      <c r="Q3572">
        <v>-0.14187449999999999</v>
      </c>
      <c r="R3572">
        <v>-2.1332360000000002E-2</v>
      </c>
      <c r="S3572">
        <v>2.8938600000000001</v>
      </c>
      <c r="T3572">
        <v>-0.91467050000000005</v>
      </c>
      <c r="U3572">
        <v>-0.30543520000000002</v>
      </c>
      <c r="V3572">
        <v>2.389076E-2</v>
      </c>
      <c r="W3572">
        <v>-0.1278958</v>
      </c>
      <c r="X3572">
        <v>0.99149980000000004</v>
      </c>
      <c r="Y3572">
        <v>0.10225860000000001</v>
      </c>
      <c r="Z3572">
        <v>-1.7238170000000001E-2</v>
      </c>
      <c r="AA3572">
        <v>0.99460850000000001</v>
      </c>
      <c r="AB3572">
        <v>28</v>
      </c>
      <c r="AC3572">
        <v>0.42090000000001698</v>
      </c>
      <c r="AD3572">
        <v>-0.2361193</v>
      </c>
      <c r="AE3572">
        <v>-7.9999999999984001E-2</v>
      </c>
      <c r="AF3572">
        <v>6.2198333453205301E-2</v>
      </c>
      <c r="AG3572">
        <v>-0.2361193</v>
      </c>
      <c r="AH3572">
        <v>0.32268205425343199</v>
      </c>
      <c r="AI3572">
        <v>125.69776047462901</v>
      </c>
      <c r="AJ3572">
        <v>79.089802264660605</v>
      </c>
      <c r="AK3572">
        <v>0.404653758976808</v>
      </c>
      <c r="AL3572">
        <v>97.348015670738107</v>
      </c>
      <c r="AM3572">
        <v>88.619692212812694</v>
      </c>
      <c r="AN3572">
        <v>0.99999997873552804</v>
      </c>
    </row>
    <row r="3573" spans="1:40" x14ac:dyDescent="0.25">
      <c r="A3573" t="str">
        <f>"20190303154542167"</f>
        <v>20190303154542167</v>
      </c>
      <c r="B3573" t="str">
        <f>"1551599142164553"</f>
        <v>1551599142164553</v>
      </c>
      <c r="C3573" t="s">
        <v>40</v>
      </c>
      <c r="D3573">
        <v>4.845326</v>
      </c>
      <c r="E3573">
        <v>0.53608459999999902</v>
      </c>
      <c r="F3573" t="s">
        <v>42</v>
      </c>
      <c r="G3573">
        <v>-231.42740000000001</v>
      </c>
      <c r="H3573">
        <v>0.90798389999999995</v>
      </c>
      <c r="I3573">
        <v>214.4239</v>
      </c>
      <c r="J3573">
        <v>-231.77629999999999</v>
      </c>
      <c r="K3573">
        <v>1.120768</v>
      </c>
      <c r="L3573">
        <v>214.5042</v>
      </c>
      <c r="M3573">
        <v>0.99989720000000004</v>
      </c>
      <c r="N3573">
        <v>-1.4109129999999999E-2</v>
      </c>
      <c r="O3573">
        <v>2.59019E-3</v>
      </c>
      <c r="P3573">
        <v>0.98966339999999997</v>
      </c>
      <c r="Q3573">
        <v>-0.14189579999999999</v>
      </c>
      <c r="R3573">
        <v>-2.0788629999999999E-2</v>
      </c>
      <c r="S3573">
        <v>2.894714</v>
      </c>
      <c r="T3573">
        <v>-0.90259869999999998</v>
      </c>
      <c r="U3573">
        <v>-0.3364105</v>
      </c>
      <c r="V3573">
        <v>2.334702E-2</v>
      </c>
      <c r="W3573">
        <v>-0.12792010000000001</v>
      </c>
      <c r="X3573">
        <v>0.99150959999999999</v>
      </c>
      <c r="Y3573">
        <v>0.11238099999999999</v>
      </c>
      <c r="Z3573">
        <v>-1.8626190000000001E-2</v>
      </c>
      <c r="AA3573">
        <v>0.9934906</v>
      </c>
      <c r="AB3573">
        <v>28</v>
      </c>
      <c r="AC3573">
        <v>0.348899999999986</v>
      </c>
      <c r="AD3573">
        <v>-0.2127841</v>
      </c>
      <c r="AE3573">
        <v>-8.0299999999994001E-2</v>
      </c>
      <c r="AF3573">
        <v>6.00070924640611E-2</v>
      </c>
      <c r="AG3573">
        <v>-0.2127841</v>
      </c>
      <c r="AH3573">
        <v>0.25767254288569602</v>
      </c>
      <c r="AI3573">
        <v>128.80872297289099</v>
      </c>
      <c r="AJ3573">
        <v>76.890547594410094</v>
      </c>
      <c r="AK3573">
        <v>0.33951887092764199</v>
      </c>
      <c r="AL3573">
        <v>97.3494196193693</v>
      </c>
      <c r="AM3573">
        <v>88.651108812251493</v>
      </c>
      <c r="AN3573">
        <v>0.99999996110952405</v>
      </c>
    </row>
    <row r="3574" spans="1:40" x14ac:dyDescent="0.25">
      <c r="A3574" t="str">
        <f>"20190303154542192"</f>
        <v>20190303154542192</v>
      </c>
      <c r="B3574" t="str">
        <f>"1551599142184074"</f>
        <v>1551599142184074</v>
      </c>
      <c r="C3574" t="s">
        <v>40</v>
      </c>
      <c r="D3574">
        <v>4.7789219999999997</v>
      </c>
      <c r="E3574">
        <v>0.53807329999999998</v>
      </c>
      <c r="F3574" t="s">
        <v>42</v>
      </c>
      <c r="G3574">
        <v>-230.9426</v>
      </c>
      <c r="H3574">
        <v>0.86426389999999997</v>
      </c>
      <c r="I3574">
        <v>214.40029999999999</v>
      </c>
      <c r="J3574">
        <v>-231.4496</v>
      </c>
      <c r="K3574">
        <v>1.120773</v>
      </c>
      <c r="L3574">
        <v>214.505</v>
      </c>
      <c r="M3574">
        <v>0.99989720000000004</v>
      </c>
      <c r="N3574">
        <v>-1.4106E-2</v>
      </c>
      <c r="O3574">
        <v>2.590391E-3</v>
      </c>
      <c r="P3574">
        <v>0.98978880000000002</v>
      </c>
      <c r="Q3574">
        <v>-0.141069</v>
      </c>
      <c r="R3574">
        <v>-2.0444730000000001E-2</v>
      </c>
      <c r="S3574">
        <v>2.8960270000000001</v>
      </c>
      <c r="T3574">
        <v>-0.89094830000000003</v>
      </c>
      <c r="U3574">
        <v>-0.36022949999999998</v>
      </c>
      <c r="V3574">
        <v>2.3003719999999998E-2</v>
      </c>
      <c r="W3574">
        <v>-0.12709469999999901</v>
      </c>
      <c r="X3574">
        <v>0.99162380000000006</v>
      </c>
      <c r="Y3574">
        <v>0.1201581</v>
      </c>
      <c r="Z3574">
        <v>-1.9611509999999999E-2</v>
      </c>
      <c r="AA3574">
        <v>0.99256100000000003</v>
      </c>
      <c r="AB3574">
        <v>28</v>
      </c>
      <c r="AC3574">
        <v>0.507000000000005</v>
      </c>
      <c r="AD3574">
        <v>-0.25650909999999899</v>
      </c>
      <c r="AE3574">
        <v>-0.104700000000008</v>
      </c>
      <c r="AF3574">
        <v>8.5116856947557495E-2</v>
      </c>
      <c r="AG3574">
        <v>-0.25650909999999899</v>
      </c>
      <c r="AH3574">
        <v>0.406846054212054</v>
      </c>
      <c r="AI3574">
        <v>121.679610078057</v>
      </c>
      <c r="AJ3574">
        <v>78.183499472089096</v>
      </c>
      <c r="AK3574">
        <v>0.48843168360310002</v>
      </c>
      <c r="AL3574">
        <v>97.301738222311599</v>
      </c>
      <c r="AM3574">
        <v>88.671089060301497</v>
      </c>
      <c r="AN3574">
        <v>0.99999999731418399</v>
      </c>
    </row>
    <row r="3575" spans="1:40" x14ac:dyDescent="0.25">
      <c r="A3575" t="str">
        <f>"20190303154542291"</f>
        <v>20190303154542291</v>
      </c>
      <c r="B3575" t="str">
        <f>"1551599142284601"</f>
        <v>1551599142284601</v>
      </c>
      <c r="C3575" t="s">
        <v>40</v>
      </c>
      <c r="D3575">
        <v>4.7588790000000003</v>
      </c>
      <c r="E3575">
        <v>0.54007740000000004</v>
      </c>
      <c r="F3575" t="s">
        <v>42</v>
      </c>
      <c r="G3575">
        <v>-229.68819999999999</v>
      </c>
      <c r="H3575">
        <v>0.87324139999999995</v>
      </c>
      <c r="I3575">
        <v>214.39760000000001</v>
      </c>
      <c r="J3575">
        <v>-230.21119999999999</v>
      </c>
      <c r="K3575">
        <v>1.1207940000000001</v>
      </c>
      <c r="L3575">
        <v>214.50819999999999</v>
      </c>
      <c r="M3575">
        <v>0.99989740000000005</v>
      </c>
      <c r="N3575">
        <v>-1.409373E-2</v>
      </c>
      <c r="O3575">
        <v>2.5902999999999998E-3</v>
      </c>
      <c r="P3575">
        <v>0.9899635</v>
      </c>
      <c r="Q3575">
        <v>-0.13990999999999901</v>
      </c>
      <c r="R3575">
        <v>-1.993646E-2</v>
      </c>
      <c r="S3575">
        <v>2.898895</v>
      </c>
      <c r="T3575">
        <v>-0.87469839999999999</v>
      </c>
      <c r="U3575">
        <v>-0.38729859999999999</v>
      </c>
      <c r="V3575">
        <v>2.2496120000000001E-2</v>
      </c>
      <c r="W3575">
        <v>-0.12594559999999999</v>
      </c>
      <c r="X3575">
        <v>0.9917821</v>
      </c>
      <c r="Y3575">
        <v>0.12896579999999999</v>
      </c>
      <c r="Z3575">
        <v>-2.0613200000000002E-2</v>
      </c>
      <c r="AA3575">
        <v>0.99143479999999995</v>
      </c>
      <c r="AB3575">
        <v>28</v>
      </c>
      <c r="AC3575">
        <v>0.52299999999999602</v>
      </c>
      <c r="AD3575">
        <v>-0.24755259999999901</v>
      </c>
      <c r="AE3575">
        <v>-0.110599999999976</v>
      </c>
      <c r="AF3575">
        <v>9.2185139857669698E-2</v>
      </c>
      <c r="AG3575">
        <v>-0.24755259999999901</v>
      </c>
      <c r="AH3575">
        <v>0.43040930095837299</v>
      </c>
      <c r="AI3575">
        <v>119.353458744308</v>
      </c>
      <c r="AJ3575">
        <v>77.911024469385893</v>
      </c>
      <c r="AK3575">
        <v>0.50500748126024197</v>
      </c>
      <c r="AL3575">
        <v>97.235365879749907</v>
      </c>
      <c r="AM3575">
        <v>88.700609993839805</v>
      </c>
      <c r="AN3575">
        <v>1.0000000517274099</v>
      </c>
    </row>
    <row r="3576" spans="1:40" x14ac:dyDescent="0.25">
      <c r="A3576" t="str">
        <f>"20190303154542312"</f>
        <v>20190303154542312</v>
      </c>
      <c r="B3576" t="str">
        <f>"1551599142304121"</f>
        <v>1551599142304121</v>
      </c>
      <c r="C3576" t="s">
        <v>40</v>
      </c>
      <c r="D3576">
        <v>4.7469910000000004</v>
      </c>
      <c r="E3576">
        <v>0.5402884</v>
      </c>
      <c r="F3576" t="s">
        <v>42</v>
      </c>
      <c r="G3576">
        <v>-229.434</v>
      </c>
      <c r="H3576">
        <v>0.88557980000000003</v>
      </c>
      <c r="I3576">
        <v>214.40379999999999</v>
      </c>
      <c r="J3576">
        <v>-229.9435</v>
      </c>
      <c r="K3576">
        <v>1.1207990000000001</v>
      </c>
      <c r="L3576">
        <v>214.50890000000001</v>
      </c>
      <c r="M3576">
        <v>0.99989749999999999</v>
      </c>
      <c r="N3576">
        <v>-1.409084E-2</v>
      </c>
      <c r="O3576">
        <v>2.5903200000000001E-3</v>
      </c>
      <c r="P3576">
        <v>0.98994510000000002</v>
      </c>
      <c r="Q3576">
        <v>-0.1399571</v>
      </c>
      <c r="R3576">
        <v>-2.051847E-2</v>
      </c>
      <c r="S3576">
        <v>2.8986209999999999</v>
      </c>
      <c r="T3576">
        <v>-0.87717699999999998</v>
      </c>
      <c r="U3576">
        <v>-0.38911440000000003</v>
      </c>
      <c r="V3576">
        <v>2.3077830000000001E-2</v>
      </c>
      <c r="W3576">
        <v>-0.12599569999999999</v>
      </c>
      <c r="X3576">
        <v>0.99176229999999999</v>
      </c>
      <c r="Y3576">
        <v>0.12952900000000001</v>
      </c>
      <c r="Z3576">
        <v>-2.0754769999999999E-2</v>
      </c>
      <c r="AA3576">
        <v>0.99135839999999997</v>
      </c>
      <c r="AB3576">
        <v>28</v>
      </c>
      <c r="AC3576">
        <v>0.50949999999997397</v>
      </c>
      <c r="AD3576">
        <v>-0.23521919999999899</v>
      </c>
      <c r="AE3576">
        <v>-0.105100000000021</v>
      </c>
      <c r="AF3576">
        <v>8.8356256042918704E-2</v>
      </c>
      <c r="AG3576">
        <v>-0.23521919999999899</v>
      </c>
      <c r="AH3576">
        <v>0.42279173575994</v>
      </c>
      <c r="AI3576">
        <v>118.571948576995</v>
      </c>
      <c r="AJ3576">
        <v>78.196044726605095</v>
      </c>
      <c r="AK3576">
        <v>0.49182085341866599</v>
      </c>
      <c r="AL3576">
        <v>97.238259961795407</v>
      </c>
      <c r="AM3576">
        <v>88.666995426708397</v>
      </c>
      <c r="AN3576">
        <v>0.99999998117864397</v>
      </c>
    </row>
    <row r="3577" spans="1:40" x14ac:dyDescent="0.25">
      <c r="A3577" t="str">
        <f>"20190303154542338"</f>
        <v>20190303154542338</v>
      </c>
      <c r="B3577" t="str">
        <f>"1551599142334377"</f>
        <v>1551599142334377</v>
      </c>
      <c r="C3577" t="s">
        <v>40</v>
      </c>
      <c r="D3577">
        <v>4.5602299999999998</v>
      </c>
      <c r="E3577">
        <v>0.54060359999999996</v>
      </c>
      <c r="F3577" t="s">
        <v>42</v>
      </c>
      <c r="G3577">
        <v>-229.1831</v>
      </c>
      <c r="H3577">
        <v>0.89018920000000001</v>
      </c>
      <c r="I3577">
        <v>214.4057</v>
      </c>
      <c r="J3577">
        <v>-229.6343</v>
      </c>
      <c r="K3577">
        <v>1.1208</v>
      </c>
      <c r="L3577">
        <v>214.50970000000001</v>
      </c>
      <c r="M3577">
        <v>0.99989740000000005</v>
      </c>
      <c r="N3577">
        <v>-1.4087479999999999E-2</v>
      </c>
      <c r="O3577">
        <v>2.5903430000000002E-3</v>
      </c>
      <c r="P3577">
        <v>0.98999919999999997</v>
      </c>
      <c r="Q3577">
        <v>-0.13945560000000001</v>
      </c>
      <c r="R3577">
        <v>-2.1301879999999999E-2</v>
      </c>
      <c r="S3577">
        <v>2.8980709999999998</v>
      </c>
      <c r="T3577">
        <v>-0.87891010000000003</v>
      </c>
      <c r="U3577">
        <v>-0.39273069999999999</v>
      </c>
      <c r="V3577">
        <v>2.386158E-2</v>
      </c>
      <c r="W3577">
        <v>-0.125497</v>
      </c>
      <c r="X3577">
        <v>0.99180699999999999</v>
      </c>
      <c r="Y3577">
        <v>0.13069069999999999</v>
      </c>
      <c r="Z3577">
        <v>-2.0974280000000001E-2</v>
      </c>
      <c r="AA3577">
        <v>0.99120129999999995</v>
      </c>
      <c r="AB3577">
        <v>28</v>
      </c>
      <c r="AC3577">
        <v>0.45119999999999999</v>
      </c>
      <c r="AD3577">
        <v>-0.23061079999999901</v>
      </c>
      <c r="AE3577">
        <v>-0.104000000000013</v>
      </c>
      <c r="AF3577">
        <v>8.42662615599062E-2</v>
      </c>
      <c r="AG3577">
        <v>-0.23061079999999901</v>
      </c>
      <c r="AH3577">
        <v>0.36130681384803098</v>
      </c>
      <c r="AI3577">
        <v>121.864546721294</v>
      </c>
      <c r="AJ3577">
        <v>76.871792211127996</v>
      </c>
      <c r="AK3577">
        <v>0.43683493180712801</v>
      </c>
      <c r="AL3577">
        <v>97.209457810991296</v>
      </c>
      <c r="AM3577">
        <v>88.621804306276701</v>
      </c>
      <c r="AN3577">
        <v>0.99999999862904798</v>
      </c>
    </row>
    <row r="3578" spans="1:40" x14ac:dyDescent="0.25">
      <c r="A3578" t="str">
        <f>"20190303154542365"</f>
        <v>20190303154542365</v>
      </c>
      <c r="B3578" t="str">
        <f>"1551599142354873"</f>
        <v>1551599142354873</v>
      </c>
      <c r="C3578" t="s">
        <v>40</v>
      </c>
      <c r="D3578">
        <v>4.5561179999999997</v>
      </c>
      <c r="E3578">
        <v>0.54038560000000002</v>
      </c>
      <c r="F3578" t="s">
        <v>42</v>
      </c>
      <c r="G3578">
        <v>-228.92400000000001</v>
      </c>
      <c r="H3578">
        <v>0.91460969999999997</v>
      </c>
      <c r="I3578">
        <v>214.4126</v>
      </c>
      <c r="J3578">
        <v>-229.29669999999999</v>
      </c>
      <c r="K3578">
        <v>1.1208</v>
      </c>
      <c r="L3578">
        <v>214.51060000000001</v>
      </c>
      <c r="M3578">
        <v>0.99989749999999999</v>
      </c>
      <c r="N3578">
        <v>-1.4083770000000001E-2</v>
      </c>
      <c r="O3578">
        <v>2.5902500000000001E-3</v>
      </c>
      <c r="P3578">
        <v>0.99008010000000002</v>
      </c>
      <c r="Q3578">
        <v>-0.1388461</v>
      </c>
      <c r="R3578">
        <v>-2.1525929999999999E-2</v>
      </c>
      <c r="S3578">
        <v>2.9030459999999998</v>
      </c>
      <c r="T3578">
        <v>-0.84280129999999998</v>
      </c>
      <c r="U3578">
        <v>-0.39677430000000002</v>
      </c>
      <c r="V3578">
        <v>2.4085740000000001E-2</v>
      </c>
      <c r="W3578">
        <v>-0.1248901</v>
      </c>
      <c r="X3578">
        <v>0.99187820000000004</v>
      </c>
      <c r="Y3578">
        <v>0.1322497</v>
      </c>
      <c r="Z3578">
        <v>-2.0379970000000001E-2</v>
      </c>
      <c r="AA3578">
        <v>0.99100690000000002</v>
      </c>
      <c r="AB3578">
        <v>28</v>
      </c>
      <c r="AC3578">
        <v>0.37269999999997999</v>
      </c>
      <c r="AD3578">
        <v>-0.20619029999999999</v>
      </c>
      <c r="AE3578">
        <v>-9.8000000000013202E-2</v>
      </c>
      <c r="AF3578">
        <v>7.6939365762065295E-2</v>
      </c>
      <c r="AG3578">
        <v>-0.20619029999999999</v>
      </c>
      <c r="AH3578">
        <v>0.28955316030487299</v>
      </c>
      <c r="AI3578">
        <v>124.53639243988</v>
      </c>
      <c r="AJ3578">
        <v>75.119363132300293</v>
      </c>
      <c r="AK3578">
        <v>0.36369649223012701</v>
      </c>
      <c r="AL3578">
        <v>97.174409156614999</v>
      </c>
      <c r="AM3578">
        <v>88.608962171416906</v>
      </c>
      <c r="AN3578">
        <v>1.00000001179229</v>
      </c>
    </row>
    <row r="3579" spans="1:40" x14ac:dyDescent="0.25">
      <c r="A3579" t="str">
        <f>"20190303154542399"</f>
        <v>20190303154542399</v>
      </c>
      <c r="B3579" t="str">
        <f>"1551599142394889"</f>
        <v>1551599142394889</v>
      </c>
      <c r="C3579" t="s">
        <v>40</v>
      </c>
      <c r="D3579">
        <v>4.5815190000000001</v>
      </c>
      <c r="E3579">
        <v>0.53815930000000001</v>
      </c>
      <c r="F3579" t="s">
        <v>42</v>
      </c>
      <c r="G3579">
        <v>-228.44239999999999</v>
      </c>
      <c r="H3579">
        <v>0.87890199999999996</v>
      </c>
      <c r="I3579">
        <v>214.39429999999999</v>
      </c>
      <c r="J3579">
        <v>-228.86420000000001</v>
      </c>
      <c r="K3579">
        <v>1.120803</v>
      </c>
      <c r="L3579">
        <v>214.51169999999999</v>
      </c>
      <c r="M3579">
        <v>0.99989760000000005</v>
      </c>
      <c r="N3579">
        <v>-1.4079049999999999E-2</v>
      </c>
      <c r="O3579">
        <v>2.5904029999999998E-3</v>
      </c>
      <c r="P3579">
        <v>0.99018969999999995</v>
      </c>
      <c r="Q3579">
        <v>-0.1380286</v>
      </c>
      <c r="R3579">
        <v>-2.174036E-2</v>
      </c>
      <c r="S3579">
        <v>2.9060969999999999</v>
      </c>
      <c r="T3579">
        <v>-0.82283189999999995</v>
      </c>
      <c r="U3579">
        <v>-0.39515689999999998</v>
      </c>
      <c r="V3579">
        <v>2.430059E-2</v>
      </c>
      <c r="W3579">
        <v>-0.1240758</v>
      </c>
      <c r="X3579">
        <v>0.9919751</v>
      </c>
      <c r="Y3579">
        <v>0.1318532</v>
      </c>
      <c r="Z3579">
        <v>-1.985901E-2</v>
      </c>
      <c r="AA3579">
        <v>0.99107029999999996</v>
      </c>
      <c r="AB3579">
        <v>28</v>
      </c>
      <c r="AC3579">
        <v>0.42180000000001799</v>
      </c>
      <c r="AD3579">
        <v>-0.24190099999999901</v>
      </c>
      <c r="AE3579">
        <v>-0.117400000000003</v>
      </c>
      <c r="AF3579">
        <v>9.0781240361478499E-2</v>
      </c>
      <c r="AG3579">
        <v>-0.24190099999999901</v>
      </c>
      <c r="AH3579">
        <v>0.32292202306866802</v>
      </c>
      <c r="AI3579">
        <v>125.797098549555</v>
      </c>
      <c r="AJ3579">
        <v>74.298034450205293</v>
      </c>
      <c r="AK3579">
        <v>0.41356494095284502</v>
      </c>
      <c r="AL3579">
        <v>97.1273878203273</v>
      </c>
      <c r="AM3579">
        <v>88.596695793242205</v>
      </c>
      <c r="AN3579">
        <v>0.99999996091999799</v>
      </c>
    </row>
    <row r="3580" spans="1:40" x14ac:dyDescent="0.25">
      <c r="A3580" t="str">
        <f>"20190303154542425"</f>
        <v>20190303154542425</v>
      </c>
      <c r="B3580" t="str">
        <f>"1551599142414409"</f>
        <v>1551599142414409</v>
      </c>
      <c r="C3580" t="s">
        <v>40</v>
      </c>
      <c r="D3580">
        <v>4.5252330000000001</v>
      </c>
      <c r="E3580">
        <v>0.53688859999999905</v>
      </c>
      <c r="F3580" t="s">
        <v>54</v>
      </c>
      <c r="G3580">
        <v>-201.0829</v>
      </c>
      <c r="H3580" s="1">
        <v>3.000265E-6</v>
      </c>
      <c r="I3580">
        <v>211.1499</v>
      </c>
      <c r="J3580">
        <v>-228.55619999999999</v>
      </c>
      <c r="K3580">
        <v>1.1208020000000001</v>
      </c>
      <c r="L3580">
        <v>214.51249999999999</v>
      </c>
      <c r="M3580">
        <v>0.9998977</v>
      </c>
      <c r="N3580">
        <v>-1.407575E-2</v>
      </c>
      <c r="O3580">
        <v>2.590307E-3</v>
      </c>
      <c r="P3580">
        <v>0.99016340000000003</v>
      </c>
      <c r="Q3580">
        <v>-0.13824500000000001</v>
      </c>
      <c r="R3580">
        <v>-2.1569419999999999E-2</v>
      </c>
      <c r="S3580">
        <v>3.0048520000000001</v>
      </c>
      <c r="T3580">
        <v>-0.121227</v>
      </c>
      <c r="U3580">
        <v>-0.36361690000000002</v>
      </c>
      <c r="V3580">
        <v>2.4129310000000001E-2</v>
      </c>
      <c r="W3580">
        <v>-0.1242958</v>
      </c>
      <c r="X3580">
        <v>0.99195180000000005</v>
      </c>
      <c r="Y3580">
        <v>0.1225711</v>
      </c>
      <c r="Z3580">
        <v>-3.3965639999999999E-3</v>
      </c>
      <c r="AA3580">
        <v>0.9924539</v>
      </c>
      <c r="AB3580">
        <v>28</v>
      </c>
      <c r="AC3580">
        <v>27.473299999999899</v>
      </c>
      <c r="AD3580">
        <v>-1.1207989997350001</v>
      </c>
      <c r="AE3580">
        <v>-3.36259999999998</v>
      </c>
      <c r="AF3580">
        <v>3.4281387697530898</v>
      </c>
      <c r="AG3580">
        <v>-1.1207989997350001</v>
      </c>
      <c r="AH3580">
        <v>27.419535762651801</v>
      </c>
      <c r="AI3580">
        <v>92.322652471231805</v>
      </c>
      <c r="AJ3580">
        <v>82.873550026066596</v>
      </c>
      <c r="AK3580">
        <v>27.655727567030901</v>
      </c>
      <c r="AL3580">
        <v>97.140090794791107</v>
      </c>
      <c r="AM3580">
        <v>88.6065501960001</v>
      </c>
      <c r="AN3580">
        <v>1.0000000215109699</v>
      </c>
    </row>
    <row r="3581" spans="1:40" x14ac:dyDescent="0.25">
      <c r="A3581" t="str">
        <f>"20190303154542450"</f>
        <v>20190303154542450</v>
      </c>
      <c r="B3581" t="str">
        <f>"1551599142444666"</f>
        <v>1551599142444666</v>
      </c>
      <c r="C3581" t="s">
        <v>40</v>
      </c>
      <c r="D3581">
        <v>4.6130019999999998</v>
      </c>
      <c r="E3581">
        <v>0.53625259999999997</v>
      </c>
      <c r="F3581" t="s">
        <v>54</v>
      </c>
      <c r="G3581">
        <v>-202.92500000000001</v>
      </c>
      <c r="H3581" s="1">
        <v>3.786574E-6</v>
      </c>
      <c r="I3581">
        <v>211.49950000000001</v>
      </c>
      <c r="J3581">
        <v>-228.2456</v>
      </c>
      <c r="K3581">
        <v>1.1208020000000001</v>
      </c>
      <c r="L3581">
        <v>214.51329999999999</v>
      </c>
      <c r="M3581">
        <v>0.99989779999999995</v>
      </c>
      <c r="N3581">
        <v>-1.407257E-2</v>
      </c>
      <c r="O3581">
        <v>2.5901510000000002E-3</v>
      </c>
      <c r="P3581">
        <v>0.9901645</v>
      </c>
      <c r="Q3581">
        <v>-0.13827600000000001</v>
      </c>
      <c r="R3581">
        <v>-2.1313180000000001E-2</v>
      </c>
      <c r="S3581">
        <v>3.0037539999999998</v>
      </c>
      <c r="T3581">
        <v>-0.13134789999999999</v>
      </c>
      <c r="U3581">
        <v>-0.35310360000000002</v>
      </c>
      <c r="V3581">
        <v>2.3873129999999999E-2</v>
      </c>
      <c r="W3581">
        <v>-0.12432989999999999</v>
      </c>
      <c r="X3581">
        <v>0.99195370000000005</v>
      </c>
      <c r="Y3581">
        <v>0.1191725</v>
      </c>
      <c r="Z3581">
        <v>-3.5138999999999999E-3</v>
      </c>
      <c r="AA3581">
        <v>0.99286739999999996</v>
      </c>
      <c r="AB3581">
        <v>28</v>
      </c>
      <c r="AC3581">
        <v>25.320599999999899</v>
      </c>
      <c r="AD3581">
        <v>-1.1207982134259999</v>
      </c>
      <c r="AE3581">
        <v>-3.0137999999999701</v>
      </c>
      <c r="AF3581">
        <v>3.07344279112406</v>
      </c>
      <c r="AG3581">
        <v>-1.1207982134259999</v>
      </c>
      <c r="AH3581">
        <v>25.2638993216685</v>
      </c>
      <c r="AI3581">
        <v>92.521616367857902</v>
      </c>
      <c r="AJ3581">
        <v>83.063848964137094</v>
      </c>
      <c r="AK3581">
        <v>25.4748277356478</v>
      </c>
      <c r="AL3581">
        <v>97.142060033119193</v>
      </c>
      <c r="AM3581">
        <v>88.621341300783499</v>
      </c>
      <c r="AN3581">
        <v>0.99999999665684802</v>
      </c>
    </row>
    <row r="3582" spans="1:40" x14ac:dyDescent="0.25">
      <c r="A3582" t="str">
        <f>"20190303154542472"</f>
        <v>20190303154542472</v>
      </c>
      <c r="B3582" t="str">
        <f>"1551599142464694"</f>
        <v>1551599142464694</v>
      </c>
      <c r="C3582" t="s">
        <v>40</v>
      </c>
      <c r="D3582">
        <v>4.6151039999999997</v>
      </c>
      <c r="E3582">
        <v>0.53572359999999997</v>
      </c>
      <c r="F3582" t="s">
        <v>54</v>
      </c>
      <c r="G3582">
        <v>-203.3623</v>
      </c>
      <c r="H3582" s="1">
        <v>3.9686049999999999E-6</v>
      </c>
      <c r="I3582">
        <v>211.63550000000001</v>
      </c>
      <c r="J3582">
        <v>-227.96979999999999</v>
      </c>
      <c r="K3582">
        <v>1.1208089999999999</v>
      </c>
      <c r="L3582">
        <v>214.51400000000001</v>
      </c>
      <c r="M3582">
        <v>0.9998977</v>
      </c>
      <c r="N3582">
        <v>-1.4069689999999999E-2</v>
      </c>
      <c r="O3582">
        <v>2.5903499999999999E-3</v>
      </c>
      <c r="P3582">
        <v>0.99013890000000004</v>
      </c>
      <c r="Q3582">
        <v>-0.13851559999999999</v>
      </c>
      <c r="R3582">
        <v>-2.0938410000000001E-2</v>
      </c>
      <c r="S3582">
        <v>3.0034179999999999</v>
      </c>
      <c r="T3582">
        <v>-0.13528009999999999</v>
      </c>
      <c r="U3582">
        <v>-0.34735110000000002</v>
      </c>
      <c r="V3582">
        <v>2.349849E-2</v>
      </c>
      <c r="W3582">
        <v>-0.124572699999999</v>
      </c>
      <c r="X3582">
        <v>0.99193220000000004</v>
      </c>
      <c r="Y3582">
        <v>0.1173035</v>
      </c>
      <c r="Z3582">
        <v>-3.5401579999999998E-3</v>
      </c>
      <c r="AA3582">
        <v>0.99308980000000002</v>
      </c>
      <c r="AB3582">
        <v>28</v>
      </c>
      <c r="AC3582">
        <v>24.607499999999899</v>
      </c>
      <c r="AD3582">
        <v>-1.120805031395</v>
      </c>
      <c r="AE3582">
        <v>-2.8784999999999998</v>
      </c>
      <c r="AF3582">
        <v>2.9362295397038198</v>
      </c>
      <c r="AG3582">
        <v>-1.120805031395</v>
      </c>
      <c r="AH3582">
        <v>24.549718092496001</v>
      </c>
      <c r="AI3582">
        <v>92.5955219127395</v>
      </c>
      <c r="AJ3582">
        <v>83.179629060535106</v>
      </c>
      <c r="AK3582">
        <v>24.750076893804899</v>
      </c>
      <c r="AL3582">
        <v>97.156080329515007</v>
      </c>
      <c r="AM3582">
        <v>88.642938975242402</v>
      </c>
      <c r="AN3582">
        <v>1.0000000130072</v>
      </c>
    </row>
    <row r="3583" spans="1:40" x14ac:dyDescent="0.25">
      <c r="A3583" t="str">
        <f>"20190303154542496"</f>
        <v>20190303154542496</v>
      </c>
      <c r="B3583" t="str">
        <f>"1551599142485190"</f>
        <v>1551599142485190</v>
      </c>
      <c r="C3583" t="s">
        <v>40</v>
      </c>
      <c r="D3583">
        <v>4.5878069999999997</v>
      </c>
      <c r="E3583">
        <v>0.53565580000000002</v>
      </c>
      <c r="F3583" t="s">
        <v>54</v>
      </c>
      <c r="G3583">
        <v>-203.45570000000001</v>
      </c>
      <c r="H3583" s="1">
        <v>4.002439E-6</v>
      </c>
      <c r="I3583">
        <v>211.72239999999999</v>
      </c>
      <c r="J3583">
        <v>-227.67080000000001</v>
      </c>
      <c r="K3583">
        <v>1.1208039999999999</v>
      </c>
      <c r="L3583">
        <v>214.51480000000001</v>
      </c>
      <c r="M3583">
        <v>0.99989779999999995</v>
      </c>
      <c r="N3583">
        <v>-1.4066499999999999E-2</v>
      </c>
      <c r="O3583">
        <v>2.590373E-3</v>
      </c>
      <c r="P3583">
        <v>0.99008750000000001</v>
      </c>
      <c r="Q3583">
        <v>-0.1388035</v>
      </c>
      <c r="R3583">
        <v>-2.1455849999999999E-2</v>
      </c>
      <c r="S3583">
        <v>3.0034179999999999</v>
      </c>
      <c r="T3583">
        <v>-0.137319</v>
      </c>
      <c r="U3583">
        <v>-0.34202579999999999</v>
      </c>
      <c r="V3583">
        <v>2.4015769999999999E-2</v>
      </c>
      <c r="W3583">
        <v>-0.12486460000000001</v>
      </c>
      <c r="X3583">
        <v>0.99188310000000002</v>
      </c>
      <c r="Y3583">
        <v>0.1155636</v>
      </c>
      <c r="Z3583">
        <v>-3.5296479999999998E-3</v>
      </c>
      <c r="AA3583">
        <v>0.9932938</v>
      </c>
      <c r="AB3583">
        <v>28</v>
      </c>
      <c r="AC3583">
        <v>24.2151</v>
      </c>
      <c r="AD3583">
        <v>-1.1207999975609999</v>
      </c>
      <c r="AE3583">
        <v>-2.79240000000001</v>
      </c>
      <c r="AF3583">
        <v>2.8490993986584701</v>
      </c>
      <c r="AG3583">
        <v>-1.1207999975609999</v>
      </c>
      <c r="AH3583">
        <v>24.156712488526701</v>
      </c>
      <c r="AI3583">
        <v>92.638189938670095</v>
      </c>
      <c r="AJ3583">
        <v>83.273475896419598</v>
      </c>
      <c r="AK3583">
        <v>24.349955200601698</v>
      </c>
      <c r="AL3583">
        <v>97.172936637648505</v>
      </c>
      <c r="AM3583">
        <v>88.613008458143099</v>
      </c>
      <c r="AN3583">
        <v>1.0000000048037301</v>
      </c>
    </row>
    <row r="3584" spans="1:40" x14ac:dyDescent="0.25">
      <c r="A3584" t="str">
        <f>"20190303154542523"</f>
        <v>20190303154542523</v>
      </c>
      <c r="B3584" t="str">
        <f>"1551599142514470"</f>
        <v>1551599142514470</v>
      </c>
      <c r="C3584" t="s">
        <v>40</v>
      </c>
      <c r="D3584">
        <v>4.5654879999999904</v>
      </c>
      <c r="E3584">
        <v>0.53583029999999998</v>
      </c>
      <c r="F3584" t="s">
        <v>54</v>
      </c>
      <c r="G3584">
        <v>-203.4151</v>
      </c>
      <c r="H3584" s="1">
        <v>3.9825429999999997E-6</v>
      </c>
      <c r="I3584">
        <v>211.7439</v>
      </c>
      <c r="J3584">
        <v>-227.35919999999999</v>
      </c>
      <c r="K3584">
        <v>1.120803</v>
      </c>
      <c r="L3584">
        <v>214.51560000000001</v>
      </c>
      <c r="M3584">
        <v>0.99989779999999995</v>
      </c>
      <c r="N3584">
        <v>-1.406319E-2</v>
      </c>
      <c r="O3584">
        <v>2.5902170000000001E-3</v>
      </c>
      <c r="P3584">
        <v>0.99012339999999999</v>
      </c>
      <c r="Q3584">
        <v>-0.13854159999999999</v>
      </c>
      <c r="R3584">
        <v>-2.1496790000000002E-2</v>
      </c>
      <c r="S3584">
        <v>3.0031590000000001</v>
      </c>
      <c r="T3584">
        <v>-0.138768899999999</v>
      </c>
      <c r="U3584">
        <v>-0.34307860000000001</v>
      </c>
      <c r="V3584">
        <v>2.405668E-2</v>
      </c>
      <c r="W3584">
        <v>-0.12460540000000001</v>
      </c>
      <c r="X3584">
        <v>0.99191470000000004</v>
      </c>
      <c r="Y3584">
        <v>0.1159134</v>
      </c>
      <c r="Z3584">
        <v>-3.569198E-3</v>
      </c>
      <c r="AA3584">
        <v>0.99325289999999999</v>
      </c>
      <c r="AB3584">
        <v>28</v>
      </c>
      <c r="AC3584">
        <v>23.944099999999899</v>
      </c>
      <c r="AD3584">
        <v>-1.1207990174569999</v>
      </c>
      <c r="AE3584">
        <v>-2.7717000000000001</v>
      </c>
      <c r="AF3584">
        <v>2.8276036575065202</v>
      </c>
      <c r="AG3584">
        <v>-1.1207990174569999</v>
      </c>
      <c r="AH3584">
        <v>23.8851972363336</v>
      </c>
      <c r="AI3584">
        <v>92.667997326621702</v>
      </c>
      <c r="AJ3584">
        <v>83.248570510595499</v>
      </c>
      <c r="AK3584">
        <v>24.0780850546724</v>
      </c>
      <c r="AL3584">
        <v>97.157968701882496</v>
      </c>
      <c r="AM3584">
        <v>88.610690937330105</v>
      </c>
      <c r="AN3584">
        <v>1.00000000081893</v>
      </c>
    </row>
    <row r="3585" spans="1:40" x14ac:dyDescent="0.25">
      <c r="A3585" t="str">
        <f>"20190303154542545"</f>
        <v>20190303154542545</v>
      </c>
      <c r="B3585" t="str">
        <f>"1551599142533990"</f>
        <v>1551599142533990</v>
      </c>
      <c r="C3585" t="s">
        <v>40</v>
      </c>
      <c r="D3585">
        <v>4.586023</v>
      </c>
      <c r="E3585">
        <v>0.53593100000000005</v>
      </c>
      <c r="F3585" t="s">
        <v>54</v>
      </c>
      <c r="G3585">
        <v>-202.63939999999999</v>
      </c>
      <c r="H3585" s="1">
        <v>3.6440019999999998E-6</v>
      </c>
      <c r="I3585">
        <v>211.6816</v>
      </c>
      <c r="J3585">
        <v>-227.077</v>
      </c>
      <c r="K3585">
        <v>1.1208049999999901</v>
      </c>
      <c r="L3585">
        <v>214.5164</v>
      </c>
      <c r="M3585">
        <v>0.99989790000000001</v>
      </c>
      <c r="N3585">
        <v>-1.406027E-2</v>
      </c>
      <c r="O3585">
        <v>2.5904169999999998E-3</v>
      </c>
      <c r="P3585">
        <v>0.99014800000000003</v>
      </c>
      <c r="Q3585">
        <v>-0.1383972</v>
      </c>
      <c r="R3585">
        <v>-2.1290880000000002E-2</v>
      </c>
      <c r="S3585">
        <v>3.003403</v>
      </c>
      <c r="T3585">
        <v>-0.1361744</v>
      </c>
      <c r="U3585">
        <v>-0.34432980000000002</v>
      </c>
      <c r="V3585">
        <v>2.385104E-2</v>
      </c>
      <c r="W3585">
        <v>-0.12446359999999999</v>
      </c>
      <c r="X3585">
        <v>0.99193750000000003</v>
      </c>
      <c r="Y3585">
        <v>0.1163177</v>
      </c>
      <c r="Z3585">
        <v>-3.5286839999999998E-3</v>
      </c>
      <c r="AA3585">
        <v>0.99320580000000003</v>
      </c>
      <c r="AB3585">
        <v>28</v>
      </c>
      <c r="AC3585">
        <v>24.4376</v>
      </c>
      <c r="AD3585">
        <v>-1.1208013559979999</v>
      </c>
      <c r="AE3585">
        <v>-2.8348</v>
      </c>
      <c r="AF3585">
        <v>2.8920975930262598</v>
      </c>
      <c r="AG3585">
        <v>-1.1208013559979999</v>
      </c>
      <c r="AH3585">
        <v>24.3795727052063</v>
      </c>
      <c r="AI3585">
        <v>92.613901550521007</v>
      </c>
      <c r="AJ3585">
        <v>83.234738481391304</v>
      </c>
      <c r="AK3585">
        <v>24.576085722824899</v>
      </c>
      <c r="AL3585">
        <v>97.149780193656994</v>
      </c>
      <c r="AM3585">
        <v>88.622594006837502</v>
      </c>
      <c r="AN3585">
        <v>1.0000000318701401</v>
      </c>
    </row>
    <row r="3586" spans="1:40" x14ac:dyDescent="0.25">
      <c r="A3586" t="str">
        <f>"20190303154542569"</f>
        <v>20190303154542569</v>
      </c>
      <c r="B3586" t="str">
        <f>"1551599142564246"</f>
        <v>1551599142564246</v>
      </c>
      <c r="C3586" t="s">
        <v>40</v>
      </c>
      <c r="D3586">
        <v>4.6668699999999896</v>
      </c>
      <c r="E3586">
        <v>0.53598389999999996</v>
      </c>
      <c r="F3586" t="s">
        <v>54</v>
      </c>
      <c r="G3586">
        <v>-202.02080000000001</v>
      </c>
      <c r="H3586" s="1">
        <v>3.3730059999999999E-6</v>
      </c>
      <c r="I3586">
        <v>211.64359999999999</v>
      </c>
      <c r="J3586">
        <v>-226.79259999999999</v>
      </c>
      <c r="K3586">
        <v>1.120808</v>
      </c>
      <c r="L3586">
        <v>214.5171</v>
      </c>
      <c r="M3586">
        <v>0.99989799999999995</v>
      </c>
      <c r="N3586">
        <v>-1.405736E-2</v>
      </c>
      <c r="O3586">
        <v>2.5902590000000001E-3</v>
      </c>
      <c r="P3586">
        <v>0.9901605</v>
      </c>
      <c r="Q3586">
        <v>-0.138315299999999</v>
      </c>
      <c r="R3586">
        <v>-2.1251180000000001E-2</v>
      </c>
      <c r="S3586">
        <v>3.0036619999999998</v>
      </c>
      <c r="T3586">
        <v>-0.13435820000000001</v>
      </c>
      <c r="U3586">
        <v>-0.3443756</v>
      </c>
      <c r="V3586">
        <v>2.3811120000000002E-2</v>
      </c>
      <c r="W3586">
        <v>-0.12438440000000001</v>
      </c>
      <c r="X3586">
        <v>0.99194839999999995</v>
      </c>
      <c r="Y3586">
        <v>0.1163265</v>
      </c>
      <c r="Z3586">
        <v>-3.4919640000000002E-3</v>
      </c>
      <c r="AA3586">
        <v>0.99320489999999995</v>
      </c>
      <c r="AB3586">
        <v>27</v>
      </c>
      <c r="AC3586">
        <v>24.771799999999899</v>
      </c>
      <c r="AD3586">
        <v>-1.120804626994</v>
      </c>
      <c r="AE3586">
        <v>-2.8734999999999999</v>
      </c>
      <c r="AF3586">
        <v>2.9317401075400902</v>
      </c>
      <c r="AG3586">
        <v>-1.120804626994</v>
      </c>
      <c r="AH3586">
        <v>24.714351364077</v>
      </c>
      <c r="AI3586">
        <v>92.578550350420002</v>
      </c>
      <c r="AJ3586">
        <v>83.234902114452495</v>
      </c>
      <c r="AK3586">
        <v>24.912857451868199</v>
      </c>
      <c r="AL3586">
        <v>97.145206782690593</v>
      </c>
      <c r="AM3586">
        <v>88.624913619504198</v>
      </c>
      <c r="AN3586">
        <v>1.0000000383307801</v>
      </c>
    </row>
    <row r="3587" spans="1:40" x14ac:dyDescent="0.25">
      <c r="A3587" t="str">
        <f>"20190303154542588"</f>
        <v>20190303154542588</v>
      </c>
      <c r="B3587" t="str">
        <f>"1551599142584743"</f>
        <v>1551599142584743</v>
      </c>
      <c r="C3587" t="s">
        <v>40</v>
      </c>
      <c r="D3587">
        <v>4.697724</v>
      </c>
      <c r="E3587">
        <v>0.53558490000000003</v>
      </c>
      <c r="F3587" t="s">
        <v>54</v>
      </c>
      <c r="G3587">
        <v>-201.52199999999999</v>
      </c>
      <c r="H3587" s="1">
        <v>3.154121E-6</v>
      </c>
      <c r="I3587">
        <v>211.61709999999999</v>
      </c>
      <c r="J3587">
        <v>-226.5401</v>
      </c>
      <c r="K3587">
        <v>1.1208089999999999</v>
      </c>
      <c r="L3587">
        <v>214.51779999999999</v>
      </c>
      <c r="M3587">
        <v>0.99989799999999995</v>
      </c>
      <c r="N3587">
        <v>-1.4054769999999999E-2</v>
      </c>
      <c r="O3587">
        <v>2.5902770000000002E-3</v>
      </c>
      <c r="P3587">
        <v>0.99014020000000003</v>
      </c>
      <c r="Q3587">
        <v>-0.1385313</v>
      </c>
      <c r="R3587">
        <v>-2.078114E-2</v>
      </c>
      <c r="S3587">
        <v>3.0038149999999999</v>
      </c>
      <c r="T3587">
        <v>-0.13322529999999999</v>
      </c>
      <c r="U3587">
        <v>-0.3447113</v>
      </c>
      <c r="V3587">
        <v>2.3341049999999999E-2</v>
      </c>
      <c r="W3587">
        <v>-0.1246032</v>
      </c>
      <c r="X3587">
        <v>0.99193209999999998</v>
      </c>
      <c r="Y3587">
        <v>0.11643249999999999</v>
      </c>
      <c r="Z3587">
        <v>-3.4719500000000001E-3</v>
      </c>
      <c r="AA3587">
        <v>0.99319259999999998</v>
      </c>
      <c r="AB3587">
        <v>27</v>
      </c>
      <c r="AC3587">
        <v>25.018099999999901</v>
      </c>
      <c r="AD3587">
        <v>-1.120805845879</v>
      </c>
      <c r="AE3587">
        <v>-2.9007000000000001</v>
      </c>
      <c r="AF3587">
        <v>2.9596392013603698</v>
      </c>
      <c r="AG3587">
        <v>-1.120805845879</v>
      </c>
      <c r="AH3587">
        <v>24.961068809612598</v>
      </c>
      <c r="AI3587">
        <v>92.553116731966995</v>
      </c>
      <c r="AJ3587">
        <v>83.237998142988602</v>
      </c>
      <c r="AK3587">
        <v>25.160894778695798</v>
      </c>
      <c r="AL3587">
        <v>97.157841476021204</v>
      </c>
      <c r="AM3587">
        <v>88.652027789029802</v>
      </c>
      <c r="AN3587">
        <v>1.0000000265378699</v>
      </c>
    </row>
    <row r="3588" spans="1:40" x14ac:dyDescent="0.25">
      <c r="A3588" t="str">
        <f>"20190303154542609"</f>
        <v>20190303154542609</v>
      </c>
      <c r="B3588" t="str">
        <f>"1551599142604262"</f>
        <v>1551599142604262</v>
      </c>
      <c r="C3588" t="s">
        <v>40</v>
      </c>
      <c r="D3588">
        <v>4.7113699999999996</v>
      </c>
      <c r="E3588">
        <v>0.53495649999999995</v>
      </c>
      <c r="F3588" t="s">
        <v>54</v>
      </c>
      <c r="G3588">
        <v>-202.09350000000001</v>
      </c>
      <c r="H3588" s="1">
        <v>3.3959559999999998E-6</v>
      </c>
      <c r="I3588">
        <v>211.7499</v>
      </c>
      <c r="J3588">
        <v>-226.2989</v>
      </c>
      <c r="K3588">
        <v>1.1208089999999999</v>
      </c>
      <c r="L3588">
        <v>214.51840000000001</v>
      </c>
      <c r="M3588">
        <v>0.99989799999999995</v>
      </c>
      <c r="N3588">
        <v>-1.405227E-2</v>
      </c>
      <c r="O3588">
        <v>2.5902949999999998E-3</v>
      </c>
      <c r="P3588">
        <v>0.99007970000000001</v>
      </c>
      <c r="Q3588">
        <v>-0.1389803</v>
      </c>
      <c r="R3588">
        <v>-2.0660419999999999E-2</v>
      </c>
      <c r="S3588">
        <v>3.003479</v>
      </c>
      <c r="T3588">
        <v>-0.13770060000000001</v>
      </c>
      <c r="U3588">
        <v>-0.34005740000000001</v>
      </c>
      <c r="V3588">
        <v>2.322043E-2</v>
      </c>
      <c r="W3588">
        <v>-0.12505539999999901</v>
      </c>
      <c r="X3588">
        <v>0.99187800000000004</v>
      </c>
      <c r="Y3588">
        <v>0.1149186</v>
      </c>
      <c r="Z3588">
        <v>-3.5172290000000002E-3</v>
      </c>
      <c r="AA3588">
        <v>0.99336869999999999</v>
      </c>
      <c r="AB3588">
        <v>27</v>
      </c>
      <c r="AC3588">
        <v>24.205400000000001</v>
      </c>
      <c r="AD3588">
        <v>-1.120805604044</v>
      </c>
      <c r="AE3588">
        <v>-2.7685000000000102</v>
      </c>
      <c r="AF3588">
        <v>2.8252168185416902</v>
      </c>
      <c r="AG3588">
        <v>-1.120805604044</v>
      </c>
      <c r="AH3588">
        <v>24.147042764529498</v>
      </c>
      <c r="AI3588">
        <v>92.639545728609505</v>
      </c>
      <c r="AJ3588">
        <v>83.3267035498708</v>
      </c>
      <c r="AK3588">
        <v>24.3375785472968</v>
      </c>
      <c r="AL3588">
        <v>97.183955041617693</v>
      </c>
      <c r="AM3588">
        <v>88.658918065160506</v>
      </c>
      <c r="AN3588">
        <v>1.00000000416127</v>
      </c>
    </row>
    <row r="3589" spans="1:40" x14ac:dyDescent="0.25">
      <c r="A3589" t="str">
        <f>"20190303154542628"</f>
        <v>20190303154542628</v>
      </c>
      <c r="B3589" t="str">
        <f>"1551599142624758"</f>
        <v>1551599142624758</v>
      </c>
      <c r="C3589" t="s">
        <v>40</v>
      </c>
      <c r="D3589">
        <v>4.7114699999999896</v>
      </c>
      <c r="E3589">
        <v>0.53444499999999995</v>
      </c>
      <c r="F3589" t="s">
        <v>54</v>
      </c>
      <c r="G3589">
        <v>-203.15379999999999</v>
      </c>
      <c r="H3589" s="1">
        <v>3.849687E-6</v>
      </c>
      <c r="I3589">
        <v>211.9383</v>
      </c>
      <c r="J3589">
        <v>-226.04949999999999</v>
      </c>
      <c r="K3589">
        <v>1.120811</v>
      </c>
      <c r="L3589">
        <v>214.51910000000001</v>
      </c>
      <c r="M3589">
        <v>0.99989799999999995</v>
      </c>
      <c r="N3589">
        <v>-1.404969E-2</v>
      </c>
      <c r="O3589">
        <v>2.5904919999999998E-3</v>
      </c>
      <c r="P3589">
        <v>0.99002190000000001</v>
      </c>
      <c r="Q3589">
        <v>-0.13940329999999901</v>
      </c>
      <c r="R3589">
        <v>-2.0572099999999999E-2</v>
      </c>
      <c r="S3589">
        <v>3.0026860000000002</v>
      </c>
      <c r="T3589">
        <v>-0.14540539999999999</v>
      </c>
      <c r="U3589">
        <v>-0.33471679999999998</v>
      </c>
      <c r="V3589">
        <v>2.3132059999999999E-2</v>
      </c>
      <c r="W3589">
        <v>-0.1254818</v>
      </c>
      <c r="X3589">
        <v>0.99182619999999999</v>
      </c>
      <c r="Y3589">
        <v>0.1131897</v>
      </c>
      <c r="Z3589">
        <v>-3.6175170000000002E-3</v>
      </c>
      <c r="AA3589">
        <v>0.99356679999999997</v>
      </c>
      <c r="AB3589">
        <v>27</v>
      </c>
      <c r="AC3589">
        <v>22.895700000000001</v>
      </c>
      <c r="AD3589">
        <v>-1.1208071503129999</v>
      </c>
      <c r="AE3589">
        <v>-2.5808</v>
      </c>
      <c r="AF3589">
        <v>2.6338757654368599</v>
      </c>
      <c r="AG3589">
        <v>-1.1208071503129999</v>
      </c>
      <c r="AH3589">
        <v>22.834902625365299</v>
      </c>
      <c r="AI3589">
        <v>92.79151901454</v>
      </c>
      <c r="AJ3589">
        <v>83.420335139013801</v>
      </c>
      <c r="AK3589">
        <v>23.013610931921701</v>
      </c>
      <c r="AL3589">
        <v>97.208580019013098</v>
      </c>
      <c r="AM3589">
        <v>88.6639502191845</v>
      </c>
      <c r="AN3589">
        <v>0.99999999266876105</v>
      </c>
    </row>
    <row r="3590" spans="1:40" x14ac:dyDescent="0.25">
      <c r="A3590" t="str">
        <f>"20190303154542651"</f>
        <v>20190303154542651</v>
      </c>
      <c r="B3590" t="str">
        <f>"1551599142644278"</f>
        <v>1551599142644278</v>
      </c>
      <c r="C3590" t="s">
        <v>40</v>
      </c>
      <c r="D3590">
        <v>4.7766999999999999</v>
      </c>
      <c r="E3590">
        <v>0.53505389999999997</v>
      </c>
      <c r="F3590" t="s">
        <v>54</v>
      </c>
      <c r="G3590">
        <v>-203.90690000000001</v>
      </c>
      <c r="H3590" s="1">
        <v>4.1712760000000004E-6</v>
      </c>
      <c r="I3590">
        <v>212.08</v>
      </c>
      <c r="J3590">
        <v>-225.7878</v>
      </c>
      <c r="K3590">
        <v>1.120816</v>
      </c>
      <c r="L3590">
        <v>214.5197</v>
      </c>
      <c r="M3590">
        <v>0.99989790000000001</v>
      </c>
      <c r="N3590">
        <v>-1.4059E-2</v>
      </c>
      <c r="O3590">
        <v>2.5904259999999998E-3</v>
      </c>
      <c r="P3590">
        <v>0.98995659999999996</v>
      </c>
      <c r="Q3590">
        <v>-0.13984059999999901</v>
      </c>
      <c r="R3590">
        <v>-2.07572E-2</v>
      </c>
      <c r="S3590">
        <v>3.0019680000000002</v>
      </c>
      <c r="T3590">
        <v>-0.1519527</v>
      </c>
      <c r="U3590">
        <v>-0.3306732</v>
      </c>
      <c r="V3590">
        <v>2.3316699999999999E-2</v>
      </c>
      <c r="W3590">
        <v>-0.12591069999999999</v>
      </c>
      <c r="X3590">
        <v>0.99176750000000002</v>
      </c>
      <c r="Y3590">
        <v>0.1118816</v>
      </c>
      <c r="Z3590">
        <v>-3.7051430000000002E-3</v>
      </c>
      <c r="AA3590">
        <v>0.9937146</v>
      </c>
      <c r="AB3590">
        <v>27</v>
      </c>
      <c r="AC3590">
        <v>21.8809</v>
      </c>
      <c r="AD3590">
        <v>-1.1208118287240001</v>
      </c>
      <c r="AE3590">
        <v>-2.4396999999999802</v>
      </c>
      <c r="AF3590">
        <v>2.4899253542256199</v>
      </c>
      <c r="AG3590">
        <v>-1.1208118287240001</v>
      </c>
      <c r="AH3590">
        <v>21.817962497880501</v>
      </c>
      <c r="AI3590">
        <v>92.921827585532199</v>
      </c>
      <c r="AJ3590">
        <v>83.489416563099695</v>
      </c>
      <c r="AK3590">
        <v>21.988165793988902</v>
      </c>
      <c r="AL3590">
        <v>97.233350780274705</v>
      </c>
      <c r="AM3590">
        <v>88.6532101088426</v>
      </c>
      <c r="AN3590">
        <v>0.99999997346481395</v>
      </c>
    </row>
    <row r="3591" spans="1:40" x14ac:dyDescent="0.25">
      <c r="A3591" t="str">
        <f>"20190303154542672"</f>
        <v>20190303154542672</v>
      </c>
      <c r="B3591" t="str">
        <f>"1551599142664774"</f>
        <v>1551599142664774</v>
      </c>
      <c r="C3591" t="s">
        <v>40</v>
      </c>
      <c r="D3591">
        <v>4.6900339999999998</v>
      </c>
      <c r="E3591">
        <v>0.56855679999999997</v>
      </c>
      <c r="F3591" t="s">
        <v>54</v>
      </c>
      <c r="G3591">
        <v>-204.06190000000001</v>
      </c>
      <c r="H3591" s="1">
        <v>4.2393560000000001E-6</v>
      </c>
      <c r="I3591">
        <v>212.0873</v>
      </c>
      <c r="J3591">
        <v>-225.5189</v>
      </c>
      <c r="K3591">
        <v>1.1208389999999999</v>
      </c>
      <c r="L3591">
        <v>214.5204</v>
      </c>
      <c r="M3591">
        <v>0.99989680000000003</v>
      </c>
      <c r="N3591">
        <v>-1.4138049999999999E-2</v>
      </c>
      <c r="O3591">
        <v>2.5903419999999998E-3</v>
      </c>
      <c r="P3591">
        <v>0.98997360000000001</v>
      </c>
      <c r="Q3591">
        <v>-0.13965269999999999</v>
      </c>
      <c r="R3591">
        <v>-2.1206639999999999E-2</v>
      </c>
      <c r="S3591">
        <v>3.0015260000000001</v>
      </c>
      <c r="T3591">
        <v>-0.15484479999999901</v>
      </c>
      <c r="U3591">
        <v>-0.33604430000000002</v>
      </c>
      <c r="V3591">
        <v>2.3766140000000002E-2</v>
      </c>
      <c r="W3591">
        <v>-0.12564429999999999</v>
      </c>
      <c r="X3591">
        <v>0.99179070000000003</v>
      </c>
      <c r="Y3591">
        <v>0.11364440000000001</v>
      </c>
      <c r="Z3591">
        <v>-3.823543E-3</v>
      </c>
      <c r="AA3591">
        <v>0.99351409999999996</v>
      </c>
      <c r="AB3591">
        <v>27</v>
      </c>
      <c r="AC3591">
        <v>21.456999999999901</v>
      </c>
      <c r="AD3591">
        <v>-1.1208347606439999</v>
      </c>
      <c r="AE3591">
        <v>-2.4330999999999898</v>
      </c>
      <c r="AF3591">
        <v>2.4819918842930102</v>
      </c>
      <c r="AG3591">
        <v>-1.1208347606439999</v>
      </c>
      <c r="AH3591">
        <v>21.392992230651799</v>
      </c>
      <c r="AI3591">
        <v>92.979186287904795</v>
      </c>
      <c r="AJ3591">
        <v>83.382192381764796</v>
      </c>
      <c r="AK3591">
        <v>21.565636342456799</v>
      </c>
      <c r="AL3591">
        <v>97.217964398182104</v>
      </c>
      <c r="AM3591">
        <v>88.627292059344697</v>
      </c>
      <c r="AN3591">
        <v>1.00000005606973</v>
      </c>
    </row>
    <row r="3592" spans="1:40" x14ac:dyDescent="0.25">
      <c r="A3592" t="str">
        <f>"20190303154542695"</f>
        <v>20190303154542695</v>
      </c>
      <c r="B3592" t="str">
        <f>"1551599142684294"</f>
        <v>1551599142684294</v>
      </c>
      <c r="C3592" t="s">
        <v>40</v>
      </c>
      <c r="D3592">
        <v>4.812837</v>
      </c>
      <c r="E3592">
        <v>0.56857269999999904</v>
      </c>
      <c r="F3592" t="s">
        <v>54</v>
      </c>
      <c r="G3592">
        <v>-189.6712</v>
      </c>
      <c r="H3592" s="1">
        <v>5.1695189999999997E-6</v>
      </c>
      <c r="I3592">
        <v>207.32169999999999</v>
      </c>
      <c r="J3592">
        <v>-225.24690000000001</v>
      </c>
      <c r="K3592">
        <v>1.1208929999999999</v>
      </c>
      <c r="L3592">
        <v>214.52109999999999</v>
      </c>
      <c r="M3592">
        <v>0.9998937</v>
      </c>
      <c r="N3592">
        <v>-1.4355049999999999E-2</v>
      </c>
      <c r="O3592">
        <v>2.5901589999999999E-3</v>
      </c>
      <c r="P3592">
        <v>0.98998759999999997</v>
      </c>
      <c r="Q3592">
        <v>-0.1395537</v>
      </c>
      <c r="R3592">
        <v>-2.1205120000000001E-2</v>
      </c>
      <c r="S3592">
        <v>3.0042110000000002</v>
      </c>
      <c r="T3592">
        <v>-9.3931319999999999E-2</v>
      </c>
      <c r="U3592">
        <v>-0.60328669999999995</v>
      </c>
      <c r="V3592">
        <v>2.3764489999999999E-2</v>
      </c>
      <c r="W3592">
        <v>-0.12532969999999999</v>
      </c>
      <c r="X3592">
        <v>0.99183049999999995</v>
      </c>
      <c r="Y3592">
        <v>0.19928380000000001</v>
      </c>
      <c r="Z3592">
        <v>-4.5723689999999997E-3</v>
      </c>
      <c r="AA3592">
        <v>0.9799312</v>
      </c>
      <c r="AB3592">
        <v>27</v>
      </c>
      <c r="AC3592">
        <v>35.575699999999998</v>
      </c>
      <c r="AD3592">
        <v>-1.1208878304809999</v>
      </c>
      <c r="AE3592">
        <v>-7.19939999999999</v>
      </c>
      <c r="AF3592">
        <v>7.2845851505465502</v>
      </c>
      <c r="AG3592">
        <v>-1.1208878304809999</v>
      </c>
      <c r="AH3592">
        <v>35.523054779359903</v>
      </c>
      <c r="AI3592">
        <v>91.770481841155899</v>
      </c>
      <c r="AJ3592">
        <v>78.411222522624101</v>
      </c>
      <c r="AK3592">
        <v>36.279594694559201</v>
      </c>
      <c r="AL3592">
        <v>97.199795840607393</v>
      </c>
      <c r="AM3592">
        <v>88.627442384085796</v>
      </c>
      <c r="AN3592">
        <v>1.0000000127086499</v>
      </c>
    </row>
    <row r="3593" spans="1:40" x14ac:dyDescent="0.25">
      <c r="A3593" t="str">
        <f>"20190303154542715"</f>
        <v>20190303154542715</v>
      </c>
      <c r="B3593" t="str">
        <f>"1551599142704790"</f>
        <v>1551599142704790</v>
      </c>
      <c r="C3593" t="s">
        <v>40</v>
      </c>
      <c r="D3593">
        <v>4.7709449999999904</v>
      </c>
      <c r="E3593">
        <v>0.56877949999999999</v>
      </c>
      <c r="F3593" t="s">
        <v>54</v>
      </c>
      <c r="G3593">
        <v>-187.9639</v>
      </c>
      <c r="H3593" s="1">
        <v>4.9681599999999999E-6</v>
      </c>
      <c r="I3593">
        <v>207.03460000000001</v>
      </c>
      <c r="J3593">
        <v>-224.9958</v>
      </c>
      <c r="K3593">
        <v>1.1209709999999999</v>
      </c>
      <c r="L3593">
        <v>214.52180000000001</v>
      </c>
      <c r="M3593">
        <v>0.99988880000000002</v>
      </c>
      <c r="N3593">
        <v>-1.468757E-2</v>
      </c>
      <c r="O3593">
        <v>2.5900580000000001E-3</v>
      </c>
      <c r="P3593">
        <v>0.98989090000000002</v>
      </c>
      <c r="Q3593">
        <v>-0.14023289999999999</v>
      </c>
      <c r="R3593">
        <v>-2.1233720000000001E-2</v>
      </c>
      <c r="S3593">
        <v>3.0046840000000001</v>
      </c>
      <c r="T3593">
        <v>-9.0334059999999994E-2</v>
      </c>
      <c r="U3593">
        <v>-0.60334779999999999</v>
      </c>
      <c r="V3593">
        <v>2.3792819999999999E-2</v>
      </c>
      <c r="W3593">
        <v>-0.1256805</v>
      </c>
      <c r="X3593">
        <v>0.99178540000000004</v>
      </c>
      <c r="Y3593">
        <v>0.19928080000000001</v>
      </c>
      <c r="Z3593">
        <v>-4.4832989999999996E-3</v>
      </c>
      <c r="AA3593">
        <v>0.97993220000000003</v>
      </c>
      <c r="AB3593">
        <v>27</v>
      </c>
      <c r="AC3593">
        <v>37.0319</v>
      </c>
      <c r="AD3593">
        <v>-1.1209660318400001</v>
      </c>
      <c r="AE3593">
        <v>-7.4871999999999996</v>
      </c>
      <c r="AF3593">
        <v>7.5764304249308196</v>
      </c>
      <c r="AG3593">
        <v>-1.1209660318400001</v>
      </c>
      <c r="AH3593">
        <v>36.979827857461601</v>
      </c>
      <c r="AI3593">
        <v>91.700958665180494</v>
      </c>
      <c r="AJ3593">
        <v>78.421467237603594</v>
      </c>
      <c r="AK3593">
        <v>37.764620098656501</v>
      </c>
      <c r="AL3593">
        <v>97.220055608286899</v>
      </c>
      <c r="AM3593">
        <v>88.625744299420504</v>
      </c>
      <c r="AN3593">
        <v>0.99999998300848103</v>
      </c>
    </row>
    <row r="3594" spans="1:40" x14ac:dyDescent="0.25">
      <c r="A3594" t="str">
        <f>"20190303154542739"</f>
        <v>20190303154542739</v>
      </c>
      <c r="B3594" t="str">
        <f>"1551599142734070"</f>
        <v>1551599142734070</v>
      </c>
      <c r="C3594" t="s">
        <v>40</v>
      </c>
      <c r="D3594">
        <v>4.816446</v>
      </c>
      <c r="E3594">
        <v>0.56947269999999905</v>
      </c>
      <c r="F3594" t="s">
        <v>54</v>
      </c>
      <c r="G3594">
        <v>-189.18950000000001</v>
      </c>
      <c r="H3594" s="1">
        <v>5.0880780000000003E-6</v>
      </c>
      <c r="I3594">
        <v>207.31039999999999</v>
      </c>
      <c r="J3594">
        <v>-224.7046</v>
      </c>
      <c r="K3594">
        <v>1.1210800000000001</v>
      </c>
      <c r="L3594">
        <v>214.52250000000001</v>
      </c>
      <c r="M3594">
        <v>0.99988100000000002</v>
      </c>
      <c r="N3594">
        <v>-1.5205099999999999E-2</v>
      </c>
      <c r="O3594">
        <v>2.5895689999999999E-3</v>
      </c>
      <c r="P3594">
        <v>0.98968009999999995</v>
      </c>
      <c r="Q3594">
        <v>-0.14168710000000001</v>
      </c>
      <c r="R3594">
        <v>-2.1403990000000001E-2</v>
      </c>
      <c r="S3594">
        <v>3.004318</v>
      </c>
      <c r="T3594">
        <v>-9.4054460000000006E-2</v>
      </c>
      <c r="U3594">
        <v>-0.60507200000000005</v>
      </c>
      <c r="V3594">
        <v>2.396204E-2</v>
      </c>
      <c r="W3594">
        <v>-0.1266244</v>
      </c>
      <c r="X3594">
        <v>0.99166129999999997</v>
      </c>
      <c r="Y3594">
        <v>0.1998328</v>
      </c>
      <c r="Z3594">
        <v>-4.6724380000000001E-3</v>
      </c>
      <c r="AA3594">
        <v>0.97981890000000005</v>
      </c>
      <c r="AB3594">
        <v>27</v>
      </c>
      <c r="AC3594">
        <v>35.515099999999897</v>
      </c>
      <c r="AD3594">
        <v>-1.12107491192199</v>
      </c>
      <c r="AE3594">
        <v>-7.2121000000000199</v>
      </c>
      <c r="AF3594">
        <v>7.2970722552045997</v>
      </c>
      <c r="AG3594">
        <v>-1.12107491192199</v>
      </c>
      <c r="AH3594">
        <v>35.462366482659398</v>
      </c>
      <c r="AI3594">
        <v>91.773559999186105</v>
      </c>
      <c r="AJ3594">
        <v>78.372571009286304</v>
      </c>
      <c r="AK3594">
        <v>36.222693287582302</v>
      </c>
      <c r="AL3594">
        <v>97.274572327227503</v>
      </c>
      <c r="AM3594">
        <v>88.615800931011606</v>
      </c>
      <c r="AN3594">
        <v>1.0000000259770001</v>
      </c>
    </row>
    <row r="3595" spans="1:40" x14ac:dyDescent="0.25">
      <c r="A3595" t="str">
        <f>"20190303154542779"</f>
        <v>20190303154542779</v>
      </c>
      <c r="B3595" t="str">
        <f>"1551599142774086"</f>
        <v>1551599142774086</v>
      </c>
      <c r="C3595" t="s">
        <v>40</v>
      </c>
      <c r="D3595">
        <v>4.932518</v>
      </c>
      <c r="E3595">
        <v>0.57034980000000002</v>
      </c>
      <c r="F3595" t="s">
        <v>54</v>
      </c>
      <c r="G3595">
        <v>-190.43530000000001</v>
      </c>
      <c r="H3595" s="1">
        <v>5.034267E-6</v>
      </c>
      <c r="I3595">
        <v>207.54849999999999</v>
      </c>
      <c r="J3595">
        <v>-224.22980000000001</v>
      </c>
      <c r="K3595">
        <v>1.1212519999999999</v>
      </c>
      <c r="L3595">
        <v>214.52379999999999</v>
      </c>
      <c r="M3595">
        <v>0.99986520000000001</v>
      </c>
      <c r="N3595">
        <v>-1.6210220000000001E-2</v>
      </c>
      <c r="O3595">
        <v>2.5890280000000002E-3</v>
      </c>
      <c r="P3595">
        <v>0.98929449999999997</v>
      </c>
      <c r="Q3595">
        <v>-0.14427390000000001</v>
      </c>
      <c r="R3595">
        <v>-2.1937979999999999E-2</v>
      </c>
      <c r="S3595">
        <v>3.0039829999999998</v>
      </c>
      <c r="T3595">
        <v>-9.8271490000000003E-2</v>
      </c>
      <c r="U3595">
        <v>-0.61132810000000004</v>
      </c>
      <c r="V3595">
        <v>2.449469E-2</v>
      </c>
      <c r="W3595">
        <v>-0.12822020000000001</v>
      </c>
      <c r="X3595">
        <v>0.99144319999999997</v>
      </c>
      <c r="Y3595">
        <v>0.2017978</v>
      </c>
      <c r="Z3595">
        <v>-4.9616629999999998E-3</v>
      </c>
      <c r="AA3595">
        <v>0.97941460000000002</v>
      </c>
      <c r="AB3595">
        <v>27</v>
      </c>
      <c r="AC3595">
        <v>33.794499999999999</v>
      </c>
      <c r="AD3595">
        <v>-1.121246965733</v>
      </c>
      <c r="AE3595">
        <v>-6.9752999999999998</v>
      </c>
      <c r="AF3595">
        <v>7.0553338296609596</v>
      </c>
      <c r="AG3595">
        <v>-1.121246965733</v>
      </c>
      <c r="AH3595">
        <v>33.740700821247003</v>
      </c>
      <c r="AI3595">
        <v>91.863046662311405</v>
      </c>
      <c r="AJ3595">
        <v>78.1893685944043</v>
      </c>
      <c r="AK3595">
        <v>34.488691220674397</v>
      </c>
      <c r="AL3595">
        <v>97.366756460641199</v>
      </c>
      <c r="AM3595">
        <v>88.584732930315695</v>
      </c>
      <c r="AN3595">
        <v>1.00000001417623</v>
      </c>
    </row>
    <row r="3596" spans="1:40" x14ac:dyDescent="0.25">
      <c r="A3596" t="str">
        <f>"20190303154542803"</f>
        <v>20190303154542803</v>
      </c>
      <c r="B3596" t="str">
        <f>"1551599142794582"</f>
        <v>1551599142794582</v>
      </c>
      <c r="C3596" t="s">
        <v>40</v>
      </c>
      <c r="D3596">
        <v>4.9145300000000001</v>
      </c>
      <c r="E3596">
        <v>0.57057389999999997</v>
      </c>
      <c r="F3596" t="s">
        <v>54</v>
      </c>
      <c r="G3596">
        <v>-193.5564</v>
      </c>
      <c r="H3596" s="1">
        <v>4.1501850000000003E-6</v>
      </c>
      <c r="I3596">
        <v>208.18389999999999</v>
      </c>
      <c r="J3596">
        <v>-223.95859999999999</v>
      </c>
      <c r="K3596">
        <v>1.1213360000000001</v>
      </c>
      <c r="L3596">
        <v>214.52449999999999</v>
      </c>
      <c r="M3596">
        <v>0.99985559999999996</v>
      </c>
      <c r="N3596">
        <v>-1.6799649999999999E-2</v>
      </c>
      <c r="O3596">
        <v>2.5883709999999999E-3</v>
      </c>
      <c r="P3596">
        <v>0.98919429999999997</v>
      </c>
      <c r="Q3596">
        <v>-0.144957</v>
      </c>
      <c r="R3596">
        <v>-2.1960609999999998E-2</v>
      </c>
      <c r="S3596">
        <v>3.0026860000000002</v>
      </c>
      <c r="T3596">
        <v>-0.1097614</v>
      </c>
      <c r="U3596">
        <v>-0.62062069999999903</v>
      </c>
      <c r="V3596">
        <v>2.451619E-2</v>
      </c>
      <c r="W3596">
        <v>-0.1283204</v>
      </c>
      <c r="X3596">
        <v>0.99142969999999997</v>
      </c>
      <c r="Y3596">
        <v>0.2047506</v>
      </c>
      <c r="Z3596">
        <v>-5.491307E-3</v>
      </c>
      <c r="AA3596">
        <v>0.97879879999999997</v>
      </c>
      <c r="AB3596">
        <v>27</v>
      </c>
      <c r="AC3596">
        <v>30.402200000000001</v>
      </c>
      <c r="AD3596">
        <v>-1.121331849815</v>
      </c>
      <c r="AE3596">
        <v>-6.3405999999999896</v>
      </c>
      <c r="AF3596">
        <v>6.4109243025596401</v>
      </c>
      <c r="AG3596">
        <v>-1.121331849815</v>
      </c>
      <c r="AH3596">
        <v>30.3461226792021</v>
      </c>
      <c r="AI3596">
        <v>92.0705372715355</v>
      </c>
      <c r="AJ3596">
        <v>78.071090591373306</v>
      </c>
      <c r="AK3596">
        <v>31.036180454297899</v>
      </c>
      <c r="AL3596">
        <v>97.372545353889606</v>
      </c>
      <c r="AM3596">
        <v>88.5834719176015</v>
      </c>
      <c r="AN3596">
        <v>1.00000000933518</v>
      </c>
    </row>
    <row r="3597" spans="1:40" x14ac:dyDescent="0.25">
      <c r="A3597" t="str">
        <f>"20190303154542830"</f>
        <v>20190303154542830</v>
      </c>
      <c r="B3597" t="str">
        <f>"1551599142824838"</f>
        <v>1551599142824838</v>
      </c>
      <c r="C3597" t="s">
        <v>40</v>
      </c>
      <c r="D3597">
        <v>4.9455920000000004</v>
      </c>
      <c r="E3597">
        <v>0.57088809999999901</v>
      </c>
      <c r="F3597" t="s">
        <v>54</v>
      </c>
      <c r="G3597">
        <v>-194.4546</v>
      </c>
      <c r="H3597" s="1">
        <v>3.9301599999999998E-6</v>
      </c>
      <c r="I3597">
        <v>208.41309999999999</v>
      </c>
      <c r="J3597">
        <v>-223.64230000000001</v>
      </c>
      <c r="K3597">
        <v>1.1214189999999999</v>
      </c>
      <c r="L3597">
        <v>214.52529999999999</v>
      </c>
      <c r="M3597">
        <v>0.99984439999999997</v>
      </c>
      <c r="N3597">
        <v>-1.7456860000000001E-2</v>
      </c>
      <c r="O3597">
        <v>2.5877209999999999E-3</v>
      </c>
      <c r="P3597">
        <v>0.98911530000000003</v>
      </c>
      <c r="Q3597">
        <v>-0.1454261</v>
      </c>
      <c r="R3597">
        <v>-2.2422279999999999E-2</v>
      </c>
      <c r="S3597">
        <v>3.002243</v>
      </c>
      <c r="T3597">
        <v>-0.1141033</v>
      </c>
      <c r="U3597">
        <v>-0.62187190000000003</v>
      </c>
      <c r="V3597">
        <v>2.4976999999999999E-2</v>
      </c>
      <c r="W3597">
        <v>-0.12813910000000001</v>
      </c>
      <c r="X3597">
        <v>0.99144160000000003</v>
      </c>
      <c r="Y3597">
        <v>0.20515359999999999</v>
      </c>
      <c r="Z3597">
        <v>-5.7193729999999998E-3</v>
      </c>
      <c r="AA3597">
        <v>0.9787131</v>
      </c>
      <c r="AB3597">
        <v>26</v>
      </c>
      <c r="AC3597">
        <v>29.1877</v>
      </c>
      <c r="AD3597">
        <v>-1.1214150698399901</v>
      </c>
      <c r="AE3597">
        <v>-6.1121999999999996</v>
      </c>
      <c r="AF3597">
        <v>6.1789826790305096</v>
      </c>
      <c r="AG3597">
        <v>-1.1214150698399901</v>
      </c>
      <c r="AH3597">
        <v>29.130588301439801</v>
      </c>
      <c r="AI3597">
        <v>92.156642240624294</v>
      </c>
      <c r="AJ3597">
        <v>78.024306142311005</v>
      </c>
      <c r="AK3597">
        <v>29.799808279494101</v>
      </c>
      <c r="AL3597">
        <v>97.362071503483804</v>
      </c>
      <c r="AM3597">
        <v>88.556875112457703</v>
      </c>
      <c r="AN3597">
        <v>0.99999996284418402</v>
      </c>
    </row>
    <row r="3598" spans="1:40" x14ac:dyDescent="0.25">
      <c r="A3598" t="str">
        <f>"20190303154542850"</f>
        <v>20190303154542850</v>
      </c>
      <c r="B3598" t="str">
        <f>"1551599142844359"</f>
        <v>1551599142844359</v>
      </c>
      <c r="C3598" t="s">
        <v>40</v>
      </c>
      <c r="D3598">
        <v>4.9782400000000004</v>
      </c>
      <c r="E3598">
        <v>0.57116820000000001</v>
      </c>
      <c r="F3598" t="s">
        <v>54</v>
      </c>
      <c r="G3598">
        <v>-195.21180000000001</v>
      </c>
      <c r="H3598" s="1">
        <v>3.7471999999999999E-6</v>
      </c>
      <c r="I3598">
        <v>208.5968</v>
      </c>
      <c r="J3598">
        <v>-223.4162</v>
      </c>
      <c r="K3598">
        <v>1.121462</v>
      </c>
      <c r="L3598">
        <v>214.52590000000001</v>
      </c>
      <c r="M3598">
        <v>0.99983659999999996</v>
      </c>
      <c r="N3598">
        <v>-1.7893969999999999E-2</v>
      </c>
      <c r="O3598">
        <v>2.5877140000000001E-3</v>
      </c>
      <c r="P3598">
        <v>0.98909990000000003</v>
      </c>
      <c r="Q3598">
        <v>-0.14549519999999999</v>
      </c>
      <c r="R3598">
        <v>-2.2635869999999999E-2</v>
      </c>
      <c r="S3598">
        <v>3.0014340000000002</v>
      </c>
      <c r="T3598">
        <v>-0.1183888</v>
      </c>
      <c r="U3598">
        <v>-0.62586980000000003</v>
      </c>
      <c r="V3598">
        <v>2.5190890000000001E-2</v>
      </c>
      <c r="W3598">
        <v>-0.1277751</v>
      </c>
      <c r="X3598">
        <v>0.99148320000000001</v>
      </c>
      <c r="Y3598">
        <v>0.20643880000000001</v>
      </c>
      <c r="Z3598">
        <v>-5.9495269999999996E-3</v>
      </c>
      <c r="AA3598">
        <v>0.97844140000000002</v>
      </c>
      <c r="AB3598">
        <v>26</v>
      </c>
      <c r="AC3598">
        <v>28.2044</v>
      </c>
      <c r="AD3598">
        <v>-1.1214582528000001</v>
      </c>
      <c r="AE3598">
        <v>-5.9291</v>
      </c>
      <c r="AF3598">
        <v>5.9930027915171697</v>
      </c>
      <c r="AG3598">
        <v>-1.1214582528000001</v>
      </c>
      <c r="AH3598">
        <v>28.146344125845498</v>
      </c>
      <c r="AI3598">
        <v>92.231701223536007</v>
      </c>
      <c r="AJ3598">
        <v>77.979916112837302</v>
      </c>
      <c r="AK3598">
        <v>28.799139548299401</v>
      </c>
      <c r="AL3598">
        <v>97.341042729685597</v>
      </c>
      <c r="AM3598">
        <v>88.544583278664007</v>
      </c>
      <c r="AN3598">
        <v>0.99999999650062099</v>
      </c>
    </row>
    <row r="3599" spans="1:40" x14ac:dyDescent="0.25">
      <c r="A3599" t="str">
        <f>"20190303154542870"</f>
        <v>20190303154542870</v>
      </c>
      <c r="B3599" t="str">
        <f>"1551599142864598"</f>
        <v>1551599142864598</v>
      </c>
      <c r="C3599" t="s">
        <v>40</v>
      </c>
      <c r="D3599">
        <v>5.0000900000000001</v>
      </c>
      <c r="E3599">
        <v>0.57147590000000004</v>
      </c>
      <c r="F3599" t="s">
        <v>54</v>
      </c>
      <c r="G3599">
        <v>-195.4007</v>
      </c>
      <c r="H3599" s="1">
        <v>3.698451E-6</v>
      </c>
      <c r="I3599">
        <v>208.65440000000001</v>
      </c>
      <c r="J3599">
        <v>-223.178</v>
      </c>
      <c r="K3599">
        <v>1.1214980000000001</v>
      </c>
      <c r="L3599">
        <v>214.5265</v>
      </c>
      <c r="M3599">
        <v>0.99982890000000002</v>
      </c>
      <c r="N3599">
        <v>-1.8317819999999999E-2</v>
      </c>
      <c r="O3599">
        <v>2.587256E-3</v>
      </c>
      <c r="P3599">
        <v>0.98909100000000005</v>
      </c>
      <c r="Q3599">
        <v>-0.14563779999999901</v>
      </c>
      <c r="R3599">
        <v>-2.2106750000000001E-2</v>
      </c>
      <c r="S3599">
        <v>3.0009920000000001</v>
      </c>
      <c r="T3599">
        <v>-0.12012979999999999</v>
      </c>
      <c r="U3599">
        <v>-0.62895199999999996</v>
      </c>
      <c r="V3599">
        <v>2.4661229999999999E-2</v>
      </c>
      <c r="W3599">
        <v>-0.12749739999999901</v>
      </c>
      <c r="X3599">
        <v>0.99153230000000003</v>
      </c>
      <c r="Y3599">
        <v>0.20742140000000001</v>
      </c>
      <c r="Z3599">
        <v>-6.0822949999999997E-3</v>
      </c>
      <c r="AA3599">
        <v>0.97823269999999996</v>
      </c>
      <c r="AB3599">
        <v>26</v>
      </c>
      <c r="AC3599">
        <v>27.7773</v>
      </c>
      <c r="AD3599">
        <v>-1.121494301549</v>
      </c>
      <c r="AE3599">
        <v>-5.8720999999999801</v>
      </c>
      <c r="AF3599">
        <v>5.9346990742931496</v>
      </c>
      <c r="AG3599">
        <v>-1.121494301549</v>
      </c>
      <c r="AH3599">
        <v>27.718760381522401</v>
      </c>
      <c r="AI3599">
        <v>92.265618193228406</v>
      </c>
      <c r="AJ3599">
        <v>77.915194501183606</v>
      </c>
      <c r="AK3599">
        <v>28.3691395650111</v>
      </c>
      <c r="AL3599">
        <v>97.325000216873704</v>
      </c>
      <c r="AM3599">
        <v>88.575242436973198</v>
      </c>
      <c r="AN3599">
        <v>1.00000003260758</v>
      </c>
    </row>
    <row r="3600" spans="1:40" x14ac:dyDescent="0.25">
      <c r="A3600" t="str">
        <f>"20190303154542892"</f>
        <v>20190303154542892</v>
      </c>
      <c r="B3600" t="str">
        <f>"1551599142884117"</f>
        <v>1551599142884117</v>
      </c>
      <c r="C3600" t="s">
        <v>40</v>
      </c>
      <c r="D3600">
        <v>4.9821080000000002</v>
      </c>
      <c r="E3600">
        <v>0.5717759</v>
      </c>
      <c r="F3600" t="s">
        <v>54</v>
      </c>
      <c r="G3600">
        <v>-195.26439999999999</v>
      </c>
      <c r="H3600" s="1">
        <v>3.7180229999999998E-6</v>
      </c>
      <c r="I3600">
        <v>208.67169999999999</v>
      </c>
      <c r="J3600">
        <v>-222.91569999999999</v>
      </c>
      <c r="K3600">
        <v>1.1215250000000001</v>
      </c>
      <c r="L3600">
        <v>214.52719999999999</v>
      </c>
      <c r="M3600">
        <v>0.99982110000000002</v>
      </c>
      <c r="N3600">
        <v>-1.8740429999999999E-2</v>
      </c>
      <c r="O3600">
        <v>2.5868390000000001E-3</v>
      </c>
      <c r="P3600">
        <v>0.98912330000000004</v>
      </c>
      <c r="Q3600">
        <v>-0.14550439999999901</v>
      </c>
      <c r="R3600">
        <v>-2.1532019999999999E-2</v>
      </c>
      <c r="S3600">
        <v>3.0012509999999999</v>
      </c>
      <c r="T3600">
        <v>-0.1205823</v>
      </c>
      <c r="U3600">
        <v>-0.62950130000000004</v>
      </c>
      <c r="V3600">
        <v>2.4086179999999999E-2</v>
      </c>
      <c r="W3600">
        <v>-0.12694420000000001</v>
      </c>
      <c r="X3600">
        <v>0.99161739999999998</v>
      </c>
      <c r="Y3600">
        <v>0.20757220000000001</v>
      </c>
      <c r="Z3600">
        <v>-6.1454150000000004E-3</v>
      </c>
      <c r="AA3600">
        <v>0.97820039999999997</v>
      </c>
      <c r="AB3600">
        <v>26</v>
      </c>
      <c r="AC3600">
        <v>27.6512999999999</v>
      </c>
      <c r="AD3600">
        <v>-1.121521281977</v>
      </c>
      <c r="AE3600">
        <v>-5.8555000000000001</v>
      </c>
      <c r="AF3600">
        <v>5.9177052068857998</v>
      </c>
      <c r="AG3600">
        <v>-1.121521281977</v>
      </c>
      <c r="AH3600">
        <v>27.5926139706879</v>
      </c>
      <c r="AI3600">
        <v>92.275850793010605</v>
      </c>
      <c r="AJ3600">
        <v>77.895312264244197</v>
      </c>
      <c r="AK3600">
        <v>28.2423333072345</v>
      </c>
      <c r="AL3600">
        <v>97.293044619104904</v>
      </c>
      <c r="AM3600">
        <v>88.608571057517807</v>
      </c>
      <c r="AN3600">
        <v>1.0000000209816899</v>
      </c>
    </row>
    <row r="3601" spans="1:40" x14ac:dyDescent="0.25">
      <c r="A3601" t="str">
        <f>"20190303154542916"</f>
        <v>20190303154542916</v>
      </c>
      <c r="B3601" t="str">
        <f>"1551599142904613"</f>
        <v>1551599142904613</v>
      </c>
      <c r="C3601" t="s">
        <v>40</v>
      </c>
      <c r="D3601">
        <v>5.0136409999999998</v>
      </c>
      <c r="E3601">
        <v>0.57210159999999999</v>
      </c>
      <c r="F3601" t="s">
        <v>54</v>
      </c>
      <c r="G3601">
        <v>-195.17910000000001</v>
      </c>
      <c r="H3601" s="1">
        <v>3.724105E-6</v>
      </c>
      <c r="I3601">
        <v>208.70590000000001</v>
      </c>
      <c r="J3601">
        <v>-222.65100000000001</v>
      </c>
      <c r="K3601">
        <v>1.1215539999999999</v>
      </c>
      <c r="L3601">
        <v>214.52780000000001</v>
      </c>
      <c r="M3601">
        <v>0.99981379999999997</v>
      </c>
      <c r="N3601">
        <v>-1.9121079999999999E-2</v>
      </c>
      <c r="O3601">
        <v>2.5864379999999999E-3</v>
      </c>
      <c r="P3601">
        <v>0.98908390000000002</v>
      </c>
      <c r="Q3601">
        <v>-0.14584949999999999</v>
      </c>
      <c r="R3601">
        <v>-2.1005349999999999E-2</v>
      </c>
      <c r="S3601">
        <v>3.0014340000000002</v>
      </c>
      <c r="T3601">
        <v>-0.121361999999999</v>
      </c>
      <c r="U3601">
        <v>-0.62992859999999995</v>
      </c>
      <c r="V3601">
        <v>2.3558840000000001E-2</v>
      </c>
      <c r="W3601">
        <v>-0.12691240000000001</v>
      </c>
      <c r="X3601">
        <v>0.99163409999999996</v>
      </c>
      <c r="Y3601">
        <v>0.20768890000000001</v>
      </c>
      <c r="Z3601">
        <v>-6.2148940000000003E-3</v>
      </c>
      <c r="AA3601">
        <v>0.97817520000000002</v>
      </c>
      <c r="AB3601">
        <v>26</v>
      </c>
      <c r="AC3601">
        <v>27.471899999999899</v>
      </c>
      <c r="AD3601">
        <v>-1.121550275895</v>
      </c>
      <c r="AE3601">
        <v>-5.8218999999999896</v>
      </c>
      <c r="AF3601">
        <v>5.8835631622581497</v>
      </c>
      <c r="AG3601">
        <v>-1.121550275895</v>
      </c>
      <c r="AH3601">
        <v>27.413021543202799</v>
      </c>
      <c r="AI3601">
        <v>92.2907291253388</v>
      </c>
      <c r="AJ3601">
        <v>77.886571280981997</v>
      </c>
      <c r="AK3601">
        <v>28.0597209650014</v>
      </c>
      <c r="AL3601">
        <v>97.291208040557706</v>
      </c>
      <c r="AM3601">
        <v>88.639046165115204</v>
      </c>
      <c r="AN3601">
        <v>0.99999998224935704</v>
      </c>
    </row>
    <row r="3602" spans="1:40" x14ac:dyDescent="0.25">
      <c r="A3602" t="str">
        <f>"20190303154542939"</f>
        <v>20190303154542939</v>
      </c>
      <c r="B3602" t="str">
        <f>"1551599142934869"</f>
        <v>1551599142934869</v>
      </c>
      <c r="C3602" t="s">
        <v>40</v>
      </c>
      <c r="D3602">
        <v>5.0421899999999997</v>
      </c>
      <c r="E3602">
        <v>0.57251819999999998</v>
      </c>
      <c r="F3602" t="s">
        <v>54</v>
      </c>
      <c r="G3602">
        <v>-195.37289999999999</v>
      </c>
      <c r="H3602" s="1">
        <v>3.6670120000000001E-6</v>
      </c>
      <c r="I3602">
        <v>208.79169999999999</v>
      </c>
      <c r="J3602">
        <v>-222.39850000000001</v>
      </c>
      <c r="K3602">
        <v>1.1215710000000001</v>
      </c>
      <c r="L3602">
        <v>214.52850000000001</v>
      </c>
      <c r="M3602">
        <v>0.99980769999999997</v>
      </c>
      <c r="N3602">
        <v>-1.9442170000000002E-2</v>
      </c>
      <c r="O3602">
        <v>2.5858299999999999E-3</v>
      </c>
      <c r="P3602">
        <v>0.98896810000000002</v>
      </c>
      <c r="Q3602">
        <v>-0.14666499999999999</v>
      </c>
      <c r="R3602">
        <v>-2.077625E-2</v>
      </c>
      <c r="S3602">
        <v>3.0014949999999998</v>
      </c>
      <c r="T3602">
        <v>-0.1234077</v>
      </c>
      <c r="U3602">
        <v>-0.63116459999999996</v>
      </c>
      <c r="V3602">
        <v>2.3329039999999999E-2</v>
      </c>
      <c r="W3602">
        <v>-0.12741160000000001</v>
      </c>
      <c r="X3602">
        <v>0.99157550000000005</v>
      </c>
      <c r="Y3602">
        <v>0.20806140000000001</v>
      </c>
      <c r="Z3602">
        <v>-6.330558E-3</v>
      </c>
      <c r="AA3602">
        <v>0.9780953</v>
      </c>
      <c r="AB3602">
        <v>26</v>
      </c>
      <c r="AC3602">
        <v>27.025600000000001</v>
      </c>
      <c r="AD3602">
        <v>-1.1215673329879901</v>
      </c>
      <c r="AE3602">
        <v>-5.7368000000000103</v>
      </c>
      <c r="AF3602">
        <v>5.79712393044138</v>
      </c>
      <c r="AG3602">
        <v>-1.1215673329879901</v>
      </c>
      <c r="AH3602">
        <v>26.9662318962101</v>
      </c>
      <c r="AI3602">
        <v>92.328509539850003</v>
      </c>
      <c r="AJ3602">
        <v>77.867370689429606</v>
      </c>
      <c r="AK3602">
        <v>27.6051122408061</v>
      </c>
      <c r="AL3602">
        <v>97.320044306619195</v>
      </c>
      <c r="AM3602">
        <v>88.652236781676507</v>
      </c>
      <c r="AN3602">
        <v>0.999999966061065</v>
      </c>
    </row>
    <row r="3603" spans="1:40" x14ac:dyDescent="0.25">
      <c r="A3603" t="str">
        <f>"20190303154542965"</f>
        <v>20190303154542965</v>
      </c>
      <c r="B3603" t="str">
        <f>"1551599142954077"</f>
        <v>1551599142954077</v>
      </c>
      <c r="C3603" t="s">
        <v>40</v>
      </c>
      <c r="D3603">
        <v>5.071021</v>
      </c>
      <c r="E3603">
        <v>0.57260849999999996</v>
      </c>
      <c r="F3603" t="s">
        <v>54</v>
      </c>
      <c r="G3603">
        <v>-196.2218</v>
      </c>
      <c r="H3603" s="1">
        <v>3.4614680000000002E-6</v>
      </c>
      <c r="I3603">
        <v>208.99930000000001</v>
      </c>
      <c r="J3603">
        <v>-222.09970000000001</v>
      </c>
      <c r="K3603">
        <v>1.121583</v>
      </c>
      <c r="L3603">
        <v>214.52930000000001</v>
      </c>
      <c r="M3603">
        <v>0.99980119999999895</v>
      </c>
      <c r="N3603">
        <v>-1.977021E-2</v>
      </c>
      <c r="O3603">
        <v>2.5858169999999998E-3</v>
      </c>
      <c r="P3603">
        <v>0.98882999999999999</v>
      </c>
      <c r="Q3603">
        <v>-0.14763709999999999</v>
      </c>
      <c r="R3603">
        <v>-2.0463140000000001E-2</v>
      </c>
      <c r="S3603">
        <v>3.001099</v>
      </c>
      <c r="T3603">
        <v>-0.12858510000000001</v>
      </c>
      <c r="U3603">
        <v>-0.63391109999999995</v>
      </c>
      <c r="V3603">
        <v>2.3015529999999999E-2</v>
      </c>
      <c r="W3603">
        <v>-0.12806090000000001</v>
      </c>
      <c r="X3603">
        <v>0.99149920000000002</v>
      </c>
      <c r="Y3603">
        <v>0.2089239</v>
      </c>
      <c r="Z3603">
        <v>-6.5732809999999899E-3</v>
      </c>
      <c r="AA3603">
        <v>0.97790980000000005</v>
      </c>
      <c r="AB3603">
        <v>25</v>
      </c>
      <c r="AC3603">
        <v>25.8779</v>
      </c>
      <c r="AD3603">
        <v>-1.121579538532</v>
      </c>
      <c r="AE3603">
        <v>-5.53</v>
      </c>
      <c r="AF3603">
        <v>5.5868736992903303</v>
      </c>
      <c r="AG3603">
        <v>-1.121579538532</v>
      </c>
      <c r="AH3603">
        <v>25.817132539125801</v>
      </c>
      <c r="AI3603">
        <v>92.431341091172101</v>
      </c>
      <c r="AJ3603">
        <v>77.789373924693507</v>
      </c>
      <c r="AK3603">
        <v>26.438521723724701</v>
      </c>
      <c r="AL3603">
        <v>97.357553580230302</v>
      </c>
      <c r="AM3603">
        <v>88.670240020945101</v>
      </c>
      <c r="AN3603">
        <v>0.99999998616531505</v>
      </c>
    </row>
    <row r="3604" spans="1:40" x14ac:dyDescent="0.25">
      <c r="A3604" t="str">
        <f>"20190303154542990"</f>
        <v>20190303154542990</v>
      </c>
      <c r="B3604" t="str">
        <f>"1551599142984332"</f>
        <v>1551599142984332</v>
      </c>
      <c r="C3604" t="s">
        <v>40</v>
      </c>
      <c r="D3604">
        <v>5.1354249999999997</v>
      </c>
      <c r="E3604">
        <v>0.53776199999999996</v>
      </c>
      <c r="F3604" t="s">
        <v>54</v>
      </c>
      <c r="G3604">
        <v>-196.77809999999999</v>
      </c>
      <c r="H3604" s="1">
        <v>3.3138770000000002E-6</v>
      </c>
      <c r="I3604">
        <v>209.184</v>
      </c>
      <c r="J3604">
        <v>-221.83420000000001</v>
      </c>
      <c r="K3604">
        <v>1.1215930000000001</v>
      </c>
      <c r="L3604">
        <v>214.53</v>
      </c>
      <c r="M3604">
        <v>0.99979629999999997</v>
      </c>
      <c r="N3604">
        <v>-2.0026459999999999E-2</v>
      </c>
      <c r="O3604">
        <v>2.5854599999999999E-3</v>
      </c>
      <c r="P3604">
        <v>0.98879729999999999</v>
      </c>
      <c r="Q3604">
        <v>-0.1478534</v>
      </c>
      <c r="R3604">
        <v>-2.0492590000000001E-2</v>
      </c>
      <c r="S3604">
        <v>3.000931</v>
      </c>
      <c r="T3604">
        <v>-0.13292109999999999</v>
      </c>
      <c r="U3604">
        <v>-0.63348389999999999</v>
      </c>
      <c r="V3604">
        <v>2.304455E-2</v>
      </c>
      <c r="W3604">
        <v>-0.12802359999999999</v>
      </c>
      <c r="X3604">
        <v>0.99150340000000003</v>
      </c>
      <c r="Y3604">
        <v>0.20878469999999999</v>
      </c>
      <c r="Z3604">
        <v>-6.7483919999999998E-3</v>
      </c>
      <c r="AA3604">
        <v>0.97793839999999999</v>
      </c>
      <c r="AB3604">
        <v>25</v>
      </c>
      <c r="AC3604">
        <v>25.056100000000001</v>
      </c>
      <c r="AD3604">
        <v>-1.1215896861229999</v>
      </c>
      <c r="AE3604">
        <v>-5.3459999999999699</v>
      </c>
      <c r="AF3604">
        <v>5.4004267655287599</v>
      </c>
      <c r="AG3604">
        <v>-1.1215896861229999</v>
      </c>
      <c r="AH3604">
        <v>24.994290174212701</v>
      </c>
      <c r="AI3604">
        <v>92.511479404312794</v>
      </c>
      <c r="AJ3604">
        <v>77.807730972930997</v>
      </c>
      <c r="AK3604">
        <v>25.595646387356599</v>
      </c>
      <c r="AL3604">
        <v>97.355398291202505</v>
      </c>
      <c r="AM3604">
        <v>88.668569583950699</v>
      </c>
      <c r="AN3604">
        <v>1.00000004282661</v>
      </c>
    </row>
    <row r="3605" spans="1:40" x14ac:dyDescent="0.25">
      <c r="A3605" t="str">
        <f>"20190303154543008"</f>
        <v>20190303154543008</v>
      </c>
      <c r="B3605" t="str">
        <f>"1551599143004828"</f>
        <v>1551599143004828</v>
      </c>
      <c r="C3605" t="s">
        <v>40</v>
      </c>
      <c r="D3605">
        <v>5.0997589999999997</v>
      </c>
      <c r="E3605">
        <v>0.53251380000000004</v>
      </c>
      <c r="F3605" t="s">
        <v>54</v>
      </c>
      <c r="G3605">
        <v>-205.60120000000001</v>
      </c>
      <c r="H3605" s="1">
        <v>4.8778089999999997E-6</v>
      </c>
      <c r="I3605">
        <v>212.5926</v>
      </c>
      <c r="J3605">
        <v>-221.6285</v>
      </c>
      <c r="K3605">
        <v>1.121607</v>
      </c>
      <c r="L3605">
        <v>214.53049999999999</v>
      </c>
      <c r="M3605">
        <v>0.99979240000000003</v>
      </c>
      <c r="N3605">
        <v>-2.0216419999999999E-2</v>
      </c>
      <c r="O3605">
        <v>2.5853880000000001E-3</v>
      </c>
      <c r="P3605">
        <v>0.98869629999999997</v>
      </c>
      <c r="Q3605">
        <v>-0.14847739999999901</v>
      </c>
      <c r="R3605">
        <v>-2.083863E-2</v>
      </c>
      <c r="S3605">
        <v>2.9956209999999999</v>
      </c>
      <c r="T3605">
        <v>-0.20697689999999999</v>
      </c>
      <c r="U3605">
        <v>-0.35751339999999998</v>
      </c>
      <c r="V3605">
        <v>2.3390279999999999E-2</v>
      </c>
      <c r="W3605">
        <v>-0.1284612</v>
      </c>
      <c r="X3605">
        <v>0.99143859999999995</v>
      </c>
      <c r="Y3605">
        <v>0.12070069999999999</v>
      </c>
      <c r="Z3605">
        <v>-5.5022789999999997E-3</v>
      </c>
      <c r="AA3605">
        <v>0.99267369999999999</v>
      </c>
      <c r="AB3605">
        <v>25</v>
      </c>
      <c r="AC3605">
        <v>16.027299999999901</v>
      </c>
      <c r="AD3605">
        <v>-1.121602122191</v>
      </c>
      <c r="AE3605">
        <v>-1.93789999999998</v>
      </c>
      <c r="AF3605">
        <v>1.9698309208620099</v>
      </c>
      <c r="AG3605">
        <v>-1.121602122191</v>
      </c>
      <c r="AH3605">
        <v>15.9452715452222</v>
      </c>
      <c r="AI3605">
        <v>93.993342703797396</v>
      </c>
      <c r="AJ3605">
        <v>82.957532906136194</v>
      </c>
      <c r="AK3605">
        <v>16.105586292592999</v>
      </c>
      <c r="AL3605">
        <v>97.380680428775193</v>
      </c>
      <c r="AM3605">
        <v>88.6485136187232</v>
      </c>
      <c r="AN3605">
        <v>0.99999994133693704</v>
      </c>
    </row>
    <row r="3606" spans="1:40" x14ac:dyDescent="0.25">
      <c r="A3606" t="str">
        <f>"20190303154543028"</f>
        <v>20190303154543028</v>
      </c>
      <c r="B3606" t="str">
        <f>"1551599143024348"</f>
        <v>1551599143024348</v>
      </c>
      <c r="C3606" t="s">
        <v>40</v>
      </c>
      <c r="D3606">
        <v>5.1213810000000004</v>
      </c>
      <c r="E3606">
        <v>0.53075309999999998</v>
      </c>
      <c r="F3606" t="s">
        <v>54</v>
      </c>
      <c r="G3606">
        <v>-205.05240000000001</v>
      </c>
      <c r="H3606" s="1">
        <v>4.6180919999999997E-6</v>
      </c>
      <c r="I3606">
        <v>212.77930000000001</v>
      </c>
      <c r="J3606">
        <v>-221.41139999999999</v>
      </c>
      <c r="K3606">
        <v>1.1216120000000001</v>
      </c>
      <c r="L3606">
        <v>214.53110000000001</v>
      </c>
      <c r="M3606">
        <v>0.99978829999999996</v>
      </c>
      <c r="N3606">
        <v>-2.0417000000000001E-2</v>
      </c>
      <c r="O3606">
        <v>2.5848310000000001E-3</v>
      </c>
      <c r="P3606">
        <v>0.98871089999999995</v>
      </c>
      <c r="Q3606">
        <v>-0.1483806</v>
      </c>
      <c r="R3606">
        <v>-2.0835119999999999E-2</v>
      </c>
      <c r="S3606">
        <v>2.9971770000000002</v>
      </c>
      <c r="T3606">
        <v>-0.20280000000000001</v>
      </c>
      <c r="U3606">
        <v>-0.316635099999999</v>
      </c>
      <c r="V3606">
        <v>2.3386359999999998E-2</v>
      </c>
      <c r="W3606">
        <v>-0.12816530000000001</v>
      </c>
      <c r="X3606">
        <v>0.9914771</v>
      </c>
      <c r="Y3606">
        <v>0.1073109</v>
      </c>
      <c r="Z3606">
        <v>-4.8382369999999996E-3</v>
      </c>
      <c r="AA3606">
        <v>0.99421380000000004</v>
      </c>
      <c r="AB3606">
        <v>25</v>
      </c>
      <c r="AC3606">
        <v>16.358999999999899</v>
      </c>
      <c r="AD3606">
        <v>-1.1216073819079999</v>
      </c>
      <c r="AE3606">
        <v>-1.7518</v>
      </c>
      <c r="AF3606">
        <v>1.78578881124227</v>
      </c>
      <c r="AG3606">
        <v>-1.1216073819079999</v>
      </c>
      <c r="AH3606">
        <v>16.278761250586498</v>
      </c>
      <c r="AI3606">
        <v>93.918021906704098</v>
      </c>
      <c r="AJ3606">
        <v>83.739655036254703</v>
      </c>
      <c r="AK3606">
        <v>16.414783356813</v>
      </c>
      <c r="AL3606">
        <v>97.363584466837096</v>
      </c>
      <c r="AM3606">
        <v>88.648792482928798</v>
      </c>
      <c r="AN3606">
        <v>1.00000005289127</v>
      </c>
    </row>
    <row r="3607" spans="1:40" x14ac:dyDescent="0.25">
      <c r="A3607" t="str">
        <f>"20190303154543050"</f>
        <v>20190303154543050</v>
      </c>
      <c r="B3607" t="str">
        <f>"1551599143044845"</f>
        <v>1551599143044845</v>
      </c>
      <c r="C3607" t="s">
        <v>40</v>
      </c>
      <c r="D3607">
        <v>5.1228379999999998</v>
      </c>
      <c r="E3607">
        <v>0.52989109999999995</v>
      </c>
      <c r="F3607" t="s">
        <v>54</v>
      </c>
      <c r="G3607">
        <v>-204.93700000000001</v>
      </c>
      <c r="H3607" s="1">
        <v>4.559202E-6</v>
      </c>
      <c r="I3607">
        <v>212.86799999999999</v>
      </c>
      <c r="J3607">
        <v>-221.15989999999999</v>
      </c>
      <c r="K3607">
        <v>1.121642</v>
      </c>
      <c r="L3607">
        <v>214.5317</v>
      </c>
      <c r="M3607">
        <v>0.99978299999999998</v>
      </c>
      <c r="N3607">
        <v>-2.0673819999999999E-2</v>
      </c>
      <c r="O3607">
        <v>2.584565E-3</v>
      </c>
      <c r="P3607">
        <v>0.98870380000000002</v>
      </c>
      <c r="Q3607">
        <v>-0.14835909999999999</v>
      </c>
      <c r="R3607">
        <v>-2.1318460000000001E-2</v>
      </c>
      <c r="S3607">
        <v>2.9972530000000002</v>
      </c>
      <c r="T3607">
        <v>-0.2040595</v>
      </c>
      <c r="U3607">
        <v>-0.30256650000000002</v>
      </c>
      <c r="V3607">
        <v>2.3869370000000001E-2</v>
      </c>
      <c r="W3607">
        <v>-0.12788920000000001</v>
      </c>
      <c r="X3607">
        <v>0.99150119999999997</v>
      </c>
      <c r="Y3607">
        <v>0.1026987</v>
      </c>
      <c r="Z3607">
        <v>-4.6711549999999998E-3</v>
      </c>
      <c r="AA3607">
        <v>0.99470159999999996</v>
      </c>
      <c r="AB3607">
        <v>25</v>
      </c>
      <c r="AC3607">
        <v>16.2228999999999</v>
      </c>
      <c r="AD3607">
        <v>-1.1216374407979901</v>
      </c>
      <c r="AE3607">
        <v>-1.6637</v>
      </c>
      <c r="AF3607">
        <v>1.69760208359089</v>
      </c>
      <c r="AG3607">
        <v>-1.1216374407979901</v>
      </c>
      <c r="AH3607">
        <v>16.1421847969835</v>
      </c>
      <c r="AI3607">
        <v>93.953070145082904</v>
      </c>
      <c r="AJ3607">
        <v>83.996524133343897</v>
      </c>
      <c r="AK3607">
        <v>16.2699125198255</v>
      </c>
      <c r="AL3607">
        <v>97.347634142098002</v>
      </c>
      <c r="AM3607">
        <v>88.620929506225707</v>
      </c>
      <c r="AN3607">
        <v>1.0000000119511301</v>
      </c>
    </row>
    <row r="3608" spans="1:40" x14ac:dyDescent="0.25">
      <c r="A3608" t="str">
        <f>"20190303154543072"</f>
        <v>20190303154543072</v>
      </c>
      <c r="B3608" t="str">
        <f>"1551599143064001"</f>
        <v>1551599143064001</v>
      </c>
      <c r="C3608" t="s">
        <v>40</v>
      </c>
      <c r="D3608">
        <v>5.1027899999999997</v>
      </c>
      <c r="E3608">
        <v>0.52905909999999901</v>
      </c>
      <c r="F3608" t="s">
        <v>54</v>
      </c>
      <c r="G3608">
        <v>-204.72139999999999</v>
      </c>
      <c r="H3608" s="1">
        <v>4.4604700000000003E-6</v>
      </c>
      <c r="I3608">
        <v>212.90360000000001</v>
      </c>
      <c r="J3608">
        <v>-220.9324</v>
      </c>
      <c r="K3608">
        <v>1.121678</v>
      </c>
      <c r="L3608">
        <v>214.53229999999999</v>
      </c>
      <c r="M3608">
        <v>0.99977760000000004</v>
      </c>
      <c r="N3608">
        <v>-2.0934089999999999E-2</v>
      </c>
      <c r="O3608">
        <v>2.5841689999999999E-3</v>
      </c>
      <c r="P3608">
        <v>0.98877749999999998</v>
      </c>
      <c r="Q3608">
        <v>-0.14785909999999999</v>
      </c>
      <c r="R3608">
        <v>-2.1373509999999998E-2</v>
      </c>
      <c r="S3608">
        <v>2.9972080000000001</v>
      </c>
      <c r="T3608">
        <v>-0.2045072</v>
      </c>
      <c r="U3608">
        <v>-0.2968597</v>
      </c>
      <c r="V3608">
        <v>2.3924379999999999E-2</v>
      </c>
      <c r="W3608">
        <v>-0.12712970000000001</v>
      </c>
      <c r="X3608">
        <v>0.99159750000000002</v>
      </c>
      <c r="Y3608">
        <v>0.100828</v>
      </c>
      <c r="Z3608">
        <v>-4.6089490000000002E-3</v>
      </c>
      <c r="AA3608">
        <v>0.99489320000000003</v>
      </c>
      <c r="AB3608">
        <v>24</v>
      </c>
      <c r="AC3608">
        <v>16.210999999999999</v>
      </c>
      <c r="AD3608">
        <v>-1.1216735395299999</v>
      </c>
      <c r="AE3608">
        <v>-1.6286999999999801</v>
      </c>
      <c r="AF3608">
        <v>1.6627149193614399</v>
      </c>
      <c r="AG3608">
        <v>-1.1216735395299999</v>
      </c>
      <c r="AH3608">
        <v>16.130283263136501</v>
      </c>
      <c r="AI3608">
        <v>93.956951660910406</v>
      </c>
      <c r="AJ3608">
        <v>84.114718205808003</v>
      </c>
      <c r="AK3608">
        <v>16.2545012406216</v>
      </c>
      <c r="AL3608">
        <v>97.303760180128705</v>
      </c>
      <c r="AM3608">
        <v>88.617886680726699</v>
      </c>
      <c r="AN3608">
        <v>0.99999996929336099</v>
      </c>
    </row>
    <row r="3609" spans="1:40" x14ac:dyDescent="0.25">
      <c r="A3609" t="str">
        <f>"20190303154543094"</f>
        <v>20190303154543094</v>
      </c>
      <c r="B3609" t="str">
        <f>"1551599143084498"</f>
        <v>1551599143084498</v>
      </c>
      <c r="C3609" t="s">
        <v>40</v>
      </c>
      <c r="D3609">
        <v>5.0973069999999998</v>
      </c>
      <c r="E3609">
        <v>0.52855929999999995</v>
      </c>
      <c r="F3609" t="s">
        <v>54</v>
      </c>
      <c r="G3609">
        <v>-204.4288</v>
      </c>
      <c r="H3609" s="1">
        <v>4.3282999999999997E-6</v>
      </c>
      <c r="I3609">
        <v>212.93109999999999</v>
      </c>
      <c r="J3609">
        <v>-220.6979</v>
      </c>
      <c r="K3609">
        <v>1.1217330000000001</v>
      </c>
      <c r="L3609">
        <v>214.53290000000001</v>
      </c>
      <c r="M3609">
        <v>0.99977139999999998</v>
      </c>
      <c r="N3609">
        <v>-2.1224949999999999E-2</v>
      </c>
      <c r="O3609">
        <v>2.5837709999999999E-3</v>
      </c>
      <c r="P3609">
        <v>0.98880829999999997</v>
      </c>
      <c r="Q3609">
        <v>-0.147622</v>
      </c>
      <c r="R3609">
        <v>-2.1584160000000002E-2</v>
      </c>
      <c r="S3609">
        <v>2.9973139999999998</v>
      </c>
      <c r="T3609">
        <v>-0.20371339999999999</v>
      </c>
      <c r="U3609">
        <v>-0.290802</v>
      </c>
      <c r="V3609">
        <v>2.4134679999999999E-2</v>
      </c>
      <c r="W3609">
        <v>-0.12660350000000001</v>
      </c>
      <c r="X3609">
        <v>0.99165979999999998</v>
      </c>
      <c r="Y3609">
        <v>9.8839389999999999E-2</v>
      </c>
      <c r="Z3609">
        <v>-4.5205330000000002E-3</v>
      </c>
      <c r="AA3609">
        <v>0.99509309999999995</v>
      </c>
      <c r="AB3609">
        <v>24</v>
      </c>
      <c r="AC3609">
        <v>16.269100000000002</v>
      </c>
      <c r="AD3609">
        <v>-1.1217286716999999</v>
      </c>
      <c r="AE3609">
        <v>-1.6018000000000201</v>
      </c>
      <c r="AF3609">
        <v>1.6361364217096801</v>
      </c>
      <c r="AG3609">
        <v>-1.1217286716999999</v>
      </c>
      <c r="AH3609">
        <v>16.188685774772299</v>
      </c>
      <c r="AI3609">
        <v>93.9437144227917</v>
      </c>
      <c r="AJ3609">
        <v>84.228903186361094</v>
      </c>
      <c r="AK3609">
        <v>16.309775127746999</v>
      </c>
      <c r="AL3609">
        <v>97.273364998498195</v>
      </c>
      <c r="AM3609">
        <v>88.605829966050393</v>
      </c>
      <c r="AN3609">
        <v>1.00000004396349</v>
      </c>
    </row>
    <row r="3610" spans="1:40" x14ac:dyDescent="0.25">
      <c r="A3610" t="str">
        <f>"20190303154543116"</f>
        <v>20190303154543116</v>
      </c>
      <c r="B3610" t="str">
        <f>"1551599143114754"</f>
        <v>1551599143114754</v>
      </c>
      <c r="C3610" t="s">
        <v>40</v>
      </c>
      <c r="D3610">
        <v>5.1082269999999896</v>
      </c>
      <c r="E3610">
        <v>0.52775590000000006</v>
      </c>
      <c r="F3610" t="s">
        <v>54</v>
      </c>
      <c r="G3610">
        <v>-204.19829999999999</v>
      </c>
      <c r="H3610" s="1">
        <v>4.2243910000000001E-6</v>
      </c>
      <c r="I3610">
        <v>212.9504</v>
      </c>
      <c r="J3610">
        <v>-220.46250000000001</v>
      </c>
      <c r="K3610">
        <v>1.1217809999999999</v>
      </c>
      <c r="L3610">
        <v>214.5335</v>
      </c>
      <c r="M3610">
        <v>0.99976489999999996</v>
      </c>
      <c r="N3610">
        <v>-2.1530939999999998E-2</v>
      </c>
      <c r="O3610">
        <v>2.5833459999999998E-3</v>
      </c>
      <c r="P3610">
        <v>0.98882029999999999</v>
      </c>
      <c r="Q3610">
        <v>-0.1475621</v>
      </c>
      <c r="R3610">
        <v>-2.1446949999999999E-2</v>
      </c>
      <c r="S3610">
        <v>2.9972530000000002</v>
      </c>
      <c r="T3610">
        <v>-0.20376830000000001</v>
      </c>
      <c r="U3610">
        <v>-0.2874603</v>
      </c>
      <c r="V3610">
        <v>2.39971E-2</v>
      </c>
      <c r="W3610">
        <v>-0.12623989999999999</v>
      </c>
      <c r="X3610">
        <v>0.99170950000000002</v>
      </c>
      <c r="Y3610">
        <v>9.7743780000000002E-2</v>
      </c>
      <c r="Z3610">
        <v>-4.4871059999999898E-3</v>
      </c>
      <c r="AA3610">
        <v>0.99520149999999996</v>
      </c>
      <c r="AB3610">
        <v>24</v>
      </c>
      <c r="AC3610">
        <v>16.264199999999999</v>
      </c>
      <c r="AD3610">
        <v>-1.121776775609</v>
      </c>
      <c r="AE3610">
        <v>-1.5831</v>
      </c>
      <c r="AF3610">
        <v>1.61749803732896</v>
      </c>
      <c r="AG3610">
        <v>-1.121776775609</v>
      </c>
      <c r="AH3610">
        <v>16.183788814016498</v>
      </c>
      <c r="AI3610">
        <v>93.945511305111694</v>
      </c>
      <c r="AJ3610">
        <v>84.292494472453498</v>
      </c>
      <c r="AK3610">
        <v>16.303058099992899</v>
      </c>
      <c r="AL3610">
        <v>97.252363688002205</v>
      </c>
      <c r="AM3610">
        <v>88.613843781474998</v>
      </c>
      <c r="AN3610">
        <v>1.0000000527753301</v>
      </c>
    </row>
    <row r="3611" spans="1:40" x14ac:dyDescent="0.25">
      <c r="A3611" t="str">
        <f>"20190303154543140"</f>
        <v>20190303154543140</v>
      </c>
      <c r="B3611" t="str">
        <f>"1551599143134274"</f>
        <v>1551599143134274</v>
      </c>
      <c r="C3611" t="s">
        <v>40</v>
      </c>
      <c r="D3611">
        <v>5.1350530000000001</v>
      </c>
      <c r="E3611">
        <v>0.52754780000000001</v>
      </c>
      <c r="F3611" t="s">
        <v>54</v>
      </c>
      <c r="G3611">
        <v>-204.1437</v>
      </c>
      <c r="H3611" s="1">
        <v>4.1954240000000003E-6</v>
      </c>
      <c r="I3611">
        <v>213.00479999999999</v>
      </c>
      <c r="J3611">
        <v>-220.22059999999999</v>
      </c>
      <c r="K3611">
        <v>1.1218319999999999</v>
      </c>
      <c r="L3611">
        <v>214.5341</v>
      </c>
      <c r="M3611">
        <v>0.99975789999999998</v>
      </c>
      <c r="N3611">
        <v>-2.1856380000000002E-2</v>
      </c>
      <c r="O3611">
        <v>2.5830179999999999E-3</v>
      </c>
      <c r="P3611">
        <v>0.98877170000000003</v>
      </c>
      <c r="Q3611">
        <v>-0.14788879999999999</v>
      </c>
      <c r="R3611">
        <v>-2.1447379999999999E-2</v>
      </c>
      <c r="S3611">
        <v>2.9971009999999998</v>
      </c>
      <c r="T3611">
        <v>-0.20602509999999999</v>
      </c>
      <c r="U3611">
        <v>-0.2807617</v>
      </c>
      <c r="V3611">
        <v>2.3996750000000001E-2</v>
      </c>
      <c r="W3611">
        <v>-0.12624479999999999</v>
      </c>
      <c r="X3611">
        <v>0.99170879999999995</v>
      </c>
      <c r="Y3611">
        <v>9.5543359999999994E-2</v>
      </c>
      <c r="Z3611">
        <v>-4.4416990000000003E-3</v>
      </c>
      <c r="AA3611">
        <v>0.9954153</v>
      </c>
      <c r="AB3611">
        <v>24</v>
      </c>
      <c r="AC3611">
        <v>16.076899999999899</v>
      </c>
      <c r="AD3611">
        <v>-1.121827804576</v>
      </c>
      <c r="AE3611">
        <v>-1.5293000000000001</v>
      </c>
      <c r="AF3611">
        <v>1.5632882031337401</v>
      </c>
      <c r="AG3611">
        <v>-1.121827804576</v>
      </c>
      <c r="AH3611">
        <v>15.995709071455201</v>
      </c>
      <c r="AI3611">
        <v>93.992797393759503</v>
      </c>
      <c r="AJ3611">
        <v>84.418111508102299</v>
      </c>
      <c r="AK3611">
        <v>16.1110234413526</v>
      </c>
      <c r="AL3611">
        <v>97.252647314130897</v>
      </c>
      <c r="AM3611">
        <v>88.613863012782801</v>
      </c>
      <c r="AN3611">
        <v>0.99999996876751995</v>
      </c>
    </row>
    <row r="3612" spans="1:40" x14ac:dyDescent="0.25">
      <c r="A3612" t="str">
        <f>"20190303154543168"</f>
        <v>20190303154543168</v>
      </c>
      <c r="B3612" t="str">
        <f>"1551599143164530"</f>
        <v>1551599143164530</v>
      </c>
      <c r="C3612" t="s">
        <v>40</v>
      </c>
      <c r="D3612">
        <v>5.1164849999999999</v>
      </c>
      <c r="E3612">
        <v>0.52732900000000005</v>
      </c>
      <c r="F3612" t="s">
        <v>54</v>
      </c>
      <c r="G3612">
        <v>-204.00550000000001</v>
      </c>
      <c r="H3612" s="1">
        <v>4.1325559999999997E-6</v>
      </c>
      <c r="I3612">
        <v>213.0231</v>
      </c>
      <c r="J3612">
        <v>-219.93539999999999</v>
      </c>
      <c r="K3612">
        <v>1.121891</v>
      </c>
      <c r="L3612">
        <v>214.53489999999999</v>
      </c>
      <c r="M3612">
        <v>0.99974940000000001</v>
      </c>
      <c r="N3612">
        <v>-2.223793E-2</v>
      </c>
      <c r="O3612">
        <v>2.5828460000000002E-3</v>
      </c>
      <c r="P3612">
        <v>0.98862930000000004</v>
      </c>
      <c r="Q3612">
        <v>-0.14882129999999999</v>
      </c>
      <c r="R3612">
        <v>-2.1546800000000001E-2</v>
      </c>
      <c r="S3612">
        <v>2.9969790000000001</v>
      </c>
      <c r="T3612">
        <v>-0.2073439</v>
      </c>
      <c r="U3612">
        <v>-0.27926640000000003</v>
      </c>
      <c r="V3612">
        <v>2.4095910000000002E-2</v>
      </c>
      <c r="W3612">
        <v>-0.12680169999999999</v>
      </c>
      <c r="X3612">
        <v>0.99163539999999994</v>
      </c>
      <c r="Y3612">
        <v>9.5051499999999997E-2</v>
      </c>
      <c r="Z3612">
        <v>-4.4588140000000002E-3</v>
      </c>
      <c r="AA3612">
        <v>0.99546239999999997</v>
      </c>
      <c r="AB3612">
        <v>24</v>
      </c>
      <c r="AC3612">
        <v>15.9298999999999</v>
      </c>
      <c r="AD3612">
        <v>-1.1218868674439999</v>
      </c>
      <c r="AE3612">
        <v>-1.51179999999999</v>
      </c>
      <c r="AF3612">
        <v>1.5453532452069001</v>
      </c>
      <c r="AG3612">
        <v>-1.1218868674439999</v>
      </c>
      <c r="AH3612">
        <v>15.848038245576999</v>
      </c>
      <c r="AI3612">
        <v>94.030177285359997</v>
      </c>
      <c r="AJ3612">
        <v>84.430655837681897</v>
      </c>
      <c r="AK3612">
        <v>15.962677188651201</v>
      </c>
      <c r="AL3612">
        <v>97.284813423060498</v>
      </c>
      <c r="AM3612">
        <v>88.6080344457568</v>
      </c>
      <c r="AN3612">
        <v>1.00000002526738</v>
      </c>
    </row>
    <row r="3613" spans="1:40" x14ac:dyDescent="0.25">
      <c r="A3613" t="str">
        <f>"20190303154543190"</f>
        <v>20190303154543190</v>
      </c>
      <c r="B3613" t="str">
        <f>"1551599143184050"</f>
        <v>1551599143184050</v>
      </c>
      <c r="C3613" t="s">
        <v>40</v>
      </c>
      <c r="D3613">
        <v>5.1482769999999896</v>
      </c>
      <c r="E3613">
        <v>0.5272249</v>
      </c>
      <c r="F3613" t="s">
        <v>54</v>
      </c>
      <c r="G3613">
        <v>-203.9983</v>
      </c>
      <c r="H3613" s="1">
        <v>4.1263370000000002E-6</v>
      </c>
      <c r="I3613">
        <v>213.0575</v>
      </c>
      <c r="J3613">
        <v>-219.69409999999999</v>
      </c>
      <c r="K3613">
        <v>1.1219269999999999</v>
      </c>
      <c r="L3613">
        <v>214.53540000000001</v>
      </c>
      <c r="M3613">
        <v>0.99974260000000004</v>
      </c>
      <c r="N3613">
        <v>-2.2537809999999998E-2</v>
      </c>
      <c r="O3613">
        <v>2.5821569999999999E-3</v>
      </c>
      <c r="P3613">
        <v>0.98852399999999996</v>
      </c>
      <c r="Q3613">
        <v>-0.1494154</v>
      </c>
      <c r="R3613">
        <v>-2.2256499999999999E-2</v>
      </c>
      <c r="S3613">
        <v>2.9966889999999999</v>
      </c>
      <c r="T3613">
        <v>-0.21095130000000001</v>
      </c>
      <c r="U3613">
        <v>-0.27778629999999999</v>
      </c>
      <c r="V3613">
        <v>2.4804690000000001E-2</v>
      </c>
      <c r="W3613">
        <v>-0.12710070000000001</v>
      </c>
      <c r="X3613">
        <v>0.99157960000000001</v>
      </c>
      <c r="Y3613">
        <v>9.456349E-2</v>
      </c>
      <c r="Z3613">
        <v>-4.5100979999999997E-3</v>
      </c>
      <c r="AA3613">
        <v>0.99550859999999997</v>
      </c>
      <c r="AB3613">
        <v>23</v>
      </c>
      <c r="AC3613">
        <v>15.695799999999901</v>
      </c>
      <c r="AD3613">
        <v>-1.121922873663</v>
      </c>
      <c r="AE3613">
        <v>-1.4779</v>
      </c>
      <c r="AF3613">
        <v>1.51078322091228</v>
      </c>
      <c r="AG3613">
        <v>-1.121922873663</v>
      </c>
      <c r="AH3613">
        <v>15.612861161983</v>
      </c>
      <c r="AI3613">
        <v>94.091102711479806</v>
      </c>
      <c r="AJ3613">
        <v>84.4729645865321</v>
      </c>
      <c r="AK3613">
        <v>15.7258580223273</v>
      </c>
      <c r="AL3613">
        <v>97.302084921179997</v>
      </c>
      <c r="AM3613">
        <v>88.567026073347193</v>
      </c>
      <c r="AN3613">
        <v>0.999999981861322</v>
      </c>
    </row>
    <row r="3614" spans="1:40" x14ac:dyDescent="0.25">
      <c r="A3614" t="str">
        <f>"20190303154543214"</f>
        <v>20190303154543214</v>
      </c>
      <c r="B3614" t="str">
        <f>"1551599143204546"</f>
        <v>1551599143204546</v>
      </c>
      <c r="C3614" t="s">
        <v>40</v>
      </c>
      <c r="D3614">
        <v>5.1889940000000001</v>
      </c>
      <c r="E3614">
        <v>0.51380499999999996</v>
      </c>
      <c r="F3614" t="s">
        <v>54</v>
      </c>
      <c r="G3614">
        <v>-203.9468</v>
      </c>
      <c r="H3614" s="1">
        <v>4.1025640000000002E-6</v>
      </c>
      <c r="I3614">
        <v>213.06809999999999</v>
      </c>
      <c r="J3614">
        <v>-219.4659</v>
      </c>
      <c r="K3614">
        <v>1.1219589999999999</v>
      </c>
      <c r="L3614">
        <v>214.5361</v>
      </c>
      <c r="M3614">
        <v>0.99973699999999999</v>
      </c>
      <c r="N3614">
        <v>-2.279457E-2</v>
      </c>
      <c r="O3614">
        <v>2.581439E-3</v>
      </c>
      <c r="P3614">
        <v>0.9884636</v>
      </c>
      <c r="Q3614">
        <v>-0.1497243</v>
      </c>
      <c r="R3614">
        <v>-2.2862159999999999E-2</v>
      </c>
      <c r="S3614">
        <v>2.9962770000000001</v>
      </c>
      <c r="T3614">
        <v>-0.2134702</v>
      </c>
      <c r="U3614">
        <v>-0.2791901</v>
      </c>
      <c r="V3614">
        <v>2.5409399999999999E-2</v>
      </c>
      <c r="W3614">
        <v>-0.1271562</v>
      </c>
      <c r="X3614">
        <v>0.99155720000000003</v>
      </c>
      <c r="Y3614">
        <v>9.5028799999999997E-2</v>
      </c>
      <c r="Z3614">
        <v>-4.5855779999999999E-3</v>
      </c>
      <c r="AA3614">
        <v>0.99546400000000002</v>
      </c>
      <c r="AB3614">
        <v>23</v>
      </c>
      <c r="AC3614">
        <v>15.5191</v>
      </c>
      <c r="AD3614">
        <v>-1.1219548974360001</v>
      </c>
      <c r="AE3614">
        <v>-1.46800000000001</v>
      </c>
      <c r="AF3614">
        <v>1.50029524767716</v>
      </c>
      <c r="AG3614">
        <v>-1.1219548974360001</v>
      </c>
      <c r="AH3614">
        <v>15.435299333044</v>
      </c>
      <c r="AI3614">
        <v>94.137948533902502</v>
      </c>
      <c r="AJ3614">
        <v>84.448348562310699</v>
      </c>
      <c r="AK3614">
        <v>15.5485733790195</v>
      </c>
      <c r="AL3614">
        <v>97.305290650903103</v>
      </c>
      <c r="AM3614">
        <v>88.532073762686096</v>
      </c>
      <c r="AN3614">
        <v>1.0000000088393199</v>
      </c>
    </row>
    <row r="3615" spans="1:40" x14ac:dyDescent="0.25">
      <c r="A3615" t="str">
        <f>"20190303154543232"</f>
        <v>20190303154543232</v>
      </c>
      <c r="B3615" t="str">
        <f>"1551599143224067"</f>
        <v>1551599143224067</v>
      </c>
      <c r="C3615" t="s">
        <v>40</v>
      </c>
      <c r="D3615">
        <v>5.0906269999999996</v>
      </c>
      <c r="E3615">
        <v>0.50554719999999997</v>
      </c>
      <c r="F3615" t="s">
        <v>54</v>
      </c>
      <c r="G3615">
        <v>-204.4896</v>
      </c>
      <c r="H3615" s="1">
        <v>4.2911420000000002E-6</v>
      </c>
      <c r="I3615">
        <v>213.66460000000001</v>
      </c>
      <c r="J3615">
        <v>-219.27379999999999</v>
      </c>
      <c r="K3615">
        <v>1.1219809999999999</v>
      </c>
      <c r="L3615">
        <v>214.53649999999999</v>
      </c>
      <c r="M3615">
        <v>0.99973239999999997</v>
      </c>
      <c r="N3615">
        <v>-2.299023E-2</v>
      </c>
      <c r="O3615">
        <v>2.581037E-3</v>
      </c>
      <c r="P3615">
        <v>0.98842669999999999</v>
      </c>
      <c r="Q3615">
        <v>-0.14987429999999999</v>
      </c>
      <c r="R3615">
        <v>-2.3458489999999999E-2</v>
      </c>
      <c r="S3615">
        <v>2.9969790000000001</v>
      </c>
      <c r="T3615">
        <v>-0.22452040000000001</v>
      </c>
      <c r="U3615">
        <v>-0.17439270000000001</v>
      </c>
      <c r="V3615">
        <v>2.600529E-2</v>
      </c>
      <c r="W3615">
        <v>-0.127113</v>
      </c>
      <c r="X3615">
        <v>0.99154730000000002</v>
      </c>
      <c r="Y3615">
        <v>6.0443999999999998E-2</v>
      </c>
      <c r="Z3615">
        <v>-3.089479E-3</v>
      </c>
      <c r="AA3615">
        <v>0.99816680000000002</v>
      </c>
      <c r="AB3615">
        <v>23</v>
      </c>
      <c r="AC3615">
        <v>14.784199999999901</v>
      </c>
      <c r="AD3615">
        <v>-1.1219767088579999</v>
      </c>
      <c r="AE3615">
        <v>-0.87189999999998202</v>
      </c>
      <c r="AF3615">
        <v>0.90487235199820804</v>
      </c>
      <c r="AG3615">
        <v>-1.1219767088579999</v>
      </c>
      <c r="AH3615">
        <v>14.6975450950726</v>
      </c>
      <c r="AI3615">
        <v>94.357143235296604</v>
      </c>
      <c r="AJ3615">
        <v>86.476961961137405</v>
      </c>
      <c r="AK3615">
        <v>14.7680553063131</v>
      </c>
      <c r="AL3615">
        <v>97.302795149385801</v>
      </c>
      <c r="AM3615">
        <v>88.4976492093693</v>
      </c>
      <c r="AN3615">
        <v>1.0000000190071301</v>
      </c>
    </row>
    <row r="3616" spans="1:40" x14ac:dyDescent="0.25">
      <c r="A3616" t="str">
        <f>"20190303154543254"</f>
        <v>20190303154543254</v>
      </c>
      <c r="B3616" t="str">
        <f>"1551599143244562"</f>
        <v>1551599143244562</v>
      </c>
      <c r="C3616" t="s">
        <v>40</v>
      </c>
      <c r="D3616">
        <v>5.0746769999999897</v>
      </c>
      <c r="E3616">
        <v>0.5029576</v>
      </c>
      <c r="F3616" t="s">
        <v>54</v>
      </c>
      <c r="G3616">
        <v>-203.21469999999999</v>
      </c>
      <c r="H3616" s="1">
        <v>3.7009099999999999E-6</v>
      </c>
      <c r="I3616">
        <v>213.94900000000001</v>
      </c>
      <c r="J3616">
        <v>-219.0608</v>
      </c>
      <c r="K3616">
        <v>1.1219859999999999</v>
      </c>
      <c r="L3616">
        <v>214.53710000000001</v>
      </c>
      <c r="M3616">
        <v>0.99972839999999996</v>
      </c>
      <c r="N3616">
        <v>-2.3167719999999999E-2</v>
      </c>
      <c r="O3616">
        <v>2.5804700000000001E-3</v>
      </c>
      <c r="P3616">
        <v>0.98835689999999998</v>
      </c>
      <c r="Q3616">
        <v>-0.15032019999999999</v>
      </c>
      <c r="R3616">
        <v>-2.3554930000000002E-2</v>
      </c>
      <c r="S3616">
        <v>3.0007320000000002</v>
      </c>
      <c r="T3616">
        <v>-0.2096481</v>
      </c>
      <c r="U3616">
        <v>-0.109787</v>
      </c>
      <c r="V3616">
        <v>2.6100990000000001E-2</v>
      </c>
      <c r="W3616">
        <v>-0.12738440000000001</v>
      </c>
      <c r="X3616">
        <v>0.99150990000000006</v>
      </c>
      <c r="Y3616">
        <v>3.901218E-2</v>
      </c>
      <c r="Z3616">
        <v>-1.9338350000000001E-3</v>
      </c>
      <c r="AA3616">
        <v>0.99923689999999998</v>
      </c>
      <c r="AB3616">
        <v>22</v>
      </c>
      <c r="AC3616">
        <v>15.8461</v>
      </c>
      <c r="AD3616">
        <v>-1.1219822990899999</v>
      </c>
      <c r="AE3616">
        <v>-0.58809999999999696</v>
      </c>
      <c r="AF3616">
        <v>0.62586603533636997</v>
      </c>
      <c r="AG3616">
        <v>-1.1219822990899999</v>
      </c>
      <c r="AH3616">
        <v>15.765599625339901</v>
      </c>
      <c r="AI3616">
        <v>94.067483202199099</v>
      </c>
      <c r="AJ3616">
        <v>87.7266540154598</v>
      </c>
      <c r="AK3616">
        <v>15.817859656735299</v>
      </c>
      <c r="AL3616">
        <v>97.318473070398895</v>
      </c>
      <c r="AM3616">
        <v>88.492066224217993</v>
      </c>
      <c r="AN3616">
        <v>0.99999996442017403</v>
      </c>
    </row>
    <row r="3617" spans="1:40" x14ac:dyDescent="0.25">
      <c r="A3617" t="str">
        <f>"20190303154543277"</f>
        <v>20190303154543277</v>
      </c>
      <c r="B3617" t="str">
        <f>"1551599143274353"</f>
        <v>1551599143274353</v>
      </c>
      <c r="C3617" t="s">
        <v>40</v>
      </c>
      <c r="D3617">
        <v>5.0475320000000004</v>
      </c>
      <c r="E3617">
        <v>0.50092239999999999</v>
      </c>
      <c r="F3617" t="s">
        <v>54</v>
      </c>
      <c r="G3617">
        <v>-202.8116</v>
      </c>
      <c r="H3617" s="1">
        <v>3.5131209999999998E-6</v>
      </c>
      <c r="I3617">
        <v>214.05250000000001</v>
      </c>
      <c r="J3617">
        <v>-218.83449999999999</v>
      </c>
      <c r="K3617">
        <v>1.1219809999999999</v>
      </c>
      <c r="L3617">
        <v>214.5377</v>
      </c>
      <c r="M3617">
        <v>0.99972609999999995</v>
      </c>
      <c r="N3617">
        <v>-2.3269580000000002E-2</v>
      </c>
      <c r="O3617">
        <v>2.5801159999999999E-3</v>
      </c>
      <c r="P3617">
        <v>0.98832850000000005</v>
      </c>
      <c r="Q3617">
        <v>-0.150503</v>
      </c>
      <c r="R3617">
        <v>-2.3576239999999998E-2</v>
      </c>
      <c r="S3617">
        <v>3.0016940000000001</v>
      </c>
      <c r="T3617">
        <v>-0.20726249999999999</v>
      </c>
      <c r="U3617">
        <v>-8.9523320000000003E-2</v>
      </c>
      <c r="V3617">
        <v>2.612198E-2</v>
      </c>
      <c r="W3617">
        <v>-0.12746679999999999</v>
      </c>
      <c r="X3617">
        <v>0.99149880000000001</v>
      </c>
      <c r="Y3617">
        <v>3.2285099999999997E-2</v>
      </c>
      <c r="Z3617">
        <v>-1.6073280000000001E-3</v>
      </c>
      <c r="AA3617">
        <v>0.99947739999999996</v>
      </c>
      <c r="AB3617">
        <v>22</v>
      </c>
      <c r="AC3617">
        <v>16.0228999999999</v>
      </c>
      <c r="AD3617">
        <v>-1.12197748687899</v>
      </c>
      <c r="AE3617">
        <v>-0.48519999999999103</v>
      </c>
      <c r="AF3617">
        <v>0.52398363263635295</v>
      </c>
      <c r="AG3617">
        <v>-1.12197748687899</v>
      </c>
      <c r="AH3617">
        <v>15.9434907653539</v>
      </c>
      <c r="AI3617">
        <v>94.023225155176405</v>
      </c>
      <c r="AJ3617">
        <v>88.117648821665199</v>
      </c>
      <c r="AK3617">
        <v>15.9915068118442</v>
      </c>
      <c r="AL3617">
        <v>97.323232734381193</v>
      </c>
      <c r="AM3617">
        <v>88.490837241152306</v>
      </c>
      <c r="AN3617">
        <v>1.0000000066714001</v>
      </c>
    </row>
    <row r="3618" spans="1:40" x14ac:dyDescent="0.25">
      <c r="A3618" t="str">
        <f>"20190303154543298"</f>
        <v>20190303154543298</v>
      </c>
      <c r="B3618" t="str">
        <f>"1551599143294848"</f>
        <v>1551599143294848</v>
      </c>
      <c r="C3618" t="s">
        <v>40</v>
      </c>
      <c r="D3618">
        <v>5.0483840000000004</v>
      </c>
      <c r="E3618">
        <v>0.50009519999999996</v>
      </c>
      <c r="F3618" t="s">
        <v>54</v>
      </c>
      <c r="G3618">
        <v>-202.49600000000001</v>
      </c>
      <c r="H3618" s="1">
        <v>3.36557E-6</v>
      </c>
      <c r="I3618">
        <v>214.13929999999999</v>
      </c>
      <c r="J3618">
        <v>-218.62700000000001</v>
      </c>
      <c r="K3618">
        <v>1.1219619999999999</v>
      </c>
      <c r="L3618">
        <v>214.53819999999999</v>
      </c>
      <c r="M3618">
        <v>0.99972609999999995</v>
      </c>
      <c r="N3618">
        <v>-2.3263490000000001E-2</v>
      </c>
      <c r="O3618">
        <v>2.5797110000000002E-3</v>
      </c>
      <c r="P3618">
        <v>0.98836089999999999</v>
      </c>
      <c r="Q3618">
        <v>-0.1503102</v>
      </c>
      <c r="R3618">
        <v>-2.3447429999999998E-2</v>
      </c>
      <c r="S3618">
        <v>3.002319</v>
      </c>
      <c r="T3618">
        <v>-0.20617150000000001</v>
      </c>
      <c r="U3618">
        <v>-7.3211670000000006E-2</v>
      </c>
      <c r="V3618">
        <v>2.5992810000000002E-2</v>
      </c>
      <c r="W3618">
        <v>-0.12727930000000001</v>
      </c>
      <c r="X3618">
        <v>0.99152629999999997</v>
      </c>
      <c r="Y3618">
        <v>2.6869959999999998E-2</v>
      </c>
      <c r="Z3618">
        <v>-1.3514460000000001E-3</v>
      </c>
      <c r="AA3618">
        <v>0.99963800000000003</v>
      </c>
      <c r="AB3618">
        <v>22</v>
      </c>
      <c r="AC3618">
        <v>16.131</v>
      </c>
      <c r="AD3618">
        <v>-1.1219586344299901</v>
      </c>
      <c r="AE3618">
        <v>-0.39889999999999698</v>
      </c>
      <c r="AF3618">
        <v>0.43840372118096899</v>
      </c>
      <c r="AG3618">
        <v>-1.1219586344299901</v>
      </c>
      <c r="AH3618">
        <v>16.0523095695481</v>
      </c>
      <c r="AI3618">
        <v>93.996638451408501</v>
      </c>
      <c r="AJ3618">
        <v>88.435587079056901</v>
      </c>
      <c r="AK3618">
        <v>16.097441769322302</v>
      </c>
      <c r="AL3618">
        <v>97.312401419881098</v>
      </c>
      <c r="AM3618">
        <v>88.498338071705007</v>
      </c>
      <c r="AN3618">
        <v>1.00000002498593</v>
      </c>
    </row>
    <row r="3619" spans="1:40" x14ac:dyDescent="0.25">
      <c r="A3619" t="str">
        <f>"20190303154543318"</f>
        <v>20190303154543318</v>
      </c>
      <c r="B3619" t="str">
        <f>"1551599143314368"</f>
        <v>1551599143314368</v>
      </c>
      <c r="C3619" t="s">
        <v>40</v>
      </c>
      <c r="D3619">
        <v>5.0617219999999996</v>
      </c>
      <c r="E3619">
        <v>0.49943359999999898</v>
      </c>
      <c r="F3619" t="s">
        <v>54</v>
      </c>
      <c r="G3619">
        <v>-202.398</v>
      </c>
      <c r="H3619" s="1">
        <v>3.3186420000000002E-6</v>
      </c>
      <c r="I3619">
        <v>214.179</v>
      </c>
      <c r="J3619">
        <v>-218.43819999999999</v>
      </c>
      <c r="K3619">
        <v>1.1219269999999999</v>
      </c>
      <c r="L3619">
        <v>214.53870000000001</v>
      </c>
      <c r="M3619">
        <v>0.99972839999999996</v>
      </c>
      <c r="N3619">
        <v>-2.3171339999999999E-2</v>
      </c>
      <c r="O3619">
        <v>2.5791159999999998E-3</v>
      </c>
      <c r="P3619">
        <v>0.9884155</v>
      </c>
      <c r="Q3619">
        <v>-0.14998719999999999</v>
      </c>
      <c r="R3619">
        <v>-2.3217689999999999E-2</v>
      </c>
      <c r="S3619">
        <v>3.0021969999999998</v>
      </c>
      <c r="T3619">
        <v>-0.20755119999999999</v>
      </c>
      <c r="U3619">
        <v>-6.6452029999999995E-2</v>
      </c>
      <c r="V3619">
        <v>2.5762480000000001E-2</v>
      </c>
      <c r="W3619">
        <v>-0.12704649999999901</v>
      </c>
      <c r="X3619">
        <v>0.9915621</v>
      </c>
      <c r="Y3619">
        <v>2.462692E-2</v>
      </c>
      <c r="Z3619">
        <v>-1.2543509999999999E-3</v>
      </c>
      <c r="AA3619">
        <v>0.99969589999999997</v>
      </c>
      <c r="AB3619">
        <v>22</v>
      </c>
      <c r="AC3619">
        <v>16.040199999999999</v>
      </c>
      <c r="AD3619">
        <v>-1.121923681358</v>
      </c>
      <c r="AE3619">
        <v>-0.35970000000000302</v>
      </c>
      <c r="AF3619">
        <v>0.399127796333479</v>
      </c>
      <c r="AG3619">
        <v>-1.121923681358</v>
      </c>
      <c r="AH3619">
        <v>15.9611721514308</v>
      </c>
      <c r="AI3619">
        <v>94.019501011370807</v>
      </c>
      <c r="AJ3619">
        <v>88.567550478275095</v>
      </c>
      <c r="AK3619">
        <v>16.005531299904</v>
      </c>
      <c r="AL3619">
        <v>97.298954281853895</v>
      </c>
      <c r="AM3619">
        <v>88.511692443991507</v>
      </c>
      <c r="AN3619">
        <v>0.99999995834720401</v>
      </c>
    </row>
    <row r="3620" spans="1:40" x14ac:dyDescent="0.25">
      <c r="A3620" t="str">
        <f>"20190303154543340"</f>
        <v>20190303154543340</v>
      </c>
      <c r="B3620" t="str">
        <f>"1551599143334864"</f>
        <v>1551599143334864</v>
      </c>
      <c r="C3620" t="s">
        <v>40</v>
      </c>
      <c r="D3620">
        <v>5.0291959999999998</v>
      </c>
      <c r="E3620">
        <v>0.49897659999999999</v>
      </c>
      <c r="F3620" t="s">
        <v>54</v>
      </c>
      <c r="G3620">
        <v>-202.28989999999999</v>
      </c>
      <c r="H3620" s="1">
        <v>3.2676170000000001E-6</v>
      </c>
      <c r="I3620">
        <v>214.21420000000001</v>
      </c>
      <c r="J3620">
        <v>-218.21879999999999</v>
      </c>
      <c r="K3620">
        <v>1.121869</v>
      </c>
      <c r="L3620">
        <v>214.5393</v>
      </c>
      <c r="M3620">
        <v>0.99973290000000004</v>
      </c>
      <c r="N3620">
        <v>-2.2962750000000001E-2</v>
      </c>
      <c r="O3620">
        <v>2.5795010000000001E-3</v>
      </c>
      <c r="P3620">
        <v>0.98841509999999999</v>
      </c>
      <c r="Q3620">
        <v>-0.1498226</v>
      </c>
      <c r="R3620">
        <v>-2.4265990000000001E-2</v>
      </c>
      <c r="S3620">
        <v>3.0020899999999999</v>
      </c>
      <c r="T3620">
        <v>-0.20857419999999999</v>
      </c>
      <c r="U3620">
        <v>-6.0333249999999998E-2</v>
      </c>
      <c r="V3620">
        <v>2.6811109999999999E-2</v>
      </c>
      <c r="W3620">
        <v>-0.12708889999999901</v>
      </c>
      <c r="X3620">
        <v>0.99152890000000005</v>
      </c>
      <c r="Y3620">
        <v>2.2597320000000001E-2</v>
      </c>
      <c r="Z3620">
        <v>-1.163685E-3</v>
      </c>
      <c r="AA3620">
        <v>0.99974399999999997</v>
      </c>
      <c r="AB3620">
        <v>22</v>
      </c>
      <c r="AC3620">
        <v>15.928900000000001</v>
      </c>
      <c r="AD3620">
        <v>-1.1218657323829999</v>
      </c>
      <c r="AE3620">
        <v>-0.32509999999999101</v>
      </c>
      <c r="AF3620">
        <v>0.36439162367789801</v>
      </c>
      <c r="AG3620">
        <v>-1.1218657323829999</v>
      </c>
      <c r="AH3620">
        <v>15.849422597080901</v>
      </c>
      <c r="AI3620">
        <v>94.047734063528296</v>
      </c>
      <c r="AJ3620">
        <v>88.682953616147302</v>
      </c>
      <c r="AK3620">
        <v>15.8932551932498</v>
      </c>
      <c r="AL3620">
        <v>97.301403230266999</v>
      </c>
      <c r="AM3620">
        <v>88.451089814988293</v>
      </c>
      <c r="AN3620">
        <v>0.99999999182892596</v>
      </c>
    </row>
    <row r="3621" spans="1:40" x14ac:dyDescent="0.25">
      <c r="A3621" t="str">
        <f>"20190303154543365"</f>
        <v>20190303154543365</v>
      </c>
      <c r="B3621" t="str">
        <f>"1551599143354384"</f>
        <v>1551599143354384</v>
      </c>
      <c r="C3621" t="s">
        <v>40</v>
      </c>
      <c r="D3621">
        <v>5.0271660000000002</v>
      </c>
      <c r="E3621">
        <v>0.49868079999999998</v>
      </c>
      <c r="F3621" t="s">
        <v>54</v>
      </c>
      <c r="G3621">
        <v>-202.2226</v>
      </c>
      <c r="H3621" s="1">
        <v>3.2373130000000001E-6</v>
      </c>
      <c r="I3621">
        <v>214.21950000000001</v>
      </c>
      <c r="J3621">
        <v>-217.99289999999999</v>
      </c>
      <c r="K3621">
        <v>1.1217710000000001</v>
      </c>
      <c r="L3621">
        <v>214.53980000000001</v>
      </c>
      <c r="M3621">
        <v>0.99974240000000003</v>
      </c>
      <c r="N3621">
        <v>-2.255623E-2</v>
      </c>
      <c r="O3621">
        <v>2.5792599999999999E-3</v>
      </c>
      <c r="P3621">
        <v>0.98838999999999999</v>
      </c>
      <c r="Q3621">
        <v>-0.1499027</v>
      </c>
      <c r="R3621">
        <v>-2.4794179999999999E-2</v>
      </c>
      <c r="S3621">
        <v>3.0017550000000002</v>
      </c>
      <c r="T3621">
        <v>-0.2105234</v>
      </c>
      <c r="U3621">
        <v>-5.9997559999999998E-2</v>
      </c>
      <c r="V3621">
        <v>2.7339019999999999E-2</v>
      </c>
      <c r="W3621">
        <v>-0.12757279999999999</v>
      </c>
      <c r="X3621">
        <v>0.99145229999999995</v>
      </c>
      <c r="Y3621">
        <v>2.2486900000000001E-2</v>
      </c>
      <c r="Z3621">
        <v>-1.164097E-3</v>
      </c>
      <c r="AA3621">
        <v>0.99974640000000004</v>
      </c>
      <c r="AB3621">
        <v>22</v>
      </c>
      <c r="AC3621">
        <v>15.770299999999899</v>
      </c>
      <c r="AD3621">
        <v>-1.121767762687</v>
      </c>
      <c r="AE3621">
        <v>-0.32030000000000303</v>
      </c>
      <c r="AF3621">
        <v>0.35916844299190098</v>
      </c>
      <c r="AG3621">
        <v>-1.121767762687</v>
      </c>
      <c r="AH3621">
        <v>15.6900666484503</v>
      </c>
      <c r="AI3621">
        <v>94.088359529193994</v>
      </c>
      <c r="AJ3621">
        <v>88.688645310203</v>
      </c>
      <c r="AK3621">
        <v>15.734216101117299</v>
      </c>
      <c r="AL3621">
        <v>97.329356478895505</v>
      </c>
      <c r="AM3621">
        <v>88.420485152559195</v>
      </c>
      <c r="AN3621">
        <v>0.99999995224484395</v>
      </c>
    </row>
    <row r="3622" spans="1:40" x14ac:dyDescent="0.25">
      <c r="A3622" t="str">
        <f>"20190303154543406"</f>
        <v>20190303154543406</v>
      </c>
      <c r="B3622" t="str">
        <f>"1551599143394401"</f>
        <v>1551599143394401</v>
      </c>
      <c r="C3622" t="s">
        <v>40</v>
      </c>
      <c r="D3622">
        <v>5.3765330000000002</v>
      </c>
      <c r="E3622">
        <v>0.50178489999999998</v>
      </c>
      <c r="F3622" t="s">
        <v>54</v>
      </c>
      <c r="G3622">
        <v>-202.0752</v>
      </c>
      <c r="H3622" s="1">
        <v>3.1715020000000001E-6</v>
      </c>
      <c r="I3622">
        <v>214.22470000000001</v>
      </c>
      <c r="J3622">
        <v>-217.60300000000001</v>
      </c>
      <c r="K3622">
        <v>1.12154</v>
      </c>
      <c r="L3622">
        <v>214.54079999999999</v>
      </c>
      <c r="M3622">
        <v>0.99976869999999995</v>
      </c>
      <c r="N3622">
        <v>-2.136219E-2</v>
      </c>
      <c r="O3622">
        <v>2.579142E-3</v>
      </c>
      <c r="P3622">
        <v>0.9882803</v>
      </c>
      <c r="Q3622">
        <v>-0.15008879999999999</v>
      </c>
      <c r="R3622">
        <v>-2.7849769999999999E-2</v>
      </c>
      <c r="S3622">
        <v>3.0016630000000002</v>
      </c>
      <c r="T3622">
        <v>-0.21153710000000001</v>
      </c>
      <c r="U3622">
        <v>-5.941772E-2</v>
      </c>
      <c r="V3622">
        <v>3.03942E-2</v>
      </c>
      <c r="W3622">
        <v>-0.12894549999999999</v>
      </c>
      <c r="X3622">
        <v>0.99118580000000001</v>
      </c>
      <c r="Y3622">
        <v>2.229503E-2</v>
      </c>
      <c r="Z3622">
        <v>-1.1495920000000001E-3</v>
      </c>
      <c r="AA3622">
        <v>0.99975080000000005</v>
      </c>
      <c r="AB3622">
        <v>21</v>
      </c>
      <c r="AC3622">
        <v>15.5277999999999</v>
      </c>
      <c r="AD3622">
        <v>-1.1215368284980001</v>
      </c>
      <c r="AE3622">
        <v>-0.31609999999997701</v>
      </c>
      <c r="AF3622">
        <v>0.3543088755769</v>
      </c>
      <c r="AG3622">
        <v>-1.1215368284980001</v>
      </c>
      <c r="AH3622">
        <v>15.446384993977199</v>
      </c>
      <c r="AI3622">
        <v>94.151777157730095</v>
      </c>
      <c r="AJ3622">
        <v>88.685980960122194</v>
      </c>
      <c r="AK3622">
        <v>15.491100316606101</v>
      </c>
      <c r="AL3622">
        <v>97.408660907211697</v>
      </c>
      <c r="AM3622">
        <v>88.243604930676199</v>
      </c>
      <c r="AN3622">
        <v>1.0000000197427601</v>
      </c>
    </row>
    <row r="3623" spans="1:40" x14ac:dyDescent="0.25">
      <c r="A3623" t="str">
        <f>"20190303154543432"</f>
        <v>20190303154543432</v>
      </c>
      <c r="B3623" t="str">
        <f>"1551599143424656"</f>
        <v>1551599143424656</v>
      </c>
      <c r="C3623" t="s">
        <v>40</v>
      </c>
      <c r="D3623">
        <v>5.2884460000000004</v>
      </c>
      <c r="E3623">
        <v>0.58887149999999999</v>
      </c>
      <c r="F3623" t="s">
        <v>54</v>
      </c>
      <c r="G3623">
        <v>-201.79920000000001</v>
      </c>
      <c r="H3623" s="1">
        <v>3.064652E-6</v>
      </c>
      <c r="I3623">
        <v>214.04669999999999</v>
      </c>
      <c r="J3623">
        <v>-217.3519</v>
      </c>
      <c r="K3623">
        <v>1.121389</v>
      </c>
      <c r="L3623">
        <v>214.54150000000001</v>
      </c>
      <c r="M3623">
        <v>0.99978829999999996</v>
      </c>
      <c r="N3623">
        <v>-2.0418499999999999E-2</v>
      </c>
      <c r="O3623">
        <v>2.5792720000000001E-3</v>
      </c>
      <c r="P3623">
        <v>0.98851460000000002</v>
      </c>
      <c r="Q3623">
        <v>-0.14824329999999999</v>
      </c>
      <c r="R3623">
        <v>-2.9377650000000002E-2</v>
      </c>
      <c r="S3623">
        <v>3.0005950000000001</v>
      </c>
      <c r="T3623">
        <v>-0.2129414</v>
      </c>
      <c r="U3623">
        <v>-9.3811039999999998E-2</v>
      </c>
      <c r="V3623">
        <v>3.1922649999999997E-2</v>
      </c>
      <c r="W3623">
        <v>-0.12803119999999901</v>
      </c>
      <c r="X3623">
        <v>0.99125620000000003</v>
      </c>
      <c r="Y3623">
        <v>3.3714859999999999E-2</v>
      </c>
      <c r="Z3623">
        <v>-1.6695569999999999E-3</v>
      </c>
      <c r="AA3623">
        <v>0.99943009999999999</v>
      </c>
      <c r="AB3623">
        <v>21</v>
      </c>
      <c r="AC3623">
        <v>15.5526999999999</v>
      </c>
      <c r="AD3623">
        <v>-1.121385935348</v>
      </c>
      <c r="AE3623">
        <v>-0.494800000000026</v>
      </c>
      <c r="AF3623">
        <v>0.53215760264518197</v>
      </c>
      <c r="AG3623">
        <v>-1.121385935348</v>
      </c>
      <c r="AH3623">
        <v>15.471023157092199</v>
      </c>
      <c r="AI3623">
        <v>94.143277210846094</v>
      </c>
      <c r="AJ3623">
        <v>88.029970745056204</v>
      </c>
      <c r="AK3623">
        <v>15.520736311700301</v>
      </c>
      <c r="AL3623">
        <v>97.355838047052401</v>
      </c>
      <c r="AM3623">
        <v>88.155470599399607</v>
      </c>
      <c r="AN3623">
        <v>0.99999994889745003</v>
      </c>
    </row>
    <row r="3624" spans="1:40" x14ac:dyDescent="0.25">
      <c r="A3624" t="str">
        <f>"20190303154543456"</f>
        <v>20190303154543456</v>
      </c>
      <c r="B3624" t="str">
        <f>"1551599143445154"</f>
        <v>1551599143445154</v>
      </c>
      <c r="C3624" t="s">
        <v>40</v>
      </c>
      <c r="D3624">
        <v>5.2681019999999998</v>
      </c>
      <c r="E3624">
        <v>0.58803989999999995</v>
      </c>
      <c r="F3624" t="s">
        <v>54</v>
      </c>
      <c r="G3624">
        <v>-200.9288</v>
      </c>
      <c r="H3624" s="1">
        <v>3.0172690000000001E-6</v>
      </c>
      <c r="I3624">
        <v>210.17339999999999</v>
      </c>
      <c r="J3624">
        <v>-217.1268</v>
      </c>
      <c r="K3624">
        <v>1.1212839999999999</v>
      </c>
      <c r="L3624">
        <v>214.542</v>
      </c>
      <c r="M3624">
        <v>0.99980429999999998</v>
      </c>
      <c r="N3624">
        <v>-1.9620080000000002E-2</v>
      </c>
      <c r="O3624">
        <v>2.579376E-3</v>
      </c>
      <c r="P3624">
        <v>0.98864909999999995</v>
      </c>
      <c r="Q3624">
        <v>-0.14691870000000001</v>
      </c>
      <c r="R3624">
        <v>-3.1434169999999997E-2</v>
      </c>
      <c r="S3624">
        <v>2.9807739999999998</v>
      </c>
      <c r="T3624">
        <v>-0.2035296</v>
      </c>
      <c r="U3624">
        <v>-0.79278559999999998</v>
      </c>
      <c r="V3624">
        <v>3.3979639999999998E-2</v>
      </c>
      <c r="W3624">
        <v>-0.1274961</v>
      </c>
      <c r="X3624">
        <v>0.99125680000000005</v>
      </c>
      <c r="Y3624">
        <v>0.25878590000000001</v>
      </c>
      <c r="Z3624">
        <v>-1.138367E-2</v>
      </c>
      <c r="AA3624">
        <v>0.96586760000000005</v>
      </c>
      <c r="AB3624">
        <v>21</v>
      </c>
      <c r="AC3624">
        <v>16.198</v>
      </c>
      <c r="AD3624">
        <v>-1.121280982731</v>
      </c>
      <c r="AE3624">
        <v>-4.3686000000000096</v>
      </c>
      <c r="AF3624">
        <v>4.3907608636031696</v>
      </c>
      <c r="AG3624">
        <v>-1.121280982731</v>
      </c>
      <c r="AH3624">
        <v>16.114691919951099</v>
      </c>
      <c r="AI3624">
        <v>93.840726010333398</v>
      </c>
      <c r="AJ3624">
        <v>74.758632923328307</v>
      </c>
      <c r="AK3624">
        <v>16.739753513075399</v>
      </c>
      <c r="AL3624">
        <v>97.324925672681402</v>
      </c>
      <c r="AM3624">
        <v>88.036706614569894</v>
      </c>
      <c r="AN3624">
        <v>0.99999995749798898</v>
      </c>
    </row>
    <row r="3625" spans="1:40" x14ac:dyDescent="0.25">
      <c r="A3625" t="str">
        <f>"20190303154543478"</f>
        <v>20190303154543478</v>
      </c>
      <c r="B3625" t="str">
        <f>"1551599143474433"</f>
        <v>1551599143474433</v>
      </c>
      <c r="C3625" t="s">
        <v>40</v>
      </c>
      <c r="D3625">
        <v>5.1826339999999904</v>
      </c>
      <c r="E3625">
        <v>0.58856399999999998</v>
      </c>
      <c r="F3625" t="s">
        <v>54</v>
      </c>
      <c r="G3625">
        <v>-201.86609999999999</v>
      </c>
      <c r="H3625" s="1">
        <v>3.4063310000000001E-6</v>
      </c>
      <c r="I3625">
        <v>210.47790000000001</v>
      </c>
      <c r="J3625">
        <v>-216.91030000000001</v>
      </c>
      <c r="K3625">
        <v>1.121213</v>
      </c>
      <c r="L3625">
        <v>214.54259999999999</v>
      </c>
      <c r="M3625">
        <v>0.99981799999999998</v>
      </c>
      <c r="N3625">
        <v>-1.8911250000000001E-2</v>
      </c>
      <c r="O3625">
        <v>2.579502E-3</v>
      </c>
      <c r="P3625">
        <v>0.98865950000000002</v>
      </c>
      <c r="Q3625">
        <v>-0.1461769</v>
      </c>
      <c r="R3625">
        <v>-3.4423120000000001E-2</v>
      </c>
      <c r="S3625">
        <v>2.9767459999999999</v>
      </c>
      <c r="T3625">
        <v>-0.2187163</v>
      </c>
      <c r="U3625">
        <v>-0.79273990000000005</v>
      </c>
      <c r="V3625">
        <v>3.6968859999999999E-2</v>
      </c>
      <c r="W3625">
        <v>-0.12745709999999999</v>
      </c>
      <c r="X3625">
        <v>0.9911548</v>
      </c>
      <c r="Y3625">
        <v>0.25900030000000002</v>
      </c>
      <c r="Z3625">
        <v>-1.1973360000000001E-2</v>
      </c>
      <c r="AA3625">
        <v>0.96580299999999997</v>
      </c>
      <c r="AB3625">
        <v>21</v>
      </c>
      <c r="AC3625">
        <v>15.0442</v>
      </c>
      <c r="AD3625">
        <v>-1.1212095936689901</v>
      </c>
      <c r="AE3625">
        <v>-4.0646999999999798</v>
      </c>
      <c r="AF3625">
        <v>4.0823675874874503</v>
      </c>
      <c r="AG3625">
        <v>-1.1212095936689901</v>
      </c>
      <c r="AH3625">
        <v>14.9562422125928</v>
      </c>
      <c r="AI3625">
        <v>94.136447334959897</v>
      </c>
      <c r="AJ3625">
        <v>74.732785648804196</v>
      </c>
      <c r="AK3625">
        <v>15.543873944227901</v>
      </c>
      <c r="AL3625">
        <v>97.322673009059997</v>
      </c>
      <c r="AM3625">
        <v>87.863927803969503</v>
      </c>
      <c r="AN3625">
        <v>0.99999992325657105</v>
      </c>
    </row>
    <row r="3626" spans="1:40" x14ac:dyDescent="0.25">
      <c r="A3626" t="str">
        <f>"20190303154543503"</f>
        <v>20190303154543503</v>
      </c>
      <c r="B3626" t="str">
        <f>"1551599143494929"</f>
        <v>1551599143494929</v>
      </c>
      <c r="C3626" t="s">
        <v>40</v>
      </c>
      <c r="D3626">
        <v>5.2006500000000004</v>
      </c>
      <c r="E3626">
        <v>0.58878219999999903</v>
      </c>
      <c r="F3626" t="s">
        <v>54</v>
      </c>
      <c r="G3626">
        <v>-201.6268</v>
      </c>
      <c r="H3626" s="1">
        <v>3.30702E-6</v>
      </c>
      <c r="I3626">
        <v>210.3998</v>
      </c>
      <c r="J3626">
        <v>-216.67840000000001</v>
      </c>
      <c r="K3626">
        <v>1.1211580000000001</v>
      </c>
      <c r="L3626">
        <v>214.54320000000001</v>
      </c>
      <c r="M3626">
        <v>0.99983100000000003</v>
      </c>
      <c r="N3626">
        <v>-1.8206010000000002E-2</v>
      </c>
      <c r="O3626">
        <v>2.5795229999999998E-3</v>
      </c>
      <c r="P3626">
        <v>0.98857530000000005</v>
      </c>
      <c r="Q3626">
        <v>-0.14591879999999999</v>
      </c>
      <c r="R3626">
        <v>-3.7774149999999999E-2</v>
      </c>
      <c r="S3626">
        <v>2.974091</v>
      </c>
      <c r="T3626">
        <v>-0.21818090000000001</v>
      </c>
      <c r="U3626">
        <v>-0.80615230000000004</v>
      </c>
      <c r="V3626">
        <v>4.0319479999999998E-2</v>
      </c>
      <c r="W3626">
        <v>-0.12789990000000001</v>
      </c>
      <c r="X3626">
        <v>0.99096719999999905</v>
      </c>
      <c r="Y3626">
        <v>0.26327050000000002</v>
      </c>
      <c r="Z3626">
        <v>-1.2056219999999999E-2</v>
      </c>
      <c r="AA3626">
        <v>0.96464669999999997</v>
      </c>
      <c r="AB3626">
        <v>21</v>
      </c>
      <c r="AC3626">
        <v>15.051600000000001</v>
      </c>
      <c r="AD3626">
        <v>-1.12115469298</v>
      </c>
      <c r="AE3626">
        <v>-4.1434000000000104</v>
      </c>
      <c r="AF3626">
        <v>4.1607593043809601</v>
      </c>
      <c r="AG3626">
        <v>-1.12115469298</v>
      </c>
      <c r="AH3626">
        <v>14.963684320789</v>
      </c>
      <c r="AI3626">
        <v>94.128815442585207</v>
      </c>
      <c r="AJ3626">
        <v>74.461030243075896</v>
      </c>
      <c r="AK3626">
        <v>15.571793547527299</v>
      </c>
      <c r="AL3626">
        <v>97.348252237211497</v>
      </c>
      <c r="AM3626">
        <v>87.670091862470301</v>
      </c>
      <c r="AN3626">
        <v>1.00000001818165</v>
      </c>
    </row>
    <row r="3627" spans="1:40" x14ac:dyDescent="0.25">
      <c r="A3627" t="str">
        <f>"20190303154543539"</f>
        <v>20190303154543539</v>
      </c>
      <c r="B3627" t="str">
        <f>"1551599143534945"</f>
        <v>1551599143534945</v>
      </c>
      <c r="C3627" t="s">
        <v>40</v>
      </c>
      <c r="D3627">
        <v>5.1531900000000004</v>
      </c>
      <c r="E3627">
        <v>0.58905090000000004</v>
      </c>
      <c r="F3627" t="s">
        <v>54</v>
      </c>
      <c r="G3627">
        <v>-201.72559999999999</v>
      </c>
      <c r="H3627" s="1">
        <v>3.3488809999999999E-6</v>
      </c>
      <c r="I3627">
        <v>210.4222</v>
      </c>
      <c r="J3627">
        <v>-216.3383</v>
      </c>
      <c r="K3627">
        <v>1.121103</v>
      </c>
      <c r="L3627">
        <v>214.54400000000001</v>
      </c>
      <c r="M3627">
        <v>0.99984709999999999</v>
      </c>
      <c r="N3627">
        <v>-1.7294710000000001E-2</v>
      </c>
      <c r="O3627">
        <v>2.5797250000000002E-3</v>
      </c>
      <c r="P3627">
        <v>0.98831389999999997</v>
      </c>
      <c r="Q3627">
        <v>-0.1460602</v>
      </c>
      <c r="R3627">
        <v>-4.3611209999999997E-2</v>
      </c>
      <c r="S3627">
        <v>2.97052</v>
      </c>
      <c r="T3627">
        <v>-0.22272910000000001</v>
      </c>
      <c r="U3627">
        <v>-0.81866459999999996</v>
      </c>
      <c r="V3627">
        <v>4.6156120000000002E-2</v>
      </c>
      <c r="W3627">
        <v>-0.12894949999999999</v>
      </c>
      <c r="X3627">
        <v>0.99057640000000002</v>
      </c>
      <c r="Y3627">
        <v>0.26730479999999901</v>
      </c>
      <c r="Z3627">
        <v>-1.232841E-2</v>
      </c>
      <c r="AA3627">
        <v>0.96353319999999998</v>
      </c>
      <c r="AB3627">
        <v>21</v>
      </c>
      <c r="AC3627">
        <v>14.6127</v>
      </c>
      <c r="AD3627">
        <v>-1.1210996511189999</v>
      </c>
      <c r="AE3627">
        <v>-4.1218000000000004</v>
      </c>
      <c r="AF3627">
        <v>4.1369328871564202</v>
      </c>
      <c r="AG3627">
        <v>-1.1210996511189999</v>
      </c>
      <c r="AH3627">
        <v>14.5228338800739</v>
      </c>
      <c r="AI3627">
        <v>94.245978198207595</v>
      </c>
      <c r="AJ3627">
        <v>74.100018859758194</v>
      </c>
      <c r="AK3627">
        <v>15.1421194701666</v>
      </c>
      <c r="AL3627">
        <v>97.408892296515006</v>
      </c>
      <c r="AM3627">
        <v>87.332220422223699</v>
      </c>
      <c r="AN3627">
        <v>0.99999998260033196</v>
      </c>
    </row>
    <row r="3628" spans="1:40" x14ac:dyDescent="0.25">
      <c r="A3628" t="str">
        <f>"20190303154543565"</f>
        <v>20190303154543565</v>
      </c>
      <c r="B3628" t="str">
        <f>"1551599143554464"</f>
        <v>1551599143554464</v>
      </c>
      <c r="C3628" t="s">
        <v>40</v>
      </c>
      <c r="D3628">
        <v>5.1472439999999997</v>
      </c>
      <c r="E3628">
        <v>0.58930090000000002</v>
      </c>
      <c r="F3628" t="s">
        <v>54</v>
      </c>
      <c r="G3628">
        <v>-201.61340000000001</v>
      </c>
      <c r="H3628" s="1">
        <v>3.3028399999999998E-6</v>
      </c>
      <c r="I3628">
        <v>210.37950000000001</v>
      </c>
      <c r="J3628">
        <v>-216.1002</v>
      </c>
      <c r="K3628">
        <v>1.1210850000000001</v>
      </c>
      <c r="L3628">
        <v>214.5446</v>
      </c>
      <c r="M3628">
        <v>0.99985639999999998</v>
      </c>
      <c r="N3628">
        <v>-1.6754519999999998E-2</v>
      </c>
      <c r="O3628">
        <v>2.5794590000000001E-3</v>
      </c>
      <c r="P3628">
        <v>0.98822670000000001</v>
      </c>
      <c r="Q3628">
        <v>-0.1457396</v>
      </c>
      <c r="R3628">
        <v>-4.6561110000000003E-2</v>
      </c>
      <c r="S3628">
        <v>2.965103</v>
      </c>
      <c r="T3628">
        <v>-0.2257507</v>
      </c>
      <c r="U3628">
        <v>-0.83859249999999996</v>
      </c>
      <c r="V3628">
        <v>4.9105610000000001E-2</v>
      </c>
      <c r="W3628">
        <v>-0.1291658</v>
      </c>
      <c r="X3628">
        <v>0.99040640000000002</v>
      </c>
      <c r="Y3628">
        <v>0.2737173</v>
      </c>
      <c r="Z3628">
        <v>-1.2696580000000001E-2</v>
      </c>
      <c r="AA3628">
        <v>0.96172639999999998</v>
      </c>
      <c r="AB3628">
        <v>21</v>
      </c>
      <c r="AC3628">
        <v>14.486799999999899</v>
      </c>
      <c r="AD3628">
        <v>-1.1210816971599999</v>
      </c>
      <c r="AE3628">
        <v>-4.16509999999999</v>
      </c>
      <c r="AF3628">
        <v>4.17934179054037</v>
      </c>
      <c r="AG3628">
        <v>-1.1210816971599999</v>
      </c>
      <c r="AH3628">
        <v>14.3963741759112</v>
      </c>
      <c r="AI3628">
        <v>94.276898517575304</v>
      </c>
      <c r="AJ3628">
        <v>73.811713986074196</v>
      </c>
      <c r="AK3628">
        <v>15.0326082695821</v>
      </c>
      <c r="AL3628">
        <v>97.421389752828802</v>
      </c>
      <c r="AM3628">
        <v>87.1615267392432</v>
      </c>
      <c r="AN3628">
        <v>1.00000000099203</v>
      </c>
    </row>
    <row r="3629" spans="1:40" x14ac:dyDescent="0.25">
      <c r="A3629" t="str">
        <f>"20190303154543593"</f>
        <v>20190303154543593</v>
      </c>
      <c r="B3629" t="str">
        <f>"1551599143584720"</f>
        <v>1551599143584720</v>
      </c>
      <c r="C3629" t="s">
        <v>40</v>
      </c>
      <c r="D3629">
        <v>4.7008780000000003</v>
      </c>
      <c r="E3629">
        <v>0.58945570000000003</v>
      </c>
      <c r="F3629" t="s">
        <v>54</v>
      </c>
      <c r="G3629">
        <v>-201.36150000000001</v>
      </c>
      <c r="H3629" s="1">
        <v>3.1965760000000002E-6</v>
      </c>
      <c r="I3629">
        <v>210.3177</v>
      </c>
      <c r="J3629">
        <v>-215.828</v>
      </c>
      <c r="K3629">
        <v>1.1210709999999999</v>
      </c>
      <c r="L3629">
        <v>214.5453</v>
      </c>
      <c r="M3629">
        <v>0.99986520000000001</v>
      </c>
      <c r="N3629">
        <v>-1.622587E-2</v>
      </c>
      <c r="O3629">
        <v>2.5794889999999999E-3</v>
      </c>
      <c r="P3629">
        <v>0.98816669999999995</v>
      </c>
      <c r="Q3629">
        <v>-0.14521719999999999</v>
      </c>
      <c r="R3629">
        <v>-4.9383330000000003E-2</v>
      </c>
      <c r="S3629">
        <v>2.9624790000000001</v>
      </c>
      <c r="T3629">
        <v>-0.2253387</v>
      </c>
      <c r="U3629">
        <v>-0.84962459999999995</v>
      </c>
      <c r="V3629">
        <v>5.1927630000000002E-2</v>
      </c>
      <c r="W3629">
        <v>-0.12916830000000001</v>
      </c>
      <c r="X3629">
        <v>0.99026210000000003</v>
      </c>
      <c r="Y3629">
        <v>0.27724729999999997</v>
      </c>
      <c r="Z3629">
        <v>-1.27706E-2</v>
      </c>
      <c r="AA3629">
        <v>0.9607137</v>
      </c>
      <c r="AB3629">
        <v>21</v>
      </c>
      <c r="AC3629">
        <v>14.4664999999999</v>
      </c>
      <c r="AD3629">
        <v>-1.121067803424</v>
      </c>
      <c r="AE3629">
        <v>-4.22759999999999</v>
      </c>
      <c r="AF3629">
        <v>4.2414398803040001</v>
      </c>
      <c r="AG3629">
        <v>-1.121067803424</v>
      </c>
      <c r="AH3629">
        <v>14.3760054854041</v>
      </c>
      <c r="AI3629">
        <v>94.277444448140798</v>
      </c>
      <c r="AJ3629">
        <v>73.562040615765596</v>
      </c>
      <c r="AK3629">
        <v>15.030506944028099</v>
      </c>
      <c r="AL3629">
        <v>97.421534377014794</v>
      </c>
      <c r="AM3629">
        <v>86.998257877558601</v>
      </c>
      <c r="AN3629">
        <v>0.99999997758935799</v>
      </c>
    </row>
    <row r="3630" spans="1:40" x14ac:dyDescent="0.25">
      <c r="A3630" t="str">
        <f>"20190303154543614"</f>
        <v>20190303154543614</v>
      </c>
      <c r="B3630" t="str">
        <f>"1551599143604240"</f>
        <v>1551599143604240</v>
      </c>
      <c r="C3630" t="s">
        <v>40</v>
      </c>
      <c r="D3630">
        <v>5.116269</v>
      </c>
      <c r="E3630">
        <v>0.58962199999999998</v>
      </c>
      <c r="F3630" t="s">
        <v>54</v>
      </c>
      <c r="G3630">
        <v>-201.01759999999999</v>
      </c>
      <c r="H3630" s="1">
        <v>3.0503619999999998E-6</v>
      </c>
      <c r="I3630">
        <v>210.24529999999999</v>
      </c>
      <c r="J3630">
        <v>-215.62370000000001</v>
      </c>
      <c r="K3630">
        <v>1.121065</v>
      </c>
      <c r="L3630">
        <v>214.54580000000001</v>
      </c>
      <c r="M3630">
        <v>0.9998707</v>
      </c>
      <c r="N3630">
        <v>-1.5879549999999999E-2</v>
      </c>
      <c r="O3630">
        <v>2.5796009999999999E-3</v>
      </c>
      <c r="P3630">
        <v>0.98805050000000005</v>
      </c>
      <c r="Q3630">
        <v>-0.14519679999999999</v>
      </c>
      <c r="R3630">
        <v>-5.1715740000000003E-2</v>
      </c>
      <c r="S3630">
        <v>2.9600369999999998</v>
      </c>
      <c r="T3630">
        <v>-0.22405839999999999</v>
      </c>
      <c r="U3630">
        <v>-0.85940550000000004</v>
      </c>
      <c r="V3630">
        <v>5.4259630000000003E-2</v>
      </c>
      <c r="W3630">
        <v>-0.12949289999999999</v>
      </c>
      <c r="X3630">
        <v>0.99009469999999999</v>
      </c>
      <c r="Y3630">
        <v>0.28038849999999998</v>
      </c>
      <c r="Z3630">
        <v>-1.2809259999999999E-2</v>
      </c>
      <c r="AA3630">
        <v>0.95980109999999996</v>
      </c>
      <c r="AB3630">
        <v>21</v>
      </c>
      <c r="AC3630">
        <v>14.6061</v>
      </c>
      <c r="AD3630">
        <v>-1.1210619496380001</v>
      </c>
      <c r="AE3630">
        <v>-4.30050000000002</v>
      </c>
      <c r="AF3630">
        <v>4.3147776350067701</v>
      </c>
      <c r="AG3630">
        <v>-1.1210619496380001</v>
      </c>
      <c r="AH3630">
        <v>14.516262747768</v>
      </c>
      <c r="AI3630">
        <v>94.233715522129998</v>
      </c>
      <c r="AJ3630">
        <v>73.446076627863803</v>
      </c>
      <c r="AK3630">
        <v>15.185386728586</v>
      </c>
      <c r="AL3630">
        <v>97.440289813712894</v>
      </c>
      <c r="AM3630">
        <v>86.863187819136797</v>
      </c>
      <c r="AN3630">
        <v>1.00000001678311</v>
      </c>
    </row>
    <row r="3631" spans="1:40" x14ac:dyDescent="0.25">
      <c r="A3631" t="str">
        <f>"20190303154543633"</f>
        <v>20190303154543633</v>
      </c>
      <c r="B3631" t="str">
        <f>"1551599143624737"</f>
        <v>1551599143624737</v>
      </c>
      <c r="C3631" t="s">
        <v>40</v>
      </c>
      <c r="D3631">
        <v>5.1168809999999896</v>
      </c>
      <c r="E3631">
        <v>0.58971560000000001</v>
      </c>
      <c r="F3631" t="s">
        <v>54</v>
      </c>
      <c r="G3631">
        <v>-200.77170000000001</v>
      </c>
      <c r="H3631" s="1">
        <v>2.9463609999999998E-6</v>
      </c>
      <c r="I3631">
        <v>210.18790000000001</v>
      </c>
      <c r="J3631">
        <v>-215.45439999999999</v>
      </c>
      <c r="K3631">
        <v>1.121054</v>
      </c>
      <c r="L3631">
        <v>214.5463</v>
      </c>
      <c r="M3631">
        <v>0.99987470000000001</v>
      </c>
      <c r="N3631">
        <v>-1.562499E-2</v>
      </c>
      <c r="O3631">
        <v>2.579769E-3</v>
      </c>
      <c r="P3631">
        <v>0.98793980000000003</v>
      </c>
      <c r="Q3631">
        <v>-0.14539830000000001</v>
      </c>
      <c r="R3631">
        <v>-5.3238790000000001E-2</v>
      </c>
      <c r="S3631">
        <v>2.9580380000000002</v>
      </c>
      <c r="T3631">
        <v>-0.22328010000000001</v>
      </c>
      <c r="U3631">
        <v>-0.86796569999999995</v>
      </c>
      <c r="V3631">
        <v>5.5782709999999999E-2</v>
      </c>
      <c r="W3631">
        <v>-0.12994829999999999</v>
      </c>
      <c r="X3631">
        <v>0.98995040000000001</v>
      </c>
      <c r="Y3631">
        <v>0.28311979999999998</v>
      </c>
      <c r="Z3631">
        <v>-1.286298E-2</v>
      </c>
      <c r="AA3631">
        <v>0.95899829999999997</v>
      </c>
      <c r="AB3631">
        <v>21</v>
      </c>
      <c r="AC3631">
        <v>14.682699999999899</v>
      </c>
      <c r="AD3631">
        <v>-1.1210510536389999</v>
      </c>
      <c r="AE3631">
        <v>-4.3583999999999801</v>
      </c>
      <c r="AF3631">
        <v>4.3728404572471602</v>
      </c>
      <c r="AG3631">
        <v>-1.1210510536389999</v>
      </c>
      <c r="AH3631">
        <v>14.5932224421474</v>
      </c>
      <c r="AI3631">
        <v>94.208656282657799</v>
      </c>
      <c r="AJ3631">
        <v>73.319222446765295</v>
      </c>
      <c r="AK3631">
        <v>15.2754911664207</v>
      </c>
      <c r="AL3631">
        <v>97.466604535202407</v>
      </c>
      <c r="AM3631">
        <v>86.774851036870203</v>
      </c>
      <c r="AN3631">
        <v>1.00000003293399</v>
      </c>
    </row>
    <row r="3632" spans="1:40" x14ac:dyDescent="0.25">
      <c r="A3632" t="str">
        <f>"20190303154543654"</f>
        <v>20190303154543654</v>
      </c>
      <c r="B3632" t="str">
        <f>"1551599143645233"</f>
        <v>1551599143645233</v>
      </c>
      <c r="C3632" t="s">
        <v>40</v>
      </c>
      <c r="D3632">
        <v>5.1012300000000002</v>
      </c>
      <c r="E3632">
        <v>0.58976580000000001</v>
      </c>
      <c r="F3632" t="s">
        <v>54</v>
      </c>
      <c r="G3632">
        <v>-200.55600000000001</v>
      </c>
      <c r="H3632" s="1">
        <v>2.8542569999999998E-6</v>
      </c>
      <c r="I3632">
        <v>210.1472</v>
      </c>
      <c r="J3632">
        <v>-215.2484</v>
      </c>
      <c r="K3632">
        <v>1.1210580000000001</v>
      </c>
      <c r="L3632">
        <v>214.54679999999999</v>
      </c>
      <c r="M3632">
        <v>0.99987890000000001</v>
      </c>
      <c r="N3632">
        <v>-1.5349990000000001E-2</v>
      </c>
      <c r="O3632">
        <v>2.5798829999999998E-3</v>
      </c>
      <c r="P3632">
        <v>0.98777340000000002</v>
      </c>
      <c r="Q3632">
        <v>-0.145926799999999</v>
      </c>
      <c r="R3632">
        <v>-5.4858810000000001E-2</v>
      </c>
      <c r="S3632">
        <v>2.956833</v>
      </c>
      <c r="T3632">
        <v>-0.22249099999999999</v>
      </c>
      <c r="U3632">
        <v>-0.873077399999999</v>
      </c>
      <c r="V3632">
        <v>5.7402099999999998E-2</v>
      </c>
      <c r="W3632">
        <v>-0.1307517</v>
      </c>
      <c r="X3632">
        <v>0.98975199999999997</v>
      </c>
      <c r="Y3632">
        <v>0.28475409999999901</v>
      </c>
      <c r="Z3632">
        <v>-1.286145E-2</v>
      </c>
      <c r="AA3632">
        <v>0.95851430000000004</v>
      </c>
      <c r="AB3632">
        <v>21</v>
      </c>
      <c r="AC3632">
        <v>14.692399999999999</v>
      </c>
      <c r="AD3632">
        <v>-1.12105514574299</v>
      </c>
      <c r="AE3632">
        <v>-4.3995999999999897</v>
      </c>
      <c r="AF3632">
        <v>4.4139115706575804</v>
      </c>
      <c r="AG3632">
        <v>-1.12105514574299</v>
      </c>
      <c r="AH3632">
        <v>14.6029776038084</v>
      </c>
      <c r="AI3632">
        <v>94.202850121063705</v>
      </c>
      <c r="AJ3632">
        <v>73.181977089460204</v>
      </c>
      <c r="AK3632">
        <v>15.2966118761872</v>
      </c>
      <c r="AL3632">
        <v>97.513032219016694</v>
      </c>
      <c r="AM3632">
        <v>86.680766505135196</v>
      </c>
      <c r="AN3632">
        <v>1.00000001482065</v>
      </c>
    </row>
    <row r="3633" spans="1:40" x14ac:dyDescent="0.25">
      <c r="A3633" t="str">
        <f>"20190303154543678"</f>
        <v>20190303154543678</v>
      </c>
      <c r="B3633" t="str">
        <f>"1551599143674512"</f>
        <v>1551599143674512</v>
      </c>
      <c r="C3633" t="s">
        <v>40</v>
      </c>
      <c r="D3633">
        <v>5.11592</v>
      </c>
      <c r="E3633">
        <v>0.58972969999999902</v>
      </c>
      <c r="F3633" t="s">
        <v>54</v>
      </c>
      <c r="G3633">
        <v>-200.42570000000001</v>
      </c>
      <c r="H3633" s="1">
        <v>2.797136E-6</v>
      </c>
      <c r="I3633">
        <v>210.13980000000001</v>
      </c>
      <c r="J3633">
        <v>-215.0325</v>
      </c>
      <c r="K3633">
        <v>1.1210599999999999</v>
      </c>
      <c r="L3633">
        <v>214.54730000000001</v>
      </c>
      <c r="M3633">
        <v>0.99988279999999996</v>
      </c>
      <c r="N3633">
        <v>-1.50985999999999E-2</v>
      </c>
      <c r="O3633">
        <v>2.5797799999999998E-3</v>
      </c>
      <c r="P3633">
        <v>0.98778560000000004</v>
      </c>
      <c r="Q3633">
        <v>-0.14497669999999999</v>
      </c>
      <c r="R3633">
        <v>-5.7107499999999999E-2</v>
      </c>
      <c r="S3633">
        <v>2.9553219999999998</v>
      </c>
      <c r="T3633">
        <v>-0.22351380000000001</v>
      </c>
      <c r="U3633">
        <v>-0.878662099999999</v>
      </c>
      <c r="V3633">
        <v>5.965111E-2</v>
      </c>
      <c r="W3633">
        <v>-0.13005050000000001</v>
      </c>
      <c r="X3633">
        <v>0.98971140000000002</v>
      </c>
      <c r="Y3633">
        <v>0.28654059999999998</v>
      </c>
      <c r="Z3633">
        <v>-1.295727E-2</v>
      </c>
      <c r="AA3633">
        <v>0.95798050000000001</v>
      </c>
      <c r="AB3633">
        <v>21</v>
      </c>
      <c r="AC3633">
        <v>14.6067999999999</v>
      </c>
      <c r="AD3633">
        <v>-1.121057202864</v>
      </c>
      <c r="AE3633">
        <v>-4.40749999999999</v>
      </c>
      <c r="AF3633">
        <v>4.4213020099282501</v>
      </c>
      <c r="AG3633">
        <v>-1.121057202864</v>
      </c>
      <c r="AH3633">
        <v>14.51700459119</v>
      </c>
      <c r="AI3633">
        <v>94.224968204892207</v>
      </c>
      <c r="AJ3633">
        <v>73.061350340170904</v>
      </c>
      <c r="AK3633">
        <v>15.216704735773799</v>
      </c>
      <c r="AL3633">
        <v>97.472510366205697</v>
      </c>
      <c r="AM3633">
        <v>86.550886073522307</v>
      </c>
      <c r="AN3633">
        <v>1.00000002138222</v>
      </c>
    </row>
    <row r="3634" spans="1:40" x14ac:dyDescent="0.25">
      <c r="A3634" t="str">
        <f>"20190303154543697"</f>
        <v>20190303154543697</v>
      </c>
      <c r="B3634" t="str">
        <f>"1551599143695008"</f>
        <v>1551599143695008</v>
      </c>
      <c r="C3634" t="s">
        <v>40</v>
      </c>
      <c r="D3634">
        <v>5.0911839999999904</v>
      </c>
      <c r="E3634">
        <v>0.58975049999999996</v>
      </c>
      <c r="F3634" t="s">
        <v>54</v>
      </c>
      <c r="G3634">
        <v>-200.1961</v>
      </c>
      <c r="H3634" s="1">
        <v>2.69871E-6</v>
      </c>
      <c r="I3634">
        <v>210.10079999999999</v>
      </c>
      <c r="J3634">
        <v>-214.8432</v>
      </c>
      <c r="K3634">
        <v>1.121059</v>
      </c>
      <c r="L3634">
        <v>214.5478</v>
      </c>
      <c r="M3634">
        <v>0.99988569999999999</v>
      </c>
      <c r="N3634">
        <v>-1.4906620000000001E-2</v>
      </c>
      <c r="O3634">
        <v>2.5794989999999999E-3</v>
      </c>
      <c r="P3634">
        <v>0.98773900000000003</v>
      </c>
      <c r="Q3634">
        <v>-0.1442891</v>
      </c>
      <c r="R3634">
        <v>-5.9605810000000002E-2</v>
      </c>
      <c r="S3634">
        <v>2.9531710000000002</v>
      </c>
      <c r="T3634">
        <v>-0.22314490000000001</v>
      </c>
      <c r="U3634">
        <v>-0.88508609999999899</v>
      </c>
      <c r="V3634">
        <v>6.2148750000000003E-2</v>
      </c>
      <c r="W3634">
        <v>-0.1295539</v>
      </c>
      <c r="X3634">
        <v>0.98962280000000002</v>
      </c>
      <c r="Y3634">
        <v>0.28864109999999998</v>
      </c>
      <c r="Z3634">
        <v>-1.301034E-2</v>
      </c>
      <c r="AA3634">
        <v>0.95734900000000001</v>
      </c>
      <c r="AB3634">
        <v>21</v>
      </c>
      <c r="AC3634">
        <v>14.647099999999901</v>
      </c>
      <c r="AD3634">
        <v>-1.1210563012899999</v>
      </c>
      <c r="AE3634">
        <v>-4.4470000000000001</v>
      </c>
      <c r="AF3634">
        <v>4.4608453059027502</v>
      </c>
      <c r="AG3634">
        <v>-1.1210563012899999</v>
      </c>
      <c r="AH3634">
        <v>14.557498099099501</v>
      </c>
      <c r="AI3634">
        <v>94.211062914544002</v>
      </c>
      <c r="AJ3634">
        <v>72.963396022589706</v>
      </c>
      <c r="AK3634">
        <v>15.266848364319999</v>
      </c>
      <c r="AL3634">
        <v>97.443814798630001</v>
      </c>
      <c r="AM3634">
        <v>86.406518825358404</v>
      </c>
      <c r="AN3634">
        <v>0.99999998320580596</v>
      </c>
    </row>
    <row r="3635" spans="1:40" x14ac:dyDescent="0.25">
      <c r="A3635" t="str">
        <f>"20190303154543723"</f>
        <v>20190303154543723</v>
      </c>
      <c r="B3635" t="str">
        <f>"1551599143714529"</f>
        <v>1551599143714529</v>
      </c>
      <c r="C3635" t="s">
        <v>40</v>
      </c>
      <c r="D3635">
        <v>5.0968859999999996</v>
      </c>
      <c r="E3635">
        <v>0.58970690000000003</v>
      </c>
      <c r="F3635" t="s">
        <v>54</v>
      </c>
      <c r="G3635">
        <v>-199.99260000000001</v>
      </c>
      <c r="H3635" s="1">
        <v>2.6125789999999998E-6</v>
      </c>
      <c r="I3635">
        <v>210.054</v>
      </c>
      <c r="J3635">
        <v>-214.62010000000001</v>
      </c>
      <c r="K3635">
        <v>1.1210629999999999</v>
      </c>
      <c r="L3635">
        <v>214.54839999999999</v>
      </c>
      <c r="M3635">
        <v>0.99988849999999996</v>
      </c>
      <c r="N3635">
        <v>-1.470865E-2</v>
      </c>
      <c r="O3635">
        <v>2.5794809999999998E-3</v>
      </c>
      <c r="P3635">
        <v>0.98776280000000005</v>
      </c>
      <c r="Q3635">
        <v>-0.1429791</v>
      </c>
      <c r="R3635">
        <v>-6.2302599999999903E-2</v>
      </c>
      <c r="S3635">
        <v>2.9508209999999999</v>
      </c>
      <c r="T3635">
        <v>-0.22275590000000001</v>
      </c>
      <c r="U3635">
        <v>-0.89292909999999903</v>
      </c>
      <c r="V3635">
        <v>6.4845680000000003E-2</v>
      </c>
      <c r="W3635">
        <v>-0.12843979999999999</v>
      </c>
      <c r="X3635">
        <v>0.989595</v>
      </c>
      <c r="Y3635">
        <v>0.29117900000000002</v>
      </c>
      <c r="Z3635">
        <v>-1.308046E-2</v>
      </c>
      <c r="AA3635">
        <v>0.95657910000000002</v>
      </c>
      <c r="AB3635">
        <v>21</v>
      </c>
      <c r="AC3635">
        <v>14.6274999999999</v>
      </c>
      <c r="AD3635">
        <v>-1.1210603874209999</v>
      </c>
      <c r="AE3635">
        <v>-4.4943999999999802</v>
      </c>
      <c r="AF3635">
        <v>4.5079260320295598</v>
      </c>
      <c r="AG3635">
        <v>-1.1210603874209999</v>
      </c>
      <c r="AH3635">
        <v>14.5378309790046</v>
      </c>
      <c r="AI3635">
        <v>94.212436045101498</v>
      </c>
      <c r="AJ3635">
        <v>72.772254825124804</v>
      </c>
      <c r="AK3635">
        <v>15.261936413070201</v>
      </c>
      <c r="AL3635">
        <v>97.379443590105197</v>
      </c>
      <c r="AM3635">
        <v>86.250911057420097</v>
      </c>
      <c r="AN3635">
        <v>1.00000000423185</v>
      </c>
    </row>
    <row r="3636" spans="1:40" x14ac:dyDescent="0.25">
      <c r="A3636" t="str">
        <f>"20190303154543744"</f>
        <v>20190303154543744</v>
      </c>
      <c r="B3636" t="str">
        <f>"1551599143735025"</f>
        <v>1551599143735025</v>
      </c>
      <c r="C3636" t="s">
        <v>40</v>
      </c>
      <c r="D3636">
        <v>5.1273090000000003</v>
      </c>
      <c r="E3636">
        <v>0.58970789999999995</v>
      </c>
      <c r="F3636" t="s">
        <v>54</v>
      </c>
      <c r="G3636">
        <v>-199.54429999999999</v>
      </c>
      <c r="H3636" s="1">
        <v>2.6801800000000001E-6</v>
      </c>
      <c r="I3636">
        <v>209.94280000000001</v>
      </c>
      <c r="J3636">
        <v>-214.41669999999999</v>
      </c>
      <c r="K3636">
        <v>1.1210580000000001</v>
      </c>
      <c r="L3636">
        <v>214.5489</v>
      </c>
      <c r="M3636">
        <v>0.99989070000000002</v>
      </c>
      <c r="N3636">
        <v>-1.455394E-2</v>
      </c>
      <c r="O3636">
        <v>2.5796030000000002E-3</v>
      </c>
      <c r="P3636">
        <v>0.98767470000000002</v>
      </c>
      <c r="Q3636">
        <v>-0.14229169999999999</v>
      </c>
      <c r="R3636">
        <v>-6.5205849999999996E-2</v>
      </c>
      <c r="S3636">
        <v>2.9486080000000001</v>
      </c>
      <c r="T3636">
        <v>-0.21926200000000001</v>
      </c>
      <c r="U3636">
        <v>-0.90078740000000002</v>
      </c>
      <c r="V3636">
        <v>6.7748719999999998E-2</v>
      </c>
      <c r="W3636">
        <v>-0.1279071</v>
      </c>
      <c r="X3636">
        <v>0.9894695</v>
      </c>
      <c r="Y3636">
        <v>0.29373009999999999</v>
      </c>
      <c r="Z3636">
        <v>-1.30029E-2</v>
      </c>
      <c r="AA3636">
        <v>0.95579990000000004</v>
      </c>
      <c r="AB3636">
        <v>21</v>
      </c>
      <c r="AC3636">
        <v>14.872400000000001</v>
      </c>
      <c r="AD3636">
        <v>-1.12105531982</v>
      </c>
      <c r="AE3636">
        <v>-4.6060999999999899</v>
      </c>
      <c r="AF3636">
        <v>4.6204982854868204</v>
      </c>
      <c r="AG3636">
        <v>-1.12105531982</v>
      </c>
      <c r="AH3636">
        <v>14.783819453748</v>
      </c>
      <c r="AI3636">
        <v>94.139697222582797</v>
      </c>
      <c r="AJ3636">
        <v>72.644016843783007</v>
      </c>
      <c r="AK3636">
        <v>15.529555276224199</v>
      </c>
      <c r="AL3636">
        <v>97.348668292651496</v>
      </c>
      <c r="AM3636">
        <v>86.083086173862299</v>
      </c>
      <c r="AN3636">
        <v>1.00000000336114</v>
      </c>
    </row>
    <row r="3637" spans="1:40" x14ac:dyDescent="0.25">
      <c r="A3637" t="str">
        <f>"20190303154543769"</f>
        <v>20190303154543769</v>
      </c>
      <c r="B3637" t="str">
        <f>"1551599143764304"</f>
        <v>1551599143764304</v>
      </c>
      <c r="C3637" t="s">
        <v>40</v>
      </c>
      <c r="D3637">
        <v>5.1383419999999997</v>
      </c>
      <c r="E3637">
        <v>0.58961319999999995</v>
      </c>
      <c r="F3637" t="s">
        <v>54</v>
      </c>
      <c r="G3637">
        <v>-199.23820000000001</v>
      </c>
      <c r="H3637" s="1">
        <v>2.741527E-6</v>
      </c>
      <c r="I3637">
        <v>209.8621</v>
      </c>
      <c r="J3637">
        <v>-214.19220000000001</v>
      </c>
      <c r="K3637">
        <v>1.1210500000000001</v>
      </c>
      <c r="L3637">
        <v>214.54949999999999</v>
      </c>
      <c r="M3637">
        <v>0.99989300000000003</v>
      </c>
      <c r="N3637">
        <v>-1.440661E-2</v>
      </c>
      <c r="O3637">
        <v>2.5794809999999998E-3</v>
      </c>
      <c r="P3637">
        <v>0.98749790000000004</v>
      </c>
      <c r="Q3637">
        <v>-0.1424214</v>
      </c>
      <c r="R3637">
        <v>-6.755891E-2</v>
      </c>
      <c r="S3637">
        <v>2.9460299999999999</v>
      </c>
      <c r="T3637">
        <v>-0.21758749999999999</v>
      </c>
      <c r="U3637">
        <v>-0.90966800000000003</v>
      </c>
      <c r="V3637">
        <v>7.0101259999999999E-2</v>
      </c>
      <c r="W3637">
        <v>-0.1281854</v>
      </c>
      <c r="X3637">
        <v>0.98926959999999997</v>
      </c>
      <c r="Y3637">
        <v>0.29659990000000003</v>
      </c>
      <c r="Z3637">
        <v>-1.3028349999999999E-2</v>
      </c>
      <c r="AA3637">
        <v>0.95491300000000001</v>
      </c>
      <c r="AB3637">
        <v>21</v>
      </c>
      <c r="AC3637">
        <v>14.954000000000001</v>
      </c>
      <c r="AD3637">
        <v>-1.121047258473</v>
      </c>
      <c r="AE3637">
        <v>-4.6873999999999896</v>
      </c>
      <c r="AF3637">
        <v>4.7019015017018697</v>
      </c>
      <c r="AG3637">
        <v>-1.121047258473</v>
      </c>
      <c r="AH3637">
        <v>14.865787073237</v>
      </c>
      <c r="AI3637">
        <v>94.112517898154493</v>
      </c>
      <c r="AJ3637">
        <v>72.448351872833896</v>
      </c>
      <c r="AK3637">
        <v>15.631898476968701</v>
      </c>
      <c r="AL3637">
        <v>97.364745989720902</v>
      </c>
      <c r="AM3637">
        <v>85.946702770298202</v>
      </c>
      <c r="AN3637">
        <v>1.00000001245545</v>
      </c>
    </row>
    <row r="3638" spans="1:40" x14ac:dyDescent="0.25">
      <c r="A3638" t="str">
        <f>"20190303154543795"</f>
        <v>20190303154543795</v>
      </c>
      <c r="B3638" t="str">
        <f>"1551599143784801"</f>
        <v>1551599143784801</v>
      </c>
      <c r="C3638" t="s">
        <v>40</v>
      </c>
      <c r="D3638">
        <v>5.1093289999999998</v>
      </c>
      <c r="E3638">
        <v>0.5895243</v>
      </c>
      <c r="F3638" t="s">
        <v>54</v>
      </c>
      <c r="G3638">
        <v>-199.1208</v>
      </c>
      <c r="H3638" s="1">
        <v>2.7623740000000001E-6</v>
      </c>
      <c r="I3638">
        <v>209.86179999999999</v>
      </c>
      <c r="J3638">
        <v>-213.94040000000001</v>
      </c>
      <c r="K3638">
        <v>1.1210389999999999</v>
      </c>
      <c r="L3638">
        <v>214.55009999999999</v>
      </c>
      <c r="M3638">
        <v>0.99989499999999998</v>
      </c>
      <c r="N3638">
        <v>-1.4265389999999999E-2</v>
      </c>
      <c r="O3638">
        <v>2.5796629999999998E-3</v>
      </c>
      <c r="P3638">
        <v>0.98747189999999996</v>
      </c>
      <c r="Q3638">
        <v>-0.14144079999999901</v>
      </c>
      <c r="R3638">
        <v>-6.9958069999999997E-2</v>
      </c>
      <c r="S3638">
        <v>2.943756</v>
      </c>
      <c r="T3638">
        <v>-0.2189634</v>
      </c>
      <c r="U3638">
        <v>-0.91560359999999996</v>
      </c>
      <c r="V3638">
        <v>7.2500519999999999E-2</v>
      </c>
      <c r="W3638">
        <v>-0.12734519999999999</v>
      </c>
      <c r="X3638">
        <v>0.98920520000000001</v>
      </c>
      <c r="Y3638">
        <v>0.29854839999999999</v>
      </c>
      <c r="Z3638">
        <v>-1.316639E-2</v>
      </c>
      <c r="AA3638">
        <v>0.95430369999999998</v>
      </c>
      <c r="AB3638">
        <v>21</v>
      </c>
      <c r="AC3638">
        <v>14.819599999999999</v>
      </c>
      <c r="AD3638">
        <v>-1.1210362376259999</v>
      </c>
      <c r="AE3638">
        <v>-4.6882999999999901</v>
      </c>
      <c r="AF3638">
        <v>4.7020593919103097</v>
      </c>
      <c r="AG3638">
        <v>-1.1210362376259999</v>
      </c>
      <c r="AH3638">
        <v>14.7308305938777</v>
      </c>
      <c r="AI3638">
        <v>94.146553171206605</v>
      </c>
      <c r="AJ3638">
        <v>72.296993682339803</v>
      </c>
      <c r="AK3638">
        <v>15.503659398885301</v>
      </c>
      <c r="AL3638">
        <v>97.316208177125006</v>
      </c>
      <c r="AM3638">
        <v>85.808190493208699</v>
      </c>
      <c r="AN3638">
        <v>1.0000000265351701</v>
      </c>
    </row>
    <row r="3639" spans="1:40" x14ac:dyDescent="0.25">
      <c r="A3639" t="str">
        <f>"20190303154543819"</f>
        <v>20190303154543819</v>
      </c>
      <c r="B3639" t="str">
        <f>"1551599143815057"</f>
        <v>1551599143815057</v>
      </c>
      <c r="C3639" t="s">
        <v>40</v>
      </c>
      <c r="D3639">
        <v>5.1527279999999998</v>
      </c>
      <c r="E3639">
        <v>0.58959159999999999</v>
      </c>
      <c r="F3639" t="s">
        <v>54</v>
      </c>
      <c r="G3639">
        <v>-198.804</v>
      </c>
      <c r="H3639" s="1">
        <v>2.823462E-6</v>
      </c>
      <c r="I3639">
        <v>209.8058</v>
      </c>
      <c r="J3639">
        <v>-213.71250000000001</v>
      </c>
      <c r="K3639">
        <v>1.1210199999999999</v>
      </c>
      <c r="L3639">
        <v>214.55070000000001</v>
      </c>
      <c r="M3639">
        <v>0.99989660000000002</v>
      </c>
      <c r="N3639">
        <v>-1.415631E-2</v>
      </c>
      <c r="O3639">
        <v>2.5709560000000001E-3</v>
      </c>
      <c r="P3639">
        <v>0.98759649999999999</v>
      </c>
      <c r="Q3639">
        <v>-0.1394299</v>
      </c>
      <c r="R3639">
        <v>-7.2200280000000006E-2</v>
      </c>
      <c r="S3639">
        <v>2.9415439999999999</v>
      </c>
      <c r="T3639">
        <v>-0.2178581</v>
      </c>
      <c r="U3639">
        <v>-0.92199710000000001</v>
      </c>
      <c r="V3639">
        <v>7.4733259999999996E-2</v>
      </c>
      <c r="W3639">
        <v>-0.12544140000000001</v>
      </c>
      <c r="X3639">
        <v>0.98928229999999995</v>
      </c>
      <c r="Y3639">
        <v>0.3006355</v>
      </c>
      <c r="Z3639">
        <v>-1.3189609999999999E-2</v>
      </c>
      <c r="AA3639">
        <v>0.95364789999999999</v>
      </c>
      <c r="AB3639">
        <v>21</v>
      </c>
      <c r="AC3639">
        <v>14.9085</v>
      </c>
      <c r="AD3639">
        <v>-1.1210171765379999</v>
      </c>
      <c r="AE3639">
        <v>-4.7449000000000003</v>
      </c>
      <c r="AF3639">
        <v>4.7587857973140197</v>
      </c>
      <c r="AG3639">
        <v>-1.1210171765379999</v>
      </c>
      <c r="AH3639">
        <v>14.8201643237787</v>
      </c>
      <c r="AI3639">
        <v>94.119305116005407</v>
      </c>
      <c r="AJ3639">
        <v>72.198066838717196</v>
      </c>
      <c r="AK3639">
        <v>15.6057679195423</v>
      </c>
      <c r="AL3639">
        <v>97.206246512347505</v>
      </c>
      <c r="AM3639">
        <v>85.679915686173999</v>
      </c>
      <c r="AN3639">
        <v>1.0000000370387301</v>
      </c>
    </row>
    <row r="3640" spans="1:40" x14ac:dyDescent="0.25">
      <c r="A3640" t="str">
        <f>"20190303154543852"</f>
        <v>20190303154543852</v>
      </c>
      <c r="B3640" t="str">
        <f>"1551599143844336"</f>
        <v>1551599143844336</v>
      </c>
      <c r="C3640" t="s">
        <v>40</v>
      </c>
      <c r="D3640">
        <v>5.1099889999999997</v>
      </c>
      <c r="E3640">
        <v>0.5895513</v>
      </c>
      <c r="F3640" t="s">
        <v>54</v>
      </c>
      <c r="G3640">
        <v>-198.3048</v>
      </c>
      <c r="H3640" s="1">
        <v>2.9230560000000001E-6</v>
      </c>
      <c r="I3640">
        <v>209.67949999999999</v>
      </c>
      <c r="J3640">
        <v>-213.4145</v>
      </c>
      <c r="K3640">
        <v>1.1209579999999999</v>
      </c>
      <c r="L3640">
        <v>214.5514</v>
      </c>
      <c r="M3640">
        <v>0.99989850000000002</v>
      </c>
      <c r="N3640">
        <v>-1.4039029999999999E-2</v>
      </c>
      <c r="O3640">
        <v>2.486238E-3</v>
      </c>
      <c r="P3640">
        <v>0.98703969999999996</v>
      </c>
      <c r="Q3640">
        <v>-0.14062669999999999</v>
      </c>
      <c r="R3640">
        <v>-7.7313779999999999E-2</v>
      </c>
      <c r="S3640">
        <v>2.9395449999999999</v>
      </c>
      <c r="T3640">
        <v>-0.21387220000000001</v>
      </c>
      <c r="U3640">
        <v>-0.92935179999999995</v>
      </c>
      <c r="V3640">
        <v>7.9751399999999903E-2</v>
      </c>
      <c r="W3640">
        <v>-0.12676860000000001</v>
      </c>
      <c r="X3640">
        <v>0.98872110000000002</v>
      </c>
      <c r="Y3640">
        <v>0.30293419999999999</v>
      </c>
      <c r="Z3640">
        <v>-1.3067270000000001E-2</v>
      </c>
      <c r="AA3640">
        <v>0.95292189999999999</v>
      </c>
      <c r="AB3640">
        <v>21</v>
      </c>
      <c r="AC3640">
        <v>15.1097</v>
      </c>
      <c r="AD3640">
        <v>-1.120955076944</v>
      </c>
      <c r="AE3640">
        <v>-4.8719000000000099</v>
      </c>
      <c r="AF3640">
        <v>4.8851002289766701</v>
      </c>
      <c r="AG3640">
        <v>-1.120955076944</v>
      </c>
      <c r="AH3640">
        <v>15.0226438490329</v>
      </c>
      <c r="AI3640">
        <v>94.0589143881799</v>
      </c>
      <c r="AJ3640">
        <v>71.986383630560297</v>
      </c>
      <c r="AK3640">
        <v>15.836684398779999</v>
      </c>
      <c r="AL3640">
        <v>97.282901772011897</v>
      </c>
      <c r="AM3640">
        <v>85.388439419819505</v>
      </c>
      <c r="AN3640">
        <v>0.99999998866656503</v>
      </c>
    </row>
    <row r="3641" spans="1:40" x14ac:dyDescent="0.25">
      <c r="A3641" t="str">
        <f>"20190303154543877"</f>
        <v>20190303154543877</v>
      </c>
      <c r="B3641" t="str">
        <f>"1551599143864833"</f>
        <v>1551599143864833</v>
      </c>
      <c r="C3641" t="s">
        <v>40</v>
      </c>
      <c r="D3641">
        <v>5.0035089999999904</v>
      </c>
      <c r="E3641">
        <v>0.57695200000000002</v>
      </c>
      <c r="F3641" t="s">
        <v>54</v>
      </c>
      <c r="G3641">
        <v>-198.4924</v>
      </c>
      <c r="H3641" s="1">
        <v>2.8838779999999999E-6</v>
      </c>
      <c r="I3641">
        <v>209.74700000000001</v>
      </c>
      <c r="J3641">
        <v>-213.18440000000001</v>
      </c>
      <c r="K3641">
        <v>1.120892</v>
      </c>
      <c r="L3641">
        <v>214.55179999999999</v>
      </c>
      <c r="M3641">
        <v>0.99989989999999995</v>
      </c>
      <c r="N3641">
        <v>-1.396301E-2</v>
      </c>
      <c r="O3641">
        <v>2.345209E-3</v>
      </c>
      <c r="P3641">
        <v>0.98636279999999998</v>
      </c>
      <c r="Q3641">
        <v>-0.14381720000000001</v>
      </c>
      <c r="R3641">
        <v>-8.0035410000000001E-2</v>
      </c>
      <c r="S3641">
        <v>2.9339900000000001</v>
      </c>
      <c r="T3641">
        <v>-0.2204034</v>
      </c>
      <c r="U3641">
        <v>-0.94464110000000001</v>
      </c>
      <c r="V3641">
        <v>8.2317429999999997E-2</v>
      </c>
      <c r="W3641">
        <v>-0.130053</v>
      </c>
      <c r="X3641">
        <v>0.98808399999999996</v>
      </c>
      <c r="Y3641">
        <v>0.3077551</v>
      </c>
      <c r="Z3641">
        <v>-1.3604369999999999E-2</v>
      </c>
      <c r="AA3641">
        <v>0.95136829999999994</v>
      </c>
      <c r="AB3641">
        <v>21</v>
      </c>
      <c r="AC3641">
        <v>14.692</v>
      </c>
      <c r="AD3641">
        <v>-1.120889116122</v>
      </c>
      <c r="AE3641">
        <v>-4.80479999999997</v>
      </c>
      <c r="AF3641">
        <v>4.8139334651391499</v>
      </c>
      <c r="AG3641">
        <v>-1.120889116122</v>
      </c>
      <c r="AH3641">
        <v>14.603900429278999</v>
      </c>
      <c r="AI3641">
        <v>94.169175039372604</v>
      </c>
      <c r="AJ3641">
        <v>71.756053586439194</v>
      </c>
      <c r="AK3641">
        <v>15.417660508836001</v>
      </c>
      <c r="AL3641">
        <v>97.472655244479796</v>
      </c>
      <c r="AM3641">
        <v>85.237677242418798</v>
      </c>
      <c r="AN3641">
        <v>0.99999996657340096</v>
      </c>
    </row>
    <row r="3642" spans="1:40" x14ac:dyDescent="0.25">
      <c r="A3642" t="str">
        <f>"20190303154543899"</f>
        <v>20190303154543899</v>
      </c>
      <c r="B3642" t="str">
        <f>"1551599143895089"</f>
        <v>1551599143895089</v>
      </c>
      <c r="C3642" t="s">
        <v>40</v>
      </c>
      <c r="D3642">
        <v>5.0070420000000002</v>
      </c>
      <c r="E3642">
        <v>0.57349830000000002</v>
      </c>
      <c r="F3642" t="s">
        <v>54</v>
      </c>
      <c r="G3642">
        <v>-197.51230000000001</v>
      </c>
      <c r="H3642" s="1">
        <v>3.034888E-6</v>
      </c>
      <c r="I3642">
        <v>210.00839999999999</v>
      </c>
      <c r="J3642">
        <v>-212.9759</v>
      </c>
      <c r="K3642">
        <v>1.120816</v>
      </c>
      <c r="L3642">
        <v>214.5521</v>
      </c>
      <c r="M3642">
        <v>0.99990109999999999</v>
      </c>
      <c r="N3642">
        <v>-1.390387E-2</v>
      </c>
      <c r="O3642">
        <v>2.1462019999999998E-3</v>
      </c>
      <c r="P3642">
        <v>0.98582259999999999</v>
      </c>
      <c r="Q3642">
        <v>-0.1458776</v>
      </c>
      <c r="R3642">
        <v>-8.2908120000000002E-2</v>
      </c>
      <c r="S3642">
        <v>2.9416199999999999</v>
      </c>
      <c r="T3642">
        <v>-0.21038789999999999</v>
      </c>
      <c r="U3642">
        <v>-0.85278319999999996</v>
      </c>
      <c r="V3642">
        <v>8.4975599999999998E-2</v>
      </c>
      <c r="W3642">
        <v>-0.13219029999999901</v>
      </c>
      <c r="X3642">
        <v>0.98757519999999999</v>
      </c>
      <c r="Y3642">
        <v>0.27969949999999999</v>
      </c>
      <c r="Z3642">
        <v>-1.1896250000000001E-2</v>
      </c>
      <c r="AA3642">
        <v>0.96001389999999998</v>
      </c>
      <c r="AB3642">
        <v>21</v>
      </c>
      <c r="AC3642">
        <v>15.4635999999999</v>
      </c>
      <c r="AD3642">
        <v>-1.120812965112</v>
      </c>
      <c r="AE3642">
        <v>-4.5437000000000003</v>
      </c>
      <c r="AF3642">
        <v>4.5548537739867303</v>
      </c>
      <c r="AG3642">
        <v>-1.120812965112</v>
      </c>
      <c r="AH3642">
        <v>15.3794377840312</v>
      </c>
      <c r="AI3642">
        <v>93.997170088703697</v>
      </c>
      <c r="AJ3642">
        <v>73.502545613086099</v>
      </c>
      <c r="AK3642">
        <v>16.078868777313001</v>
      </c>
      <c r="AL3642">
        <v>97.596180133393403</v>
      </c>
      <c r="AM3642">
        <v>85.082115484411105</v>
      </c>
      <c r="AN3642">
        <v>0.99999995183224299</v>
      </c>
    </row>
    <row r="3643" spans="1:40" x14ac:dyDescent="0.25">
      <c r="A3643" t="str">
        <f>"20190303154543923"</f>
        <v>20190303154543923</v>
      </c>
      <c r="B3643" t="str">
        <f>"1551599143914608"</f>
        <v>1551599143914608</v>
      </c>
      <c r="C3643" t="s">
        <v>40</v>
      </c>
      <c r="D3643">
        <v>4.9845550000000003</v>
      </c>
      <c r="E3643">
        <v>0.57335999999999998</v>
      </c>
      <c r="F3643" t="s">
        <v>54</v>
      </c>
      <c r="G3643">
        <v>-198.8398</v>
      </c>
      <c r="H3643" s="1">
        <v>2.7528250000000002E-6</v>
      </c>
      <c r="I3643">
        <v>210.5412</v>
      </c>
      <c r="J3643">
        <v>-212.7585</v>
      </c>
      <c r="K3643">
        <v>1.1207499999999999</v>
      </c>
      <c r="L3643">
        <v>214.5522</v>
      </c>
      <c r="M3643">
        <v>0.99990239999999997</v>
      </c>
      <c r="N3643">
        <v>-1.385103E-2</v>
      </c>
      <c r="O3643">
        <v>1.8374800000000001E-3</v>
      </c>
      <c r="P3643">
        <v>0.98544520000000002</v>
      </c>
      <c r="Q3643">
        <v>-0.1463023</v>
      </c>
      <c r="R3643">
        <v>-8.6564569999999993E-2</v>
      </c>
      <c r="S3643">
        <v>2.9385680000000001</v>
      </c>
      <c r="T3643">
        <v>-0.23299059999999999</v>
      </c>
      <c r="U3643">
        <v>-0.83375549999999998</v>
      </c>
      <c r="V3643">
        <v>8.8306850000000006E-2</v>
      </c>
      <c r="W3643">
        <v>-0.13268659999999999</v>
      </c>
      <c r="X3643">
        <v>0.98721639999999999</v>
      </c>
      <c r="Y3643">
        <v>0.27377469999999998</v>
      </c>
      <c r="Z3643">
        <v>-1.268144E-2</v>
      </c>
      <c r="AA3643">
        <v>0.96171030000000002</v>
      </c>
      <c r="AB3643">
        <v>21</v>
      </c>
      <c r="AC3643">
        <v>13.918699999999999</v>
      </c>
      <c r="AD3643">
        <v>-1.120747247175</v>
      </c>
      <c r="AE3643">
        <v>-4.0109999999999904</v>
      </c>
      <c r="AF3643">
        <v>4.0125499415441901</v>
      </c>
      <c r="AG3643">
        <v>-1.120747247175</v>
      </c>
      <c r="AH3643">
        <v>13.828521416364801</v>
      </c>
      <c r="AI3643">
        <v>94.450676209160605</v>
      </c>
      <c r="AJ3643">
        <v>73.819132322586498</v>
      </c>
      <c r="AK3643">
        <v>14.4424594854303</v>
      </c>
      <c r="AL3643">
        <v>97.624868165216398</v>
      </c>
      <c r="AM3643">
        <v>84.888476700900597</v>
      </c>
      <c r="AN3643">
        <v>1.0000000270027201</v>
      </c>
    </row>
    <row r="3644" spans="1:40" x14ac:dyDescent="0.25">
      <c r="A3644" t="str">
        <f>"20190303154543948"</f>
        <v>20190303154543948</v>
      </c>
      <c r="B3644" t="str">
        <f>"1551599143944865"</f>
        <v>1551599143944865</v>
      </c>
      <c r="C3644" t="s">
        <v>40</v>
      </c>
      <c r="D3644">
        <v>4.9593970000000001</v>
      </c>
      <c r="E3644">
        <v>0.5733511</v>
      </c>
      <c r="F3644" t="s">
        <v>54</v>
      </c>
      <c r="G3644">
        <v>-199.07560000000001</v>
      </c>
      <c r="H3644" s="1">
        <v>2.7042619999999999E-6</v>
      </c>
      <c r="I3644">
        <v>210.6182</v>
      </c>
      <c r="J3644">
        <v>-212.52979999999999</v>
      </c>
      <c r="K3644">
        <v>1.1206719999999999</v>
      </c>
      <c r="L3644">
        <v>214.5521</v>
      </c>
      <c r="M3644">
        <v>0.99990389999999996</v>
      </c>
      <c r="N3644">
        <v>-1.380383E-2</v>
      </c>
      <c r="O3644">
        <v>1.378415E-3</v>
      </c>
      <c r="P3644">
        <v>0.98508569999999995</v>
      </c>
      <c r="Q3644">
        <v>-0.14609820000000001</v>
      </c>
      <c r="R3644">
        <v>-9.0894730000000007E-2</v>
      </c>
      <c r="S3644">
        <v>2.9345089999999998</v>
      </c>
      <c r="T3644">
        <v>-0.24036279999999999</v>
      </c>
      <c r="U3644">
        <v>-0.84370419999999902</v>
      </c>
      <c r="V3644">
        <v>9.2161359999999998E-2</v>
      </c>
      <c r="W3644">
        <v>-0.13255149999999999</v>
      </c>
      <c r="X3644">
        <v>0.98688220000000004</v>
      </c>
      <c r="Y3644">
        <v>0.27662910000000002</v>
      </c>
      <c r="Z3644">
        <v>-1.3129419999999999E-2</v>
      </c>
      <c r="AA3644">
        <v>0.96088709999999999</v>
      </c>
      <c r="AB3644">
        <v>21</v>
      </c>
      <c r="AC3644">
        <v>13.454199999999901</v>
      </c>
      <c r="AD3644">
        <v>-1.12066929573799</v>
      </c>
      <c r="AE3644">
        <v>-3.9338999999999902</v>
      </c>
      <c r="AF3644">
        <v>3.9273413556213299</v>
      </c>
      <c r="AG3644">
        <v>-1.12066929573799</v>
      </c>
      <c r="AH3644">
        <v>13.363350461237401</v>
      </c>
      <c r="AI3644">
        <v>94.600035549664497</v>
      </c>
      <c r="AJ3644">
        <v>73.6225192630028</v>
      </c>
      <c r="AK3644">
        <v>13.973512276583801</v>
      </c>
      <c r="AL3644">
        <v>97.617058373900207</v>
      </c>
      <c r="AM3644">
        <v>84.664827808578295</v>
      </c>
      <c r="AN3644">
        <v>1.0000000465530601</v>
      </c>
    </row>
    <row r="3645" spans="1:40" x14ac:dyDescent="0.25">
      <c r="A3645" t="str">
        <f>"20190303154543969"</f>
        <v>20190303154543969</v>
      </c>
      <c r="B3645" t="str">
        <f>"1551599143964384"</f>
        <v>1551599143964384</v>
      </c>
      <c r="C3645" t="s">
        <v>40</v>
      </c>
      <c r="D3645">
        <v>4.9111729999999998</v>
      </c>
      <c r="E3645">
        <v>0.5733625</v>
      </c>
      <c r="F3645" t="s">
        <v>54</v>
      </c>
      <c r="G3645">
        <v>-198.6139</v>
      </c>
      <c r="H3645" s="1">
        <v>2.7976679999999999E-6</v>
      </c>
      <c r="I3645">
        <v>210.48660000000001</v>
      </c>
      <c r="J3645">
        <v>-212.33410000000001</v>
      </c>
      <c r="K3645">
        <v>1.120611</v>
      </c>
      <c r="L3645">
        <v>214.55179999999999</v>
      </c>
      <c r="M3645">
        <v>0.99990489999999999</v>
      </c>
      <c r="N3645">
        <v>-1.376877E-2</v>
      </c>
      <c r="O3645">
        <v>8.9511359999999999E-4</v>
      </c>
      <c r="P3645">
        <v>0.98470869999999999</v>
      </c>
      <c r="Q3645">
        <v>-0.14585719999999999</v>
      </c>
      <c r="R3645">
        <v>-9.5260070000000002E-2</v>
      </c>
      <c r="S3645">
        <v>2.931381</v>
      </c>
      <c r="T3645">
        <v>-0.23606840000000001</v>
      </c>
      <c r="U3645">
        <v>-0.85638429999999999</v>
      </c>
      <c r="V3645">
        <v>9.6032060000000002E-2</v>
      </c>
      <c r="W3645">
        <v>-0.13236600000000001</v>
      </c>
      <c r="X3645">
        <v>0.98653789999999997</v>
      </c>
      <c r="Y3645">
        <v>0.28028989999999998</v>
      </c>
      <c r="Z3645">
        <v>-1.3069300000000001E-2</v>
      </c>
      <c r="AA3645">
        <v>0.95982639999999997</v>
      </c>
      <c r="AB3645">
        <v>21</v>
      </c>
      <c r="AC3645">
        <v>13.7202</v>
      </c>
      <c r="AD3645">
        <v>-1.1206082023320001</v>
      </c>
      <c r="AE3645">
        <v>-4.0651999999999697</v>
      </c>
      <c r="AF3645">
        <v>4.0526276887618602</v>
      </c>
      <c r="AG3645">
        <v>-1.1206082023320001</v>
      </c>
      <c r="AH3645">
        <v>13.6329504532534</v>
      </c>
      <c r="AI3645">
        <v>94.505079424823506</v>
      </c>
      <c r="AJ3645">
        <v>73.444518144448693</v>
      </c>
      <c r="AK3645">
        <v>14.2666356225886</v>
      </c>
      <c r="AL3645">
        <v>97.606336098720803</v>
      </c>
      <c r="AM3645">
        <v>84.440202484008196</v>
      </c>
      <c r="AN3645">
        <v>0.99999997132012597</v>
      </c>
    </row>
    <row r="3646" spans="1:40" x14ac:dyDescent="0.25">
      <c r="A3646" t="str">
        <f>"20190303154543996"</f>
        <v>20190303154543996</v>
      </c>
      <c r="B3646" t="str">
        <f>"1551599143984881"</f>
        <v>1551599143984881</v>
      </c>
      <c r="C3646" t="s">
        <v>40</v>
      </c>
      <c r="D3646">
        <v>4.836595</v>
      </c>
      <c r="E3646">
        <v>0.57325039999999905</v>
      </c>
      <c r="F3646" t="s">
        <v>54</v>
      </c>
      <c r="G3646">
        <v>-198.4196</v>
      </c>
      <c r="H3646" s="1">
        <v>2.8380359999999999E-6</v>
      </c>
      <c r="I3646">
        <v>210.41909999999999</v>
      </c>
      <c r="J3646">
        <v>-212.08539999999999</v>
      </c>
      <c r="K3646">
        <v>1.1205240000000001</v>
      </c>
      <c r="L3646">
        <v>214.5513</v>
      </c>
      <c r="M3646">
        <v>0.99990579999999996</v>
      </c>
      <c r="N3646">
        <v>-1.373052E-2</v>
      </c>
      <c r="O3646">
        <v>1.5072339999999999E-4</v>
      </c>
      <c r="P3646">
        <v>0.98423780000000005</v>
      </c>
      <c r="Q3646">
        <v>-0.14553940000000001</v>
      </c>
      <c r="R3646">
        <v>-0.1004707</v>
      </c>
      <c r="S3646">
        <v>2.9275669999999998</v>
      </c>
      <c r="T3646">
        <v>-0.23577300000000001</v>
      </c>
      <c r="U3646">
        <v>-0.86952209999999996</v>
      </c>
      <c r="V3646">
        <v>0.1004858</v>
      </c>
      <c r="W3646">
        <v>-0.13211319999999999</v>
      </c>
      <c r="X3646">
        <v>0.98612820000000001</v>
      </c>
      <c r="Y3646">
        <v>0.28386400000000001</v>
      </c>
      <c r="Z3646">
        <v>-1.317539E-2</v>
      </c>
      <c r="AA3646">
        <v>0.95877400000000002</v>
      </c>
      <c r="AB3646">
        <v>21</v>
      </c>
      <c r="AC3646">
        <v>13.6657999999999</v>
      </c>
      <c r="AD3646">
        <v>-1.1205211619640001</v>
      </c>
      <c r="AE3646">
        <v>-4.1322000000000099</v>
      </c>
      <c r="AF3646">
        <v>4.1089491789721002</v>
      </c>
      <c r="AG3646">
        <v>-1.1205211619640001</v>
      </c>
      <c r="AH3646">
        <v>13.5815161593456</v>
      </c>
      <c r="AI3646">
        <v>94.5151918680031</v>
      </c>
      <c r="AJ3646">
        <v>73.167344856239296</v>
      </c>
      <c r="AK3646">
        <v>14.2336436732254</v>
      </c>
      <c r="AL3646">
        <v>97.591722714283804</v>
      </c>
      <c r="AM3646">
        <v>84.181681281243499</v>
      </c>
      <c r="AN3646">
        <v>1.0000000602255501</v>
      </c>
    </row>
    <row r="3647" spans="1:40" x14ac:dyDescent="0.25">
      <c r="A3647" t="str">
        <f>"20190303154544030"</f>
        <v>20190303154544030</v>
      </c>
      <c r="B3647" t="str">
        <f>"1551599144024900"</f>
        <v>1551599144024900</v>
      </c>
      <c r="C3647" t="s">
        <v>40</v>
      </c>
      <c r="D3647">
        <v>4.726432</v>
      </c>
      <c r="E3647">
        <v>0.57302619999999904</v>
      </c>
      <c r="F3647" t="s">
        <v>54</v>
      </c>
      <c r="G3647">
        <v>-198.16370000000001</v>
      </c>
      <c r="H3647" s="1">
        <v>2.890167E-6</v>
      </c>
      <c r="I3647">
        <v>210.34190000000001</v>
      </c>
      <c r="J3647">
        <v>-211.7697</v>
      </c>
      <c r="K3647">
        <v>1.120387</v>
      </c>
      <c r="L3647">
        <v>214.54990000000001</v>
      </c>
      <c r="M3647">
        <v>0.99990570000000001</v>
      </c>
      <c r="N3647">
        <v>-1.3691119999999999E-2</v>
      </c>
      <c r="O3647">
        <v>-1.072363E-3</v>
      </c>
      <c r="P3647">
        <v>0.98312109999999997</v>
      </c>
      <c r="Q3647">
        <v>-0.1452175</v>
      </c>
      <c r="R3647">
        <v>-0.1112871</v>
      </c>
      <c r="S3647">
        <v>2.923035</v>
      </c>
      <c r="T3647">
        <v>-0.2352678</v>
      </c>
      <c r="U3647">
        <v>-0.88380429999999999</v>
      </c>
      <c r="V3647">
        <v>0.1100619</v>
      </c>
      <c r="W3647">
        <v>-0.131885</v>
      </c>
      <c r="X3647">
        <v>0.98513589999999995</v>
      </c>
      <c r="Y3647">
        <v>0.28738649999999999</v>
      </c>
      <c r="Z3647">
        <v>-1.323945E-2</v>
      </c>
      <c r="AA3647">
        <v>0.9577232</v>
      </c>
      <c r="AB3647">
        <v>21</v>
      </c>
      <c r="AC3647">
        <v>13.6059999999999</v>
      </c>
      <c r="AD3647">
        <v>-1.1203841098330001</v>
      </c>
      <c r="AE3647">
        <v>-4.2079999999999904</v>
      </c>
      <c r="AF3647">
        <v>4.1676134613436799</v>
      </c>
      <c r="AG3647">
        <v>-1.1203841098330001</v>
      </c>
      <c r="AH3647">
        <v>13.526791617238</v>
      </c>
      <c r="AI3647">
        <v>94.525825518160403</v>
      </c>
      <c r="AJ3647">
        <v>72.875899992875503</v>
      </c>
      <c r="AK3647">
        <v>14.198533514871199</v>
      </c>
      <c r="AL3647">
        <v>97.578532796879799</v>
      </c>
      <c r="AM3647">
        <v>83.625204646681098</v>
      </c>
      <c r="AN3647">
        <v>1.0000000082627001</v>
      </c>
    </row>
    <row r="3648" spans="1:40" x14ac:dyDescent="0.25">
      <c r="A3648" t="str">
        <f>"20190303154544059"</f>
        <v>20190303154544059</v>
      </c>
      <c r="B3648" t="str">
        <f>"1551599144055153"</f>
        <v>1551599144055153</v>
      </c>
      <c r="C3648" t="s">
        <v>40</v>
      </c>
      <c r="D3648">
        <v>4.7700079999999998</v>
      </c>
      <c r="E3648">
        <v>0.57266410000000001</v>
      </c>
      <c r="F3648" t="s">
        <v>54</v>
      </c>
      <c r="G3648">
        <v>-197.41659999999999</v>
      </c>
      <c r="H3648" s="1">
        <v>3.0482790000000002E-6</v>
      </c>
      <c r="I3648">
        <v>210.04929999999999</v>
      </c>
      <c r="J3648">
        <v>-211.51400000000001</v>
      </c>
      <c r="K3648">
        <v>1.120255</v>
      </c>
      <c r="L3648">
        <v>214.54830000000001</v>
      </c>
      <c r="M3648">
        <v>0.99990400000000002</v>
      </c>
      <c r="N3648">
        <v>-1.3665739999999999E-2</v>
      </c>
      <c r="O3648">
        <v>-2.3094930000000001E-3</v>
      </c>
      <c r="P3648">
        <v>0.98259149999999995</v>
      </c>
      <c r="Q3648">
        <v>-0.14433480000000001</v>
      </c>
      <c r="R3648">
        <v>-0.1169688</v>
      </c>
      <c r="S3648">
        <v>2.9144739999999998</v>
      </c>
      <c r="T3648">
        <v>-0.2275008</v>
      </c>
      <c r="U3648">
        <v>-0.91387940000000001</v>
      </c>
      <c r="V3648">
        <v>0.1144901</v>
      </c>
      <c r="W3648">
        <v>-0.13107240000000001</v>
      </c>
      <c r="X3648">
        <v>0.98473960000000005</v>
      </c>
      <c r="Y3648">
        <v>0.29602610000000001</v>
      </c>
      <c r="Z3648">
        <v>-1.3195490000000001E-2</v>
      </c>
      <c r="AA3648">
        <v>0.95508870000000001</v>
      </c>
      <c r="AB3648">
        <v>20</v>
      </c>
      <c r="AC3648">
        <v>14.0974</v>
      </c>
      <c r="AD3648">
        <v>-1.1202519517209999</v>
      </c>
      <c r="AE3648">
        <v>-4.4990000000000201</v>
      </c>
      <c r="AF3648">
        <v>4.4409758143811402</v>
      </c>
      <c r="AG3648">
        <v>-1.1202519517209999</v>
      </c>
      <c r="AH3648">
        <v>14.0273627479997</v>
      </c>
      <c r="AI3648">
        <v>94.353947284595094</v>
      </c>
      <c r="AJ3648">
        <v>72.432536727003594</v>
      </c>
      <c r="AK3648">
        <v>14.7561558775727</v>
      </c>
      <c r="AL3648">
        <v>97.531566454142506</v>
      </c>
      <c r="AM3648">
        <v>83.368318061876195</v>
      </c>
      <c r="AN3648">
        <v>1.0000000184239599</v>
      </c>
    </row>
    <row r="3649" spans="1:40" x14ac:dyDescent="0.25">
      <c r="A3649" t="str">
        <f>"20190303154544083"</f>
        <v>20190303154544083</v>
      </c>
      <c r="B3649" t="str">
        <f>"1551599144074674"</f>
        <v>1551599144074674</v>
      </c>
      <c r="C3649" t="s">
        <v>40</v>
      </c>
      <c r="D3649">
        <v>4.9214129999999896</v>
      </c>
      <c r="E3649">
        <v>0.58980969999999999</v>
      </c>
      <c r="F3649" t="s">
        <v>54</v>
      </c>
      <c r="G3649">
        <v>-197.04079999999999</v>
      </c>
      <c r="H3649" s="1">
        <v>3.1250070000000001E-6</v>
      </c>
      <c r="I3649">
        <v>209.9342</v>
      </c>
      <c r="J3649">
        <v>-211.2961</v>
      </c>
      <c r="K3649">
        <v>1.1201209999999999</v>
      </c>
      <c r="L3649">
        <v>214.54640000000001</v>
      </c>
      <c r="M3649">
        <v>0.99990060000000003</v>
      </c>
      <c r="N3649">
        <v>-1.364838E-2</v>
      </c>
      <c r="O3649">
        <v>-3.5808509999999999E-3</v>
      </c>
      <c r="P3649">
        <v>0.98201439999999995</v>
      </c>
      <c r="Q3649">
        <v>-0.1432813</v>
      </c>
      <c r="R3649">
        <v>-0.1229576</v>
      </c>
      <c r="S3649">
        <v>2.909653</v>
      </c>
      <c r="T3649">
        <v>-0.22521269999999999</v>
      </c>
      <c r="U3649">
        <v>-0.92761229999999995</v>
      </c>
      <c r="V3649">
        <v>0.1191938</v>
      </c>
      <c r="W3649">
        <v>-0.13008529999999999</v>
      </c>
      <c r="X3649">
        <v>0.98431230000000003</v>
      </c>
      <c r="Y3649">
        <v>0.29936760000000001</v>
      </c>
      <c r="Z3649">
        <v>-1.316318E-2</v>
      </c>
      <c r="AA3649">
        <v>0.95404699999999998</v>
      </c>
      <c r="AB3649">
        <v>20</v>
      </c>
      <c r="AC3649">
        <v>14.2553</v>
      </c>
      <c r="AD3649">
        <v>-1.1201178749930001</v>
      </c>
      <c r="AE3649">
        <v>-4.6121999999999996</v>
      </c>
      <c r="AF3649">
        <v>4.5357689174358704</v>
      </c>
      <c r="AG3649">
        <v>-1.1201178749930001</v>
      </c>
      <c r="AH3649">
        <v>14.192403623790799</v>
      </c>
      <c r="AI3649">
        <v>94.299283931374603</v>
      </c>
      <c r="AJ3649">
        <v>72.276571827707699</v>
      </c>
      <c r="AK3649">
        <v>14.9416258936853</v>
      </c>
      <c r="AL3649">
        <v>97.474521310775501</v>
      </c>
      <c r="AM3649">
        <v>83.0954722932984</v>
      </c>
      <c r="AN3649">
        <v>1.0000000255829</v>
      </c>
    </row>
    <row r="3650" spans="1:40" x14ac:dyDescent="0.25">
      <c r="A3650" t="str">
        <f>"20190303154544102"</f>
        <v>20190303154544102</v>
      </c>
      <c r="B3650" t="str">
        <f>"1551599144095169"</f>
        <v>1551599144095169</v>
      </c>
      <c r="C3650" t="s">
        <v>40</v>
      </c>
      <c r="D3650">
        <v>4.8674480000000004</v>
      </c>
      <c r="E3650">
        <v>0.59503379999999995</v>
      </c>
      <c r="F3650" t="s">
        <v>54</v>
      </c>
      <c r="G3650">
        <v>-198.45490000000001</v>
      </c>
      <c r="H3650" s="1">
        <v>2.8916500000000001E-6</v>
      </c>
      <c r="I3650">
        <v>209.73429999999999</v>
      </c>
      <c r="J3650">
        <v>-211.1138</v>
      </c>
      <c r="K3650">
        <v>1.119991</v>
      </c>
      <c r="L3650">
        <v>214.54429999999999</v>
      </c>
      <c r="M3650">
        <v>0.99989530000000004</v>
      </c>
      <c r="N3650">
        <v>-1.3637120000000001E-2</v>
      </c>
      <c r="O3650">
        <v>-4.8661390000000002E-3</v>
      </c>
      <c r="P3650">
        <v>0.98125600000000002</v>
      </c>
      <c r="Q3650">
        <v>-0.1427467</v>
      </c>
      <c r="R3650">
        <v>-0.1294631</v>
      </c>
      <c r="S3650">
        <v>2.882965</v>
      </c>
      <c r="T3650">
        <v>-0.25147560000000002</v>
      </c>
      <c r="U3650">
        <v>-1.0803529999999999</v>
      </c>
      <c r="V3650">
        <v>0.1243992</v>
      </c>
      <c r="W3650">
        <v>-0.12961929999999999</v>
      </c>
      <c r="X3650">
        <v>0.98372950000000003</v>
      </c>
      <c r="Y3650">
        <v>0.34500910000000001</v>
      </c>
      <c r="Z3650">
        <v>-1.661694E-2</v>
      </c>
      <c r="AA3650">
        <v>0.93845219999999896</v>
      </c>
      <c r="AB3650">
        <v>20</v>
      </c>
      <c r="AC3650">
        <v>12.6588999999999</v>
      </c>
      <c r="AD3650">
        <v>-1.1199881083499901</v>
      </c>
      <c r="AE3650">
        <v>-4.8099999999999996</v>
      </c>
      <c r="AF3650">
        <v>4.7160786588673096</v>
      </c>
      <c r="AG3650">
        <v>-1.1199881083499901</v>
      </c>
      <c r="AH3650">
        <v>12.5959998457555</v>
      </c>
      <c r="AI3650">
        <v>94.760090673203095</v>
      </c>
      <c r="AJ3650">
        <v>69.473556040796495</v>
      </c>
      <c r="AK3650">
        <v>13.496480407637399</v>
      </c>
      <c r="AL3650">
        <v>97.447593482360304</v>
      </c>
      <c r="AM3650">
        <v>82.792818931244497</v>
      </c>
      <c r="AN3650">
        <v>1.00000002653168</v>
      </c>
    </row>
    <row r="3651" spans="1:40" x14ac:dyDescent="0.25">
      <c r="A3651" t="str">
        <f>"20190303154544123"</f>
        <v>20190303154544123</v>
      </c>
      <c r="B3651" t="str">
        <f>"1551599144114689"</f>
        <v>1551599144114689</v>
      </c>
      <c r="C3651" t="s">
        <v>40</v>
      </c>
      <c r="D3651">
        <v>4.8221730000000003</v>
      </c>
      <c r="E3651">
        <v>0.59707769999999905</v>
      </c>
      <c r="F3651" t="s">
        <v>54</v>
      </c>
      <c r="G3651">
        <v>-198.6722</v>
      </c>
      <c r="H3651" s="1">
        <v>2.8679729999999998E-6</v>
      </c>
      <c r="I3651">
        <v>209.59909999999999</v>
      </c>
      <c r="J3651">
        <v>-210.92259999999999</v>
      </c>
      <c r="K3651">
        <v>1.119845</v>
      </c>
      <c r="L3651">
        <v>214.54169999999999</v>
      </c>
      <c r="M3651">
        <v>0.99988659999999996</v>
      </c>
      <c r="N3651">
        <v>-1.362822E-2</v>
      </c>
      <c r="O3651">
        <v>-6.4257919999999996E-3</v>
      </c>
      <c r="P3651">
        <v>0.98027299999999995</v>
      </c>
      <c r="Q3651">
        <v>-0.14293120000000001</v>
      </c>
      <c r="R3651">
        <v>-0.1365121</v>
      </c>
      <c r="S3651">
        <v>2.8692630000000001</v>
      </c>
      <c r="T3651">
        <v>-0.2582893</v>
      </c>
      <c r="U3651">
        <v>-1.1404570000000001</v>
      </c>
      <c r="V3651">
        <v>0.1298773</v>
      </c>
      <c r="W3651">
        <v>-0.1298803</v>
      </c>
      <c r="X3651">
        <v>0.98298669999999999</v>
      </c>
      <c r="Y3651">
        <v>0.36192380000000002</v>
      </c>
      <c r="Z3651">
        <v>-1.7754590000000001E-2</v>
      </c>
      <c r="AA3651">
        <v>0.93203849999999999</v>
      </c>
      <c r="AB3651">
        <v>20</v>
      </c>
      <c r="AC3651">
        <v>12.2503999999999</v>
      </c>
      <c r="AD3651">
        <v>-1.119842132027</v>
      </c>
      <c r="AE3651">
        <v>-4.9425999999999899</v>
      </c>
      <c r="AF3651">
        <v>4.8290682722574596</v>
      </c>
      <c r="AG3651">
        <v>-1.119842132027</v>
      </c>
      <c r="AH3651">
        <v>12.194276583687</v>
      </c>
      <c r="AI3651">
        <v>94.880199498214395</v>
      </c>
      <c r="AJ3651">
        <v>68.395886984646097</v>
      </c>
      <c r="AK3651">
        <v>13.163370699719801</v>
      </c>
      <c r="AL3651">
        <v>97.462675902374698</v>
      </c>
      <c r="AM3651">
        <v>82.473380028324897</v>
      </c>
      <c r="AN3651">
        <v>0.99999992888013201</v>
      </c>
    </row>
    <row r="3652" spans="1:40" x14ac:dyDescent="0.25">
      <c r="A3652" t="str">
        <f>"20190303154544146"</f>
        <v>20190303154544146</v>
      </c>
      <c r="B3652" t="str">
        <f>"1551599144134209"</f>
        <v>1551599144134209</v>
      </c>
      <c r="C3652" t="s">
        <v>40</v>
      </c>
      <c r="D3652">
        <v>4.7958669999999897</v>
      </c>
      <c r="E3652">
        <v>0.59810839999999998</v>
      </c>
      <c r="F3652" t="s">
        <v>54</v>
      </c>
      <c r="G3652">
        <v>-198.1523</v>
      </c>
      <c r="H3652" s="1">
        <v>3.0434240000000002E-6</v>
      </c>
      <c r="I3652">
        <v>209.28479999999999</v>
      </c>
      <c r="J3652">
        <v>-210.70930000000001</v>
      </c>
      <c r="K3652">
        <v>1.119677</v>
      </c>
      <c r="L3652">
        <v>214.53800000000001</v>
      </c>
      <c r="M3652">
        <v>0.99987179999999998</v>
      </c>
      <c r="N3652">
        <v>-1.3621100000000001E-2</v>
      </c>
      <c r="O3652">
        <v>-8.4384309999999997E-3</v>
      </c>
      <c r="P3652">
        <v>0.97904239999999998</v>
      </c>
      <c r="Q3652">
        <v>-0.14370849999999999</v>
      </c>
      <c r="R3652">
        <v>-0.1443063</v>
      </c>
      <c r="S3652">
        <v>2.8598940000000002</v>
      </c>
      <c r="T3652">
        <v>-0.2507877</v>
      </c>
      <c r="U3652">
        <v>-1.1772769999999999</v>
      </c>
      <c r="V3652">
        <v>0.13565199999999999</v>
      </c>
      <c r="W3652">
        <v>-0.130746</v>
      </c>
      <c r="X3652">
        <v>0.98209170000000001</v>
      </c>
      <c r="Y3652">
        <v>0.3714288</v>
      </c>
      <c r="Z3652">
        <v>-1.7656310000000001E-2</v>
      </c>
      <c r="AA3652">
        <v>0.92829349999999999</v>
      </c>
      <c r="AB3652">
        <v>20</v>
      </c>
      <c r="AC3652">
        <v>12.557</v>
      </c>
      <c r="AD3652">
        <v>-1.1196739565760001</v>
      </c>
      <c r="AE3652">
        <v>-5.2531999999999899</v>
      </c>
      <c r="AF3652">
        <v>5.1124480609134197</v>
      </c>
      <c r="AG3652">
        <v>-1.1196739565760001</v>
      </c>
      <c r="AH3652">
        <v>12.516194147510699</v>
      </c>
      <c r="AI3652">
        <v>94.734186991930201</v>
      </c>
      <c r="AJ3652">
        <v>67.781622084041302</v>
      </c>
      <c r="AK3652">
        <v>13.566352158290499</v>
      </c>
      <c r="AL3652">
        <v>97.5127025816208</v>
      </c>
      <c r="AM3652">
        <v>82.135747634328496</v>
      </c>
      <c r="AN3652">
        <v>1.0000000444144399</v>
      </c>
    </row>
    <row r="3653" spans="1:40" x14ac:dyDescent="0.25">
      <c r="A3653" t="str">
        <f>"20190303154544169"</f>
        <v>20190303154544169</v>
      </c>
      <c r="B3653" t="str">
        <f>"1551599144164466"</f>
        <v>1551599144164466</v>
      </c>
      <c r="C3653" t="s">
        <v>40</v>
      </c>
      <c r="D3653">
        <v>4.8140090000000004</v>
      </c>
      <c r="E3653">
        <v>0.59870769999999995</v>
      </c>
      <c r="F3653" t="s">
        <v>54</v>
      </c>
      <c r="G3653">
        <v>-197.95099999999999</v>
      </c>
      <c r="H3653" s="1">
        <v>3.1202199999999999E-6</v>
      </c>
      <c r="I3653">
        <v>209.12960000000001</v>
      </c>
      <c r="J3653">
        <v>-210.5086</v>
      </c>
      <c r="K3653">
        <v>1.1195139999999999</v>
      </c>
      <c r="L3653">
        <v>214.53389999999999</v>
      </c>
      <c r="M3653">
        <v>0.99985119999999905</v>
      </c>
      <c r="N3653">
        <v>-1.3616390000000001E-2</v>
      </c>
      <c r="O3653">
        <v>-1.0597250000000001E-2</v>
      </c>
      <c r="P3653">
        <v>0.97762070000000001</v>
      </c>
      <c r="Q3653">
        <v>-0.1444916</v>
      </c>
      <c r="R3653">
        <v>-0.15290629999999999</v>
      </c>
      <c r="S3653">
        <v>2.8494570000000001</v>
      </c>
      <c r="T3653">
        <v>-0.25007099999999999</v>
      </c>
      <c r="U3653">
        <v>-1.207932</v>
      </c>
      <c r="V3653">
        <v>0.14209769999999999</v>
      </c>
      <c r="W3653">
        <v>-0.13162070000000001</v>
      </c>
      <c r="X3653">
        <v>0.98106280000000001</v>
      </c>
      <c r="Y3653">
        <v>0.37908730000000002</v>
      </c>
      <c r="Z3653">
        <v>-1.7861809999999999E-2</v>
      </c>
      <c r="AA3653">
        <v>0.92518849999999997</v>
      </c>
      <c r="AB3653">
        <v>20</v>
      </c>
      <c r="AC3653">
        <v>12.557600000000001</v>
      </c>
      <c r="AD3653">
        <v>-1.11951087977999</v>
      </c>
      <c r="AE3653">
        <v>-5.4042999999999699</v>
      </c>
      <c r="AF3653">
        <v>5.2357981294471401</v>
      </c>
      <c r="AG3653">
        <v>-1.11951087977999</v>
      </c>
      <c r="AH3653">
        <v>12.5301466269558</v>
      </c>
      <c r="AI3653">
        <v>94.712682450524696</v>
      </c>
      <c r="AJ3653">
        <v>67.322091643516103</v>
      </c>
      <c r="AK3653">
        <v>13.626131555040899</v>
      </c>
      <c r="AL3653">
        <v>97.563256480704098</v>
      </c>
      <c r="AM3653">
        <v>81.758559261212895</v>
      </c>
      <c r="AN3653">
        <v>0.99999999127881001</v>
      </c>
    </row>
    <row r="3654" spans="1:40" x14ac:dyDescent="0.25">
      <c r="A3654" t="str">
        <f>"20190303154544197"</f>
        <v>20190303154544197</v>
      </c>
      <c r="B3654" t="str">
        <f>"1551599144194721"</f>
        <v>1551599144194721</v>
      </c>
      <c r="C3654" t="s">
        <v>40</v>
      </c>
      <c r="D3654">
        <v>4.8185859999999998</v>
      </c>
      <c r="E3654">
        <v>0.59925130000000004</v>
      </c>
      <c r="F3654" t="s">
        <v>54</v>
      </c>
      <c r="G3654">
        <v>-198.27619999999999</v>
      </c>
      <c r="H3654" s="1">
        <v>3.0447019999999999E-6</v>
      </c>
      <c r="I3654">
        <v>209.197</v>
      </c>
      <c r="J3654">
        <v>-210.2484</v>
      </c>
      <c r="K3654">
        <v>1.1193109999999999</v>
      </c>
      <c r="L3654">
        <v>214.52760000000001</v>
      </c>
      <c r="M3654">
        <v>0.99981240000000005</v>
      </c>
      <c r="N3654">
        <v>-1.3613480000000001E-2</v>
      </c>
      <c r="O3654">
        <v>-1.3784279999999999E-2</v>
      </c>
      <c r="P3654">
        <v>0.97559859999999998</v>
      </c>
      <c r="Q3654">
        <v>-0.1461684</v>
      </c>
      <c r="R3654">
        <v>-0.1638377</v>
      </c>
      <c r="S3654">
        <v>2.8367460000000002</v>
      </c>
      <c r="T3654">
        <v>-0.25962000000000002</v>
      </c>
      <c r="U3654">
        <v>-1.237671</v>
      </c>
      <c r="V3654">
        <v>0.14986340000000001</v>
      </c>
      <c r="W3654">
        <v>-0.1334185</v>
      </c>
      <c r="X3654">
        <v>0.97966339999999996</v>
      </c>
      <c r="Y3654">
        <v>0.38567249999999997</v>
      </c>
      <c r="Z3654">
        <v>-1.8570070000000001E-2</v>
      </c>
      <c r="AA3654">
        <v>0.92244879999999996</v>
      </c>
      <c r="AB3654">
        <v>20</v>
      </c>
      <c r="AC3654">
        <v>11.972200000000001</v>
      </c>
      <c r="AD3654">
        <v>-1.1193079552979901</v>
      </c>
      <c r="AE3654">
        <v>-5.3305999999999996</v>
      </c>
      <c r="AF3654">
        <v>5.1276455691348</v>
      </c>
      <c r="AG3654">
        <v>-1.1193079552979901</v>
      </c>
      <c r="AH3654">
        <v>11.957322970838399</v>
      </c>
      <c r="AI3654">
        <v>94.917153439360206</v>
      </c>
      <c r="AJ3654">
        <v>66.788948083295693</v>
      </c>
      <c r="AK3654">
        <v>13.0584521291921</v>
      </c>
      <c r="AL3654">
        <v>97.667179680846402</v>
      </c>
      <c r="AM3654">
        <v>81.302638262094703</v>
      </c>
      <c r="AN3654">
        <v>0.99999995605068404</v>
      </c>
    </row>
    <row r="3655" spans="1:40" x14ac:dyDescent="0.25">
      <c r="A3655" t="str">
        <f>"20190303154544219"</f>
        <v>20190303154544219</v>
      </c>
      <c r="B3655" t="str">
        <f>"1551599144215218"</f>
        <v>1551599144215218</v>
      </c>
      <c r="C3655" t="s">
        <v>40</v>
      </c>
      <c r="D3655">
        <v>4.8134959999999998</v>
      </c>
      <c r="E3655">
        <v>0.59922430000000004</v>
      </c>
      <c r="F3655" t="s">
        <v>54</v>
      </c>
      <c r="G3655">
        <v>-198.46600000000001</v>
      </c>
      <c r="H3655" s="1">
        <v>3.0082770000000001E-6</v>
      </c>
      <c r="I3655">
        <v>209.20740000000001</v>
      </c>
      <c r="J3655">
        <v>-210.0547</v>
      </c>
      <c r="K3655">
        <v>1.1191799999999901</v>
      </c>
      <c r="L3655">
        <v>214.52199999999999</v>
      </c>
      <c r="M3655">
        <v>0.99977229999999995</v>
      </c>
      <c r="N3655">
        <v>-1.36136E-2</v>
      </c>
      <c r="O3655">
        <v>-1.6433380000000001E-2</v>
      </c>
      <c r="P3655">
        <v>0.97330090000000002</v>
      </c>
      <c r="Q3655">
        <v>-0.14894649999999901</v>
      </c>
      <c r="R3655">
        <v>-0.17464399999999999</v>
      </c>
      <c r="S3655">
        <v>2.8209689999999998</v>
      </c>
      <c r="T3655">
        <v>-0.26798729999999998</v>
      </c>
      <c r="U3655">
        <v>-1.273773</v>
      </c>
      <c r="V3655">
        <v>0.15805759999999999</v>
      </c>
      <c r="W3655">
        <v>-0.13630510000000001</v>
      </c>
      <c r="X3655">
        <v>0.97797690000000004</v>
      </c>
      <c r="Y3655">
        <v>0.39482040000000002</v>
      </c>
      <c r="Z3655">
        <v>-1.9396130000000001E-2</v>
      </c>
      <c r="AA3655">
        <v>0.91855359999999997</v>
      </c>
      <c r="AB3655">
        <v>20</v>
      </c>
      <c r="AC3655">
        <v>11.588699999999999</v>
      </c>
      <c r="AD3655">
        <v>-1.1191769917229999</v>
      </c>
      <c r="AE3655">
        <v>-5.3146000000000102</v>
      </c>
      <c r="AF3655">
        <v>5.0842438203023796</v>
      </c>
      <c r="AG3655">
        <v>-1.1191769917229999</v>
      </c>
      <c r="AH3655">
        <v>11.585204068641699</v>
      </c>
      <c r="AI3655">
        <v>95.055244922967105</v>
      </c>
      <c r="AJ3655">
        <v>66.305412397564496</v>
      </c>
      <c r="AK3655">
        <v>12.701143479039899</v>
      </c>
      <c r="AL3655">
        <v>97.834093863112102</v>
      </c>
      <c r="AM3655">
        <v>80.819416518943399</v>
      </c>
      <c r="AN3655">
        <v>1.00000005106868</v>
      </c>
    </row>
    <row r="3656" spans="1:40" x14ac:dyDescent="0.25">
      <c r="A3656" t="str">
        <f>"20190303154544238"</f>
        <v>20190303154544238</v>
      </c>
      <c r="B3656" t="str">
        <f>"1551599144234737"</f>
        <v>1551599144234737</v>
      </c>
      <c r="C3656" t="s">
        <v>40</v>
      </c>
      <c r="D3656">
        <v>4.8542180000000004</v>
      </c>
      <c r="E3656">
        <v>0.59917830000000005</v>
      </c>
      <c r="F3656" t="s">
        <v>54</v>
      </c>
      <c r="G3656">
        <v>-198.84610000000001</v>
      </c>
      <c r="H3656" s="1">
        <v>2.9135990000000001E-6</v>
      </c>
      <c r="I3656">
        <v>209.31030000000001</v>
      </c>
      <c r="J3656">
        <v>-209.876</v>
      </c>
      <c r="K3656">
        <v>1.119086</v>
      </c>
      <c r="L3656">
        <v>214.51609999999999</v>
      </c>
      <c r="M3656">
        <v>0.99972559999999999</v>
      </c>
      <c r="N3656">
        <v>-1.3614619999999999E-2</v>
      </c>
      <c r="O3656">
        <v>-1.906182E-2</v>
      </c>
      <c r="P3656">
        <v>0.97154969999999996</v>
      </c>
      <c r="Q3656">
        <v>-0.1473949</v>
      </c>
      <c r="R3656">
        <v>-0.18538099999999999</v>
      </c>
      <c r="S3656">
        <v>2.8053590000000002</v>
      </c>
      <c r="T3656">
        <v>-0.280114799999999</v>
      </c>
      <c r="U3656">
        <v>-1.3044129999999901</v>
      </c>
      <c r="V3656">
        <v>0.16622870000000001</v>
      </c>
      <c r="W3656">
        <v>-0.134848</v>
      </c>
      <c r="X3656">
        <v>0.97682340000000001</v>
      </c>
      <c r="Y3656">
        <v>0.40241320000000003</v>
      </c>
      <c r="Z3656">
        <v>-2.038947E-2</v>
      </c>
      <c r="AA3656">
        <v>0.91523100000000002</v>
      </c>
      <c r="AB3656">
        <v>20</v>
      </c>
      <c r="AC3656">
        <v>11.0298999999999</v>
      </c>
      <c r="AD3656">
        <v>-1.119083086401</v>
      </c>
      <c r="AE3656">
        <v>-5.2057999999999804</v>
      </c>
      <c r="AF3656">
        <v>4.9528879916703898</v>
      </c>
      <c r="AG3656">
        <v>-1.119083086401</v>
      </c>
      <c r="AH3656">
        <v>11.0342436114364</v>
      </c>
      <c r="AI3656">
        <v>95.286270411965504</v>
      </c>
      <c r="AJ3656">
        <v>65.826347587150295</v>
      </c>
      <c r="AK3656">
        <v>12.1465212504991</v>
      </c>
      <c r="AL3656">
        <v>97.749830877408897</v>
      </c>
      <c r="AM3656">
        <v>80.342336507736306</v>
      </c>
      <c r="AN3656">
        <v>0.99999995929762397</v>
      </c>
    </row>
    <row r="3657" spans="1:40" x14ac:dyDescent="0.25">
      <c r="A3657" t="str">
        <f>"20190303154544260"</f>
        <v>20190303154544260</v>
      </c>
      <c r="B3657" t="str">
        <f>"1551599144255233"</f>
        <v>1551599144255233</v>
      </c>
      <c r="C3657" t="s">
        <v>40</v>
      </c>
      <c r="D3657">
        <v>4.888452</v>
      </c>
      <c r="E3657">
        <v>0.59894720000000001</v>
      </c>
      <c r="F3657" t="s">
        <v>54</v>
      </c>
      <c r="G3657">
        <v>-198.4974</v>
      </c>
      <c r="H3657" s="1">
        <v>3.0373640000000002E-6</v>
      </c>
      <c r="I3657">
        <v>209.07650000000001</v>
      </c>
      <c r="J3657">
        <v>-209.6832</v>
      </c>
      <c r="K3657">
        <v>1.1190290000000001</v>
      </c>
      <c r="L3657">
        <v>214.50899999999999</v>
      </c>
      <c r="M3657">
        <v>0.99966449999999996</v>
      </c>
      <c r="N3657">
        <v>-1.3615530000000001E-2</v>
      </c>
      <c r="O3657">
        <v>-2.203863E-2</v>
      </c>
      <c r="P3657">
        <v>0.97040859999999995</v>
      </c>
      <c r="Q3657">
        <v>-0.14209959999999999</v>
      </c>
      <c r="R3657">
        <v>-0.1952315</v>
      </c>
      <c r="S3657">
        <v>2.7915649999999999</v>
      </c>
      <c r="T3657">
        <v>-0.2745494</v>
      </c>
      <c r="U3657">
        <v>-1.3345180000000001</v>
      </c>
      <c r="V3657">
        <v>0.17319219999999999</v>
      </c>
      <c r="W3657">
        <v>-0.1296283</v>
      </c>
      <c r="X3657">
        <v>0.97632010000000002</v>
      </c>
      <c r="Y3657">
        <v>0.40951029999999999</v>
      </c>
      <c r="Z3657">
        <v>-2.023606E-2</v>
      </c>
      <c r="AA3657">
        <v>0.91208109999999998</v>
      </c>
      <c r="AB3657">
        <v>20</v>
      </c>
      <c r="AC3657">
        <v>11.1858</v>
      </c>
      <c r="AD3657">
        <v>-1.119025962636</v>
      </c>
      <c r="AE3657">
        <v>-5.4325000000000001</v>
      </c>
      <c r="AF3657">
        <v>5.1429901204044404</v>
      </c>
      <c r="AG3657">
        <v>-1.119025962636</v>
      </c>
      <c r="AH3657">
        <v>11.2120242745785</v>
      </c>
      <c r="AI3657">
        <v>95.183530355751202</v>
      </c>
      <c r="AJ3657">
        <v>65.358930247263402</v>
      </c>
      <c r="AK3657">
        <v>12.3859620061329</v>
      </c>
      <c r="AL3657">
        <v>97.448113835617093</v>
      </c>
      <c r="AM3657">
        <v>79.940782770554193</v>
      </c>
      <c r="AN3657">
        <v>0.99999998598286999</v>
      </c>
    </row>
    <row r="3658" spans="1:40" x14ac:dyDescent="0.25">
      <c r="A3658" t="str">
        <f>"20190303154544299"</f>
        <v>20190303154544299</v>
      </c>
      <c r="B3658" t="str">
        <f>"1551599144294273"</f>
        <v>1551599144294273</v>
      </c>
      <c r="C3658" t="s">
        <v>40</v>
      </c>
      <c r="D3658">
        <v>4.9198029999999999</v>
      </c>
      <c r="E3658">
        <v>0.59795889999999996</v>
      </c>
      <c r="F3658" t="s">
        <v>54</v>
      </c>
      <c r="G3658">
        <v>-197.69120000000001</v>
      </c>
      <c r="H3658" s="1">
        <v>3.2960829999999998E-6</v>
      </c>
      <c r="I3658">
        <v>208.6395</v>
      </c>
      <c r="J3658">
        <v>-209.33430000000001</v>
      </c>
      <c r="K3658">
        <v>1.1190659999999999</v>
      </c>
      <c r="L3658">
        <v>214.49440000000001</v>
      </c>
      <c r="M3658">
        <v>0.99952529999999995</v>
      </c>
      <c r="N3658">
        <v>-1.361361E-2</v>
      </c>
      <c r="O3658">
        <v>-2.7639790000000001E-2</v>
      </c>
      <c r="P3658">
        <v>0.96917030000000004</v>
      </c>
      <c r="Q3658">
        <v>-0.12530559999999999</v>
      </c>
      <c r="R3658">
        <v>-0.2121509</v>
      </c>
      <c r="S3658">
        <v>2.7797700000000001</v>
      </c>
      <c r="T3658">
        <v>-0.25939400000000001</v>
      </c>
      <c r="U3658">
        <v>-1.3605799999999999</v>
      </c>
      <c r="V3658">
        <v>0.18473999999999999</v>
      </c>
      <c r="W3658">
        <v>-0.112913</v>
      </c>
      <c r="X3658">
        <v>0.97627960000000003</v>
      </c>
      <c r="Y3658">
        <v>0.41300310000000001</v>
      </c>
      <c r="Z3658">
        <v>-1.9094400000000001E-2</v>
      </c>
      <c r="AA3658">
        <v>0.91052940000000004</v>
      </c>
      <c r="AB3658">
        <v>20</v>
      </c>
      <c r="AC3658">
        <v>11.6431</v>
      </c>
      <c r="AD3658">
        <v>-1.11906270391699</v>
      </c>
      <c r="AE3658">
        <v>-5.8549000000000104</v>
      </c>
      <c r="AF3658">
        <v>5.4903378956950197</v>
      </c>
      <c r="AG3658">
        <v>-1.11906270391699</v>
      </c>
      <c r="AH3658">
        <v>11.7141218132115</v>
      </c>
      <c r="AI3658">
        <v>94.943855060201898</v>
      </c>
      <c r="AJ3658">
        <v>64.887798591262396</v>
      </c>
      <c r="AK3658">
        <v>12.985251687932699</v>
      </c>
      <c r="AL3658">
        <v>96.483264445638795</v>
      </c>
      <c r="AM3658">
        <v>79.284698190873101</v>
      </c>
      <c r="AN3658">
        <v>1.00000003527257</v>
      </c>
    </row>
    <row r="3659" spans="1:40" x14ac:dyDescent="0.25">
      <c r="A3659" t="str">
        <f>"20190303154544324"</f>
        <v>20190303154544324</v>
      </c>
      <c r="B3659" t="str">
        <f>"1551599144314769"</f>
        <v>1551599144314769</v>
      </c>
      <c r="C3659" t="s">
        <v>40</v>
      </c>
      <c r="D3659">
        <v>4.9706469999999996</v>
      </c>
      <c r="E3659">
        <v>0.59722140000000001</v>
      </c>
      <c r="F3659" t="s">
        <v>54</v>
      </c>
      <c r="G3659">
        <v>-194.90090000000001</v>
      </c>
      <c r="H3659" s="1">
        <v>4.1789809999999998E-6</v>
      </c>
      <c r="I3659">
        <v>207.17449999999999</v>
      </c>
      <c r="J3659">
        <v>-209.10910000000001</v>
      </c>
      <c r="K3659">
        <v>1.1191450000000001</v>
      </c>
      <c r="L3659">
        <v>214.48390000000001</v>
      </c>
      <c r="M3659">
        <v>0.99941800000000003</v>
      </c>
      <c r="N3659">
        <v>-1.3610219999999999E-2</v>
      </c>
      <c r="O3659">
        <v>-3.128119E-2</v>
      </c>
      <c r="P3659">
        <v>0.96816020000000003</v>
      </c>
      <c r="Q3659">
        <v>-0.11755060000000001</v>
      </c>
      <c r="R3659">
        <v>-0.22101580000000001</v>
      </c>
      <c r="S3659">
        <v>2.761215</v>
      </c>
      <c r="T3659">
        <v>-0.2140851</v>
      </c>
      <c r="U3659">
        <v>-1.40036</v>
      </c>
      <c r="V3659">
        <v>0.19012689999999999</v>
      </c>
      <c r="W3659">
        <v>-0.105170899999999</v>
      </c>
      <c r="X3659">
        <v>0.97611000000000003</v>
      </c>
      <c r="Y3659">
        <v>0.42301929999999999</v>
      </c>
      <c r="Z3659">
        <v>-1.6612310000000002E-2</v>
      </c>
      <c r="AA3659">
        <v>0.90596840000000001</v>
      </c>
      <c r="AB3659">
        <v>20</v>
      </c>
      <c r="AC3659">
        <v>14.2082</v>
      </c>
      <c r="AD3659">
        <v>-1.1191408210189999</v>
      </c>
      <c r="AE3659">
        <v>-7.3094000000000099</v>
      </c>
      <c r="AF3659">
        <v>6.8278350996633197</v>
      </c>
      <c r="AG3659">
        <v>-1.1191408210189999</v>
      </c>
      <c r="AH3659">
        <v>14.359467427531801</v>
      </c>
      <c r="AI3659">
        <v>94.026164079790405</v>
      </c>
      <c r="AJ3659">
        <v>64.569210611288995</v>
      </c>
      <c r="AK3659">
        <v>15.9394514688497</v>
      </c>
      <c r="AL3659">
        <v>96.037013264347607</v>
      </c>
      <c r="AM3659">
        <v>78.9779238376412</v>
      </c>
      <c r="AN3659">
        <v>0.99999994420520799</v>
      </c>
    </row>
    <row r="3660" spans="1:40" x14ac:dyDescent="0.25">
      <c r="A3660" t="str">
        <f>"20190303154544347"</f>
        <v>20190303154544347</v>
      </c>
      <c r="B3660" t="str">
        <f>"1551599144345025"</f>
        <v>1551599144345025</v>
      </c>
      <c r="C3660" t="s">
        <v>40</v>
      </c>
      <c r="D3660">
        <v>4.8123769999999997</v>
      </c>
      <c r="E3660">
        <v>0.59713729999999998</v>
      </c>
      <c r="F3660" t="s">
        <v>54</v>
      </c>
      <c r="G3660">
        <v>-193.5069</v>
      </c>
      <c r="H3660" s="1">
        <v>4.7480470000000003E-6</v>
      </c>
      <c r="I3660">
        <v>206.4316</v>
      </c>
      <c r="J3660">
        <v>-208.8877</v>
      </c>
      <c r="K3660">
        <v>1.1192550000000001</v>
      </c>
      <c r="L3660">
        <v>214.4727</v>
      </c>
      <c r="M3660">
        <v>0.99930249999999998</v>
      </c>
      <c r="N3660">
        <v>-1.3605330000000001E-2</v>
      </c>
      <c r="O3660">
        <v>-3.4778249999999997E-2</v>
      </c>
      <c r="P3660">
        <v>0.96651659999999995</v>
      </c>
      <c r="Q3660">
        <v>-0.11205229999999999</v>
      </c>
      <c r="R3660">
        <v>-0.23084660000000001</v>
      </c>
      <c r="S3660">
        <v>2.7506409999999999</v>
      </c>
      <c r="T3660">
        <v>-0.19730249999999999</v>
      </c>
      <c r="U3660">
        <v>-1.4196009999999999</v>
      </c>
      <c r="V3660">
        <v>0.1966436</v>
      </c>
      <c r="W3660">
        <v>-9.9676329999999994E-2</v>
      </c>
      <c r="X3660">
        <v>0.97539529999999997</v>
      </c>
      <c r="Y3660">
        <v>0.42642229999999998</v>
      </c>
      <c r="Z3660">
        <v>-1.5558239999999999E-2</v>
      </c>
      <c r="AA3660">
        <v>0.90439040000000004</v>
      </c>
      <c r="AB3660">
        <v>20</v>
      </c>
      <c r="AC3660">
        <v>15.380799999999899</v>
      </c>
      <c r="AD3660">
        <v>-1.1192502519530001</v>
      </c>
      <c r="AE3660">
        <v>-8.0411000000000001</v>
      </c>
      <c r="AF3660">
        <v>7.4702014737164202</v>
      </c>
      <c r="AG3660">
        <v>-1.1192502519530001</v>
      </c>
      <c r="AH3660">
        <v>15.5863558420914</v>
      </c>
      <c r="AI3660">
        <v>93.705086542217302</v>
      </c>
      <c r="AJ3660">
        <v>64.392612854949206</v>
      </c>
      <c r="AK3660">
        <v>17.320251719322901</v>
      </c>
      <c r="AL3660">
        <v>95.7205322371926</v>
      </c>
      <c r="AM3660">
        <v>78.601726788913496</v>
      </c>
      <c r="AN3660">
        <v>1.00000003372265</v>
      </c>
    </row>
    <row r="3661" spans="1:40" x14ac:dyDescent="0.25">
      <c r="A3661" t="str">
        <f>"20190303154544369"</f>
        <v>20190303154544369</v>
      </c>
      <c r="B3661" t="str">
        <f>"1551599144364546"</f>
        <v>1551599144364546</v>
      </c>
      <c r="C3661" t="s">
        <v>40</v>
      </c>
      <c r="D3661">
        <v>4.9972820000000002</v>
      </c>
      <c r="E3661">
        <v>0.59848319999999999</v>
      </c>
      <c r="F3661" t="s">
        <v>54</v>
      </c>
      <c r="G3661">
        <v>-191.77080000000001</v>
      </c>
      <c r="H3661" s="1">
        <v>5.4886950000000001E-6</v>
      </c>
      <c r="I3661">
        <v>205.4254</v>
      </c>
      <c r="J3661">
        <v>-208.6935</v>
      </c>
      <c r="K3661">
        <v>1.1193580000000001</v>
      </c>
      <c r="L3661">
        <v>214.4624</v>
      </c>
      <c r="M3661">
        <v>0.99919500000000006</v>
      </c>
      <c r="N3661">
        <v>-1.36002E-2</v>
      </c>
      <c r="O3661">
        <v>-3.7742440000000002E-2</v>
      </c>
      <c r="P3661">
        <v>0.96434600000000004</v>
      </c>
      <c r="Q3661">
        <v>-0.10906780000000001</v>
      </c>
      <c r="R3661">
        <v>-0.2411247</v>
      </c>
      <c r="S3661">
        <v>2.7375639999999999</v>
      </c>
      <c r="T3661">
        <v>-0.17900489999999999</v>
      </c>
      <c r="U3661">
        <v>-1.44696</v>
      </c>
      <c r="V3661">
        <v>0.2041414</v>
      </c>
      <c r="W3661">
        <v>-9.6701090000000003E-2</v>
      </c>
      <c r="X3661">
        <v>0.97415359999999995</v>
      </c>
      <c r="Y3661">
        <v>0.43273080000000003</v>
      </c>
      <c r="Z3661">
        <v>-1.4567139999999999E-2</v>
      </c>
      <c r="AA3661">
        <v>0.90140549999999997</v>
      </c>
      <c r="AB3661">
        <v>20</v>
      </c>
      <c r="AC3661">
        <v>16.922699999999899</v>
      </c>
      <c r="AD3661">
        <v>-1.119352511305</v>
      </c>
      <c r="AE3661">
        <v>-9.0370000000000008</v>
      </c>
      <c r="AF3661">
        <v>8.3633253304401194</v>
      </c>
      <c r="AG3661">
        <v>-1.119352511305</v>
      </c>
      <c r="AH3661">
        <v>17.193218784625401</v>
      </c>
      <c r="AI3661">
        <v>93.350576084170399</v>
      </c>
      <c r="AJ3661">
        <v>64.060246396720203</v>
      </c>
      <c r="AK3661">
        <v>19.152152171579601</v>
      </c>
      <c r="AL3661">
        <v>95.549235799068597</v>
      </c>
      <c r="AM3661">
        <v>78.164493901161407</v>
      </c>
      <c r="AN3661">
        <v>1.0000000241970499</v>
      </c>
    </row>
    <row r="3662" spans="1:40" x14ac:dyDescent="0.25">
      <c r="A3662" t="str">
        <f>"20190303154544394"</f>
        <v>20190303154544394</v>
      </c>
      <c r="B3662" t="str">
        <f>"1551599144385041"</f>
        <v>1551599144385041</v>
      </c>
      <c r="C3662" t="s">
        <v>40</v>
      </c>
      <c r="D3662">
        <v>4.9990329999999998</v>
      </c>
      <c r="E3662">
        <v>0.60100529999999996</v>
      </c>
      <c r="F3662" t="s">
        <v>54</v>
      </c>
      <c r="G3662">
        <v>-191.3603</v>
      </c>
      <c r="H3662" s="1">
        <v>5.7344910000000003E-6</v>
      </c>
      <c r="I3662">
        <v>204.98750000000001</v>
      </c>
      <c r="J3662">
        <v>-208.46969999999999</v>
      </c>
      <c r="K3662">
        <v>1.119478</v>
      </c>
      <c r="L3662">
        <v>214.44990000000001</v>
      </c>
      <c r="M3662">
        <v>0.99906640000000002</v>
      </c>
      <c r="N3662">
        <v>-1.359344E-2</v>
      </c>
      <c r="O3662">
        <v>-4.100873E-2</v>
      </c>
      <c r="P3662">
        <v>0.96138069999999998</v>
      </c>
      <c r="Q3662">
        <v>-0.10973810000000001</v>
      </c>
      <c r="R3662">
        <v>-0.25239830000000002</v>
      </c>
      <c r="S3662">
        <v>2.7193909999999999</v>
      </c>
      <c r="T3662">
        <v>-0.1756141</v>
      </c>
      <c r="U3662">
        <v>-1.48649599999999</v>
      </c>
      <c r="V3662">
        <v>0.21236969999999999</v>
      </c>
      <c r="W3662">
        <v>-9.7379289999999993E-2</v>
      </c>
      <c r="X3662">
        <v>0.97232529999999995</v>
      </c>
      <c r="Y3662">
        <v>0.44240580000000002</v>
      </c>
      <c r="Z3662">
        <v>-1.4603639999999999E-2</v>
      </c>
      <c r="AA3662">
        <v>0.896696099999999</v>
      </c>
      <c r="AB3662">
        <v>20</v>
      </c>
      <c r="AC3662">
        <v>17.109399999999901</v>
      </c>
      <c r="AD3662">
        <v>-1.1194722655089999</v>
      </c>
      <c r="AE3662">
        <v>-9.4624000000000006</v>
      </c>
      <c r="AF3662">
        <v>8.72413814825061</v>
      </c>
      <c r="AG3662">
        <v>-1.1194722655089999</v>
      </c>
      <c r="AH3662">
        <v>17.425952808041799</v>
      </c>
      <c r="AI3662">
        <v>93.287729585528496</v>
      </c>
      <c r="AJ3662">
        <v>63.405596879736002</v>
      </c>
      <c r="AK3662">
        <v>19.519929196877399</v>
      </c>
      <c r="AL3662">
        <v>95.588277900313898</v>
      </c>
      <c r="AM3662">
        <v>77.679272644536596</v>
      </c>
      <c r="AN3662">
        <v>1.00000005230954</v>
      </c>
    </row>
    <row r="3663" spans="1:40" x14ac:dyDescent="0.25">
      <c r="A3663" t="str">
        <f>"20190303154544433"</f>
        <v>20190303154544433</v>
      </c>
      <c r="B3663" t="str">
        <f>"1551599144425060"</f>
        <v>1551599144425060</v>
      </c>
      <c r="C3663" t="s">
        <v>40</v>
      </c>
      <c r="D3663">
        <v>4.9820710000000004</v>
      </c>
      <c r="E3663">
        <v>0.60560570000000002</v>
      </c>
      <c r="F3663" t="s">
        <v>54</v>
      </c>
      <c r="G3663">
        <v>-192.0266</v>
      </c>
      <c r="H3663" s="1">
        <v>5.5569379999999999E-6</v>
      </c>
      <c r="I3663">
        <v>205.0718</v>
      </c>
      <c r="J3663">
        <v>-208.1266</v>
      </c>
      <c r="K3663">
        <v>1.1196060000000001</v>
      </c>
      <c r="L3663">
        <v>214.42959999999999</v>
      </c>
      <c r="M3663">
        <v>0.99886050000000004</v>
      </c>
      <c r="N3663">
        <v>-1.3582739999999999E-2</v>
      </c>
      <c r="O3663">
        <v>-4.5752180000000003E-2</v>
      </c>
      <c r="P3663">
        <v>0.95516780000000001</v>
      </c>
      <c r="Q3663">
        <v>-0.11297889999999999</v>
      </c>
      <c r="R3663">
        <v>-0.27366190000000001</v>
      </c>
      <c r="S3663">
        <v>2.6959080000000002</v>
      </c>
      <c r="T3663">
        <v>-0.1835418</v>
      </c>
      <c r="U3663">
        <v>-1.5375669999999999</v>
      </c>
      <c r="V3663">
        <v>0.2293027</v>
      </c>
      <c r="W3663">
        <v>-0.1006788</v>
      </c>
      <c r="X3663">
        <v>0.9681343</v>
      </c>
      <c r="Y3663">
        <v>0.45422050000000003</v>
      </c>
      <c r="Z3663">
        <v>-1.536273E-2</v>
      </c>
      <c r="AA3663">
        <v>0.89075680000000002</v>
      </c>
      <c r="AB3663">
        <v>20</v>
      </c>
      <c r="AC3663">
        <v>16.099999999999898</v>
      </c>
      <c r="AD3663">
        <v>-1.1196004430619999</v>
      </c>
      <c r="AE3663">
        <v>-9.3577999999999903</v>
      </c>
      <c r="AF3663">
        <v>8.5803055008416909</v>
      </c>
      <c r="AG3663">
        <v>-1.1196004430619999</v>
      </c>
      <c r="AH3663">
        <v>16.4518477995721</v>
      </c>
      <c r="AI3663">
        <v>93.453030690248994</v>
      </c>
      <c r="AJ3663">
        <v>62.456133172604602</v>
      </c>
      <c r="AK3663">
        <v>18.588664386129601</v>
      </c>
      <c r="AL3663">
        <v>95.778260209837896</v>
      </c>
      <c r="AM3663">
        <v>76.675035327451695</v>
      </c>
      <c r="AN3663">
        <v>0.99999998591660899</v>
      </c>
    </row>
    <row r="3664" spans="1:40" x14ac:dyDescent="0.25">
      <c r="A3664" t="str">
        <f>"20190303154544461"</f>
        <v>20190303154544461</v>
      </c>
      <c r="B3664" t="str">
        <f>"1551599144454336"</f>
        <v>1551599144454336</v>
      </c>
      <c r="C3664" t="s">
        <v>40</v>
      </c>
      <c r="D3664">
        <v>5.0261769999999997</v>
      </c>
      <c r="E3664">
        <v>0.607761</v>
      </c>
      <c r="F3664" t="s">
        <v>54</v>
      </c>
      <c r="G3664">
        <v>-192.53700000000001</v>
      </c>
      <c r="H3664" s="1">
        <v>5.5299140000000002E-6</v>
      </c>
      <c r="I3664">
        <v>204.82820000000001</v>
      </c>
      <c r="J3664">
        <v>-207.874</v>
      </c>
      <c r="K3664">
        <v>1.1196630000000001</v>
      </c>
      <c r="L3664">
        <v>214.41380000000001</v>
      </c>
      <c r="M3664">
        <v>0.99869940000000001</v>
      </c>
      <c r="N3664">
        <v>-1.3576009999999999E-2</v>
      </c>
      <c r="O3664">
        <v>-4.9144790000000001E-2</v>
      </c>
      <c r="P3664">
        <v>0.95203550000000003</v>
      </c>
      <c r="Q3664">
        <v>-0.1126461</v>
      </c>
      <c r="R3664">
        <v>-0.28449790000000003</v>
      </c>
      <c r="S3664">
        <v>2.6505740000000002</v>
      </c>
      <c r="T3664">
        <v>-0.19035630000000001</v>
      </c>
      <c r="U3664">
        <v>-1.6324459999999901</v>
      </c>
      <c r="V3664">
        <v>0.2370071</v>
      </c>
      <c r="W3664">
        <v>-0.1003795</v>
      </c>
      <c r="X3664">
        <v>0.96630819999999995</v>
      </c>
      <c r="Y3664">
        <v>0.48087200000000002</v>
      </c>
      <c r="Z3664">
        <v>-1.6781230000000001E-2</v>
      </c>
      <c r="AA3664">
        <v>0.87663019999999903</v>
      </c>
      <c r="AB3664">
        <v>20</v>
      </c>
      <c r="AC3664">
        <v>15.337</v>
      </c>
      <c r="AD3664">
        <v>-1.11965747008599</v>
      </c>
      <c r="AE3664">
        <v>-9.5855999999999995</v>
      </c>
      <c r="AF3664">
        <v>8.7865378868704909</v>
      </c>
      <c r="AG3664">
        <v>-1.11965747008599</v>
      </c>
      <c r="AH3664">
        <v>15.7293077691434</v>
      </c>
      <c r="AI3664">
        <v>93.556033201442403</v>
      </c>
      <c r="AJ3664">
        <v>60.811867513818697</v>
      </c>
      <c r="AK3664">
        <v>18.0518144180623</v>
      </c>
      <c r="AL3664">
        <v>95.761024339574206</v>
      </c>
      <c r="AM3664">
        <v>76.219067894577094</v>
      </c>
      <c r="AN3664">
        <v>0.99999997342894897</v>
      </c>
    </row>
    <row r="3665" spans="1:40" x14ac:dyDescent="0.25">
      <c r="A3665" t="str">
        <f>"20190303154544489"</f>
        <v>20190303154544489</v>
      </c>
      <c r="B3665" t="str">
        <f>"1551599144484242"</f>
        <v>1551599144484242</v>
      </c>
      <c r="C3665" t="s">
        <v>40</v>
      </c>
      <c r="D3665">
        <v>4.6470060000000002</v>
      </c>
      <c r="E3665">
        <v>0.61027310000000001</v>
      </c>
      <c r="F3665" t="s">
        <v>54</v>
      </c>
      <c r="G3665">
        <v>-193.00810000000001</v>
      </c>
      <c r="H3665" s="1">
        <v>5.3963689999999999E-6</v>
      </c>
      <c r="I3665">
        <v>204.91050000000001</v>
      </c>
      <c r="J3665">
        <v>-207.6301</v>
      </c>
      <c r="K3665">
        <v>1.1196539999999999</v>
      </c>
      <c r="L3665">
        <v>214.39760000000001</v>
      </c>
      <c r="M3665">
        <v>0.99852989999999997</v>
      </c>
      <c r="N3665">
        <v>-1.357207E-2</v>
      </c>
      <c r="O3665">
        <v>-5.24793E-2</v>
      </c>
      <c r="P3665">
        <v>0.9494861</v>
      </c>
      <c r="Q3665">
        <v>-0.109822699999999</v>
      </c>
      <c r="R3665">
        <v>-0.29396480000000003</v>
      </c>
      <c r="S3665">
        <v>2.6260680000000001</v>
      </c>
      <c r="T3665">
        <v>-0.1977874</v>
      </c>
      <c r="U3665">
        <v>-1.6787570000000001</v>
      </c>
      <c r="V3665">
        <v>0.24337420000000001</v>
      </c>
      <c r="W3665">
        <v>-9.7617770000000006E-2</v>
      </c>
      <c r="X3665">
        <v>0.96500770000000002</v>
      </c>
      <c r="Y3665">
        <v>0.49250569999999999</v>
      </c>
      <c r="Z3665">
        <v>-1.7633920000000001E-2</v>
      </c>
      <c r="AA3665">
        <v>0.87013059999999998</v>
      </c>
      <c r="AB3665">
        <v>20</v>
      </c>
      <c r="AC3665">
        <v>14.6219999999999</v>
      </c>
      <c r="AD3665">
        <v>-1.1196486036310001</v>
      </c>
      <c r="AE3665">
        <v>-9.4870999999999892</v>
      </c>
      <c r="AF3665">
        <v>8.6708228590116807</v>
      </c>
      <c r="AG3665">
        <v>-1.1196486036310001</v>
      </c>
      <c r="AH3665">
        <v>15.0377188729606</v>
      </c>
      <c r="AI3665">
        <v>93.690557361360504</v>
      </c>
      <c r="AJ3665">
        <v>60.032038869565199</v>
      </c>
      <c r="AK3665">
        <v>17.394532789073999</v>
      </c>
      <c r="AL3665">
        <v>95.602007245505106</v>
      </c>
      <c r="AM3665">
        <v>75.845223531317998</v>
      </c>
      <c r="AN3665">
        <v>1.0000000456523499</v>
      </c>
    </row>
    <row r="3666" spans="1:40" x14ac:dyDescent="0.25">
      <c r="A3666" t="str">
        <f>"20190303154544510"</f>
        <v>20190303154544510</v>
      </c>
      <c r="B3666" t="str">
        <f>"1551599144504737"</f>
        <v>1551599144504737</v>
      </c>
      <c r="C3666" t="s">
        <v>40</v>
      </c>
      <c r="D3666">
        <v>4.7221659999999996</v>
      </c>
      <c r="E3666">
        <v>0.61273529999999998</v>
      </c>
      <c r="F3666" t="s">
        <v>54</v>
      </c>
      <c r="G3666">
        <v>-192.32730000000001</v>
      </c>
      <c r="H3666" s="1">
        <v>5.74403E-6</v>
      </c>
      <c r="I3666">
        <v>204.26609999999999</v>
      </c>
      <c r="J3666">
        <v>-207.4425</v>
      </c>
      <c r="K3666">
        <v>1.1196200000000001</v>
      </c>
      <c r="L3666">
        <v>214.3845</v>
      </c>
      <c r="M3666">
        <v>0.99838570000000004</v>
      </c>
      <c r="N3666">
        <v>-1.3571150000000001E-2</v>
      </c>
      <c r="O3666">
        <v>-5.515511E-2</v>
      </c>
      <c r="P3666">
        <v>0.94715570000000004</v>
      </c>
      <c r="Q3666">
        <v>-0.1066478</v>
      </c>
      <c r="R3666">
        <v>-0.30252679999999998</v>
      </c>
      <c r="S3666">
        <v>2.6038359999999998</v>
      </c>
      <c r="T3666">
        <v>-0.19051290000000001</v>
      </c>
      <c r="U3666">
        <v>-1.7239070000000001</v>
      </c>
      <c r="V3666">
        <v>0.2494653</v>
      </c>
      <c r="W3666">
        <v>-9.4521220000000003E-2</v>
      </c>
      <c r="X3666">
        <v>0.9637597</v>
      </c>
      <c r="Y3666">
        <v>0.50411340000000004</v>
      </c>
      <c r="Z3666">
        <v>-1.7522929999999999E-2</v>
      </c>
      <c r="AA3666">
        <v>0.86345969999999905</v>
      </c>
      <c r="AB3666">
        <v>20</v>
      </c>
      <c r="AC3666">
        <v>15.1151999999999</v>
      </c>
      <c r="AD3666">
        <v>-1.11961425597</v>
      </c>
      <c r="AE3666">
        <v>-10.118399999999999</v>
      </c>
      <c r="AF3666">
        <v>9.2342508133802195</v>
      </c>
      <c r="AG3666">
        <v>-1.11961425597</v>
      </c>
      <c r="AH3666">
        <v>15.5912477364904</v>
      </c>
      <c r="AI3666">
        <v>93.535617303404806</v>
      </c>
      <c r="AJ3666">
        <v>59.362952161342299</v>
      </c>
      <c r="AK3666">
        <v>18.155217711368799</v>
      </c>
      <c r="AL3666">
        <v>95.423763857870199</v>
      </c>
      <c r="AM3666">
        <v>75.487736281635705</v>
      </c>
      <c r="AN3666">
        <v>0.99999997813923402</v>
      </c>
    </row>
    <row r="3667" spans="1:40" x14ac:dyDescent="0.25">
      <c r="A3667" t="str">
        <f>"20190303154544531"</f>
        <v>20190303154544531</v>
      </c>
      <c r="B3667" t="str">
        <f>"1551599144524257"</f>
        <v>1551599144524257</v>
      </c>
      <c r="C3667" t="s">
        <v>40</v>
      </c>
      <c r="D3667">
        <v>5.0514390000000002</v>
      </c>
      <c r="E3667">
        <v>0.61333029999999999</v>
      </c>
      <c r="F3667" t="s">
        <v>54</v>
      </c>
      <c r="G3667">
        <v>-190.62260000000001</v>
      </c>
      <c r="H3667" s="1">
        <v>6.6115269999999998E-6</v>
      </c>
      <c r="I3667">
        <v>202.88579999999999</v>
      </c>
      <c r="J3667">
        <v>-207.25290000000001</v>
      </c>
      <c r="K3667">
        <v>1.1195440000000001</v>
      </c>
      <c r="L3667">
        <v>214.3706</v>
      </c>
      <c r="M3667">
        <v>0.99822489999999997</v>
      </c>
      <c r="N3667">
        <v>-1.357218E-2</v>
      </c>
      <c r="O3667">
        <v>-5.7991899999999999E-2</v>
      </c>
      <c r="P3667">
        <v>0.94469259999999999</v>
      </c>
      <c r="Q3667">
        <v>-0.10389080000000001</v>
      </c>
      <c r="R3667">
        <v>-0.3110676</v>
      </c>
      <c r="S3667">
        <v>2.5838169999999998</v>
      </c>
      <c r="T3667">
        <v>-0.17199120000000001</v>
      </c>
      <c r="U3667">
        <v>-1.7663880000000001</v>
      </c>
      <c r="V3667">
        <v>0.25538959999999999</v>
      </c>
      <c r="W3667">
        <v>-9.1857209999999995E-2</v>
      </c>
      <c r="X3667">
        <v>0.96246469999999995</v>
      </c>
      <c r="Y3667">
        <v>0.51460320000000004</v>
      </c>
      <c r="Z3667">
        <v>-1.6551199999999999E-2</v>
      </c>
      <c r="AA3667">
        <v>0.85726869999999999</v>
      </c>
      <c r="AB3667">
        <v>20</v>
      </c>
      <c r="AC3667">
        <v>16.630299999999998</v>
      </c>
      <c r="AD3667">
        <v>-1.119537388473</v>
      </c>
      <c r="AE3667">
        <v>-11.4848</v>
      </c>
      <c r="AF3667">
        <v>10.468833569892601</v>
      </c>
      <c r="AG3667">
        <v>-1.119537388473</v>
      </c>
      <c r="AH3667">
        <v>17.2155684058066</v>
      </c>
      <c r="AI3667">
        <v>93.180289905173595</v>
      </c>
      <c r="AJ3667">
        <v>58.696102860280703</v>
      </c>
      <c r="AK3667">
        <v>20.179832403003399</v>
      </c>
      <c r="AL3667">
        <v>95.270460330181507</v>
      </c>
      <c r="AM3667">
        <v>75.139059595290703</v>
      </c>
      <c r="AN3667">
        <v>0.99999994678161497</v>
      </c>
    </row>
    <row r="3668" spans="1:40" x14ac:dyDescent="0.25">
      <c r="A3668" t="str">
        <f>"20190303154544568"</f>
        <v>20190303154544568</v>
      </c>
      <c r="B3668" t="str">
        <f>"1551599144564361"</f>
        <v>1551599144564361</v>
      </c>
      <c r="C3668" t="s">
        <v>40</v>
      </c>
      <c r="D3668">
        <v>5.0715890000000003</v>
      </c>
      <c r="E3668">
        <v>0.61411249999999995</v>
      </c>
      <c r="F3668" t="s">
        <v>54</v>
      </c>
      <c r="G3668">
        <v>-190.25290000000001</v>
      </c>
      <c r="H3668" s="1">
        <v>6.8510479999999998E-6</v>
      </c>
      <c r="I3668">
        <v>202.48650000000001</v>
      </c>
      <c r="J3668">
        <v>-206.93340000000001</v>
      </c>
      <c r="K3668">
        <v>1.119356</v>
      </c>
      <c r="L3668">
        <v>214.34549999999999</v>
      </c>
      <c r="M3668">
        <v>0.99791099999999999</v>
      </c>
      <c r="N3668">
        <v>-1.357741E-2</v>
      </c>
      <c r="O3668">
        <v>-6.3159569999999998E-2</v>
      </c>
      <c r="P3668">
        <v>0.93904100000000001</v>
      </c>
      <c r="Q3668">
        <v>-0.103576</v>
      </c>
      <c r="R3668">
        <v>-0.3278316</v>
      </c>
      <c r="S3668">
        <v>2.5663149999999999</v>
      </c>
      <c r="T3668">
        <v>-0.1690055</v>
      </c>
      <c r="U3668">
        <v>-1.794022</v>
      </c>
      <c r="V3668">
        <v>0.26745829999999998</v>
      </c>
      <c r="W3668">
        <v>-9.1747350000000005E-2</v>
      </c>
      <c r="X3668">
        <v>0.95919160000000003</v>
      </c>
      <c r="Y3668">
        <v>0.51913009999999904</v>
      </c>
      <c r="Z3668">
        <v>-1.6317269999999998E-2</v>
      </c>
      <c r="AA3668">
        <v>0.85453950000000001</v>
      </c>
      <c r="AB3668">
        <v>20</v>
      </c>
      <c r="AC3668">
        <v>16.680499999999899</v>
      </c>
      <c r="AD3668">
        <v>-1.119349148952</v>
      </c>
      <c r="AE3668">
        <v>-11.858999999999901</v>
      </c>
      <c r="AF3668">
        <v>10.749533922402399</v>
      </c>
      <c r="AG3668">
        <v>-1.119349148952</v>
      </c>
      <c r="AH3668">
        <v>17.344388009675399</v>
      </c>
      <c r="AI3668">
        <v>93.139844083883006</v>
      </c>
      <c r="AJ3668">
        <v>58.210600979201303</v>
      </c>
      <c r="AK3668">
        <v>20.4360763723448</v>
      </c>
      <c r="AL3668">
        <v>95.264138725625997</v>
      </c>
      <c r="AM3668">
        <v>74.419552158956094</v>
      </c>
      <c r="AN3668">
        <v>1.0000000219907299</v>
      </c>
    </row>
    <row r="3669" spans="1:40" x14ac:dyDescent="0.25">
      <c r="A3669" t="str">
        <f>"20190303154544595"</f>
        <v>20190303154544595</v>
      </c>
      <c r="B3669" t="str">
        <f>"1551599144584857"</f>
        <v>1551599144584857</v>
      </c>
      <c r="C3669" t="s">
        <v>40</v>
      </c>
      <c r="D3669">
        <v>5.06928</v>
      </c>
      <c r="E3669">
        <v>0.61433760000000004</v>
      </c>
      <c r="F3669" t="s">
        <v>54</v>
      </c>
      <c r="G3669">
        <v>-191.22059999999999</v>
      </c>
      <c r="H3669" s="1">
        <v>6.4508059999999999E-6</v>
      </c>
      <c r="I3669">
        <v>202.8904</v>
      </c>
      <c r="J3669">
        <v>-206.68510000000001</v>
      </c>
      <c r="K3669">
        <v>1.119208</v>
      </c>
      <c r="L3669">
        <v>214.3246</v>
      </c>
      <c r="M3669">
        <v>0.99762269999999997</v>
      </c>
      <c r="N3669">
        <v>-1.358404E-2</v>
      </c>
      <c r="O3669">
        <v>-6.7558950000000006E-2</v>
      </c>
      <c r="P3669">
        <v>0.93515360000000003</v>
      </c>
      <c r="Q3669">
        <v>-0.10309309999999999</v>
      </c>
      <c r="R3669">
        <v>-0.33890910000000002</v>
      </c>
      <c r="S3669">
        <v>2.5307460000000002</v>
      </c>
      <c r="T3669">
        <v>-0.18028530000000001</v>
      </c>
      <c r="U3669">
        <v>-1.8450009999999999</v>
      </c>
      <c r="V3669">
        <v>0.27451609999999999</v>
      </c>
      <c r="W3669">
        <v>-9.1414629999999997E-2</v>
      </c>
      <c r="X3669">
        <v>0.95722739999999995</v>
      </c>
      <c r="Y3669">
        <v>0.53212619999999999</v>
      </c>
      <c r="Z3669">
        <v>-1.748189E-2</v>
      </c>
      <c r="AA3669">
        <v>0.84648449999999997</v>
      </c>
      <c r="AB3669">
        <v>20</v>
      </c>
      <c r="AC3669">
        <v>15.464499999999999</v>
      </c>
      <c r="AD3669">
        <v>-1.1192015491939999</v>
      </c>
      <c r="AE3669">
        <v>-11.434200000000001</v>
      </c>
      <c r="AF3669">
        <v>10.328233536832601</v>
      </c>
      <c r="AG3669">
        <v>-1.1192015491939999</v>
      </c>
      <c r="AH3669">
        <v>16.147034591950899</v>
      </c>
      <c r="AI3669">
        <v>93.341712142386598</v>
      </c>
      <c r="AJ3669">
        <v>57.395532364156097</v>
      </c>
      <c r="AK3669">
        <v>19.2003058885198</v>
      </c>
      <c r="AL3669">
        <v>95.244994890036196</v>
      </c>
      <c r="AM3669">
        <v>73.9980332580365</v>
      </c>
      <c r="AN3669">
        <v>1.000000009524</v>
      </c>
    </row>
    <row r="3670" spans="1:40" x14ac:dyDescent="0.25">
      <c r="A3670" t="str">
        <f>"20190303154544619"</f>
        <v>20190303154544619</v>
      </c>
      <c r="B3670" t="str">
        <f>"1551599144615114"</f>
        <v>1551599144615114</v>
      </c>
      <c r="C3670" t="s">
        <v>40</v>
      </c>
      <c r="D3670">
        <v>5.1129800000000003</v>
      </c>
      <c r="E3670">
        <v>0.61467139999999998</v>
      </c>
      <c r="F3670" t="s">
        <v>54</v>
      </c>
      <c r="G3670">
        <v>-191.5231</v>
      </c>
      <c r="H3670" s="1">
        <v>6.3387739999999999E-6</v>
      </c>
      <c r="I3670">
        <v>202.9796</v>
      </c>
      <c r="J3670">
        <v>-206.46610000000001</v>
      </c>
      <c r="K3670">
        <v>1.119084</v>
      </c>
      <c r="L3670">
        <v>214.3049</v>
      </c>
      <c r="M3670">
        <v>0.99733459999999996</v>
      </c>
      <c r="N3670">
        <v>-1.359085E-2</v>
      </c>
      <c r="O3670">
        <v>-7.1686449999999999E-2</v>
      </c>
      <c r="P3670">
        <v>0.93131050000000004</v>
      </c>
      <c r="Q3670">
        <v>-0.1012222</v>
      </c>
      <c r="R3670">
        <v>-0.34987810000000003</v>
      </c>
      <c r="S3670">
        <v>2.5076139999999998</v>
      </c>
      <c r="T3670">
        <v>-0.18510270000000001</v>
      </c>
      <c r="U3670">
        <v>-1.876328</v>
      </c>
      <c r="V3670">
        <v>0.28175609999999901</v>
      </c>
      <c r="W3670">
        <v>-8.9683579999999999E-2</v>
      </c>
      <c r="X3670">
        <v>0.95528550000000001</v>
      </c>
      <c r="Y3670">
        <v>0.53906730000000003</v>
      </c>
      <c r="Z3670">
        <v>-1.7951680000000001E-2</v>
      </c>
      <c r="AA3670">
        <v>0.84207140000000003</v>
      </c>
      <c r="AB3670">
        <v>20</v>
      </c>
      <c r="AC3670">
        <v>14.943</v>
      </c>
      <c r="AD3670">
        <v>-1.1190776612260001</v>
      </c>
      <c r="AE3670">
        <v>-11.3253</v>
      </c>
      <c r="AF3670">
        <v>10.188553142837501</v>
      </c>
      <c r="AG3670">
        <v>-1.1190776612260001</v>
      </c>
      <c r="AH3670">
        <v>15.6607057467318</v>
      </c>
      <c r="AI3670">
        <v>93.427769134506804</v>
      </c>
      <c r="AJ3670">
        <v>56.952748477399702</v>
      </c>
      <c r="AK3670">
        <v>18.7167479665138</v>
      </c>
      <c r="AL3670">
        <v>95.145403867846497</v>
      </c>
      <c r="AM3670">
        <v>73.566871904640607</v>
      </c>
      <c r="AN3670">
        <v>1.0000000154595301</v>
      </c>
    </row>
    <row r="3671" spans="1:40" x14ac:dyDescent="0.25">
      <c r="A3671" t="str">
        <f>"20190303154544645"</f>
        <v>20190303154544645</v>
      </c>
      <c r="B3671" t="str">
        <f>"1551599144634633"</f>
        <v>1551599144634633</v>
      </c>
      <c r="C3671" t="s">
        <v>40</v>
      </c>
      <c r="D3671">
        <v>5.0489540000000002</v>
      </c>
      <c r="E3671">
        <v>0.61476609999999998</v>
      </c>
      <c r="F3671" t="s">
        <v>54</v>
      </c>
      <c r="G3671">
        <v>-191.6319</v>
      </c>
      <c r="H3671" s="1">
        <v>6.3340369999999901E-6</v>
      </c>
      <c r="I3671">
        <v>202.9111</v>
      </c>
      <c r="J3671">
        <v>-206.24979999999999</v>
      </c>
      <c r="K3671">
        <v>1.1189480000000001</v>
      </c>
      <c r="L3671">
        <v>214.2843</v>
      </c>
      <c r="M3671">
        <v>0.99701119999999999</v>
      </c>
      <c r="N3671">
        <v>-1.3599150000000001E-2</v>
      </c>
      <c r="O3671">
        <v>-7.6050770000000004E-2</v>
      </c>
      <c r="P3671">
        <v>0.9271007</v>
      </c>
      <c r="Q3671">
        <v>-9.963176E-2</v>
      </c>
      <c r="R3671">
        <v>-0.3613287</v>
      </c>
      <c r="S3671">
        <v>2.4841000000000002</v>
      </c>
      <c r="T3671">
        <v>-0.1873986</v>
      </c>
      <c r="U3671">
        <v>-1.9079900000000001</v>
      </c>
      <c r="V3671">
        <v>0.28929440000000001</v>
      </c>
      <c r="W3671">
        <v>-8.8247549999999994E-2</v>
      </c>
      <c r="X3671">
        <v>0.95316369999999895</v>
      </c>
      <c r="Y3671">
        <v>0.54592850000000004</v>
      </c>
      <c r="Z3671">
        <v>-1.823079E-2</v>
      </c>
      <c r="AA3671">
        <v>0.83763339999999997</v>
      </c>
      <c r="AB3671">
        <v>20</v>
      </c>
      <c r="AC3671">
        <v>14.617899999999899</v>
      </c>
      <c r="AD3671">
        <v>-1.118941665963</v>
      </c>
      <c r="AE3671">
        <v>-11.373199999999899</v>
      </c>
      <c r="AF3671">
        <v>10.191254211406299</v>
      </c>
      <c r="AG3671">
        <v>-1.118941665963</v>
      </c>
      <c r="AH3671">
        <v>15.3844271339446</v>
      </c>
      <c r="AI3671">
        <v>93.469869789645998</v>
      </c>
      <c r="AJ3671">
        <v>56.477930708106904</v>
      </c>
      <c r="AK3671">
        <v>18.487679440453999</v>
      </c>
      <c r="AL3671">
        <v>95.062798130290503</v>
      </c>
      <c r="AM3671">
        <v>73.116448861984097</v>
      </c>
      <c r="AN3671">
        <v>0.99999995947502496</v>
      </c>
    </row>
    <row r="3672" spans="1:40" x14ac:dyDescent="0.25">
      <c r="A3672" t="str">
        <f>"20190303154544664"</f>
        <v>20190303154544664</v>
      </c>
      <c r="B3672" t="str">
        <f>"1551599144655129"</f>
        <v>1551599144655129</v>
      </c>
      <c r="C3672" t="s">
        <v>40</v>
      </c>
      <c r="D3672">
        <v>5.0565600000000002</v>
      </c>
      <c r="E3672">
        <v>0.61486109999999905</v>
      </c>
      <c r="F3672" t="s">
        <v>54</v>
      </c>
      <c r="G3672">
        <v>-191.52099999999999</v>
      </c>
      <c r="H3672" s="1">
        <v>6.4465449999999998E-6</v>
      </c>
      <c r="I3672">
        <v>202.6763</v>
      </c>
      <c r="J3672">
        <v>-206.07640000000001</v>
      </c>
      <c r="K3672">
        <v>1.118841</v>
      </c>
      <c r="L3672">
        <v>214.26679999999999</v>
      </c>
      <c r="M3672">
        <v>0.99672210000000006</v>
      </c>
      <c r="N3672">
        <v>-1.3607660000000001E-2</v>
      </c>
      <c r="O3672">
        <v>-7.9748349999999996E-2</v>
      </c>
      <c r="P3672">
        <v>0.92280770000000001</v>
      </c>
      <c r="Q3672">
        <v>-9.7711820000000005E-2</v>
      </c>
      <c r="R3672">
        <v>-0.37266369999999999</v>
      </c>
      <c r="S3672">
        <v>2.460159</v>
      </c>
      <c r="T3672">
        <v>-0.18689700000000001</v>
      </c>
      <c r="U3672">
        <v>-1.9388730000000001</v>
      </c>
      <c r="V3672">
        <v>0.29738789999999998</v>
      </c>
      <c r="W3672">
        <v>-8.6482799999999999E-2</v>
      </c>
      <c r="X3672">
        <v>0.9508318</v>
      </c>
      <c r="Y3672">
        <v>0.55323889999999998</v>
      </c>
      <c r="Z3672">
        <v>-1.8370319999999999E-2</v>
      </c>
      <c r="AA3672">
        <v>0.83282009999999995</v>
      </c>
      <c r="AB3672">
        <v>20</v>
      </c>
      <c r="AC3672">
        <v>14.555400000000001</v>
      </c>
      <c r="AD3672">
        <v>-1.1188345534549999</v>
      </c>
      <c r="AE3672">
        <v>-11.590499999999899</v>
      </c>
      <c r="AF3672">
        <v>10.355258429809201</v>
      </c>
      <c r="AG3672">
        <v>-1.1188345534549999</v>
      </c>
      <c r="AH3672">
        <v>15.377838413941101</v>
      </c>
      <c r="AI3672">
        <v>93.453555682711993</v>
      </c>
      <c r="AJ3672">
        <v>56.044131548151</v>
      </c>
      <c r="AK3672">
        <v>18.573127959270199</v>
      </c>
      <c r="AL3672">
        <v>94.961297205966602</v>
      </c>
      <c r="AM3672">
        <v>72.632089406518404</v>
      </c>
      <c r="AN3672">
        <v>0.99999997482674396</v>
      </c>
    </row>
    <row r="3673" spans="1:40" x14ac:dyDescent="0.25">
      <c r="A3673" t="str">
        <f>"20190303154544701"</f>
        <v>20190303154544701</v>
      </c>
      <c r="B3673" t="str">
        <f>"1551599144695149"</f>
        <v>1551599144695149</v>
      </c>
      <c r="C3673" t="s">
        <v>40</v>
      </c>
      <c r="D3673">
        <v>5.0566879999999896</v>
      </c>
      <c r="E3673">
        <v>0.61515369999999903</v>
      </c>
      <c r="F3673" t="s">
        <v>54</v>
      </c>
      <c r="G3673">
        <v>-191.32679999999999</v>
      </c>
      <c r="H3673" s="1">
        <v>6.615976E-6</v>
      </c>
      <c r="I3673">
        <v>202.3432</v>
      </c>
      <c r="J3673">
        <v>-205.74950000000001</v>
      </c>
      <c r="K3673">
        <v>1.1186590000000001</v>
      </c>
      <c r="L3673">
        <v>214.23159999999999</v>
      </c>
      <c r="M3673">
        <v>0.99610390000000004</v>
      </c>
      <c r="N3673">
        <v>-1.3626549999999999E-2</v>
      </c>
      <c r="O3673">
        <v>-8.7128570000000002E-2</v>
      </c>
      <c r="P3673">
        <v>0.91246070000000001</v>
      </c>
      <c r="Q3673">
        <v>-9.3179899999999996E-2</v>
      </c>
      <c r="R3673">
        <v>-0.39841369999999998</v>
      </c>
      <c r="S3673">
        <v>2.4361109999999999</v>
      </c>
      <c r="T3673">
        <v>-0.1847917</v>
      </c>
      <c r="U3673">
        <v>-1.96936</v>
      </c>
      <c r="V3673">
        <v>0.31688110000000003</v>
      </c>
      <c r="W3673">
        <v>-8.2293939999999996E-2</v>
      </c>
      <c r="X3673">
        <v>0.94488839999999996</v>
      </c>
      <c r="Y3673">
        <v>0.55740579999999995</v>
      </c>
      <c r="Z3673">
        <v>-1.8077909999999999E-2</v>
      </c>
      <c r="AA3673">
        <v>0.83004339999999999</v>
      </c>
      <c r="AB3673">
        <v>20</v>
      </c>
      <c r="AC3673">
        <v>14.422700000000001</v>
      </c>
      <c r="AD3673">
        <v>-1.1186523840239999</v>
      </c>
      <c r="AE3673">
        <v>-11.888399999999899</v>
      </c>
      <c r="AF3673">
        <v>10.5486492299458</v>
      </c>
      <c r="AG3673">
        <v>-1.1186523840239999</v>
      </c>
      <c r="AH3673">
        <v>15.348776712550899</v>
      </c>
      <c r="AI3673">
        <v>93.437319267158898</v>
      </c>
      <c r="AJ3673">
        <v>55.500691500635597</v>
      </c>
      <c r="AK3673">
        <v>18.6577150343889</v>
      </c>
      <c r="AL3673">
        <v>94.720433697422493</v>
      </c>
      <c r="AM3673">
        <v>71.460425991966105</v>
      </c>
      <c r="AN3673">
        <v>1.00000000627624</v>
      </c>
    </row>
    <row r="3674" spans="1:40" x14ac:dyDescent="0.25">
      <c r="A3674" t="str">
        <f>"20190303154544726"</f>
        <v>20190303154544726</v>
      </c>
      <c r="B3674" t="str">
        <f>"1551599144714666"</f>
        <v>1551599144714666</v>
      </c>
      <c r="C3674" t="s">
        <v>40</v>
      </c>
      <c r="D3674">
        <v>5.0673879999999896</v>
      </c>
      <c r="E3674">
        <v>0.6151354</v>
      </c>
      <c r="F3674" t="s">
        <v>54</v>
      </c>
      <c r="G3674">
        <v>-190.6259</v>
      </c>
      <c r="H3674" s="1">
        <v>7.1811429999999999E-6</v>
      </c>
      <c r="I3674">
        <v>201.27199999999999</v>
      </c>
      <c r="J3674">
        <v>-205.52719999999999</v>
      </c>
      <c r="K3674">
        <v>1.118552</v>
      </c>
      <c r="L3674">
        <v>214.20570000000001</v>
      </c>
      <c r="M3674">
        <v>0.99562030000000001</v>
      </c>
      <c r="N3674">
        <v>-1.363938E-2</v>
      </c>
      <c r="O3674">
        <v>-9.249098E-2</v>
      </c>
      <c r="P3674">
        <v>0.90593900000000005</v>
      </c>
      <c r="Q3674">
        <v>-8.9976909999999993E-2</v>
      </c>
      <c r="R3674">
        <v>-0.4137383</v>
      </c>
      <c r="S3674">
        <v>2.3795009999999999</v>
      </c>
      <c r="T3674">
        <v>-0.17600450000000001</v>
      </c>
      <c r="U3674">
        <v>-2.0390169999999999</v>
      </c>
      <c r="V3674">
        <v>0.32765100000000003</v>
      </c>
      <c r="W3674">
        <v>-7.9298969999999996E-2</v>
      </c>
      <c r="X3674">
        <v>0.94146510000000005</v>
      </c>
      <c r="Y3674">
        <v>0.5766057</v>
      </c>
      <c r="Z3674">
        <v>-1.8123420000000001E-2</v>
      </c>
      <c r="AA3674">
        <v>0.81682149999999998</v>
      </c>
      <c r="AB3674">
        <v>20</v>
      </c>
      <c r="AC3674">
        <v>14.9012999999999</v>
      </c>
      <c r="AD3674">
        <v>-1.118544818857</v>
      </c>
      <c r="AE3674">
        <v>-12.9336999999999</v>
      </c>
      <c r="AF3674">
        <v>11.463048416188499</v>
      </c>
      <c r="AG3674">
        <v>-1.118544818857</v>
      </c>
      <c r="AH3674">
        <v>15.9824148314027</v>
      </c>
      <c r="AI3674">
        <v>93.254942401415505</v>
      </c>
      <c r="AJ3674">
        <v>54.350819058976299</v>
      </c>
      <c r="AK3674">
        <v>19.7000052118449</v>
      </c>
      <c r="AL3674">
        <v>94.548271568848193</v>
      </c>
      <c r="AM3674">
        <v>70.810955555585593</v>
      </c>
      <c r="AN3674">
        <v>1.0000000194810299</v>
      </c>
    </row>
    <row r="3675" spans="1:40" x14ac:dyDescent="0.25">
      <c r="A3675" t="str">
        <f>"20190303154544747"</f>
        <v>20190303154544747</v>
      </c>
      <c r="B3675" t="str">
        <f>"1551599144744921"</f>
        <v>1551599144744921</v>
      </c>
      <c r="C3675" t="s">
        <v>40</v>
      </c>
      <c r="D3675">
        <v>5.0028319999999997</v>
      </c>
      <c r="E3675">
        <v>0.61491929999999995</v>
      </c>
      <c r="F3675" t="s">
        <v>54</v>
      </c>
      <c r="G3675">
        <v>-190.07589999999999</v>
      </c>
      <c r="H3675" s="1">
        <v>7.5968349999999997E-6</v>
      </c>
      <c r="I3675">
        <v>200.51</v>
      </c>
      <c r="J3675">
        <v>-205.3424</v>
      </c>
      <c r="K3675">
        <v>1.1184719999999999</v>
      </c>
      <c r="L3675">
        <v>214.1831</v>
      </c>
      <c r="M3675">
        <v>0.99517840000000002</v>
      </c>
      <c r="N3675">
        <v>-1.3649990000000001E-2</v>
      </c>
      <c r="O3675">
        <v>-9.7126770000000001E-2</v>
      </c>
      <c r="P3675">
        <v>0.89949889999999999</v>
      </c>
      <c r="Q3675">
        <v>-8.6481470000000005E-2</v>
      </c>
      <c r="R3675">
        <v>-0.42827900000000002</v>
      </c>
      <c r="S3675">
        <v>2.3452449999999998</v>
      </c>
      <c r="T3675">
        <v>-0.1697766</v>
      </c>
      <c r="U3675">
        <v>-2.0787810000000002</v>
      </c>
      <c r="V3675">
        <v>0.33837060000000002</v>
      </c>
      <c r="W3675">
        <v>-7.5990920000000003E-2</v>
      </c>
      <c r="X3675">
        <v>0.93793959999999998</v>
      </c>
      <c r="Y3675">
        <v>0.58648129999999998</v>
      </c>
      <c r="Z3675">
        <v>-1.7937560000000002E-2</v>
      </c>
      <c r="AA3675">
        <v>0.80976409999999999</v>
      </c>
      <c r="AB3675">
        <v>20</v>
      </c>
      <c r="AC3675">
        <v>15.266500000000001</v>
      </c>
      <c r="AD3675">
        <v>-1.118464403165</v>
      </c>
      <c r="AE3675">
        <v>-13.6731</v>
      </c>
      <c r="AF3675">
        <v>12.089511041899099</v>
      </c>
      <c r="AG3675">
        <v>-1.118464403165</v>
      </c>
      <c r="AH3675">
        <v>16.473391167274801</v>
      </c>
      <c r="AI3675">
        <v>93.133057477105396</v>
      </c>
      <c r="AJ3675">
        <v>53.725757073777103</v>
      </c>
      <c r="AK3675">
        <v>20.464111424721001</v>
      </c>
      <c r="AL3675">
        <v>94.358160385879302</v>
      </c>
      <c r="AM3675">
        <v>70.162610616497204</v>
      </c>
      <c r="AN3675">
        <v>0.99999998805748302</v>
      </c>
    </row>
    <row r="3676" spans="1:40" x14ac:dyDescent="0.25">
      <c r="A3676" t="str">
        <f>"20190303154544772"</f>
        <v>20190303154544772</v>
      </c>
      <c r="B3676" t="str">
        <f>"1551599144764442"</f>
        <v>1551599144764442</v>
      </c>
      <c r="C3676" t="s">
        <v>40</v>
      </c>
      <c r="D3676">
        <v>5.1479100000000004</v>
      </c>
      <c r="E3676">
        <v>0.61480919999999994</v>
      </c>
      <c r="F3676" t="s">
        <v>54</v>
      </c>
      <c r="G3676">
        <v>-189.49709999999999</v>
      </c>
      <c r="H3676" s="1">
        <v>7.8012540000000002E-6</v>
      </c>
      <c r="I3676">
        <v>199.69319999999999</v>
      </c>
      <c r="J3676">
        <v>-205.13239999999999</v>
      </c>
      <c r="K3676">
        <v>1.1183689999999999</v>
      </c>
      <c r="L3676">
        <v>214.15600000000001</v>
      </c>
      <c r="M3676">
        <v>0.99462229999999996</v>
      </c>
      <c r="N3676">
        <v>-1.3664290000000001E-2</v>
      </c>
      <c r="O3676">
        <v>-0.1026628</v>
      </c>
      <c r="P3676">
        <v>0.89189149999999995</v>
      </c>
      <c r="Q3676">
        <v>-8.3380999999999997E-2</v>
      </c>
      <c r="R3676">
        <v>-0.44449660000000002</v>
      </c>
      <c r="S3676">
        <v>2.312592</v>
      </c>
      <c r="T3676">
        <v>-0.1632372</v>
      </c>
      <c r="U3676">
        <v>-2.1147610000000001</v>
      </c>
      <c r="V3676">
        <v>0.35006419999999999</v>
      </c>
      <c r="W3676">
        <v>-7.3115540000000007E-2</v>
      </c>
      <c r="X3676">
        <v>0.93386789999999997</v>
      </c>
      <c r="Y3676">
        <v>0.59455100000000005</v>
      </c>
      <c r="Z3676">
        <v>-1.7611930000000001E-2</v>
      </c>
      <c r="AA3676">
        <v>0.80386499999999905</v>
      </c>
      <c r="AB3676">
        <v>19</v>
      </c>
      <c r="AC3676">
        <v>15.635300000000001</v>
      </c>
      <c r="AD3676">
        <v>-1.118361198746</v>
      </c>
      <c r="AE3676">
        <v>-14.4627999999999</v>
      </c>
      <c r="AF3676">
        <v>12.7459115690238</v>
      </c>
      <c r="AG3676">
        <v>-1.118361198746</v>
      </c>
      <c r="AH3676">
        <v>16.9907554881318</v>
      </c>
      <c r="AI3676">
        <v>93.0140208749321</v>
      </c>
      <c r="AJ3676">
        <v>53.123962895266096</v>
      </c>
      <c r="AK3676">
        <v>21.26957370409</v>
      </c>
      <c r="AL3676">
        <v>94.192953202060096</v>
      </c>
      <c r="AM3676">
        <v>69.451284569586903</v>
      </c>
      <c r="AN3676">
        <v>1.0000000404807701</v>
      </c>
    </row>
    <row r="3677" spans="1:40" x14ac:dyDescent="0.25">
      <c r="A3677" t="str">
        <f>"20190303154544793"</f>
        <v>20190303154544793</v>
      </c>
      <c r="B3677" t="str">
        <f>"1551599144784937"</f>
        <v>1551599144784937</v>
      </c>
      <c r="C3677" t="s">
        <v>40</v>
      </c>
      <c r="D3677">
        <v>5.0912449999999998</v>
      </c>
      <c r="E3677">
        <v>0.61501539999999999</v>
      </c>
      <c r="F3677" t="s">
        <v>41</v>
      </c>
      <c r="G3677">
        <v>-188.7978</v>
      </c>
      <c r="H3677" s="1">
        <v>-4.0954309999999996E-6</v>
      </c>
      <c r="I3677">
        <v>198.6823</v>
      </c>
      <c r="J3677">
        <v>-204.94370000000001</v>
      </c>
      <c r="K3677">
        <v>1.118242</v>
      </c>
      <c r="L3677">
        <v>214.13040000000001</v>
      </c>
      <c r="M3677">
        <v>0.99406729999999999</v>
      </c>
      <c r="N3677">
        <v>-1.368106E-2</v>
      </c>
      <c r="O3677">
        <v>-0.1079036</v>
      </c>
      <c r="P3677">
        <v>0.88336919999999897</v>
      </c>
      <c r="Q3677">
        <v>-8.1411540000000004E-2</v>
      </c>
      <c r="R3677">
        <v>-0.46155309999999999</v>
      </c>
      <c r="S3677">
        <v>2.2750240000000002</v>
      </c>
      <c r="T3677">
        <v>-0.1557636</v>
      </c>
      <c r="U3677">
        <v>-2.1551360000000002</v>
      </c>
      <c r="V3677">
        <v>0.36300929999999998</v>
      </c>
      <c r="W3677">
        <v>-7.1408089999999994E-2</v>
      </c>
      <c r="X3677">
        <v>0.92904529999999996</v>
      </c>
      <c r="Y3677">
        <v>0.60446880000000003</v>
      </c>
      <c r="Z3677">
        <v>-1.731603E-2</v>
      </c>
      <c r="AA3677">
        <v>0.7964405</v>
      </c>
      <c r="AB3677">
        <v>19</v>
      </c>
      <c r="AC3677">
        <v>16.145900000000001</v>
      </c>
      <c r="AD3677">
        <v>-1.1182460954310001</v>
      </c>
      <c r="AE3677">
        <v>-15.4481</v>
      </c>
      <c r="AF3677">
        <v>13.581511567766499</v>
      </c>
      <c r="AG3677">
        <v>-1.1182460954310001</v>
      </c>
      <c r="AH3677">
        <v>17.674411974821499</v>
      </c>
      <c r="AI3677">
        <v>92.872015566776398</v>
      </c>
      <c r="AJ3677">
        <v>52.460318863034601</v>
      </c>
      <c r="AK3677">
        <v>22.3179920568817</v>
      </c>
      <c r="AL3677">
        <v>94.094867179297793</v>
      </c>
      <c r="AM3677">
        <v>68.657737773569195</v>
      </c>
      <c r="AN3677">
        <v>1.00000001832801</v>
      </c>
    </row>
    <row r="3678" spans="1:40" x14ac:dyDescent="0.25">
      <c r="A3678" t="str">
        <f>"20190303154544836"</f>
        <v>20190303154544836</v>
      </c>
      <c r="B3678" t="str">
        <f>"1551599144824953"</f>
        <v>1551599144824953</v>
      </c>
      <c r="C3678" t="s">
        <v>40</v>
      </c>
      <c r="D3678">
        <v>5.1289089999999904</v>
      </c>
      <c r="E3678">
        <v>0.65981529999999999</v>
      </c>
      <c r="F3678" t="s">
        <v>41</v>
      </c>
      <c r="G3678">
        <v>-188.4359</v>
      </c>
      <c r="H3678" s="1">
        <v>-3.8095819999999998E-6</v>
      </c>
      <c r="I3678">
        <v>197.8663</v>
      </c>
      <c r="J3678">
        <v>-204.5795</v>
      </c>
      <c r="K3678">
        <v>1.117891</v>
      </c>
      <c r="L3678">
        <v>214.0771</v>
      </c>
      <c r="M3678">
        <v>0.99282139999999997</v>
      </c>
      <c r="N3678">
        <v>-1.3724979999999999E-2</v>
      </c>
      <c r="O3678">
        <v>-0.11881700000000001</v>
      </c>
      <c r="P3678">
        <v>0.86416800000000005</v>
      </c>
      <c r="Q3678">
        <v>-8.1872120000000007E-2</v>
      </c>
      <c r="R3678">
        <v>-0.49649870000000002</v>
      </c>
      <c r="S3678">
        <v>2.232758</v>
      </c>
      <c r="T3678">
        <v>-0.15124799999999999</v>
      </c>
      <c r="U3678">
        <v>-2.1997990000000001</v>
      </c>
      <c r="V3678">
        <v>0.38970860000000002</v>
      </c>
      <c r="W3678">
        <v>-7.2494920000000004E-2</v>
      </c>
      <c r="X3678">
        <v>0.91808040000000002</v>
      </c>
      <c r="Y3678">
        <v>0.61135850000000003</v>
      </c>
      <c r="Z3678">
        <v>-1.6901969999999999E-2</v>
      </c>
      <c r="AA3678">
        <v>0.79117329999999997</v>
      </c>
      <c r="AB3678">
        <v>19</v>
      </c>
      <c r="AC3678">
        <v>16.1435999999999</v>
      </c>
      <c r="AD3678">
        <v>-1.1178948095819901</v>
      </c>
      <c r="AE3678">
        <v>-16.210799999999999</v>
      </c>
      <c r="AF3678">
        <v>14.143859111453899</v>
      </c>
      <c r="AG3678">
        <v>-1.1178948095819901</v>
      </c>
      <c r="AH3678">
        <v>17.9127511097516</v>
      </c>
      <c r="AI3678">
        <v>92.804097037986296</v>
      </c>
      <c r="AJ3678">
        <v>51.705475436504599</v>
      </c>
      <c r="AK3678">
        <v>22.850931965455</v>
      </c>
      <c r="AL3678">
        <v>94.157299998301895</v>
      </c>
      <c r="AM3678">
        <v>66.999651469647105</v>
      </c>
      <c r="AN3678">
        <v>0.99999996360196197</v>
      </c>
    </row>
    <row r="3679" spans="1:40" x14ac:dyDescent="0.25">
      <c r="A3679" t="str">
        <f>"20190303154544864"</f>
        <v>20190303154544864</v>
      </c>
      <c r="B3679" t="str">
        <f>"1551599144854234"</f>
        <v>1551599144854234</v>
      </c>
      <c r="C3679" t="s">
        <v>40</v>
      </c>
      <c r="D3679">
        <v>5.0800859999999997</v>
      </c>
      <c r="E3679">
        <v>0.66129830000000001</v>
      </c>
      <c r="F3679" t="s">
        <v>54</v>
      </c>
      <c r="G3679">
        <v>-197.01560000000001</v>
      </c>
      <c r="H3679" s="1">
        <v>4.765102E-6</v>
      </c>
      <c r="I3679">
        <v>204.03729999999999</v>
      </c>
      <c r="J3679">
        <v>-204.33619999999999</v>
      </c>
      <c r="K3679">
        <v>1.1176569999999999</v>
      </c>
      <c r="L3679">
        <v>214.0385</v>
      </c>
      <c r="M3679">
        <v>0.99184859999999997</v>
      </c>
      <c r="N3679">
        <v>-1.3757780000000001E-2</v>
      </c>
      <c r="O3679">
        <v>-0.1266767</v>
      </c>
      <c r="P3679">
        <v>0.85304439999999904</v>
      </c>
      <c r="Q3679">
        <v>-8.2526920000000004E-2</v>
      </c>
      <c r="R3679">
        <v>-0.51527159999999905</v>
      </c>
      <c r="S3679">
        <v>1.9540249999999999</v>
      </c>
      <c r="T3679">
        <v>-0.28878870000000001</v>
      </c>
      <c r="U3679">
        <v>-2.5936430000000001</v>
      </c>
      <c r="V3679">
        <v>0.4024182</v>
      </c>
      <c r="W3679">
        <v>-7.3517840000000001E-2</v>
      </c>
      <c r="X3679">
        <v>0.91249919999999995</v>
      </c>
      <c r="Y3679">
        <v>0.71316109999999999</v>
      </c>
      <c r="Z3679">
        <v>-3.319097E-2</v>
      </c>
      <c r="AA3679">
        <v>0.700214</v>
      </c>
      <c r="AB3679">
        <v>19</v>
      </c>
      <c r="AC3679">
        <v>7.3205999999999802</v>
      </c>
      <c r="AD3679">
        <v>-1.11765223489799</v>
      </c>
      <c r="AE3679">
        <v>-10.001200000000001</v>
      </c>
      <c r="AF3679">
        <v>8.9206387160119593</v>
      </c>
      <c r="AG3679">
        <v>-1.11765223489799</v>
      </c>
      <c r="AH3679">
        <v>8.4598607257943605</v>
      </c>
      <c r="AI3679">
        <v>95.194423611694702</v>
      </c>
      <c r="AJ3679">
        <v>43.481375540931602</v>
      </c>
      <c r="AK3679">
        <v>12.3448849779826</v>
      </c>
      <c r="AL3679">
        <v>94.216065517377302</v>
      </c>
      <c r="AM3679">
        <v>66.202202535806194</v>
      </c>
      <c r="AN3679">
        <v>1.00000003524507</v>
      </c>
    </row>
    <row r="3680" spans="1:40" x14ac:dyDescent="0.25">
      <c r="A3680" t="str">
        <f>"20190303154544884"</f>
        <v>20190303154544884</v>
      </c>
      <c r="B3680" t="str">
        <f>"1551599144874729"</f>
        <v>1551599144874729</v>
      </c>
      <c r="C3680" t="s">
        <v>40</v>
      </c>
      <c r="D3680">
        <v>5.0580429999999996</v>
      </c>
      <c r="E3680">
        <v>0.66122599999999998</v>
      </c>
      <c r="F3680" t="s">
        <v>54</v>
      </c>
      <c r="G3680">
        <v>-196.9358</v>
      </c>
      <c r="H3680" s="1">
        <v>4.8770320000000001E-6</v>
      </c>
      <c r="I3680">
        <v>203.6814</v>
      </c>
      <c r="J3680">
        <v>-204.16239999999999</v>
      </c>
      <c r="K3680">
        <v>1.1175139999999999</v>
      </c>
      <c r="L3680">
        <v>214.0093</v>
      </c>
      <c r="M3680">
        <v>0.9910757</v>
      </c>
      <c r="N3680">
        <v>-1.3780550000000001E-2</v>
      </c>
      <c r="O3680">
        <v>-0.1325865</v>
      </c>
      <c r="P3680">
        <v>0.84285100000000002</v>
      </c>
      <c r="Q3680">
        <v>-8.1287949999999998E-2</v>
      </c>
      <c r="R3680">
        <v>-0.53197260000000002</v>
      </c>
      <c r="S3680">
        <v>1.8907780000000001</v>
      </c>
      <c r="T3680">
        <v>-0.28555459999999999</v>
      </c>
      <c r="U3680">
        <v>-2.6461939999999999</v>
      </c>
      <c r="V3680">
        <v>0.4148694</v>
      </c>
      <c r="W3680">
        <v>-7.2580519999999996E-2</v>
      </c>
      <c r="X3680">
        <v>0.9069815</v>
      </c>
      <c r="Y3680">
        <v>0.72652289999999997</v>
      </c>
      <c r="Z3680">
        <v>-3.3553979999999997E-2</v>
      </c>
      <c r="AA3680">
        <v>0.68632249999999995</v>
      </c>
      <c r="AB3680">
        <v>19</v>
      </c>
      <c r="AC3680">
        <v>7.2265999999999897</v>
      </c>
      <c r="AD3680">
        <v>-1.1175091229680001</v>
      </c>
      <c r="AE3680">
        <v>-10.3279</v>
      </c>
      <c r="AF3680">
        <v>9.2061040943936199</v>
      </c>
      <c r="AG3680">
        <v>-1.1175091229680001</v>
      </c>
      <c r="AH3680">
        <v>8.4657191560122307</v>
      </c>
      <c r="AI3680">
        <v>95.105928554501105</v>
      </c>
      <c r="AJ3680">
        <v>42.600918867154299</v>
      </c>
      <c r="AK3680">
        <v>12.556654811899501</v>
      </c>
      <c r="AL3680">
        <v>94.162217335784106</v>
      </c>
      <c r="AM3680">
        <v>65.419804286622593</v>
      </c>
      <c r="AN3680">
        <v>0.99999999614103996</v>
      </c>
    </row>
    <row r="3681" spans="1:40" x14ac:dyDescent="0.25">
      <c r="A3681" t="str">
        <f>"20190303154544905"</f>
        <v>20190303154544905</v>
      </c>
      <c r="B3681" t="str">
        <f>"1551599144894249"</f>
        <v>1551599144894249</v>
      </c>
      <c r="C3681" t="s">
        <v>40</v>
      </c>
      <c r="D3681">
        <v>5.0846150000000003</v>
      </c>
      <c r="E3681">
        <v>0.66025540000000005</v>
      </c>
      <c r="F3681" t="s">
        <v>54</v>
      </c>
      <c r="G3681">
        <v>-196.90649999999999</v>
      </c>
      <c r="H3681" s="1">
        <v>4.9508969999999996E-6</v>
      </c>
      <c r="I3681">
        <v>203.42699999999999</v>
      </c>
      <c r="J3681">
        <v>-203.97829999999999</v>
      </c>
      <c r="K3681">
        <v>1.117389</v>
      </c>
      <c r="L3681">
        <v>213.9769</v>
      </c>
      <c r="M3681">
        <v>0.99018459999999997</v>
      </c>
      <c r="N3681">
        <v>-1.380343E-2</v>
      </c>
      <c r="O3681">
        <v>-0.13908299999999901</v>
      </c>
      <c r="P3681">
        <v>0.83293809999999902</v>
      </c>
      <c r="Q3681">
        <v>-7.8119259999999996E-2</v>
      </c>
      <c r="R3681">
        <v>-0.54782439999999999</v>
      </c>
      <c r="S3681">
        <v>1.8390960000000001</v>
      </c>
      <c r="T3681">
        <v>-0.28324749999999999</v>
      </c>
      <c r="U3681">
        <v>-2.6822360000000001</v>
      </c>
      <c r="V3681">
        <v>0.42600500000000002</v>
      </c>
      <c r="W3681">
        <v>-6.967682E-2</v>
      </c>
      <c r="X3681">
        <v>0.90203370000000005</v>
      </c>
      <c r="Y3681">
        <v>0.73525499999999999</v>
      </c>
      <c r="Z3681">
        <v>-3.3606249999999997E-2</v>
      </c>
      <c r="AA3681">
        <v>0.67695699999999903</v>
      </c>
      <c r="AB3681">
        <v>19</v>
      </c>
      <c r="AC3681">
        <v>7.0717999999999899</v>
      </c>
      <c r="AD3681">
        <v>-1.117384049103</v>
      </c>
      <c r="AE3681">
        <v>-10.5498999999999</v>
      </c>
      <c r="AF3681">
        <v>9.3909958081107199</v>
      </c>
      <c r="AG3681">
        <v>-1.117384049103</v>
      </c>
      <c r="AH3681">
        <v>8.4054472660323505</v>
      </c>
      <c r="AI3681">
        <v>95.066498483511197</v>
      </c>
      <c r="AJ3681">
        <v>41.830256920138901</v>
      </c>
      <c r="AK3681">
        <v>12.6527029967194</v>
      </c>
      <c r="AL3681">
        <v>93.995425214684104</v>
      </c>
      <c r="AM3681">
        <v>64.719959261215806</v>
      </c>
      <c r="AN3681">
        <v>0.99999995760299998</v>
      </c>
    </row>
    <row r="3682" spans="1:40" x14ac:dyDescent="0.25">
      <c r="A3682" t="str">
        <f>"20190303154544931"</f>
        <v>20190303154544931</v>
      </c>
      <c r="B3682" t="str">
        <f>"1551599144924506"</f>
        <v>1551599144924506</v>
      </c>
      <c r="C3682" t="s">
        <v>40</v>
      </c>
      <c r="D3682">
        <v>5.0707969999999998</v>
      </c>
      <c r="E3682">
        <v>0.65849349999999995</v>
      </c>
      <c r="F3682" t="s">
        <v>54</v>
      </c>
      <c r="G3682">
        <v>-196.6808</v>
      </c>
      <c r="H3682" s="1">
        <v>5.12823499999999E-6</v>
      </c>
      <c r="I3682">
        <v>202.94630000000001</v>
      </c>
      <c r="J3682">
        <v>-203.75540000000001</v>
      </c>
      <c r="K3682">
        <v>1.117275</v>
      </c>
      <c r="L3682">
        <v>213.9357</v>
      </c>
      <c r="M3682">
        <v>0.98900189999999999</v>
      </c>
      <c r="N3682">
        <v>-1.38312E-2</v>
      </c>
      <c r="O3682">
        <v>-0.14725559999999999</v>
      </c>
      <c r="P3682">
        <v>0.82279179999999996</v>
      </c>
      <c r="Q3682">
        <v>-7.4893119999999994E-2</v>
      </c>
      <c r="R3682">
        <v>-0.56338779999999999</v>
      </c>
      <c r="S3682">
        <v>1.7932129999999999</v>
      </c>
      <c r="T3682">
        <v>-0.27457619999999999</v>
      </c>
      <c r="U3682">
        <v>-2.7105709999999998</v>
      </c>
      <c r="V3682">
        <v>0.43544840000000001</v>
      </c>
      <c r="W3682">
        <v>-6.6690719999999995E-2</v>
      </c>
      <c r="X3682">
        <v>0.89773989999999904</v>
      </c>
      <c r="Y3682">
        <v>0.74099019999999904</v>
      </c>
      <c r="Z3682">
        <v>-3.2718709999999998E-2</v>
      </c>
      <c r="AA3682">
        <v>0.67071829999999999</v>
      </c>
      <c r="AB3682">
        <v>19</v>
      </c>
      <c r="AC3682">
        <v>7.0746000000000002</v>
      </c>
      <c r="AD3682">
        <v>-1.117269871765</v>
      </c>
      <c r="AE3682">
        <v>-10.9893999999999</v>
      </c>
      <c r="AF3682">
        <v>9.7564041065136902</v>
      </c>
      <c r="AG3682">
        <v>-1.117269871765</v>
      </c>
      <c r="AH3682">
        <v>8.5533604497850302</v>
      </c>
      <c r="AI3682">
        <v>94.921613717472994</v>
      </c>
      <c r="AJ3682">
        <v>41.240782492490297</v>
      </c>
      <c r="AK3682">
        <v>13.022890924825299</v>
      </c>
      <c r="AL3682">
        <v>93.823935169750001</v>
      </c>
      <c r="AM3682">
        <v>64.124313063445399</v>
      </c>
      <c r="AN3682">
        <v>0.99999994462434205</v>
      </c>
    </row>
    <row r="3683" spans="1:40" x14ac:dyDescent="0.25">
      <c r="A3683" t="str">
        <f>"20190303154544951"</f>
        <v>20190303154544951</v>
      </c>
      <c r="B3683" t="str">
        <f>"1551599144945001"</f>
        <v>1551599144945001</v>
      </c>
      <c r="C3683" t="s">
        <v>40</v>
      </c>
      <c r="D3683">
        <v>5.0836180000000004</v>
      </c>
      <c r="E3683">
        <v>0.65703650000000002</v>
      </c>
      <c r="F3683" t="s">
        <v>54</v>
      </c>
      <c r="G3683">
        <v>-196.31299999999999</v>
      </c>
      <c r="H3683" s="1">
        <v>5.3750939999999998E-6</v>
      </c>
      <c r="I3683">
        <v>202.322</v>
      </c>
      <c r="J3683">
        <v>-203.5822</v>
      </c>
      <c r="K3683">
        <v>1.1171819999999999</v>
      </c>
      <c r="L3683">
        <v>213.90209999999999</v>
      </c>
      <c r="M3683">
        <v>0.98800200000000005</v>
      </c>
      <c r="N3683">
        <v>-1.3853559999999999E-2</v>
      </c>
      <c r="O3683">
        <v>-0.1538194</v>
      </c>
      <c r="P3683">
        <v>0.81365589999999999</v>
      </c>
      <c r="Q3683">
        <v>-7.4621549999999995E-2</v>
      </c>
      <c r="R3683">
        <v>-0.57653789999999905</v>
      </c>
      <c r="S3683">
        <v>1.7511289999999999</v>
      </c>
      <c r="T3683">
        <v>-0.26288450000000002</v>
      </c>
      <c r="U3683">
        <v>-2.732605</v>
      </c>
      <c r="V3683">
        <v>0.44387169999999998</v>
      </c>
      <c r="W3683">
        <v>-6.6627989999999998E-2</v>
      </c>
      <c r="X3683">
        <v>0.89360989999999996</v>
      </c>
      <c r="Y3683">
        <v>0.7464499</v>
      </c>
      <c r="Z3683">
        <v>-3.1693760000000001E-2</v>
      </c>
      <c r="AA3683">
        <v>0.66468640000000001</v>
      </c>
      <c r="AB3683">
        <v>19</v>
      </c>
      <c r="AC3683">
        <v>7.2692000000000103</v>
      </c>
      <c r="AD3683">
        <v>-1.117176624906</v>
      </c>
      <c r="AE3683">
        <v>-11.5800999999999</v>
      </c>
      <c r="AF3683">
        <v>10.2555373402007</v>
      </c>
      <c r="AG3683">
        <v>-1.117176624906</v>
      </c>
      <c r="AH3683">
        <v>8.9046363581432502</v>
      </c>
      <c r="AI3683">
        <v>94.702260209617094</v>
      </c>
      <c r="AJ3683">
        <v>40.966996302675</v>
      </c>
      <c r="AK3683">
        <v>13.6277906653372</v>
      </c>
      <c r="AL3683">
        <v>93.820332726939995</v>
      </c>
      <c r="AM3683">
        <v>63.5856037449051</v>
      </c>
      <c r="AN3683">
        <v>1.0000000142451699</v>
      </c>
    </row>
    <row r="3684" spans="1:40" x14ac:dyDescent="0.25">
      <c r="A3684" t="str">
        <f>"20190303154544973"</f>
        <v>20190303154544973</v>
      </c>
      <c r="B3684" t="str">
        <f>"1551599144964521"</f>
        <v>1551599144964521</v>
      </c>
      <c r="C3684" t="s">
        <v>40</v>
      </c>
      <c r="D3684">
        <v>5.0781710000000002</v>
      </c>
      <c r="E3684">
        <v>0.65611049999999904</v>
      </c>
      <c r="F3684" t="s">
        <v>54</v>
      </c>
      <c r="G3684">
        <v>-196.23869999999999</v>
      </c>
      <c r="H3684" s="1">
        <v>5.4466279999999996E-6</v>
      </c>
      <c r="I3684">
        <v>202.11410000000001</v>
      </c>
      <c r="J3684">
        <v>-203.39420000000001</v>
      </c>
      <c r="K3684">
        <v>1.117059</v>
      </c>
      <c r="L3684">
        <v>213.864</v>
      </c>
      <c r="M3684">
        <v>0.98683069999999895</v>
      </c>
      <c r="N3684">
        <v>-1.387942E-2</v>
      </c>
      <c r="O3684">
        <v>-0.16116059999999999</v>
      </c>
      <c r="P3684">
        <v>0.80359829999999999</v>
      </c>
      <c r="Q3684">
        <v>-7.8133889999999998E-2</v>
      </c>
      <c r="R3684">
        <v>-0.59002129999999997</v>
      </c>
      <c r="S3684">
        <v>1.7138059999999999</v>
      </c>
      <c r="T3684">
        <v>-0.26072450000000003</v>
      </c>
      <c r="U3684">
        <v>-2.7510680000000001</v>
      </c>
      <c r="V3684">
        <v>0.4520979</v>
      </c>
      <c r="W3684">
        <v>-7.0373649999999996E-2</v>
      </c>
      <c r="X3684">
        <v>0.88918790000000003</v>
      </c>
      <c r="Y3684">
        <v>0.75001209999999996</v>
      </c>
      <c r="Z3684">
        <v>-3.1310709999999999E-2</v>
      </c>
      <c r="AA3684">
        <v>0.66068260000000001</v>
      </c>
      <c r="AB3684">
        <v>19</v>
      </c>
      <c r="AC3684">
        <v>7.1555000000000097</v>
      </c>
      <c r="AD3684">
        <v>-1.1170535533720001</v>
      </c>
      <c r="AE3684">
        <v>-11.749899999999901</v>
      </c>
      <c r="AF3684">
        <v>10.374582095205501</v>
      </c>
      <c r="AG3684">
        <v>-1.1170535533720001</v>
      </c>
      <c r="AH3684">
        <v>8.8970908009522294</v>
      </c>
      <c r="AI3684">
        <v>94.672564751408103</v>
      </c>
      <c r="AJ3684">
        <v>40.615910460192602</v>
      </c>
      <c r="AK3684">
        <v>13.712694374616801</v>
      </c>
      <c r="AL3684">
        <v>94.035448544801199</v>
      </c>
      <c r="AM3684">
        <v>63.049435937059798</v>
      </c>
      <c r="AN3684">
        <v>1.0000000416525701</v>
      </c>
    </row>
    <row r="3685" spans="1:40" x14ac:dyDescent="0.25">
      <c r="A3685" t="str">
        <f>"20190303154544998"</f>
        <v>20190303154544998</v>
      </c>
      <c r="B3685" t="str">
        <f>"1551599144994777"</f>
        <v>1551599144994777</v>
      </c>
      <c r="C3685" t="s">
        <v>40</v>
      </c>
      <c r="D3685">
        <v>5.0723839999999996</v>
      </c>
      <c r="E3685">
        <v>0.63758519999999996</v>
      </c>
      <c r="F3685" t="s">
        <v>54</v>
      </c>
      <c r="G3685">
        <v>-195.86699999999999</v>
      </c>
      <c r="H3685" s="1">
        <v>5.747753E-6</v>
      </c>
      <c r="I3685">
        <v>201.3819</v>
      </c>
      <c r="J3685">
        <v>-203.18450000000001</v>
      </c>
      <c r="K3685">
        <v>1.1169039999999999</v>
      </c>
      <c r="L3685">
        <v>213.81960000000001</v>
      </c>
      <c r="M3685">
        <v>0.98541219999999996</v>
      </c>
      <c r="N3685">
        <v>-1.391066E-2</v>
      </c>
      <c r="O3685">
        <v>-0.16961519999999999</v>
      </c>
      <c r="P3685">
        <v>0.79250169999999998</v>
      </c>
      <c r="Q3685">
        <v>-8.1954379999999993E-2</v>
      </c>
      <c r="R3685">
        <v>-0.60433819999999905</v>
      </c>
      <c r="S3685">
        <v>1.672577</v>
      </c>
      <c r="T3685">
        <v>-0.24821560000000001</v>
      </c>
      <c r="U3685">
        <v>-2.7736049999999999</v>
      </c>
      <c r="V3685">
        <v>0.46039400000000003</v>
      </c>
      <c r="W3685">
        <v>-7.4468530000000005E-2</v>
      </c>
      <c r="X3685">
        <v>0.88458570000000003</v>
      </c>
      <c r="Y3685">
        <v>0.75409609999999905</v>
      </c>
      <c r="Z3685">
        <v>-2.9992899999999999E-2</v>
      </c>
      <c r="AA3685">
        <v>0.65607890000000002</v>
      </c>
      <c r="AB3685">
        <v>19</v>
      </c>
      <c r="AC3685">
        <v>7.3174999999999901</v>
      </c>
      <c r="AD3685">
        <v>-1.1168982522469999</v>
      </c>
      <c r="AE3685">
        <v>-12.4377</v>
      </c>
      <c r="AF3685">
        <v>10.9505691550091</v>
      </c>
      <c r="AG3685">
        <v>-1.1168982522469999</v>
      </c>
      <c r="AH3685">
        <v>9.2657725042672094</v>
      </c>
      <c r="AI3685">
        <v>94.452156365196899</v>
      </c>
      <c r="AJ3685">
        <v>40.236072593798603</v>
      </c>
      <c r="AK3685">
        <v>14.388084188846801</v>
      </c>
      <c r="AL3685">
        <v>94.270685797158293</v>
      </c>
      <c r="AM3685">
        <v>62.504697243518997</v>
      </c>
      <c r="AN3685">
        <v>1.0000000289204201</v>
      </c>
    </row>
    <row r="3686" spans="1:40" x14ac:dyDescent="0.25">
      <c r="A3686" t="str">
        <f>"20190303154545024"</f>
        <v>20190303154545024</v>
      </c>
      <c r="B3686" t="str">
        <f>"1551599145014297"</f>
        <v>1551599145014297</v>
      </c>
      <c r="C3686" t="s">
        <v>40</v>
      </c>
      <c r="D3686">
        <v>5.0774739999999996</v>
      </c>
      <c r="E3686">
        <v>0.63725390000000004</v>
      </c>
      <c r="F3686" t="s">
        <v>54</v>
      </c>
      <c r="G3686">
        <v>-197.16550000000001</v>
      </c>
      <c r="H3686" s="1">
        <v>4.6488339999999999E-6</v>
      </c>
      <c r="I3686">
        <v>204.35079999999999</v>
      </c>
      <c r="J3686">
        <v>-202.97190000000001</v>
      </c>
      <c r="K3686">
        <v>1.1167549999999999</v>
      </c>
      <c r="L3686">
        <v>213.7722</v>
      </c>
      <c r="M3686">
        <v>0.98383989999999999</v>
      </c>
      <c r="N3686">
        <v>-1.394539E-2</v>
      </c>
      <c r="O3686">
        <v>-0.17850729999999901</v>
      </c>
      <c r="P3686">
        <v>0.78144199999999997</v>
      </c>
      <c r="Q3686">
        <v>-8.2893620000000001E-2</v>
      </c>
      <c r="R3686">
        <v>-0.61844779999999999</v>
      </c>
      <c r="S3686">
        <v>1.7060550000000001</v>
      </c>
      <c r="T3686">
        <v>-0.31658209999999998</v>
      </c>
      <c r="U3686">
        <v>-2.6839140000000001</v>
      </c>
      <c r="V3686">
        <v>0.46821380000000001</v>
      </c>
      <c r="W3686">
        <v>-7.5697180000000003E-2</v>
      </c>
      <c r="X3686">
        <v>0.88036689999999995</v>
      </c>
      <c r="Y3686">
        <v>0.73123990000000005</v>
      </c>
      <c r="Z3686">
        <v>-3.327248E-2</v>
      </c>
      <c r="AA3686">
        <v>0.68130840000000004</v>
      </c>
      <c r="AB3686">
        <v>19</v>
      </c>
      <c r="AC3686">
        <v>5.8063999999999902</v>
      </c>
      <c r="AD3686">
        <v>-1.116750351166</v>
      </c>
      <c r="AE3686">
        <v>-9.4214000000000002</v>
      </c>
      <c r="AF3686">
        <v>8.1504711833722592</v>
      </c>
      <c r="AG3686">
        <v>-1.116750351166</v>
      </c>
      <c r="AH3686">
        <v>7.3205329038068401</v>
      </c>
      <c r="AI3686">
        <v>95.8204117199123</v>
      </c>
      <c r="AJ3686">
        <v>41.9293250374837</v>
      </c>
      <c r="AK3686">
        <v>11.0121530071793</v>
      </c>
      <c r="AL3686">
        <v>94.341281429018593</v>
      </c>
      <c r="AM3686">
        <v>61.9941951374024</v>
      </c>
      <c r="AN3686">
        <v>1.0000000520929899</v>
      </c>
    </row>
    <row r="3687" spans="1:40" x14ac:dyDescent="0.25">
      <c r="A3687" t="str">
        <f>"20190303154545059"</f>
        <v>20190303154545059</v>
      </c>
      <c r="B3687" t="str">
        <f>"1551599145054314"</f>
        <v>1551599145054314</v>
      </c>
      <c r="C3687" t="s">
        <v>40</v>
      </c>
      <c r="D3687">
        <v>5.088063</v>
      </c>
      <c r="E3687">
        <v>0.63408929999999997</v>
      </c>
      <c r="F3687" t="s">
        <v>54</v>
      </c>
      <c r="G3687">
        <v>-197.2517</v>
      </c>
      <c r="H3687" s="1">
        <v>4.6110590000000001E-6</v>
      </c>
      <c r="I3687">
        <v>204.4213</v>
      </c>
      <c r="J3687">
        <v>-202.6712</v>
      </c>
      <c r="K3687">
        <v>1.116555</v>
      </c>
      <c r="L3687">
        <v>213.70070000000001</v>
      </c>
      <c r="M3687">
        <v>0.98136230000000002</v>
      </c>
      <c r="N3687">
        <v>-1.399766E-2</v>
      </c>
      <c r="O3687">
        <v>-0.1916561</v>
      </c>
      <c r="P3687">
        <v>0.76125710000000002</v>
      </c>
      <c r="Q3687">
        <v>-8.1698809999999997E-2</v>
      </c>
      <c r="R3687">
        <v>-0.64328319999999894</v>
      </c>
      <c r="S3687">
        <v>1.6587369999999999</v>
      </c>
      <c r="T3687">
        <v>-0.3238318</v>
      </c>
      <c r="U3687">
        <v>-2.7115330000000002</v>
      </c>
      <c r="V3687">
        <v>0.48462119999999997</v>
      </c>
      <c r="W3687">
        <v>-7.5015650000000003E-2</v>
      </c>
      <c r="X3687">
        <v>0.87150159999999999</v>
      </c>
      <c r="Y3687">
        <v>0.733753199999999</v>
      </c>
      <c r="Z3687">
        <v>-3.2854420000000002E-2</v>
      </c>
      <c r="AA3687">
        <v>0.67862129999999998</v>
      </c>
      <c r="AB3687">
        <v>19</v>
      </c>
      <c r="AC3687">
        <v>5.4194999999999904</v>
      </c>
      <c r="AD3687">
        <v>-1.116550388941</v>
      </c>
      <c r="AE3687">
        <v>-9.2794000000000096</v>
      </c>
      <c r="AF3687">
        <v>7.9823871688008898</v>
      </c>
      <c r="AG3687">
        <v>-1.116550388941</v>
      </c>
      <c r="AH3687">
        <v>7.02183549541191</v>
      </c>
      <c r="AI3687">
        <v>95.995495967813397</v>
      </c>
      <c r="AJ3687">
        <v>41.336994155895503</v>
      </c>
      <c r="AK3687">
        <v>10.689778454594199</v>
      </c>
      <c r="AL3687">
        <v>94.302121314089305</v>
      </c>
      <c r="AM3687">
        <v>60.922610681722098</v>
      </c>
      <c r="AN3687">
        <v>1.00000004701846</v>
      </c>
    </row>
    <row r="3688" spans="1:40" x14ac:dyDescent="0.25">
      <c r="A3688" t="str">
        <f>"20190303154545085"</f>
        <v>20190303154545085</v>
      </c>
      <c r="B3688" t="str">
        <f>"1551599145074810"</f>
        <v>1551599145074810</v>
      </c>
      <c r="C3688" t="s">
        <v>40</v>
      </c>
      <c r="D3688">
        <v>5.11496</v>
      </c>
      <c r="E3688">
        <v>0.63226230000000005</v>
      </c>
      <c r="F3688" t="s">
        <v>54</v>
      </c>
      <c r="G3688">
        <v>-197.24279999999999</v>
      </c>
      <c r="H3688" s="1">
        <v>4.6414740000000001E-6</v>
      </c>
      <c r="I3688">
        <v>204.31389999999999</v>
      </c>
      <c r="J3688">
        <v>-202.45910000000001</v>
      </c>
      <c r="K3688">
        <v>1.1164320000000001</v>
      </c>
      <c r="L3688">
        <v>213.6472</v>
      </c>
      <c r="M3688">
        <v>0.97942709999999999</v>
      </c>
      <c r="N3688">
        <v>-1.4033469999999999E-2</v>
      </c>
      <c r="O3688">
        <v>-0.20130990000000001</v>
      </c>
      <c r="P3688">
        <v>0.74897269999999905</v>
      </c>
      <c r="Q3688">
        <v>-7.9997929999999995E-2</v>
      </c>
      <c r="R3688">
        <v>-0.6577539</v>
      </c>
      <c r="S3688">
        <v>1.5869599999999999</v>
      </c>
      <c r="T3688">
        <v>-0.32641399999999998</v>
      </c>
      <c r="U3688">
        <v>-2.7441559999999998</v>
      </c>
      <c r="V3688">
        <v>0.49267050000000001</v>
      </c>
      <c r="W3688">
        <v>-7.3585209999999998E-2</v>
      </c>
      <c r="X3688">
        <v>0.86709919999999996</v>
      </c>
      <c r="Y3688">
        <v>0.74362799999999996</v>
      </c>
      <c r="Z3688">
        <v>-3.3184180000000001E-2</v>
      </c>
      <c r="AA3688">
        <v>0.66776959999999996</v>
      </c>
      <c r="AB3688">
        <v>19</v>
      </c>
      <c r="AC3688">
        <v>5.2163000000000102</v>
      </c>
      <c r="AD3688">
        <v>-1.1164273585259901</v>
      </c>
      <c r="AE3688">
        <v>-9.3332999999999995</v>
      </c>
      <c r="AF3688">
        <v>8.0047169803525708</v>
      </c>
      <c r="AG3688">
        <v>-1.1164273585259901</v>
      </c>
      <c r="AH3688">
        <v>6.9131862350332103</v>
      </c>
      <c r="AI3688">
        <v>96.0255356300773</v>
      </c>
      <c r="AJ3688">
        <v>40.815172308737097</v>
      </c>
      <c r="AK3688">
        <v>10.6355088219916</v>
      </c>
      <c r="AL3688">
        <v>94.219936108679406</v>
      </c>
      <c r="AM3688">
        <v>60.395524278188702</v>
      </c>
      <c r="AN3688">
        <v>1.00000001367081</v>
      </c>
    </row>
    <row r="3689" spans="1:40" x14ac:dyDescent="0.25">
      <c r="A3689" t="str">
        <f>"20190303154545107"</f>
        <v>20190303154545107</v>
      </c>
      <c r="B3689" t="str">
        <f>"1551599145094330"</f>
        <v>1551599145094330</v>
      </c>
      <c r="C3689" t="s">
        <v>40</v>
      </c>
      <c r="D3689">
        <v>5.0998999999999999</v>
      </c>
      <c r="E3689">
        <v>0.63082850000000001</v>
      </c>
      <c r="F3689" t="s">
        <v>54</v>
      </c>
      <c r="G3689">
        <v>-197.1583</v>
      </c>
      <c r="H3689" s="1">
        <v>4.6999469999999999E-6</v>
      </c>
      <c r="I3689">
        <v>204.16380000000001</v>
      </c>
      <c r="J3689">
        <v>-202.2749</v>
      </c>
      <c r="K3689">
        <v>1.1163320000000001</v>
      </c>
      <c r="L3689">
        <v>213.59870000000001</v>
      </c>
      <c r="M3689">
        <v>0.97760449999999999</v>
      </c>
      <c r="N3689">
        <v>-1.4065070000000001E-2</v>
      </c>
      <c r="O3689">
        <v>-0.20998030000000001</v>
      </c>
      <c r="P3689">
        <v>0.73723719999999904</v>
      </c>
      <c r="Q3689">
        <v>-7.9371419999999998E-2</v>
      </c>
      <c r="R3689">
        <v>-0.67095590000000005</v>
      </c>
      <c r="S3689">
        <v>1.5443420000000001</v>
      </c>
      <c r="T3689">
        <v>-0.32526090000000002</v>
      </c>
      <c r="U3689">
        <v>-2.7629090000000001</v>
      </c>
      <c r="V3689">
        <v>0.50033720000000004</v>
      </c>
      <c r="W3689">
        <v>-7.3207259999999996E-2</v>
      </c>
      <c r="X3689">
        <v>0.86273009999999895</v>
      </c>
      <c r="Y3689">
        <v>0.74748049999999999</v>
      </c>
      <c r="Z3689">
        <v>-3.2688259999999997E-2</v>
      </c>
      <c r="AA3689">
        <v>0.66347909999999999</v>
      </c>
      <c r="AB3689">
        <v>19</v>
      </c>
      <c r="AC3689">
        <v>5.1166</v>
      </c>
      <c r="AD3689">
        <v>-1.1163273000529901</v>
      </c>
      <c r="AE3689">
        <v>-9.4349000000000007</v>
      </c>
      <c r="AF3689">
        <v>8.0627988325699604</v>
      </c>
      <c r="AG3689">
        <v>-1.1163273000529901</v>
      </c>
      <c r="AH3689">
        <v>6.9091029089984399</v>
      </c>
      <c r="AI3689">
        <v>96.001697916608094</v>
      </c>
      <c r="AJ3689">
        <v>40.593643460461003</v>
      </c>
      <c r="AK3689">
        <v>10.676638734286399</v>
      </c>
      <c r="AL3689">
        <v>94.198222994208095</v>
      </c>
      <c r="AM3689">
        <v>59.888565685987203</v>
      </c>
      <c r="AN3689">
        <v>0.99999992103327495</v>
      </c>
    </row>
    <row r="3690" spans="1:40" x14ac:dyDescent="0.25">
      <c r="A3690" t="str">
        <f>"20190303154545130"</f>
        <v>20190303154545130</v>
      </c>
      <c r="B3690" t="str">
        <f>"1551599145124586"</f>
        <v>1551599145124586</v>
      </c>
      <c r="C3690" t="s">
        <v>40</v>
      </c>
      <c r="D3690">
        <v>5.158741</v>
      </c>
      <c r="E3690">
        <v>0.62932119999999903</v>
      </c>
      <c r="F3690" t="s">
        <v>54</v>
      </c>
      <c r="G3690">
        <v>-196.9547</v>
      </c>
      <c r="H3690" s="1">
        <v>4.8535610000000004E-6</v>
      </c>
      <c r="I3690">
        <v>203.7542</v>
      </c>
      <c r="J3690">
        <v>-202.07679999999999</v>
      </c>
      <c r="K3690">
        <v>1.1162350000000001</v>
      </c>
      <c r="L3690">
        <v>213.54409999999999</v>
      </c>
      <c r="M3690">
        <v>0.97549529999999995</v>
      </c>
      <c r="N3690">
        <v>-1.410079E-2</v>
      </c>
      <c r="O3690">
        <v>-0.2195675</v>
      </c>
      <c r="P3690">
        <v>0.72479179999999999</v>
      </c>
      <c r="Q3690">
        <v>-7.9401280000000005E-2</v>
      </c>
      <c r="R3690">
        <v>-0.68437760000000003</v>
      </c>
      <c r="S3690">
        <v>1.5034479999999999</v>
      </c>
      <c r="T3690">
        <v>-0.3154614</v>
      </c>
      <c r="U3690">
        <v>-2.7819210000000001</v>
      </c>
      <c r="V3690">
        <v>0.50766120000000003</v>
      </c>
      <c r="W3690">
        <v>-7.3480760000000006E-2</v>
      </c>
      <c r="X3690">
        <v>0.8584176</v>
      </c>
      <c r="Y3690">
        <v>0.7505868</v>
      </c>
      <c r="Z3690">
        <v>-3.1408869999999998E-2</v>
      </c>
      <c r="AA3690">
        <v>0.66002499999999997</v>
      </c>
      <c r="AB3690">
        <v>19</v>
      </c>
      <c r="AC3690">
        <v>5.1220999999999801</v>
      </c>
      <c r="AD3690">
        <v>-1.1162301464390001</v>
      </c>
      <c r="AE3690">
        <v>-9.7898999999999798</v>
      </c>
      <c r="AF3690">
        <v>8.3410616438911198</v>
      </c>
      <c r="AG3690">
        <v>-1.1162301464390001</v>
      </c>
      <c r="AH3690">
        <v>7.0746335121272503</v>
      </c>
      <c r="AI3690">
        <v>95.827289652484495</v>
      </c>
      <c r="AJ3690">
        <v>40.303591061872801</v>
      </c>
      <c r="AK3690">
        <v>10.994076515011299</v>
      </c>
      <c r="AL3690">
        <v>94.213935182547402</v>
      </c>
      <c r="AM3690">
        <v>59.400274621359301</v>
      </c>
      <c r="AN3690">
        <v>1.0000000460326799</v>
      </c>
    </row>
    <row r="3691" spans="1:40" x14ac:dyDescent="0.25">
      <c r="A3691" t="str">
        <f>"20190303154545154"</f>
        <v>20190303154545154</v>
      </c>
      <c r="B3691" t="str">
        <f>"1551599145144106"</f>
        <v>1551599145144106</v>
      </c>
      <c r="C3691" t="s">
        <v>40</v>
      </c>
      <c r="D3691">
        <v>5.1691940000000001</v>
      </c>
      <c r="E3691">
        <v>0.62882150000000003</v>
      </c>
      <c r="F3691" t="s">
        <v>54</v>
      </c>
      <c r="G3691">
        <v>-196.78720000000001</v>
      </c>
      <c r="H3691" s="1">
        <v>4.9835429999999999E-6</v>
      </c>
      <c r="I3691">
        <v>203.40360000000001</v>
      </c>
      <c r="J3691">
        <v>-201.87889999999999</v>
      </c>
      <c r="K3691">
        <v>1.1161209999999999</v>
      </c>
      <c r="L3691">
        <v>213.4873</v>
      </c>
      <c r="M3691">
        <v>0.97322770000000003</v>
      </c>
      <c r="N3691">
        <v>-1.4138049999999999E-2</v>
      </c>
      <c r="O3691">
        <v>-0.22940769999999999</v>
      </c>
      <c r="P3691">
        <v>0.71166960000000001</v>
      </c>
      <c r="Q3691">
        <v>-7.988816E-2</v>
      </c>
      <c r="R3691">
        <v>-0.69795750000000001</v>
      </c>
      <c r="S3691">
        <v>1.460861</v>
      </c>
      <c r="T3691">
        <v>-0.30827739999999998</v>
      </c>
      <c r="U3691">
        <v>-2.8005979999999999</v>
      </c>
      <c r="V3691">
        <v>0.51517869999999999</v>
      </c>
      <c r="W3691">
        <v>-7.4224540000000006E-2</v>
      </c>
      <c r="X3691">
        <v>0.85386280000000003</v>
      </c>
      <c r="Y3691">
        <v>0.75373559999999995</v>
      </c>
      <c r="Z3691">
        <v>-3.0332350000000001E-2</v>
      </c>
      <c r="AA3691">
        <v>0.65647749999999905</v>
      </c>
      <c r="AB3691">
        <v>19</v>
      </c>
      <c r="AC3691">
        <v>5.0916999999999701</v>
      </c>
      <c r="AD3691">
        <v>-1.1161160164570001</v>
      </c>
      <c r="AE3691">
        <v>-10.083699999999901</v>
      </c>
      <c r="AF3691">
        <v>8.5629326891972006</v>
      </c>
      <c r="AG3691">
        <v>-1.1161160164570001</v>
      </c>
      <c r="AH3691">
        <v>7.1991097994873599</v>
      </c>
      <c r="AI3691">
        <v>95.697443753599998</v>
      </c>
      <c r="AJ3691">
        <v>40.054755124045002</v>
      </c>
      <c r="AK3691">
        <v>11.2426292790872</v>
      </c>
      <c r="AL3691">
        <v>94.2566674067847</v>
      </c>
      <c r="AM3691">
        <v>58.895290530541899</v>
      </c>
      <c r="AN3691">
        <v>1.00000002824787</v>
      </c>
    </row>
    <row r="3692" spans="1:40" x14ac:dyDescent="0.25">
      <c r="A3692" t="str">
        <f>"20190303154545174"</f>
        <v>20190303154545174</v>
      </c>
      <c r="B3692" t="str">
        <f>"1551599145164602"</f>
        <v>1551599145164602</v>
      </c>
      <c r="C3692" t="s">
        <v>40</v>
      </c>
      <c r="D3692">
        <v>5.149095</v>
      </c>
      <c r="E3692">
        <v>0.61385219999999996</v>
      </c>
      <c r="F3692" t="s">
        <v>54</v>
      </c>
      <c r="G3692">
        <v>-196.7277</v>
      </c>
      <c r="H3692" s="1">
        <v>5.058242E-6</v>
      </c>
      <c r="I3692">
        <v>203.1713</v>
      </c>
      <c r="J3692">
        <v>-201.71709999999999</v>
      </c>
      <c r="K3692">
        <v>1.11602</v>
      </c>
      <c r="L3692">
        <v>213.43899999999999</v>
      </c>
      <c r="M3692">
        <v>0.97124350000000004</v>
      </c>
      <c r="N3692">
        <v>-1.416955E-2</v>
      </c>
      <c r="O3692">
        <v>-0.2376665</v>
      </c>
      <c r="P3692">
        <v>0.70010039999999996</v>
      </c>
      <c r="Q3692">
        <v>-7.9983849999999995E-2</v>
      </c>
      <c r="R3692">
        <v>-0.70955089999999998</v>
      </c>
      <c r="S3692">
        <v>1.410614</v>
      </c>
      <c r="T3692">
        <v>-0.30564079999999999</v>
      </c>
      <c r="U3692">
        <v>-2.8249659999999999</v>
      </c>
      <c r="V3692">
        <v>0.52190720000000002</v>
      </c>
      <c r="W3692">
        <v>-7.4558920000000001E-2</v>
      </c>
      <c r="X3692">
        <v>0.84973750000000003</v>
      </c>
      <c r="Y3692">
        <v>0.75975839999999994</v>
      </c>
      <c r="Z3692">
        <v>-3.0002359999999999E-2</v>
      </c>
      <c r="AA3692">
        <v>0.64951289999999995</v>
      </c>
      <c r="AB3692">
        <v>19</v>
      </c>
      <c r="AC3692">
        <v>4.9893999999999803</v>
      </c>
      <c r="AD3692">
        <v>-1.1160149417579901</v>
      </c>
      <c r="AE3692">
        <v>-10.2677</v>
      </c>
      <c r="AF3692">
        <v>8.7043168047171005</v>
      </c>
      <c r="AG3692">
        <v>-1.1160149417579901</v>
      </c>
      <c r="AH3692">
        <v>7.2179585984443699</v>
      </c>
      <c r="AI3692">
        <v>95.636560885090503</v>
      </c>
      <c r="AJ3692">
        <v>39.666845216283797</v>
      </c>
      <c r="AK3692">
        <v>11.3626381934815</v>
      </c>
      <c r="AL3692">
        <v>94.275879373675394</v>
      </c>
      <c r="AM3692">
        <v>58.4418308808525</v>
      </c>
      <c r="AN3692">
        <v>0.99999998843482796</v>
      </c>
    </row>
    <row r="3693" spans="1:40" x14ac:dyDescent="0.25">
      <c r="A3693" t="str">
        <f>"20190303154545196"</f>
        <v>20190303154545196</v>
      </c>
      <c r="B3693" t="str">
        <f>"1551599145185098"</f>
        <v>1551599145185098</v>
      </c>
      <c r="C3693" t="s">
        <v>40</v>
      </c>
      <c r="D3693">
        <v>5.1793699999999996</v>
      </c>
      <c r="E3693">
        <v>0.61324089999999998</v>
      </c>
      <c r="F3693" t="s">
        <v>54</v>
      </c>
      <c r="G3693">
        <v>-196.71600000000001</v>
      </c>
      <c r="H3693" s="1">
        <v>4.8692129999999996E-6</v>
      </c>
      <c r="I3693">
        <v>203.89500000000001</v>
      </c>
      <c r="J3693">
        <v>-201.5307</v>
      </c>
      <c r="K3693">
        <v>1.115893</v>
      </c>
      <c r="L3693">
        <v>213.3811</v>
      </c>
      <c r="M3693">
        <v>0.96880069999999996</v>
      </c>
      <c r="N3693">
        <v>-1.4208230000000001E-2</v>
      </c>
      <c r="O3693">
        <v>-0.24743409999999999</v>
      </c>
      <c r="P3693">
        <v>0.68691820000000003</v>
      </c>
      <c r="Q3693">
        <v>-8.0018359999999997E-2</v>
      </c>
      <c r="R3693">
        <v>-0.72231639999999997</v>
      </c>
      <c r="S3693">
        <v>1.4478610000000001</v>
      </c>
      <c r="T3693">
        <v>-0.32309090000000001</v>
      </c>
      <c r="U3693">
        <v>-2.7630159999999999</v>
      </c>
      <c r="V3693">
        <v>0.52894090000000005</v>
      </c>
      <c r="W3693">
        <v>-7.4876109999999996E-2</v>
      </c>
      <c r="X3693">
        <v>0.84534909999999996</v>
      </c>
      <c r="Y3693">
        <v>0.74004609999999904</v>
      </c>
      <c r="Z3693">
        <v>-2.8389629999999999E-2</v>
      </c>
      <c r="AA3693">
        <v>0.67195669999999996</v>
      </c>
      <c r="AB3693">
        <v>19</v>
      </c>
      <c r="AC3693">
        <v>4.81470000000001</v>
      </c>
      <c r="AD3693">
        <v>-1.1158881307870001</v>
      </c>
      <c r="AE3693">
        <v>-9.4860999999999898</v>
      </c>
      <c r="AF3693">
        <v>7.9125619672459004</v>
      </c>
      <c r="AG3693">
        <v>-1.1158881307870001</v>
      </c>
      <c r="AH3693">
        <v>6.9360571487357099</v>
      </c>
      <c r="AI3693">
        <v>96.053615868958502</v>
      </c>
      <c r="AJ3693">
        <v>41.237417494715402</v>
      </c>
      <c r="AK3693">
        <v>10.5812443491522</v>
      </c>
      <c r="AL3693">
        <v>94.294103896892693</v>
      </c>
      <c r="AM3693">
        <v>57.965494146799799</v>
      </c>
      <c r="AN3693">
        <v>1.0000000042061701</v>
      </c>
    </row>
    <row r="3694" spans="1:40" x14ac:dyDescent="0.25">
      <c r="A3694" t="str">
        <f>"20190303154545227"</f>
        <v>20190303154545227</v>
      </c>
      <c r="B3694" t="str">
        <f>"1551599145214378"</f>
        <v>1551599145214378</v>
      </c>
      <c r="C3694" t="s">
        <v>40</v>
      </c>
      <c r="D3694">
        <v>5.2139049999999996</v>
      </c>
      <c r="E3694">
        <v>0.61013709999999999</v>
      </c>
      <c r="F3694" t="s">
        <v>54</v>
      </c>
      <c r="G3694">
        <v>-196.78559999999999</v>
      </c>
      <c r="H3694" s="1">
        <v>4.8421409999999901E-6</v>
      </c>
      <c r="I3694">
        <v>203.93899999999999</v>
      </c>
      <c r="J3694">
        <v>-201.29220000000001</v>
      </c>
      <c r="K3694">
        <v>1.1157060000000001</v>
      </c>
      <c r="L3694">
        <v>213.30359999999999</v>
      </c>
      <c r="M3694">
        <v>0.96540919999999997</v>
      </c>
      <c r="N3694">
        <v>-1.426329E-2</v>
      </c>
      <c r="O3694">
        <v>-0.26034980000000002</v>
      </c>
      <c r="P3694">
        <v>0.67117469999999901</v>
      </c>
      <c r="Q3694">
        <v>-8.0612020000000006E-2</v>
      </c>
      <c r="R3694">
        <v>-0.73690369999999905</v>
      </c>
      <c r="S3694">
        <v>1.3998569999999999</v>
      </c>
      <c r="T3694">
        <v>-0.32919999999999999</v>
      </c>
      <c r="U3694">
        <v>-2.7855530000000002</v>
      </c>
      <c r="V3694">
        <v>0.53575989999999996</v>
      </c>
      <c r="W3694">
        <v>-7.5810920000000004E-2</v>
      </c>
      <c r="X3694">
        <v>0.84096019999999905</v>
      </c>
      <c r="Y3694">
        <v>0.74241889999999999</v>
      </c>
      <c r="Z3694">
        <v>-2.7678390000000001E-2</v>
      </c>
      <c r="AA3694">
        <v>0.66936390000000001</v>
      </c>
      <c r="AB3694">
        <v>19</v>
      </c>
      <c r="AC3694">
        <v>4.5066000000000104</v>
      </c>
      <c r="AD3694">
        <v>-1.1157011578589999</v>
      </c>
      <c r="AE3694">
        <v>-9.3645999999999603</v>
      </c>
      <c r="AF3694">
        <v>7.7785278237406796</v>
      </c>
      <c r="AG3694">
        <v>-1.1157011578589999</v>
      </c>
      <c r="AH3694">
        <v>6.7121152459349602</v>
      </c>
      <c r="AI3694">
        <v>96.197642122540699</v>
      </c>
      <c r="AJ3694">
        <v>40.791008720735597</v>
      </c>
      <c r="AK3694">
        <v>10.334542817806099</v>
      </c>
      <c r="AL3694">
        <v>94.347817205075799</v>
      </c>
      <c r="AM3694">
        <v>57.499555792389003</v>
      </c>
      <c r="AN3694">
        <v>1.0000000120116399</v>
      </c>
    </row>
    <row r="3695" spans="1:40" x14ac:dyDescent="0.25">
      <c r="A3695" t="str">
        <f>"20190303154545260"</f>
        <v>20190303154545260</v>
      </c>
      <c r="B3695" t="str">
        <f>"1551599145255370"</f>
        <v>1551599145255370</v>
      </c>
      <c r="C3695" t="s">
        <v>40</v>
      </c>
      <c r="D3695">
        <v>5.26511</v>
      </c>
      <c r="E3695">
        <v>0.60804199999999997</v>
      </c>
      <c r="F3695" t="s">
        <v>54</v>
      </c>
      <c r="G3695">
        <v>-196.69390000000001</v>
      </c>
      <c r="H3695" s="1">
        <v>4.8922679999999997E-6</v>
      </c>
      <c r="I3695">
        <v>203.82640000000001</v>
      </c>
      <c r="J3695">
        <v>-201.0155</v>
      </c>
      <c r="K3695">
        <v>1.1154820000000001</v>
      </c>
      <c r="L3695">
        <v>213.20840000000001</v>
      </c>
      <c r="M3695">
        <v>0.9610765</v>
      </c>
      <c r="N3695">
        <v>-1.433092E-2</v>
      </c>
      <c r="O3695">
        <v>-0.27591080000000001</v>
      </c>
      <c r="P3695">
        <v>0.64714959999999999</v>
      </c>
      <c r="Q3695">
        <v>-8.5282979999999994E-2</v>
      </c>
      <c r="R3695">
        <v>-0.75757819999999998</v>
      </c>
      <c r="S3695">
        <v>1.3577729999999999</v>
      </c>
      <c r="T3695">
        <v>-0.32943650000000002</v>
      </c>
      <c r="U3695">
        <v>-2.79834</v>
      </c>
      <c r="V3695">
        <v>0.54851930000000004</v>
      </c>
      <c r="W3695">
        <v>-8.0991129999999995E-2</v>
      </c>
      <c r="X3695">
        <v>0.83220620000000001</v>
      </c>
      <c r="Y3695">
        <v>0.74101070000000002</v>
      </c>
      <c r="Z3695">
        <v>-2.5976099999999998E-2</v>
      </c>
      <c r="AA3695">
        <v>0.67099059999999999</v>
      </c>
      <c r="AB3695">
        <v>19</v>
      </c>
      <c r="AC3695">
        <v>4.3215999999999797</v>
      </c>
      <c r="AD3695">
        <v>-1.11547710773199</v>
      </c>
      <c r="AE3695">
        <v>-9.3819999999999997</v>
      </c>
      <c r="AF3695">
        <v>7.7350422132849399</v>
      </c>
      <c r="AG3695">
        <v>-1.11547710773199</v>
      </c>
      <c r="AH3695">
        <v>6.6649500264223001</v>
      </c>
      <c r="AI3695">
        <v>96.234781518991895</v>
      </c>
      <c r="AJ3695">
        <v>40.750047822692501</v>
      </c>
      <c r="AK3695">
        <v>10.2711599186207</v>
      </c>
      <c r="AL3695">
        <v>94.645537844215397</v>
      </c>
      <c r="AM3695">
        <v>56.610538041719501</v>
      </c>
      <c r="AN3695">
        <v>1.0000000724647999</v>
      </c>
    </row>
    <row r="3696" spans="1:40" x14ac:dyDescent="0.25">
      <c r="A3696" t="str">
        <f>"20190303154545287"</f>
        <v>20190303154545287</v>
      </c>
      <c r="B3696" t="str">
        <f>"1551599145284650"</f>
        <v>1551599145284650</v>
      </c>
      <c r="C3696" t="s">
        <v>40</v>
      </c>
      <c r="D3696">
        <v>5.3465999999999996</v>
      </c>
      <c r="E3696">
        <v>0.60564859999999998</v>
      </c>
      <c r="F3696" t="s">
        <v>54</v>
      </c>
      <c r="G3696">
        <v>-196.6823</v>
      </c>
      <c r="H3696" s="1">
        <v>4.9443219999999996E-6</v>
      </c>
      <c r="I3696">
        <v>203.6395</v>
      </c>
      <c r="J3696">
        <v>-200.7972</v>
      </c>
      <c r="K3696">
        <v>1.1153379999999999</v>
      </c>
      <c r="L3696">
        <v>213.12899999999999</v>
      </c>
      <c r="M3696">
        <v>0.95733639999999998</v>
      </c>
      <c r="N3696">
        <v>-1.4381390000000001E-2</v>
      </c>
      <c r="O3696">
        <v>-0.28861779999999998</v>
      </c>
      <c r="P3696">
        <v>0.63103279999999995</v>
      </c>
      <c r="Q3696">
        <v>-8.7339310000000003E-2</v>
      </c>
      <c r="R3696">
        <v>-0.77082430000000002</v>
      </c>
      <c r="S3696">
        <v>1.2809299999999999</v>
      </c>
      <c r="T3696">
        <v>-0.32974599999999998</v>
      </c>
      <c r="U3696">
        <v>-2.8286440000000002</v>
      </c>
      <c r="V3696">
        <v>0.55474109999999999</v>
      </c>
      <c r="W3696">
        <v>-8.3325070000000001E-2</v>
      </c>
      <c r="X3696">
        <v>0.82784009999999997</v>
      </c>
      <c r="Y3696">
        <v>0.74981889999999995</v>
      </c>
      <c r="Z3696">
        <v>-2.5603540000000001E-2</v>
      </c>
      <c r="AA3696">
        <v>0.6611475</v>
      </c>
      <c r="AB3696">
        <v>19</v>
      </c>
      <c r="AC3696">
        <v>4.1148999999999996</v>
      </c>
      <c r="AD3696">
        <v>-1.1153330556779999</v>
      </c>
      <c r="AE3696">
        <v>-9.4895000000000191</v>
      </c>
      <c r="AF3696">
        <v>7.8070488638836597</v>
      </c>
      <c r="AG3696">
        <v>-1.1153330556779999</v>
      </c>
      <c r="AH3696">
        <v>6.60210534896488</v>
      </c>
      <c r="AI3696">
        <v>96.225534945388603</v>
      </c>
      <c r="AJ3696">
        <v>40.219849587746097</v>
      </c>
      <c r="AK3696">
        <v>10.2850267295221</v>
      </c>
      <c r="AL3696">
        <v>94.779716773056705</v>
      </c>
      <c r="AM3696">
        <v>56.173700269469101</v>
      </c>
      <c r="AN3696">
        <v>0.99999999324386202</v>
      </c>
    </row>
    <row r="3697" spans="1:40" x14ac:dyDescent="0.25">
      <c r="A3697" t="str">
        <f>"20190303154545312"</f>
        <v>20190303154545312</v>
      </c>
      <c r="B3697" t="str">
        <f>"1551599145304170"</f>
        <v>1551599145304170</v>
      </c>
      <c r="C3697" t="s">
        <v>40</v>
      </c>
      <c r="D3697">
        <v>5.3426460000000002</v>
      </c>
      <c r="E3697">
        <v>0.60399969999999903</v>
      </c>
      <c r="F3697" t="s">
        <v>54</v>
      </c>
      <c r="G3697">
        <v>-196.62309999999999</v>
      </c>
      <c r="H3697" s="1">
        <v>4.9863549999999996E-6</v>
      </c>
      <c r="I3697">
        <v>203.53039999999999</v>
      </c>
      <c r="J3697">
        <v>-200.589</v>
      </c>
      <c r="K3697">
        <v>1.115219</v>
      </c>
      <c r="L3697">
        <v>213.0498</v>
      </c>
      <c r="M3697">
        <v>0.95348639999999996</v>
      </c>
      <c r="N3697">
        <v>-1.4429040000000001E-2</v>
      </c>
      <c r="O3697">
        <v>-0.30109039999999998</v>
      </c>
      <c r="P3697">
        <v>0.61504349999999997</v>
      </c>
      <c r="Q3697">
        <v>-8.7918419999999997E-2</v>
      </c>
      <c r="R3697">
        <v>-0.78357650000000001</v>
      </c>
      <c r="S3697">
        <v>1.236145</v>
      </c>
      <c r="T3697">
        <v>-0.33029960000000003</v>
      </c>
      <c r="U3697">
        <v>-2.8425600000000002</v>
      </c>
      <c r="V3697">
        <v>0.56084609999999901</v>
      </c>
      <c r="W3697">
        <v>-8.4159220000000007E-2</v>
      </c>
      <c r="X3697">
        <v>0.82363149999999996</v>
      </c>
      <c r="Y3697">
        <v>0.75114650000000005</v>
      </c>
      <c r="Z3697">
        <v>-2.44704E-2</v>
      </c>
      <c r="AA3697">
        <v>0.65968190000000004</v>
      </c>
      <c r="AB3697">
        <v>19</v>
      </c>
      <c r="AC3697">
        <v>3.9659000000000302</v>
      </c>
      <c r="AD3697">
        <v>-1.1152140136449999</v>
      </c>
      <c r="AE3697">
        <v>-9.5194000000000099</v>
      </c>
      <c r="AF3697">
        <v>7.7922171452185198</v>
      </c>
      <c r="AG3697">
        <v>-1.1152140136449999</v>
      </c>
      <c r="AH3697">
        <v>6.5714724536459999</v>
      </c>
      <c r="AI3697">
        <v>96.243715827435594</v>
      </c>
      <c r="AJ3697">
        <v>40.142206075797702</v>
      </c>
      <c r="AK3697">
        <v>10.2541016448783</v>
      </c>
      <c r="AL3697">
        <v>94.827678556867895</v>
      </c>
      <c r="AM3697">
        <v>55.747368218620203</v>
      </c>
      <c r="AN3697">
        <v>0.99999998499423404</v>
      </c>
    </row>
    <row r="3698" spans="1:40" x14ac:dyDescent="0.25">
      <c r="A3698" t="str">
        <f>"20190303154545336"</f>
        <v>20190303154545336</v>
      </c>
      <c r="B3698" t="str">
        <f>"1551599145324666"</f>
        <v>1551599145324666</v>
      </c>
      <c r="C3698" t="s">
        <v>40</v>
      </c>
      <c r="D3698">
        <v>5.3649550000000001</v>
      </c>
      <c r="E3698">
        <v>0.60295959999999904</v>
      </c>
      <c r="F3698" t="s">
        <v>54</v>
      </c>
      <c r="G3698">
        <v>-196.61189999999999</v>
      </c>
      <c r="H3698" s="1">
        <v>5.0030509999999997E-6</v>
      </c>
      <c r="I3698">
        <v>203.47669999999999</v>
      </c>
      <c r="J3698">
        <v>-200.40899999999999</v>
      </c>
      <c r="K3698">
        <v>1.115129</v>
      </c>
      <c r="L3698">
        <v>212.9786</v>
      </c>
      <c r="M3698">
        <v>0.94993720000000004</v>
      </c>
      <c r="N3698">
        <v>-1.4471120000000001E-2</v>
      </c>
      <c r="O3698">
        <v>-0.31210589999999999</v>
      </c>
      <c r="P3698">
        <v>0.60044219999999904</v>
      </c>
      <c r="Q3698">
        <v>-8.8829259999999993E-2</v>
      </c>
      <c r="R3698">
        <v>-0.79471939999999996</v>
      </c>
      <c r="S3698">
        <v>1.187729</v>
      </c>
      <c r="T3698">
        <v>-0.33305230000000002</v>
      </c>
      <c r="U3698">
        <v>-2.8589319999999998</v>
      </c>
      <c r="V3698">
        <v>0.56640230000000003</v>
      </c>
      <c r="W3698">
        <v>-8.5283910000000004E-2</v>
      </c>
      <c r="X3698">
        <v>0.81970429999999905</v>
      </c>
      <c r="Y3698">
        <v>0.75432880000000002</v>
      </c>
      <c r="Z3698">
        <v>-2.3751149999999999E-2</v>
      </c>
      <c r="AA3698">
        <v>0.65606709999999901</v>
      </c>
      <c r="AB3698">
        <v>19</v>
      </c>
      <c r="AC3698">
        <v>3.7971000000000199</v>
      </c>
      <c r="AD3698">
        <v>-1.1151239969490001</v>
      </c>
      <c r="AE3698">
        <v>-9.5018999999999991</v>
      </c>
      <c r="AF3698">
        <v>7.7498909999973797</v>
      </c>
      <c r="AG3698">
        <v>-1.1151239969490001</v>
      </c>
      <c r="AH3698">
        <v>6.4961428480634398</v>
      </c>
      <c r="AI3698">
        <v>96.292747438365097</v>
      </c>
      <c r="AJ3698">
        <v>39.970538602723401</v>
      </c>
      <c r="AK3698">
        <v>10.173700602182899</v>
      </c>
      <c r="AL3698">
        <v>94.892350874289207</v>
      </c>
      <c r="AM3698">
        <v>55.356159528383102</v>
      </c>
      <c r="AN3698">
        <v>1.0000000250943299</v>
      </c>
    </row>
    <row r="3699" spans="1:40" x14ac:dyDescent="0.25">
      <c r="A3699" t="str">
        <f>"20190303154545356"</f>
        <v>20190303154545356</v>
      </c>
      <c r="B3699" t="str">
        <f>"1551599145345163"</f>
        <v>1551599145345163</v>
      </c>
      <c r="C3699" t="s">
        <v>40</v>
      </c>
      <c r="D3699">
        <v>5.413252</v>
      </c>
      <c r="E3699">
        <v>0.60118969999999905</v>
      </c>
      <c r="F3699" t="s">
        <v>54</v>
      </c>
      <c r="G3699">
        <v>-196.39930000000001</v>
      </c>
      <c r="H3699" s="1">
        <v>5.2057010000000002E-6</v>
      </c>
      <c r="I3699">
        <v>202.88939999999999</v>
      </c>
      <c r="J3699">
        <v>-200.2398</v>
      </c>
      <c r="K3699">
        <v>1.115049</v>
      </c>
      <c r="L3699">
        <v>212.9092</v>
      </c>
      <c r="M3699">
        <v>0.9463994</v>
      </c>
      <c r="N3699">
        <v>-1.4510810000000001E-2</v>
      </c>
      <c r="O3699">
        <v>-0.32267299999999999</v>
      </c>
      <c r="P3699">
        <v>0.5864663</v>
      </c>
      <c r="Q3699">
        <v>-9.0291460000000004E-2</v>
      </c>
      <c r="R3699">
        <v>-0.80492559999999902</v>
      </c>
      <c r="S3699">
        <v>1.1429290000000001</v>
      </c>
      <c r="T3699">
        <v>-0.31785419999999998</v>
      </c>
      <c r="U3699">
        <v>-2.8758089999999998</v>
      </c>
      <c r="V3699">
        <v>0.57137769999999899</v>
      </c>
      <c r="W3699">
        <v>-8.6942900000000004E-2</v>
      </c>
      <c r="X3699">
        <v>0.81606889999999999</v>
      </c>
      <c r="Y3699">
        <v>0.75741990000000003</v>
      </c>
      <c r="Z3699">
        <v>-2.2390650000000002E-2</v>
      </c>
      <c r="AA3699">
        <v>0.65254400000000001</v>
      </c>
      <c r="AB3699">
        <v>19</v>
      </c>
      <c r="AC3699">
        <v>3.8404999999999898</v>
      </c>
      <c r="AD3699">
        <v>-1.1150437942989999</v>
      </c>
      <c r="AE3699">
        <v>-10.0198</v>
      </c>
      <c r="AF3699">
        <v>8.1563038294610397</v>
      </c>
      <c r="AG3699">
        <v>-1.1150437942989999</v>
      </c>
      <c r="AH3699">
        <v>6.7951157578583503</v>
      </c>
      <c r="AI3699">
        <v>95.996049909770903</v>
      </c>
      <c r="AJ3699">
        <v>39.798090951695997</v>
      </c>
      <c r="AK3699">
        <v>10.674371784062</v>
      </c>
      <c r="AL3699">
        <v>94.987758556630496</v>
      </c>
      <c r="AM3699">
        <v>55.0018795699702</v>
      </c>
      <c r="AN3699">
        <v>0.99999999673245399</v>
      </c>
    </row>
    <row r="3700" spans="1:40" x14ac:dyDescent="0.25">
      <c r="A3700" t="str">
        <f>"20190303154545394"</f>
        <v>20190303154545394</v>
      </c>
      <c r="B3700" t="str">
        <f>"1551599145384202"</f>
        <v>1551599145384202</v>
      </c>
      <c r="C3700" t="s">
        <v>40</v>
      </c>
      <c r="D3700">
        <v>5.4234099999999996</v>
      </c>
      <c r="E3700">
        <v>0.57999889999999998</v>
      </c>
      <c r="F3700" t="s">
        <v>54</v>
      </c>
      <c r="G3700">
        <v>-196.42590000000001</v>
      </c>
      <c r="H3700" s="1">
        <v>5.1881039999999996E-6</v>
      </c>
      <c r="I3700">
        <v>202.93360000000001</v>
      </c>
      <c r="J3700">
        <v>-199.9494</v>
      </c>
      <c r="K3700">
        <v>1.114905</v>
      </c>
      <c r="L3700">
        <v>212.7841</v>
      </c>
      <c r="M3700">
        <v>0.93984310000000004</v>
      </c>
      <c r="N3700">
        <v>-1.4579180000000001E-2</v>
      </c>
      <c r="O3700">
        <v>-0.34129559999999998</v>
      </c>
      <c r="P3700">
        <v>0.56111929999999999</v>
      </c>
      <c r="Q3700">
        <v>-9.3704750000000003E-2</v>
      </c>
      <c r="R3700">
        <v>-0.82241409999999904</v>
      </c>
      <c r="S3700">
        <v>1.103653</v>
      </c>
      <c r="T3700">
        <v>-0.32267259999999998</v>
      </c>
      <c r="U3700">
        <v>-2.8867340000000001</v>
      </c>
      <c r="V3700">
        <v>0.58018389999999997</v>
      </c>
      <c r="W3700">
        <v>-9.0730259999999993E-2</v>
      </c>
      <c r="X3700">
        <v>0.80941619999999903</v>
      </c>
      <c r="Y3700">
        <v>0.75312950000000001</v>
      </c>
      <c r="Z3700">
        <v>-2.015687E-2</v>
      </c>
      <c r="AA3700">
        <v>0.65756329999999996</v>
      </c>
      <c r="AB3700">
        <v>19</v>
      </c>
      <c r="AC3700">
        <v>3.5234999999999799</v>
      </c>
      <c r="AD3700">
        <v>-1.1148998118960001</v>
      </c>
      <c r="AE3700">
        <v>-9.8504999999999807</v>
      </c>
      <c r="AF3700">
        <v>7.9657568238921304</v>
      </c>
      <c r="AG3700">
        <v>-1.1148998118960001</v>
      </c>
      <c r="AH3700">
        <v>6.5992299383816801</v>
      </c>
      <c r="AI3700">
        <v>96.151584641483893</v>
      </c>
      <c r="AJ3700">
        <v>39.640043915328199</v>
      </c>
      <c r="AK3700">
        <v>10.4041395198057</v>
      </c>
      <c r="AL3700">
        <v>95.2056199959286</v>
      </c>
      <c r="AM3700">
        <v>54.367309232298403</v>
      </c>
      <c r="AN3700">
        <v>0.99999996136065805</v>
      </c>
    </row>
    <row r="3701" spans="1:40" x14ac:dyDescent="0.25">
      <c r="A3701" t="str">
        <f>"20190303154545429"</f>
        <v>20190303154545429</v>
      </c>
      <c r="B3701" t="str">
        <f>"1551599145424217"</f>
        <v>1551599145424217</v>
      </c>
      <c r="C3701" t="s">
        <v>40</v>
      </c>
      <c r="D3701">
        <v>5.4670350000000001</v>
      </c>
      <c r="E3701">
        <v>0.57580039999999999</v>
      </c>
      <c r="F3701" t="s">
        <v>54</v>
      </c>
      <c r="G3701">
        <v>-196.09800000000001</v>
      </c>
      <c r="H3701" s="1">
        <v>5.1501419999999999E-6</v>
      </c>
      <c r="I3701">
        <v>203.35159999999999</v>
      </c>
      <c r="J3701">
        <v>-199.691</v>
      </c>
      <c r="K3701">
        <v>1.1147910000000001</v>
      </c>
      <c r="L3701">
        <v>212.66640000000001</v>
      </c>
      <c r="M3701">
        <v>0.93347899999999995</v>
      </c>
      <c r="N3701">
        <v>-1.464093E-2</v>
      </c>
      <c r="O3701">
        <v>-0.35833300000000001</v>
      </c>
      <c r="P3701">
        <v>0.54246709999999998</v>
      </c>
      <c r="Q3701">
        <v>-9.3805540000000007E-2</v>
      </c>
      <c r="R3701">
        <v>-0.83482350000000005</v>
      </c>
      <c r="S3701">
        <v>1.1527400000000001</v>
      </c>
      <c r="T3701">
        <v>-0.33369650000000001</v>
      </c>
      <c r="U3701">
        <v>-2.8232119999999998</v>
      </c>
      <c r="V3701">
        <v>0.58362959999999997</v>
      </c>
      <c r="W3701">
        <v>-9.1044630000000001E-2</v>
      </c>
      <c r="X3701">
        <v>0.80689979999999994</v>
      </c>
      <c r="Y3701">
        <v>0.72589300000000001</v>
      </c>
      <c r="Z3701">
        <v>-1.5856470000000001E-2</v>
      </c>
      <c r="AA3701">
        <v>0.68762480000000004</v>
      </c>
      <c r="AB3701">
        <v>18</v>
      </c>
      <c r="AC3701">
        <v>3.59299999999998</v>
      </c>
      <c r="AD3701">
        <v>-1.1147858498579899</v>
      </c>
      <c r="AE3701">
        <v>-9.3148000000000195</v>
      </c>
      <c r="AF3701">
        <v>7.31724279895219</v>
      </c>
      <c r="AG3701">
        <v>-1.1147858498579899</v>
      </c>
      <c r="AH3701">
        <v>6.6100933158928097</v>
      </c>
      <c r="AI3701">
        <v>96.450032252155594</v>
      </c>
      <c r="AJ3701">
        <v>42.093348169508303</v>
      </c>
      <c r="AK3701">
        <v>9.9236144279527601</v>
      </c>
      <c r="AL3701">
        <v>95.223706931816807</v>
      </c>
      <c r="AM3701">
        <v>54.121832060538999</v>
      </c>
      <c r="AN3701">
        <v>0.999999960944017</v>
      </c>
    </row>
    <row r="3702" spans="1:40" x14ac:dyDescent="0.25">
      <c r="A3702" t="str">
        <f>"20190303154545463"</f>
        <v>20190303154545463</v>
      </c>
      <c r="B3702" t="str">
        <f>"1551599145454474"</f>
        <v>1551599145454474</v>
      </c>
      <c r="C3702" t="s">
        <v>40</v>
      </c>
      <c r="D3702">
        <v>5.3003859999999996</v>
      </c>
      <c r="E3702">
        <v>0.57718800000000003</v>
      </c>
      <c r="F3702" t="s">
        <v>54</v>
      </c>
      <c r="G3702">
        <v>-196.27440000000001</v>
      </c>
      <c r="H3702" s="1">
        <v>4.9391279999999998E-6</v>
      </c>
      <c r="I3702">
        <v>204.00069999999999</v>
      </c>
      <c r="J3702">
        <v>-199.42750000000001</v>
      </c>
      <c r="K3702">
        <v>1.114714</v>
      </c>
      <c r="L3702">
        <v>212.54</v>
      </c>
      <c r="M3702">
        <v>0.92644669999999896</v>
      </c>
      <c r="N3702">
        <v>-1.469994E-2</v>
      </c>
      <c r="O3702">
        <v>-0.37613869999999999</v>
      </c>
      <c r="P3702">
        <v>0.52214799999999995</v>
      </c>
      <c r="Q3702">
        <v>-9.2084940000000004E-2</v>
      </c>
      <c r="R3702">
        <v>-0.84786919999999899</v>
      </c>
      <c r="S3702">
        <v>1.1150359999999999</v>
      </c>
      <c r="T3702">
        <v>-0.36382110000000001</v>
      </c>
      <c r="U3702">
        <v>-2.8281399999999999</v>
      </c>
      <c r="V3702">
        <v>0.58783379999999996</v>
      </c>
      <c r="W3702">
        <v>-8.9530589999999993E-2</v>
      </c>
      <c r="X3702">
        <v>0.80401219999999995</v>
      </c>
      <c r="Y3702">
        <v>0.72071879999999999</v>
      </c>
      <c r="Z3702">
        <v>-1.351808E-2</v>
      </c>
      <c r="AA3702">
        <v>0.69309569999999998</v>
      </c>
      <c r="AB3702">
        <v>18</v>
      </c>
      <c r="AC3702">
        <v>3.15309999999999</v>
      </c>
      <c r="AD3702">
        <v>-1.1147090608720001</v>
      </c>
      <c r="AE3702">
        <v>-8.5392999999999901</v>
      </c>
      <c r="AF3702">
        <v>6.6265599588136004</v>
      </c>
      <c r="AG3702">
        <v>-1.1147090608720001</v>
      </c>
      <c r="AH3702">
        <v>6.0431810956449601</v>
      </c>
      <c r="AI3702">
        <v>97.085163870495094</v>
      </c>
      <c r="AJ3702">
        <v>42.363675034390397</v>
      </c>
      <c r="AK3702">
        <v>9.0373619454408498</v>
      </c>
      <c r="AL3702">
        <v>95.136603065393999</v>
      </c>
      <c r="AM3702">
        <v>53.828511172862498</v>
      </c>
      <c r="AN3702">
        <v>0.99999996035851302</v>
      </c>
    </row>
    <row r="3703" spans="1:40" x14ac:dyDescent="0.25">
      <c r="A3703" t="str">
        <f>"20190303154545506"</f>
        <v>20190303154545506</v>
      </c>
      <c r="B3703" t="str">
        <f>"1551599145494972"</f>
        <v>1551599145494972</v>
      </c>
      <c r="C3703" t="s">
        <v>40</v>
      </c>
      <c r="D3703">
        <v>5.544403</v>
      </c>
      <c r="E3703">
        <v>0.58016040000000002</v>
      </c>
      <c r="F3703" t="s">
        <v>54</v>
      </c>
      <c r="G3703">
        <v>-195.7698</v>
      </c>
      <c r="H3703" s="1">
        <v>5.4576869999999997E-6</v>
      </c>
      <c r="I3703">
        <v>202.465</v>
      </c>
      <c r="J3703">
        <v>-199.09630000000001</v>
      </c>
      <c r="K3703">
        <v>1.1146229999999999</v>
      </c>
      <c r="L3703">
        <v>212.3708</v>
      </c>
      <c r="M3703">
        <v>0.91675479999999998</v>
      </c>
      <c r="N3703">
        <v>-1.476968E-2</v>
      </c>
      <c r="O3703">
        <v>-0.39917799999999998</v>
      </c>
      <c r="P3703">
        <v>0.4988168</v>
      </c>
      <c r="Q3703">
        <v>-9.08669E-2</v>
      </c>
      <c r="R3703">
        <v>-0.86193159999999902</v>
      </c>
      <c r="S3703">
        <v>1.0396270000000001</v>
      </c>
      <c r="T3703">
        <v>-0.31683650000000002</v>
      </c>
      <c r="U3703">
        <v>-2.8636469999999998</v>
      </c>
      <c r="V3703">
        <v>0.5897905</v>
      </c>
      <c r="W3703">
        <v>-8.8446910000000004E-2</v>
      </c>
      <c r="X3703">
        <v>0.80269820000000003</v>
      </c>
      <c r="Y3703">
        <v>0.72307670000000002</v>
      </c>
      <c r="Z3703">
        <v>-1.0961500000000001E-2</v>
      </c>
      <c r="AA3703">
        <v>0.69068079999999998</v>
      </c>
      <c r="AB3703">
        <v>18</v>
      </c>
      <c r="AC3703">
        <v>3.3264999999999998</v>
      </c>
      <c r="AD3703">
        <v>-1.11461754231299</v>
      </c>
      <c r="AE3703">
        <v>-9.9057999999999993</v>
      </c>
      <c r="AF3703">
        <v>7.6669330518419097</v>
      </c>
      <c r="AG3703">
        <v>-1.11461754231299</v>
      </c>
      <c r="AH3703">
        <v>6.92572320084893</v>
      </c>
      <c r="AI3703">
        <v>96.157341545463296</v>
      </c>
      <c r="AJ3703">
        <v>42.092254504470098</v>
      </c>
      <c r="AK3703">
        <v>10.3918177688908</v>
      </c>
      <c r="AL3703">
        <v>95.074265022357594</v>
      </c>
      <c r="AM3703">
        <v>53.693043870876998</v>
      </c>
      <c r="AN3703">
        <v>1.00000004503101</v>
      </c>
    </row>
    <row r="3704" spans="1:40" x14ac:dyDescent="0.25">
      <c r="A3704" t="str">
        <f>"20190303154545534"</f>
        <v>20190303154545534</v>
      </c>
      <c r="B3704" t="str">
        <f>"1551599145524252"</f>
        <v>1551599145524252</v>
      </c>
      <c r="C3704" t="s">
        <v>40</v>
      </c>
      <c r="D3704">
        <v>5.5393319999999999</v>
      </c>
      <c r="E3704">
        <v>0.58421020000000001</v>
      </c>
      <c r="F3704" t="s">
        <v>54</v>
      </c>
      <c r="G3704">
        <v>-195.84020000000001</v>
      </c>
      <c r="H3704" s="1">
        <v>5.4809219999999997E-6</v>
      </c>
      <c r="I3704">
        <v>202.31829999999999</v>
      </c>
      <c r="J3704">
        <v>-198.8929</v>
      </c>
      <c r="K3704">
        <v>1.114571</v>
      </c>
      <c r="L3704">
        <v>212.2612</v>
      </c>
      <c r="M3704">
        <v>0.91030809999999995</v>
      </c>
      <c r="N3704">
        <v>-1.4813110000000001E-2</v>
      </c>
      <c r="O3704">
        <v>-0.41366649999999999</v>
      </c>
      <c r="P3704">
        <v>0.48468689999999998</v>
      </c>
      <c r="Q3704">
        <v>-9.0050290000000005E-2</v>
      </c>
      <c r="R3704">
        <v>-0.87004040000000005</v>
      </c>
      <c r="S3704">
        <v>0.94017030000000001</v>
      </c>
      <c r="T3704">
        <v>-0.32183420000000001</v>
      </c>
      <c r="U3704">
        <v>-2.9025569999999998</v>
      </c>
      <c r="V3704">
        <v>0.59023459999999905</v>
      </c>
      <c r="W3704">
        <v>-8.7690999999999894E-2</v>
      </c>
      <c r="X3704">
        <v>0.80245459999999902</v>
      </c>
      <c r="Y3704">
        <v>0.73606329999999998</v>
      </c>
      <c r="Z3704">
        <v>-1.057643E-2</v>
      </c>
      <c r="AA3704">
        <v>0.67683009999999999</v>
      </c>
      <c r="AB3704">
        <v>18</v>
      </c>
      <c r="AC3704">
        <v>3.0526999999999802</v>
      </c>
      <c r="AD3704">
        <v>-1.1145655190779999</v>
      </c>
      <c r="AE3704">
        <v>-9.9428999999999998</v>
      </c>
      <c r="AF3704">
        <v>7.7007273192617998</v>
      </c>
      <c r="AG3704">
        <v>-1.1145655190779999</v>
      </c>
      <c r="AH3704">
        <v>6.8144459180299704</v>
      </c>
      <c r="AI3704">
        <v>96.186154779679597</v>
      </c>
      <c r="AJ3704">
        <v>41.505917115918699</v>
      </c>
      <c r="AK3704">
        <v>10.3431199698977</v>
      </c>
      <c r="AL3704">
        <v>95.030785904804802</v>
      </c>
      <c r="AM3704">
        <v>53.664163309815102</v>
      </c>
      <c r="AN3704">
        <v>0.99999998978965898</v>
      </c>
    </row>
    <row r="3705" spans="1:40" x14ac:dyDescent="0.25">
      <c r="A3705" t="str">
        <f>"20190303154545558"</f>
        <v>20190303154545558</v>
      </c>
      <c r="B3705" t="str">
        <f>"1551599145554509"</f>
        <v>1551599145554509</v>
      </c>
      <c r="C3705" t="s">
        <v>40</v>
      </c>
      <c r="D3705">
        <v>5.4865909999999998</v>
      </c>
      <c r="E3705">
        <v>0.58684369999999997</v>
      </c>
      <c r="F3705" t="s">
        <v>54</v>
      </c>
      <c r="G3705">
        <v>-196.01150000000001</v>
      </c>
      <c r="H3705" s="1">
        <v>5.4005530000000002E-6</v>
      </c>
      <c r="I3705">
        <v>202.47829999999999</v>
      </c>
      <c r="J3705">
        <v>-198.71530000000001</v>
      </c>
      <c r="K3705">
        <v>1.1145080000000001</v>
      </c>
      <c r="L3705">
        <v>212.16200000000001</v>
      </c>
      <c r="M3705">
        <v>0.9043466</v>
      </c>
      <c r="N3705">
        <v>-1.485323E-2</v>
      </c>
      <c r="O3705">
        <v>-0.42654039999999999</v>
      </c>
      <c r="P3705">
        <v>0.47149780000000002</v>
      </c>
      <c r="Q3705">
        <v>-8.9362860000000002E-2</v>
      </c>
      <c r="R3705">
        <v>-0.877328</v>
      </c>
      <c r="S3705">
        <v>0.86367799999999995</v>
      </c>
      <c r="T3705">
        <v>-0.33408890000000002</v>
      </c>
      <c r="U3705">
        <v>-2.932404</v>
      </c>
      <c r="V3705">
        <v>0.59102149999999998</v>
      </c>
      <c r="W3705">
        <v>-8.7091760000000004E-2</v>
      </c>
      <c r="X3705">
        <v>0.80194049999999995</v>
      </c>
      <c r="Y3705">
        <v>0.74439160000000004</v>
      </c>
      <c r="Z3705">
        <v>-9.8483930000000004E-3</v>
      </c>
      <c r="AA3705">
        <v>0.66767080000000001</v>
      </c>
      <c r="AB3705">
        <v>18</v>
      </c>
      <c r="AC3705">
        <v>2.7038000000000002</v>
      </c>
      <c r="AD3705">
        <v>-1.1145025994469999</v>
      </c>
      <c r="AE3705">
        <v>-9.6837000000000106</v>
      </c>
      <c r="AF3705">
        <v>7.5126649968770396</v>
      </c>
      <c r="AG3705">
        <v>-1.1145025994469999</v>
      </c>
      <c r="AH3705">
        <v>6.4965577648944599</v>
      </c>
      <c r="AI3705">
        <v>96.402540493289706</v>
      </c>
      <c r="AJ3705">
        <v>40.8515268185132</v>
      </c>
      <c r="AK3705">
        <v>9.9943741270820006</v>
      </c>
      <c r="AL3705">
        <v>94.9963201816864</v>
      </c>
      <c r="AM3705">
        <v>53.610185738583603</v>
      </c>
      <c r="AN3705">
        <v>0.99999997683119801</v>
      </c>
    </row>
    <row r="3706" spans="1:40" x14ac:dyDescent="0.25">
      <c r="A3706" t="str">
        <f>"20190303154545596"</f>
        <v>20190303154545596</v>
      </c>
      <c r="B3706" t="str">
        <f>"1551599145584428"</f>
        <v>1551599145584428</v>
      </c>
      <c r="C3706" t="s">
        <v>40</v>
      </c>
      <c r="D3706">
        <v>5.4533589999999998</v>
      </c>
      <c r="E3706">
        <v>0.58864249999999996</v>
      </c>
      <c r="F3706" t="s">
        <v>54</v>
      </c>
      <c r="G3706">
        <v>-196.11109999999999</v>
      </c>
      <c r="H3706" s="1">
        <v>5.3594099999999997E-6</v>
      </c>
      <c r="I3706">
        <v>202.55029999999999</v>
      </c>
      <c r="J3706">
        <v>-198.4443</v>
      </c>
      <c r="K3706">
        <v>1.1142970000000001</v>
      </c>
      <c r="L3706">
        <v>212.00299999999999</v>
      </c>
      <c r="M3706">
        <v>0.89449009999999995</v>
      </c>
      <c r="N3706">
        <v>-1.4933989999999999E-2</v>
      </c>
      <c r="O3706">
        <v>-0.44683859999999997</v>
      </c>
      <c r="P3706">
        <v>0.452376</v>
      </c>
      <c r="Q3706">
        <v>-8.9540149999999999E-2</v>
      </c>
      <c r="R3706">
        <v>-0.88732140000000004</v>
      </c>
      <c r="S3706">
        <v>0.80046079999999997</v>
      </c>
      <c r="T3706">
        <v>-0.3425665</v>
      </c>
      <c r="U3706">
        <v>-2.954361</v>
      </c>
      <c r="V3706">
        <v>0.59024299999999996</v>
      </c>
      <c r="W3706">
        <v>-8.7474910000000003E-2</v>
      </c>
      <c r="X3706">
        <v>0.80247209999999902</v>
      </c>
      <c r="Y3706">
        <v>0.74390979999999995</v>
      </c>
      <c r="Z3706">
        <v>-7.2834830000000003E-3</v>
      </c>
      <c r="AA3706">
        <v>0.66824050000000002</v>
      </c>
      <c r="AB3706">
        <v>18</v>
      </c>
      <c r="AC3706">
        <v>2.3332000000000002</v>
      </c>
      <c r="AD3706">
        <v>-1.1142916405900001</v>
      </c>
      <c r="AE3706">
        <v>-9.4526999999999894</v>
      </c>
      <c r="AF3706">
        <v>7.31776112961923</v>
      </c>
      <c r="AG3706">
        <v>-1.1142916405900001</v>
      </c>
      <c r="AH3706">
        <v>6.2299591004288404</v>
      </c>
      <c r="AI3706">
        <v>96.613630566400801</v>
      </c>
      <c r="AJ3706">
        <v>40.409335491465498</v>
      </c>
      <c r="AK3706">
        <v>9.6748986663153804</v>
      </c>
      <c r="AL3706">
        <v>95.018356719687503</v>
      </c>
      <c r="AM3706">
        <v>53.664370504300202</v>
      </c>
      <c r="AN3706">
        <v>1.00000006510345</v>
      </c>
    </row>
    <row r="3707" spans="1:40" x14ac:dyDescent="0.25">
      <c r="A3707" t="str">
        <f>"20190303154545628"</f>
        <v>20190303154545628</v>
      </c>
      <c r="B3707" t="str">
        <f>"1551599145624444"</f>
        <v>1551599145624444</v>
      </c>
      <c r="C3707" t="s">
        <v>40</v>
      </c>
      <c r="D3707">
        <v>5.471991</v>
      </c>
      <c r="E3707">
        <v>0.59029119999999902</v>
      </c>
      <c r="F3707" t="s">
        <v>54</v>
      </c>
      <c r="G3707">
        <v>-196.11850000000001</v>
      </c>
      <c r="H3707" s="1">
        <v>5.3892669999999999E-6</v>
      </c>
      <c r="I3707">
        <v>202.43129999999999</v>
      </c>
      <c r="J3707">
        <v>-198.22190000000001</v>
      </c>
      <c r="K3707">
        <v>1.1140859999999999</v>
      </c>
      <c r="L3707">
        <v>211.86539999999999</v>
      </c>
      <c r="M3707">
        <v>0.88565360000000004</v>
      </c>
      <c r="N3707">
        <v>-1.502002E-2</v>
      </c>
      <c r="O3707">
        <v>-0.46410360000000001</v>
      </c>
      <c r="P3707">
        <v>0.4365695</v>
      </c>
      <c r="Q3707">
        <v>-9.0353989999999995E-2</v>
      </c>
      <c r="R3707">
        <v>-0.89512169999999902</v>
      </c>
      <c r="S3707">
        <v>0.72340389999999999</v>
      </c>
      <c r="T3707">
        <v>-0.346589799999999</v>
      </c>
      <c r="U3707">
        <v>-2.9771730000000001</v>
      </c>
      <c r="V3707">
        <v>0.58877919999999995</v>
      </c>
      <c r="W3707">
        <v>-8.84876E-2</v>
      </c>
      <c r="X3707">
        <v>0.80343569999999997</v>
      </c>
      <c r="Y3707">
        <v>0.74845340000000005</v>
      </c>
      <c r="Z3707">
        <v>-5.5680419999999996E-3</v>
      </c>
      <c r="AA3707">
        <v>0.66316399999999998</v>
      </c>
      <c r="AB3707">
        <v>18</v>
      </c>
      <c r="AC3707">
        <v>2.1033999999999899</v>
      </c>
      <c r="AD3707">
        <v>-1.1140806107329999</v>
      </c>
      <c r="AE3707">
        <v>-9.4341000000000008</v>
      </c>
      <c r="AF3707">
        <v>7.2832234935957896</v>
      </c>
      <c r="AG3707">
        <v>-1.1140806107329999</v>
      </c>
      <c r="AH3707">
        <v>6.1601496739459396</v>
      </c>
      <c r="AI3707">
        <v>96.661510090862194</v>
      </c>
      <c r="AJ3707">
        <v>40.2245379913698</v>
      </c>
      <c r="AK3707">
        <v>9.6038515227117696</v>
      </c>
      <c r="AL3707">
        <v>95.076605982777906</v>
      </c>
      <c r="AM3707">
        <v>53.765040259006703</v>
      </c>
      <c r="AN3707">
        <v>0.99999996287044401</v>
      </c>
    </row>
    <row r="3708" spans="1:40" x14ac:dyDescent="0.25">
      <c r="A3708" t="str">
        <f>"20190303154545663"</f>
        <v>20190303154545663</v>
      </c>
      <c r="B3708" t="str">
        <f>"1551599145654700"</f>
        <v>1551599145654700</v>
      </c>
      <c r="C3708" t="s">
        <v>40</v>
      </c>
      <c r="D3708">
        <v>5.4503719999999998</v>
      </c>
      <c r="E3708">
        <v>0.59071759999999995</v>
      </c>
      <c r="F3708" t="s">
        <v>54</v>
      </c>
      <c r="G3708">
        <v>-196.12549999999999</v>
      </c>
      <c r="H3708" s="1">
        <v>5.4149140000000004E-6</v>
      </c>
      <c r="I3708">
        <v>202.3287</v>
      </c>
      <c r="J3708">
        <v>-197.96770000000001</v>
      </c>
      <c r="K3708">
        <v>1.113869</v>
      </c>
      <c r="L3708">
        <v>211.6996</v>
      </c>
      <c r="M3708">
        <v>0.87464739999999996</v>
      </c>
      <c r="N3708">
        <v>-1.512353E-2</v>
      </c>
      <c r="O3708">
        <v>-0.48452390000000001</v>
      </c>
      <c r="P3708">
        <v>0.41861219999999999</v>
      </c>
      <c r="Q3708">
        <v>-9.1769859999999995E-2</v>
      </c>
      <c r="R3708">
        <v>-0.90351700000000001</v>
      </c>
      <c r="S3708">
        <v>0.65838619999999903</v>
      </c>
      <c r="T3708">
        <v>-0.34988509999999901</v>
      </c>
      <c r="U3708">
        <v>-2.9950709999999998</v>
      </c>
      <c r="V3708">
        <v>0.58598260000000002</v>
      </c>
      <c r="W3708">
        <v>-9.0081759999999997E-2</v>
      </c>
      <c r="X3708">
        <v>0.80530100000000004</v>
      </c>
      <c r="Y3708">
        <v>0.74771739999999998</v>
      </c>
      <c r="Z3708">
        <v>-2.8626099999999998E-3</v>
      </c>
      <c r="AA3708">
        <v>0.66401089999999996</v>
      </c>
      <c r="AB3708">
        <v>18</v>
      </c>
      <c r="AC3708">
        <v>1.84220000000002</v>
      </c>
      <c r="AD3708">
        <v>-1.1138635850859999</v>
      </c>
      <c r="AE3708">
        <v>-9.3709000000000007</v>
      </c>
      <c r="AF3708">
        <v>7.2064489543385397</v>
      </c>
      <c r="AG3708">
        <v>-1.1138635850859999</v>
      </c>
      <c r="AH3708">
        <v>6.0698356874732697</v>
      </c>
      <c r="AI3708">
        <v>96.742117089978606</v>
      </c>
      <c r="AJ3708">
        <v>40.106708316080102</v>
      </c>
      <c r="AK3708">
        <v>9.4877027720408602</v>
      </c>
      <c r="AL3708">
        <v>95.168310617656701</v>
      </c>
      <c r="AM3708">
        <v>53.958243213696697</v>
      </c>
      <c r="AN3708">
        <v>1.0000000157942199</v>
      </c>
    </row>
    <row r="3709" spans="1:40" x14ac:dyDescent="0.25">
      <c r="A3709" t="str">
        <f>"20190303154545690"</f>
        <v>20190303154545690</v>
      </c>
      <c r="B3709" t="str">
        <f>"1551599145684956"</f>
        <v>1551599145684956</v>
      </c>
      <c r="C3709" t="s">
        <v>40</v>
      </c>
      <c r="D3709">
        <v>5.458405</v>
      </c>
      <c r="E3709">
        <v>0.59079219999999999</v>
      </c>
      <c r="F3709" t="s">
        <v>54</v>
      </c>
      <c r="G3709">
        <v>-196.1156</v>
      </c>
      <c r="H3709" s="1">
        <v>5.4136429999999901E-6</v>
      </c>
      <c r="I3709">
        <v>202.3417</v>
      </c>
      <c r="J3709">
        <v>-197.78200000000001</v>
      </c>
      <c r="K3709">
        <v>1.11375</v>
      </c>
      <c r="L3709">
        <v>211.57210000000001</v>
      </c>
      <c r="M3709">
        <v>0.86591419999999997</v>
      </c>
      <c r="N3709">
        <v>-1.519787E-2</v>
      </c>
      <c r="O3709">
        <v>-0.49996210000000002</v>
      </c>
      <c r="P3709">
        <v>0.4024585</v>
      </c>
      <c r="Q3709">
        <v>-9.1499549999999999E-2</v>
      </c>
      <c r="R3709">
        <v>-0.91085430000000001</v>
      </c>
      <c r="S3709">
        <v>0.59536739999999999</v>
      </c>
      <c r="T3709">
        <v>-0.35805740000000003</v>
      </c>
      <c r="U3709">
        <v>-3.0081479999999998</v>
      </c>
      <c r="V3709">
        <v>0.58603629999999995</v>
      </c>
      <c r="W3709">
        <v>-8.9944560000000007E-2</v>
      </c>
      <c r="X3709">
        <v>0.80527729999999997</v>
      </c>
      <c r="Y3709">
        <v>0.74983339999999998</v>
      </c>
      <c r="Z3709">
        <v>-8.2310289999999904E-4</v>
      </c>
      <c r="AA3709">
        <v>0.66162619999999905</v>
      </c>
      <c r="AB3709">
        <v>18</v>
      </c>
      <c r="AC3709">
        <v>1.6664000000000101</v>
      </c>
      <c r="AD3709">
        <v>-1.1137445863569999</v>
      </c>
      <c r="AE3709">
        <v>-9.2303999999999995</v>
      </c>
      <c r="AF3709">
        <v>7.0608687183350396</v>
      </c>
      <c r="AG3709">
        <v>-1.1137445863569999</v>
      </c>
      <c r="AH3709">
        <v>5.9742740724705499</v>
      </c>
      <c r="AI3709">
        <v>96.8662210555038</v>
      </c>
      <c r="AJ3709">
        <v>40.2349058161724</v>
      </c>
      <c r="AK3709">
        <v>9.3160208648432992</v>
      </c>
      <c r="AL3709">
        <v>95.160417422107201</v>
      </c>
      <c r="AM3709">
        <v>53.954943026223603</v>
      </c>
      <c r="AN3709">
        <v>1.0000000493432799</v>
      </c>
    </row>
    <row r="3710" spans="1:40" x14ac:dyDescent="0.25">
      <c r="A3710" t="str">
        <f>"20190303154545730"</f>
        <v>20190303154545730</v>
      </c>
      <c r="B3710" t="str">
        <f>"1551599145724973"</f>
        <v>1551599145724973</v>
      </c>
      <c r="C3710" t="s">
        <v>40</v>
      </c>
      <c r="D3710">
        <v>5.4716139999999998</v>
      </c>
      <c r="E3710">
        <v>0.59063019999999999</v>
      </c>
      <c r="F3710" t="s">
        <v>54</v>
      </c>
      <c r="G3710">
        <v>-196.1104</v>
      </c>
      <c r="H3710" s="1">
        <v>5.4387649999999996E-6</v>
      </c>
      <c r="I3710">
        <v>202.25129999999999</v>
      </c>
      <c r="J3710">
        <v>-197.5119</v>
      </c>
      <c r="K3710">
        <v>1.1136060000000001</v>
      </c>
      <c r="L3710">
        <v>211.3768</v>
      </c>
      <c r="M3710">
        <v>0.85214469999999998</v>
      </c>
      <c r="N3710">
        <v>-1.5305650000000001E-2</v>
      </c>
      <c r="O3710">
        <v>-0.52308239999999995</v>
      </c>
      <c r="P3710">
        <v>0.37720239999999999</v>
      </c>
      <c r="Q3710">
        <v>-9.1017189999999998E-2</v>
      </c>
      <c r="R3710">
        <v>-0.92164760000000001</v>
      </c>
      <c r="S3710">
        <v>0.54130549999999999</v>
      </c>
      <c r="T3710">
        <v>-0.3606453</v>
      </c>
      <c r="U3710">
        <v>-3.0182039999999999</v>
      </c>
      <c r="V3710">
        <v>0.58657780000000004</v>
      </c>
      <c r="W3710">
        <v>-8.9596609999999993E-2</v>
      </c>
      <c r="X3710">
        <v>0.80492169999999996</v>
      </c>
      <c r="Y3710">
        <v>0.74400029999999995</v>
      </c>
      <c r="Z3710">
        <v>2.9515330000000001E-3</v>
      </c>
      <c r="AA3710">
        <v>0.66817280000000001</v>
      </c>
      <c r="AB3710">
        <v>18</v>
      </c>
      <c r="AC3710">
        <v>1.40149999999999</v>
      </c>
      <c r="AD3710">
        <v>-1.113600561235</v>
      </c>
      <c r="AE3710">
        <v>-9.1255000000000095</v>
      </c>
      <c r="AF3710">
        <v>6.9429611539182901</v>
      </c>
      <c r="AG3710">
        <v>-1.113600561235</v>
      </c>
      <c r="AH3710">
        <v>5.8827820549123802</v>
      </c>
      <c r="AI3710">
        <v>96.976730699013501</v>
      </c>
      <c r="AJ3710">
        <v>40.2746594891859</v>
      </c>
      <c r="AK3710">
        <v>9.1679845386213703</v>
      </c>
      <c r="AL3710">
        <v>95.140400763448895</v>
      </c>
      <c r="AM3710">
        <v>53.917718653089302</v>
      </c>
      <c r="AN3710">
        <v>1.00000000555361</v>
      </c>
    </row>
    <row r="3711" spans="1:40" x14ac:dyDescent="0.25">
      <c r="A3711" t="str">
        <f>"20190303154545764"</f>
        <v>20190303154545764</v>
      </c>
      <c r="B3711" t="str">
        <f>"1551599145755227"</f>
        <v>1551599145755227</v>
      </c>
      <c r="C3711" t="s">
        <v>40</v>
      </c>
      <c r="D3711">
        <v>5.4505330000000001</v>
      </c>
      <c r="E3711">
        <v>0.59021290000000004</v>
      </c>
      <c r="F3711" t="s">
        <v>54</v>
      </c>
      <c r="G3711">
        <v>-196.10489999999999</v>
      </c>
      <c r="H3711" s="1">
        <v>5.4825399999999999E-6</v>
      </c>
      <c r="I3711">
        <v>202.09049999999999</v>
      </c>
      <c r="J3711">
        <v>-197.2954</v>
      </c>
      <c r="K3711">
        <v>1.1134980000000001</v>
      </c>
      <c r="L3711">
        <v>211.2115</v>
      </c>
      <c r="M3711">
        <v>0.84014080000000002</v>
      </c>
      <c r="N3711">
        <v>-1.539244E-2</v>
      </c>
      <c r="O3711">
        <v>-0.54215009999999997</v>
      </c>
      <c r="P3711">
        <v>0.35684840000000001</v>
      </c>
      <c r="Q3711">
        <v>-9.2433429999999997E-2</v>
      </c>
      <c r="R3711">
        <v>-0.92957820000000002</v>
      </c>
      <c r="S3711">
        <v>0.45924379999999998</v>
      </c>
      <c r="T3711">
        <v>-0.36349399999999998</v>
      </c>
      <c r="U3711">
        <v>-3.031174</v>
      </c>
      <c r="V3711">
        <v>0.58597339999999998</v>
      </c>
      <c r="W3711">
        <v>-9.1070910000000005E-2</v>
      </c>
      <c r="X3711">
        <v>0.80519640000000003</v>
      </c>
      <c r="Y3711">
        <v>0.74707319999999999</v>
      </c>
      <c r="Z3711">
        <v>5.3743790000000003E-3</v>
      </c>
      <c r="AA3711">
        <v>0.66472010000000004</v>
      </c>
      <c r="AB3711">
        <v>18</v>
      </c>
      <c r="AC3711">
        <v>1.1905000000000101</v>
      </c>
      <c r="AD3711">
        <v>-1.1134925174600001</v>
      </c>
      <c r="AE3711">
        <v>-9.1210000000000093</v>
      </c>
      <c r="AF3711">
        <v>6.9169647105428798</v>
      </c>
      <c r="AG3711">
        <v>-1.1134925174600001</v>
      </c>
      <c r="AH3711">
        <v>5.8599709952684904</v>
      </c>
      <c r="AI3711">
        <v>97.002406899850499</v>
      </c>
      <c r="AJ3711">
        <v>40.270877913196301</v>
      </c>
      <c r="AK3711">
        <v>9.1336480367224002</v>
      </c>
      <c r="AL3711">
        <v>95.225218797541899</v>
      </c>
      <c r="AM3711">
        <v>53.955130290594902</v>
      </c>
      <c r="AN3711">
        <v>0.99999998936437395</v>
      </c>
    </row>
    <row r="3712" spans="1:40" x14ac:dyDescent="0.25">
      <c r="A3712" t="str">
        <f>"20190303154545791"</f>
        <v>20190303154545791</v>
      </c>
      <c r="B3712" t="str">
        <f>"1551599145784508"</f>
        <v>1551599145784508</v>
      </c>
      <c r="C3712" t="s">
        <v>40</v>
      </c>
      <c r="D3712">
        <v>5.488937</v>
      </c>
      <c r="E3712">
        <v>0.5895705</v>
      </c>
      <c r="F3712" t="s">
        <v>54</v>
      </c>
      <c r="G3712">
        <v>-196.1011</v>
      </c>
      <c r="H3712" s="1">
        <v>5.4984919999999997E-6</v>
      </c>
      <c r="I3712">
        <v>202.0335</v>
      </c>
      <c r="J3712">
        <v>-197.1148</v>
      </c>
      <c r="K3712">
        <v>1.1134299999999999</v>
      </c>
      <c r="L3712">
        <v>211.06659999999999</v>
      </c>
      <c r="M3712">
        <v>0.82940689999999995</v>
      </c>
      <c r="N3712">
        <v>-1.546194E-2</v>
      </c>
      <c r="O3712">
        <v>-0.55843120000000002</v>
      </c>
      <c r="P3712">
        <v>0.33927620000000003</v>
      </c>
      <c r="Q3712">
        <v>-9.2227320000000002E-2</v>
      </c>
      <c r="R3712">
        <v>-0.93615519999999997</v>
      </c>
      <c r="S3712">
        <v>0.39543149999999999</v>
      </c>
      <c r="T3712">
        <v>-0.36867280000000002</v>
      </c>
      <c r="U3712">
        <v>-3.038818</v>
      </c>
      <c r="V3712">
        <v>0.58544289999999999</v>
      </c>
      <c r="W3712">
        <v>-9.0897179999999994E-2</v>
      </c>
      <c r="X3712">
        <v>0.80560180000000003</v>
      </c>
      <c r="Y3712">
        <v>0.74805559999999904</v>
      </c>
      <c r="Z3712">
        <v>7.8490899999999995E-3</v>
      </c>
      <c r="AA3712">
        <v>0.66358969999999995</v>
      </c>
      <c r="AB3712">
        <v>18</v>
      </c>
      <c r="AC3712">
        <v>1.0137</v>
      </c>
      <c r="AD3712">
        <v>-1.113424501508</v>
      </c>
      <c r="AE3712">
        <v>-9.0330999999999904</v>
      </c>
      <c r="AF3712">
        <v>6.8244652113678601</v>
      </c>
      <c r="AG3712">
        <v>-1.113424501508</v>
      </c>
      <c r="AH3712">
        <v>5.7988306223422796</v>
      </c>
      <c r="AI3712">
        <v>97.087188201190003</v>
      </c>
      <c r="AJ3712">
        <v>40.354958537496998</v>
      </c>
      <c r="AK3712">
        <v>9.0243823128424197</v>
      </c>
      <c r="AL3712">
        <v>95.215223427873397</v>
      </c>
      <c r="AM3712">
        <v>53.993533294105397</v>
      </c>
      <c r="AN3712">
        <v>0.9999999733278</v>
      </c>
    </row>
    <row r="3713" spans="1:40" x14ac:dyDescent="0.25">
      <c r="A3713" t="str">
        <f>"20190303154545816"</f>
        <v>20190303154545816</v>
      </c>
      <c r="B3713" t="str">
        <f>"1551599145805003"</f>
        <v>1551599145805003</v>
      </c>
      <c r="C3713" t="s">
        <v>40</v>
      </c>
      <c r="D3713">
        <v>5.2519169999999997</v>
      </c>
      <c r="E3713">
        <v>0.59334799999999999</v>
      </c>
      <c r="F3713" t="s">
        <v>54</v>
      </c>
      <c r="G3713">
        <v>-196.08410000000001</v>
      </c>
      <c r="H3713" s="1">
        <v>5.5329159999999996E-6</v>
      </c>
      <c r="I3713">
        <v>201.9177</v>
      </c>
      <c r="J3713">
        <v>-196.96270000000001</v>
      </c>
      <c r="K3713">
        <v>1.1133820000000001</v>
      </c>
      <c r="L3713">
        <v>210.93979999999999</v>
      </c>
      <c r="M3713">
        <v>0.81987379999999999</v>
      </c>
      <c r="N3713">
        <v>-1.551494E-2</v>
      </c>
      <c r="O3713">
        <v>-0.57233429999999996</v>
      </c>
      <c r="P3713">
        <v>0.32395679999999999</v>
      </c>
      <c r="Q3713">
        <v>-9.2854249999999999E-2</v>
      </c>
      <c r="R3713">
        <v>-0.94150409999999995</v>
      </c>
      <c r="S3713">
        <v>0.34291080000000002</v>
      </c>
      <c r="T3713">
        <v>-0.37043559999999998</v>
      </c>
      <c r="U3713">
        <v>-3.0438230000000002</v>
      </c>
      <c r="V3713">
        <v>0.58493379999999995</v>
      </c>
      <c r="W3713">
        <v>-9.1536129999999993E-2</v>
      </c>
      <c r="X3713">
        <v>0.80589929999999999</v>
      </c>
      <c r="Y3713">
        <v>0.74833349999999998</v>
      </c>
      <c r="Z3713">
        <v>9.9305399999999999E-3</v>
      </c>
      <c r="AA3713">
        <v>0.66324839999999996</v>
      </c>
      <c r="AB3713">
        <v>18</v>
      </c>
      <c r="AC3713">
        <v>0.87860000000000504</v>
      </c>
      <c r="AD3713">
        <v>-1.1133764670839901</v>
      </c>
      <c r="AE3713">
        <v>-9.0220999999999894</v>
      </c>
      <c r="AF3713">
        <v>6.7924888997418504</v>
      </c>
      <c r="AG3713">
        <v>-1.1133764670839901</v>
      </c>
      <c r="AH3713">
        <v>5.7972494002322303</v>
      </c>
      <c r="AI3713">
        <v>97.106813616545395</v>
      </c>
      <c r="AJ3713">
        <v>40.480074094958397</v>
      </c>
      <c r="AK3713">
        <v>8.9992006988990791</v>
      </c>
      <c r="AL3713">
        <v>95.251985436437494</v>
      </c>
      <c r="AM3713">
        <v>54.027292178132598</v>
      </c>
      <c r="AN3713">
        <v>1.00000004760915</v>
      </c>
    </row>
    <row r="3714" spans="1:40" x14ac:dyDescent="0.25">
      <c r="A3714" t="str">
        <f>"20190303154545854"</f>
        <v>20190303154545854</v>
      </c>
      <c r="B3714" t="str">
        <f>"1551599145845021"</f>
        <v>1551599145845021</v>
      </c>
      <c r="C3714" t="s">
        <v>40</v>
      </c>
      <c r="D3714">
        <v>5.2883570000000004</v>
      </c>
      <c r="E3714">
        <v>0.58907500000000002</v>
      </c>
      <c r="F3714" t="s">
        <v>41</v>
      </c>
      <c r="G3714">
        <v>-195.6207</v>
      </c>
      <c r="H3714" s="1">
        <v>-3.9502249999999999E-6</v>
      </c>
      <c r="I3714">
        <v>195.66489999999999</v>
      </c>
      <c r="J3714">
        <v>-196.72489999999999</v>
      </c>
      <c r="K3714">
        <v>1.1133329999999999</v>
      </c>
      <c r="L3714">
        <v>210.73179999999999</v>
      </c>
      <c r="M3714">
        <v>0.80396309999999904</v>
      </c>
      <c r="N3714">
        <v>-1.5589560000000001E-2</v>
      </c>
      <c r="O3714">
        <v>-0.59447490000000003</v>
      </c>
      <c r="P3714">
        <v>0.29918879999999998</v>
      </c>
      <c r="Q3714">
        <v>-9.4744579999999995E-2</v>
      </c>
      <c r="R3714">
        <v>-0.94947859999999995</v>
      </c>
      <c r="S3714">
        <v>0.26983639999999998</v>
      </c>
      <c r="T3714">
        <v>-0.22387989999999999</v>
      </c>
      <c r="U3714">
        <v>-3.0714869999999999</v>
      </c>
      <c r="V3714">
        <v>0.58387089999999997</v>
      </c>
      <c r="W3714">
        <v>-9.3409249999999999E-2</v>
      </c>
      <c r="X3714">
        <v>0.80645489999999997</v>
      </c>
      <c r="Y3714">
        <v>0.74782969999999904</v>
      </c>
      <c r="Z3714">
        <v>2.0085239999999998E-3</v>
      </c>
      <c r="AA3714">
        <v>0.66388749999999996</v>
      </c>
      <c r="AB3714">
        <v>18</v>
      </c>
      <c r="AC3714">
        <v>1.1041999999999901</v>
      </c>
      <c r="AD3714">
        <v>-1.1133369502249999</v>
      </c>
      <c r="AE3714">
        <v>-15.0669</v>
      </c>
      <c r="AF3714">
        <v>11.396311017671399</v>
      </c>
      <c r="AG3714">
        <v>-1.1133369502249999</v>
      </c>
      <c r="AH3714">
        <v>9.7926421515150999</v>
      </c>
      <c r="AI3714">
        <v>94.237615664632102</v>
      </c>
      <c r="AJ3714">
        <v>40.671866448199403</v>
      </c>
      <c r="AK3714">
        <v>15.066892987071499</v>
      </c>
      <c r="AL3714">
        <v>95.359769345308905</v>
      </c>
      <c r="AM3714">
        <v>54.095575680266201</v>
      </c>
      <c r="AN3714">
        <v>1.0000000107931899</v>
      </c>
    </row>
    <row r="3715" spans="1:40" x14ac:dyDescent="0.25">
      <c r="A3715" t="str">
        <f>"20190303154545898"</f>
        <v>20190303154545898</v>
      </c>
      <c r="B3715" t="str">
        <f>"1551599145894790"</f>
        <v>1551599145894790</v>
      </c>
      <c r="C3715" t="s">
        <v>40</v>
      </c>
      <c r="D3715">
        <v>5.3662299999999998</v>
      </c>
      <c r="E3715">
        <v>0.57945259999999998</v>
      </c>
      <c r="F3715" t="s">
        <v>41</v>
      </c>
      <c r="G3715">
        <v>-195.71199999999999</v>
      </c>
      <c r="H3715" s="1">
        <v>-4.3197060000000001E-6</v>
      </c>
      <c r="I3715">
        <v>196.70310000000001</v>
      </c>
      <c r="J3715">
        <v>-196.45830000000001</v>
      </c>
      <c r="K3715">
        <v>1.1133390000000001</v>
      </c>
      <c r="L3715">
        <v>210.4838</v>
      </c>
      <c r="M3715">
        <v>0.78462790000000004</v>
      </c>
      <c r="N3715">
        <v>-1.566124E-2</v>
      </c>
      <c r="O3715">
        <v>-0.61976940000000003</v>
      </c>
      <c r="P3715">
        <v>0.27234950000000002</v>
      </c>
      <c r="Q3715">
        <v>-9.406254E-2</v>
      </c>
      <c r="R3715">
        <v>-0.95759000000000005</v>
      </c>
      <c r="S3715">
        <v>0.22132869999999999</v>
      </c>
      <c r="T3715">
        <v>-0.2432878</v>
      </c>
      <c r="U3715">
        <v>-3.065582</v>
      </c>
      <c r="V3715">
        <v>0.58095779999999997</v>
      </c>
      <c r="W3715">
        <v>-9.2586100000000005E-2</v>
      </c>
      <c r="X3715">
        <v>0.80865069999999994</v>
      </c>
      <c r="Y3715">
        <v>0.73687040000000004</v>
      </c>
      <c r="Z3715">
        <v>6.6151150000000004E-3</v>
      </c>
      <c r="AA3715">
        <v>0.67600169999999904</v>
      </c>
      <c r="AB3715">
        <v>18</v>
      </c>
      <c r="AC3715">
        <v>0.74629999999998997</v>
      </c>
      <c r="AD3715">
        <v>-1.1133433197060001</v>
      </c>
      <c r="AE3715">
        <v>-13.7806999999999</v>
      </c>
      <c r="AF3715">
        <v>10.284524555647099</v>
      </c>
      <c r="AG3715">
        <v>-1.1133433197060001</v>
      </c>
      <c r="AH3715">
        <v>9.0685244826384608</v>
      </c>
      <c r="AI3715">
        <v>94.642052420336597</v>
      </c>
      <c r="AJ3715">
        <v>41.404690422253999</v>
      </c>
      <c r="AK3715">
        <v>13.756784325395801</v>
      </c>
      <c r="AL3715">
        <v>95.312400820148696</v>
      </c>
      <c r="AM3715">
        <v>54.3054521846787</v>
      </c>
      <c r="AN3715">
        <v>1.0000000529522599</v>
      </c>
    </row>
    <row r="3716" spans="1:40" x14ac:dyDescent="0.25">
      <c r="A3716" t="str">
        <f>"20190303154545924"</f>
        <v>20190303154545924</v>
      </c>
      <c r="B3716" t="str">
        <f>"1551599145915286"</f>
        <v>1551599145915286</v>
      </c>
      <c r="C3716" t="s">
        <v>40</v>
      </c>
      <c r="D3716">
        <v>5.3908889999999996</v>
      </c>
      <c r="E3716">
        <v>0.57788709999999999</v>
      </c>
      <c r="F3716" t="s">
        <v>41</v>
      </c>
      <c r="G3716">
        <v>-195.56780000000001</v>
      </c>
      <c r="H3716" s="1">
        <v>-4.5506790000000004E-6</v>
      </c>
      <c r="I3716">
        <v>197.45699999999999</v>
      </c>
      <c r="J3716">
        <v>-196.31319999999999</v>
      </c>
      <c r="K3716">
        <v>1.1133649999999999</v>
      </c>
      <c r="L3716">
        <v>210.3417</v>
      </c>
      <c r="M3716">
        <v>0.77341119999999997</v>
      </c>
      <c r="N3716">
        <v>-1.568984E-2</v>
      </c>
      <c r="O3716">
        <v>-0.63371089999999997</v>
      </c>
      <c r="P3716">
        <v>0.2563897</v>
      </c>
      <c r="Q3716">
        <v>-9.3959699999999993E-2</v>
      </c>
      <c r="R3716">
        <v>-0.96199599999999996</v>
      </c>
      <c r="S3716">
        <v>0.20835880000000001</v>
      </c>
      <c r="T3716">
        <v>-0.2604996</v>
      </c>
      <c r="U3716">
        <v>-3.048019</v>
      </c>
      <c r="V3716">
        <v>0.57994999999999997</v>
      </c>
      <c r="W3716">
        <v>-9.2393489999999995E-2</v>
      </c>
      <c r="X3716">
        <v>0.80939569999999905</v>
      </c>
      <c r="Y3716">
        <v>0.72722609999999999</v>
      </c>
      <c r="Z3716">
        <v>1.0380749999999999E-2</v>
      </c>
      <c r="AA3716">
        <v>0.68631949999999997</v>
      </c>
      <c r="AB3716">
        <v>18</v>
      </c>
      <c r="AC3716">
        <v>0.74539999999998896</v>
      </c>
      <c r="AD3716">
        <v>-1.113369550679</v>
      </c>
      <c r="AE3716">
        <v>-12.8847</v>
      </c>
      <c r="AF3716">
        <v>9.4238386838270003</v>
      </c>
      <c r="AG3716">
        <v>-1.113369550679</v>
      </c>
      <c r="AH3716">
        <v>8.6781679274875092</v>
      </c>
      <c r="AI3716">
        <v>94.966978199514003</v>
      </c>
      <c r="AJ3716">
        <v>42.6411650047081</v>
      </c>
      <c r="AK3716">
        <v>12.859196159669001</v>
      </c>
      <c r="AL3716">
        <v>95.301317965139006</v>
      </c>
      <c r="AM3716">
        <v>54.3775611019935</v>
      </c>
      <c r="AN3716">
        <v>0.99999997933643403</v>
      </c>
    </row>
    <row r="3717" spans="1:40" x14ac:dyDescent="0.25">
      <c r="A3717" t="str">
        <f>"20190303154545946"</f>
        <v>20190303154545946</v>
      </c>
      <c r="B3717" t="str">
        <f>"1551599145934806"</f>
        <v>1551599145934806</v>
      </c>
      <c r="C3717" t="s">
        <v>40</v>
      </c>
      <c r="D3717">
        <v>5.3996040000000001</v>
      </c>
      <c r="E3717">
        <v>0.57805469999999903</v>
      </c>
      <c r="F3717" t="s">
        <v>41</v>
      </c>
      <c r="G3717">
        <v>-195.59899999999999</v>
      </c>
      <c r="H3717" s="1">
        <v>-4.5707780000000002E-6</v>
      </c>
      <c r="I3717">
        <v>197.49979999999999</v>
      </c>
      <c r="J3717">
        <v>-196.17939999999999</v>
      </c>
      <c r="K3717">
        <v>1.1134010000000001</v>
      </c>
      <c r="L3717">
        <v>210.2056</v>
      </c>
      <c r="M3717">
        <v>0.76261459999999903</v>
      </c>
      <c r="N3717">
        <v>-1.5707949999999998E-2</v>
      </c>
      <c r="O3717">
        <v>-0.64666239999999997</v>
      </c>
      <c r="P3717">
        <v>0.24080509999999999</v>
      </c>
      <c r="Q3717">
        <v>-9.5020640000000003E-2</v>
      </c>
      <c r="R3717">
        <v>-0.96591090000000002</v>
      </c>
      <c r="S3717">
        <v>0.1694946</v>
      </c>
      <c r="T3717">
        <v>-0.26421270000000002</v>
      </c>
      <c r="U3717">
        <v>-3.047501</v>
      </c>
      <c r="V3717">
        <v>0.57929659999999905</v>
      </c>
      <c r="W3717">
        <v>-9.3362790000000001E-2</v>
      </c>
      <c r="X3717">
        <v>0.80975229999999998</v>
      </c>
      <c r="Y3717">
        <v>0.72436889999999998</v>
      </c>
      <c r="Z3717">
        <v>1.2333240000000001E-2</v>
      </c>
      <c r="AA3717">
        <v>0.68930230000000003</v>
      </c>
      <c r="AB3717">
        <v>18</v>
      </c>
      <c r="AC3717">
        <v>0.58039999999996805</v>
      </c>
      <c r="AD3717">
        <v>-1.113405570778</v>
      </c>
      <c r="AE3717">
        <v>-12.7058</v>
      </c>
      <c r="AF3717">
        <v>9.2446136636425695</v>
      </c>
      <c r="AG3717">
        <v>-1.113405570778</v>
      </c>
      <c r="AH3717">
        <v>8.5941958549617308</v>
      </c>
      <c r="AI3717">
        <v>95.040969312758705</v>
      </c>
      <c r="AJ3717">
        <v>42.911873284913398</v>
      </c>
      <c r="AK3717">
        <v>12.6713360048768</v>
      </c>
      <c r="AL3717">
        <v>95.357095895373206</v>
      </c>
      <c r="AM3717">
        <v>54.420078636251503</v>
      </c>
      <c r="AN3717">
        <v>0.99999997434171595</v>
      </c>
    </row>
    <row r="3718" spans="1:40" x14ac:dyDescent="0.25">
      <c r="A3718" t="str">
        <f>"20190303154545969"</f>
        <v>20190303154545969</v>
      </c>
      <c r="B3718" t="str">
        <f>"1551599145965062"</f>
        <v>1551599145965062</v>
      </c>
      <c r="C3718" t="s">
        <v>40</v>
      </c>
      <c r="D3718">
        <v>5.4054989999999998</v>
      </c>
      <c r="E3718">
        <v>0.57656399999999997</v>
      </c>
      <c r="F3718" t="s">
        <v>41</v>
      </c>
      <c r="G3718">
        <v>-195.68209999999999</v>
      </c>
      <c r="H3718" s="1">
        <v>-4.5704039999999996E-6</v>
      </c>
      <c r="I3718">
        <v>197.4554</v>
      </c>
      <c r="J3718">
        <v>-196.0514</v>
      </c>
      <c r="K3718">
        <v>1.1134329999999999</v>
      </c>
      <c r="L3718">
        <v>210.071</v>
      </c>
      <c r="M3718">
        <v>0.75188849999999996</v>
      </c>
      <c r="N3718">
        <v>-1.5718960000000001E-2</v>
      </c>
      <c r="O3718">
        <v>-0.659103199999999</v>
      </c>
      <c r="P3718">
        <v>0.2264863</v>
      </c>
      <c r="Q3718">
        <v>-9.6781679999999995E-2</v>
      </c>
      <c r="R3718">
        <v>-0.96919440000000001</v>
      </c>
      <c r="S3718">
        <v>0.1189728</v>
      </c>
      <c r="T3718">
        <v>-0.26634190000000002</v>
      </c>
      <c r="U3718">
        <v>-3.0500340000000001</v>
      </c>
      <c r="V3718">
        <v>0.57782599999999995</v>
      </c>
      <c r="W3718">
        <v>-9.4998490000000005E-2</v>
      </c>
      <c r="X3718">
        <v>0.81061240000000001</v>
      </c>
      <c r="Y3718">
        <v>0.72447899999999998</v>
      </c>
      <c r="Z3718">
        <v>1.389611E-2</v>
      </c>
      <c r="AA3718">
        <v>0.68915689999999996</v>
      </c>
      <c r="AB3718">
        <v>18</v>
      </c>
      <c r="AC3718">
        <v>0.36930000000000901</v>
      </c>
      <c r="AD3718">
        <v>-1.1134375704039901</v>
      </c>
      <c r="AE3718">
        <v>-12.615600000000001</v>
      </c>
      <c r="AF3718">
        <v>9.1718735870161403</v>
      </c>
      <c r="AG3718">
        <v>-1.1134375704039901</v>
      </c>
      <c r="AH3718">
        <v>8.5273467957066504</v>
      </c>
      <c r="AI3718">
        <v>95.080672441072593</v>
      </c>
      <c r="AJ3718">
        <v>42.914464394504499</v>
      </c>
      <c r="AK3718">
        <v>12.572933297112399</v>
      </c>
      <c r="AL3718">
        <v>95.451232732101701</v>
      </c>
      <c r="AM3718">
        <v>54.517721696057798</v>
      </c>
      <c r="AN3718">
        <v>1.00000003120601</v>
      </c>
    </row>
    <row r="3719" spans="1:40" x14ac:dyDescent="0.25">
      <c r="A3719" t="str">
        <f>"20190303154545991"</f>
        <v>20190303154545991</v>
      </c>
      <c r="B3719" t="str">
        <f>"1551599145984582"</f>
        <v>1551599145984582</v>
      </c>
      <c r="C3719" t="s">
        <v>40</v>
      </c>
      <c r="D3719">
        <v>5.4066789999999996</v>
      </c>
      <c r="E3719">
        <v>0.5652587</v>
      </c>
      <c r="F3719" t="s">
        <v>41</v>
      </c>
      <c r="G3719">
        <v>-195.69929999999999</v>
      </c>
      <c r="H3719" s="1">
        <v>-4.5915640000000001E-6</v>
      </c>
      <c r="I3719">
        <v>197.5085</v>
      </c>
      <c r="J3719">
        <v>-195.93119999999999</v>
      </c>
      <c r="K3719">
        <v>1.1134869999999999</v>
      </c>
      <c r="L3719">
        <v>209.94059999999999</v>
      </c>
      <c r="M3719">
        <v>0.74145319999999904</v>
      </c>
      <c r="N3719">
        <v>-1.572409E-2</v>
      </c>
      <c r="O3719">
        <v>-0.67082059999999999</v>
      </c>
      <c r="P3719">
        <v>0.21298220000000001</v>
      </c>
      <c r="Q3719">
        <v>-9.8230570000000003E-2</v>
      </c>
      <c r="R3719">
        <v>-0.97210589999999997</v>
      </c>
      <c r="S3719">
        <v>8.5433960000000003E-2</v>
      </c>
      <c r="T3719">
        <v>-0.27018769999999998</v>
      </c>
      <c r="U3719">
        <v>-3.0484309999999999</v>
      </c>
      <c r="V3719">
        <v>0.57626269999999902</v>
      </c>
      <c r="W3719">
        <v>-9.6315819999999996E-2</v>
      </c>
      <c r="X3719">
        <v>0.81156919999999899</v>
      </c>
      <c r="Y3719">
        <v>0.72122549999999996</v>
      </c>
      <c r="Z3719">
        <v>1.5871409999999999E-2</v>
      </c>
      <c r="AA3719">
        <v>0.69251850000000004</v>
      </c>
      <c r="AB3719">
        <v>17</v>
      </c>
      <c r="AC3719">
        <v>0.231899999999996</v>
      </c>
      <c r="AD3719">
        <v>-1.113491591564</v>
      </c>
      <c r="AE3719">
        <v>-12.432099999999901</v>
      </c>
      <c r="AF3719">
        <v>8.9912725872608394</v>
      </c>
      <c r="AG3719">
        <v>-1.113491591564</v>
      </c>
      <c r="AH3719">
        <v>8.4449802128378</v>
      </c>
      <c r="AI3719">
        <v>95.158018653252697</v>
      </c>
      <c r="AJ3719">
        <v>43.2054623686494</v>
      </c>
      <c r="AK3719">
        <v>12.3854970452595</v>
      </c>
      <c r="AL3719">
        <v>95.527058057749798</v>
      </c>
      <c r="AM3719">
        <v>54.6229685578692</v>
      </c>
      <c r="AN3719">
        <v>1.0000000014910999</v>
      </c>
    </row>
    <row r="3720" spans="1:40" x14ac:dyDescent="0.25">
      <c r="A3720" t="str">
        <f>"20190303154546034"</f>
        <v>20190303154546034</v>
      </c>
      <c r="B3720" t="str">
        <f>"1551599146024598"</f>
        <v>1551599146024598</v>
      </c>
      <c r="C3720" t="s">
        <v>40</v>
      </c>
      <c r="D3720">
        <v>5.498602</v>
      </c>
      <c r="E3720">
        <v>0.56338369999999904</v>
      </c>
      <c r="F3720" t="s">
        <v>41</v>
      </c>
      <c r="G3720">
        <v>-195.40889999999999</v>
      </c>
      <c r="H3720" s="1">
        <v>-4.6579069999999999E-6</v>
      </c>
      <c r="I3720">
        <v>197.85480000000001</v>
      </c>
      <c r="J3720">
        <v>-195.70529999999999</v>
      </c>
      <c r="K3720">
        <v>1.113607</v>
      </c>
      <c r="L3720">
        <v>209.68389999999999</v>
      </c>
      <c r="M3720">
        <v>0.72085279999999996</v>
      </c>
      <c r="N3720">
        <v>-1.5720649999999999E-2</v>
      </c>
      <c r="O3720">
        <v>-0.69290989999999997</v>
      </c>
      <c r="P3720">
        <v>0.18844279999999999</v>
      </c>
      <c r="Q3720">
        <v>-9.8595180000000004E-2</v>
      </c>
      <c r="R3720">
        <v>-0.97712270000000001</v>
      </c>
      <c r="S3720">
        <v>0.1309052</v>
      </c>
      <c r="T3720">
        <v>-0.2790899</v>
      </c>
      <c r="U3720">
        <v>-3.0292210000000002</v>
      </c>
      <c r="V3720">
        <v>0.57217510000000005</v>
      </c>
      <c r="W3720">
        <v>-9.6391030000000003E-2</v>
      </c>
      <c r="X3720">
        <v>0.81444729999999999</v>
      </c>
      <c r="Y3720">
        <v>0.68917759999999995</v>
      </c>
      <c r="Z3720">
        <v>2.1764329999999998E-2</v>
      </c>
      <c r="AA3720">
        <v>0.72426550000000001</v>
      </c>
      <c r="AB3720">
        <v>17</v>
      </c>
      <c r="AC3720">
        <v>0.29640000000000499</v>
      </c>
      <c r="AD3720">
        <v>-1.1136116579069999</v>
      </c>
      <c r="AE3720">
        <v>-11.829099999999899</v>
      </c>
      <c r="AF3720">
        <v>8.2496220137420693</v>
      </c>
      <c r="AG3720">
        <v>-1.1136116579069999</v>
      </c>
      <c r="AH3720">
        <v>8.3373557894959998</v>
      </c>
      <c r="AI3720">
        <v>95.423730729678496</v>
      </c>
      <c r="AJ3720">
        <v>45.303052687117102</v>
      </c>
      <c r="AK3720">
        <v>11.7816762752541</v>
      </c>
      <c r="AL3720">
        <v>95.531387480232198</v>
      </c>
      <c r="AM3720">
        <v>54.910740179385598</v>
      </c>
      <c r="AN3720">
        <v>0.99999999010088003</v>
      </c>
    </row>
    <row r="3721" spans="1:40" x14ac:dyDescent="0.25">
      <c r="A3721" t="str">
        <f>"20190303154546065"</f>
        <v>20190303154546065</v>
      </c>
      <c r="B3721" t="str">
        <f>"1551599146054854"</f>
        <v>1551599146054854</v>
      </c>
      <c r="C3721" t="s">
        <v>40</v>
      </c>
      <c r="D3721">
        <v>5.4953799999999999</v>
      </c>
      <c r="E3721">
        <v>0.55211009999999905</v>
      </c>
      <c r="F3721" t="s">
        <v>41</v>
      </c>
      <c r="G3721">
        <v>-195.4462</v>
      </c>
      <c r="H3721" s="1">
        <v>-4.8159239999999997E-6</v>
      </c>
      <c r="I3721">
        <v>198.2998</v>
      </c>
      <c r="J3721">
        <v>-195.5438</v>
      </c>
      <c r="K3721">
        <v>1.1136839999999999</v>
      </c>
      <c r="L3721">
        <v>209.4907</v>
      </c>
      <c r="M3721">
        <v>0.70529600000000003</v>
      </c>
      <c r="N3721">
        <v>-1.5709649999999999E-2</v>
      </c>
      <c r="O3721">
        <v>-0.70873900000000001</v>
      </c>
      <c r="P3721">
        <v>0.16927729999999999</v>
      </c>
      <c r="Q3721">
        <v>-9.9785529999999997E-2</v>
      </c>
      <c r="R3721">
        <v>-0.98050400000000004</v>
      </c>
      <c r="S3721">
        <v>6.8893430000000005E-2</v>
      </c>
      <c r="T3721">
        <v>-0.2961086</v>
      </c>
      <c r="U3721">
        <v>-3.0270389999999998</v>
      </c>
      <c r="V3721">
        <v>0.56995830000000003</v>
      </c>
      <c r="W3721">
        <v>-9.7408209999999995E-2</v>
      </c>
      <c r="X3721">
        <v>0.81587940000000003</v>
      </c>
      <c r="Y3721">
        <v>0.68783090000000002</v>
      </c>
      <c r="Z3721">
        <v>2.6168170000000001E-2</v>
      </c>
      <c r="AA3721">
        <v>0.72539919999999902</v>
      </c>
      <c r="AB3721">
        <v>17</v>
      </c>
      <c r="AC3721">
        <v>9.7599999999999895E-2</v>
      </c>
      <c r="AD3721">
        <v>-1.1136888159239999</v>
      </c>
      <c r="AE3721">
        <v>-11.190899999999999</v>
      </c>
      <c r="AF3721">
        <v>7.7479611700967101</v>
      </c>
      <c r="AG3721">
        <v>-1.1136888159239999</v>
      </c>
      <c r="AH3721">
        <v>7.9227916865150796</v>
      </c>
      <c r="AI3721">
        <v>95.738902252780605</v>
      </c>
      <c r="AJ3721">
        <v>45.639192975961102</v>
      </c>
      <c r="AK3721">
        <v>11.1374069324934</v>
      </c>
      <c r="AL3721">
        <v>95.589943050849698</v>
      </c>
      <c r="AM3721">
        <v>55.062560390152399</v>
      </c>
      <c r="AN3721">
        <v>1.00000000922932</v>
      </c>
    </row>
    <row r="3722" spans="1:40" x14ac:dyDescent="0.25">
      <c r="A3722" t="str">
        <f>"20190303154546099"</f>
        <v>20190303154546099</v>
      </c>
      <c r="B3722" t="str">
        <f>"1551599146094870"</f>
        <v>1551599146094870</v>
      </c>
      <c r="C3722" t="s">
        <v>40</v>
      </c>
      <c r="D3722">
        <v>5.5532440000000003</v>
      </c>
      <c r="E3722">
        <v>0.54939680000000002</v>
      </c>
      <c r="F3722" t="s">
        <v>41</v>
      </c>
      <c r="G3722">
        <v>-195.2209</v>
      </c>
      <c r="H3722" s="1">
        <v>-5.1927009999999997E-6</v>
      </c>
      <c r="I3722">
        <v>199.52440000000001</v>
      </c>
      <c r="J3722">
        <v>-195.37020000000001</v>
      </c>
      <c r="K3722">
        <v>1.113764</v>
      </c>
      <c r="L3722">
        <v>209.27289999999999</v>
      </c>
      <c r="M3722">
        <v>0.68773969999999995</v>
      </c>
      <c r="N3722">
        <v>-1.56916E-2</v>
      </c>
      <c r="O3722">
        <v>-0.72578809999999905</v>
      </c>
      <c r="P3722">
        <v>0.151882399999999</v>
      </c>
      <c r="Q3722">
        <v>-0.10129639999999999</v>
      </c>
      <c r="R3722">
        <v>-0.98319460000000003</v>
      </c>
      <c r="S3722">
        <v>9.747314E-2</v>
      </c>
      <c r="T3722">
        <v>-0.33619640000000001</v>
      </c>
      <c r="U3722">
        <v>-3.008591</v>
      </c>
      <c r="V3722">
        <v>0.56432740000000003</v>
      </c>
      <c r="W3722">
        <v>-9.8652790000000004E-2</v>
      </c>
      <c r="X3722">
        <v>0.81963549999999996</v>
      </c>
      <c r="Y3722">
        <v>0.66259860000000004</v>
      </c>
      <c r="Z3722">
        <v>3.6298740000000003E-2</v>
      </c>
      <c r="AA3722">
        <v>0.74809459999999905</v>
      </c>
      <c r="AB3722">
        <v>17</v>
      </c>
      <c r="AC3722">
        <v>0.14930000000001001</v>
      </c>
      <c r="AD3722">
        <v>-1.1137691927010001</v>
      </c>
      <c r="AE3722">
        <v>-9.7484999999999804</v>
      </c>
      <c r="AF3722">
        <v>6.5119001321652403</v>
      </c>
      <c r="AG3722">
        <v>-1.1137691927010001</v>
      </c>
      <c r="AH3722">
        <v>7.0864285398125499</v>
      </c>
      <c r="AI3722">
        <v>96.601343957367902</v>
      </c>
      <c r="AJ3722">
        <v>47.419303713938199</v>
      </c>
      <c r="AK3722">
        <v>9.6882813024691501</v>
      </c>
      <c r="AL3722">
        <v>95.661597019810301</v>
      </c>
      <c r="AM3722">
        <v>55.452192378364998</v>
      </c>
      <c r="AN3722">
        <v>1.0000000701128899</v>
      </c>
    </row>
    <row r="3723" spans="1:40" x14ac:dyDescent="0.25">
      <c r="A3723" t="str">
        <f>"20190303154546125"</f>
        <v>20190303154546125</v>
      </c>
      <c r="B3723" t="str">
        <f>"1551599146114391"</f>
        <v>1551599146114391</v>
      </c>
      <c r="C3723" t="s">
        <v>40</v>
      </c>
      <c r="D3723">
        <v>5.4913410000000002</v>
      </c>
      <c r="E3723">
        <v>0.54889390000000005</v>
      </c>
      <c r="F3723" t="s">
        <v>41</v>
      </c>
      <c r="G3723">
        <v>-195.15469999999999</v>
      </c>
      <c r="H3723" s="1">
        <v>-5.1247920000000002E-6</v>
      </c>
      <c r="I3723">
        <v>199.35929999999999</v>
      </c>
      <c r="J3723">
        <v>-195.24959999999999</v>
      </c>
      <c r="K3723">
        <v>1.1138239999999999</v>
      </c>
      <c r="L3723">
        <v>209.1147</v>
      </c>
      <c r="M3723">
        <v>0.67497419999999997</v>
      </c>
      <c r="N3723">
        <v>-1.5675970000000001E-2</v>
      </c>
      <c r="O3723">
        <v>-0.73767469999999902</v>
      </c>
      <c r="P3723">
        <v>0.13876949999999999</v>
      </c>
      <c r="Q3723">
        <v>-0.1021769</v>
      </c>
      <c r="R3723">
        <v>-0.98503969999999996</v>
      </c>
      <c r="S3723">
        <v>6.5353389999999997E-2</v>
      </c>
      <c r="T3723">
        <v>-0.33776080000000003</v>
      </c>
      <c r="U3723">
        <v>-3.0063780000000002</v>
      </c>
      <c r="V3723">
        <v>0.56088859999999996</v>
      </c>
      <c r="W3723">
        <v>-9.9368209999999998E-2</v>
      </c>
      <c r="X3723">
        <v>0.82190629999999998</v>
      </c>
      <c r="Y3723">
        <v>0.65752880000000002</v>
      </c>
      <c r="Z3723">
        <v>3.8694340000000001E-2</v>
      </c>
      <c r="AA3723">
        <v>0.75243509999999902</v>
      </c>
      <c r="AB3723">
        <v>17</v>
      </c>
      <c r="AC3723">
        <v>9.4899999999995502E-2</v>
      </c>
      <c r="AD3723">
        <v>-1.113829124792</v>
      </c>
      <c r="AE3723">
        <v>-9.7553999999999998</v>
      </c>
      <c r="AF3723">
        <v>6.4316040310253202</v>
      </c>
      <c r="AG3723">
        <v>-1.113829124792</v>
      </c>
      <c r="AH3723">
        <v>7.1678279955857596</v>
      </c>
      <c r="AI3723">
        <v>96.597426940620096</v>
      </c>
      <c r="AJ3723">
        <v>48.098760992528597</v>
      </c>
      <c r="AK3723">
        <v>9.6945295865987795</v>
      </c>
      <c r="AL3723">
        <v>95.702790289466506</v>
      </c>
      <c r="AM3723">
        <v>55.689433583244998</v>
      </c>
      <c r="AN3723">
        <v>1.0000000143741199</v>
      </c>
    </row>
    <row r="3724" spans="1:40" x14ac:dyDescent="0.25">
      <c r="A3724" t="str">
        <f>"20190303154546146"</f>
        <v>20190303154546146</v>
      </c>
      <c r="B3724" t="str">
        <f>"1551599146144646"</f>
        <v>1551599146144646</v>
      </c>
      <c r="C3724" t="s">
        <v>40</v>
      </c>
      <c r="D3724">
        <v>5.504982</v>
      </c>
      <c r="E3724">
        <v>0.54893649999999905</v>
      </c>
      <c r="F3724" t="s">
        <v>41</v>
      </c>
      <c r="G3724">
        <v>-195.15190000000001</v>
      </c>
      <c r="H3724" s="1">
        <v>-5.0404309999999999E-6</v>
      </c>
      <c r="I3724">
        <v>199.1129</v>
      </c>
      <c r="J3724">
        <v>-195.14009999999999</v>
      </c>
      <c r="K3724">
        <v>1.1138779999999999</v>
      </c>
      <c r="L3724">
        <v>208.96600000000001</v>
      </c>
      <c r="M3724">
        <v>0.66297950000000005</v>
      </c>
      <c r="N3724">
        <v>-1.5658760000000001E-2</v>
      </c>
      <c r="O3724">
        <v>-0.74847379999999997</v>
      </c>
      <c r="P3724">
        <v>0.12781619999999999</v>
      </c>
      <c r="Q3724">
        <v>-0.1019413</v>
      </c>
      <c r="R3724">
        <v>-0.98654500000000001</v>
      </c>
      <c r="S3724">
        <v>2.9357910000000001E-2</v>
      </c>
      <c r="T3724">
        <v>-0.33483560000000001</v>
      </c>
      <c r="U3724">
        <v>-3.0067140000000001</v>
      </c>
      <c r="V3724">
        <v>0.5567896</v>
      </c>
      <c r="W3724">
        <v>-9.8950040000000003E-2</v>
      </c>
      <c r="X3724">
        <v>0.82473890000000005</v>
      </c>
      <c r="Y3724">
        <v>0.65442409999999995</v>
      </c>
      <c r="Z3724">
        <v>4.0041180000000003E-2</v>
      </c>
      <c r="AA3724">
        <v>0.75506680000000004</v>
      </c>
      <c r="AB3724">
        <v>17</v>
      </c>
      <c r="AC3724">
        <v>-1.1800000000022201E-2</v>
      </c>
      <c r="AD3724">
        <v>-1.1138830404310001</v>
      </c>
      <c r="AE3724">
        <v>-9.85309999999998</v>
      </c>
      <c r="AF3724">
        <v>6.4594846723190402</v>
      </c>
      <c r="AG3724">
        <v>-1.1138830404310001</v>
      </c>
      <c r="AH3724">
        <v>7.2748936711752696</v>
      </c>
      <c r="AI3724">
        <v>96.531563645674595</v>
      </c>
      <c r="AJ3724">
        <v>48.3976578146017</v>
      </c>
      <c r="AK3724">
        <v>9.7923314683782294</v>
      </c>
      <c r="AL3724">
        <v>95.678712265523501</v>
      </c>
      <c r="AM3724">
        <v>55.976314666386799</v>
      </c>
      <c r="AN3724">
        <v>1.00000001112868</v>
      </c>
    </row>
    <row r="3725" spans="1:40" x14ac:dyDescent="0.25">
      <c r="A3725" t="str">
        <f>"20190303154546169"</f>
        <v>20190303154546169</v>
      </c>
      <c r="B3725" t="str">
        <f>"1551599146165142"</f>
        <v>1551599146165142</v>
      </c>
      <c r="C3725" t="s">
        <v>40</v>
      </c>
      <c r="D3725">
        <v>5.4912400000000003</v>
      </c>
      <c r="E3725">
        <v>0.54869999999999997</v>
      </c>
      <c r="F3725" t="s">
        <v>41</v>
      </c>
      <c r="G3725">
        <v>-195.15389999999999</v>
      </c>
      <c r="H3725" s="1">
        <v>-4.8792330000000001E-6</v>
      </c>
      <c r="I3725">
        <v>198.63820000000001</v>
      </c>
      <c r="J3725">
        <v>-195.04</v>
      </c>
      <c r="K3725">
        <v>1.113926</v>
      </c>
      <c r="L3725">
        <v>208.82579999999999</v>
      </c>
      <c r="M3725">
        <v>0.65165640000000002</v>
      </c>
      <c r="N3725">
        <v>-1.5640589999999999E-2</v>
      </c>
      <c r="O3725">
        <v>-0.75835299999999894</v>
      </c>
      <c r="P3725">
        <v>0.1174423</v>
      </c>
      <c r="Q3725">
        <v>-0.1021672</v>
      </c>
      <c r="R3725">
        <v>-0.98781050000000004</v>
      </c>
      <c r="S3725">
        <v>-4.0130620000000004E-3</v>
      </c>
      <c r="T3725">
        <v>-0.32441219999999998</v>
      </c>
      <c r="U3725">
        <v>-3.0079349999999998</v>
      </c>
      <c r="V3725">
        <v>0.55305799999999905</v>
      </c>
      <c r="W3725">
        <v>-9.9009180000000002E-2</v>
      </c>
      <c r="X3725">
        <v>0.8272389</v>
      </c>
      <c r="Y3725">
        <v>0.651524199999999</v>
      </c>
      <c r="Z3725">
        <v>3.9920369999999997E-2</v>
      </c>
      <c r="AA3725">
        <v>0.75757680000000005</v>
      </c>
      <c r="AB3725">
        <v>17</v>
      </c>
      <c r="AC3725">
        <v>-0.1139</v>
      </c>
      <c r="AD3725">
        <v>-1.113930879233</v>
      </c>
      <c r="AE3725">
        <v>-10.1875999999999</v>
      </c>
      <c r="AF3725">
        <v>6.6465600761865202</v>
      </c>
      <c r="AG3725">
        <v>-1.113930879233</v>
      </c>
      <c r="AH3725">
        <v>7.5621110081002696</v>
      </c>
      <c r="AI3725">
        <v>96.313640538681696</v>
      </c>
      <c r="AJ3725">
        <v>48.686817961354798</v>
      </c>
      <c r="AK3725">
        <v>10.129320102992899</v>
      </c>
      <c r="AL3725">
        <v>95.682117047324496</v>
      </c>
      <c r="AM3725">
        <v>56.234936701200603</v>
      </c>
      <c r="AN3725">
        <v>1.0000000833807301</v>
      </c>
    </row>
    <row r="3726" spans="1:40" x14ac:dyDescent="0.25">
      <c r="A3726" t="str">
        <f>"20190303154546191"</f>
        <v>20190303154546191</v>
      </c>
      <c r="B3726" t="str">
        <f>"1551599146184662"</f>
        <v>1551599146184662</v>
      </c>
      <c r="C3726" t="s">
        <v>40</v>
      </c>
      <c r="D3726">
        <v>5.5076010000000002</v>
      </c>
      <c r="E3726">
        <v>0.54845189999999999</v>
      </c>
      <c r="F3726" t="s">
        <v>41</v>
      </c>
      <c r="G3726">
        <v>-195.1574</v>
      </c>
      <c r="H3726" s="1">
        <v>-4.7814459999999997E-6</v>
      </c>
      <c r="I3726">
        <v>198.34899999999999</v>
      </c>
      <c r="J3726">
        <v>-194.93780000000001</v>
      </c>
      <c r="K3726">
        <v>1.1139939999999999</v>
      </c>
      <c r="L3726">
        <v>208.67789999999999</v>
      </c>
      <c r="M3726">
        <v>0.63972289999999998</v>
      </c>
      <c r="N3726">
        <v>-1.5619310000000001E-2</v>
      </c>
      <c r="O3726">
        <v>-0.76844699999999999</v>
      </c>
      <c r="P3726">
        <v>0.106326</v>
      </c>
      <c r="Q3726">
        <v>-0.1023912</v>
      </c>
      <c r="R3726">
        <v>-0.98904579999999997</v>
      </c>
      <c r="S3726">
        <v>-3.3691409999999998E-2</v>
      </c>
      <c r="T3726">
        <v>-0.31981609999999899</v>
      </c>
      <c r="U3726">
        <v>-3.0079349999999998</v>
      </c>
      <c r="V3726">
        <v>0.54942829999999998</v>
      </c>
      <c r="W3726">
        <v>-9.9064379999999994E-2</v>
      </c>
      <c r="X3726">
        <v>0.82964740000000003</v>
      </c>
      <c r="Y3726">
        <v>0.64718980000000004</v>
      </c>
      <c r="Z3726">
        <v>4.0854880000000003E-2</v>
      </c>
      <c r="AA3726">
        <v>0.76123339999999995</v>
      </c>
      <c r="AB3726">
        <v>17</v>
      </c>
      <c r="AC3726">
        <v>-0.219599999999985</v>
      </c>
      <c r="AD3726">
        <v>-1.113998781446</v>
      </c>
      <c r="AE3726">
        <v>-10.3288999999999</v>
      </c>
      <c r="AF3726">
        <v>6.6993185795876897</v>
      </c>
      <c r="AG3726">
        <v>-1.113998781446</v>
      </c>
      <c r="AH3726">
        <v>7.7080586890051697</v>
      </c>
      <c r="AI3726">
        <v>96.225321769683106</v>
      </c>
      <c r="AJ3726">
        <v>49.005058222574199</v>
      </c>
      <c r="AK3726">
        <v>10.2730731268214</v>
      </c>
      <c r="AL3726">
        <v>95.685295827985797</v>
      </c>
      <c r="AM3726">
        <v>56.485755829202397</v>
      </c>
      <c r="AN3726">
        <v>1.0000000082762099</v>
      </c>
    </row>
    <row r="3727" spans="1:40" x14ac:dyDescent="0.25">
      <c r="A3727" t="str">
        <f>"20190303154546213"</f>
        <v>20190303154546213</v>
      </c>
      <c r="B3727" t="str">
        <f>"1551599146205158"</f>
        <v>1551599146205158</v>
      </c>
      <c r="C3727" t="s">
        <v>40</v>
      </c>
      <c r="D3727">
        <v>5.5410649999999997</v>
      </c>
      <c r="E3727">
        <v>0.54788190000000003</v>
      </c>
      <c r="F3727" t="s">
        <v>41</v>
      </c>
      <c r="G3727">
        <v>-195.16829999999999</v>
      </c>
      <c r="H3727" s="1">
        <v>-4.6931150000000002E-6</v>
      </c>
      <c r="I3727">
        <v>198.0838</v>
      </c>
      <c r="J3727">
        <v>-194.8382</v>
      </c>
      <c r="K3727">
        <v>1.114061</v>
      </c>
      <c r="L3727">
        <v>208.529</v>
      </c>
      <c r="M3727">
        <v>0.62772879999999998</v>
      </c>
      <c r="N3727">
        <v>-1.5595639999999999E-2</v>
      </c>
      <c r="O3727">
        <v>-0.77827609999999903</v>
      </c>
      <c r="P3727">
        <v>9.5231590000000005E-2</v>
      </c>
      <c r="Q3727">
        <v>-0.1029895</v>
      </c>
      <c r="R3727">
        <v>-0.99011340000000003</v>
      </c>
      <c r="S3727">
        <v>-6.5429689999999999E-2</v>
      </c>
      <c r="T3727">
        <v>-0.31624930000000001</v>
      </c>
      <c r="U3727">
        <v>-3.0075229999999999</v>
      </c>
      <c r="V3727">
        <v>0.54583190000000004</v>
      </c>
      <c r="W3727">
        <v>-9.9491679999999999E-2</v>
      </c>
      <c r="X3727">
        <v>0.83196689999999995</v>
      </c>
      <c r="Y3727">
        <v>0.64344159999999995</v>
      </c>
      <c r="Z3727">
        <v>4.1864499999999999E-2</v>
      </c>
      <c r="AA3727">
        <v>0.76434950000000002</v>
      </c>
      <c r="AB3727">
        <v>17</v>
      </c>
      <c r="AC3727">
        <v>-0.33009999999998701</v>
      </c>
      <c r="AD3727">
        <v>-1.1140656931149999</v>
      </c>
      <c r="AE3727">
        <v>-10.4452</v>
      </c>
      <c r="AF3727">
        <v>6.7379155716819401</v>
      </c>
      <c r="AG3727">
        <v>-1.1140656931149999</v>
      </c>
      <c r="AH3727">
        <v>7.8339684164385703</v>
      </c>
      <c r="AI3727">
        <v>96.153656812788896</v>
      </c>
      <c r="AJ3727">
        <v>49.301514604398498</v>
      </c>
      <c r="AK3727">
        <v>10.3928682166881</v>
      </c>
      <c r="AL3727">
        <v>95.709899969361004</v>
      </c>
      <c r="AM3727">
        <v>56.732158785950297</v>
      </c>
      <c r="AN3727">
        <v>0.99999999007122098</v>
      </c>
    </row>
    <row r="3728" spans="1:40" x14ac:dyDescent="0.25">
      <c r="A3728" t="str">
        <f>"20190303154546239"</f>
        <v>20190303154546239</v>
      </c>
      <c r="B3728" t="str">
        <f>"1551599146234438"</f>
        <v>1551599146234438</v>
      </c>
      <c r="C3728" t="s">
        <v>40</v>
      </c>
      <c r="D3728">
        <v>5.3208310000000001</v>
      </c>
      <c r="E3728">
        <v>0.54741139999999999</v>
      </c>
      <c r="F3728" t="s">
        <v>41</v>
      </c>
      <c r="G3728">
        <v>-195.1721</v>
      </c>
      <c r="H3728" s="1">
        <v>-4.638823E-6</v>
      </c>
      <c r="I3728">
        <v>197.9222</v>
      </c>
      <c r="J3728">
        <v>-194.72980000000001</v>
      </c>
      <c r="K3728">
        <v>1.114147</v>
      </c>
      <c r="L3728">
        <v>208.3614</v>
      </c>
      <c r="M3728">
        <v>0.61425109999999905</v>
      </c>
      <c r="N3728">
        <v>-1.5565850000000001E-2</v>
      </c>
      <c r="O3728">
        <v>-0.78895740000000003</v>
      </c>
      <c r="P3728">
        <v>8.2419549999999994E-2</v>
      </c>
      <c r="Q3728">
        <v>-0.1042802</v>
      </c>
      <c r="R3728">
        <v>-0.99112730000000004</v>
      </c>
      <c r="S3728">
        <v>-9.4635010000000006E-2</v>
      </c>
      <c r="T3728">
        <v>-0.31575409999999998</v>
      </c>
      <c r="U3728">
        <v>-3.0062410000000002</v>
      </c>
      <c r="V3728">
        <v>0.54219969999999995</v>
      </c>
      <c r="W3728">
        <v>-0.1005964</v>
      </c>
      <c r="X3728">
        <v>0.83420609999999995</v>
      </c>
      <c r="Y3728">
        <v>0.63772649999999997</v>
      </c>
      <c r="Z3728">
        <v>4.3662970000000002E-2</v>
      </c>
      <c r="AA3728">
        <v>0.76902440000000005</v>
      </c>
      <c r="AB3728">
        <v>17</v>
      </c>
      <c r="AC3728">
        <v>-0.44229999999998798</v>
      </c>
      <c r="AD3728">
        <v>-1.1141516388229999</v>
      </c>
      <c r="AE3728">
        <v>-10.4392</v>
      </c>
      <c r="AF3728">
        <v>6.6860406778790402</v>
      </c>
      <c r="AG3728">
        <v>-1.1141516388229999</v>
      </c>
      <c r="AH3728">
        <v>7.8758128868834696</v>
      </c>
      <c r="AI3728">
        <v>96.155243501750704</v>
      </c>
      <c r="AJ3728">
        <v>49.670960304493398</v>
      </c>
      <c r="AK3728">
        <v>10.3910010321308</v>
      </c>
      <c r="AL3728">
        <v>95.773514958661494</v>
      </c>
      <c r="AM3728">
        <v>56.977786902724397</v>
      </c>
      <c r="AN3728">
        <v>0.999999983825129</v>
      </c>
    </row>
    <row r="3729" spans="1:40" x14ac:dyDescent="0.25">
      <c r="A3729" t="str">
        <f>"20190303154546279"</f>
        <v>20190303154546279</v>
      </c>
      <c r="B3729" t="str">
        <f>"1551599146274454"</f>
        <v>1551599146274454</v>
      </c>
      <c r="C3729" t="s">
        <v>40</v>
      </c>
      <c r="D3729">
        <v>5.5751220000000004</v>
      </c>
      <c r="E3729">
        <v>0.54034780000000004</v>
      </c>
      <c r="F3729" t="s">
        <v>41</v>
      </c>
      <c r="G3729">
        <v>-195.18379999999999</v>
      </c>
      <c r="H3729" s="1">
        <v>-4.616423E-6</v>
      </c>
      <c r="I3729">
        <v>197.8503</v>
      </c>
      <c r="J3729">
        <v>-194.56319999999999</v>
      </c>
      <c r="K3729">
        <v>1.114304</v>
      </c>
      <c r="L3729">
        <v>208.09129999999999</v>
      </c>
      <c r="M3729">
        <v>0.59267209999999904</v>
      </c>
      <c r="N3729">
        <v>-1.5506610000000001E-2</v>
      </c>
      <c r="O3729">
        <v>-0.80529469999999903</v>
      </c>
      <c r="P3729">
        <v>6.8115519999999999E-2</v>
      </c>
      <c r="Q3729">
        <v>-0.10674989999999999</v>
      </c>
      <c r="R3729">
        <v>-0.99195029999999995</v>
      </c>
      <c r="S3729">
        <v>-0.12976070000000001</v>
      </c>
      <c r="T3729">
        <v>-0.31842979999999999</v>
      </c>
      <c r="U3729">
        <v>-3.0041350000000002</v>
      </c>
      <c r="V3729">
        <v>0.53147169999999999</v>
      </c>
      <c r="W3729">
        <v>-0.102617</v>
      </c>
      <c r="X3729">
        <v>0.84083739999999996</v>
      </c>
      <c r="Y3729">
        <v>0.62585029999999997</v>
      </c>
      <c r="Z3729">
        <v>4.7261339999999999E-2</v>
      </c>
      <c r="AA3729">
        <v>0.77851000000000004</v>
      </c>
      <c r="AB3729">
        <v>17</v>
      </c>
      <c r="AC3729">
        <v>-0.62059999999999504</v>
      </c>
      <c r="AD3729">
        <v>-1.1143086164230001</v>
      </c>
      <c r="AE3729">
        <v>-10.2409999999999</v>
      </c>
      <c r="AF3729">
        <v>6.4935126820751403</v>
      </c>
      <c r="AG3729">
        <v>-1.1143086164230001</v>
      </c>
      <c r="AH3729">
        <v>7.7882867582363904</v>
      </c>
      <c r="AI3729">
        <v>96.271098897991607</v>
      </c>
      <c r="AJ3729">
        <v>50.1802185600652</v>
      </c>
      <c r="AK3729">
        <v>10.2012156762527</v>
      </c>
      <c r="AL3729">
        <v>95.889889163131897</v>
      </c>
      <c r="AM3729">
        <v>57.704072119443701</v>
      </c>
      <c r="AN3729">
        <v>0.99999997491432402</v>
      </c>
    </row>
    <row r="3730" spans="1:40" x14ac:dyDescent="0.25">
      <c r="A3730" t="str">
        <f>"20190303154546301"</f>
        <v>20190303154546301</v>
      </c>
      <c r="B3730" t="str">
        <f>"1551599146294950"</f>
        <v>1551599146294950</v>
      </c>
      <c r="C3730" t="s">
        <v>40</v>
      </c>
      <c r="D3730">
        <v>5.4749470000000002</v>
      </c>
      <c r="E3730">
        <v>0.53783429999999999</v>
      </c>
      <c r="F3730" t="s">
        <v>41</v>
      </c>
      <c r="G3730">
        <v>-194.94479999999999</v>
      </c>
      <c r="H3730" s="1">
        <v>-4.7418939999999997E-6</v>
      </c>
      <c r="I3730">
        <v>198.34360000000001</v>
      </c>
      <c r="J3730">
        <v>-194.47239999999999</v>
      </c>
      <c r="K3730">
        <v>1.1144099999999999</v>
      </c>
      <c r="L3730">
        <v>207.93719999999999</v>
      </c>
      <c r="M3730">
        <v>0.58045210000000003</v>
      </c>
      <c r="N3730">
        <v>-1.546814E-2</v>
      </c>
      <c r="O3730">
        <v>-0.81414750000000002</v>
      </c>
      <c r="P3730">
        <v>6.0516460000000001E-2</v>
      </c>
      <c r="Q3730">
        <v>-0.1062988</v>
      </c>
      <c r="R3730">
        <v>-0.99249120000000002</v>
      </c>
      <c r="S3730">
        <v>-0.11724850000000001</v>
      </c>
      <c r="T3730">
        <v>-0.34243639999999997</v>
      </c>
      <c r="U3730">
        <v>-2.9955440000000002</v>
      </c>
      <c r="V3730">
        <v>0.52528069999999905</v>
      </c>
      <c r="W3730">
        <v>-0.1019043</v>
      </c>
      <c r="X3730">
        <v>0.84480509999999998</v>
      </c>
      <c r="Y3730">
        <v>0.61076229999999998</v>
      </c>
      <c r="Z3730">
        <v>5.443311E-2</v>
      </c>
      <c r="AA3730">
        <v>0.7899408</v>
      </c>
      <c r="AB3730">
        <v>17</v>
      </c>
      <c r="AC3730">
        <v>-0.47239999999999299</v>
      </c>
      <c r="AD3730">
        <v>-1.114414741894</v>
      </c>
      <c r="AE3730">
        <v>-9.5935999999999808</v>
      </c>
      <c r="AF3730">
        <v>5.87485897069761</v>
      </c>
      <c r="AG3730">
        <v>-1.114414741894</v>
      </c>
      <c r="AH3730">
        <v>7.4371891027210797</v>
      </c>
      <c r="AI3730">
        <v>96.706245455470395</v>
      </c>
      <c r="AJ3730">
        <v>51.693733143140498</v>
      </c>
      <c r="AK3730">
        <v>9.5429382211230003</v>
      </c>
      <c r="AL3730">
        <v>95.848839239263697</v>
      </c>
      <c r="AM3730">
        <v>58.127585871422603</v>
      </c>
      <c r="AN3730">
        <v>0.99999997856849399</v>
      </c>
    </row>
    <row r="3731" spans="1:40" x14ac:dyDescent="0.25">
      <c r="A3731" t="str">
        <f>"20190303154546324"</f>
        <v>20190303154546324</v>
      </c>
      <c r="B3731" t="str">
        <f>"1551599146314470"</f>
        <v>1551599146314470</v>
      </c>
      <c r="C3731" t="s">
        <v>40</v>
      </c>
      <c r="D3731">
        <v>5.4328379999999896</v>
      </c>
      <c r="E3731">
        <v>0.52631319999999904</v>
      </c>
      <c r="F3731" t="s">
        <v>41</v>
      </c>
      <c r="G3731">
        <v>-194.9556</v>
      </c>
      <c r="H3731" s="1">
        <v>-3.8489100000000004E-6</v>
      </c>
      <c r="I3731">
        <v>195.7139</v>
      </c>
      <c r="J3731">
        <v>-194.38509999999999</v>
      </c>
      <c r="K3731">
        <v>1.114511</v>
      </c>
      <c r="L3731">
        <v>207.78389999999999</v>
      </c>
      <c r="M3731">
        <v>0.56839790000000001</v>
      </c>
      <c r="N3731">
        <v>-1.542575E-2</v>
      </c>
      <c r="O3731">
        <v>-0.82260949999999899</v>
      </c>
      <c r="P3731">
        <v>5.3010000000000002E-2</v>
      </c>
      <c r="Q3731">
        <v>-0.1050799</v>
      </c>
      <c r="R3731">
        <v>-0.9930504</v>
      </c>
      <c r="S3731">
        <v>-0.1186218</v>
      </c>
      <c r="T3731">
        <v>-0.27357090000000001</v>
      </c>
      <c r="U3731">
        <v>-3.0006409999999999</v>
      </c>
      <c r="V3731">
        <v>0.51934460000000005</v>
      </c>
      <c r="W3731">
        <v>-0.1004234</v>
      </c>
      <c r="X3731">
        <v>0.84864379999999995</v>
      </c>
      <c r="Y3731">
        <v>0.59969259999999902</v>
      </c>
      <c r="Z3731">
        <v>4.1924669999999997E-2</v>
      </c>
      <c r="AA3731">
        <v>0.79913149999999999</v>
      </c>
      <c r="AB3731">
        <v>17</v>
      </c>
      <c r="AC3731">
        <v>-0.570500000000009</v>
      </c>
      <c r="AD3731">
        <v>-1.1145148489100001</v>
      </c>
      <c r="AE3731">
        <v>-12.069999999999901</v>
      </c>
      <c r="AF3731">
        <v>7.2688935937063999</v>
      </c>
      <c r="AG3731">
        <v>-1.1145148489100001</v>
      </c>
      <c r="AH3731">
        <v>9.5247370177615096</v>
      </c>
      <c r="AI3731">
        <v>95.314320423059996</v>
      </c>
      <c r="AJ3731">
        <v>52.650592628400297</v>
      </c>
      <c r="AK3731">
        <v>12.0332694095405</v>
      </c>
      <c r="AL3731">
        <v>95.763552325650096</v>
      </c>
      <c r="AM3731">
        <v>58.534615619688701</v>
      </c>
      <c r="AN3731">
        <v>0.99999998604758</v>
      </c>
    </row>
    <row r="3732" spans="1:40" x14ac:dyDescent="0.25">
      <c r="A3732" t="str">
        <f>"20190303154546345"</f>
        <v>20190303154546345</v>
      </c>
      <c r="B3732" t="str">
        <f>"1551599146334966"</f>
        <v>1551599146334966</v>
      </c>
      <c r="C3732" t="s">
        <v>40</v>
      </c>
      <c r="D3732">
        <v>5.4487819999999996</v>
      </c>
      <c r="E3732">
        <v>0.51841599999999999</v>
      </c>
      <c r="F3732" t="s">
        <v>41</v>
      </c>
      <c r="G3732">
        <v>-194.5882</v>
      </c>
      <c r="H3732" s="1">
        <v>-3.7082899999999999E-6</v>
      </c>
      <c r="I3732">
        <v>195.4922</v>
      </c>
      <c r="J3732">
        <v>-194.3032</v>
      </c>
      <c r="K3732">
        <v>1.114627</v>
      </c>
      <c r="L3732">
        <v>207.63570000000001</v>
      </c>
      <c r="M3732">
        <v>0.55684940000000005</v>
      </c>
      <c r="N3732">
        <v>-1.5380359999999999E-2</v>
      </c>
      <c r="O3732">
        <v>-0.83047119999999996</v>
      </c>
      <c r="P3732">
        <v>4.6788200000000002E-2</v>
      </c>
      <c r="Q3732">
        <v>-0.10598639999999999</v>
      </c>
      <c r="R3732">
        <v>-0.99326630000000005</v>
      </c>
      <c r="S3732">
        <v>-4.948425E-2</v>
      </c>
      <c r="T3732">
        <v>-0.27155230000000002</v>
      </c>
      <c r="U3732">
        <v>-2.994888</v>
      </c>
      <c r="V3732">
        <v>0.51276219999999995</v>
      </c>
      <c r="W3732">
        <v>-0.1010509</v>
      </c>
      <c r="X3732">
        <v>0.85256299999999996</v>
      </c>
      <c r="Y3732">
        <v>0.56982060000000001</v>
      </c>
      <c r="Z3732">
        <v>4.3885680000000003E-2</v>
      </c>
      <c r="AA3732">
        <v>0.82059649999999995</v>
      </c>
      <c r="AB3732">
        <v>17</v>
      </c>
      <c r="AC3732">
        <v>-0.28499999999999598</v>
      </c>
      <c r="AD3732">
        <v>-1.11463070829</v>
      </c>
      <c r="AE3732">
        <v>-12.1435</v>
      </c>
      <c r="AF3732">
        <v>6.9411644431153396</v>
      </c>
      <c r="AG3732">
        <v>-1.11463070829</v>
      </c>
      <c r="AH3732">
        <v>9.8444038025146394</v>
      </c>
      <c r="AI3732">
        <v>95.286847747735095</v>
      </c>
      <c r="AJ3732">
        <v>54.812820930312697</v>
      </c>
      <c r="AK3732">
        <v>12.0968777653242</v>
      </c>
      <c r="AL3732">
        <v>95.799689094187002</v>
      </c>
      <c r="AM3732">
        <v>58.9757782914564</v>
      </c>
      <c r="AN3732">
        <v>1.0000000135543201</v>
      </c>
    </row>
    <row r="3733" spans="1:40" x14ac:dyDescent="0.25">
      <c r="A3733" t="str">
        <f>"20190303154546369"</f>
        <v>20190303154546369</v>
      </c>
      <c r="B3733" t="str">
        <f>"1551599146364246"</f>
        <v>1551599146364246</v>
      </c>
      <c r="C3733" t="s">
        <v>40</v>
      </c>
      <c r="D3733">
        <v>5.4219730000000004</v>
      </c>
      <c r="E3733">
        <v>0.51161219999999996</v>
      </c>
      <c r="F3733" t="s">
        <v>41</v>
      </c>
      <c r="G3733">
        <v>-194.32470000000001</v>
      </c>
      <c r="H3733" s="1">
        <v>-3.7520339999999999E-6</v>
      </c>
      <c r="I3733">
        <v>195.75810000000001</v>
      </c>
      <c r="J3733">
        <v>-194.21700000000001</v>
      </c>
      <c r="K3733">
        <v>1.1147499999999999</v>
      </c>
      <c r="L3733">
        <v>207.47460000000001</v>
      </c>
      <c r="M3733">
        <v>0.54442009999999996</v>
      </c>
      <c r="N3733">
        <v>-1.532763E-2</v>
      </c>
      <c r="O3733">
        <v>-0.83867269999999905</v>
      </c>
      <c r="P3733">
        <v>4.0591229999999999E-2</v>
      </c>
      <c r="Q3733">
        <v>-0.10851089999999999</v>
      </c>
      <c r="R3733">
        <v>-0.99326630000000005</v>
      </c>
      <c r="S3733">
        <v>-5.4168699999999998E-3</v>
      </c>
      <c r="T3733">
        <v>-0.2806515</v>
      </c>
      <c r="U3733">
        <v>-2.9906459999999999</v>
      </c>
      <c r="V3733">
        <v>0.50522270000000002</v>
      </c>
      <c r="W3733">
        <v>-0.1032758</v>
      </c>
      <c r="X3733">
        <v>0.85678709999999902</v>
      </c>
      <c r="Y3733">
        <v>0.5452998</v>
      </c>
      <c r="Z3733">
        <v>4.8026890000000003E-2</v>
      </c>
      <c r="AA3733">
        <v>0.83686419999999995</v>
      </c>
      <c r="AB3733">
        <v>17</v>
      </c>
      <c r="AC3733">
        <v>-0.10769999999999399</v>
      </c>
      <c r="AD3733">
        <v>-1.1147537520339901</v>
      </c>
      <c r="AE3733">
        <v>-11.7164999999999</v>
      </c>
      <c r="AF3733">
        <v>6.4117463637280503</v>
      </c>
      <c r="AG3733">
        <v>-1.1147537520339901</v>
      </c>
      <c r="AH3733">
        <v>9.6811915678190203</v>
      </c>
      <c r="AI3733">
        <v>95.483651201325699</v>
      </c>
      <c r="AJ3733">
        <v>56.483930682873002</v>
      </c>
      <c r="AK3733">
        <v>11.665274858881901</v>
      </c>
      <c r="AL3733">
        <v>95.927837090376102</v>
      </c>
      <c r="AM3733">
        <v>59.473370412967803</v>
      </c>
      <c r="AN3733">
        <v>1.0000000010936601</v>
      </c>
    </row>
    <row r="3734" spans="1:40" x14ac:dyDescent="0.25">
      <c r="A3734" t="str">
        <f>"20190303154546390"</f>
        <v>20190303154546390</v>
      </c>
      <c r="B3734" t="str">
        <f>"1551599146384742"</f>
        <v>1551599146384742</v>
      </c>
      <c r="C3734" t="s">
        <v>40</v>
      </c>
      <c r="D3734">
        <v>5.4346389999999998</v>
      </c>
      <c r="E3734">
        <v>0.5087777</v>
      </c>
      <c r="F3734" t="s">
        <v>41</v>
      </c>
      <c r="G3734">
        <v>-194.10419999999999</v>
      </c>
      <c r="H3734" s="1">
        <v>-3.8775849999999997E-6</v>
      </c>
      <c r="I3734">
        <v>196.24189999999999</v>
      </c>
      <c r="J3734">
        <v>-194.13659999999999</v>
      </c>
      <c r="K3734">
        <v>1.114852</v>
      </c>
      <c r="L3734">
        <v>207.31950000000001</v>
      </c>
      <c r="M3734">
        <v>0.53256289999999995</v>
      </c>
      <c r="N3734">
        <v>-1.5275250000000001E-2</v>
      </c>
      <c r="O3734">
        <v>-0.84625269999999997</v>
      </c>
      <c r="P3734">
        <v>3.646812E-2</v>
      </c>
      <c r="Q3734">
        <v>-0.1116307</v>
      </c>
      <c r="R3734">
        <v>-0.99308059999999998</v>
      </c>
      <c r="S3734">
        <v>2.998352E-2</v>
      </c>
      <c r="T3734">
        <v>-0.29640660000000002</v>
      </c>
      <c r="U3734">
        <v>-2.98671</v>
      </c>
      <c r="V3734">
        <v>0.49651119999999999</v>
      </c>
      <c r="W3734">
        <v>-0.1060832</v>
      </c>
      <c r="X3734">
        <v>0.86152359999999994</v>
      </c>
      <c r="Y3734">
        <v>0.52341859999999996</v>
      </c>
      <c r="Z3734">
        <v>5.3578849999999997E-2</v>
      </c>
      <c r="AA3734">
        <v>0.85038950000000002</v>
      </c>
      <c r="AB3734">
        <v>17</v>
      </c>
      <c r="AC3734">
        <v>3.2399999999995502E-2</v>
      </c>
      <c r="AD3734">
        <v>-1.1148558775849999</v>
      </c>
      <c r="AE3734">
        <v>-11.0776</v>
      </c>
      <c r="AF3734">
        <v>5.8138990769002596</v>
      </c>
      <c r="AG3734">
        <v>-1.1148558775849999</v>
      </c>
      <c r="AH3734">
        <v>9.2986184007312396</v>
      </c>
      <c r="AI3734">
        <v>95.804716117000197</v>
      </c>
      <c r="AJ3734">
        <v>57.984592586915497</v>
      </c>
      <c r="AK3734">
        <v>11.023095312414901</v>
      </c>
      <c r="AL3734">
        <v>96.089578138807894</v>
      </c>
      <c r="AM3734">
        <v>60.044396206360098</v>
      </c>
      <c r="AN3734">
        <v>0.99999996520231904</v>
      </c>
    </row>
    <row r="3735" spans="1:40" x14ac:dyDescent="0.25">
      <c r="A3735" t="str">
        <f>"20190303154546414"</f>
        <v>20190303154546414</v>
      </c>
      <c r="B3735" t="str">
        <f>"1551599146404262"</f>
        <v>1551599146404262</v>
      </c>
      <c r="C3735" t="s">
        <v>40</v>
      </c>
      <c r="D3735">
        <v>5.4409580000000002</v>
      </c>
      <c r="E3735">
        <v>0.50664529999999997</v>
      </c>
      <c r="F3735" t="s">
        <v>41</v>
      </c>
      <c r="G3735">
        <v>-193.99119999999999</v>
      </c>
      <c r="H3735" s="1">
        <v>-3.9503119999999996E-6</v>
      </c>
      <c r="I3735">
        <v>196.5146</v>
      </c>
      <c r="J3735">
        <v>-194.05629999999999</v>
      </c>
      <c r="K3735">
        <v>1.1149690000000001</v>
      </c>
      <c r="L3735">
        <v>207.15950000000001</v>
      </c>
      <c r="M3735">
        <v>0.5204763</v>
      </c>
      <c r="N3735">
        <v>-1.5220060000000001E-2</v>
      </c>
      <c r="O3735">
        <v>-0.85374059999999896</v>
      </c>
      <c r="P3735">
        <v>3.2735019999999997E-2</v>
      </c>
      <c r="Q3735">
        <v>-0.1136708</v>
      </c>
      <c r="R3735">
        <v>-0.99297930000000001</v>
      </c>
      <c r="S3735">
        <v>4.0176389999999999E-2</v>
      </c>
      <c r="T3735">
        <v>-0.30797479999999999</v>
      </c>
      <c r="U3735">
        <v>-2.9848180000000002</v>
      </c>
      <c r="V3735">
        <v>0.48737249999999999</v>
      </c>
      <c r="W3735">
        <v>-0.1078008</v>
      </c>
      <c r="X3735">
        <v>0.86651429999999996</v>
      </c>
      <c r="Y3735">
        <v>0.50832749999999904</v>
      </c>
      <c r="Z3735">
        <v>5.7977109999999998E-2</v>
      </c>
      <c r="AA3735">
        <v>0.85921000000000003</v>
      </c>
      <c r="AB3735">
        <v>17</v>
      </c>
      <c r="AC3735">
        <v>6.5100000000001004E-2</v>
      </c>
      <c r="AD3735">
        <v>-1.1149729503120001</v>
      </c>
      <c r="AE3735">
        <v>-10.6449</v>
      </c>
      <c r="AF3735">
        <v>5.4259486269282799</v>
      </c>
      <c r="AG3735">
        <v>-1.1149729503120001</v>
      </c>
      <c r="AH3735">
        <v>9.0239243382529803</v>
      </c>
      <c r="AI3735">
        <v>96.044500437701501</v>
      </c>
      <c r="AJ3735">
        <v>58.982146086527997</v>
      </c>
      <c r="AK3735">
        <v>10.5884509558531</v>
      </c>
      <c r="AL3735">
        <v>96.188556792775799</v>
      </c>
      <c r="AM3735">
        <v>60.644345770491597</v>
      </c>
      <c r="AN3735">
        <v>0.99999999917068905</v>
      </c>
    </row>
    <row r="3736" spans="1:40" x14ac:dyDescent="0.25">
      <c r="A3736" t="str">
        <f>"20190303154546449"</f>
        <v>20190303154546449</v>
      </c>
      <c r="B3736" t="str">
        <f>"1551599146444279"</f>
        <v>1551599146444279</v>
      </c>
      <c r="C3736" t="s">
        <v>40</v>
      </c>
      <c r="D3736">
        <v>5.4301059999999897</v>
      </c>
      <c r="E3736">
        <v>0.50353769999999998</v>
      </c>
      <c r="F3736" t="s">
        <v>41</v>
      </c>
      <c r="G3736">
        <v>-193.8955</v>
      </c>
      <c r="H3736" s="1">
        <v>-3.9789470000000004E-6</v>
      </c>
      <c r="I3736">
        <v>196.64859999999999</v>
      </c>
      <c r="J3736">
        <v>-193.9383</v>
      </c>
      <c r="K3736">
        <v>1.115192</v>
      </c>
      <c r="L3736">
        <v>206.91480000000001</v>
      </c>
      <c r="M3736">
        <v>0.50233249999999996</v>
      </c>
      <c r="N3736">
        <v>-1.5128819999999999E-2</v>
      </c>
      <c r="O3736">
        <v>-0.86454219999999904</v>
      </c>
      <c r="P3736">
        <v>2.6229479999999999E-2</v>
      </c>
      <c r="Q3736">
        <v>-0.11165310000000001</v>
      </c>
      <c r="R3736">
        <v>-0.99340099999999998</v>
      </c>
      <c r="S3736">
        <v>4.5639039999999999E-2</v>
      </c>
      <c r="T3736">
        <v>-0.3164824</v>
      </c>
      <c r="U3736">
        <v>-2.9834900000000002</v>
      </c>
      <c r="V3736">
        <v>0.47492440000000002</v>
      </c>
      <c r="W3736">
        <v>-0.1053149</v>
      </c>
      <c r="X3736">
        <v>0.87370219999999899</v>
      </c>
      <c r="Y3736">
        <v>0.48847170000000001</v>
      </c>
      <c r="Z3736">
        <v>6.2416369999999999E-2</v>
      </c>
      <c r="AA3736">
        <v>0.87034449999999997</v>
      </c>
      <c r="AB3736">
        <v>17</v>
      </c>
      <c r="AC3736">
        <v>4.2799999999999699E-2</v>
      </c>
      <c r="AD3736">
        <v>-1.1151959789470001</v>
      </c>
      <c r="AE3736">
        <v>-10.2662</v>
      </c>
      <c r="AF3736">
        <v>5.0609116028092602</v>
      </c>
      <c r="AG3736">
        <v>-1.1151959789470001</v>
      </c>
      <c r="AH3736">
        <v>8.7943098807089299</v>
      </c>
      <c r="AI3736">
        <v>96.272133124935706</v>
      </c>
      <c r="AJ3736">
        <v>60.080619219229497</v>
      </c>
      <c r="AK3736">
        <v>10.2076625434446</v>
      </c>
      <c r="AL3736">
        <v>96.045309750955198</v>
      </c>
      <c r="AM3736">
        <v>61.472515270340203</v>
      </c>
      <c r="AN3736">
        <v>0.99999997408110397</v>
      </c>
    </row>
    <row r="3737" spans="1:40" x14ac:dyDescent="0.25">
      <c r="A3737" t="str">
        <f>"20190303154546476"</f>
        <v>20190303154546476</v>
      </c>
      <c r="B3737" t="str">
        <f>"1551599146464774"</f>
        <v>1551599146464774</v>
      </c>
      <c r="C3737" t="s">
        <v>40</v>
      </c>
      <c r="D3737">
        <v>5.4201680000000003</v>
      </c>
      <c r="E3737">
        <v>0.50274379999999996</v>
      </c>
      <c r="F3737" t="s">
        <v>41</v>
      </c>
      <c r="G3737">
        <v>-193.75630000000001</v>
      </c>
      <c r="H3737" s="1">
        <v>-3.8262439999999901E-6</v>
      </c>
      <c r="I3737">
        <v>196.2724</v>
      </c>
      <c r="J3737">
        <v>-193.84690000000001</v>
      </c>
      <c r="K3737">
        <v>1.1153770000000001</v>
      </c>
      <c r="L3737">
        <v>206.71680000000001</v>
      </c>
      <c r="M3737">
        <v>0.48794999999999999</v>
      </c>
      <c r="N3737">
        <v>-1.504876E-2</v>
      </c>
      <c r="O3737">
        <v>-0.87274209999999997</v>
      </c>
      <c r="P3737">
        <v>1.8286819999999999E-2</v>
      </c>
      <c r="Q3737">
        <v>-0.11166810000000001</v>
      </c>
      <c r="R3737">
        <v>-0.99357770000000001</v>
      </c>
      <c r="S3737">
        <v>5.1025389999999997E-2</v>
      </c>
      <c r="T3737">
        <v>-0.31262859999999998</v>
      </c>
      <c r="U3737">
        <v>-2.983444</v>
      </c>
      <c r="V3737">
        <v>0.46748659999999997</v>
      </c>
      <c r="W3737">
        <v>-0.10501770000000001</v>
      </c>
      <c r="X3737">
        <v>0.87773999999999996</v>
      </c>
      <c r="Y3737">
        <v>0.47242669999999998</v>
      </c>
      <c r="Z3737">
        <v>6.3304050000000001E-2</v>
      </c>
      <c r="AA3737">
        <v>0.87909359999999903</v>
      </c>
      <c r="AB3737">
        <v>17</v>
      </c>
      <c r="AC3737">
        <v>9.0599999999994907E-2</v>
      </c>
      <c r="AD3737">
        <v>-1.1153808262439999</v>
      </c>
      <c r="AE3737">
        <v>-10.4444</v>
      </c>
      <c r="AF3737">
        <v>4.9612647634912603</v>
      </c>
      <c r="AG3737">
        <v>-1.1153808262439999</v>
      </c>
      <c r="AH3737">
        <v>9.0572250767261799</v>
      </c>
      <c r="AI3737">
        <v>96.164392327907095</v>
      </c>
      <c r="AJ3737">
        <v>61.287449826456999</v>
      </c>
      <c r="AK3737">
        <v>10.3870856611221</v>
      </c>
      <c r="AL3737">
        <v>96.028186496545501</v>
      </c>
      <c r="AM3737">
        <v>61.960119409228803</v>
      </c>
      <c r="AN3737">
        <v>0.99999997304642396</v>
      </c>
    </row>
    <row r="3738" spans="1:40" x14ac:dyDescent="0.25">
      <c r="A3738" t="str">
        <f>"20190303154546497"</f>
        <v>20190303154546497</v>
      </c>
      <c r="B3738" t="str">
        <f>"1551599146495031"</f>
        <v>1551599146495031</v>
      </c>
      <c r="C3738" t="s">
        <v>40</v>
      </c>
      <c r="D3738">
        <v>5.4140470000000001</v>
      </c>
      <c r="E3738">
        <v>0.50194780000000006</v>
      </c>
      <c r="F3738" t="s">
        <v>41</v>
      </c>
      <c r="G3738">
        <v>-193.72630000000001</v>
      </c>
      <c r="H3738" s="1">
        <v>-3.7395200000000001E-6</v>
      </c>
      <c r="I3738">
        <v>196.03319999999999</v>
      </c>
      <c r="J3738">
        <v>-193.77959999999999</v>
      </c>
      <c r="K3738">
        <v>1.115507</v>
      </c>
      <c r="L3738">
        <v>206.5659</v>
      </c>
      <c r="M3738">
        <v>0.47717730000000003</v>
      </c>
      <c r="N3738">
        <v>-1.498756E-2</v>
      </c>
      <c r="O3738">
        <v>-0.87867949999999995</v>
      </c>
      <c r="P3738">
        <v>1.443825E-2</v>
      </c>
      <c r="Q3738">
        <v>-0.1142214</v>
      </c>
      <c r="R3738">
        <v>-0.99335059999999997</v>
      </c>
      <c r="S3738">
        <v>3.3660889999999999E-2</v>
      </c>
      <c r="T3738">
        <v>-0.31150879999999997</v>
      </c>
      <c r="U3738">
        <v>-2.983765</v>
      </c>
      <c r="V3738">
        <v>0.45994849999999998</v>
      </c>
      <c r="W3738">
        <v>-0.1073057</v>
      </c>
      <c r="X3738">
        <v>0.88143799999999894</v>
      </c>
      <c r="Y3738">
        <v>0.4667133</v>
      </c>
      <c r="Z3738">
        <v>6.4127699999999996E-2</v>
      </c>
      <c r="AA3738">
        <v>0.88208069999999905</v>
      </c>
      <c r="AB3738">
        <v>17</v>
      </c>
      <c r="AC3738">
        <v>5.3299999999978802E-2</v>
      </c>
      <c r="AD3738">
        <v>-1.1155107395199999</v>
      </c>
      <c r="AE3738">
        <v>-10.5327</v>
      </c>
      <c r="AF3738">
        <v>4.9244547905148002</v>
      </c>
      <c r="AG3738">
        <v>-1.1155107395199999</v>
      </c>
      <c r="AH3738">
        <v>9.1783920935184895</v>
      </c>
      <c r="AI3738">
        <v>96.112840551336802</v>
      </c>
      <c r="AJ3738">
        <v>61.785242588599601</v>
      </c>
      <c r="AK3738">
        <v>10.4755668398503</v>
      </c>
      <c r="AL3738">
        <v>96.160023879320093</v>
      </c>
      <c r="AM3738">
        <v>62.443724124727503</v>
      </c>
      <c r="AN3738">
        <v>1.00000004187436</v>
      </c>
    </row>
    <row r="3739" spans="1:40" x14ac:dyDescent="0.25">
      <c r="A3739" t="str">
        <f>"20190303154546518"</f>
        <v>20190303154546518</v>
      </c>
      <c r="B3739" t="str">
        <f>"1551599146514551"</f>
        <v>1551599146514551</v>
      </c>
      <c r="C3739" t="s">
        <v>40</v>
      </c>
      <c r="D3739">
        <v>5.3701160000000003</v>
      </c>
      <c r="E3739">
        <v>0.50159030000000004</v>
      </c>
      <c r="F3739" t="s">
        <v>41</v>
      </c>
      <c r="G3739">
        <v>-193.67949999999999</v>
      </c>
      <c r="H3739" s="1">
        <v>-3.7314240000000002E-6</v>
      </c>
      <c r="I3739">
        <v>196.03380000000001</v>
      </c>
      <c r="J3739">
        <v>-193.7175</v>
      </c>
      <c r="K3739">
        <v>1.115639</v>
      </c>
      <c r="L3739">
        <v>206.423</v>
      </c>
      <c r="M3739">
        <v>0.46715610000000002</v>
      </c>
      <c r="N3739">
        <v>-1.492858E-2</v>
      </c>
      <c r="O3739">
        <v>-0.88404879999999997</v>
      </c>
      <c r="P3739">
        <v>1.2603990000000001E-2</v>
      </c>
      <c r="Q3739">
        <v>-0.1177648</v>
      </c>
      <c r="R3739">
        <v>-0.99296169999999995</v>
      </c>
      <c r="S3739">
        <v>2.835083E-2</v>
      </c>
      <c r="T3739">
        <v>-0.3159807</v>
      </c>
      <c r="U3739">
        <v>-2.9833370000000001</v>
      </c>
      <c r="V3739">
        <v>0.45134659999999899</v>
      </c>
      <c r="W3739">
        <v>-0.1105648</v>
      </c>
      <c r="X3739">
        <v>0.88547260000000005</v>
      </c>
      <c r="Y3739">
        <v>0.45821980000000001</v>
      </c>
      <c r="Z3739">
        <v>6.6391859999999997E-2</v>
      </c>
      <c r="AA3739">
        <v>0.88635589999999997</v>
      </c>
      <c r="AB3739">
        <v>17</v>
      </c>
      <c r="AC3739">
        <v>3.80000000000109E-2</v>
      </c>
      <c r="AD3739">
        <v>-1.1156427314240001</v>
      </c>
      <c r="AE3739">
        <v>-10.389199999999899</v>
      </c>
      <c r="AF3739">
        <v>4.7653703816077</v>
      </c>
      <c r="AG3739">
        <v>-1.1156427314240001</v>
      </c>
      <c r="AH3739">
        <v>9.0984203874103304</v>
      </c>
      <c r="AI3739">
        <v>96.199301005652202</v>
      </c>
      <c r="AJ3739">
        <v>62.356341601779697</v>
      </c>
      <c r="AK3739">
        <v>10.3312471233693</v>
      </c>
      <c r="AL3739">
        <v>96.347874656936796</v>
      </c>
      <c r="AM3739">
        <v>62.990971145263799</v>
      </c>
      <c r="AN3739">
        <v>1.0000000268406699</v>
      </c>
    </row>
    <row r="3740" spans="1:40" x14ac:dyDescent="0.25">
      <c r="A3740" t="str">
        <f>"20190303154546558"</f>
        <v>20190303154546558</v>
      </c>
      <c r="B3740" t="str">
        <f>"1551599146554567"</f>
        <v>1551599146554567</v>
      </c>
      <c r="C3740" t="s">
        <v>40</v>
      </c>
      <c r="D3740">
        <v>5.3761720000000004</v>
      </c>
      <c r="E3740">
        <v>0.5011002</v>
      </c>
      <c r="F3740" t="s">
        <v>41</v>
      </c>
      <c r="G3740">
        <v>-193.62799999999999</v>
      </c>
      <c r="H3740" s="1">
        <v>-3.7555860000000001E-6</v>
      </c>
      <c r="I3740">
        <v>196.13159999999999</v>
      </c>
      <c r="J3740">
        <v>-193.59690000000001</v>
      </c>
      <c r="K3740">
        <v>1.115974</v>
      </c>
      <c r="L3740">
        <v>206.13399999999999</v>
      </c>
      <c r="M3740">
        <v>0.4475325</v>
      </c>
      <c r="N3740">
        <v>-1.4796520000000001E-2</v>
      </c>
      <c r="O3740">
        <v>-0.89414539999999998</v>
      </c>
      <c r="P3740">
        <v>1.0184169999999999E-2</v>
      </c>
      <c r="Q3740">
        <v>-0.11727750000000001</v>
      </c>
      <c r="R3740">
        <v>-0.99304720000000002</v>
      </c>
      <c r="S3740">
        <v>2.5939940000000002E-2</v>
      </c>
      <c r="T3740">
        <v>-0.32332689999999997</v>
      </c>
      <c r="U3740">
        <v>-2.9825740000000001</v>
      </c>
      <c r="V3740">
        <v>0.43403269999999999</v>
      </c>
      <c r="W3740">
        <v>-0.10947079999999999</v>
      </c>
      <c r="X3740">
        <v>0.8942213</v>
      </c>
      <c r="Y3740">
        <v>0.43925150000000002</v>
      </c>
      <c r="Z3740">
        <v>7.0551139999999998E-2</v>
      </c>
      <c r="AA3740">
        <v>0.89558950000000004</v>
      </c>
      <c r="AB3740">
        <v>17</v>
      </c>
      <c r="AC3740">
        <v>-3.1099999999980799E-2</v>
      </c>
      <c r="AD3740">
        <v>-1.115977755586</v>
      </c>
      <c r="AE3740">
        <v>-10.0024</v>
      </c>
      <c r="AF3740">
        <v>4.4493146140242699</v>
      </c>
      <c r="AG3740">
        <v>-1.115977755586</v>
      </c>
      <c r="AH3740">
        <v>8.8208564203348399</v>
      </c>
      <c r="AI3740">
        <v>96.444771587270907</v>
      </c>
      <c r="AJ3740">
        <v>63.233236374635403</v>
      </c>
      <c r="AK3740">
        <v>9.9422992750014902</v>
      </c>
      <c r="AL3740">
        <v>96.2848104985557</v>
      </c>
      <c r="AM3740">
        <v>64.109221106714799</v>
      </c>
      <c r="AN3740">
        <v>0.99999998704780901</v>
      </c>
    </row>
    <row r="3741" spans="1:40" x14ac:dyDescent="0.25">
      <c r="A3741" t="str">
        <f>"20190303154546580"</f>
        <v>20190303154546580</v>
      </c>
      <c r="B3741" t="str">
        <f>"1551599146575063"</f>
        <v>1551599146575063</v>
      </c>
      <c r="C3741" t="s">
        <v>40</v>
      </c>
      <c r="D3741">
        <v>5.3483369999999999</v>
      </c>
      <c r="E3741">
        <v>0.50093549999999998</v>
      </c>
      <c r="F3741" t="s">
        <v>41</v>
      </c>
      <c r="G3741">
        <v>-193.51769999999999</v>
      </c>
      <c r="H3741" s="1">
        <v>-3.5257680000000002E-6</v>
      </c>
      <c r="I3741">
        <v>195.626</v>
      </c>
      <c r="J3741">
        <v>-193.5334</v>
      </c>
      <c r="K3741">
        <v>1.1161730000000001</v>
      </c>
      <c r="L3741">
        <v>205.97559999999999</v>
      </c>
      <c r="M3741">
        <v>0.43712099999999998</v>
      </c>
      <c r="N3741">
        <v>-1.4720199999999999E-2</v>
      </c>
      <c r="O3741">
        <v>-0.89928249999999998</v>
      </c>
      <c r="P3741">
        <v>6.9120789999999998E-3</v>
      </c>
      <c r="Q3741">
        <v>-0.114845699999999</v>
      </c>
      <c r="R3741">
        <v>-0.99335969999999996</v>
      </c>
      <c r="S3741">
        <v>2.2506709999999999E-2</v>
      </c>
      <c r="T3741">
        <v>-0.3168414</v>
      </c>
      <c r="U3741">
        <v>-2.9833530000000001</v>
      </c>
      <c r="V3741">
        <v>0.42679929999999999</v>
      </c>
      <c r="W3741">
        <v>-0.1067625</v>
      </c>
      <c r="X3741">
        <v>0.8980224</v>
      </c>
      <c r="Y3741">
        <v>0.42986609999999997</v>
      </c>
      <c r="Z3741">
        <v>6.9955349999999999E-2</v>
      </c>
      <c r="AA3741">
        <v>0.90017849999999999</v>
      </c>
      <c r="AB3741">
        <v>17</v>
      </c>
      <c r="AC3741">
        <v>1.5700000000009501E-2</v>
      </c>
      <c r="AD3741">
        <v>-1.1161765257680001</v>
      </c>
      <c r="AE3741">
        <v>-10.349600000000001</v>
      </c>
      <c r="AF3741">
        <v>4.4585390662880497</v>
      </c>
      <c r="AG3741">
        <v>-1.1161765257680001</v>
      </c>
      <c r="AH3741">
        <v>9.2079858266760901</v>
      </c>
      <c r="AI3741">
        <v>96.226432072127395</v>
      </c>
      <c r="AJ3741">
        <v>64.163571384408399</v>
      </c>
      <c r="AK3741">
        <v>10.291327593005599</v>
      </c>
      <c r="AL3741">
        <v>96.128720923942097</v>
      </c>
      <c r="AM3741">
        <v>64.579859283883096</v>
      </c>
      <c r="AN3741">
        <v>1.0000000523942401</v>
      </c>
    </row>
    <row r="3742" spans="1:40" x14ac:dyDescent="0.25">
      <c r="A3742" t="str">
        <f>"20190303154546602"</f>
        <v>20190303154546602</v>
      </c>
      <c r="B3742" t="str">
        <f>"1551599146594582"</f>
        <v>1551599146594582</v>
      </c>
      <c r="C3742" t="s">
        <v>40</v>
      </c>
      <c r="D3742">
        <v>5.3515810000000004</v>
      </c>
      <c r="E3742">
        <v>0.50080020000000003</v>
      </c>
      <c r="F3742" t="s">
        <v>41</v>
      </c>
      <c r="G3742">
        <v>-193.48249999999999</v>
      </c>
      <c r="H3742" s="1">
        <v>-3.299396E-6</v>
      </c>
      <c r="I3742">
        <v>195.12010000000001</v>
      </c>
      <c r="J3742">
        <v>-193.4735</v>
      </c>
      <c r="K3742">
        <v>1.1163700000000001</v>
      </c>
      <c r="L3742">
        <v>205.82230000000001</v>
      </c>
      <c r="M3742">
        <v>0.42731150000000001</v>
      </c>
      <c r="N3742">
        <v>-1.46468E-2</v>
      </c>
      <c r="O3742">
        <v>-0.90398590000000001</v>
      </c>
      <c r="P3742">
        <v>4.2916040000000001E-3</v>
      </c>
      <c r="Q3742">
        <v>-0.11450390000000001</v>
      </c>
      <c r="R3742">
        <v>-0.99341360000000001</v>
      </c>
      <c r="S3742">
        <v>1.3992310000000001E-2</v>
      </c>
      <c r="T3742">
        <v>-0.30686760000000002</v>
      </c>
      <c r="U3742">
        <v>-2.984467</v>
      </c>
      <c r="V3742">
        <v>0.41946650000000002</v>
      </c>
      <c r="W3742">
        <v>-0.10615380000000001</v>
      </c>
      <c r="X3742">
        <v>0.90154270000000003</v>
      </c>
      <c r="Y3742">
        <v>0.42263620000000002</v>
      </c>
      <c r="Z3742">
        <v>6.8239079999999994E-2</v>
      </c>
      <c r="AA3742">
        <v>0.90372680000000005</v>
      </c>
      <c r="AB3742">
        <v>17</v>
      </c>
      <c r="AC3742">
        <v>-8.9999999999861302E-3</v>
      </c>
      <c r="AD3742">
        <v>-1.1163732993960001</v>
      </c>
      <c r="AE3742">
        <v>-10.702199999999999</v>
      </c>
      <c r="AF3742">
        <v>4.5324817977808296</v>
      </c>
      <c r="AG3742">
        <v>-1.1163732993960001</v>
      </c>
      <c r="AH3742">
        <v>9.5677215971498804</v>
      </c>
      <c r="AI3742">
        <v>96.019452168332407</v>
      </c>
      <c r="AJ3742">
        <v>64.651852294437305</v>
      </c>
      <c r="AK3742">
        <v>10.6457022854947</v>
      </c>
      <c r="AL3742">
        <v>96.093645936228796</v>
      </c>
      <c r="AM3742">
        <v>65.048554837616805</v>
      </c>
      <c r="AN3742">
        <v>1.0000000068999899</v>
      </c>
    </row>
    <row r="3743" spans="1:40" x14ac:dyDescent="0.25">
      <c r="A3743" t="str">
        <f>"20190303154546625"</f>
        <v>20190303154546625</v>
      </c>
      <c r="B3743" t="str">
        <f>"1551599146615078"</f>
        <v>1551599146615078</v>
      </c>
      <c r="C3743" t="s">
        <v>40</v>
      </c>
      <c r="D3743">
        <v>5.3615930000000001</v>
      </c>
      <c r="E3743">
        <v>0.50079410000000002</v>
      </c>
      <c r="F3743" t="s">
        <v>41</v>
      </c>
      <c r="G3743">
        <v>-193.446</v>
      </c>
      <c r="H3743" s="1">
        <v>-3.1716229999999998E-6</v>
      </c>
      <c r="I3743">
        <v>194.8449</v>
      </c>
      <c r="J3743">
        <v>-193.41069999999999</v>
      </c>
      <c r="K3743">
        <v>1.116582</v>
      </c>
      <c r="L3743">
        <v>205.65700000000001</v>
      </c>
      <c r="M3743">
        <v>0.4170972</v>
      </c>
      <c r="N3743">
        <v>-1.456638E-2</v>
      </c>
      <c r="O3743">
        <v>-0.90874520000000003</v>
      </c>
      <c r="P3743">
        <v>1.200418E-3</v>
      </c>
      <c r="Q3743">
        <v>-0.11620709999999999</v>
      </c>
      <c r="R3743">
        <v>-0.99322440000000001</v>
      </c>
      <c r="S3743">
        <v>7.4768069999999898E-3</v>
      </c>
      <c r="T3743">
        <v>-0.30355300000000002</v>
      </c>
      <c r="U3743">
        <v>-2.9848629999999998</v>
      </c>
      <c r="V3743">
        <v>0.41206530000000002</v>
      </c>
      <c r="W3743">
        <v>-0.1075791</v>
      </c>
      <c r="X3743">
        <v>0.90478119999999995</v>
      </c>
      <c r="Y3743">
        <v>0.41440379999999899</v>
      </c>
      <c r="Z3743">
        <v>6.8324449999999995E-2</v>
      </c>
      <c r="AA3743">
        <v>0.90752480000000002</v>
      </c>
      <c r="AB3743">
        <v>17</v>
      </c>
      <c r="AC3743">
        <v>-3.53000000000065E-2</v>
      </c>
      <c r="AD3743">
        <v>-1.116585171623</v>
      </c>
      <c r="AE3743">
        <v>-10.812099999999999</v>
      </c>
      <c r="AF3743">
        <v>4.4943252735197898</v>
      </c>
      <c r="AG3743">
        <v>-1.116585171623</v>
      </c>
      <c r="AH3743">
        <v>9.7082232241162796</v>
      </c>
      <c r="AI3743">
        <v>95.958537872821296</v>
      </c>
      <c r="AJ3743">
        <v>65.158692349375002</v>
      </c>
      <c r="AK3743">
        <v>10.7561759133512</v>
      </c>
      <c r="AL3743">
        <v>96.175779718597198</v>
      </c>
      <c r="AM3743">
        <v>65.514014845632303</v>
      </c>
      <c r="AN3743">
        <v>1.0000000470471599</v>
      </c>
    </row>
    <row r="3744" spans="1:40" x14ac:dyDescent="0.25">
      <c r="A3744" t="str">
        <f>"20190303154546649"</f>
        <v>20190303154546649</v>
      </c>
      <c r="B3744" t="str">
        <f>"1551599146644359"</f>
        <v>1551599146644359</v>
      </c>
      <c r="C3744" t="s">
        <v>40</v>
      </c>
      <c r="D3744">
        <v>5.360201</v>
      </c>
      <c r="E3744">
        <v>0.50065079999999995</v>
      </c>
      <c r="F3744" t="s">
        <v>41</v>
      </c>
      <c r="G3744">
        <v>-193.41669999999999</v>
      </c>
      <c r="H3744" s="1">
        <v>-3.1333129999999999E-6</v>
      </c>
      <c r="I3744">
        <v>194.77379999999999</v>
      </c>
      <c r="J3744">
        <v>-193.34809999999999</v>
      </c>
      <c r="K3744">
        <v>1.116784</v>
      </c>
      <c r="L3744">
        <v>205.4879</v>
      </c>
      <c r="M3744">
        <v>0.4069662</v>
      </c>
      <c r="N3744">
        <v>-1.448385E-2</v>
      </c>
      <c r="O3744">
        <v>-0.91332849999999999</v>
      </c>
      <c r="P3744">
        <v>-1.1728699999999999E-3</v>
      </c>
      <c r="Q3744">
        <v>-0.1187088</v>
      </c>
      <c r="R3744">
        <v>-0.9929289</v>
      </c>
      <c r="S3744">
        <v>-1.66320799999999E-3</v>
      </c>
      <c r="T3744">
        <v>-0.3062105</v>
      </c>
      <c r="U3744">
        <v>-2.984604</v>
      </c>
      <c r="V3744">
        <v>0.40407120000000002</v>
      </c>
      <c r="W3744">
        <v>-0.10981589999999999</v>
      </c>
      <c r="X3744">
        <v>0.90811180000000002</v>
      </c>
      <c r="Y3744">
        <v>0.40706150000000002</v>
      </c>
      <c r="Z3744">
        <v>6.9989579999999996E-2</v>
      </c>
      <c r="AA3744">
        <v>0.91071530000000001</v>
      </c>
      <c r="AB3744">
        <v>17</v>
      </c>
      <c r="AC3744">
        <v>-6.8600000000003505E-2</v>
      </c>
      <c r="AD3744">
        <v>-1.1167871333129999</v>
      </c>
      <c r="AE3744">
        <v>-10.7141</v>
      </c>
      <c r="AF3744">
        <v>4.3758527566669203</v>
      </c>
      <c r="AG3744">
        <v>-1.1167871333129999</v>
      </c>
      <c r="AH3744">
        <v>9.6537143455578001</v>
      </c>
      <c r="AI3744">
        <v>96.014810039054495</v>
      </c>
      <c r="AJ3744">
        <v>65.616079505592097</v>
      </c>
      <c r="AK3744">
        <v>10.6578375627887</v>
      </c>
      <c r="AL3744">
        <v>96.3047027823024</v>
      </c>
      <c r="AM3744">
        <v>66.012966289110594</v>
      </c>
      <c r="AN3744">
        <v>1.0000000539307401</v>
      </c>
    </row>
    <row r="3745" spans="1:40" x14ac:dyDescent="0.25">
      <c r="A3745" t="str">
        <f>"20190303154546672"</f>
        <v>20190303154546672</v>
      </c>
      <c r="B3745" t="str">
        <f>"1551599146664855"</f>
        <v>1551599146664855</v>
      </c>
      <c r="C3745" t="s">
        <v>40</v>
      </c>
      <c r="D3745">
        <v>5.3748370000000003</v>
      </c>
      <c r="E3745">
        <v>0.50053619999999999</v>
      </c>
      <c r="F3745" t="s">
        <v>41</v>
      </c>
      <c r="G3745">
        <v>-193.3759</v>
      </c>
      <c r="H3745" s="1">
        <v>-3.1281149999999999E-6</v>
      </c>
      <c r="I3745">
        <v>194.78700000000001</v>
      </c>
      <c r="J3745">
        <v>-193.28630000000001</v>
      </c>
      <c r="K3745">
        <v>1.116981</v>
      </c>
      <c r="L3745">
        <v>205.3167</v>
      </c>
      <c r="M3745">
        <v>0.39703929999999998</v>
      </c>
      <c r="N3745">
        <v>-1.4401870000000001E-2</v>
      </c>
      <c r="O3745">
        <v>-0.91768850000000002</v>
      </c>
      <c r="P3745">
        <v>-2.8497639999999999E-3</v>
      </c>
      <c r="Q3745">
        <v>-0.1200233</v>
      </c>
      <c r="R3745">
        <v>-0.99276699999999996</v>
      </c>
      <c r="S3745">
        <v>-7.766724E-3</v>
      </c>
      <c r="T3745">
        <v>-0.31143720000000003</v>
      </c>
      <c r="U3745">
        <v>-2.984146</v>
      </c>
      <c r="V3745">
        <v>0.39573199999999997</v>
      </c>
      <c r="W3745">
        <v>-0.1108785</v>
      </c>
      <c r="X3745">
        <v>0.91164800000000001</v>
      </c>
      <c r="Y3745">
        <v>0.39901379999999997</v>
      </c>
      <c r="Z3745">
        <v>7.2366490000000006E-2</v>
      </c>
      <c r="AA3745">
        <v>0.91408489999999998</v>
      </c>
      <c r="AB3745">
        <v>17</v>
      </c>
      <c r="AC3745">
        <v>-8.9599999999990104E-2</v>
      </c>
      <c r="AD3745">
        <v>-1.1169841281149999</v>
      </c>
      <c r="AE3745">
        <v>-10.529699999999901</v>
      </c>
      <c r="AF3745">
        <v>4.2159344060977704</v>
      </c>
      <c r="AG3745">
        <v>-1.1169841281149999</v>
      </c>
      <c r="AH3745">
        <v>9.5212758094637095</v>
      </c>
      <c r="AI3745">
        <v>96.122655227319598</v>
      </c>
      <c r="AJ3745">
        <v>66.1166726627321</v>
      </c>
      <c r="AK3745">
        <v>10.472652457656499</v>
      </c>
      <c r="AL3745">
        <v>96.365959922398901</v>
      </c>
      <c r="AM3745">
        <v>66.535096581151393</v>
      </c>
      <c r="AN3745">
        <v>0.99999996674512404</v>
      </c>
    </row>
    <row r="3746" spans="1:40" x14ac:dyDescent="0.25">
      <c r="A3746" t="str">
        <f>"20190303154546693"</f>
        <v>20190303154546693</v>
      </c>
      <c r="B3746" t="str">
        <f>"1551599146684375"</f>
        <v>1551599146684375</v>
      </c>
      <c r="C3746" t="s">
        <v>40</v>
      </c>
      <c r="D3746">
        <v>5.3668139999999998</v>
      </c>
      <c r="E3746">
        <v>0.50048570000000003</v>
      </c>
      <c r="F3746" t="s">
        <v>41</v>
      </c>
      <c r="G3746">
        <v>-193.3288</v>
      </c>
      <c r="H3746" s="1">
        <v>-3.0776139999999999E-6</v>
      </c>
      <c r="I3746">
        <v>194.6985</v>
      </c>
      <c r="J3746">
        <v>-193.2347</v>
      </c>
      <c r="K3746">
        <v>1.117143</v>
      </c>
      <c r="L3746">
        <v>205.1703</v>
      </c>
      <c r="M3746">
        <v>0.38883119999999999</v>
      </c>
      <c r="N3746">
        <v>-1.433391E-2</v>
      </c>
      <c r="O3746">
        <v>-0.92119770000000001</v>
      </c>
      <c r="P3746">
        <v>-2.880615E-3</v>
      </c>
      <c r="Q3746">
        <v>-0.12022430000000001</v>
      </c>
      <c r="R3746">
        <v>-0.99274300000000004</v>
      </c>
      <c r="S3746">
        <v>-1.1932369999999999E-2</v>
      </c>
      <c r="T3746">
        <v>-0.31389020000000001</v>
      </c>
      <c r="U3746">
        <v>-2.9838870000000002</v>
      </c>
      <c r="V3746">
        <v>0.38765359999999999</v>
      </c>
      <c r="W3746">
        <v>-0.1108551</v>
      </c>
      <c r="X3746">
        <v>0.91511520000000002</v>
      </c>
      <c r="Y3746">
        <v>0.3921038</v>
      </c>
      <c r="Z3746">
        <v>7.3818919999999996E-2</v>
      </c>
      <c r="AA3746">
        <v>0.91695439999999995</v>
      </c>
      <c r="AB3746">
        <v>17</v>
      </c>
      <c r="AC3746">
        <v>-9.4099999999997394E-2</v>
      </c>
      <c r="AD3746">
        <v>-1.1171460776140001</v>
      </c>
      <c r="AE3746">
        <v>-10.4718</v>
      </c>
      <c r="AF3746">
        <v>4.1120783255938003</v>
      </c>
      <c r="AG3746">
        <v>-1.1171460776140001</v>
      </c>
      <c r="AH3746">
        <v>9.5028522556233401</v>
      </c>
      <c r="AI3746">
        <v>96.157882430680701</v>
      </c>
      <c r="AJ3746">
        <v>66.600878848122093</v>
      </c>
      <c r="AK3746">
        <v>10.4144805202541</v>
      </c>
      <c r="AL3746">
        <v>96.3646106847265</v>
      </c>
      <c r="AM3746">
        <v>67.041910890931305</v>
      </c>
      <c r="AN3746">
        <v>0.99999999803000394</v>
      </c>
    </row>
    <row r="3747" spans="1:40" x14ac:dyDescent="0.25">
      <c r="A3747" t="str">
        <f>"20190303154546714"</f>
        <v>20190303154546714</v>
      </c>
      <c r="B3747" t="str">
        <f>"1551599146704871"</f>
        <v>1551599146704871</v>
      </c>
      <c r="C3747" t="s">
        <v>40</v>
      </c>
      <c r="D3747">
        <v>5.365748</v>
      </c>
      <c r="E3747">
        <v>0.5004902</v>
      </c>
      <c r="F3747" t="s">
        <v>41</v>
      </c>
      <c r="G3747">
        <v>-193.27619999999999</v>
      </c>
      <c r="H3747" s="1">
        <v>-2.9807070000000001E-6</v>
      </c>
      <c r="I3747">
        <v>194.5052</v>
      </c>
      <c r="J3747">
        <v>-193.18129999999999</v>
      </c>
      <c r="K3747">
        <v>1.1173280000000001</v>
      </c>
      <c r="L3747">
        <v>205.01509999999999</v>
      </c>
      <c r="M3747">
        <v>0.38043830000000001</v>
      </c>
      <c r="N3747">
        <v>-1.4262530000000001E-2</v>
      </c>
      <c r="O3747">
        <v>-0.92469639999999997</v>
      </c>
      <c r="P3747">
        <v>-4.311596E-3</v>
      </c>
      <c r="Q3747">
        <v>-0.1196309</v>
      </c>
      <c r="R3747">
        <v>-0.99280919999999895</v>
      </c>
      <c r="S3747">
        <v>-1.1611939999999999E-2</v>
      </c>
      <c r="T3747">
        <v>-0.31257239999999997</v>
      </c>
      <c r="U3747">
        <v>-2.9840390000000001</v>
      </c>
      <c r="V3747">
        <v>0.38073410000000002</v>
      </c>
      <c r="W3747">
        <v>-0.1100472</v>
      </c>
      <c r="X3747">
        <v>0.91811279999999995</v>
      </c>
      <c r="Y3747">
        <v>0.38364239999999999</v>
      </c>
      <c r="Z3747">
        <v>7.4251079999999997E-2</v>
      </c>
      <c r="AA3747">
        <v>0.92049190000000003</v>
      </c>
      <c r="AB3747">
        <v>17</v>
      </c>
      <c r="AC3747">
        <v>-9.4899999999995502E-2</v>
      </c>
      <c r="AD3747">
        <v>-1.117330980707</v>
      </c>
      <c r="AE3747">
        <v>-10.509899999999901</v>
      </c>
      <c r="AF3747">
        <v>4.0408701591423997</v>
      </c>
      <c r="AG3747">
        <v>-1.117330980707</v>
      </c>
      <c r="AH3747">
        <v>9.5751351574047803</v>
      </c>
      <c r="AI3747">
        <v>96.136261708986694</v>
      </c>
      <c r="AJ3747">
        <v>67.119426658228207</v>
      </c>
      <c r="AK3747">
        <v>10.452763914202899</v>
      </c>
      <c r="AL3747">
        <v>96.318036592507596</v>
      </c>
      <c r="AM3747">
        <v>67.476602409090304</v>
      </c>
      <c r="AN3747">
        <v>0.99999997732724399</v>
      </c>
    </row>
    <row r="3748" spans="1:40" x14ac:dyDescent="0.25">
      <c r="A3748" t="str">
        <f>"20190303154546736"</f>
        <v>20190303154546736</v>
      </c>
      <c r="B3748" t="str">
        <f>"1551599146724390"</f>
        <v>1551599146724390</v>
      </c>
      <c r="C3748" t="s">
        <v>40</v>
      </c>
      <c r="D3748">
        <v>5.377821</v>
      </c>
      <c r="E3748">
        <v>0.50046590000000002</v>
      </c>
      <c r="F3748" t="s">
        <v>41</v>
      </c>
      <c r="G3748">
        <v>-193.239</v>
      </c>
      <c r="H3748" s="1">
        <v>-2.843663E-6</v>
      </c>
      <c r="I3748">
        <v>194.2088</v>
      </c>
      <c r="J3748">
        <v>-193.12889999999999</v>
      </c>
      <c r="K3748">
        <v>1.1175219999999999</v>
      </c>
      <c r="L3748">
        <v>204.85980000000001</v>
      </c>
      <c r="M3748">
        <v>0.37236469999999999</v>
      </c>
      <c r="N3748">
        <v>-1.4190690000000001E-2</v>
      </c>
      <c r="O3748">
        <v>-0.92797819999999998</v>
      </c>
      <c r="P3748">
        <v>-5.9286290000000004E-3</v>
      </c>
      <c r="Q3748">
        <v>-0.1190604</v>
      </c>
      <c r="R3748">
        <v>-0.99286940000000001</v>
      </c>
      <c r="S3748">
        <v>-1.596069E-2</v>
      </c>
      <c r="T3748">
        <v>-0.30858560000000002</v>
      </c>
      <c r="U3748">
        <v>-2.9844819999999999</v>
      </c>
      <c r="V3748">
        <v>0.37431179999999997</v>
      </c>
      <c r="W3748">
        <v>-0.1092664</v>
      </c>
      <c r="X3748">
        <v>0.92084279999999996</v>
      </c>
      <c r="Y3748">
        <v>0.37694440000000001</v>
      </c>
      <c r="Z3748">
        <v>7.3833380000000004E-2</v>
      </c>
      <c r="AA3748">
        <v>0.92328849999999996</v>
      </c>
      <c r="AB3748">
        <v>17</v>
      </c>
      <c r="AC3748">
        <v>-0.110100000000016</v>
      </c>
      <c r="AD3748">
        <v>-1.1175248436630001</v>
      </c>
      <c r="AE3748">
        <v>-10.651</v>
      </c>
      <c r="AF3748">
        <v>4.0243379708477498</v>
      </c>
      <c r="AG3748">
        <v>-1.1175248436630001</v>
      </c>
      <c r="AH3748">
        <v>9.7367112877059405</v>
      </c>
      <c r="AI3748">
        <v>96.054798757942194</v>
      </c>
      <c r="AJ3748">
        <v>67.543912193467506</v>
      </c>
      <c r="AK3748">
        <v>10.594701722085</v>
      </c>
      <c r="AL3748">
        <v>96.273028696563102</v>
      </c>
      <c r="AM3748">
        <v>67.878834507964896</v>
      </c>
      <c r="AN3748">
        <v>0.99999996605001895</v>
      </c>
    </row>
    <row r="3749" spans="1:40" x14ac:dyDescent="0.25">
      <c r="A3749" t="str">
        <f>"20190303154546759"</f>
        <v>20190303154546759</v>
      </c>
      <c r="B3749" t="str">
        <f>"1551599146754647"</f>
        <v>1551599146754647</v>
      </c>
      <c r="C3749" t="s">
        <v>40</v>
      </c>
      <c r="D3749">
        <v>5.3915550000000003</v>
      </c>
      <c r="E3749">
        <v>0.50040079999999998</v>
      </c>
      <c r="F3749" t="s">
        <v>41</v>
      </c>
      <c r="G3749">
        <v>-193.20439999999999</v>
      </c>
      <c r="H3749" s="1">
        <v>-2.7151609999999998E-6</v>
      </c>
      <c r="I3749">
        <v>193.9308</v>
      </c>
      <c r="J3749">
        <v>-193.0746</v>
      </c>
      <c r="K3749">
        <v>1.117729</v>
      </c>
      <c r="L3749">
        <v>204.69560000000001</v>
      </c>
      <c r="M3749">
        <v>0.36416120000000002</v>
      </c>
      <c r="N3749">
        <v>-1.4115529999999999E-2</v>
      </c>
      <c r="O3749">
        <v>-0.93122910000000003</v>
      </c>
      <c r="P3749">
        <v>-7.9965009999999996E-3</v>
      </c>
      <c r="Q3749">
        <v>-0.11885569999999999</v>
      </c>
      <c r="R3749">
        <v>-0.99287979999999998</v>
      </c>
      <c r="S3749">
        <v>-2.062988E-2</v>
      </c>
      <c r="T3749">
        <v>-0.30520380000000003</v>
      </c>
      <c r="U3749">
        <v>-2.9848020000000002</v>
      </c>
      <c r="V3749">
        <v>0.36817250000000001</v>
      </c>
      <c r="W3749">
        <v>-0.1088508</v>
      </c>
      <c r="X3749">
        <v>0.92336370000000001</v>
      </c>
      <c r="Y3749">
        <v>0.37022280000000002</v>
      </c>
      <c r="Z3749">
        <v>7.3570830000000004E-2</v>
      </c>
      <c r="AA3749">
        <v>0.92602499999999999</v>
      </c>
      <c r="AB3749">
        <v>17</v>
      </c>
      <c r="AC3749">
        <v>-0.12979999999998801</v>
      </c>
      <c r="AD3749">
        <v>-1.117731715161</v>
      </c>
      <c r="AE3749">
        <v>-10.764799999999999</v>
      </c>
      <c r="AF3749">
        <v>3.99829832722873</v>
      </c>
      <c r="AG3749">
        <v>-1.117731715161</v>
      </c>
      <c r="AH3749">
        <v>9.8718061997305107</v>
      </c>
      <c r="AI3749">
        <v>95.9909038388586</v>
      </c>
      <c r="AJ3749">
        <v>67.950971469989298</v>
      </c>
      <c r="AK3749">
        <v>10.709261008381199</v>
      </c>
      <c r="AL3749">
        <v>96.249073444774396</v>
      </c>
      <c r="AM3749">
        <v>68.261363467027195</v>
      </c>
      <c r="AN3749">
        <v>1.0000000044472801</v>
      </c>
    </row>
    <row r="3750" spans="1:40" x14ac:dyDescent="0.25">
      <c r="A3750" t="str">
        <f>"20190303154546781"</f>
        <v>20190303154546781</v>
      </c>
      <c r="B3750" t="str">
        <f>"1551599146775143"</f>
        <v>1551599146775143</v>
      </c>
      <c r="C3750" t="s">
        <v>40</v>
      </c>
      <c r="D3750">
        <v>5.3761190000000001</v>
      </c>
      <c r="E3750">
        <v>0.50042549999999997</v>
      </c>
      <c r="F3750" t="s">
        <v>41</v>
      </c>
      <c r="G3750">
        <v>-193.1722</v>
      </c>
      <c r="H3750" s="1">
        <v>-2.600826E-6</v>
      </c>
      <c r="I3750">
        <v>193.6842</v>
      </c>
      <c r="J3750">
        <v>-193.02090000000001</v>
      </c>
      <c r="K3750">
        <v>1.1179380000000001</v>
      </c>
      <c r="L3750">
        <v>204.5299</v>
      </c>
      <c r="M3750">
        <v>0.35623470000000002</v>
      </c>
      <c r="N3750">
        <v>-1.4043399999999999E-2</v>
      </c>
      <c r="O3750">
        <v>-0.93429119999999999</v>
      </c>
      <c r="P3750">
        <v>-8.700111E-3</v>
      </c>
      <c r="Q3750">
        <v>-0.11907520000000001</v>
      </c>
      <c r="R3750">
        <v>-0.99284729999999999</v>
      </c>
      <c r="S3750">
        <v>-2.6474000000000001E-2</v>
      </c>
      <c r="T3750">
        <v>-0.30300100000000002</v>
      </c>
      <c r="U3750">
        <v>-2.9850310000000002</v>
      </c>
      <c r="V3750">
        <v>0.36102489999999998</v>
      </c>
      <c r="W3750">
        <v>-0.1088563</v>
      </c>
      <c r="X3750">
        <v>0.92618100000000003</v>
      </c>
      <c r="Y3750">
        <v>0.36414819999999998</v>
      </c>
      <c r="Z3750">
        <v>7.3586719999999994E-2</v>
      </c>
      <c r="AA3750">
        <v>0.92842939999999996</v>
      </c>
      <c r="AB3750">
        <v>17</v>
      </c>
      <c r="AC3750">
        <v>-0.151299999999992</v>
      </c>
      <c r="AD3750">
        <v>-1.11794060082599</v>
      </c>
      <c r="AE3750">
        <v>-10.8456999999999</v>
      </c>
      <c r="AF3750">
        <v>3.9632662111145498</v>
      </c>
      <c r="AG3750">
        <v>-1.11794060082599</v>
      </c>
      <c r="AH3750">
        <v>9.9741822097279709</v>
      </c>
      <c r="AI3750">
        <v>95.9465802683617</v>
      </c>
      <c r="AJ3750">
        <v>68.329477641032994</v>
      </c>
      <c r="AK3750">
        <v>10.790810025201599</v>
      </c>
      <c r="AL3750">
        <v>96.249390742864094</v>
      </c>
      <c r="AM3750">
        <v>68.704187746302395</v>
      </c>
      <c r="AN3750">
        <v>0.99999995861534896</v>
      </c>
    </row>
    <row r="3751" spans="1:40" x14ac:dyDescent="0.25">
      <c r="A3751" t="str">
        <f>"20190303154546804"</f>
        <v>20190303154546804</v>
      </c>
      <c r="B3751" t="str">
        <f>"1551599146794663"</f>
        <v>1551599146794663</v>
      </c>
      <c r="C3751" t="s">
        <v>40</v>
      </c>
      <c r="D3751">
        <v>5.3811140000000002</v>
      </c>
      <c r="E3751">
        <v>0.50043389999999999</v>
      </c>
      <c r="F3751" t="s">
        <v>41</v>
      </c>
      <c r="G3751">
        <v>-193.1277</v>
      </c>
      <c r="H3751" s="1">
        <v>-2.5085819999999999E-6</v>
      </c>
      <c r="I3751">
        <v>193.49680000000001</v>
      </c>
      <c r="J3751">
        <v>-192.97059999999999</v>
      </c>
      <c r="K3751">
        <v>1.118107</v>
      </c>
      <c r="L3751">
        <v>204.3715</v>
      </c>
      <c r="M3751">
        <v>0.34899360000000001</v>
      </c>
      <c r="N3751">
        <v>-1.39799E-2</v>
      </c>
      <c r="O3751">
        <v>-0.93702079999999999</v>
      </c>
      <c r="P3751">
        <v>-8.0081600000000003E-3</v>
      </c>
      <c r="Q3751">
        <v>-0.1195141</v>
      </c>
      <c r="R3751">
        <v>-0.99280040000000003</v>
      </c>
      <c r="S3751">
        <v>-2.8900149999999999E-2</v>
      </c>
      <c r="T3751">
        <v>-0.3024676</v>
      </c>
      <c r="U3751">
        <v>-2.9850919999999999</v>
      </c>
      <c r="V3751">
        <v>0.35323640000000001</v>
      </c>
      <c r="W3751">
        <v>-0.10910309999999999</v>
      </c>
      <c r="X3751">
        <v>0.92915049999999999</v>
      </c>
      <c r="Y3751">
        <v>0.35769840000000003</v>
      </c>
      <c r="Z3751">
        <v>7.4031200000000005E-2</v>
      </c>
      <c r="AA3751">
        <v>0.93089809999999995</v>
      </c>
      <c r="AB3751">
        <v>17</v>
      </c>
      <c r="AC3751">
        <v>-0.15710000000001401</v>
      </c>
      <c r="AD3751">
        <v>-1.1181095085820001</v>
      </c>
      <c r="AE3751">
        <v>-10.874699999999899</v>
      </c>
      <c r="AF3751">
        <v>3.9015556201401602</v>
      </c>
      <c r="AG3751">
        <v>-1.1181095085820001</v>
      </c>
      <c r="AH3751">
        <v>10.029974832716301</v>
      </c>
      <c r="AI3751">
        <v>95.931371695978598</v>
      </c>
      <c r="AJ3751">
        <v>68.744483752891497</v>
      </c>
      <c r="AK3751">
        <v>10.820013875922299</v>
      </c>
      <c r="AL3751">
        <v>96.263615517584199</v>
      </c>
      <c r="AM3751">
        <v>69.184630625705793</v>
      </c>
      <c r="AN3751">
        <v>1.0000000461823999</v>
      </c>
    </row>
    <row r="3752" spans="1:40" x14ac:dyDescent="0.25">
      <c r="A3752" t="str">
        <f>"20190303154546827"</f>
        <v>20190303154546827</v>
      </c>
      <c r="B3752" t="str">
        <f>"1551599146824919"</f>
        <v>1551599146824919</v>
      </c>
      <c r="C3752" t="s">
        <v>40</v>
      </c>
      <c r="D3752">
        <v>5.3988990000000001</v>
      </c>
      <c r="E3752">
        <v>0.50040289999999998</v>
      </c>
      <c r="F3752" t="s">
        <v>41</v>
      </c>
      <c r="G3752">
        <v>-193.0694</v>
      </c>
      <c r="H3752" s="1">
        <v>-2.4293000000000002E-6</v>
      </c>
      <c r="I3752">
        <v>193.34809999999999</v>
      </c>
      <c r="J3752">
        <v>-192.9179</v>
      </c>
      <c r="K3752">
        <v>1.1182270000000001</v>
      </c>
      <c r="L3752">
        <v>204.20230000000001</v>
      </c>
      <c r="M3752">
        <v>0.3415263</v>
      </c>
      <c r="N3752">
        <v>-1.391949E-2</v>
      </c>
      <c r="O3752">
        <v>-0.93976939999999998</v>
      </c>
      <c r="P3752">
        <v>-7.1255320000000004E-3</v>
      </c>
      <c r="Q3752">
        <v>-0.1196029</v>
      </c>
      <c r="R3752">
        <v>-0.99279649999999997</v>
      </c>
      <c r="S3752">
        <v>-2.676392E-2</v>
      </c>
      <c r="T3752">
        <v>-0.30277939999999998</v>
      </c>
      <c r="U3752">
        <v>-2.9850919999999999</v>
      </c>
      <c r="V3752">
        <v>0.34504669999999998</v>
      </c>
      <c r="W3752">
        <v>-0.1090367</v>
      </c>
      <c r="X3752">
        <v>0.93223049999999996</v>
      </c>
      <c r="Y3752">
        <v>0.34960059999999998</v>
      </c>
      <c r="Z3752">
        <v>7.4754500000000002E-2</v>
      </c>
      <c r="AA3752">
        <v>0.93391170000000001</v>
      </c>
      <c r="AB3752">
        <v>16</v>
      </c>
      <c r="AC3752">
        <v>-0.151499999999998</v>
      </c>
      <c r="AD3752">
        <v>-1.1182294292999999</v>
      </c>
      <c r="AE3752">
        <v>-10.854200000000001</v>
      </c>
      <c r="AF3752">
        <v>3.80931881545136</v>
      </c>
      <c r="AG3752">
        <v>-1.1182294292999999</v>
      </c>
      <c r="AH3752">
        <v>10.043110950655199</v>
      </c>
      <c r="AI3752">
        <v>95.943415218478705</v>
      </c>
      <c r="AJ3752">
        <v>69.228428907701499</v>
      </c>
      <c r="AK3752">
        <v>10.7993251854676</v>
      </c>
      <c r="AL3752">
        <v>96.259788747928198</v>
      </c>
      <c r="AM3752">
        <v>69.688962858002</v>
      </c>
      <c r="AN3752">
        <v>0.99999996612901398</v>
      </c>
    </row>
    <row r="3753" spans="1:40" x14ac:dyDescent="0.25">
      <c r="A3753" t="str">
        <f>"20190303154546851"</f>
        <v>20190303154546851</v>
      </c>
      <c r="B3753" t="str">
        <f>"1551599146844439"</f>
        <v>1551599146844439</v>
      </c>
      <c r="C3753" t="s">
        <v>40</v>
      </c>
      <c r="D3753">
        <v>5.4333650000000002</v>
      </c>
      <c r="E3753">
        <v>0.50037129999999996</v>
      </c>
      <c r="F3753" t="s">
        <v>41</v>
      </c>
      <c r="G3753">
        <v>-193.00700000000001</v>
      </c>
      <c r="H3753" s="1">
        <v>-2.3257609999999998E-6</v>
      </c>
      <c r="I3753">
        <v>193.1455</v>
      </c>
      <c r="J3753">
        <v>-192.86850000000001</v>
      </c>
      <c r="K3753">
        <v>1.118296</v>
      </c>
      <c r="L3753">
        <v>204.03989999999999</v>
      </c>
      <c r="M3753">
        <v>0.33458649999999901</v>
      </c>
      <c r="N3753">
        <v>-1.3868739999999999E-2</v>
      </c>
      <c r="O3753">
        <v>-0.94226319999999997</v>
      </c>
      <c r="P3753">
        <v>-6.280491E-3</v>
      </c>
      <c r="Q3753">
        <v>-0.11968380000000001</v>
      </c>
      <c r="R3753">
        <v>-0.99279229999999996</v>
      </c>
      <c r="S3753">
        <v>-2.4063109999999999E-2</v>
      </c>
      <c r="T3753">
        <v>-0.30191200000000001</v>
      </c>
      <c r="U3753">
        <v>-2.9852449999999999</v>
      </c>
      <c r="V3753">
        <v>0.33739619999999998</v>
      </c>
      <c r="W3753">
        <v>-0.10900890000000001</v>
      </c>
      <c r="X3753">
        <v>0.93502989999999997</v>
      </c>
      <c r="Y3753">
        <v>0.34184740000000002</v>
      </c>
      <c r="Z3753">
        <v>7.5071990000000005E-2</v>
      </c>
      <c r="AA3753">
        <v>0.93675209999999998</v>
      </c>
      <c r="AB3753">
        <v>16</v>
      </c>
      <c r="AC3753">
        <v>-0.13849999999999299</v>
      </c>
      <c r="AD3753">
        <v>-1.118298325761</v>
      </c>
      <c r="AE3753">
        <v>-10.8943999999999</v>
      </c>
      <c r="AF3753">
        <v>3.73661936305606</v>
      </c>
      <c r="AG3753">
        <v>-1.118298325761</v>
      </c>
      <c r="AH3753">
        <v>10.1134862617967</v>
      </c>
      <c r="AI3753">
        <v>95.921654944281499</v>
      </c>
      <c r="AJ3753">
        <v>69.722292912887895</v>
      </c>
      <c r="AK3753">
        <v>10.8395350351072</v>
      </c>
      <c r="AL3753">
        <v>96.258186004117306</v>
      </c>
      <c r="AM3753">
        <v>70.158527831284502</v>
      </c>
      <c r="AN3753">
        <v>1.0000000249738199</v>
      </c>
    </row>
    <row r="3754" spans="1:40" x14ac:dyDescent="0.25">
      <c r="A3754" t="str">
        <f>"20190303154546873"</f>
        <v>20190303154546873</v>
      </c>
      <c r="B3754" t="str">
        <f>"1551599146864935"</f>
        <v>1551599146864935</v>
      </c>
      <c r="C3754" t="s">
        <v>40</v>
      </c>
      <c r="D3754">
        <v>5.4329289999999997</v>
      </c>
      <c r="E3754">
        <v>0.50030249999999998</v>
      </c>
      <c r="F3754" t="s">
        <v>41</v>
      </c>
      <c r="G3754">
        <v>-192.94669999999999</v>
      </c>
      <c r="H3754" s="1">
        <v>-2.2367499999999998E-6</v>
      </c>
      <c r="I3754">
        <v>192.97540000000001</v>
      </c>
      <c r="J3754">
        <v>-192.81909999999999</v>
      </c>
      <c r="K3754">
        <v>1.1183419999999999</v>
      </c>
      <c r="L3754">
        <v>203.87440000000001</v>
      </c>
      <c r="M3754">
        <v>0.32770500000000002</v>
      </c>
      <c r="N3754">
        <v>-1.382334E-2</v>
      </c>
      <c r="O3754">
        <v>-0.94467909999999999</v>
      </c>
      <c r="P3754">
        <v>-4.641292E-3</v>
      </c>
      <c r="Q3754">
        <v>-0.1203008</v>
      </c>
      <c r="R3754">
        <v>-0.99272689999999997</v>
      </c>
      <c r="S3754">
        <v>-2.1102909999999999E-2</v>
      </c>
      <c r="T3754">
        <v>-0.30172349999999998</v>
      </c>
      <c r="U3754">
        <v>-2.9852750000000001</v>
      </c>
      <c r="V3754">
        <v>0.32901780000000003</v>
      </c>
      <c r="W3754">
        <v>-0.1095317</v>
      </c>
      <c r="X3754">
        <v>0.93794999999999995</v>
      </c>
      <c r="Y3754">
        <v>0.33406449999999999</v>
      </c>
      <c r="Z3754">
        <v>7.5569410000000004E-2</v>
      </c>
      <c r="AA3754">
        <v>0.93951589999999996</v>
      </c>
      <c r="AB3754">
        <v>16</v>
      </c>
      <c r="AC3754">
        <v>-0.12760000000000099</v>
      </c>
      <c r="AD3754">
        <v>-1.1183442367500001</v>
      </c>
      <c r="AE3754">
        <v>-10.898999999999999</v>
      </c>
      <c r="AF3754">
        <v>3.6540824645705499</v>
      </c>
      <c r="AG3754">
        <v>-1.1183442367500001</v>
      </c>
      <c r="AH3754">
        <v>10.148385517276999</v>
      </c>
      <c r="AI3754">
        <v>95.919441663019398</v>
      </c>
      <c r="AJ3754">
        <v>70.197806614011</v>
      </c>
      <c r="AK3754">
        <v>10.844018678378999</v>
      </c>
      <c r="AL3754">
        <v>96.288320496582301</v>
      </c>
      <c r="AM3754">
        <v>70.6699487189954</v>
      </c>
      <c r="AN3754">
        <v>1.00000005426086</v>
      </c>
    </row>
    <row r="3755" spans="1:40" x14ac:dyDescent="0.25">
      <c r="A3755" t="str">
        <f>"20190303154546894"</f>
        <v>20190303154546894</v>
      </c>
      <c r="B3755" t="str">
        <f>"1551599146884455"</f>
        <v>1551599146884455</v>
      </c>
      <c r="C3755" t="s">
        <v>40</v>
      </c>
      <c r="D3755">
        <v>5.4504449999999904</v>
      </c>
      <c r="E3755">
        <v>0.50025450000000005</v>
      </c>
      <c r="F3755" t="s">
        <v>41</v>
      </c>
      <c r="G3755">
        <v>-192.87719999999999</v>
      </c>
      <c r="H3755" s="1">
        <v>-2.1702699999999998E-6</v>
      </c>
      <c r="I3755">
        <v>192.86359999999999</v>
      </c>
      <c r="J3755">
        <v>-192.77600000000001</v>
      </c>
      <c r="K3755">
        <v>1.1183700000000001</v>
      </c>
      <c r="L3755">
        <v>203.72710000000001</v>
      </c>
      <c r="M3755">
        <v>0.32172020000000001</v>
      </c>
      <c r="N3755">
        <v>-1.378742E-2</v>
      </c>
      <c r="O3755">
        <v>-0.94673450000000003</v>
      </c>
      <c r="P3755">
        <v>-2.1397859999999999E-3</v>
      </c>
      <c r="Q3755">
        <v>-0.1220348</v>
      </c>
      <c r="R3755">
        <v>-0.99252370000000001</v>
      </c>
      <c r="S3755">
        <v>-1.5747069999999998E-2</v>
      </c>
      <c r="T3755">
        <v>-0.30319889999999999</v>
      </c>
      <c r="U3755">
        <v>-2.9851839999999998</v>
      </c>
      <c r="V3755">
        <v>0.32064920000000002</v>
      </c>
      <c r="W3755">
        <v>-0.1111808</v>
      </c>
      <c r="X3755">
        <v>0.94065030000000005</v>
      </c>
      <c r="Y3755">
        <v>0.3264127</v>
      </c>
      <c r="Z3755">
        <v>7.6493340000000007E-2</v>
      </c>
      <c r="AA3755">
        <v>0.9421271</v>
      </c>
      <c r="AB3755">
        <v>16</v>
      </c>
      <c r="AC3755">
        <v>-0.10120000000000499</v>
      </c>
      <c r="AD3755">
        <v>-1.11837217027</v>
      </c>
      <c r="AE3755">
        <v>-10.8635</v>
      </c>
      <c r="AF3755">
        <v>3.5535003883531</v>
      </c>
      <c r="AG3755">
        <v>-1.11837217027</v>
      </c>
      <c r="AH3755">
        <v>10.145748148605101</v>
      </c>
      <c r="AI3755">
        <v>95.939351162667904</v>
      </c>
      <c r="AJ3755">
        <v>70.697434972988404</v>
      </c>
      <c r="AK3755">
        <v>10.8080676726316</v>
      </c>
      <c r="AL3755">
        <v>96.383387767824004</v>
      </c>
      <c r="AM3755">
        <v>71.176765462747895</v>
      </c>
      <c r="AN3755">
        <v>1.0000000333196799</v>
      </c>
    </row>
    <row r="3756" spans="1:40" x14ac:dyDescent="0.25">
      <c r="A3756" t="str">
        <f>"20190303154546915"</f>
        <v>20190303154546915</v>
      </c>
      <c r="B3756" t="str">
        <f>"1551599146904950"</f>
        <v>1551599146904950</v>
      </c>
      <c r="C3756" t="s">
        <v>40</v>
      </c>
      <c r="D3756">
        <v>5.459422</v>
      </c>
      <c r="E3756">
        <v>0.4888691</v>
      </c>
      <c r="F3756" t="s">
        <v>41</v>
      </c>
      <c r="G3756">
        <v>-192.80500000000001</v>
      </c>
      <c r="H3756" s="1">
        <v>-2.1642049999999999E-6</v>
      </c>
      <c r="I3756">
        <v>192.89420000000001</v>
      </c>
      <c r="J3756">
        <v>-192.73310000000001</v>
      </c>
      <c r="K3756">
        <v>1.118387</v>
      </c>
      <c r="L3756">
        <v>203.577</v>
      </c>
      <c r="M3756">
        <v>0.31572230000000001</v>
      </c>
      <c r="N3756">
        <v>-1.3754829999999999E-2</v>
      </c>
      <c r="O3756">
        <v>-0.94875189999999998</v>
      </c>
      <c r="P3756">
        <v>-1.520045E-4</v>
      </c>
      <c r="Q3756">
        <v>-0.12347130000000001</v>
      </c>
      <c r="R3756">
        <v>-0.99234840000000002</v>
      </c>
      <c r="S3756">
        <v>-7.9803469999999901E-3</v>
      </c>
      <c r="T3756">
        <v>-0.30813740000000001</v>
      </c>
      <c r="U3756">
        <v>-2.9847109999999999</v>
      </c>
      <c r="V3756">
        <v>0.31275710000000001</v>
      </c>
      <c r="W3756">
        <v>-0.1125391</v>
      </c>
      <c r="X3756">
        <v>0.94314260000000005</v>
      </c>
      <c r="Y3756">
        <v>0.31797340000000002</v>
      </c>
      <c r="Z3756">
        <v>7.8462580000000004E-2</v>
      </c>
      <c r="AA3756">
        <v>0.94484729999999995</v>
      </c>
      <c r="AB3756">
        <v>16</v>
      </c>
      <c r="AC3756">
        <v>-7.1899999999999395E-2</v>
      </c>
      <c r="AD3756">
        <v>-1.1183891642049999</v>
      </c>
      <c r="AE3756">
        <v>-10.682799999999901</v>
      </c>
      <c r="AF3756">
        <v>3.4040321747822202</v>
      </c>
      <c r="AG3756">
        <v>-1.1183891642049999</v>
      </c>
      <c r="AH3756">
        <v>10.003943906102499</v>
      </c>
      <c r="AI3756">
        <v>96.041443867032001</v>
      </c>
      <c r="AJ3756">
        <v>71.208151463041204</v>
      </c>
      <c r="AK3756">
        <v>10.6262468937066</v>
      </c>
      <c r="AL3756">
        <v>96.461704306292702</v>
      </c>
      <c r="AM3756">
        <v>71.653876219532293</v>
      </c>
      <c r="AN3756">
        <v>1.00000000828199</v>
      </c>
    </row>
    <row r="3757" spans="1:40" x14ac:dyDescent="0.25">
      <c r="A3757" t="str">
        <f>"20190303154546939"</f>
        <v>20190303154546939</v>
      </c>
      <c r="B3757" t="str">
        <f>"1551599146935207"</f>
        <v>1551599146935207</v>
      </c>
      <c r="C3757" t="s">
        <v>40</v>
      </c>
      <c r="D3757">
        <v>5.4253390000000001</v>
      </c>
      <c r="E3757">
        <v>0.48943249999999999</v>
      </c>
      <c r="F3757" t="s">
        <v>41</v>
      </c>
      <c r="G3757">
        <v>-192.29519999999999</v>
      </c>
      <c r="H3757" s="1">
        <v>-4.4479950000000001E-6</v>
      </c>
      <c r="I3757">
        <v>188.86099999999999</v>
      </c>
      <c r="J3757">
        <v>-192.68459999999999</v>
      </c>
      <c r="K3757">
        <v>1.1184190000000001</v>
      </c>
      <c r="L3757">
        <v>203.40389999999999</v>
      </c>
      <c r="M3757">
        <v>0.30888500000000002</v>
      </c>
      <c r="N3757">
        <v>-1.372234E-2</v>
      </c>
      <c r="O3757">
        <v>-0.95100050000000003</v>
      </c>
      <c r="P3757">
        <v>1.093637E-3</v>
      </c>
      <c r="Q3757">
        <v>-0.12357219999999999</v>
      </c>
      <c r="R3757">
        <v>-0.99233510000000003</v>
      </c>
      <c r="S3757">
        <v>8.9111330000000002E-2</v>
      </c>
      <c r="T3757">
        <v>-0.22760179999999999</v>
      </c>
      <c r="U3757">
        <v>-2.9948269999999999</v>
      </c>
      <c r="V3757">
        <v>0.30479079999999997</v>
      </c>
      <c r="W3757">
        <v>-0.11256099999999999</v>
      </c>
      <c r="X3757">
        <v>0.94574449999999999</v>
      </c>
      <c r="Y3757">
        <v>0.28034330000000002</v>
      </c>
      <c r="Z3757">
        <v>5.5074489999999997E-2</v>
      </c>
      <c r="AA3757">
        <v>0.95831849999999996</v>
      </c>
      <c r="AB3757">
        <v>16</v>
      </c>
      <c r="AC3757">
        <v>0.38939999999999397</v>
      </c>
      <c r="AD3757">
        <v>-1.1184234479949999</v>
      </c>
      <c r="AE3757">
        <v>-14.542899999999999</v>
      </c>
      <c r="AF3757">
        <v>4.0979323546139996</v>
      </c>
      <c r="AG3757">
        <v>-1.1184234479949999</v>
      </c>
      <c r="AH3757">
        <v>13.869923800173099</v>
      </c>
      <c r="AI3757">
        <v>94.421992008402796</v>
      </c>
      <c r="AJ3757">
        <v>73.539983961761195</v>
      </c>
      <c r="AK3757">
        <v>14.5058163098333</v>
      </c>
      <c r="AL3757">
        <v>96.462966934967397</v>
      </c>
      <c r="AM3757">
        <v>72.137112059995999</v>
      </c>
      <c r="AN3757">
        <v>1.0000000348829401</v>
      </c>
    </row>
    <row r="3758" spans="1:40" x14ac:dyDescent="0.25">
      <c r="A3758" t="str">
        <f>"20190303154546962"</f>
        <v>20190303154546962</v>
      </c>
      <c r="B3758" t="str">
        <f>"1551599146954728"</f>
        <v>1551599146954728</v>
      </c>
      <c r="C3758" t="s">
        <v>40</v>
      </c>
      <c r="D3758">
        <v>5.4521509999999997</v>
      </c>
      <c r="E3758">
        <v>0.48945119999999998</v>
      </c>
      <c r="F3758" t="s">
        <v>41</v>
      </c>
      <c r="G3758">
        <v>-192.21520000000001</v>
      </c>
      <c r="H3758" s="1">
        <v>-3.954054E-6</v>
      </c>
      <c r="I3758">
        <v>187.4513</v>
      </c>
      <c r="J3758">
        <v>-192.64070000000001</v>
      </c>
      <c r="K3758">
        <v>1.1184379999999901</v>
      </c>
      <c r="L3758">
        <v>203.2431</v>
      </c>
      <c r="M3758">
        <v>0.30259709999999901</v>
      </c>
      <c r="N3758">
        <v>-1.369748E-2</v>
      </c>
      <c r="O3758">
        <v>-0.95302030000000004</v>
      </c>
      <c r="P3758">
        <v>2.33205E-3</v>
      </c>
      <c r="Q3758">
        <v>-0.12123009999999999</v>
      </c>
      <c r="R3758">
        <v>-0.9926218</v>
      </c>
      <c r="S3758">
        <v>8.8195800000000005E-2</v>
      </c>
      <c r="T3758">
        <v>-0.21011199999999999</v>
      </c>
      <c r="U3758">
        <v>-2.9969329999999998</v>
      </c>
      <c r="V3758">
        <v>0.29747469999999998</v>
      </c>
      <c r="W3758">
        <v>-0.1101463</v>
      </c>
      <c r="X3758">
        <v>0.94835469999999999</v>
      </c>
      <c r="Y3758">
        <v>0.27432139999999999</v>
      </c>
      <c r="Z3758">
        <v>5.0066619999999999E-2</v>
      </c>
      <c r="AA3758">
        <v>0.96033380000000002</v>
      </c>
      <c r="AB3758">
        <v>16</v>
      </c>
      <c r="AC3758">
        <v>0.42549999999999899</v>
      </c>
      <c r="AD3758">
        <v>-1.1184419540539901</v>
      </c>
      <c r="AE3758">
        <v>-15.791799999999901</v>
      </c>
      <c r="AF3758">
        <v>4.3516400479465496</v>
      </c>
      <c r="AG3758">
        <v>-1.1184419540539901</v>
      </c>
      <c r="AH3758">
        <v>15.1043731078411</v>
      </c>
      <c r="AI3758">
        <v>94.069930339283005</v>
      </c>
      <c r="AJ3758">
        <v>73.928063136138604</v>
      </c>
      <c r="AK3758">
        <v>15.7584824933226</v>
      </c>
      <c r="AL3758">
        <v>96.323749056960693</v>
      </c>
      <c r="AM3758">
        <v>72.584688236938206</v>
      </c>
      <c r="AN3758">
        <v>1.00000002077793</v>
      </c>
    </row>
    <row r="3759" spans="1:40" x14ac:dyDescent="0.25">
      <c r="A3759" t="str">
        <f>"20190303154546984"</f>
        <v>20190303154546984</v>
      </c>
      <c r="B3759" t="str">
        <f>"1551599146975223"</f>
        <v>1551599146975223</v>
      </c>
      <c r="C3759" t="s">
        <v>40</v>
      </c>
      <c r="D3759">
        <v>5.4601459999999999</v>
      </c>
      <c r="E3759">
        <v>0.48986610000000003</v>
      </c>
      <c r="F3759" t="s">
        <v>41</v>
      </c>
      <c r="G3759">
        <v>-192.12379999999999</v>
      </c>
      <c r="H3759" s="1">
        <v>-3.458307E-6</v>
      </c>
      <c r="I3759">
        <v>186.33330000000001</v>
      </c>
      <c r="J3759">
        <v>-192.5993</v>
      </c>
      <c r="K3759">
        <v>1.11846</v>
      </c>
      <c r="L3759">
        <v>203.0881</v>
      </c>
      <c r="M3759">
        <v>0.29659089999999999</v>
      </c>
      <c r="N3759">
        <v>-1.3677959999999999E-2</v>
      </c>
      <c r="O3759">
        <v>-0.9549069</v>
      </c>
      <c r="P3759">
        <v>2.9052879999999998E-3</v>
      </c>
      <c r="Q3759">
        <v>-0.1199576</v>
      </c>
      <c r="R3759">
        <v>-0.99277510000000002</v>
      </c>
      <c r="S3759">
        <v>9.162903E-2</v>
      </c>
      <c r="T3759">
        <v>-0.19828190000000001</v>
      </c>
      <c r="U3759">
        <v>-2.997849</v>
      </c>
      <c r="V3759">
        <v>0.29101539999999998</v>
      </c>
      <c r="W3759">
        <v>-0.108817899999999</v>
      </c>
      <c r="X3759">
        <v>0.95050970000000001</v>
      </c>
      <c r="Y3759">
        <v>0.26717869999999999</v>
      </c>
      <c r="Z3759">
        <v>4.6747690000000001E-2</v>
      </c>
      <c r="AA3759">
        <v>0.96251240000000005</v>
      </c>
      <c r="AB3759">
        <v>16</v>
      </c>
      <c r="AC3759">
        <v>0.47550000000001003</v>
      </c>
      <c r="AD3759">
        <v>-1.1184634583069999</v>
      </c>
      <c r="AE3759">
        <v>-16.7547999999999</v>
      </c>
      <c r="AF3759">
        <v>4.4956669388130699</v>
      </c>
      <c r="AG3759">
        <v>-1.1184634583069999</v>
      </c>
      <c r="AH3759">
        <v>16.0702548997393</v>
      </c>
      <c r="AI3759">
        <v>93.834517656088707</v>
      </c>
      <c r="AJ3759">
        <v>74.370993577492499</v>
      </c>
      <c r="AK3759">
        <v>16.724684579234999</v>
      </c>
      <c r="AL3759">
        <v>96.247177214377402</v>
      </c>
      <c r="AM3759">
        <v>72.977102145859206</v>
      </c>
      <c r="AN3759">
        <v>0.99999999409582996</v>
      </c>
    </row>
    <row r="3760" spans="1:40" x14ac:dyDescent="0.25">
      <c r="A3760" t="str">
        <f>"20190303154547006"</f>
        <v>20190303154547006</v>
      </c>
      <c r="B3760" t="str">
        <f>"1551599146994742"</f>
        <v>1551599146994742</v>
      </c>
      <c r="C3760" t="s">
        <v>40</v>
      </c>
      <c r="D3760">
        <v>5.5713369999999998</v>
      </c>
      <c r="E3760">
        <v>0.49011860000000002</v>
      </c>
      <c r="F3760" t="s">
        <v>41</v>
      </c>
      <c r="G3760">
        <v>-192.06960000000001</v>
      </c>
      <c r="H3760" s="1">
        <v>-3.059889E-6</v>
      </c>
      <c r="I3760">
        <v>185.43809999999999</v>
      </c>
      <c r="J3760">
        <v>-192.55690000000001</v>
      </c>
      <c r="K3760">
        <v>1.1184590000000001</v>
      </c>
      <c r="L3760">
        <v>202.92519999999999</v>
      </c>
      <c r="M3760">
        <v>0.29032279999999999</v>
      </c>
      <c r="N3760">
        <v>-1.3660769999999999E-2</v>
      </c>
      <c r="O3760">
        <v>-0.95683130000000005</v>
      </c>
      <c r="P3760">
        <v>2.8091470000000001E-3</v>
      </c>
      <c r="Q3760">
        <v>-0.11982619999999999</v>
      </c>
      <c r="R3760">
        <v>-0.99279090000000003</v>
      </c>
      <c r="S3760">
        <v>8.9996339999999994E-2</v>
      </c>
      <c r="T3760">
        <v>-0.19002079999999999</v>
      </c>
      <c r="U3760">
        <v>-2.9986269999999999</v>
      </c>
      <c r="V3760">
        <v>0.28488170000000002</v>
      </c>
      <c r="W3760">
        <v>-0.1086443</v>
      </c>
      <c r="X3760">
        <v>0.95238579999999995</v>
      </c>
      <c r="Y3760">
        <v>0.2613933</v>
      </c>
      <c r="Z3760">
        <v>4.447371E-2</v>
      </c>
      <c r="AA3760">
        <v>0.96420720000000004</v>
      </c>
      <c r="AB3760">
        <v>16</v>
      </c>
      <c r="AC3760">
        <v>0.48730000000000401</v>
      </c>
      <c r="AD3760">
        <v>-1.118462059889</v>
      </c>
      <c r="AE3760">
        <v>-17.487099999999899</v>
      </c>
      <c r="AF3760">
        <v>4.5922984858731404</v>
      </c>
      <c r="AG3760">
        <v>-1.118462059889</v>
      </c>
      <c r="AH3760">
        <v>16.806554217521899</v>
      </c>
      <c r="AI3760">
        <v>93.673107358007897</v>
      </c>
      <c r="AJ3760">
        <v>74.717301687230801</v>
      </c>
      <c r="AK3760">
        <v>17.458534515510401</v>
      </c>
      <c r="AL3760">
        <v>96.2371716861675</v>
      </c>
      <c r="AM3760">
        <v>73.346799941353794</v>
      </c>
      <c r="AN3760">
        <v>0.99999993947950805</v>
      </c>
    </row>
    <row r="3761" spans="1:40" x14ac:dyDescent="0.25">
      <c r="A3761" t="str">
        <f>"20190303154547027"</f>
        <v>20190303154547027</v>
      </c>
      <c r="B3761" t="str">
        <f>"1551599147024999"</f>
        <v>1551599147024999</v>
      </c>
      <c r="C3761" t="s">
        <v>40</v>
      </c>
      <c r="D3761">
        <v>5.4579009999999997</v>
      </c>
      <c r="E3761">
        <v>0.49111189999999999</v>
      </c>
      <c r="F3761" t="s">
        <v>41</v>
      </c>
      <c r="G3761">
        <v>-192.02950000000001</v>
      </c>
      <c r="H3761" s="1">
        <v>-2.796683E-6</v>
      </c>
      <c r="I3761">
        <v>184.84950000000001</v>
      </c>
      <c r="J3761">
        <v>-192.517</v>
      </c>
      <c r="K3761">
        <v>1.1184449999999999</v>
      </c>
      <c r="L3761">
        <v>202.76769999999999</v>
      </c>
      <c r="M3761">
        <v>0.2842865</v>
      </c>
      <c r="N3761">
        <v>-1.3643300000000001E-2</v>
      </c>
      <c r="O3761">
        <v>-0.95864229999999995</v>
      </c>
      <c r="P3761">
        <v>1.3746229999999999E-3</v>
      </c>
      <c r="Q3761">
        <v>-0.1213212</v>
      </c>
      <c r="R3761">
        <v>-0.99261259999999996</v>
      </c>
      <c r="S3761">
        <v>8.7509160000000002E-2</v>
      </c>
      <c r="T3761">
        <v>-0.18557609999999999</v>
      </c>
      <c r="U3761">
        <v>-2.9991460000000001</v>
      </c>
      <c r="V3761">
        <v>0.2801939</v>
      </c>
      <c r="W3761">
        <v>-0.11012089999999899</v>
      </c>
      <c r="X3761">
        <v>0.95360619999999996</v>
      </c>
      <c r="Y3761">
        <v>0.25611519999999999</v>
      </c>
      <c r="Z3761">
        <v>4.3335899999999997E-2</v>
      </c>
      <c r="AA3761">
        <v>0.96567440000000004</v>
      </c>
      <c r="AB3761">
        <v>16</v>
      </c>
      <c r="AC3761">
        <v>0.487499999999983</v>
      </c>
      <c r="AD3761">
        <v>-1.118447796683</v>
      </c>
      <c r="AE3761">
        <v>-17.918199999999899</v>
      </c>
      <c r="AF3761">
        <v>4.6090503081912697</v>
      </c>
      <c r="AG3761">
        <v>-1.118447796683</v>
      </c>
      <c r="AH3761">
        <v>17.250185132934501</v>
      </c>
      <c r="AI3761">
        <v>93.584295539167798</v>
      </c>
      <c r="AJ3761">
        <v>75.040675013138198</v>
      </c>
      <c r="AK3761">
        <v>17.890309034163099</v>
      </c>
      <c r="AL3761">
        <v>96.322284908972193</v>
      </c>
      <c r="AM3761">
        <v>73.625862464426206</v>
      </c>
      <c r="AN3761">
        <v>1.00000000944623</v>
      </c>
    </row>
    <row r="3762" spans="1:40" x14ac:dyDescent="0.25">
      <c r="A3762" t="str">
        <f>"20190303154547050"</f>
        <v>20190303154547050</v>
      </c>
      <c r="B3762" t="str">
        <f>"1551599147044519"</f>
        <v>1551599147044519</v>
      </c>
      <c r="C3762" t="s">
        <v>40</v>
      </c>
      <c r="D3762">
        <v>5.4682320000000004</v>
      </c>
      <c r="E3762">
        <v>0.49168630000000002</v>
      </c>
      <c r="F3762" t="s">
        <v>41</v>
      </c>
      <c r="G3762">
        <v>-192.0582</v>
      </c>
      <c r="H3762" s="1">
        <v>-2.627738E-6</v>
      </c>
      <c r="I3762">
        <v>184.43790000000001</v>
      </c>
      <c r="J3762">
        <v>-192.477</v>
      </c>
      <c r="K3762">
        <v>1.1184190000000001</v>
      </c>
      <c r="L3762">
        <v>202.60599999999999</v>
      </c>
      <c r="M3762">
        <v>0.27810980000000002</v>
      </c>
      <c r="N3762">
        <v>-1.360862E-2</v>
      </c>
      <c r="O3762">
        <v>-0.96045290000000005</v>
      </c>
      <c r="P3762">
        <v>5.5428970000000004E-4</v>
      </c>
      <c r="Q3762">
        <v>-0.1216979</v>
      </c>
      <c r="R3762">
        <v>-0.99256739999999999</v>
      </c>
      <c r="S3762">
        <v>7.5073239999999999E-2</v>
      </c>
      <c r="T3762">
        <v>-0.1830426</v>
      </c>
      <c r="U3762">
        <v>-2.9998170000000002</v>
      </c>
      <c r="V3762">
        <v>0.27482709999999999</v>
      </c>
      <c r="W3762">
        <v>-0.1104894</v>
      </c>
      <c r="X3762">
        <v>0.95512410000000003</v>
      </c>
      <c r="Y3762">
        <v>0.25390170000000001</v>
      </c>
      <c r="Z3762">
        <v>4.2759119999999998E-2</v>
      </c>
      <c r="AA3762">
        <v>0.96628440000000004</v>
      </c>
      <c r="AB3762">
        <v>16</v>
      </c>
      <c r="AC3762">
        <v>0.418800000000004</v>
      </c>
      <c r="AD3762">
        <v>-1.1184216277379999</v>
      </c>
      <c r="AE3762">
        <v>-18.1680999999999</v>
      </c>
      <c r="AF3762">
        <v>4.6333703555384798</v>
      </c>
      <c r="AG3762">
        <v>-1.1184216277379999</v>
      </c>
      <c r="AH3762">
        <v>17.501415318343</v>
      </c>
      <c r="AI3762">
        <v>93.535033891128506</v>
      </c>
      <c r="AJ3762">
        <v>75.171553547045605</v>
      </c>
      <c r="AK3762">
        <v>18.138867823932902</v>
      </c>
      <c r="AL3762">
        <v>96.343528448410197</v>
      </c>
      <c r="AM3762">
        <v>73.947373439573994</v>
      </c>
      <c r="AN3762">
        <v>0.99999994440378803</v>
      </c>
    </row>
    <row r="3763" spans="1:40" x14ac:dyDescent="0.25">
      <c r="A3763" t="str">
        <f>"20190303154547075"</f>
        <v>20190303154547075</v>
      </c>
      <c r="B3763" t="str">
        <f>"1551599147065015"</f>
        <v>1551599147065015</v>
      </c>
      <c r="C3763" t="s">
        <v>40</v>
      </c>
      <c r="D3763">
        <v>5.4608410000000003</v>
      </c>
      <c r="E3763">
        <v>0.49216880000000002</v>
      </c>
      <c r="F3763" t="s">
        <v>41</v>
      </c>
      <c r="G3763">
        <v>-192.0675</v>
      </c>
      <c r="H3763" s="1">
        <v>-2.654862E-6</v>
      </c>
      <c r="I3763">
        <v>184.49529999999999</v>
      </c>
      <c r="J3763">
        <v>-192.4348</v>
      </c>
      <c r="K3763">
        <v>1.118387</v>
      </c>
      <c r="L3763">
        <v>202.43010000000001</v>
      </c>
      <c r="M3763">
        <v>0.27139960000000002</v>
      </c>
      <c r="N3763">
        <v>-1.3536360000000001E-2</v>
      </c>
      <c r="O3763">
        <v>-0.96237159999999999</v>
      </c>
      <c r="P3763">
        <v>-5.884331E-4</v>
      </c>
      <c r="Q3763">
        <v>-0.1183413</v>
      </c>
      <c r="R3763">
        <v>-0.99297290000000005</v>
      </c>
      <c r="S3763">
        <v>6.7825319999999995E-2</v>
      </c>
      <c r="T3763">
        <v>-0.18524560000000001</v>
      </c>
      <c r="U3763">
        <v>-2.999695</v>
      </c>
      <c r="V3763">
        <v>0.26939039999999997</v>
      </c>
      <c r="W3763">
        <v>-0.1071549</v>
      </c>
      <c r="X3763">
        <v>0.95705099999999999</v>
      </c>
      <c r="Y3763">
        <v>0.24948380000000001</v>
      </c>
      <c r="Z3763">
        <v>4.37168E-2</v>
      </c>
      <c r="AA3763">
        <v>0.96739169999999997</v>
      </c>
      <c r="AB3763">
        <v>16</v>
      </c>
      <c r="AC3763">
        <v>0.36730000000000002</v>
      </c>
      <c r="AD3763">
        <v>-1.118389654862</v>
      </c>
      <c r="AE3763">
        <v>-17.934799999999999</v>
      </c>
      <c r="AF3763">
        <v>4.4969523942449703</v>
      </c>
      <c r="AG3763">
        <v>-1.118389654862</v>
      </c>
      <c r="AH3763">
        <v>17.2939960344087</v>
      </c>
      <c r="AI3763">
        <v>93.5813509135901</v>
      </c>
      <c r="AJ3763">
        <v>75.424190519275896</v>
      </c>
      <c r="AK3763">
        <v>17.904068674308501</v>
      </c>
      <c r="AL3763">
        <v>96.151333899805607</v>
      </c>
      <c r="AM3763">
        <v>74.279168365464201</v>
      </c>
      <c r="AN3763">
        <v>0.99999998840358395</v>
      </c>
    </row>
    <row r="3764" spans="1:40" x14ac:dyDescent="0.25">
      <c r="A3764" t="str">
        <f>"20190303154547095"</f>
        <v>20190303154547095</v>
      </c>
      <c r="B3764" t="str">
        <f>"1551599147084534"</f>
        <v>1551599147084534</v>
      </c>
      <c r="C3764" t="s">
        <v>40</v>
      </c>
      <c r="D3764">
        <v>5.4778320000000003</v>
      </c>
      <c r="E3764">
        <v>0.49269459999999998</v>
      </c>
      <c r="F3764" t="s">
        <v>41</v>
      </c>
      <c r="G3764">
        <v>-192.04570000000001</v>
      </c>
      <c r="H3764" s="1">
        <v>-2.1053119999999999E-6</v>
      </c>
      <c r="I3764">
        <v>183.2278</v>
      </c>
      <c r="J3764">
        <v>-192.40100000000001</v>
      </c>
      <c r="K3764">
        <v>1.118368</v>
      </c>
      <c r="L3764">
        <v>202.28559999999999</v>
      </c>
      <c r="M3764">
        <v>0.26589629999999997</v>
      </c>
      <c r="N3764">
        <v>-1.3455129999999999E-2</v>
      </c>
      <c r="O3764">
        <v>-0.96390770000000003</v>
      </c>
      <c r="P3764">
        <v>1.097831E-4</v>
      </c>
      <c r="Q3764">
        <v>-0.1168493</v>
      </c>
      <c r="R3764">
        <v>-0.99314959999999997</v>
      </c>
      <c r="S3764">
        <v>6.0791020000000001E-2</v>
      </c>
      <c r="T3764">
        <v>-0.17475350000000001</v>
      </c>
      <c r="U3764">
        <v>-3.0004430000000002</v>
      </c>
      <c r="V3764">
        <v>0.26330550000000003</v>
      </c>
      <c r="W3764">
        <v>-0.1056855</v>
      </c>
      <c r="X3764">
        <v>0.95890609999999998</v>
      </c>
      <c r="Y3764">
        <v>0.24622849999999999</v>
      </c>
      <c r="Z3764">
        <v>4.0707300000000002E-2</v>
      </c>
      <c r="AA3764">
        <v>0.96835649999999995</v>
      </c>
      <c r="AB3764">
        <v>16</v>
      </c>
      <c r="AC3764">
        <v>0.35529999999997097</v>
      </c>
      <c r="AD3764">
        <v>-1.1183701053120001</v>
      </c>
      <c r="AE3764">
        <v>-19.057799999999901</v>
      </c>
      <c r="AF3764">
        <v>4.7091387722061002</v>
      </c>
      <c r="AG3764">
        <v>-1.1183701053120001</v>
      </c>
      <c r="AH3764">
        <v>18.402753752965399</v>
      </c>
      <c r="AI3764">
        <v>93.369390994869406</v>
      </c>
      <c r="AJ3764">
        <v>75.646408693438005</v>
      </c>
      <c r="AK3764">
        <v>19.0286122815257</v>
      </c>
      <c r="AL3764">
        <v>96.066662209737004</v>
      </c>
      <c r="AM3764">
        <v>74.645619911472195</v>
      </c>
      <c r="AN3764">
        <v>1.0000000599288501</v>
      </c>
    </row>
    <row r="3765" spans="1:40" x14ac:dyDescent="0.25">
      <c r="A3765" t="str">
        <f>"20190303154547116"</f>
        <v>20190303154547116</v>
      </c>
      <c r="B3765" t="str">
        <f>"1551599147105031"</f>
        <v>1551599147105031</v>
      </c>
      <c r="C3765" t="s">
        <v>40</v>
      </c>
      <c r="D3765">
        <v>5.462904</v>
      </c>
      <c r="E3765">
        <v>0.49311719999999998</v>
      </c>
      <c r="F3765" t="s">
        <v>41</v>
      </c>
      <c r="G3765">
        <v>-192.01</v>
      </c>
      <c r="H3765" s="1">
        <v>-1.817548E-6</v>
      </c>
      <c r="I3765">
        <v>182.57919999999999</v>
      </c>
      <c r="J3765">
        <v>-192.36680000000001</v>
      </c>
      <c r="K3765">
        <v>1.11835</v>
      </c>
      <c r="L3765">
        <v>202.13509999999999</v>
      </c>
      <c r="M3765">
        <v>0.26016650000000002</v>
      </c>
      <c r="N3765">
        <v>-1.336859E-2</v>
      </c>
      <c r="O3765">
        <v>-0.96547119999999997</v>
      </c>
      <c r="P3765">
        <v>-7.9946240000000005E-4</v>
      </c>
      <c r="Q3765">
        <v>-0.1167538</v>
      </c>
      <c r="R3765">
        <v>-0.99316059999999995</v>
      </c>
      <c r="S3765">
        <v>5.9539790000000002E-2</v>
      </c>
      <c r="T3765">
        <v>-0.17029169999999999</v>
      </c>
      <c r="U3765">
        <v>-3.0006560000000002</v>
      </c>
      <c r="V3765">
        <v>0.25849240000000001</v>
      </c>
      <c r="W3765">
        <v>-0.1056301</v>
      </c>
      <c r="X3765">
        <v>0.96022079999999999</v>
      </c>
      <c r="Y3765">
        <v>0.24087890000000001</v>
      </c>
      <c r="Z3765">
        <v>3.9580860000000002E-2</v>
      </c>
      <c r="AA3765">
        <v>0.96974780000000005</v>
      </c>
      <c r="AB3765">
        <v>16</v>
      </c>
      <c r="AC3765">
        <v>0.35680000000002099</v>
      </c>
      <c r="AD3765">
        <v>-1.1183518175480001</v>
      </c>
      <c r="AE3765">
        <v>-19.555900000000001</v>
      </c>
      <c r="AF3765">
        <v>4.72827571189762</v>
      </c>
      <c r="AG3765">
        <v>-1.1183518175480001</v>
      </c>
      <c r="AH3765">
        <v>18.913347982668899</v>
      </c>
      <c r="AI3765">
        <v>93.283165877477103</v>
      </c>
      <c r="AJ3765">
        <v>75.963931263524302</v>
      </c>
      <c r="AK3765">
        <v>19.527468702037599</v>
      </c>
      <c r="AL3765">
        <v>96.063470449192906</v>
      </c>
      <c r="AM3765">
        <v>74.933102201851199</v>
      </c>
      <c r="AN3765">
        <v>1.0000000118182</v>
      </c>
    </row>
    <row r="3766" spans="1:40" x14ac:dyDescent="0.25">
      <c r="A3766" t="str">
        <f>"20190303154547140"</f>
        <v>20190303154547140</v>
      </c>
      <c r="B3766" t="str">
        <f>"1551599147134311"</f>
        <v>1551599147134311</v>
      </c>
      <c r="C3766" t="s">
        <v>40</v>
      </c>
      <c r="D3766">
        <v>5.4465000000000003</v>
      </c>
      <c r="E3766">
        <v>0.49373230000000001</v>
      </c>
      <c r="F3766" t="s">
        <v>41</v>
      </c>
      <c r="G3766">
        <v>-192.01750000000001</v>
      </c>
      <c r="H3766" s="1">
        <v>-1.7910239999999999E-6</v>
      </c>
      <c r="I3766">
        <v>182.5127</v>
      </c>
      <c r="J3766">
        <v>-192.33029999999999</v>
      </c>
      <c r="K3766">
        <v>1.11832</v>
      </c>
      <c r="L3766">
        <v>201.97</v>
      </c>
      <c r="M3766">
        <v>0.25388719999999998</v>
      </c>
      <c r="N3766">
        <v>-1.328059E-2</v>
      </c>
      <c r="O3766">
        <v>-0.96714270000000002</v>
      </c>
      <c r="P3766">
        <v>-3.4162509999999999E-3</v>
      </c>
      <c r="Q3766">
        <v>-0.1189282</v>
      </c>
      <c r="R3766">
        <v>-0.99289720000000004</v>
      </c>
      <c r="S3766">
        <v>5.342102E-2</v>
      </c>
      <c r="T3766">
        <v>-0.1710159</v>
      </c>
      <c r="U3766">
        <v>-3.00061</v>
      </c>
      <c r="V3766">
        <v>0.254704299999999</v>
      </c>
      <c r="W3766">
        <v>-0.107858</v>
      </c>
      <c r="X3766">
        <v>0.96098510000000004</v>
      </c>
      <c r="Y3766">
        <v>0.23654919999999999</v>
      </c>
      <c r="Z3766">
        <v>4.0062769999999998E-2</v>
      </c>
      <c r="AA3766">
        <v>0.97079320000000002</v>
      </c>
      <c r="AB3766">
        <v>16</v>
      </c>
      <c r="AC3766">
        <v>0.31279999999998098</v>
      </c>
      <c r="AD3766">
        <v>-1.118321791024</v>
      </c>
      <c r="AE3766">
        <v>-19.4573</v>
      </c>
      <c r="AF3766">
        <v>4.6225794564921801</v>
      </c>
      <c r="AG3766">
        <v>-1.118321791024</v>
      </c>
      <c r="AH3766">
        <v>18.836856845968398</v>
      </c>
      <c r="AI3766">
        <v>93.299910020010202</v>
      </c>
      <c r="AJ3766">
        <v>76.212038354069094</v>
      </c>
      <c r="AK3766">
        <v>19.4279710802587</v>
      </c>
      <c r="AL3766">
        <v>96.191853354869806</v>
      </c>
      <c r="AM3766">
        <v>75.1553636076071</v>
      </c>
      <c r="AN3766">
        <v>0.99999999551224905</v>
      </c>
    </row>
    <row r="3767" spans="1:40" x14ac:dyDescent="0.25">
      <c r="A3767" t="str">
        <f>"20190303154547161"</f>
        <v>20190303154547161</v>
      </c>
      <c r="B3767" t="str">
        <f>"1551599147154808"</f>
        <v>1551599147154808</v>
      </c>
      <c r="C3767" t="s">
        <v>40</v>
      </c>
      <c r="D3767">
        <v>5.4599900000000003</v>
      </c>
      <c r="E3767">
        <v>0.4941815</v>
      </c>
      <c r="F3767" t="s">
        <v>41</v>
      </c>
      <c r="G3767">
        <v>-192.07820000000001</v>
      </c>
      <c r="H3767" s="1">
        <v>-2.0707450000000001E-6</v>
      </c>
      <c r="I3767">
        <v>183.12710000000001</v>
      </c>
      <c r="J3767">
        <v>-192.29589999999999</v>
      </c>
      <c r="K3767">
        <v>1.1182920000000001</v>
      </c>
      <c r="L3767">
        <v>201.8099</v>
      </c>
      <c r="M3767">
        <v>0.24779380000000001</v>
      </c>
      <c r="N3767">
        <v>-1.3194539999999999E-2</v>
      </c>
      <c r="O3767">
        <v>-0.96872309999999995</v>
      </c>
      <c r="P3767">
        <v>-5.736817E-3</v>
      </c>
      <c r="Q3767">
        <v>-0.1209785</v>
      </c>
      <c r="R3767">
        <v>-0.99263889999999999</v>
      </c>
      <c r="S3767">
        <v>4.014587E-2</v>
      </c>
      <c r="T3767">
        <v>-0.1780648</v>
      </c>
      <c r="U3767">
        <v>-3.0002589999999998</v>
      </c>
      <c r="V3767">
        <v>0.25082729999999998</v>
      </c>
      <c r="W3767">
        <v>-0.1099588</v>
      </c>
      <c r="X3767">
        <v>0.96176649999999997</v>
      </c>
      <c r="Y3767">
        <v>0.2347235</v>
      </c>
      <c r="Z3767">
        <v>4.2492490000000001E-2</v>
      </c>
      <c r="AA3767">
        <v>0.97113300000000002</v>
      </c>
      <c r="AB3767">
        <v>16</v>
      </c>
      <c r="AC3767">
        <v>0.21769999999997899</v>
      </c>
      <c r="AD3767">
        <v>-1.118294070745</v>
      </c>
      <c r="AE3767">
        <v>-18.682799999999901</v>
      </c>
      <c r="AF3767">
        <v>4.4032011384561498</v>
      </c>
      <c r="AG3767">
        <v>-1.118294070745</v>
      </c>
      <c r="AH3767">
        <v>18.0891802411086</v>
      </c>
      <c r="AI3767">
        <v>93.437468441257494</v>
      </c>
      <c r="AJ3767">
        <v>76.319332269915193</v>
      </c>
      <c r="AK3767">
        <v>18.650930370619001</v>
      </c>
      <c r="AL3767">
        <v>96.312940345982298</v>
      </c>
      <c r="AM3767">
        <v>75.382936175960495</v>
      </c>
      <c r="AN3767">
        <v>1.0000000363224799</v>
      </c>
    </row>
    <row r="3768" spans="1:40" x14ac:dyDescent="0.25">
      <c r="A3768" t="str">
        <f>"20190303154547185"</f>
        <v>20190303154547185</v>
      </c>
      <c r="B3768" t="str">
        <f>"1551599147174327"</f>
        <v>1551599147174327</v>
      </c>
      <c r="C3768" t="s">
        <v>40</v>
      </c>
      <c r="D3768">
        <v>5.4519000000000002</v>
      </c>
      <c r="E3768">
        <v>0.49450240000000001</v>
      </c>
      <c r="F3768" t="s">
        <v>41</v>
      </c>
      <c r="G3768">
        <v>-192.11840000000001</v>
      </c>
      <c r="H3768" s="1">
        <v>-2.3130250000000002E-6</v>
      </c>
      <c r="I3768">
        <v>183.6669</v>
      </c>
      <c r="J3768">
        <v>-192.26140000000001</v>
      </c>
      <c r="K3768">
        <v>1.1182589999999999</v>
      </c>
      <c r="L3768">
        <v>201.64340000000001</v>
      </c>
      <c r="M3768">
        <v>0.2414521</v>
      </c>
      <c r="N3768">
        <v>-1.3093840000000001E-2</v>
      </c>
      <c r="O3768">
        <v>-0.97032439999999998</v>
      </c>
      <c r="P3768">
        <v>-8.0987360000000005E-3</v>
      </c>
      <c r="Q3768">
        <v>-0.12054189999999999</v>
      </c>
      <c r="R3768">
        <v>-0.99267539999999999</v>
      </c>
      <c r="S3768">
        <v>2.9357910000000001E-2</v>
      </c>
      <c r="T3768">
        <v>-0.18490699999999999</v>
      </c>
      <c r="U3768">
        <v>-2.9998930000000001</v>
      </c>
      <c r="V3768">
        <v>0.24684120000000001</v>
      </c>
      <c r="W3768">
        <v>-0.1095849</v>
      </c>
      <c r="X3768">
        <v>0.96283980000000002</v>
      </c>
      <c r="Y3768">
        <v>0.23185410000000001</v>
      </c>
      <c r="Z3768">
        <v>4.4895049999999999E-2</v>
      </c>
      <c r="AA3768">
        <v>0.97171399999999997</v>
      </c>
      <c r="AB3768">
        <v>16</v>
      </c>
      <c r="AC3768">
        <v>0.14299999999999999</v>
      </c>
      <c r="AD3768">
        <v>-1.1182613130249901</v>
      </c>
      <c r="AE3768">
        <v>-17.976500000000001</v>
      </c>
      <c r="AF3768">
        <v>4.1858705058698504</v>
      </c>
      <c r="AG3768">
        <v>-1.1182613130249901</v>
      </c>
      <c r="AH3768">
        <v>17.411689016927699</v>
      </c>
      <c r="AI3768">
        <v>93.573228078988194</v>
      </c>
      <c r="AJ3768">
        <v>76.482286037271805</v>
      </c>
      <c r="AK3768">
        <v>17.942656845582299</v>
      </c>
      <c r="AL3768">
        <v>96.291387722482298</v>
      </c>
      <c r="AM3768">
        <v>75.6208835435515</v>
      </c>
      <c r="AN3768">
        <v>0.99999995439474398</v>
      </c>
    </row>
    <row r="3769" spans="1:40" x14ac:dyDescent="0.25">
      <c r="A3769" t="str">
        <f>"20190303154547206"</f>
        <v>20190303154547206</v>
      </c>
      <c r="B3769" t="str">
        <f>"1551599147194783"</f>
        <v>1551599147194783</v>
      </c>
      <c r="C3769" t="s">
        <v>40</v>
      </c>
      <c r="D3769">
        <v>5.4196239999999998</v>
      </c>
      <c r="E3769">
        <v>0.49476209999999998</v>
      </c>
      <c r="F3769" t="s">
        <v>41</v>
      </c>
      <c r="G3769">
        <v>-192.14359999999999</v>
      </c>
      <c r="H3769" s="1">
        <v>-2.2177730000000001E-6</v>
      </c>
      <c r="I3769">
        <v>183.42930000000001</v>
      </c>
      <c r="J3769">
        <v>-192.2304</v>
      </c>
      <c r="K3769">
        <v>1.118234</v>
      </c>
      <c r="L3769">
        <v>201.489</v>
      </c>
      <c r="M3769">
        <v>0.23556630000000001</v>
      </c>
      <c r="N3769">
        <v>-1.2990959999999999E-2</v>
      </c>
      <c r="O3769">
        <v>-0.97177139999999995</v>
      </c>
      <c r="P3769">
        <v>-1.066334E-2</v>
      </c>
      <c r="Q3769">
        <v>-0.1205618</v>
      </c>
      <c r="R3769">
        <v>-0.99264839999999999</v>
      </c>
      <c r="S3769">
        <v>1.9409180000000002E-2</v>
      </c>
      <c r="T3769">
        <v>-0.18418010000000001</v>
      </c>
      <c r="U3769">
        <v>-2.999908</v>
      </c>
      <c r="V3769">
        <v>0.24349119999999999</v>
      </c>
      <c r="W3769">
        <v>-0.10967880000000001</v>
      </c>
      <c r="X3769">
        <v>0.96368180000000003</v>
      </c>
      <c r="Y3769">
        <v>0.22918230000000001</v>
      </c>
      <c r="Z3769">
        <v>4.49173E-2</v>
      </c>
      <c r="AA3769">
        <v>0.97234659999999995</v>
      </c>
      <c r="AB3769">
        <v>16</v>
      </c>
      <c r="AC3769">
        <v>8.6800000000010799E-2</v>
      </c>
      <c r="AD3769">
        <v>-1.1182362177730001</v>
      </c>
      <c r="AE3769">
        <v>-18.0596999999999</v>
      </c>
      <c r="AF3769">
        <v>4.15433195129991</v>
      </c>
      <c r="AG3769">
        <v>-1.1182362177730001</v>
      </c>
      <c r="AH3769">
        <v>17.504720188889898</v>
      </c>
      <c r="AI3769">
        <v>93.556674662114006</v>
      </c>
      <c r="AJ3769">
        <v>76.649198228803996</v>
      </c>
      <c r="AK3769">
        <v>18.025652695302298</v>
      </c>
      <c r="AL3769">
        <v>96.296800086080296</v>
      </c>
      <c r="AM3769">
        <v>75.819993753519697</v>
      </c>
      <c r="AN3769">
        <v>1.0000000076490601</v>
      </c>
    </row>
    <row r="3770" spans="1:40" x14ac:dyDescent="0.25">
      <c r="A3770" t="str">
        <f>"20190303154547228"</f>
        <v>20190303154547228</v>
      </c>
      <c r="B3770" t="str">
        <f>"1551599147225039"</f>
        <v>1551599147225039</v>
      </c>
      <c r="C3770" t="s">
        <v>40</v>
      </c>
      <c r="D3770">
        <v>5.3911740000000004</v>
      </c>
      <c r="E3770">
        <v>0.49521470000000001</v>
      </c>
      <c r="F3770" t="s">
        <v>41</v>
      </c>
      <c r="G3770">
        <v>-192.17259999999999</v>
      </c>
      <c r="H3770" s="1">
        <v>-2.16575E-6</v>
      </c>
      <c r="I3770">
        <v>183.29</v>
      </c>
      <c r="J3770">
        <v>-192.19890000000001</v>
      </c>
      <c r="K3770">
        <v>1.1181989999999999</v>
      </c>
      <c r="L3770">
        <v>201.32689999999999</v>
      </c>
      <c r="M3770">
        <v>0.22938810000000001</v>
      </c>
      <c r="N3770">
        <v>-1.288244E-2</v>
      </c>
      <c r="O3770">
        <v>-0.9732499</v>
      </c>
      <c r="P3770">
        <v>-1.4735649999999999E-2</v>
      </c>
      <c r="Q3770">
        <v>-0.12040910000000001</v>
      </c>
      <c r="R3770">
        <v>-0.99261520000000003</v>
      </c>
      <c r="S3770">
        <v>9.5214840000000002E-3</v>
      </c>
      <c r="T3770">
        <v>-0.18433150000000001</v>
      </c>
      <c r="U3770">
        <v>-2.9999389999999999</v>
      </c>
      <c r="V3770">
        <v>0.2413256</v>
      </c>
      <c r="W3770">
        <v>-0.1096179</v>
      </c>
      <c r="X3770">
        <v>0.96423329999999996</v>
      </c>
      <c r="Y3770">
        <v>0.22620499999999999</v>
      </c>
      <c r="Z3770">
        <v>4.5224510000000002E-2</v>
      </c>
      <c r="AA3770">
        <v>0.97302929999999999</v>
      </c>
      <c r="AB3770">
        <v>16</v>
      </c>
      <c r="AC3770">
        <v>2.6300000000020401E-2</v>
      </c>
      <c r="AD3770">
        <v>-1.1182011657499999</v>
      </c>
      <c r="AE3770">
        <v>-18.036899999999999</v>
      </c>
      <c r="AF3770">
        <v>4.0964502416596096</v>
      </c>
      <c r="AG3770">
        <v>-1.1182011657499999</v>
      </c>
      <c r="AH3770">
        <v>17.494660458056401</v>
      </c>
      <c r="AI3770">
        <v>93.561118662803395</v>
      </c>
      <c r="AJ3770">
        <v>76.821375770076898</v>
      </c>
      <c r="AK3770">
        <v>18.0026226692713</v>
      </c>
      <c r="AL3770">
        <v>96.293289698915899</v>
      </c>
      <c r="AM3770">
        <v>75.948809960986296</v>
      </c>
      <c r="AN3770">
        <v>0.99999999302233</v>
      </c>
    </row>
    <row r="3771" spans="1:40" x14ac:dyDescent="0.25">
      <c r="A3771" t="str">
        <f>"20190303154547252"</f>
        <v>20190303154547252</v>
      </c>
      <c r="B3771" t="str">
        <f>"1551599147244559"</f>
        <v>1551599147244559</v>
      </c>
      <c r="C3771" t="s">
        <v>40</v>
      </c>
      <c r="D3771">
        <v>5.37005</v>
      </c>
      <c r="E3771">
        <v>0.49542069999999999</v>
      </c>
      <c r="F3771" t="s">
        <v>41</v>
      </c>
      <c r="G3771">
        <v>-192.23679999999999</v>
      </c>
      <c r="H3771" s="1">
        <v>-2.088332E-6</v>
      </c>
      <c r="I3771">
        <v>183.06970000000001</v>
      </c>
      <c r="J3771">
        <v>-192.16659999999999</v>
      </c>
      <c r="K3771">
        <v>1.11817099999999</v>
      </c>
      <c r="L3771">
        <v>201.1549</v>
      </c>
      <c r="M3771">
        <v>0.22282450000000001</v>
      </c>
      <c r="N3771">
        <v>-1.2764360000000001E-2</v>
      </c>
      <c r="O3771">
        <v>-0.97477510000000001</v>
      </c>
      <c r="P3771">
        <v>-1.9803129999999999E-2</v>
      </c>
      <c r="Q3771">
        <v>-0.1198034</v>
      </c>
      <c r="R3771">
        <v>-0.99260020000000004</v>
      </c>
      <c r="S3771">
        <v>-6.225586E-3</v>
      </c>
      <c r="T3771">
        <v>-0.18373919999999999</v>
      </c>
      <c r="U3771">
        <v>-2.9999539999999998</v>
      </c>
      <c r="V3771">
        <v>0.23976800000000001</v>
      </c>
      <c r="W3771">
        <v>-0.1091189</v>
      </c>
      <c r="X3771">
        <v>0.96467829999999999</v>
      </c>
      <c r="Y3771">
        <v>0.22475039999999999</v>
      </c>
      <c r="Z3771">
        <v>4.5297850000000001E-2</v>
      </c>
      <c r="AA3771">
        <v>0.97336290000000003</v>
      </c>
      <c r="AB3771">
        <v>16</v>
      </c>
      <c r="AC3771">
        <v>-7.0199999999999804E-2</v>
      </c>
      <c r="AD3771">
        <v>-1.11817308833199</v>
      </c>
      <c r="AE3771">
        <v>-18.085199999999901</v>
      </c>
      <c r="AF3771">
        <v>4.0829805700793598</v>
      </c>
      <c r="AG3771">
        <v>-1.11817308833199</v>
      </c>
      <c r="AH3771">
        <v>17.5477149628096</v>
      </c>
      <c r="AI3771">
        <v>93.551447316252805</v>
      </c>
      <c r="AJ3771">
        <v>76.901550624679302</v>
      </c>
      <c r="AK3771">
        <v>18.0511313165443</v>
      </c>
      <c r="AL3771">
        <v>96.264526988329806</v>
      </c>
      <c r="AM3771">
        <v>76.042131206169003</v>
      </c>
      <c r="AN3771">
        <v>0.99999992532604698</v>
      </c>
    </row>
    <row r="3772" spans="1:40" x14ac:dyDescent="0.25">
      <c r="A3772" t="str">
        <f>"20190303154547274"</f>
        <v>20190303154547274</v>
      </c>
      <c r="B3772" t="str">
        <f>"1551599147265055"</f>
        <v>1551599147265055</v>
      </c>
      <c r="C3772" t="s">
        <v>40</v>
      </c>
      <c r="D3772">
        <v>5.5417069999999997</v>
      </c>
      <c r="E3772">
        <v>0.4954925</v>
      </c>
      <c r="F3772" t="s">
        <v>41</v>
      </c>
      <c r="G3772">
        <v>-192.3092</v>
      </c>
      <c r="H3772" s="1">
        <v>-1.9568550000000001E-6</v>
      </c>
      <c r="I3772">
        <v>182.7184</v>
      </c>
      <c r="J3772">
        <v>-192.13800000000001</v>
      </c>
      <c r="K3772">
        <v>1.1181410000000001</v>
      </c>
      <c r="L3772">
        <v>200.9966</v>
      </c>
      <c r="M3772">
        <v>0.21676909999999999</v>
      </c>
      <c r="N3772">
        <v>-1.2642189999999999E-2</v>
      </c>
      <c r="O3772">
        <v>-0.97614129999999999</v>
      </c>
      <c r="P3772">
        <v>-2.4173130000000001E-2</v>
      </c>
      <c r="Q3772">
        <v>-0.119267899999999</v>
      </c>
      <c r="R3772">
        <v>-0.99256829999999996</v>
      </c>
      <c r="S3772">
        <v>-2.319336E-2</v>
      </c>
      <c r="T3772">
        <v>-0.18194660000000001</v>
      </c>
      <c r="U3772">
        <v>-2.9999539999999998</v>
      </c>
      <c r="V3772">
        <v>0.238042</v>
      </c>
      <c r="W3772">
        <v>-0.1086913</v>
      </c>
      <c r="X3772">
        <v>0.96515399999999996</v>
      </c>
      <c r="Y3772">
        <v>0.22420909999999999</v>
      </c>
      <c r="Z3772">
        <v>4.4973890000000002E-2</v>
      </c>
      <c r="AA3772">
        <v>0.9735028</v>
      </c>
      <c r="AB3772">
        <v>16</v>
      </c>
      <c r="AC3772">
        <v>-0.17119999999999799</v>
      </c>
      <c r="AD3772">
        <v>-1.1181429568549901</v>
      </c>
      <c r="AE3772">
        <v>-18.278199999999998</v>
      </c>
      <c r="AF3772">
        <v>4.1141984979677799</v>
      </c>
      <c r="AG3772">
        <v>-1.1181429568549901</v>
      </c>
      <c r="AH3772">
        <v>17.740032501108502</v>
      </c>
      <c r="AI3772">
        <v>93.513538128109403</v>
      </c>
      <c r="AJ3772">
        <v>76.943012596756404</v>
      </c>
      <c r="AK3772">
        <v>18.245153496011699</v>
      </c>
      <c r="AL3772">
        <v>96.239880137554294</v>
      </c>
      <c r="AM3772">
        <v>76.145289244265598</v>
      </c>
      <c r="AN3772">
        <v>1.0000000180878399</v>
      </c>
    </row>
    <row r="3773" spans="1:40" x14ac:dyDescent="0.25">
      <c r="A3773" t="str">
        <f>"20190303154547295"</f>
        <v>20190303154547295</v>
      </c>
      <c r="B3773" t="str">
        <f>"1551599147284726"</f>
        <v>1551599147284726</v>
      </c>
      <c r="C3773" t="s">
        <v>40</v>
      </c>
      <c r="D3773">
        <v>5.3660909999999999</v>
      </c>
      <c r="E3773">
        <v>0.4956855</v>
      </c>
      <c r="F3773" t="s">
        <v>41</v>
      </c>
      <c r="G3773">
        <v>-192.36699999999999</v>
      </c>
      <c r="H3773" s="1">
        <v>-1.792201E-6</v>
      </c>
      <c r="I3773">
        <v>182.2987</v>
      </c>
      <c r="J3773">
        <v>-192.11109999999999</v>
      </c>
      <c r="K3773">
        <v>1.1181080000000001</v>
      </c>
      <c r="L3773">
        <v>200.8425</v>
      </c>
      <c r="M3773">
        <v>0.2108565</v>
      </c>
      <c r="N3773">
        <v>-1.2506099999999999E-2</v>
      </c>
      <c r="O3773">
        <v>-0.97743709999999995</v>
      </c>
      <c r="P3773">
        <v>-2.790894E-2</v>
      </c>
      <c r="Q3773">
        <v>-0.1188361</v>
      </c>
      <c r="R3773">
        <v>-0.99252169999999895</v>
      </c>
      <c r="S3773">
        <v>-3.6743159999999997E-2</v>
      </c>
      <c r="T3773">
        <v>-0.179401</v>
      </c>
      <c r="U3773">
        <v>-3</v>
      </c>
      <c r="V3773">
        <v>0.23584440000000001</v>
      </c>
      <c r="W3773">
        <v>-0.10837620000000001</v>
      </c>
      <c r="X3773">
        <v>0.96572880000000005</v>
      </c>
      <c r="Y3773">
        <v>0.22270980000000001</v>
      </c>
      <c r="Z3773">
        <v>4.4424169999999999E-2</v>
      </c>
      <c r="AA3773">
        <v>0.97387210000000002</v>
      </c>
      <c r="AB3773">
        <v>16</v>
      </c>
      <c r="AC3773">
        <v>-0.255900000000025</v>
      </c>
      <c r="AD3773">
        <v>-1.1181097922009999</v>
      </c>
      <c r="AE3773">
        <v>-18.543800000000001</v>
      </c>
      <c r="AF3773">
        <v>4.1454637601422997</v>
      </c>
      <c r="AG3773">
        <v>-1.1181097922009999</v>
      </c>
      <c r="AH3773">
        <v>18.007397404494601</v>
      </c>
      <c r="AI3773">
        <v>93.462689480233493</v>
      </c>
      <c r="AJ3773">
        <v>77.035866421722503</v>
      </c>
      <c r="AK3773">
        <v>18.5121959955449</v>
      </c>
      <c r="AL3773">
        <v>96.221718765696593</v>
      </c>
      <c r="AM3773">
        <v>76.276196601323704</v>
      </c>
      <c r="AN3773">
        <v>1.00000004844361</v>
      </c>
    </row>
    <row r="3774" spans="1:40" x14ac:dyDescent="0.25">
      <c r="A3774" t="str">
        <f>"20190303154547317"</f>
        <v>20190303154547317</v>
      </c>
      <c r="B3774" t="str">
        <f>"1551599147314981"</f>
        <v>1551599147314981</v>
      </c>
      <c r="C3774" t="s">
        <v>40</v>
      </c>
      <c r="D3774">
        <v>5.3602119999999998</v>
      </c>
      <c r="E3774">
        <v>0.49598300000000001</v>
      </c>
      <c r="F3774" t="s">
        <v>41</v>
      </c>
      <c r="G3774">
        <v>-192.423</v>
      </c>
      <c r="H3774" s="1">
        <v>-1.61572E-6</v>
      </c>
      <c r="I3774">
        <v>181.8526</v>
      </c>
      <c r="J3774">
        <v>-192.08340000000001</v>
      </c>
      <c r="K3774">
        <v>1.11807099999999</v>
      </c>
      <c r="L3774">
        <v>200.67779999999999</v>
      </c>
      <c r="M3774">
        <v>0.2045245</v>
      </c>
      <c r="N3774">
        <v>-1.234497E-2</v>
      </c>
      <c r="O3774">
        <v>-0.97878359999999998</v>
      </c>
      <c r="P3774">
        <v>-3.1440559999999999E-2</v>
      </c>
      <c r="Q3774">
        <v>-0.1185123</v>
      </c>
      <c r="R3774">
        <v>-0.99245490000000003</v>
      </c>
      <c r="S3774">
        <v>-4.9270630000000003E-2</v>
      </c>
      <c r="T3774">
        <v>-0.1766431</v>
      </c>
      <c r="U3774">
        <v>-3.000092</v>
      </c>
      <c r="V3774">
        <v>0.2330371</v>
      </c>
      <c r="W3774">
        <v>-0.10818850000000001</v>
      </c>
      <c r="X3774">
        <v>0.96643100000000004</v>
      </c>
      <c r="Y3774">
        <v>0.220468</v>
      </c>
      <c r="Z3774">
        <v>4.3837630000000002E-2</v>
      </c>
      <c r="AA3774">
        <v>0.97440859999999996</v>
      </c>
      <c r="AB3774">
        <v>16</v>
      </c>
      <c r="AC3774">
        <v>-0.33959999999999002</v>
      </c>
      <c r="AD3774">
        <v>-1.1180726157199901</v>
      </c>
      <c r="AE3774">
        <v>-18.825199999999899</v>
      </c>
      <c r="AF3774">
        <v>4.1682298276074503</v>
      </c>
      <c r="AG3774">
        <v>-1.1180726157199901</v>
      </c>
      <c r="AH3774">
        <v>18.2932318959054</v>
      </c>
      <c r="AI3774">
        <v>93.410341325419594</v>
      </c>
      <c r="AJ3774">
        <v>77.163938904877398</v>
      </c>
      <c r="AK3774">
        <v>18.7953866538348</v>
      </c>
      <c r="AL3774">
        <v>96.210901294106307</v>
      </c>
      <c r="AM3774">
        <v>76.442975115264304</v>
      </c>
      <c r="AN3774">
        <v>0.99999995963482902</v>
      </c>
    </row>
    <row r="3775" spans="1:40" x14ac:dyDescent="0.25">
      <c r="A3775" t="str">
        <f>"20190303154547340"</f>
        <v>20190303154547340</v>
      </c>
      <c r="B3775" t="str">
        <f>"1551599147334503"</f>
        <v>1551599147334503</v>
      </c>
      <c r="C3775" t="s">
        <v>40</v>
      </c>
      <c r="D3775">
        <v>5.3759269999999999</v>
      </c>
      <c r="E3775">
        <v>0.49612400000000001</v>
      </c>
      <c r="F3775" t="s">
        <v>41</v>
      </c>
      <c r="G3775">
        <v>-192.4828</v>
      </c>
      <c r="H3775" s="1">
        <v>-1.4198120000000001E-6</v>
      </c>
      <c r="I3775">
        <v>181.3588</v>
      </c>
      <c r="J3775">
        <v>-192.0566</v>
      </c>
      <c r="K3775">
        <v>1.118044</v>
      </c>
      <c r="L3775">
        <v>200.512</v>
      </c>
      <c r="M3775">
        <v>0.1981348</v>
      </c>
      <c r="N3775">
        <v>-1.2171349999999999E-2</v>
      </c>
      <c r="O3775">
        <v>-0.98009919999999995</v>
      </c>
      <c r="P3775">
        <v>-3.5315590000000001E-2</v>
      </c>
      <c r="Q3775">
        <v>-0.1184948</v>
      </c>
      <c r="R3775">
        <v>-0.99232629999999999</v>
      </c>
      <c r="S3775">
        <v>-6.2026980000000002E-2</v>
      </c>
      <c r="T3775">
        <v>-0.17363010000000001</v>
      </c>
      <c r="U3775">
        <v>-3.0001220000000002</v>
      </c>
      <c r="V3775">
        <v>0.23050370000000001</v>
      </c>
      <c r="W3775">
        <v>-0.10832310000000001</v>
      </c>
      <c r="X3775">
        <v>0.96702339999999998</v>
      </c>
      <c r="Y3775">
        <v>0.21825030000000001</v>
      </c>
      <c r="Z3775">
        <v>4.3176310000000002E-2</v>
      </c>
      <c r="AA3775">
        <v>0.97493730000000001</v>
      </c>
      <c r="AB3775">
        <v>16</v>
      </c>
      <c r="AC3775">
        <v>-0.42619999999999397</v>
      </c>
      <c r="AD3775">
        <v>-1.118045419812</v>
      </c>
      <c r="AE3775">
        <v>-19.153199999999998</v>
      </c>
      <c r="AF3775">
        <v>4.1986460183848404</v>
      </c>
      <c r="AG3775">
        <v>-1.118045419812</v>
      </c>
      <c r="AH3775">
        <v>18.6255403006123</v>
      </c>
      <c r="AI3775">
        <v>93.351306767478107</v>
      </c>
      <c r="AJ3775">
        <v>77.296489287247198</v>
      </c>
      <c r="AK3775">
        <v>19.1256217006976</v>
      </c>
      <c r="AL3775">
        <v>96.218658314783198</v>
      </c>
      <c r="AM3775">
        <v>76.592922800205201</v>
      </c>
      <c r="AN3775">
        <v>1.00000005292742</v>
      </c>
    </row>
    <row r="3776" spans="1:40" x14ac:dyDescent="0.25">
      <c r="A3776" t="str">
        <f>"20190303154547362"</f>
        <v>20190303154547362</v>
      </c>
      <c r="B3776" t="str">
        <f>"1551599147354998"</f>
        <v>1551599147354998</v>
      </c>
      <c r="C3776" t="s">
        <v>40</v>
      </c>
      <c r="D3776">
        <v>5.375629</v>
      </c>
      <c r="E3776">
        <v>0.4962048</v>
      </c>
      <c r="F3776" t="s">
        <v>41</v>
      </c>
      <c r="G3776">
        <v>-192.54179999999999</v>
      </c>
      <c r="H3776" s="1">
        <v>-1.313639E-6</v>
      </c>
      <c r="I3776">
        <v>181.07470000000001</v>
      </c>
      <c r="J3776">
        <v>-192.03139999999999</v>
      </c>
      <c r="K3776">
        <v>1.118009</v>
      </c>
      <c r="L3776">
        <v>200.34979999999999</v>
      </c>
      <c r="M3776">
        <v>0.19186990000000001</v>
      </c>
      <c r="N3776">
        <v>-1.198512E-2</v>
      </c>
      <c r="O3776">
        <v>-0.98134730000000003</v>
      </c>
      <c r="P3776">
        <v>-3.9257420000000001E-2</v>
      </c>
      <c r="Q3776">
        <v>-0.117784</v>
      </c>
      <c r="R3776">
        <v>-0.99226309999999995</v>
      </c>
      <c r="S3776">
        <v>-7.4890139999999994E-2</v>
      </c>
      <c r="T3776">
        <v>-0.17255690000000001</v>
      </c>
      <c r="U3776">
        <v>-2.999908</v>
      </c>
      <c r="V3776">
        <v>0.22818530000000001</v>
      </c>
      <c r="W3776">
        <v>-0.10777870000000001</v>
      </c>
      <c r="X3776">
        <v>0.96763379999999999</v>
      </c>
      <c r="Y3776">
        <v>0.21619840000000001</v>
      </c>
      <c r="Z3776">
        <v>4.313873E-2</v>
      </c>
      <c r="AA3776">
        <v>0.97539600000000004</v>
      </c>
      <c r="AB3776">
        <v>16</v>
      </c>
      <c r="AC3776">
        <v>-0.51040000000000396</v>
      </c>
      <c r="AD3776">
        <v>-1.1180103136390001</v>
      </c>
      <c r="AE3776">
        <v>-19.275099999999899</v>
      </c>
      <c r="AF3776">
        <v>4.1854210610032903</v>
      </c>
      <c r="AG3776">
        <v>-1.1180103136390001</v>
      </c>
      <c r="AH3776">
        <v>18.755929600271301</v>
      </c>
      <c r="AI3776">
        <v>93.329568678950295</v>
      </c>
      <c r="AJ3776">
        <v>77.420443119344696</v>
      </c>
      <c r="AK3776">
        <v>19.249742639568598</v>
      </c>
      <c r="AL3776">
        <v>96.187283284828496</v>
      </c>
      <c r="AM3776">
        <v>76.731051176461804</v>
      </c>
      <c r="AN3776">
        <v>0.99999997510610905</v>
      </c>
    </row>
    <row r="3777" spans="1:40" x14ac:dyDescent="0.25">
      <c r="A3777" t="str">
        <f>"20190303154547384"</f>
        <v>20190303154547384</v>
      </c>
      <c r="B3777" t="str">
        <f>"1551599147374518"</f>
        <v>1551599147374518</v>
      </c>
      <c r="C3777" t="s">
        <v>40</v>
      </c>
      <c r="D3777">
        <v>5.390371</v>
      </c>
      <c r="E3777">
        <v>0.49632080000000001</v>
      </c>
      <c r="F3777" t="s">
        <v>41</v>
      </c>
      <c r="G3777">
        <v>-192.60929999999999</v>
      </c>
      <c r="H3777" s="1">
        <v>-1.120195E-6</v>
      </c>
      <c r="I3777">
        <v>180.58199999999999</v>
      </c>
      <c r="J3777">
        <v>-192.00810000000001</v>
      </c>
      <c r="K3777">
        <v>1.117977</v>
      </c>
      <c r="L3777">
        <v>200.1926</v>
      </c>
      <c r="M3777">
        <v>0.18578610000000001</v>
      </c>
      <c r="N3777">
        <v>-1.179083E-2</v>
      </c>
      <c r="O3777">
        <v>-0.98251940000000004</v>
      </c>
      <c r="P3777">
        <v>-4.2572550000000001E-2</v>
      </c>
      <c r="Q3777">
        <v>-0.1175075</v>
      </c>
      <c r="R3777">
        <v>-0.99215900000000001</v>
      </c>
      <c r="S3777">
        <v>-8.7692259999999994E-2</v>
      </c>
      <c r="T3777">
        <v>-0.169659</v>
      </c>
      <c r="U3777">
        <v>-2.9997859999999998</v>
      </c>
      <c r="V3777">
        <v>0.22542789999999999</v>
      </c>
      <c r="W3777">
        <v>-0.1076732</v>
      </c>
      <c r="X3777">
        <v>0.96829169999999998</v>
      </c>
      <c r="Y3777">
        <v>0.214314</v>
      </c>
      <c r="Z3777">
        <v>4.2515650000000002E-2</v>
      </c>
      <c r="AA3777">
        <v>0.97583909999999996</v>
      </c>
      <c r="AB3777">
        <v>16</v>
      </c>
      <c r="AC3777">
        <v>-0.60119999999997698</v>
      </c>
      <c r="AD3777">
        <v>-1.1179781201950001</v>
      </c>
      <c r="AE3777">
        <v>-19.610600000000002</v>
      </c>
      <c r="AF3777">
        <v>4.2206578746525496</v>
      </c>
      <c r="AG3777">
        <v>-1.1179781201950001</v>
      </c>
      <c r="AH3777">
        <v>19.095431211063399</v>
      </c>
      <c r="AI3777">
        <v>93.271873348596401</v>
      </c>
      <c r="AJ3777">
        <v>77.536318569341702</v>
      </c>
      <c r="AK3777">
        <v>19.588244462139901</v>
      </c>
      <c r="AL3777">
        <v>96.181202818580502</v>
      </c>
      <c r="AM3777">
        <v>76.894422652066197</v>
      </c>
      <c r="AN3777">
        <v>1.0000000361927599</v>
      </c>
    </row>
    <row r="3778" spans="1:40" x14ac:dyDescent="0.25">
      <c r="A3778" t="str">
        <f>"20190303154547406"</f>
        <v>20190303154547406</v>
      </c>
      <c r="B3778" t="str">
        <f>"1551599147395014"</f>
        <v>1551599147395014</v>
      </c>
      <c r="C3778" t="s">
        <v>40</v>
      </c>
      <c r="D3778">
        <v>5.4188799999999997</v>
      </c>
      <c r="E3778">
        <v>0.4963014</v>
      </c>
      <c r="F3778" t="s">
        <v>41</v>
      </c>
      <c r="G3778">
        <v>-192.66480000000001</v>
      </c>
      <c r="H3778" s="1">
        <v>-9.7451410000000006E-7</v>
      </c>
      <c r="I3778">
        <v>180.208</v>
      </c>
      <c r="J3778">
        <v>-191.98480000000001</v>
      </c>
      <c r="K3778">
        <v>1.117947</v>
      </c>
      <c r="L3778">
        <v>200.02780000000001</v>
      </c>
      <c r="M3778">
        <v>0.1794077</v>
      </c>
      <c r="N3778">
        <v>-1.1590400000000001E-2</v>
      </c>
      <c r="O3778">
        <v>-0.98370670000000004</v>
      </c>
      <c r="P3778">
        <v>-4.5313050000000001E-2</v>
      </c>
      <c r="Q3778">
        <v>-0.11526119999999999</v>
      </c>
      <c r="R3778">
        <v>-0.99230119999999999</v>
      </c>
      <c r="S3778">
        <v>-9.8556519999999995E-2</v>
      </c>
      <c r="T3778">
        <v>-0.16780210000000001</v>
      </c>
      <c r="U3778">
        <v>-2.9995729999999998</v>
      </c>
      <c r="V3778">
        <v>0.22188050000000001</v>
      </c>
      <c r="W3778">
        <v>-0.1055932</v>
      </c>
      <c r="X3778">
        <v>0.96933950000000002</v>
      </c>
      <c r="Y3778">
        <v>0.21151300000000001</v>
      </c>
      <c r="Z3778">
        <v>4.223768E-2</v>
      </c>
      <c r="AA3778">
        <v>0.9764621</v>
      </c>
      <c r="AB3778">
        <v>16</v>
      </c>
      <c r="AC3778">
        <v>-0.68000000000000604</v>
      </c>
      <c r="AD3778">
        <v>-1.1179479745141001</v>
      </c>
      <c r="AE3778">
        <v>-19.819800000000001</v>
      </c>
      <c r="AF3778">
        <v>4.21164440184676</v>
      </c>
      <c r="AG3778">
        <v>-1.1179479745141001</v>
      </c>
      <c r="AH3778">
        <v>19.3147915585992</v>
      </c>
      <c r="AI3778">
        <v>93.236719818296507</v>
      </c>
      <c r="AJ3778">
        <v>77.699040606818997</v>
      </c>
      <c r="AK3778">
        <v>19.800225483399402</v>
      </c>
      <c r="AL3778">
        <v>96.061344579484796</v>
      </c>
      <c r="AM3778">
        <v>77.107182340862295</v>
      </c>
      <c r="AN3778">
        <v>0.99999997321336898</v>
      </c>
    </row>
    <row r="3779" spans="1:40" x14ac:dyDescent="0.25">
      <c r="A3779" t="str">
        <f>"20190303154547429"</f>
        <v>20190303154547429</v>
      </c>
      <c r="B3779" t="str">
        <f>"1551599147424294"</f>
        <v>1551599147424294</v>
      </c>
      <c r="C3779" t="s">
        <v>40</v>
      </c>
      <c r="D3779">
        <v>5.4948790000000001</v>
      </c>
      <c r="E3779">
        <v>0.496307</v>
      </c>
      <c r="F3779" t="s">
        <v>41</v>
      </c>
      <c r="G3779">
        <v>-192.72380000000001</v>
      </c>
      <c r="H3779" s="1">
        <v>-4.6317199999999998E-6</v>
      </c>
      <c r="I3779">
        <v>179.17750000000001</v>
      </c>
      <c r="J3779">
        <v>-191.9616</v>
      </c>
      <c r="K3779">
        <v>1.1179269999999999</v>
      </c>
      <c r="L3779">
        <v>199.8563</v>
      </c>
      <c r="M3779">
        <v>0.1727667</v>
      </c>
      <c r="N3779">
        <v>-1.139013E-2</v>
      </c>
      <c r="O3779">
        <v>-0.98489720000000003</v>
      </c>
      <c r="P3779">
        <v>-4.8813179999999998E-2</v>
      </c>
      <c r="Q3779">
        <v>-0.11071060000000001</v>
      </c>
      <c r="R3779">
        <v>-0.99265369999999997</v>
      </c>
      <c r="S3779">
        <v>-0.10632320000000001</v>
      </c>
      <c r="T3779">
        <v>-0.16083939999999999</v>
      </c>
      <c r="U3779">
        <v>-2.9997250000000002</v>
      </c>
      <c r="V3779">
        <v>0.21887909999999999</v>
      </c>
      <c r="W3779">
        <v>-0.1012096</v>
      </c>
      <c r="X3779">
        <v>0.97048880000000004</v>
      </c>
      <c r="Y3779">
        <v>0.20744969999999999</v>
      </c>
      <c r="Z3779">
        <v>4.0321719999999998E-2</v>
      </c>
      <c r="AA3779">
        <v>0.97741440000000002</v>
      </c>
      <c r="AB3779">
        <v>16</v>
      </c>
      <c r="AC3779">
        <v>-0.76220000000000698</v>
      </c>
      <c r="AD3779">
        <v>-1.1179316317200001</v>
      </c>
      <c r="AE3779">
        <v>-20.678799999999899</v>
      </c>
      <c r="AF3779">
        <v>4.3109934171226199</v>
      </c>
      <c r="AG3779">
        <v>-1.1179316317200001</v>
      </c>
      <c r="AH3779">
        <v>20.177225093634799</v>
      </c>
      <c r="AI3779">
        <v>93.101408738195005</v>
      </c>
      <c r="AJ3779">
        <v>77.939721039629205</v>
      </c>
      <c r="AK3779">
        <v>20.662885758162702</v>
      </c>
      <c r="AL3779">
        <v>95.808829003421295</v>
      </c>
      <c r="AM3779">
        <v>77.290448797062993</v>
      </c>
      <c r="AN3779">
        <v>0.99999997723720402</v>
      </c>
    </row>
    <row r="3780" spans="1:40" x14ac:dyDescent="0.25">
      <c r="A3780" t="str">
        <f>"20190303154547453"</f>
        <v>20190303154547453</v>
      </c>
      <c r="B3780" t="str">
        <f>"1551599147444790"</f>
        <v>1551599147444790</v>
      </c>
      <c r="C3780" t="s">
        <v>40</v>
      </c>
      <c r="D3780">
        <v>5.5987169999999997</v>
      </c>
      <c r="E3780">
        <v>0.52825979999999995</v>
      </c>
      <c r="F3780" t="s">
        <v>41</v>
      </c>
      <c r="G3780">
        <v>-192.84899999999999</v>
      </c>
      <c r="H3780" s="1">
        <v>-3.9529349999999998E-6</v>
      </c>
      <c r="I3780">
        <v>177.11760000000001</v>
      </c>
      <c r="J3780">
        <v>-191.93889999999999</v>
      </c>
      <c r="K3780">
        <v>1.117899</v>
      </c>
      <c r="L3780">
        <v>199.679</v>
      </c>
      <c r="M3780">
        <v>0.16591900000000001</v>
      </c>
      <c r="N3780">
        <v>-1.119059E-2</v>
      </c>
      <c r="O3780">
        <v>-0.98607590000000001</v>
      </c>
      <c r="P3780">
        <v>-5.2396539999999998E-2</v>
      </c>
      <c r="Q3780">
        <v>-0.10715479999999999</v>
      </c>
      <c r="R3780">
        <v>-0.99286070000000004</v>
      </c>
      <c r="S3780">
        <v>-0.1170807</v>
      </c>
      <c r="T3780">
        <v>-0.1474936</v>
      </c>
      <c r="U3780">
        <v>-3.0000149999999999</v>
      </c>
      <c r="V3780">
        <v>0.2157287</v>
      </c>
      <c r="W3780">
        <v>-9.7816650000000005E-2</v>
      </c>
      <c r="X3780">
        <v>0.97154160000000001</v>
      </c>
      <c r="Y3780">
        <v>0.20416219999999999</v>
      </c>
      <c r="Z3780">
        <v>3.6331380000000003E-2</v>
      </c>
      <c r="AA3780">
        <v>0.97826270000000004</v>
      </c>
      <c r="AB3780">
        <v>16</v>
      </c>
      <c r="AC3780">
        <v>-0.910100000000028</v>
      </c>
      <c r="AD3780">
        <v>-1.117902952935</v>
      </c>
      <c r="AE3780">
        <v>-22.5613999999999</v>
      </c>
      <c r="AF3780">
        <v>4.6297349776773302</v>
      </c>
      <c r="AG3780">
        <v>-1.117902952935</v>
      </c>
      <c r="AH3780">
        <v>22.043601150912998</v>
      </c>
      <c r="AI3780">
        <v>92.841284014711803</v>
      </c>
      <c r="AJ3780">
        <v>78.138780170326996</v>
      </c>
      <c r="AK3780">
        <v>22.552261631070198</v>
      </c>
      <c r="AL3780">
        <v>95.613457143306306</v>
      </c>
      <c r="AM3780">
        <v>77.4807145986276</v>
      </c>
      <c r="AN3780">
        <v>1.0000000247757299</v>
      </c>
    </row>
    <row r="3781" spans="1:40" x14ac:dyDescent="0.25">
      <c r="A3781" t="str">
        <f>"20190303154547476"</f>
        <v>20190303154547476</v>
      </c>
      <c r="B3781" t="str">
        <f>"1551599147464310"</f>
        <v>1551599147464310</v>
      </c>
      <c r="C3781" t="s">
        <v>40</v>
      </c>
      <c r="D3781">
        <v>5.5540180000000001</v>
      </c>
      <c r="E3781">
        <v>0.53405429999999998</v>
      </c>
      <c r="F3781" t="s">
        <v>41</v>
      </c>
      <c r="G3781">
        <v>-194.8792</v>
      </c>
      <c r="H3781" s="1">
        <v>-4.1749989999999996E-6</v>
      </c>
      <c r="I3781">
        <v>176.71190000000001</v>
      </c>
      <c r="J3781">
        <v>-191.91829999999999</v>
      </c>
      <c r="K3781">
        <v>1.1178760000000001</v>
      </c>
      <c r="L3781">
        <v>199.5103</v>
      </c>
      <c r="M3781">
        <v>0.15944069999999999</v>
      </c>
      <c r="N3781">
        <v>-1.1008820000000001E-2</v>
      </c>
      <c r="O3781">
        <v>-0.98714630000000003</v>
      </c>
      <c r="P3781">
        <v>-5.4786469999999997E-2</v>
      </c>
      <c r="Q3781">
        <v>-0.1071233</v>
      </c>
      <c r="R3781">
        <v>-0.99273529999999999</v>
      </c>
      <c r="S3781">
        <v>-0.38224789999999997</v>
      </c>
      <c r="T3781">
        <v>-0.14532790000000001</v>
      </c>
      <c r="U3781">
        <v>-2.9857330000000002</v>
      </c>
      <c r="V3781">
        <v>0.21169199999999999</v>
      </c>
      <c r="W3781">
        <v>-9.7919610000000004E-2</v>
      </c>
      <c r="X3781">
        <v>0.97241880000000003</v>
      </c>
      <c r="Y3781">
        <v>0.2833463</v>
      </c>
      <c r="Z3781">
        <v>3.5383299999999999E-2</v>
      </c>
      <c r="AA3781">
        <v>0.95836469999999896</v>
      </c>
      <c r="AB3781">
        <v>16</v>
      </c>
      <c r="AC3781">
        <v>-2.9609000000000001</v>
      </c>
      <c r="AD3781">
        <v>-1.1178801749989999</v>
      </c>
      <c r="AE3781">
        <v>-22.798399999999901</v>
      </c>
      <c r="AF3781">
        <v>6.5427610282257396</v>
      </c>
      <c r="AG3781">
        <v>-1.1178801749989999</v>
      </c>
      <c r="AH3781">
        <v>21.982624353269301</v>
      </c>
      <c r="AI3781">
        <v>92.790381044062102</v>
      </c>
      <c r="AJ3781">
        <v>73.4252420929393</v>
      </c>
      <c r="AK3781">
        <v>22.962864616921699</v>
      </c>
      <c r="AL3781">
        <v>95.619384699762406</v>
      </c>
      <c r="AM3781">
        <v>77.718539529666799</v>
      </c>
      <c r="AN3781">
        <v>1.00000003773999</v>
      </c>
    </row>
    <row r="3782" spans="1:40" x14ac:dyDescent="0.25">
      <c r="A3782" t="str">
        <f>"20190303154547519"</f>
        <v>20190303154547519</v>
      </c>
      <c r="B3782" t="str">
        <f>"1551599147515062"</f>
        <v>1551599147515062</v>
      </c>
      <c r="C3782" t="s">
        <v>40</v>
      </c>
      <c r="D3782">
        <v>5.5805540000000002</v>
      </c>
      <c r="E3782">
        <v>0.53913889999999998</v>
      </c>
      <c r="F3782" t="s">
        <v>41</v>
      </c>
      <c r="G3782">
        <v>-195.31129999999999</v>
      </c>
      <c r="H3782" s="1">
        <v>-4.0888230000000001E-6</v>
      </c>
      <c r="I3782">
        <v>176.23339999999999</v>
      </c>
      <c r="J3782">
        <v>-191.88159999999999</v>
      </c>
      <c r="K3782">
        <v>1.1178920000000001</v>
      </c>
      <c r="L3782">
        <v>199.1848</v>
      </c>
      <c r="M3782">
        <v>0.14716609999999999</v>
      </c>
      <c r="N3782">
        <v>-1.067537E-2</v>
      </c>
      <c r="O3782">
        <v>-0.98905419999999999</v>
      </c>
      <c r="P3782">
        <v>-5.679468E-2</v>
      </c>
      <c r="Q3782">
        <v>-0.1118923</v>
      </c>
      <c r="R3782">
        <v>-0.99209599999999998</v>
      </c>
      <c r="S3782">
        <v>-0.43475340000000001</v>
      </c>
      <c r="T3782">
        <v>-0.1432359</v>
      </c>
      <c r="U3782">
        <v>-2.9824980000000001</v>
      </c>
      <c r="V3782">
        <v>0.20148460000000001</v>
      </c>
      <c r="W3782">
        <v>-0.1028876</v>
      </c>
      <c r="X3782">
        <v>0.97407290000000002</v>
      </c>
      <c r="Y3782">
        <v>0.28812549999999998</v>
      </c>
      <c r="Z3782">
        <v>3.514391E-2</v>
      </c>
      <c r="AA3782">
        <v>0.95694749999999995</v>
      </c>
      <c r="AB3782">
        <v>17</v>
      </c>
      <c r="AC3782">
        <v>-3.4296999999999902</v>
      </c>
      <c r="AD3782">
        <v>-1.1178960888230001</v>
      </c>
      <c r="AE3782">
        <v>-22.9514</v>
      </c>
      <c r="AF3782">
        <v>6.7545385586232696</v>
      </c>
      <c r="AG3782">
        <v>-1.1178960888230001</v>
      </c>
      <c r="AH3782">
        <v>22.1453178505521</v>
      </c>
      <c r="AI3782">
        <v>92.764322837107002</v>
      </c>
      <c r="AJ3782">
        <v>73.037781374450006</v>
      </c>
      <c r="AK3782">
        <v>23.179486308098301</v>
      </c>
      <c r="AL3782">
        <v>95.905476000437005</v>
      </c>
      <c r="AM3782">
        <v>78.313322792526705</v>
      </c>
      <c r="AN3782">
        <v>0.99999995839266398</v>
      </c>
    </row>
    <row r="3783" spans="1:40" x14ac:dyDescent="0.25">
      <c r="A3783" t="str">
        <f>"20190303154547542"</f>
        <v>20190303154547542</v>
      </c>
      <c r="B3783" t="str">
        <f>"1551599147534582"</f>
        <v>1551599147534582</v>
      </c>
      <c r="C3783" t="s">
        <v>40</v>
      </c>
      <c r="D3783">
        <v>5.6389490000000002</v>
      </c>
      <c r="E3783">
        <v>0.53817729999999997</v>
      </c>
      <c r="F3783" t="s">
        <v>41</v>
      </c>
      <c r="G3783">
        <v>-194.96889999999999</v>
      </c>
      <c r="H3783" s="1">
        <v>-1.523212E-6</v>
      </c>
      <c r="I3783">
        <v>180.05789999999999</v>
      </c>
      <c r="J3783">
        <v>-191.8638</v>
      </c>
      <c r="K3783">
        <v>1.1179209999999999</v>
      </c>
      <c r="L3783">
        <v>199.01419999999999</v>
      </c>
      <c r="M3783">
        <v>0.140878799999999</v>
      </c>
      <c r="N3783">
        <v>-1.051092E-2</v>
      </c>
      <c r="O3783">
        <v>-0.98997109999999999</v>
      </c>
      <c r="P3783">
        <v>-5.8109859999999999E-2</v>
      </c>
      <c r="Q3783">
        <v>-0.1153435</v>
      </c>
      <c r="R3783">
        <v>-0.99162459999999997</v>
      </c>
      <c r="S3783">
        <v>-0.48048400000000002</v>
      </c>
      <c r="T3783">
        <v>-0.1739821</v>
      </c>
      <c r="U3783">
        <v>-2.976791</v>
      </c>
      <c r="V3783">
        <v>0.19652410000000001</v>
      </c>
      <c r="W3783">
        <v>-0.106431</v>
      </c>
      <c r="X3783">
        <v>0.9747055</v>
      </c>
      <c r="Y3783">
        <v>0.29656919999999998</v>
      </c>
      <c r="Z3783">
        <v>4.5182149999999997E-2</v>
      </c>
      <c r="AA3783">
        <v>0.95394199999999996</v>
      </c>
      <c r="AB3783">
        <v>17</v>
      </c>
      <c r="AC3783">
        <v>-3.10509999999999</v>
      </c>
      <c r="AD3783">
        <v>-1.117922523212</v>
      </c>
      <c r="AE3783">
        <v>-18.956299999999999</v>
      </c>
      <c r="AF3783">
        <v>5.7254250383624301</v>
      </c>
      <c r="AG3783">
        <v>-1.117922523212</v>
      </c>
      <c r="AH3783">
        <v>18.267884496065498</v>
      </c>
      <c r="AI3783">
        <v>93.342002284851503</v>
      </c>
      <c r="AJ3783">
        <v>72.598237746977702</v>
      </c>
      <c r="AK3783">
        <v>19.176700618182501</v>
      </c>
      <c r="AL3783">
        <v>96.109618576071696</v>
      </c>
      <c r="AM3783">
        <v>78.600621547473693</v>
      </c>
      <c r="AN3783">
        <v>1.0000000456860201</v>
      </c>
    </row>
    <row r="3784" spans="1:40" x14ac:dyDescent="0.25">
      <c r="A3784" t="str">
        <f>"20190303154547562"</f>
        <v>20190303154547562</v>
      </c>
      <c r="B3784" t="str">
        <f>"1551599147555095"</f>
        <v>1551599147555095</v>
      </c>
      <c r="C3784" t="s">
        <v>40</v>
      </c>
      <c r="D3784">
        <v>5.6438059999999997</v>
      </c>
      <c r="E3784">
        <v>0.53763349999999999</v>
      </c>
      <c r="F3784" t="s">
        <v>41</v>
      </c>
      <c r="G3784">
        <v>-194.55510000000001</v>
      </c>
      <c r="H3784" s="1">
        <v>-2.3437760000000001E-6</v>
      </c>
      <c r="I3784">
        <v>182.22730000000001</v>
      </c>
      <c r="J3784">
        <v>-191.8477</v>
      </c>
      <c r="K3784">
        <v>1.1179619999999999</v>
      </c>
      <c r="L3784">
        <v>198.85130000000001</v>
      </c>
      <c r="M3784">
        <v>0.13501050000000001</v>
      </c>
      <c r="N3784">
        <v>-1.034479E-2</v>
      </c>
      <c r="O3784">
        <v>-0.99079030000000001</v>
      </c>
      <c r="P3784">
        <v>-5.9220370000000001E-2</v>
      </c>
      <c r="Q3784">
        <v>-0.1177898</v>
      </c>
      <c r="R3784">
        <v>-0.99127140000000002</v>
      </c>
      <c r="S3784">
        <v>-0.47685240000000001</v>
      </c>
      <c r="T3784">
        <v>-0.19807640000000001</v>
      </c>
      <c r="U3784">
        <v>-2.9743499999999998</v>
      </c>
      <c r="V3784">
        <v>0.19180449999999999</v>
      </c>
      <c r="W3784">
        <v>-0.10896980000000001</v>
      </c>
      <c r="X3784">
        <v>0.97536489999999998</v>
      </c>
      <c r="Y3784">
        <v>0.2898192</v>
      </c>
      <c r="Z3784">
        <v>5.3263369999999997E-2</v>
      </c>
      <c r="AA3784">
        <v>0.95559819999999995</v>
      </c>
      <c r="AB3784">
        <v>17</v>
      </c>
      <c r="AC3784">
        <v>-2.7073999999999998</v>
      </c>
      <c r="AD3784">
        <v>-1.1179643437760001</v>
      </c>
      <c r="AE3784">
        <v>-16.623999999999899</v>
      </c>
      <c r="AF3784">
        <v>4.9055308498451904</v>
      </c>
      <c r="AG3784">
        <v>-1.1179643437760001</v>
      </c>
      <c r="AH3784">
        <v>16.035582064226102</v>
      </c>
      <c r="AI3784">
        <v>93.814148106938504</v>
      </c>
      <c r="AJ3784">
        <v>72.990323734334694</v>
      </c>
      <c r="AK3784">
        <v>16.806366928377699</v>
      </c>
      <c r="AL3784">
        <v>96.255932245512298</v>
      </c>
      <c r="AM3784">
        <v>78.874801366725407</v>
      </c>
      <c r="AN3784">
        <v>1.0000000358421399</v>
      </c>
    </row>
    <row r="3785" spans="1:40" x14ac:dyDescent="0.25">
      <c r="A3785" t="str">
        <f>"20190303154547586"</f>
        <v>20190303154547586</v>
      </c>
      <c r="B3785" t="str">
        <f>"1551599147574598"</f>
        <v>1551599147574598</v>
      </c>
      <c r="C3785" t="s">
        <v>40</v>
      </c>
      <c r="D3785">
        <v>5.6490619999999998</v>
      </c>
      <c r="E3785">
        <v>0.53744499999999995</v>
      </c>
      <c r="F3785" t="s">
        <v>41</v>
      </c>
      <c r="G3785">
        <v>-194.32230000000001</v>
      </c>
      <c r="H3785" s="1">
        <v>-2.783512E-6</v>
      </c>
      <c r="I3785">
        <v>183.39670000000001</v>
      </c>
      <c r="J3785">
        <v>-191.83160000000001</v>
      </c>
      <c r="K3785">
        <v>1.118004</v>
      </c>
      <c r="L3785">
        <v>198.67949999999999</v>
      </c>
      <c r="M3785">
        <v>0.1289622</v>
      </c>
      <c r="N3785">
        <v>-1.016061E-2</v>
      </c>
      <c r="O3785">
        <v>-0.99159739999999996</v>
      </c>
      <c r="P3785">
        <v>-6.0488430000000003E-2</v>
      </c>
      <c r="Q3785">
        <v>-0.11695</v>
      </c>
      <c r="R3785">
        <v>-0.99129400000000001</v>
      </c>
      <c r="S3785">
        <v>-0.47595209999999999</v>
      </c>
      <c r="T3785">
        <v>-0.2150234</v>
      </c>
      <c r="U3785">
        <v>-2.972458</v>
      </c>
      <c r="V3785">
        <v>0.187139</v>
      </c>
      <c r="W3785">
        <v>-0.10823770000000001</v>
      </c>
      <c r="X3785">
        <v>0.9763522</v>
      </c>
      <c r="Y3785">
        <v>0.2837307</v>
      </c>
      <c r="Z3785">
        <v>5.9078640000000002E-2</v>
      </c>
      <c r="AA3785">
        <v>0.95708230000000005</v>
      </c>
      <c r="AB3785">
        <v>17</v>
      </c>
      <c r="AC3785">
        <v>-2.4906999999999999</v>
      </c>
      <c r="AD3785">
        <v>-1.118006783512</v>
      </c>
      <c r="AE3785">
        <v>-15.2827999999999</v>
      </c>
      <c r="AF3785">
        <v>4.4178736937033696</v>
      </c>
      <c r="AG3785">
        <v>-1.118006783512</v>
      </c>
      <c r="AH3785">
        <v>14.757014918501399</v>
      </c>
      <c r="AI3785">
        <v>94.151157177621897</v>
      </c>
      <c r="AJ3785">
        <v>73.333641749371097</v>
      </c>
      <c r="AK3785">
        <v>15.444644264157301</v>
      </c>
      <c r="AL3785">
        <v>96.213736573029095</v>
      </c>
      <c r="AM3785">
        <v>79.149622066984804</v>
      </c>
      <c r="AN3785">
        <v>1.0000000117335599</v>
      </c>
    </row>
    <row r="3786" spans="1:40" x14ac:dyDescent="0.25">
      <c r="A3786" t="str">
        <f>"20190303154547608"</f>
        <v>20190303154547608</v>
      </c>
      <c r="B3786" t="str">
        <f>"1551599147604854"</f>
        <v>1551599147604854</v>
      </c>
      <c r="C3786" t="s">
        <v>40</v>
      </c>
      <c r="D3786">
        <v>5.6971249999999998</v>
      </c>
      <c r="E3786">
        <v>0.53706089999999995</v>
      </c>
      <c r="F3786" t="s">
        <v>41</v>
      </c>
      <c r="G3786">
        <v>-194.25819999999999</v>
      </c>
      <c r="H3786" s="1">
        <v>-2.8557750000000002E-6</v>
      </c>
      <c r="I3786">
        <v>183.60489999999999</v>
      </c>
      <c r="J3786">
        <v>-191.81639999999999</v>
      </c>
      <c r="K3786">
        <v>1.11807099999999</v>
      </c>
      <c r="L3786">
        <v>198.5077</v>
      </c>
      <c r="M3786">
        <v>0.1230832</v>
      </c>
      <c r="N3786">
        <v>-9.9757209999999999E-3</v>
      </c>
      <c r="O3786">
        <v>-0.99234630000000001</v>
      </c>
      <c r="P3786">
        <v>-6.0956999999999997E-2</v>
      </c>
      <c r="Q3786">
        <v>-0.11212220000000001</v>
      </c>
      <c r="R3786">
        <v>-0.99182309999999996</v>
      </c>
      <c r="S3786">
        <v>-0.47827150000000002</v>
      </c>
      <c r="T3786">
        <v>-0.22035689999999999</v>
      </c>
      <c r="U3786">
        <v>-2.9711609999999999</v>
      </c>
      <c r="V3786">
        <v>0.18193390000000001</v>
      </c>
      <c r="W3786">
        <v>-0.1035098</v>
      </c>
      <c r="X3786">
        <v>0.97784749999999998</v>
      </c>
      <c r="Y3786">
        <v>0.27882040000000002</v>
      </c>
      <c r="Z3786">
        <v>6.1142559999999999E-2</v>
      </c>
      <c r="AA3786">
        <v>0.95839490000000005</v>
      </c>
      <c r="AB3786">
        <v>17</v>
      </c>
      <c r="AC3786">
        <v>-2.4418000000000002</v>
      </c>
      <c r="AD3786">
        <v>-1.1180738557749901</v>
      </c>
      <c r="AE3786">
        <v>-14.902799999999999</v>
      </c>
      <c r="AF3786">
        <v>4.2343961406436703</v>
      </c>
      <c r="AG3786">
        <v>-1.1180738557749901</v>
      </c>
      <c r="AH3786">
        <v>14.4099255375094</v>
      </c>
      <c r="AI3786">
        <v>94.257417926583699</v>
      </c>
      <c r="AJ3786">
        <v>73.624430139978003</v>
      </c>
      <c r="AK3786">
        <v>15.0607487801713</v>
      </c>
      <c r="AL3786">
        <v>95.941316682481798</v>
      </c>
      <c r="AM3786">
        <v>79.460318819268394</v>
      </c>
      <c r="AN3786">
        <v>0.99999997796074902</v>
      </c>
    </row>
    <row r="3787" spans="1:40" x14ac:dyDescent="0.25">
      <c r="A3787" t="str">
        <f>"20190303154547632"</f>
        <v>20190303154547632</v>
      </c>
      <c r="B3787" t="str">
        <f>"1551599147624374"</f>
        <v>1551599147624374</v>
      </c>
      <c r="C3787" t="s">
        <v>40</v>
      </c>
      <c r="D3787">
        <v>5.6467499999999999</v>
      </c>
      <c r="E3787">
        <v>0.53706140000000002</v>
      </c>
      <c r="F3787" t="s">
        <v>41</v>
      </c>
      <c r="G3787">
        <v>-194.3047</v>
      </c>
      <c r="H3787" s="1">
        <v>-2.604071E-6</v>
      </c>
      <c r="I3787">
        <v>182.98939999999999</v>
      </c>
      <c r="J3787">
        <v>-191.80160000000001</v>
      </c>
      <c r="K3787">
        <v>1.118152</v>
      </c>
      <c r="L3787">
        <v>198.33109999999999</v>
      </c>
      <c r="M3787">
        <v>0.1172388</v>
      </c>
      <c r="N3787">
        <v>-9.7882790000000004E-3</v>
      </c>
      <c r="O3787">
        <v>-0.99305549999999998</v>
      </c>
      <c r="P3787">
        <v>-6.0913639999999998E-2</v>
      </c>
      <c r="Q3787">
        <v>-0.107242</v>
      </c>
      <c r="R3787">
        <v>-0.99236530000000001</v>
      </c>
      <c r="S3787">
        <v>-0.47642519999999999</v>
      </c>
      <c r="T3787">
        <v>-0.2140743</v>
      </c>
      <c r="U3787">
        <v>-2.9712519999999998</v>
      </c>
      <c r="V3787">
        <v>0.1762505</v>
      </c>
      <c r="W3787">
        <v>-9.8725160000000006E-2</v>
      </c>
      <c r="X3787">
        <v>0.97938199999999997</v>
      </c>
      <c r="Y3787">
        <v>0.27260119999999999</v>
      </c>
      <c r="Z3787">
        <v>5.9456849999999999E-2</v>
      </c>
      <c r="AA3787">
        <v>0.96028820000000004</v>
      </c>
      <c r="AB3787">
        <v>17</v>
      </c>
      <c r="AC3787">
        <v>-2.5030999999999799</v>
      </c>
      <c r="AD3787">
        <v>-1.118154604071</v>
      </c>
      <c r="AE3787">
        <v>-15.341699999999999</v>
      </c>
      <c r="AF3787">
        <v>4.2625097667237197</v>
      </c>
      <c r="AG3787">
        <v>-1.118154604071</v>
      </c>
      <c r="AH3787">
        <v>14.865497439521</v>
      </c>
      <c r="AI3787">
        <v>94.135541332206998</v>
      </c>
      <c r="AJ3787">
        <v>74.000366940341195</v>
      </c>
      <c r="AK3787">
        <v>15.5049112656096</v>
      </c>
      <c r="AL3787">
        <v>95.665764260746997</v>
      </c>
      <c r="AM3787">
        <v>79.798194334001295</v>
      </c>
      <c r="AN3787">
        <v>0.99999999894563696</v>
      </c>
    </row>
    <row r="3788" spans="1:40" x14ac:dyDescent="0.25">
      <c r="A3788" t="str">
        <f>"20190303154547652"</f>
        <v>20190303154547652</v>
      </c>
      <c r="B3788" t="str">
        <f>"1551599147644870"</f>
        <v>1551599147644870</v>
      </c>
      <c r="C3788" t="s">
        <v>40</v>
      </c>
      <c r="D3788">
        <v>5.6468410000000002</v>
      </c>
      <c r="E3788">
        <v>0.53724769999999999</v>
      </c>
      <c r="F3788" t="s">
        <v>41</v>
      </c>
      <c r="G3788">
        <v>-194.41990000000001</v>
      </c>
      <c r="H3788" s="1">
        <v>-2.205879E-6</v>
      </c>
      <c r="I3788">
        <v>181.9897</v>
      </c>
      <c r="J3788">
        <v>-191.78870000000001</v>
      </c>
      <c r="K3788">
        <v>1.118223</v>
      </c>
      <c r="L3788">
        <v>198.16990000000001</v>
      </c>
      <c r="M3788">
        <v>0.11209669999999999</v>
      </c>
      <c r="N3788">
        <v>-9.6161230000000007E-3</v>
      </c>
      <c r="O3788">
        <v>-0.9936509</v>
      </c>
      <c r="P3788">
        <v>-5.9850449999999999E-2</v>
      </c>
      <c r="Q3788">
        <v>-0.1046055</v>
      </c>
      <c r="R3788">
        <v>-0.99271129999999996</v>
      </c>
      <c r="S3788">
        <v>-0.47618100000000002</v>
      </c>
      <c r="T3788">
        <v>-0.20334959999999999</v>
      </c>
      <c r="U3788">
        <v>-2.9718779999999998</v>
      </c>
      <c r="V3788">
        <v>0.1702022</v>
      </c>
      <c r="W3788">
        <v>-9.6169690000000002E-2</v>
      </c>
      <c r="X3788">
        <v>0.9807051</v>
      </c>
      <c r="Y3788">
        <v>0.26754800000000001</v>
      </c>
      <c r="Z3788">
        <v>5.6271469999999997E-2</v>
      </c>
      <c r="AA3788">
        <v>0.96189999999999998</v>
      </c>
      <c r="AB3788">
        <v>17</v>
      </c>
      <c r="AC3788">
        <v>-2.6312000000000002</v>
      </c>
      <c r="AD3788">
        <v>-1.1182252058790001</v>
      </c>
      <c r="AE3788">
        <v>-16.180199999999999</v>
      </c>
      <c r="AF3788">
        <v>4.4079343070449504</v>
      </c>
      <c r="AG3788">
        <v>-1.1182252058790001</v>
      </c>
      <c r="AH3788">
        <v>15.7101461908501</v>
      </c>
      <c r="AI3788">
        <v>93.920467773143798</v>
      </c>
      <c r="AJ3788">
        <v>74.327005161651201</v>
      </c>
      <c r="AK3788">
        <v>16.355091127968901</v>
      </c>
      <c r="AL3788">
        <v>95.518646686615199</v>
      </c>
      <c r="AM3788">
        <v>80.1543374178232</v>
      </c>
      <c r="AN3788">
        <v>0.99999994566277095</v>
      </c>
    </row>
    <row r="3789" spans="1:40" x14ac:dyDescent="0.25">
      <c r="A3789" t="str">
        <f>"20190303154547677"</f>
        <v>20190303154547677</v>
      </c>
      <c r="B3789" t="str">
        <f>"1551599147664391"</f>
        <v>1551599147664391</v>
      </c>
      <c r="C3789" t="s">
        <v>40</v>
      </c>
      <c r="D3789">
        <v>5.6226279999999997</v>
      </c>
      <c r="E3789">
        <v>0.53719819999999996</v>
      </c>
      <c r="F3789" t="s">
        <v>41</v>
      </c>
      <c r="G3789">
        <v>-194.6454</v>
      </c>
      <c r="H3789" s="1">
        <v>-1.523313E-6</v>
      </c>
      <c r="I3789">
        <v>180.25880000000001</v>
      </c>
      <c r="J3789">
        <v>-191.77449999999999</v>
      </c>
      <c r="K3789">
        <v>1.1183050000000001</v>
      </c>
      <c r="L3789">
        <v>197.98179999999999</v>
      </c>
      <c r="M3789">
        <v>0.1063461</v>
      </c>
      <c r="N3789">
        <v>-9.4145889999999992E-3</v>
      </c>
      <c r="O3789">
        <v>-0.99428459999999996</v>
      </c>
      <c r="P3789">
        <v>-5.9647260000000001E-2</v>
      </c>
      <c r="Q3789">
        <v>-0.10805049999999999</v>
      </c>
      <c r="R3789">
        <v>-0.99235450000000003</v>
      </c>
      <c r="S3789">
        <v>-0.47430420000000001</v>
      </c>
      <c r="T3789">
        <v>-0.1856641</v>
      </c>
      <c r="U3789">
        <v>-2.973862</v>
      </c>
      <c r="V3789">
        <v>0.1642998</v>
      </c>
      <c r="W3789">
        <v>-9.9722469999999994E-2</v>
      </c>
      <c r="X3789">
        <v>0.98135669999999997</v>
      </c>
      <c r="Y3789">
        <v>0.26133529999999999</v>
      </c>
      <c r="Z3789">
        <v>5.0837840000000002E-2</v>
      </c>
      <c r="AA3789">
        <v>0.9639084</v>
      </c>
      <c r="AB3789">
        <v>17</v>
      </c>
      <c r="AC3789">
        <v>-2.8708999999999998</v>
      </c>
      <c r="AD3789">
        <v>-1.1183065233129901</v>
      </c>
      <c r="AE3789">
        <v>-17.7229999999999</v>
      </c>
      <c r="AF3789">
        <v>4.7211569677373602</v>
      </c>
      <c r="AG3789">
        <v>-1.1183065233129901</v>
      </c>
      <c r="AH3789">
        <v>17.250238687569698</v>
      </c>
      <c r="AI3789">
        <v>93.577984301173302</v>
      </c>
      <c r="AJ3789">
        <v>74.693740481628296</v>
      </c>
      <c r="AK3789">
        <v>17.919561026214499</v>
      </c>
      <c r="AL3789">
        <v>95.723189387626206</v>
      </c>
      <c r="AM3789">
        <v>80.495626398408106</v>
      </c>
      <c r="AN3789">
        <v>0.99999998396891498</v>
      </c>
    </row>
    <row r="3790" spans="1:40" x14ac:dyDescent="0.25">
      <c r="A3790" t="str">
        <f>"20190303154547699"</f>
        <v>20190303154547699</v>
      </c>
      <c r="B3790" t="str">
        <f>"1551599147695622"</f>
        <v>1551599147695622</v>
      </c>
      <c r="C3790" t="s">
        <v>40</v>
      </c>
      <c r="D3790">
        <v>5.4960469999999999</v>
      </c>
      <c r="E3790">
        <v>0.4980678</v>
      </c>
      <c r="F3790" t="s">
        <v>41</v>
      </c>
      <c r="G3790">
        <v>-194.41370000000001</v>
      </c>
      <c r="H3790" s="1">
        <v>-1.9494949999999998E-6</v>
      </c>
      <c r="I3790">
        <v>181.39590000000001</v>
      </c>
      <c r="J3790">
        <v>-191.76169999999999</v>
      </c>
      <c r="K3790">
        <v>1.1183860000000001</v>
      </c>
      <c r="L3790">
        <v>197.8048</v>
      </c>
      <c r="M3790">
        <v>0.1011831</v>
      </c>
      <c r="N3790">
        <v>-9.2213290000000003E-3</v>
      </c>
      <c r="O3790">
        <v>-0.99482519999999997</v>
      </c>
      <c r="P3790">
        <v>-5.9380860000000001E-2</v>
      </c>
      <c r="Q3790">
        <v>-0.1135018</v>
      </c>
      <c r="R3790">
        <v>-0.99176200000000003</v>
      </c>
      <c r="S3790">
        <v>-0.473053</v>
      </c>
      <c r="T3790">
        <v>-0.20044509999999999</v>
      </c>
      <c r="U3790">
        <v>-2.972855</v>
      </c>
      <c r="V3790">
        <v>0.15888379999999999</v>
      </c>
      <c r="W3790">
        <v>-0.1052828</v>
      </c>
      <c r="X3790">
        <v>0.98166770000000003</v>
      </c>
      <c r="Y3790">
        <v>0.25593050000000001</v>
      </c>
      <c r="Z3790">
        <v>5.5946889999999999E-2</v>
      </c>
      <c r="AA3790">
        <v>0.96507489999999996</v>
      </c>
      <c r="AB3790">
        <v>17</v>
      </c>
      <c r="AC3790">
        <v>-2.6520000000000099</v>
      </c>
      <c r="AD3790">
        <v>-1.118387949495</v>
      </c>
      <c r="AE3790">
        <v>-16.4088999999999</v>
      </c>
      <c r="AF3790">
        <v>4.2793885251237196</v>
      </c>
      <c r="AG3790">
        <v>-1.118387949495</v>
      </c>
      <c r="AH3790">
        <v>15.983968204141</v>
      </c>
      <c r="AI3790">
        <v>93.866678376626496</v>
      </c>
      <c r="AJ3790">
        <v>75.011715762002893</v>
      </c>
      <c r="AK3790">
        <v>16.584667536780099</v>
      </c>
      <c r="AL3790">
        <v>96.0434601078166</v>
      </c>
      <c r="AM3790">
        <v>80.806351407169601</v>
      </c>
      <c r="AN3790">
        <v>1.0000000015507799</v>
      </c>
    </row>
    <row r="3791" spans="1:40" x14ac:dyDescent="0.25">
      <c r="A3791" t="str">
        <f>"20190303154547720"</f>
        <v>20190303154547720</v>
      </c>
      <c r="B3791" t="str">
        <f>"1551599147715142"</f>
        <v>1551599147715142</v>
      </c>
      <c r="C3791" t="s">
        <v>40</v>
      </c>
      <c r="D3791">
        <v>5.5248790000000003</v>
      </c>
      <c r="E3791">
        <v>0.49411319999999997</v>
      </c>
      <c r="F3791" t="s">
        <v>41</v>
      </c>
      <c r="G3791">
        <v>-192.6054</v>
      </c>
      <c r="H3791" s="1">
        <v>-1.768941E-6</v>
      </c>
      <c r="I3791">
        <v>182.0966</v>
      </c>
      <c r="J3791">
        <v>-191.7508</v>
      </c>
      <c r="K3791">
        <v>1.1184459999999901</v>
      </c>
      <c r="L3791">
        <v>197.6456</v>
      </c>
      <c r="M3791">
        <v>9.6757990000000002E-2</v>
      </c>
      <c r="N3791">
        <v>-9.0398530000000005E-3</v>
      </c>
      <c r="O3791">
        <v>-0.99526700000000001</v>
      </c>
      <c r="P3791">
        <v>-5.8305450000000002E-2</v>
      </c>
      <c r="Q3791">
        <v>-0.11812880000000001</v>
      </c>
      <c r="R3791">
        <v>-0.99128510000000003</v>
      </c>
      <c r="S3791">
        <v>-0.1606293</v>
      </c>
      <c r="T3791">
        <v>-0.2129481</v>
      </c>
      <c r="U3791">
        <v>-2.990936</v>
      </c>
      <c r="V3791">
        <v>0.15340870000000001</v>
      </c>
      <c r="W3791">
        <v>-0.1100155</v>
      </c>
      <c r="X3791">
        <v>0.98201950000000005</v>
      </c>
      <c r="Y3791">
        <v>0.149843</v>
      </c>
      <c r="Z3791">
        <v>6.1023439999999998E-2</v>
      </c>
      <c r="AA3791">
        <v>0.98682479999999995</v>
      </c>
      <c r="AB3791">
        <v>17</v>
      </c>
      <c r="AC3791">
        <v>-0.85460000000000402</v>
      </c>
      <c r="AD3791">
        <v>-1.11844776894099</v>
      </c>
      <c r="AE3791">
        <v>-15.548999999999999</v>
      </c>
      <c r="AF3791">
        <v>2.3430546710167501</v>
      </c>
      <c r="AG3791">
        <v>-1.11844776894099</v>
      </c>
      <c r="AH3791">
        <v>15.3143466149453</v>
      </c>
      <c r="AI3791">
        <v>94.129168823735</v>
      </c>
      <c r="AJ3791">
        <v>81.301351394805096</v>
      </c>
      <c r="AK3791">
        <v>15.5328697556475</v>
      </c>
      <c r="AL3791">
        <v>96.316209273934206</v>
      </c>
      <c r="AM3791">
        <v>81.121154676889603</v>
      </c>
      <c r="AN3791">
        <v>0.99999996892809395</v>
      </c>
    </row>
    <row r="3792" spans="1:40" x14ac:dyDescent="0.25">
      <c r="A3792" t="str">
        <f>"20190303154547742"</f>
        <v>20190303154547742</v>
      </c>
      <c r="B3792" t="str">
        <f>"1551599147734663"</f>
        <v>1551599147734663</v>
      </c>
      <c r="C3792" t="s">
        <v>40</v>
      </c>
      <c r="D3792">
        <v>5.4894319999999999</v>
      </c>
      <c r="E3792">
        <v>0.49246669999999998</v>
      </c>
      <c r="F3792" t="s">
        <v>41</v>
      </c>
      <c r="G3792">
        <v>-192.345</v>
      </c>
      <c r="H3792" s="1">
        <v>-2.3300729999999998E-6</v>
      </c>
      <c r="I3792">
        <v>183.56610000000001</v>
      </c>
      <c r="J3792">
        <v>-191.73929999999999</v>
      </c>
      <c r="K3792">
        <v>1.1185149999999999</v>
      </c>
      <c r="L3792">
        <v>197.47020000000001</v>
      </c>
      <c r="M3792">
        <v>9.210923E-2</v>
      </c>
      <c r="N3792">
        <v>-8.8331009999999995E-3</v>
      </c>
      <c r="O3792">
        <v>-0.99570979999999998</v>
      </c>
      <c r="P3792">
        <v>-5.7723389999999999E-2</v>
      </c>
      <c r="Q3792">
        <v>-0.1209875</v>
      </c>
      <c r="R3792">
        <v>-0.99097440000000003</v>
      </c>
      <c r="S3792">
        <v>-0.1262054</v>
      </c>
      <c r="T3792">
        <v>-0.2375718</v>
      </c>
      <c r="U3792">
        <v>-2.9906459999999999</v>
      </c>
      <c r="V3792">
        <v>0.14823259999999999</v>
      </c>
      <c r="W3792">
        <v>-0.1130081</v>
      </c>
      <c r="X3792">
        <v>0.98247459999999998</v>
      </c>
      <c r="Y3792">
        <v>0.13385839999999999</v>
      </c>
      <c r="Z3792">
        <v>6.9467310000000004E-2</v>
      </c>
      <c r="AA3792">
        <v>0.98856270000000002</v>
      </c>
      <c r="AB3792">
        <v>17</v>
      </c>
      <c r="AC3792">
        <v>-0.60570000000001301</v>
      </c>
      <c r="AD3792">
        <v>-1.118517330073</v>
      </c>
      <c r="AE3792">
        <v>-13.9041</v>
      </c>
      <c r="AF3792">
        <v>1.87178059661673</v>
      </c>
      <c r="AG3792">
        <v>-1.118517330073</v>
      </c>
      <c r="AH3792">
        <v>13.700699995334499</v>
      </c>
      <c r="AI3792">
        <v>94.624474943018697</v>
      </c>
      <c r="AJ3792">
        <v>82.220451169306898</v>
      </c>
      <c r="AK3792">
        <v>13.873133171050499</v>
      </c>
      <c r="AL3792">
        <v>96.488748362805296</v>
      </c>
      <c r="AM3792">
        <v>81.420110592747093</v>
      </c>
      <c r="AN3792">
        <v>1.0000000370067601</v>
      </c>
    </row>
    <row r="3793" spans="1:40" x14ac:dyDescent="0.25">
      <c r="A3793" t="str">
        <f>"20190303154547763"</f>
        <v>20190303154547763</v>
      </c>
      <c r="B3793" t="str">
        <f>"1551599147755163"</f>
        <v>1551599147755163</v>
      </c>
      <c r="C3793" t="s">
        <v>40</v>
      </c>
      <c r="D3793">
        <v>5.4917350000000003</v>
      </c>
      <c r="E3793">
        <v>0.49277070000000001</v>
      </c>
      <c r="F3793" t="s">
        <v>42</v>
      </c>
      <c r="G3793">
        <v>-191.7724</v>
      </c>
      <c r="H3793">
        <v>1.045479</v>
      </c>
      <c r="I3793">
        <v>196.58320000000001</v>
      </c>
      <c r="J3793">
        <v>-191.7287</v>
      </c>
      <c r="K3793">
        <v>1.118573</v>
      </c>
      <c r="L3793">
        <v>197.29920000000001</v>
      </c>
      <c r="M3793">
        <v>8.7806309999999999E-2</v>
      </c>
      <c r="N3793">
        <v>-8.6338719999999904E-3</v>
      </c>
      <c r="O3793">
        <v>-0.99610019999999999</v>
      </c>
      <c r="P3793">
        <v>-5.6832019999999997E-2</v>
      </c>
      <c r="Q3793">
        <v>-0.1220297</v>
      </c>
      <c r="R3793">
        <v>-0.99089830000000001</v>
      </c>
      <c r="S3793">
        <v>-0.1113586</v>
      </c>
      <c r="T3793">
        <v>-0.2462153</v>
      </c>
      <c r="U3793">
        <v>-2.9907680000000001</v>
      </c>
      <c r="V3793">
        <v>0.1431151</v>
      </c>
      <c r="W3793">
        <v>-0.1141853</v>
      </c>
      <c r="X3793">
        <v>0.983097</v>
      </c>
      <c r="Y3793">
        <v>0.1246647</v>
      </c>
      <c r="Z3793">
        <v>7.2602379999999994E-2</v>
      </c>
      <c r="AA3793">
        <v>0.9895391</v>
      </c>
      <c r="AB3793">
        <v>17</v>
      </c>
      <c r="AC3793">
        <v>-4.3700000000001099E-2</v>
      </c>
      <c r="AD3793">
        <v>-7.3093999999999895E-2</v>
      </c>
      <c r="AE3793">
        <v>-0.71600000000000796</v>
      </c>
      <c r="AF3793">
        <v>0.105309430018872</v>
      </c>
      <c r="AG3793">
        <v>-7.3093999999999895E-2</v>
      </c>
      <c r="AH3793">
        <v>0.70210703926421503</v>
      </c>
      <c r="AI3793">
        <v>95.878175007658697</v>
      </c>
      <c r="AJ3793">
        <v>81.4697631999192</v>
      </c>
      <c r="AK3793">
        <v>0.71371360045277399</v>
      </c>
      <c r="AL3793">
        <v>96.556636886423107</v>
      </c>
      <c r="AM3793">
        <v>81.717305697868397</v>
      </c>
      <c r="AN3793">
        <v>0.99999996299654903</v>
      </c>
    </row>
    <row r="3794" spans="1:40" x14ac:dyDescent="0.25">
      <c r="A3794" t="str">
        <f>"20190303154547786"</f>
        <v>20190303154547786</v>
      </c>
      <c r="B3794" t="str">
        <f>"1551599147774678"</f>
        <v>1551599147774678</v>
      </c>
      <c r="C3794" t="s">
        <v>40</v>
      </c>
      <c r="D3794">
        <v>5.4780879999999996</v>
      </c>
      <c r="E3794">
        <v>0.49322189999999999</v>
      </c>
      <c r="F3794" t="s">
        <v>42</v>
      </c>
      <c r="G3794">
        <v>-191.7611</v>
      </c>
      <c r="H3794">
        <v>1.0473479999999999</v>
      </c>
      <c r="I3794">
        <v>196.42439999999999</v>
      </c>
      <c r="J3794">
        <v>-191.71809999999999</v>
      </c>
      <c r="K3794">
        <v>1.1186039999999999</v>
      </c>
      <c r="L3794">
        <v>197.1207</v>
      </c>
      <c r="M3794">
        <v>8.3495330000000006E-2</v>
      </c>
      <c r="N3794">
        <v>-8.4394350000000003E-3</v>
      </c>
      <c r="O3794">
        <v>-0.99647240000000004</v>
      </c>
      <c r="P3794">
        <v>-5.6403010000000003E-2</v>
      </c>
      <c r="Q3794">
        <v>-0.123932</v>
      </c>
      <c r="R3794">
        <v>-0.99068650000000003</v>
      </c>
      <c r="S3794">
        <v>-0.1109619</v>
      </c>
      <c r="T3794">
        <v>-0.2435929</v>
      </c>
      <c r="U3794">
        <v>-2.9911799999999999</v>
      </c>
      <c r="V3794">
        <v>0.1384272</v>
      </c>
      <c r="W3794">
        <v>-0.11623319999999999</v>
      </c>
      <c r="X3794">
        <v>0.98352819999999996</v>
      </c>
      <c r="Y3794">
        <v>0.1202392</v>
      </c>
      <c r="Z3794">
        <v>7.199382E-2</v>
      </c>
      <c r="AA3794">
        <v>0.99013099999999998</v>
      </c>
      <c r="AB3794">
        <v>17</v>
      </c>
      <c r="AC3794">
        <v>-4.3000000000006297E-2</v>
      </c>
      <c r="AD3794">
        <v>-7.1256000000000194E-2</v>
      </c>
      <c r="AE3794">
        <v>-0.69630000000000702</v>
      </c>
      <c r="AF3794">
        <v>9.9946993492209299E-2</v>
      </c>
      <c r="AG3794">
        <v>-7.1256000000000194E-2</v>
      </c>
      <c r="AH3794">
        <v>0.68315092400970301</v>
      </c>
      <c r="AI3794">
        <v>95.892419011045305</v>
      </c>
      <c r="AJ3794">
        <v>81.676510234128301</v>
      </c>
      <c r="AK3794">
        <v>0.694090775057155</v>
      </c>
      <c r="AL3794">
        <v>96.674759352397501</v>
      </c>
      <c r="AM3794">
        <v>81.988499185920702</v>
      </c>
      <c r="AN3794">
        <v>0.99999998333865903</v>
      </c>
    </row>
    <row r="3795" spans="1:40" x14ac:dyDescent="0.25">
      <c r="A3795" t="str">
        <f>"20190303154547808"</f>
        <v>20190303154547808</v>
      </c>
      <c r="B3795" t="str">
        <f>"1551599147804934"</f>
        <v>1551599147804934</v>
      </c>
      <c r="C3795" t="s">
        <v>40</v>
      </c>
      <c r="D3795">
        <v>5.4919539999999998</v>
      </c>
      <c r="E3795">
        <v>0.4937628</v>
      </c>
      <c r="F3795" t="s">
        <v>42</v>
      </c>
      <c r="G3795">
        <v>-191.75059999999999</v>
      </c>
      <c r="H3795">
        <v>1.0492220000000001</v>
      </c>
      <c r="I3795">
        <v>196.2646</v>
      </c>
      <c r="J3795">
        <v>-191.70820000000001</v>
      </c>
      <c r="K3795">
        <v>1.1186119999999999</v>
      </c>
      <c r="L3795">
        <v>196.94390000000001</v>
      </c>
      <c r="M3795">
        <v>7.93822E-2</v>
      </c>
      <c r="N3795">
        <v>-8.2539589999999999E-3</v>
      </c>
      <c r="O3795">
        <v>-0.99681010000000003</v>
      </c>
      <c r="P3795">
        <v>-5.6347689999999999E-2</v>
      </c>
      <c r="Q3795">
        <v>-0.12637370000000001</v>
      </c>
      <c r="R3795">
        <v>-0.99038119999999996</v>
      </c>
      <c r="S3795">
        <v>-0.1128387</v>
      </c>
      <c r="T3795">
        <v>-0.24228669999999999</v>
      </c>
      <c r="U3795">
        <v>-2.9914860000000001</v>
      </c>
      <c r="V3795">
        <v>0.13429199999999999</v>
      </c>
      <c r="W3795">
        <v>-0.1188241</v>
      </c>
      <c r="X3795">
        <v>0.98379190000000005</v>
      </c>
      <c r="Y3795">
        <v>0.1167612</v>
      </c>
      <c r="Z3795">
        <v>7.1799219999999997E-2</v>
      </c>
      <c r="AA3795">
        <v>0.99056129999999998</v>
      </c>
      <c r="AB3795">
        <v>18</v>
      </c>
      <c r="AC3795">
        <v>-4.23999999999864E-2</v>
      </c>
      <c r="AD3795">
        <v>-6.9390000000000202E-2</v>
      </c>
      <c r="AE3795">
        <v>-0.67930000000001201</v>
      </c>
      <c r="AF3795">
        <v>9.5202815537510699E-2</v>
      </c>
      <c r="AG3795">
        <v>-6.9390000000000202E-2</v>
      </c>
      <c r="AH3795">
        <v>0.66685891749477599</v>
      </c>
      <c r="AI3795">
        <v>95.881325376413798</v>
      </c>
      <c r="AJ3795">
        <v>81.875180801307593</v>
      </c>
      <c r="AK3795">
        <v>0.67718488171885105</v>
      </c>
      <c r="AL3795">
        <v>96.824242881440696</v>
      </c>
      <c r="AM3795">
        <v>82.226911802297096</v>
      </c>
      <c r="AN3795">
        <v>1.00000000525521</v>
      </c>
    </row>
    <row r="3796" spans="1:40" x14ac:dyDescent="0.25">
      <c r="A3796" t="str">
        <f>"20190303154547831"</f>
        <v>20190303154547831</v>
      </c>
      <c r="B3796" t="str">
        <f>"1551599147824454"</f>
        <v>1551599147824454</v>
      </c>
      <c r="C3796" t="s">
        <v>40</v>
      </c>
      <c r="D3796">
        <v>5.5284899999999997</v>
      </c>
      <c r="E3796">
        <v>0.49410660000000001</v>
      </c>
      <c r="F3796" t="s">
        <v>42</v>
      </c>
      <c r="G3796">
        <v>-191.74090000000001</v>
      </c>
      <c r="H3796">
        <v>1.0503370000000001</v>
      </c>
      <c r="I3796">
        <v>196.1046</v>
      </c>
      <c r="J3796">
        <v>-191.69839999999999</v>
      </c>
      <c r="K3796">
        <v>1.1186039999999999</v>
      </c>
      <c r="L3796">
        <v>196.7594</v>
      </c>
      <c r="M3796">
        <v>7.5260399999999894E-2</v>
      </c>
      <c r="N3796">
        <v>-8.056344E-3</v>
      </c>
      <c r="O3796">
        <v>-0.99713149999999995</v>
      </c>
      <c r="P3796">
        <v>-5.5732629999999998E-2</v>
      </c>
      <c r="Q3796">
        <v>-0.12858310000000001</v>
      </c>
      <c r="R3796">
        <v>-0.99013139999999999</v>
      </c>
      <c r="S3796">
        <v>-0.116684</v>
      </c>
      <c r="T3796">
        <v>-0.24337490000000001</v>
      </c>
      <c r="U3796">
        <v>-2.9914700000000001</v>
      </c>
      <c r="V3796">
        <v>0.12959590000000001</v>
      </c>
      <c r="W3796">
        <v>-0.1211941</v>
      </c>
      <c r="X3796">
        <v>0.98413260000000002</v>
      </c>
      <c r="Y3796">
        <v>0.1139266</v>
      </c>
      <c r="Z3796">
        <v>7.2404850000000007E-2</v>
      </c>
      <c r="AA3796">
        <v>0.99084720000000004</v>
      </c>
      <c r="AB3796">
        <v>18</v>
      </c>
      <c r="AC3796">
        <v>-4.25000000000181E-2</v>
      </c>
      <c r="AD3796">
        <v>-6.8266999999999994E-2</v>
      </c>
      <c r="AE3796">
        <v>-0.65479999999999405</v>
      </c>
      <c r="AF3796">
        <v>9.0680061203787202E-2</v>
      </c>
      <c r="AG3796">
        <v>-6.8266999999999994E-2</v>
      </c>
      <c r="AH3796">
        <v>0.642786763959597</v>
      </c>
      <c r="AI3796">
        <v>96.003354481986904</v>
      </c>
      <c r="AJ3796">
        <v>81.970084117841097</v>
      </c>
      <c r="AK3796">
        <v>0.65273124692370399</v>
      </c>
      <c r="AL3796">
        <v>96.961022197735105</v>
      </c>
      <c r="AM3796">
        <v>82.498146674980504</v>
      </c>
      <c r="AN3796">
        <v>1.0000000407771801</v>
      </c>
    </row>
    <row r="3797" spans="1:40" x14ac:dyDescent="0.25">
      <c r="A3797" t="str">
        <f>"20190303154547853"</f>
        <v>20190303154547853</v>
      </c>
      <c r="B3797" t="str">
        <f>"1551599147844953"</f>
        <v>1551599147844953</v>
      </c>
      <c r="C3797" t="s">
        <v>40</v>
      </c>
      <c r="D3797">
        <v>5.5251789999999996</v>
      </c>
      <c r="E3797">
        <v>0.49453200000000003</v>
      </c>
      <c r="F3797" t="s">
        <v>42</v>
      </c>
      <c r="G3797">
        <v>-191.73050000000001</v>
      </c>
      <c r="H3797">
        <v>1.05125</v>
      </c>
      <c r="I3797">
        <v>195.94399999999999</v>
      </c>
      <c r="J3797">
        <v>-191.68960000000001</v>
      </c>
      <c r="K3797">
        <v>1.1186049999999901</v>
      </c>
      <c r="L3797">
        <v>196.58359999999999</v>
      </c>
      <c r="M3797">
        <v>7.1488599999999999E-2</v>
      </c>
      <c r="N3797">
        <v>-7.8604950000000003E-3</v>
      </c>
      <c r="O3797">
        <v>-0.99741060000000004</v>
      </c>
      <c r="P3797">
        <v>-5.3863229999999998E-2</v>
      </c>
      <c r="Q3797">
        <v>-0.131473799999999</v>
      </c>
      <c r="R3797">
        <v>-0.98985559999999995</v>
      </c>
      <c r="S3797">
        <v>-0.1174164</v>
      </c>
      <c r="T3797">
        <v>-0.24700259999999999</v>
      </c>
      <c r="U3797">
        <v>-2.9912109999999998</v>
      </c>
      <c r="V3797">
        <v>0.1239919</v>
      </c>
      <c r="W3797">
        <v>-0.12423919999999999</v>
      </c>
      <c r="X3797">
        <v>0.98447479999999998</v>
      </c>
      <c r="Y3797">
        <v>0.1104117</v>
      </c>
      <c r="Z3797">
        <v>7.3850029999999997E-2</v>
      </c>
      <c r="AA3797">
        <v>0.99113850000000003</v>
      </c>
      <c r="AB3797">
        <v>18</v>
      </c>
      <c r="AC3797">
        <v>-4.0899999999993497E-2</v>
      </c>
      <c r="AD3797">
        <v>-6.7354999999999804E-2</v>
      </c>
      <c r="AE3797">
        <v>-0.63959999999997297</v>
      </c>
      <c r="AF3797">
        <v>8.5575710953723294E-2</v>
      </c>
      <c r="AG3797">
        <v>-6.7354999999999804E-2</v>
      </c>
      <c r="AH3797">
        <v>0.62810230882851903</v>
      </c>
      <c r="AI3797">
        <v>96.065153039814504</v>
      </c>
      <c r="AJ3797">
        <v>82.241515251868293</v>
      </c>
      <c r="AK3797">
        <v>0.63747345724033999</v>
      </c>
      <c r="AL3797">
        <v>97.136822667982798</v>
      </c>
      <c r="AM3797">
        <v>82.821551086801705</v>
      </c>
      <c r="AN3797">
        <v>1.0000000009586401</v>
      </c>
    </row>
    <row r="3798" spans="1:40" x14ac:dyDescent="0.25">
      <c r="A3798" t="str">
        <f>"20190303154547877"</f>
        <v>20190303154547877</v>
      </c>
      <c r="B3798" t="str">
        <f>"1551599147864470"</f>
        <v>1551599147864470</v>
      </c>
      <c r="C3798" t="s">
        <v>40</v>
      </c>
      <c r="D3798">
        <v>5.5412569999999999</v>
      </c>
      <c r="E3798">
        <v>0.49499070000000001</v>
      </c>
      <c r="F3798" t="s">
        <v>42</v>
      </c>
      <c r="G3798">
        <v>-191.72040000000001</v>
      </c>
      <c r="H3798">
        <v>1.0509440000000001</v>
      </c>
      <c r="I3798">
        <v>195.78360000000001</v>
      </c>
      <c r="J3798">
        <v>-191.6808</v>
      </c>
      <c r="K3798">
        <v>1.118609</v>
      </c>
      <c r="L3798">
        <v>196.39750000000001</v>
      </c>
      <c r="M3798">
        <v>6.7663940000000006E-2</v>
      </c>
      <c r="N3798">
        <v>-7.6484789999999997E-3</v>
      </c>
      <c r="O3798">
        <v>-0.99767899999999998</v>
      </c>
      <c r="P3798">
        <v>-5.1604940000000002E-2</v>
      </c>
      <c r="Q3798">
        <v>-0.134220899999999</v>
      </c>
      <c r="R3798">
        <v>-0.98960700000000001</v>
      </c>
      <c r="S3798">
        <v>-0.1147461</v>
      </c>
      <c r="T3798">
        <v>-0.25289640000000002</v>
      </c>
      <c r="U3798">
        <v>-2.9909210000000002</v>
      </c>
      <c r="V3798">
        <v>0.11795659999999999</v>
      </c>
      <c r="W3798">
        <v>-0.12715090000000001</v>
      </c>
      <c r="X3798">
        <v>0.98484459999999996</v>
      </c>
      <c r="Y3798">
        <v>0.10571560000000001</v>
      </c>
      <c r="Z3798">
        <v>7.6064179999999995E-2</v>
      </c>
      <c r="AA3798">
        <v>0.991483</v>
      </c>
      <c r="AB3798">
        <v>18</v>
      </c>
      <c r="AC3798">
        <v>-3.9600000000007102E-2</v>
      </c>
      <c r="AD3798">
        <v>-6.7664999999999795E-2</v>
      </c>
      <c r="AE3798">
        <v>-0.613900000000001</v>
      </c>
      <c r="AF3798">
        <v>8.0080490469791807E-2</v>
      </c>
      <c r="AG3798">
        <v>-6.7664999999999795E-2</v>
      </c>
      <c r="AH3798">
        <v>0.60252379202238704</v>
      </c>
      <c r="AI3798">
        <v>96.352222043182607</v>
      </c>
      <c r="AJ3798">
        <v>82.429277957707896</v>
      </c>
      <c r="AK3798">
        <v>0.61157694293679798</v>
      </c>
      <c r="AL3798">
        <v>97.304984574174597</v>
      </c>
      <c r="AM3798">
        <v>83.170116826265001</v>
      </c>
      <c r="AN3798">
        <v>0.99999999850176402</v>
      </c>
    </row>
    <row r="3799" spans="1:40" x14ac:dyDescent="0.25">
      <c r="A3799" t="str">
        <f>"20190303154547900"</f>
        <v>20190303154547900</v>
      </c>
      <c r="B3799" t="str">
        <f>"1551599147894726"</f>
        <v>1551599147894726</v>
      </c>
      <c r="C3799" t="s">
        <v>40</v>
      </c>
      <c r="D3799">
        <v>5.5649860000000002</v>
      </c>
      <c r="E3799">
        <v>0.4955735</v>
      </c>
      <c r="F3799" t="s">
        <v>42</v>
      </c>
      <c r="G3799">
        <v>-191.7099</v>
      </c>
      <c r="H3799">
        <v>1.051739</v>
      </c>
      <c r="I3799">
        <v>195.62129999999999</v>
      </c>
      <c r="J3799">
        <v>-191.67240000000001</v>
      </c>
      <c r="K3799">
        <v>1.1186240000000001</v>
      </c>
      <c r="L3799">
        <v>196.20820000000001</v>
      </c>
      <c r="M3799">
        <v>6.3952110000000006E-2</v>
      </c>
      <c r="N3799">
        <v>-7.4342009999999997E-3</v>
      </c>
      <c r="O3799">
        <v>-0.99792530000000002</v>
      </c>
      <c r="P3799">
        <v>-4.9495989999999997E-2</v>
      </c>
      <c r="Q3799">
        <v>-0.1374705</v>
      </c>
      <c r="R3799">
        <v>-0.9892685</v>
      </c>
      <c r="S3799">
        <v>-0.11131290000000001</v>
      </c>
      <c r="T3799">
        <v>-0.25753690000000001</v>
      </c>
      <c r="U3799">
        <v>-2.9907680000000001</v>
      </c>
      <c r="V3799">
        <v>0.1121801</v>
      </c>
      <c r="W3799">
        <v>-0.13056669999999901</v>
      </c>
      <c r="X3799">
        <v>0.98507259999999996</v>
      </c>
      <c r="Y3799">
        <v>0.1008777</v>
      </c>
      <c r="Z3799">
        <v>7.7863630000000003E-2</v>
      </c>
      <c r="AA3799">
        <v>0.99184720000000004</v>
      </c>
      <c r="AB3799">
        <v>18</v>
      </c>
      <c r="AC3799">
        <v>-3.7499999999994302E-2</v>
      </c>
      <c r="AD3799">
        <v>-6.6885E-2</v>
      </c>
      <c r="AE3799">
        <v>-0.58690000000001397</v>
      </c>
      <c r="AF3799">
        <v>7.4000578945363396E-2</v>
      </c>
      <c r="AG3799">
        <v>-6.6885E-2</v>
      </c>
      <c r="AH3799">
        <v>0.57585173192481098</v>
      </c>
      <c r="AI3799">
        <v>96.571639529642098</v>
      </c>
      <c r="AJ3799">
        <v>82.677263934707895</v>
      </c>
      <c r="AK3799">
        <v>0.58442698951199501</v>
      </c>
      <c r="AL3799">
        <v>97.502340712100207</v>
      </c>
      <c r="AM3799">
        <v>83.503143455287798</v>
      </c>
      <c r="AN3799">
        <v>1.00000003262782</v>
      </c>
    </row>
    <row r="3800" spans="1:40" x14ac:dyDescent="0.25">
      <c r="A3800" t="str">
        <f>"20190303154547921"</f>
        <v>20190303154547921</v>
      </c>
      <c r="B3800" t="str">
        <f>"1551599147915222"</f>
        <v>1551599147915222</v>
      </c>
      <c r="C3800" t="s">
        <v>40</v>
      </c>
      <c r="D3800">
        <v>5.5261709999999997</v>
      </c>
      <c r="E3800">
        <v>0.50064049999999904</v>
      </c>
      <c r="F3800" t="s">
        <v>42</v>
      </c>
      <c r="G3800">
        <v>-191.69980000000001</v>
      </c>
      <c r="H3800">
        <v>1.0527340000000001</v>
      </c>
      <c r="I3800">
        <v>195.45779999999999</v>
      </c>
      <c r="J3800">
        <v>-191.66499999999999</v>
      </c>
      <c r="K3800">
        <v>1.118636</v>
      </c>
      <c r="L3800">
        <v>196.03399999999999</v>
      </c>
      <c r="M3800">
        <v>6.0715230000000002E-2</v>
      </c>
      <c r="N3800">
        <v>-7.2436030000000004E-3</v>
      </c>
      <c r="O3800">
        <v>-0.99812889999999999</v>
      </c>
      <c r="P3800">
        <v>-4.7292519999999998E-2</v>
      </c>
      <c r="Q3800">
        <v>-0.14126900000000001</v>
      </c>
      <c r="R3800">
        <v>-0.98884110000000003</v>
      </c>
      <c r="S3800">
        <v>-0.1094055</v>
      </c>
      <c r="T3800">
        <v>-0.26264880000000002</v>
      </c>
      <c r="U3800">
        <v>-2.9905849999999998</v>
      </c>
      <c r="V3800">
        <v>0.1067737</v>
      </c>
      <c r="W3800">
        <v>-0.13451160000000001</v>
      </c>
      <c r="X3800">
        <v>0.98514259999999998</v>
      </c>
      <c r="Y3800">
        <v>9.7016950000000005E-2</v>
      </c>
      <c r="Z3800">
        <v>7.9785060000000005E-2</v>
      </c>
      <c r="AA3800">
        <v>0.99207970000000001</v>
      </c>
      <c r="AB3800">
        <v>18</v>
      </c>
      <c r="AC3800">
        <v>-3.4800000000018302E-2</v>
      </c>
      <c r="AD3800">
        <v>-6.5901999999999905E-2</v>
      </c>
      <c r="AE3800">
        <v>-0.57620000000002802</v>
      </c>
      <c r="AF3800">
        <v>6.8823794368798305E-2</v>
      </c>
      <c r="AG3800">
        <v>-6.5901999999999905E-2</v>
      </c>
      <c r="AH3800">
        <v>0.56565142437419202</v>
      </c>
      <c r="AI3800">
        <v>96.597145342647494</v>
      </c>
      <c r="AJ3800">
        <v>83.062821267879599</v>
      </c>
      <c r="AK3800">
        <v>0.57362123580972002</v>
      </c>
      <c r="AL3800">
        <v>97.730379289607399</v>
      </c>
      <c r="AM3800">
        <v>83.814200282694799</v>
      </c>
      <c r="AN3800">
        <v>0.99999996794050405</v>
      </c>
    </row>
    <row r="3801" spans="1:40" x14ac:dyDescent="0.25">
      <c r="A3801" t="str">
        <f>"20190303154547943"</f>
        <v>20190303154547943</v>
      </c>
      <c r="B3801" t="str">
        <f>"1551599147934746"</f>
        <v>1551599147934746</v>
      </c>
      <c r="C3801" t="s">
        <v>40</v>
      </c>
      <c r="D3801">
        <v>5.5332109999999997</v>
      </c>
      <c r="E3801">
        <v>0.50057019999999997</v>
      </c>
      <c r="F3801" t="s">
        <v>41</v>
      </c>
      <c r="G3801">
        <v>-192.38409999999999</v>
      </c>
      <c r="H3801" s="1">
        <v>-1.1528819999999999E-6</v>
      </c>
      <c r="I3801">
        <v>180.7978</v>
      </c>
      <c r="J3801">
        <v>-191.6576</v>
      </c>
      <c r="K3801">
        <v>1.1186640000000001</v>
      </c>
      <c r="L3801">
        <v>195.8485</v>
      </c>
      <c r="M3801">
        <v>5.7473959999999998E-2</v>
      </c>
      <c r="N3801">
        <v>-7.0537219999999897E-3</v>
      </c>
      <c r="O3801">
        <v>-0.99832220000000005</v>
      </c>
      <c r="P3801">
        <v>-4.4928070000000001E-2</v>
      </c>
      <c r="Q3801">
        <v>-0.14543239999999999</v>
      </c>
      <c r="R3801">
        <v>-0.988348</v>
      </c>
      <c r="S3801">
        <v>-0.14137269999999999</v>
      </c>
      <c r="T3801">
        <v>-0.219939</v>
      </c>
      <c r="U3801">
        <v>-2.9956360000000002</v>
      </c>
      <c r="V3801">
        <v>0.10120319999999999</v>
      </c>
      <c r="W3801">
        <v>-0.13882079999999999</v>
      </c>
      <c r="X3801">
        <v>0.98513280000000003</v>
      </c>
      <c r="Y3801">
        <v>0.1043418</v>
      </c>
      <c r="Z3801">
        <v>6.575483E-2</v>
      </c>
      <c r="AA3801">
        <v>0.99236539999999995</v>
      </c>
      <c r="AB3801">
        <v>18</v>
      </c>
      <c r="AC3801">
        <v>-0.72649999999998705</v>
      </c>
      <c r="AD3801">
        <v>-1.118665152882</v>
      </c>
      <c r="AE3801">
        <v>-15.050700000000001</v>
      </c>
      <c r="AF3801">
        <v>1.58162653195731</v>
      </c>
      <c r="AG3801">
        <v>-1.118665152882</v>
      </c>
      <c r="AH3801">
        <v>14.901931000801699</v>
      </c>
      <c r="AI3801">
        <v>94.269165504465306</v>
      </c>
      <c r="AJ3801">
        <v>83.941554750284993</v>
      </c>
      <c r="AK3801">
        <v>15.0273251699535</v>
      </c>
      <c r="AL3801">
        <v>97.979617035588603</v>
      </c>
      <c r="AM3801">
        <v>84.134551092792094</v>
      </c>
      <c r="AN3801">
        <v>0.99999996791935897</v>
      </c>
    </row>
    <row r="3802" spans="1:40" x14ac:dyDescent="0.25">
      <c r="A3802" t="str">
        <f>"20190303154547964"</f>
        <v>20190303154547964</v>
      </c>
      <c r="B3802" t="str">
        <f>"1551599147955243"</f>
        <v>1551599147955243</v>
      </c>
      <c r="C3802" t="s">
        <v>40</v>
      </c>
      <c r="D3802">
        <v>5.5826770000000003</v>
      </c>
      <c r="E3802">
        <v>0.50126309999999996</v>
      </c>
      <c r="F3802" t="s">
        <v>42</v>
      </c>
      <c r="G3802">
        <v>-191.697</v>
      </c>
      <c r="H3802">
        <v>1.05105</v>
      </c>
      <c r="I3802">
        <v>194.9641</v>
      </c>
      <c r="J3802">
        <v>-191.6508</v>
      </c>
      <c r="K3802">
        <v>1.1186860000000001</v>
      </c>
      <c r="L3802">
        <v>195.6712</v>
      </c>
      <c r="M3802">
        <v>5.456192E-2</v>
      </c>
      <c r="N3802">
        <v>-6.8885630000000003E-3</v>
      </c>
      <c r="O3802">
        <v>-0.99848669999999995</v>
      </c>
      <c r="P3802">
        <v>-4.2091669999999998E-2</v>
      </c>
      <c r="Q3802">
        <v>-0.14943609999999999</v>
      </c>
      <c r="R3802">
        <v>-0.98787519999999995</v>
      </c>
      <c r="S3802">
        <v>-0.13302610000000001</v>
      </c>
      <c r="T3802">
        <v>-0.228967</v>
      </c>
      <c r="U3802">
        <v>-2.9956510000000001</v>
      </c>
      <c r="V3802">
        <v>9.5487909999999995E-2</v>
      </c>
      <c r="W3802">
        <v>-0.1429502</v>
      </c>
      <c r="X3802">
        <v>0.98511280000000001</v>
      </c>
      <c r="Y3802">
        <v>9.8671729999999999E-2</v>
      </c>
      <c r="Z3802">
        <v>6.8938760000000002E-2</v>
      </c>
      <c r="AA3802">
        <v>0.99272919999999998</v>
      </c>
      <c r="AB3802">
        <v>18</v>
      </c>
      <c r="AC3802">
        <v>-4.6199999999998902E-2</v>
      </c>
      <c r="AD3802">
        <v>-6.7636000000000002E-2</v>
      </c>
      <c r="AE3802">
        <v>-0.70709999999999695</v>
      </c>
      <c r="AF3802">
        <v>8.3948011233936096E-2</v>
      </c>
      <c r="AG3802">
        <v>-6.7636000000000002E-2</v>
      </c>
      <c r="AH3802">
        <v>0.69717419252427304</v>
      </c>
      <c r="AI3802">
        <v>95.501685677437095</v>
      </c>
      <c r="AJ3802">
        <v>83.133967300187194</v>
      </c>
      <c r="AK3802">
        <v>0.70545995762197999</v>
      </c>
      <c r="AL3802">
        <v>98.218598065225095</v>
      </c>
      <c r="AM3802">
        <v>84.463562383321602</v>
      </c>
      <c r="AN3802">
        <v>0.99999996468002295</v>
      </c>
    </row>
    <row r="3803" spans="1:40" x14ac:dyDescent="0.25">
      <c r="A3803" t="str">
        <f>"20190303154547987"</f>
        <v>20190303154547987</v>
      </c>
      <c r="B3803" t="str">
        <f>"1551599147984519"</f>
        <v>1551599147984519</v>
      </c>
      <c r="C3803" t="s">
        <v>40</v>
      </c>
      <c r="D3803">
        <v>5.6107680000000002</v>
      </c>
      <c r="E3803">
        <v>0.50199669999999996</v>
      </c>
      <c r="F3803" t="s">
        <v>42</v>
      </c>
      <c r="G3803">
        <v>-191.6885</v>
      </c>
      <c r="H3803">
        <v>1.049922</v>
      </c>
      <c r="I3803">
        <v>194.7988</v>
      </c>
      <c r="J3803">
        <v>-191.6437</v>
      </c>
      <c r="K3803">
        <v>1.1187020000000001</v>
      </c>
      <c r="L3803">
        <v>195.47649999999999</v>
      </c>
      <c r="M3803">
        <v>5.1534679999999999E-2</v>
      </c>
      <c r="N3803">
        <v>-6.7261059999999999E-3</v>
      </c>
      <c r="O3803">
        <v>-0.9986488</v>
      </c>
      <c r="P3803">
        <v>-4.0360010000000002E-2</v>
      </c>
      <c r="Q3803">
        <v>-0.15354119999999999</v>
      </c>
      <c r="R3803">
        <v>-0.98731789999999997</v>
      </c>
      <c r="S3803">
        <v>-0.12956239999999999</v>
      </c>
      <c r="T3803">
        <v>-0.2360969</v>
      </c>
      <c r="U3803">
        <v>-2.9955750000000001</v>
      </c>
      <c r="V3803">
        <v>9.0754390000000004E-2</v>
      </c>
      <c r="W3803">
        <v>-0.1471884</v>
      </c>
      <c r="X3803">
        <v>0.98493620000000004</v>
      </c>
      <c r="Y3803">
        <v>9.4502920000000004E-2</v>
      </c>
      <c r="Z3803">
        <v>7.1488220000000005E-2</v>
      </c>
      <c r="AA3803">
        <v>0.99295449999999996</v>
      </c>
      <c r="AB3803">
        <v>18</v>
      </c>
      <c r="AC3803">
        <v>-4.4800000000009201E-2</v>
      </c>
      <c r="AD3803">
        <v>-6.8779999999999994E-2</v>
      </c>
      <c r="AE3803">
        <v>-0.67769999999998698</v>
      </c>
      <c r="AF3803">
        <v>7.8857579790665502E-2</v>
      </c>
      <c r="AG3803">
        <v>-6.8779999999999994E-2</v>
      </c>
      <c r="AH3803">
        <v>0.66764362997080795</v>
      </c>
      <c r="AI3803">
        <v>95.841484844561506</v>
      </c>
      <c r="AJ3803">
        <v>83.263816723244304</v>
      </c>
      <c r="AK3803">
        <v>0.67579377248613204</v>
      </c>
      <c r="AL3803">
        <v>98.4640247612775</v>
      </c>
      <c r="AM3803">
        <v>84.735494451954395</v>
      </c>
      <c r="AN3803">
        <v>1.0000000512346301</v>
      </c>
    </row>
    <row r="3804" spans="1:40" x14ac:dyDescent="0.25">
      <c r="A3804" t="str">
        <f>"20190303154548008"</f>
        <v>20190303154548008</v>
      </c>
      <c r="B3804" t="str">
        <f>"1551599148005014"</f>
        <v>1551599148005014</v>
      </c>
      <c r="C3804" t="s">
        <v>40</v>
      </c>
      <c r="D3804">
        <v>5.5924519999999998</v>
      </c>
      <c r="E3804">
        <v>0.49697180000000002</v>
      </c>
      <c r="F3804" t="s">
        <v>42</v>
      </c>
      <c r="G3804">
        <v>-191.68039999999999</v>
      </c>
      <c r="H3804">
        <v>1.0494209999999999</v>
      </c>
      <c r="I3804">
        <v>194.6319</v>
      </c>
      <c r="J3804">
        <v>-191.63759999999999</v>
      </c>
      <c r="K3804">
        <v>1.118703</v>
      </c>
      <c r="L3804">
        <v>195.29900000000001</v>
      </c>
      <c r="M3804">
        <v>4.8907550000000001E-2</v>
      </c>
      <c r="N3804">
        <v>-6.5933169999999996E-3</v>
      </c>
      <c r="O3804">
        <v>-0.99878169999999999</v>
      </c>
      <c r="P3804">
        <v>-3.8886360000000002E-2</v>
      </c>
      <c r="Q3804">
        <v>-0.1553455</v>
      </c>
      <c r="R3804">
        <v>-0.9870949</v>
      </c>
      <c r="S3804">
        <v>-0.1296234</v>
      </c>
      <c r="T3804">
        <v>-0.2456914</v>
      </c>
      <c r="U3804">
        <v>-2.9950260000000002</v>
      </c>
      <c r="V3804">
        <v>8.6690059999999999E-2</v>
      </c>
      <c r="W3804">
        <v>-0.1491034</v>
      </c>
      <c r="X3804">
        <v>0.98501419999999995</v>
      </c>
      <c r="Y3804">
        <v>9.1901689999999994E-2</v>
      </c>
      <c r="Z3804">
        <v>7.4820949999999997E-2</v>
      </c>
      <c r="AA3804">
        <v>0.99295310000000003</v>
      </c>
      <c r="AB3804">
        <v>19</v>
      </c>
      <c r="AC3804">
        <v>-4.2799999999999699E-2</v>
      </c>
      <c r="AD3804">
        <v>-6.9281999999999996E-2</v>
      </c>
      <c r="AE3804">
        <v>-0.66710000000000402</v>
      </c>
      <c r="AF3804">
        <v>7.4574648224110293E-2</v>
      </c>
      <c r="AG3804">
        <v>-6.9281999999999996E-2</v>
      </c>
      <c r="AH3804">
        <v>0.65714943185643904</v>
      </c>
      <c r="AI3804">
        <v>95.9802480224904</v>
      </c>
      <c r="AJ3804">
        <v>83.525656678067193</v>
      </c>
      <c r="AK3804">
        <v>0.66498627765615603</v>
      </c>
      <c r="AL3804">
        <v>98.574971015241701</v>
      </c>
      <c r="AM3804">
        <v>84.970417878111206</v>
      </c>
      <c r="AN3804">
        <v>0.99999998229800102</v>
      </c>
    </row>
    <row r="3805" spans="1:40" x14ac:dyDescent="0.25">
      <c r="A3805" t="str">
        <f>"20190303154548032"</f>
        <v>20190303154548032</v>
      </c>
      <c r="B3805" t="str">
        <f>"1551599148024535"</f>
        <v>1551599148024535</v>
      </c>
      <c r="C3805" t="s">
        <v>40</v>
      </c>
      <c r="D3805">
        <v>5.5265550000000001</v>
      </c>
      <c r="E3805">
        <v>0.49719150000000001</v>
      </c>
      <c r="F3805" t="s">
        <v>42</v>
      </c>
      <c r="G3805">
        <v>-191.6618</v>
      </c>
      <c r="H3805">
        <v>1.0339400000000001</v>
      </c>
      <c r="I3805">
        <v>194.47210000000001</v>
      </c>
      <c r="J3805">
        <v>-191.63130000000001</v>
      </c>
      <c r="K3805">
        <v>1.118709</v>
      </c>
      <c r="L3805">
        <v>195.10409999999999</v>
      </c>
      <c r="M3805">
        <v>4.6159449999999998E-2</v>
      </c>
      <c r="N3805">
        <v>-6.4629910000000004E-3</v>
      </c>
      <c r="O3805">
        <v>-0.99891319999999995</v>
      </c>
      <c r="P3805">
        <v>-3.8828979999999999E-2</v>
      </c>
      <c r="Q3805">
        <v>-0.1557499</v>
      </c>
      <c r="R3805">
        <v>-0.98703320000000005</v>
      </c>
      <c r="S3805">
        <v>-8.7371829999999998E-2</v>
      </c>
      <c r="T3805">
        <v>-0.30621530000000002</v>
      </c>
      <c r="U3805">
        <v>-2.9875949999999998</v>
      </c>
      <c r="V3805">
        <v>8.3929320000000002E-2</v>
      </c>
      <c r="W3805">
        <v>-0.14962230000000001</v>
      </c>
      <c r="X3805">
        <v>0.98517460000000001</v>
      </c>
      <c r="Y3805">
        <v>7.5182209999999999E-2</v>
      </c>
      <c r="Z3805">
        <v>9.5196929999999999E-2</v>
      </c>
      <c r="AA3805">
        <v>0.99261529999999998</v>
      </c>
      <c r="AB3805">
        <v>19</v>
      </c>
      <c r="AC3805">
        <v>-3.04999999999893E-2</v>
      </c>
      <c r="AD3805">
        <v>-8.4769000000000094E-2</v>
      </c>
      <c r="AE3805">
        <v>-0.63199999999997603</v>
      </c>
      <c r="AF3805">
        <v>5.8589275948714499E-2</v>
      </c>
      <c r="AG3805">
        <v>-8.4769000000000094E-2</v>
      </c>
      <c r="AH3805">
        <v>0.61881164113862297</v>
      </c>
      <c r="AI3805">
        <v>97.765909579235895</v>
      </c>
      <c r="AJ3805">
        <v>84.591341293223806</v>
      </c>
      <c r="AK3805">
        <v>0.62733271381769196</v>
      </c>
      <c r="AL3805">
        <v>98.605039123843994</v>
      </c>
      <c r="AM3805">
        <v>85.130596586285193</v>
      </c>
      <c r="AN3805">
        <v>0.99999997794905504</v>
      </c>
    </row>
    <row r="3806" spans="1:40" x14ac:dyDescent="0.25">
      <c r="A3806" t="str">
        <f>"20190303154548054"</f>
        <v>20190303154548054</v>
      </c>
      <c r="B3806" t="str">
        <f>"1551599148045030"</f>
        <v>1551599148045030</v>
      </c>
      <c r="C3806" t="s">
        <v>40</v>
      </c>
      <c r="D3806">
        <v>5.5904059999999998</v>
      </c>
      <c r="E3806">
        <v>0.49787670000000001</v>
      </c>
      <c r="F3806" t="s">
        <v>42</v>
      </c>
      <c r="G3806">
        <v>-191.65530000000001</v>
      </c>
      <c r="H3806">
        <v>1.0365279999999999</v>
      </c>
      <c r="I3806">
        <v>194.3015</v>
      </c>
      <c r="J3806">
        <v>-191.62559999999999</v>
      </c>
      <c r="K3806">
        <v>1.118716</v>
      </c>
      <c r="L3806">
        <v>194.91569999999999</v>
      </c>
      <c r="M3806">
        <v>4.362655E-2</v>
      </c>
      <c r="N3806">
        <v>-6.3510469999999899E-3</v>
      </c>
      <c r="O3806">
        <v>-0.99902780000000002</v>
      </c>
      <c r="P3806">
        <v>-3.8617730000000003E-2</v>
      </c>
      <c r="Q3806">
        <v>-0.15500420000000001</v>
      </c>
      <c r="R3806">
        <v>-0.9871588</v>
      </c>
      <c r="S3806">
        <v>-8.8851929999999996E-2</v>
      </c>
      <c r="T3806">
        <v>-0.30588919999999997</v>
      </c>
      <c r="U3806">
        <v>-2.987625</v>
      </c>
      <c r="V3806">
        <v>8.1236909999999996E-2</v>
      </c>
      <c r="W3806">
        <v>-0.1489733</v>
      </c>
      <c r="X3806">
        <v>0.9854986</v>
      </c>
      <c r="Y3806">
        <v>7.3145940000000007E-2</v>
      </c>
      <c r="Z3806">
        <v>9.5224779999999995E-2</v>
      </c>
      <c r="AA3806">
        <v>0.9927648</v>
      </c>
      <c r="AB3806">
        <v>19</v>
      </c>
      <c r="AC3806">
        <v>-2.97000000000196E-2</v>
      </c>
      <c r="AD3806">
        <v>-8.21879999999999E-2</v>
      </c>
      <c r="AE3806">
        <v>-0.61419999999998198</v>
      </c>
      <c r="AF3806">
        <v>5.5476642799868997E-2</v>
      </c>
      <c r="AG3806">
        <v>-8.21879999999999E-2</v>
      </c>
      <c r="AH3806">
        <v>0.60157286638288399</v>
      </c>
      <c r="AI3806">
        <v>97.747218906151602</v>
      </c>
      <c r="AJ3806">
        <v>84.731124463275904</v>
      </c>
      <c r="AK3806">
        <v>0.60969044506902303</v>
      </c>
      <c r="AL3806">
        <v>98.567432616776003</v>
      </c>
      <c r="AM3806">
        <v>85.287631849464205</v>
      </c>
      <c r="AN3806">
        <v>0.99999998513059896</v>
      </c>
    </row>
    <row r="3807" spans="1:40" x14ac:dyDescent="0.25">
      <c r="A3807" t="str">
        <f>"20190303154548078"</f>
        <v>20190303154548078</v>
      </c>
      <c r="B3807" t="str">
        <f>"1551599148075286"</f>
        <v>1551599148075286</v>
      </c>
      <c r="C3807" t="s">
        <v>40</v>
      </c>
      <c r="D3807">
        <v>5.5607259999999998</v>
      </c>
      <c r="E3807">
        <v>0.49873010000000001</v>
      </c>
      <c r="F3807" t="s">
        <v>42</v>
      </c>
      <c r="G3807">
        <v>-191.65029999999999</v>
      </c>
      <c r="H3807">
        <v>1.041247</v>
      </c>
      <c r="I3807">
        <v>194.12880000000001</v>
      </c>
      <c r="J3807">
        <v>-191.6199</v>
      </c>
      <c r="K3807">
        <v>1.1187320000000001</v>
      </c>
      <c r="L3807">
        <v>194.71449999999999</v>
      </c>
      <c r="M3807">
        <v>4.1050530000000002E-2</v>
      </c>
      <c r="N3807">
        <v>-6.2453700000000001E-3</v>
      </c>
      <c r="O3807">
        <v>-0.99913770000000002</v>
      </c>
      <c r="P3807">
        <v>-3.8806149999999998E-2</v>
      </c>
      <c r="Q3807">
        <v>-0.15513550000000001</v>
      </c>
      <c r="R3807">
        <v>-0.98713079999999997</v>
      </c>
      <c r="S3807">
        <v>-9.3704220000000005E-2</v>
      </c>
      <c r="T3807">
        <v>-0.29428290000000001</v>
      </c>
      <c r="U3807">
        <v>-2.9891510000000001</v>
      </c>
      <c r="V3807">
        <v>7.8895309999999996E-2</v>
      </c>
      <c r="W3807">
        <v>-0.14919540000000001</v>
      </c>
      <c r="X3807">
        <v>0.98565519999999995</v>
      </c>
      <c r="Y3807">
        <v>7.2182140000000006E-2</v>
      </c>
      <c r="Z3807">
        <v>9.1480039999999999E-2</v>
      </c>
      <c r="AA3807">
        <v>0.99318740000000005</v>
      </c>
      <c r="AB3807">
        <v>19</v>
      </c>
      <c r="AC3807">
        <v>-3.03999999999859E-2</v>
      </c>
      <c r="AD3807">
        <v>-7.7484999999999998E-2</v>
      </c>
      <c r="AE3807">
        <v>-0.58569999999997402</v>
      </c>
      <c r="AF3807">
        <v>5.3484569028699802E-2</v>
      </c>
      <c r="AG3807">
        <v>-7.7484999999999998E-2</v>
      </c>
      <c r="AH3807">
        <v>0.57394026948009802</v>
      </c>
      <c r="AI3807">
        <v>97.655973418801807</v>
      </c>
      <c r="AJ3807">
        <v>84.676074215428898</v>
      </c>
      <c r="AK3807">
        <v>0.58161151749262396</v>
      </c>
      <c r="AL3807">
        <v>98.580302087597502</v>
      </c>
      <c r="AM3807">
        <v>85.423601192359101</v>
      </c>
      <c r="AN3807">
        <v>0.99999995530409702</v>
      </c>
    </row>
    <row r="3808" spans="1:40" x14ac:dyDescent="0.25">
      <c r="A3808" t="str">
        <f>"20190303154548100"</f>
        <v>20190303154548100</v>
      </c>
      <c r="B3808" t="str">
        <f>"1551599148094806"</f>
        <v>1551599148094806</v>
      </c>
      <c r="C3808" t="s">
        <v>40</v>
      </c>
      <c r="D3808">
        <v>5.5757099999999999</v>
      </c>
      <c r="E3808">
        <v>0.49888159999999998</v>
      </c>
      <c r="F3808" t="s">
        <v>42</v>
      </c>
      <c r="G3808">
        <v>-191.6455</v>
      </c>
      <c r="H3808">
        <v>1.0458400000000001</v>
      </c>
      <c r="I3808">
        <v>193.95529999999999</v>
      </c>
      <c r="J3808">
        <v>-191.6146</v>
      </c>
      <c r="K3808">
        <v>1.1187609999999999</v>
      </c>
      <c r="L3808">
        <v>194.5188</v>
      </c>
      <c r="M3808">
        <v>3.8675250000000001E-2</v>
      </c>
      <c r="N3808">
        <v>-6.1549439999999999E-3</v>
      </c>
      <c r="O3808">
        <v>-0.99923289999999998</v>
      </c>
      <c r="P3808">
        <v>-3.9223399999999999E-2</v>
      </c>
      <c r="Q3808">
        <v>-0.15603529999999999</v>
      </c>
      <c r="R3808">
        <v>-0.98697259999999998</v>
      </c>
      <c r="S3808">
        <v>-0.1006927</v>
      </c>
      <c r="T3808">
        <v>-0.28709669999999998</v>
      </c>
      <c r="U3808">
        <v>-2.9900509999999998</v>
      </c>
      <c r="V3808">
        <v>7.6978699999999997E-2</v>
      </c>
      <c r="W3808">
        <v>-0.15017069999999999</v>
      </c>
      <c r="X3808">
        <v>0.9856587</v>
      </c>
      <c r="Y3808">
        <v>7.2128620000000004E-2</v>
      </c>
      <c r="Z3808">
        <v>8.9186710000000002E-2</v>
      </c>
      <c r="AA3808">
        <v>0.99339980000000006</v>
      </c>
      <c r="AB3808">
        <v>19</v>
      </c>
      <c r="AC3808">
        <v>-3.0900000000002498E-2</v>
      </c>
      <c r="AD3808">
        <v>-7.2921000000000194E-2</v>
      </c>
      <c r="AE3808">
        <v>-0.563500000000004</v>
      </c>
      <c r="AF3808">
        <v>5.1805844065044702E-2</v>
      </c>
      <c r="AG3808">
        <v>-7.2921000000000194E-2</v>
      </c>
      <c r="AH3808">
        <v>0.55265613573730699</v>
      </c>
      <c r="AI3808">
        <v>97.484117393687796</v>
      </c>
      <c r="AJ3808">
        <v>84.644757527149295</v>
      </c>
      <c r="AK3808">
        <v>0.55984830274672104</v>
      </c>
      <c r="AL3808">
        <v>98.636818859042904</v>
      </c>
      <c r="AM3808">
        <v>85.534336548024498</v>
      </c>
      <c r="AN3808">
        <v>1.00000001613893</v>
      </c>
    </row>
    <row r="3809" spans="1:40" x14ac:dyDescent="0.25">
      <c r="A3809" t="str">
        <f>"20190303154548122"</f>
        <v>20190303154548122</v>
      </c>
      <c r="B3809" t="str">
        <f>"1551599148115303"</f>
        <v>1551599148115303</v>
      </c>
      <c r="C3809" t="s">
        <v>40</v>
      </c>
      <c r="D3809">
        <v>5.5974719999999998</v>
      </c>
      <c r="E3809">
        <v>0.49895149999999999</v>
      </c>
      <c r="F3809" t="s">
        <v>42</v>
      </c>
      <c r="G3809">
        <v>-191.64</v>
      </c>
      <c r="H3809">
        <v>1.047979</v>
      </c>
      <c r="I3809">
        <v>193.78210000000001</v>
      </c>
      <c r="J3809">
        <v>-191.61</v>
      </c>
      <c r="K3809">
        <v>1.1188129999999901</v>
      </c>
      <c r="L3809">
        <v>194.33519999999999</v>
      </c>
      <c r="M3809">
        <v>3.6579399999999998E-2</v>
      </c>
      <c r="N3809">
        <v>-6.080093E-3</v>
      </c>
      <c r="O3809">
        <v>-0.99931219999999998</v>
      </c>
      <c r="P3809">
        <v>-3.9812729999999998E-2</v>
      </c>
      <c r="Q3809">
        <v>-0.15700629999999999</v>
      </c>
      <c r="R3809">
        <v>-0.98679490000000003</v>
      </c>
      <c r="S3809">
        <v>-0.1026764</v>
      </c>
      <c r="T3809">
        <v>-0.28727809999999998</v>
      </c>
      <c r="U3809">
        <v>-2.9900669999999998</v>
      </c>
      <c r="V3809">
        <v>7.5514979999999995E-2</v>
      </c>
      <c r="W3809">
        <v>-0.1512009</v>
      </c>
      <c r="X3809">
        <v>0.9856144</v>
      </c>
      <c r="Y3809">
        <v>7.0695040000000001E-2</v>
      </c>
      <c r="Z3809">
        <v>8.9335789999999998E-2</v>
      </c>
      <c r="AA3809">
        <v>0.99348939999999997</v>
      </c>
      <c r="AB3809">
        <v>19</v>
      </c>
      <c r="AC3809">
        <v>-2.9999999999972701E-2</v>
      </c>
      <c r="AD3809">
        <v>-7.08339999999998E-2</v>
      </c>
      <c r="AE3809">
        <v>-0.55309999999997195</v>
      </c>
      <c r="AF3809">
        <v>4.9404446481582903E-2</v>
      </c>
      <c r="AG3809">
        <v>-7.08339999999998E-2</v>
      </c>
      <c r="AH3809">
        <v>0.54275666098251296</v>
      </c>
      <c r="AI3809">
        <v>97.405250696657703</v>
      </c>
      <c r="AJ3809">
        <v>84.798982252520503</v>
      </c>
      <c r="AK3809">
        <v>0.54958443202936402</v>
      </c>
      <c r="AL3809">
        <v>98.696527008600299</v>
      </c>
      <c r="AM3809">
        <v>85.618719475684202</v>
      </c>
      <c r="AN3809">
        <v>0.99999998492628495</v>
      </c>
    </row>
    <row r="3810" spans="1:40" x14ac:dyDescent="0.25">
      <c r="A3810" t="str">
        <f>"20190303154548144"</f>
        <v>20190303154548144</v>
      </c>
      <c r="B3810" t="str">
        <f>"1551599148134822"</f>
        <v>1551599148134822</v>
      </c>
      <c r="C3810" t="s">
        <v>40</v>
      </c>
      <c r="D3810">
        <v>5.5667229999999996</v>
      </c>
      <c r="E3810">
        <v>0.49915490000000001</v>
      </c>
      <c r="F3810" t="s">
        <v>42</v>
      </c>
      <c r="G3810">
        <v>-191.6413</v>
      </c>
      <c r="H3810">
        <v>1.0331410000000001</v>
      </c>
      <c r="I3810">
        <v>193.4419</v>
      </c>
      <c r="J3810">
        <v>-191.6052</v>
      </c>
      <c r="K3810">
        <v>1.1188979999999999</v>
      </c>
      <c r="L3810">
        <v>194.13550000000001</v>
      </c>
      <c r="M3810">
        <v>3.4462859999999998E-2</v>
      </c>
      <c r="N3810">
        <v>-6.0085929999999996E-3</v>
      </c>
      <c r="O3810">
        <v>-0.9993881</v>
      </c>
      <c r="P3810">
        <v>-4.0172159999999998E-2</v>
      </c>
      <c r="Q3810">
        <v>-0.15575059999999999</v>
      </c>
      <c r="R3810">
        <v>-0.98697939999999995</v>
      </c>
      <c r="S3810">
        <v>-0.1045837</v>
      </c>
      <c r="T3810">
        <v>-0.28682099999999999</v>
      </c>
      <c r="U3810">
        <v>-2.9903110000000002</v>
      </c>
      <c r="V3810">
        <v>7.3826409999999995E-2</v>
      </c>
      <c r="W3810">
        <v>-0.1499954</v>
      </c>
      <c r="X3810">
        <v>0.98592650000000004</v>
      </c>
      <c r="Y3810">
        <v>6.9213520000000001E-2</v>
      </c>
      <c r="Z3810">
        <v>8.9263729999999999E-2</v>
      </c>
      <c r="AA3810">
        <v>0.99360020000000004</v>
      </c>
      <c r="AB3810">
        <v>19</v>
      </c>
      <c r="AC3810">
        <v>-3.6100000000004601E-2</v>
      </c>
      <c r="AD3810">
        <v>-8.5756999999999806E-2</v>
      </c>
      <c r="AE3810">
        <v>-0.69360000000000299</v>
      </c>
      <c r="AF3810">
        <v>5.9081682901998098E-2</v>
      </c>
      <c r="AG3810">
        <v>-8.5756999999999806E-2</v>
      </c>
      <c r="AH3810">
        <v>0.68155311670538399</v>
      </c>
      <c r="AI3810">
        <v>97.145083823122704</v>
      </c>
      <c r="AJ3810">
        <v>85.045595551033202</v>
      </c>
      <c r="AK3810">
        <v>0.68946323991519298</v>
      </c>
      <c r="AL3810">
        <v>98.626659885491506</v>
      </c>
      <c r="AM3810">
        <v>85.7176702632797</v>
      </c>
      <c r="AN3810">
        <v>1.0000000111184399</v>
      </c>
    </row>
    <row r="3811" spans="1:40" x14ac:dyDescent="0.25">
      <c r="A3811" t="str">
        <f>"20190303154548166"</f>
        <v>20190303154548166</v>
      </c>
      <c r="B3811" t="str">
        <f>"1551599148155319"</f>
        <v>1551599148155319</v>
      </c>
      <c r="C3811" t="s">
        <v>40</v>
      </c>
      <c r="D3811">
        <v>5.625756</v>
      </c>
      <c r="E3811">
        <v>0.49924849999999998</v>
      </c>
      <c r="F3811" t="s">
        <v>42</v>
      </c>
      <c r="G3811">
        <v>-191.63659999999999</v>
      </c>
      <c r="H3811">
        <v>1.0375219999999901</v>
      </c>
      <c r="I3811">
        <v>193.26490000000001</v>
      </c>
      <c r="J3811">
        <v>-191.6009</v>
      </c>
      <c r="K3811">
        <v>1.118984</v>
      </c>
      <c r="L3811">
        <v>193.94589999999999</v>
      </c>
      <c r="M3811">
        <v>3.2580280000000003E-2</v>
      </c>
      <c r="N3811">
        <v>-5.948549E-3</v>
      </c>
      <c r="O3811">
        <v>-0.99945139999999999</v>
      </c>
      <c r="P3811">
        <v>-4.0564919999999997E-2</v>
      </c>
      <c r="Q3811">
        <v>-0.15218229999999999</v>
      </c>
      <c r="R3811">
        <v>-0.9875197</v>
      </c>
      <c r="S3811">
        <v>-0.10713200000000001</v>
      </c>
      <c r="T3811">
        <v>-0.27958440000000001</v>
      </c>
      <c r="U3811">
        <v>-2.9911189999999999</v>
      </c>
      <c r="V3811">
        <v>7.2413019999999995E-2</v>
      </c>
      <c r="W3811">
        <v>-0.146467299999999</v>
      </c>
      <c r="X3811">
        <v>0.98656149999999998</v>
      </c>
      <c r="Y3811">
        <v>6.8178829999999996E-2</v>
      </c>
      <c r="Z3811">
        <v>8.6926069999999994E-2</v>
      </c>
      <c r="AA3811">
        <v>0.99387899999999996</v>
      </c>
      <c r="AB3811">
        <v>19</v>
      </c>
      <c r="AC3811">
        <v>-3.5699999999991398E-2</v>
      </c>
      <c r="AD3811">
        <v>-8.1462000000000104E-2</v>
      </c>
      <c r="AE3811">
        <v>-0.68099999999998295</v>
      </c>
      <c r="AF3811">
        <v>5.7054443615979E-2</v>
      </c>
      <c r="AG3811">
        <v>-8.1462000000000104E-2</v>
      </c>
      <c r="AH3811">
        <v>0.66991562509788705</v>
      </c>
      <c r="AI3811">
        <v>96.908383825033198</v>
      </c>
      <c r="AJ3811">
        <v>85.132059568601605</v>
      </c>
      <c r="AK3811">
        <v>0.67725786206630401</v>
      </c>
      <c r="AL3811">
        <v>98.422256911375996</v>
      </c>
      <c r="AM3811">
        <v>85.802052261378606</v>
      </c>
      <c r="AN3811">
        <v>0.99999995435852895</v>
      </c>
    </row>
    <row r="3812" spans="1:40" x14ac:dyDescent="0.25">
      <c r="A3812" t="str">
        <f>"20190303154548188"</f>
        <v>20190303154548188</v>
      </c>
      <c r="B3812" t="str">
        <f>"1551599148184598"</f>
        <v>1551599148184598</v>
      </c>
      <c r="C3812" t="s">
        <v>40</v>
      </c>
      <c r="D3812">
        <v>5.603415</v>
      </c>
      <c r="E3812">
        <v>0.52680819999999995</v>
      </c>
      <c r="F3812" t="s">
        <v>42</v>
      </c>
      <c r="G3812">
        <v>-191.63220000000001</v>
      </c>
      <c r="H3812">
        <v>1.0420879999999999</v>
      </c>
      <c r="I3812">
        <v>193.08690000000001</v>
      </c>
      <c r="J3812">
        <v>-191.5967</v>
      </c>
      <c r="K3812">
        <v>1.119057</v>
      </c>
      <c r="L3812">
        <v>193.7517</v>
      </c>
      <c r="M3812">
        <v>3.0786640000000001E-2</v>
      </c>
      <c r="N3812">
        <v>-5.8942530000000003E-3</v>
      </c>
      <c r="O3812">
        <v>-0.99950850000000002</v>
      </c>
      <c r="P3812">
        <v>-4.1942470000000003E-2</v>
      </c>
      <c r="Q3812">
        <v>-0.147869899999999</v>
      </c>
      <c r="R3812">
        <v>-0.98811709999999997</v>
      </c>
      <c r="S3812">
        <v>-0.1091309</v>
      </c>
      <c r="T3812">
        <v>-0.2678739</v>
      </c>
      <c r="U3812">
        <v>-2.9921720000000001</v>
      </c>
      <c r="V3812">
        <v>7.2069090000000002E-2</v>
      </c>
      <c r="W3812">
        <v>-0.14219309999999999</v>
      </c>
      <c r="X3812">
        <v>0.98721179999999997</v>
      </c>
      <c r="Y3812">
        <v>6.7052239999999999E-2</v>
      </c>
      <c r="Z3812">
        <v>8.3099569999999998E-2</v>
      </c>
      <c r="AA3812">
        <v>0.99428289999999997</v>
      </c>
      <c r="AB3812">
        <v>20</v>
      </c>
      <c r="AC3812">
        <v>-3.5500000000013097E-2</v>
      </c>
      <c r="AD3812">
        <v>-7.6968999999999996E-2</v>
      </c>
      <c r="AE3812">
        <v>-0.66479999999998496</v>
      </c>
      <c r="AF3812">
        <v>5.5212497603194903E-2</v>
      </c>
      <c r="AG3812">
        <v>-7.6968999999999996E-2</v>
      </c>
      <c r="AH3812">
        <v>0.65464174027752697</v>
      </c>
      <c r="AI3812">
        <v>96.682212779015202</v>
      </c>
      <c r="AJ3812">
        <v>85.179081976603101</v>
      </c>
      <c r="AK3812">
        <v>0.66145933734899498</v>
      </c>
      <c r="AL3812">
        <v>98.174771554016601</v>
      </c>
      <c r="AM3812">
        <v>85.824662357433496</v>
      </c>
      <c r="AN3812">
        <v>0.99999998474013896</v>
      </c>
    </row>
    <row r="3813" spans="1:40" x14ac:dyDescent="0.25">
      <c r="A3813" t="str">
        <f>"20190303154548212"</f>
        <v>20190303154548212</v>
      </c>
      <c r="B3813" t="str">
        <f>"1551599148205095"</f>
        <v>1551599148205095</v>
      </c>
      <c r="C3813" t="s">
        <v>40</v>
      </c>
      <c r="D3813">
        <v>5.5237569999999998</v>
      </c>
      <c r="E3813">
        <v>0.52946329999999997</v>
      </c>
      <c r="F3813" t="s">
        <v>41</v>
      </c>
      <c r="G3813">
        <v>-193.47020000000001</v>
      </c>
      <c r="H3813" s="1">
        <v>-3.9654150000000004E-6</v>
      </c>
      <c r="I3813">
        <v>176.8305</v>
      </c>
      <c r="J3813">
        <v>-191.59229999999999</v>
      </c>
      <c r="K3813">
        <v>1.119122</v>
      </c>
      <c r="L3813">
        <v>193.54169999999999</v>
      </c>
      <c r="M3813">
        <v>2.9011789999999999E-2</v>
      </c>
      <c r="N3813">
        <v>-5.8404169999999997E-3</v>
      </c>
      <c r="O3813">
        <v>-0.99956210000000001</v>
      </c>
      <c r="P3813">
        <v>-4.3892920000000002E-2</v>
      </c>
      <c r="Q3813">
        <v>-0.14524979999999901</v>
      </c>
      <c r="R3813">
        <v>-0.9884212</v>
      </c>
      <c r="S3813">
        <v>-0.331314099999999</v>
      </c>
      <c r="T3813">
        <v>-0.19789799999999999</v>
      </c>
      <c r="U3813">
        <v>-2.9923860000000002</v>
      </c>
      <c r="V3813">
        <v>7.230135E-2</v>
      </c>
      <c r="W3813">
        <v>-0.13961379999999901</v>
      </c>
      <c r="X3813">
        <v>0.98756290000000002</v>
      </c>
      <c r="Y3813">
        <v>0.1386115</v>
      </c>
      <c r="Z3813">
        <v>5.9592230000000003E-2</v>
      </c>
      <c r="AA3813">
        <v>0.98855230000000005</v>
      </c>
      <c r="AB3813">
        <v>20</v>
      </c>
      <c r="AC3813">
        <v>-1.8779000000000099</v>
      </c>
      <c r="AD3813">
        <v>-1.1191259654150001</v>
      </c>
      <c r="AE3813">
        <v>-16.711199999999899</v>
      </c>
      <c r="AF3813">
        <v>2.3515249613567102</v>
      </c>
      <c r="AG3813">
        <v>-1.1191259654150001</v>
      </c>
      <c r="AH3813">
        <v>16.576269222713801</v>
      </c>
      <c r="AI3813">
        <v>93.824217916293705</v>
      </c>
      <c r="AJ3813">
        <v>81.925842669122503</v>
      </c>
      <c r="AK3813">
        <v>16.7795951653858</v>
      </c>
      <c r="AL3813">
        <v>98.025499222950103</v>
      </c>
      <c r="AM3813">
        <v>85.812738036306698</v>
      </c>
      <c r="AN3813">
        <v>0.99999998990933603</v>
      </c>
    </row>
    <row r="3814" spans="1:40" x14ac:dyDescent="0.25">
      <c r="A3814" t="str">
        <f>"20190303154548232"</f>
        <v>20190303154548232</v>
      </c>
      <c r="B3814" t="str">
        <f>"1551599148224618"</f>
        <v>1551599148224618</v>
      </c>
      <c r="C3814" t="s">
        <v>40</v>
      </c>
      <c r="D3814">
        <v>5.5145470000000003</v>
      </c>
      <c r="E3814">
        <v>0.53072350000000001</v>
      </c>
      <c r="F3814" t="s">
        <v>41</v>
      </c>
      <c r="G3814">
        <v>-193.74299999999999</v>
      </c>
      <c r="H3814" s="1">
        <v>-3.5743370000000002E-6</v>
      </c>
      <c r="I3814">
        <v>175.59950000000001</v>
      </c>
      <c r="J3814">
        <v>-191.58869999999999</v>
      </c>
      <c r="K3814">
        <v>1.1191739999999999</v>
      </c>
      <c r="L3814">
        <v>193.36199999999999</v>
      </c>
      <c r="M3814">
        <v>2.763051E-2</v>
      </c>
      <c r="N3814">
        <v>-5.7948870000000003E-3</v>
      </c>
      <c r="O3814">
        <v>-0.99960170000000004</v>
      </c>
      <c r="P3814">
        <v>-4.5383140000000002E-2</v>
      </c>
      <c r="Q3814">
        <v>-0.14418610000000001</v>
      </c>
      <c r="R3814">
        <v>-0.98850950000000004</v>
      </c>
      <c r="S3814">
        <v>-0.35861209999999999</v>
      </c>
      <c r="T3814">
        <v>-0.18660959999999999</v>
      </c>
      <c r="U3814">
        <v>-2.9917910000000001</v>
      </c>
      <c r="V3814">
        <v>7.2449169999999993E-2</v>
      </c>
      <c r="W3814">
        <v>-0.1385854</v>
      </c>
      <c r="X3814">
        <v>0.98769689999999999</v>
      </c>
      <c r="Y3814">
        <v>0.1461877</v>
      </c>
      <c r="Z3814">
        <v>5.5868660000000001E-2</v>
      </c>
      <c r="AA3814">
        <v>0.98767799999999994</v>
      </c>
      <c r="AB3814">
        <v>20</v>
      </c>
      <c r="AC3814">
        <v>-2.1543000000000001</v>
      </c>
      <c r="AD3814">
        <v>-1.1191775743369901</v>
      </c>
      <c r="AE3814">
        <v>-17.7624999999999</v>
      </c>
      <c r="AF3814">
        <v>2.6339672559291301</v>
      </c>
      <c r="AG3814">
        <v>-1.1191775743369901</v>
      </c>
      <c r="AH3814">
        <v>17.627227227197299</v>
      </c>
      <c r="AI3814">
        <v>93.593127412259193</v>
      </c>
      <c r="AJ3814">
        <v>81.501397364614405</v>
      </c>
      <c r="AK3814">
        <v>17.8580368928796</v>
      </c>
      <c r="AL3814">
        <v>97.965997863565605</v>
      </c>
      <c r="AM3814">
        <v>85.804774934966701</v>
      </c>
      <c r="AN3814">
        <v>0.99999998079822905</v>
      </c>
    </row>
    <row r="3815" spans="1:40" x14ac:dyDescent="0.25">
      <c r="A3815" t="str">
        <f>"20190303154548254"</f>
        <v>20190303154548254</v>
      </c>
      <c r="B3815" t="str">
        <f>"1551599148245111"</f>
        <v>1551599148245111</v>
      </c>
      <c r="C3815" t="s">
        <v>40</v>
      </c>
      <c r="D3815">
        <v>5.3513820000000001</v>
      </c>
      <c r="E3815">
        <v>0.53066659999999999</v>
      </c>
      <c r="F3815" t="s">
        <v>41</v>
      </c>
      <c r="G3815">
        <v>-193.91329999999999</v>
      </c>
      <c r="H3815" s="1">
        <v>-3.2445220000000002E-6</v>
      </c>
      <c r="I3815">
        <v>174.7251</v>
      </c>
      <c r="J3815">
        <v>-191.5848</v>
      </c>
      <c r="K3815">
        <v>1.119238</v>
      </c>
      <c r="L3815">
        <v>193.15870000000001</v>
      </c>
      <c r="M3815">
        <v>2.6212220000000001E-2</v>
      </c>
      <c r="N3815">
        <v>-5.7450440000000004E-3</v>
      </c>
      <c r="O3815">
        <v>-0.99963999999999997</v>
      </c>
      <c r="P3815">
        <v>-4.7587909999999997E-2</v>
      </c>
      <c r="Q3815">
        <v>-0.14400439999999901</v>
      </c>
      <c r="R3815">
        <v>-0.98843250000000005</v>
      </c>
      <c r="S3815">
        <v>-0.37312319999999999</v>
      </c>
      <c r="T3815">
        <v>-0.17964639999999901</v>
      </c>
      <c r="U3815">
        <v>-2.9915310000000002</v>
      </c>
      <c r="V3815">
        <v>7.3271929999999999E-2</v>
      </c>
      <c r="W3815">
        <v>-0.13844339999999999</v>
      </c>
      <c r="X3815">
        <v>0.98765610000000004</v>
      </c>
      <c r="Y3815">
        <v>0.14952989999999999</v>
      </c>
      <c r="Z3815">
        <v>5.3601549999999998E-2</v>
      </c>
      <c r="AA3815">
        <v>0.98730329999999999</v>
      </c>
      <c r="AB3815">
        <v>20</v>
      </c>
      <c r="AC3815">
        <v>-2.3284999999999898</v>
      </c>
      <c r="AD3815">
        <v>-1.1192412445219999</v>
      </c>
      <c r="AE3815">
        <v>-18.433599999999998</v>
      </c>
      <c r="AF3815">
        <v>2.8007303697452399</v>
      </c>
      <c r="AG3815">
        <v>-1.1192412445219999</v>
      </c>
      <c r="AH3815">
        <v>18.299825137322699</v>
      </c>
      <c r="AI3815">
        <v>93.459739885600399</v>
      </c>
      <c r="AJ3815">
        <v>81.298581638487093</v>
      </c>
      <c r="AK3815">
        <v>18.546708377068999</v>
      </c>
      <c r="AL3815">
        <v>97.957782827888195</v>
      </c>
      <c r="AM3815">
        <v>85.757130752705805</v>
      </c>
      <c r="AN3815">
        <v>0.99999996129834601</v>
      </c>
    </row>
    <row r="3816" spans="1:40" x14ac:dyDescent="0.25">
      <c r="A3816" t="str">
        <f>"20190303154548279"</f>
        <v>20190303154548279</v>
      </c>
      <c r="B3816" t="str">
        <f>"1551599148275367"</f>
        <v>1551599148275367</v>
      </c>
      <c r="C3816" t="s">
        <v>40</v>
      </c>
      <c r="D3816">
        <v>5.2181629999999997</v>
      </c>
      <c r="E3816">
        <v>0.53013690000000002</v>
      </c>
      <c r="F3816" t="s">
        <v>41</v>
      </c>
      <c r="G3816">
        <v>-193.98400000000001</v>
      </c>
      <c r="H3816" s="1">
        <v>-3.0556410000000001E-6</v>
      </c>
      <c r="I3816">
        <v>174.24090000000001</v>
      </c>
      <c r="J3816">
        <v>-191.58080000000001</v>
      </c>
      <c r="K3816">
        <v>1.1192930000000001</v>
      </c>
      <c r="L3816">
        <v>192.94489999999999</v>
      </c>
      <c r="M3816">
        <v>2.486814E-2</v>
      </c>
      <c r="N3816">
        <v>-5.6976919999999999E-3</v>
      </c>
      <c r="O3816">
        <v>-0.99967490000000003</v>
      </c>
      <c r="P3816">
        <v>-4.9955399999999997E-2</v>
      </c>
      <c r="Q3816">
        <v>-0.143654799999999</v>
      </c>
      <c r="R3816">
        <v>-0.98836650000000004</v>
      </c>
      <c r="S3816">
        <v>-0.37933349999999999</v>
      </c>
      <c r="T3816">
        <v>-0.17696339999999999</v>
      </c>
      <c r="U3816">
        <v>-2.9910890000000001</v>
      </c>
      <c r="V3816">
        <v>7.4332880000000004E-2</v>
      </c>
      <c r="W3816">
        <v>-0.13813029999999901</v>
      </c>
      <c r="X3816">
        <v>0.98762070000000002</v>
      </c>
      <c r="Y3816">
        <v>0.1502425</v>
      </c>
      <c r="Z3816">
        <v>5.276662E-2</v>
      </c>
      <c r="AA3816">
        <v>0.98724000000000001</v>
      </c>
      <c r="AB3816">
        <v>20</v>
      </c>
      <c r="AC3816">
        <v>-2.4031999999999898</v>
      </c>
      <c r="AD3816">
        <v>-1.1192960556409901</v>
      </c>
      <c r="AE3816">
        <v>-18.703999999999901</v>
      </c>
      <c r="AF3816">
        <v>2.8575308016584802</v>
      </c>
      <c r="AG3816">
        <v>-1.1192960556409901</v>
      </c>
      <c r="AH3816">
        <v>18.573019025519599</v>
      </c>
      <c r="AI3816">
        <v>93.408725929878202</v>
      </c>
      <c r="AJ3816">
        <v>81.253406016654694</v>
      </c>
      <c r="AK3816">
        <v>18.824859671851801</v>
      </c>
      <c r="AL3816">
        <v>97.939669164719405</v>
      </c>
      <c r="AM3816">
        <v>85.695771129686193</v>
      </c>
      <c r="AN3816">
        <v>1.0000000019478299</v>
      </c>
    </row>
    <row r="3817" spans="1:40" x14ac:dyDescent="0.25">
      <c r="A3817" t="str">
        <f>"20190303154548302"</f>
        <v>20190303154548302</v>
      </c>
      <c r="B3817" t="str">
        <f>"1551599148294886"</f>
        <v>1551599148294886</v>
      </c>
      <c r="C3817" t="s">
        <v>40</v>
      </c>
      <c r="D3817">
        <v>5.1625009999999998</v>
      </c>
      <c r="E3817">
        <v>0.52973530000000002</v>
      </c>
      <c r="F3817" t="s">
        <v>41</v>
      </c>
      <c r="G3817">
        <v>-193.98339999999999</v>
      </c>
      <c r="H3817" s="1">
        <v>-3.0268789999999998E-6</v>
      </c>
      <c r="I3817">
        <v>174.17420000000001</v>
      </c>
      <c r="J3817">
        <v>-191.577</v>
      </c>
      <c r="K3817">
        <v>1.1193500000000001</v>
      </c>
      <c r="L3817">
        <v>192.733</v>
      </c>
      <c r="M3817">
        <v>2.3667750000000001E-2</v>
      </c>
      <c r="N3817">
        <v>-5.6570550000000002E-3</v>
      </c>
      <c r="O3817">
        <v>-0.99970400000000004</v>
      </c>
      <c r="P3817">
        <v>-5.2476000000000002E-2</v>
      </c>
      <c r="Q3817">
        <v>-0.142530399999999</v>
      </c>
      <c r="R3817">
        <v>-0.98839869999999996</v>
      </c>
      <c r="S3817">
        <v>-0.38270569999999998</v>
      </c>
      <c r="T3817">
        <v>-0.17829679999999901</v>
      </c>
      <c r="U3817">
        <v>-2.9900509999999998</v>
      </c>
      <c r="V3817">
        <v>7.5690190000000004E-2</v>
      </c>
      <c r="W3817">
        <v>-0.1370364</v>
      </c>
      <c r="X3817">
        <v>0.98767000000000005</v>
      </c>
      <c r="Y3817">
        <v>0.1501904</v>
      </c>
      <c r="Z3817">
        <v>5.3265600000000003E-2</v>
      </c>
      <c r="AA3817">
        <v>0.98722120000000002</v>
      </c>
      <c r="AB3817">
        <v>20</v>
      </c>
      <c r="AC3817">
        <v>-2.4063999999999899</v>
      </c>
      <c r="AD3817">
        <v>-1.119353026879</v>
      </c>
      <c r="AE3817">
        <v>-18.558799999999898</v>
      </c>
      <c r="AF3817">
        <v>2.8348359608775899</v>
      </c>
      <c r="AG3817">
        <v>-1.119353026879</v>
      </c>
      <c r="AH3817">
        <v>18.4307082050905</v>
      </c>
      <c r="AI3817">
        <v>93.435180042259205</v>
      </c>
      <c r="AJ3817">
        <v>81.255834798660501</v>
      </c>
      <c r="AK3817">
        <v>18.6810131166663</v>
      </c>
      <c r="AL3817">
        <v>97.876391531354997</v>
      </c>
      <c r="AM3817">
        <v>85.617697764901493</v>
      </c>
      <c r="AN3817">
        <v>1.0000000043435899</v>
      </c>
    </row>
    <row r="3818" spans="1:40" x14ac:dyDescent="0.25">
      <c r="A3818" t="str">
        <f>"20190303154548323"</f>
        <v>20190303154548323</v>
      </c>
      <c r="B3818" t="str">
        <f>"1551599148315383"</f>
        <v>1551599148315383</v>
      </c>
      <c r="C3818" t="s">
        <v>40</v>
      </c>
      <c r="D3818">
        <v>5.0917250000000003</v>
      </c>
      <c r="E3818">
        <v>0.52957980000000004</v>
      </c>
      <c r="F3818" t="s">
        <v>41</v>
      </c>
      <c r="G3818">
        <v>-194.02070000000001</v>
      </c>
      <c r="H3818" s="1">
        <v>-2.9063180000000001E-6</v>
      </c>
      <c r="I3818">
        <v>173.87</v>
      </c>
      <c r="J3818">
        <v>-191.5736</v>
      </c>
      <c r="K3818">
        <v>1.1193919999999999</v>
      </c>
      <c r="L3818">
        <v>192.53729999999999</v>
      </c>
      <c r="M3818">
        <v>2.2667119999999999E-2</v>
      </c>
      <c r="N3818">
        <v>-5.6238859999999998E-3</v>
      </c>
      <c r="O3818">
        <v>-0.99972740000000004</v>
      </c>
      <c r="P3818">
        <v>-5.377519E-2</v>
      </c>
      <c r="Q3818">
        <v>-0.14181679999999999</v>
      </c>
      <c r="R3818">
        <v>-0.98843170000000002</v>
      </c>
      <c r="S3818">
        <v>-0.38723750000000001</v>
      </c>
      <c r="T3818">
        <v>-0.17737510000000001</v>
      </c>
      <c r="U3818">
        <v>-2.9890590000000001</v>
      </c>
      <c r="V3818">
        <v>7.6017890000000005E-2</v>
      </c>
      <c r="W3818">
        <v>-0.136347</v>
      </c>
      <c r="X3818">
        <v>0.98774019999999996</v>
      </c>
      <c r="Y3818">
        <v>0.1507164</v>
      </c>
      <c r="Z3818">
        <v>5.3008680000000002E-2</v>
      </c>
      <c r="AA3818">
        <v>0.9871548</v>
      </c>
      <c r="AB3818">
        <v>20</v>
      </c>
      <c r="AC3818">
        <v>-2.4470999999999998</v>
      </c>
      <c r="AD3818">
        <v>-1.119394906318</v>
      </c>
      <c r="AE3818">
        <v>-18.667299999999901</v>
      </c>
      <c r="AF3818">
        <v>2.8595031194148102</v>
      </c>
      <c r="AG3818">
        <v>-1.119394906318</v>
      </c>
      <c r="AH3818">
        <v>18.5414877051121</v>
      </c>
      <c r="AI3818">
        <v>93.414621243381305</v>
      </c>
      <c r="AJ3818">
        <v>81.232809066034605</v>
      </c>
      <c r="AK3818">
        <v>18.7940567564604</v>
      </c>
      <c r="AL3818">
        <v>97.836517871887096</v>
      </c>
      <c r="AM3818">
        <v>85.599110584608297</v>
      </c>
      <c r="AN3818">
        <v>0.99999996335254504</v>
      </c>
    </row>
    <row r="3819" spans="1:40" x14ac:dyDescent="0.25">
      <c r="A3819" t="str">
        <f>"20190303154548503"</f>
        <v>20190303154548503</v>
      </c>
      <c r="B3819" t="str">
        <f>"1551599148494967"</f>
        <v>1551599148494967</v>
      </c>
      <c r="C3819" t="s">
        <v>40</v>
      </c>
      <c r="D3819">
        <v>5.0697330000000003</v>
      </c>
      <c r="E3819">
        <v>0.52957980000000004</v>
      </c>
      <c r="F3819" t="s">
        <v>41</v>
      </c>
      <c r="G3819">
        <v>-193.9984</v>
      </c>
      <c r="H3819" s="1">
        <v>-2.9352279999999998E-6</v>
      </c>
      <c r="I3819">
        <v>173.9513</v>
      </c>
      <c r="J3819">
        <v>-191.5498</v>
      </c>
      <c r="K3819">
        <v>1.1192409999999999</v>
      </c>
      <c r="L3819">
        <v>190.85730000000001</v>
      </c>
      <c r="M3819">
        <v>1.5024849999999999E-2</v>
      </c>
      <c r="N3819">
        <v>-5.365168E-3</v>
      </c>
      <c r="O3819">
        <v>-0.99987269999999995</v>
      </c>
      <c r="P3819">
        <v>-5.8735849999999999E-2</v>
      </c>
      <c r="Q3819">
        <v>-0.13048660000000001</v>
      </c>
      <c r="R3819">
        <v>-0.9897087</v>
      </c>
      <c r="S3819">
        <v>-0.3898315</v>
      </c>
      <c r="T3819">
        <v>-0.17996479999999901</v>
      </c>
      <c r="U3819">
        <v>-2.9880680000000002</v>
      </c>
      <c r="V3819">
        <v>7.3426469999999994E-2</v>
      </c>
      <c r="W3819">
        <v>-0.1252818</v>
      </c>
      <c r="X3819">
        <v>0.98940030000000001</v>
      </c>
      <c r="Y3819">
        <v>0.14403540000000001</v>
      </c>
      <c r="Z3819">
        <v>5.418224E-2</v>
      </c>
      <c r="AA3819">
        <v>0.98808810000000002</v>
      </c>
      <c r="AB3819">
        <v>21</v>
      </c>
      <c r="AC3819">
        <v>-2.4485999999999901</v>
      </c>
      <c r="AD3819">
        <v>-1.1192439352279999</v>
      </c>
      <c r="AE3819">
        <v>-16.905999999999999</v>
      </c>
      <c r="AF3819">
        <v>2.6907860747591101</v>
      </c>
      <c r="AG3819">
        <v>-1.1192439352279999</v>
      </c>
      <c r="AH3819">
        <v>16.795200972389299</v>
      </c>
      <c r="AI3819">
        <v>93.764724402238699</v>
      </c>
      <c r="AJ3819">
        <v>80.897902122669095</v>
      </c>
      <c r="AK3819">
        <v>17.046167087929401</v>
      </c>
      <c r="AL3819">
        <v>97.197029916346693</v>
      </c>
      <c r="AM3819">
        <v>85.755682771926502</v>
      </c>
      <c r="AN3819">
        <v>0.999999964773994</v>
      </c>
    </row>
    <row r="3820" spans="1:40" x14ac:dyDescent="0.25">
      <c r="A3820" t="str">
        <f>"20190303154548526"</f>
        <v>20190303154548526</v>
      </c>
      <c r="B3820" t="str">
        <f>"1551599148514487"</f>
        <v>1551599148514487</v>
      </c>
      <c r="C3820" t="s">
        <v>40</v>
      </c>
      <c r="D3820">
        <v>4.8043250000000004</v>
      </c>
      <c r="E3820">
        <v>0.53004989999999996</v>
      </c>
      <c r="F3820" t="s">
        <v>41</v>
      </c>
      <c r="G3820">
        <v>-194.6567</v>
      </c>
      <c r="H3820" s="1">
        <v>-4.9134509999999998E-6</v>
      </c>
      <c r="I3820">
        <v>167.93</v>
      </c>
      <c r="J3820">
        <v>-191.54769999999999</v>
      </c>
      <c r="K3820">
        <v>1.1192139999999999</v>
      </c>
      <c r="L3820">
        <v>190.63929999999999</v>
      </c>
      <c r="M3820">
        <v>1.3946109999999999E-2</v>
      </c>
      <c r="N3820">
        <v>-5.3387019999999999E-3</v>
      </c>
      <c r="O3820">
        <v>-0.99988880000000002</v>
      </c>
      <c r="P3820">
        <v>-6.0359690000000001E-2</v>
      </c>
      <c r="Q3820">
        <v>-0.1294537</v>
      </c>
      <c r="R3820">
        <v>-0.98974709999999999</v>
      </c>
      <c r="S3820">
        <v>-0.40489199999999997</v>
      </c>
      <c r="T3820">
        <v>-0.145862299999999</v>
      </c>
      <c r="U3820">
        <v>-2.98793</v>
      </c>
      <c r="V3820">
        <v>7.3976500000000001E-2</v>
      </c>
      <c r="W3820">
        <v>-0.1242806</v>
      </c>
      <c r="X3820">
        <v>0.98948559999999997</v>
      </c>
      <c r="Y3820">
        <v>0.14794389999999999</v>
      </c>
      <c r="Z3820">
        <v>4.292559E-2</v>
      </c>
      <c r="AA3820">
        <v>0.98806380000000005</v>
      </c>
      <c r="AB3820">
        <v>21</v>
      </c>
      <c r="AC3820">
        <v>-3.109</v>
      </c>
      <c r="AD3820">
        <v>-1.119218913451</v>
      </c>
      <c r="AE3820">
        <v>-22.709299999999899</v>
      </c>
      <c r="AF3820">
        <v>3.4172607277473399</v>
      </c>
      <c r="AG3820">
        <v>-1.119218913451</v>
      </c>
      <c r="AH3820">
        <v>22.609824109990502</v>
      </c>
      <c r="AI3820">
        <v>92.802137577707597</v>
      </c>
      <c r="AJ3820">
        <v>81.405335695143407</v>
      </c>
      <c r="AK3820">
        <v>22.893983230148901</v>
      </c>
      <c r="AL3820">
        <v>97.1392134533953</v>
      </c>
      <c r="AM3820">
        <v>85.724373773241098</v>
      </c>
      <c r="AN3820">
        <v>0.99999997134798402</v>
      </c>
    </row>
    <row r="3821" spans="1:40" x14ac:dyDescent="0.25">
      <c r="A3821" t="str">
        <f>"20190303154548545"</f>
        <v>20190303154548545</v>
      </c>
      <c r="B3821" t="str">
        <f>"1551599148534983"</f>
        <v>1551599148534983</v>
      </c>
      <c r="C3821" t="s">
        <v>40</v>
      </c>
      <c r="D3821">
        <v>5.162839</v>
      </c>
      <c r="E3821">
        <v>0.52904589999999996</v>
      </c>
      <c r="F3821" t="s">
        <v>41</v>
      </c>
      <c r="G3821">
        <v>-195.19220000000001</v>
      </c>
      <c r="H3821" s="1">
        <v>-3.5868320000000002E-6</v>
      </c>
      <c r="I3821">
        <v>164.2569</v>
      </c>
      <c r="J3821">
        <v>-191.5461</v>
      </c>
      <c r="K3821">
        <v>1.119197</v>
      </c>
      <c r="L3821">
        <v>190.4462</v>
      </c>
      <c r="M3821">
        <v>1.2976369999999999E-2</v>
      </c>
      <c r="N3821">
        <v>-5.3174110000000002E-3</v>
      </c>
      <c r="O3821">
        <v>-0.99990179999999995</v>
      </c>
      <c r="P3821">
        <v>-6.1723859999999998E-2</v>
      </c>
      <c r="Q3821">
        <v>-0.12842809999999999</v>
      </c>
      <c r="R3821">
        <v>-0.98979609999999996</v>
      </c>
      <c r="S3821">
        <v>-0.4129486</v>
      </c>
      <c r="T3821">
        <v>-0.12681529999999999</v>
      </c>
      <c r="U3821">
        <v>-2.9893190000000001</v>
      </c>
      <c r="V3821">
        <v>7.4377139999999994E-2</v>
      </c>
      <c r="W3821">
        <v>-0.1232801</v>
      </c>
      <c r="X3821">
        <v>0.98958080000000004</v>
      </c>
      <c r="Y3821">
        <v>0.14957419999999999</v>
      </c>
      <c r="Z3821">
        <v>3.6624139999999999E-2</v>
      </c>
      <c r="AA3821">
        <v>0.98807199999999995</v>
      </c>
      <c r="AB3821">
        <v>21</v>
      </c>
      <c r="AC3821">
        <v>-3.6461000000000099</v>
      </c>
      <c r="AD3821">
        <v>-1.1192005868320001</v>
      </c>
      <c r="AE3821">
        <v>-26.189299999999999</v>
      </c>
      <c r="AF3821">
        <v>3.97851207172475</v>
      </c>
      <c r="AG3821">
        <v>-1.1192005868320001</v>
      </c>
      <c r="AH3821">
        <v>26.093033894370901</v>
      </c>
      <c r="AI3821">
        <v>92.428037409440805</v>
      </c>
      <c r="AJ3821">
        <v>81.330648329877903</v>
      </c>
      <c r="AK3821">
        <v>26.4183191378864</v>
      </c>
      <c r="AL3821">
        <v>97.081444193816296</v>
      </c>
      <c r="AM3821">
        <v>85.701716508204299</v>
      </c>
      <c r="AN3821">
        <v>1.0000000508696101</v>
      </c>
    </row>
    <row r="3822" spans="1:40" x14ac:dyDescent="0.25">
      <c r="A3822" t="str">
        <f>"20190303154548569"</f>
        <v>20190303154548569</v>
      </c>
      <c r="B3822" t="str">
        <f>"1551599148565239"</f>
        <v>1551599148565239</v>
      </c>
      <c r="C3822" t="s">
        <v>40</v>
      </c>
      <c r="D3822">
        <v>5.0291160000000001</v>
      </c>
      <c r="E3822">
        <v>0.52642549999999999</v>
      </c>
      <c r="F3822" t="s">
        <v>41</v>
      </c>
      <c r="G3822">
        <v>-195.32239999999999</v>
      </c>
      <c r="H3822" s="1">
        <v>-2.974965E-6</v>
      </c>
      <c r="I3822">
        <v>162.88929999999999</v>
      </c>
      <c r="J3822">
        <v>-191.5444</v>
      </c>
      <c r="K3822">
        <v>1.119183</v>
      </c>
      <c r="L3822">
        <v>190.21469999999999</v>
      </c>
      <c r="M3822">
        <v>1.18023E-2</v>
      </c>
      <c r="N3822">
        <v>-5.2951279999999996E-3</v>
      </c>
      <c r="O3822">
        <v>-0.99991640000000004</v>
      </c>
      <c r="P3822">
        <v>-6.3091320000000006E-2</v>
      </c>
      <c r="Q3822">
        <v>-0.1272141</v>
      </c>
      <c r="R3822">
        <v>-0.98986669999999999</v>
      </c>
      <c r="S3822">
        <v>-0.40968320000000003</v>
      </c>
      <c r="T3822">
        <v>-0.1214215</v>
      </c>
      <c r="U3822">
        <v>-2.9896389999999999</v>
      </c>
      <c r="V3822">
        <v>7.4580030000000005E-2</v>
      </c>
      <c r="W3822">
        <v>-0.1220912</v>
      </c>
      <c r="X3822">
        <v>0.98971279999999995</v>
      </c>
      <c r="Y3822">
        <v>0.14734900000000001</v>
      </c>
      <c r="Z3822">
        <v>3.4871899999999997E-2</v>
      </c>
      <c r="AA3822">
        <v>0.98846970000000001</v>
      </c>
      <c r="AB3822">
        <v>22</v>
      </c>
      <c r="AC3822">
        <v>-3.7779999999999898</v>
      </c>
      <c r="AD3822">
        <v>-1.1191859749649999</v>
      </c>
      <c r="AE3822">
        <v>-27.325399999999998</v>
      </c>
      <c r="AF3822">
        <v>4.0935057321331199</v>
      </c>
      <c r="AG3822">
        <v>-1.1191859749649999</v>
      </c>
      <c r="AH3822">
        <v>27.2340778699174</v>
      </c>
      <c r="AI3822">
        <v>92.327137235469493</v>
      </c>
      <c r="AJ3822">
        <v>81.451964139897498</v>
      </c>
      <c r="AK3822">
        <v>27.562735057506298</v>
      </c>
      <c r="AL3822">
        <v>97.012807546634903</v>
      </c>
      <c r="AM3822">
        <v>85.690608201556003</v>
      </c>
      <c r="AN3822">
        <v>0.99999993423803801</v>
      </c>
    </row>
    <row r="3823" spans="1:40" x14ac:dyDescent="0.25">
      <c r="A3823" t="str">
        <f>"20190303154548590"</f>
        <v>20190303154548590</v>
      </c>
      <c r="B3823" t="str">
        <f>"1551599148584759"</f>
        <v>1551599148584759</v>
      </c>
      <c r="C3823" t="s">
        <v>40</v>
      </c>
      <c r="D3823">
        <v>5.026637</v>
      </c>
      <c r="E3823">
        <v>0.52496980000000004</v>
      </c>
      <c r="F3823" t="s">
        <v>41</v>
      </c>
      <c r="G3823">
        <v>-195.1251</v>
      </c>
      <c r="H3823" s="1">
        <v>-2.9700119999999998E-6</v>
      </c>
      <c r="I3823">
        <v>162.9898</v>
      </c>
      <c r="J3823">
        <v>-191.54310000000001</v>
      </c>
      <c r="K3823">
        <v>1.119173</v>
      </c>
      <c r="L3823">
        <v>190.00550000000001</v>
      </c>
      <c r="M3823">
        <v>1.073706E-2</v>
      </c>
      <c r="N3823">
        <v>-5.2776489999999997E-3</v>
      </c>
      <c r="O3823">
        <v>-0.99992879999999995</v>
      </c>
      <c r="P3823">
        <v>-6.4120109999999994E-2</v>
      </c>
      <c r="Q3823">
        <v>-0.1266331</v>
      </c>
      <c r="R3823">
        <v>-0.98987559999999997</v>
      </c>
      <c r="S3823">
        <v>-0.39323429999999998</v>
      </c>
      <c r="T3823">
        <v>-0.1229088</v>
      </c>
      <c r="U3823">
        <v>-2.9898380000000002</v>
      </c>
      <c r="V3823">
        <v>7.4552099999999996E-2</v>
      </c>
      <c r="W3823">
        <v>-0.1215296</v>
      </c>
      <c r="X3823">
        <v>0.98978409999999994</v>
      </c>
      <c r="Y3823">
        <v>0.1409397</v>
      </c>
      <c r="Z3823">
        <v>3.5413199999999902E-2</v>
      </c>
      <c r="AA3823">
        <v>0.98938459999999995</v>
      </c>
      <c r="AB3823">
        <v>22</v>
      </c>
      <c r="AC3823">
        <v>-3.5819999999999901</v>
      </c>
      <c r="AD3823">
        <v>-1.1191759700120001</v>
      </c>
      <c r="AE3823">
        <v>-27.015699999999999</v>
      </c>
      <c r="AF3823">
        <v>3.8653475880856698</v>
      </c>
      <c r="AG3823">
        <v>-1.1191759700120001</v>
      </c>
      <c r="AH3823">
        <v>26.930263125838099</v>
      </c>
      <c r="AI3823">
        <v>92.355632539988804</v>
      </c>
      <c r="AJ3823">
        <v>81.832022559353007</v>
      </c>
      <c r="AK3823">
        <v>27.229258874516798</v>
      </c>
      <c r="AL3823">
        <v>96.980388279422101</v>
      </c>
      <c r="AM3823">
        <v>85.692525127058502</v>
      </c>
      <c r="AN3823">
        <v>1.0000000119516901</v>
      </c>
    </row>
    <row r="3824" spans="1:40" x14ac:dyDescent="0.25">
      <c r="A3824" t="str">
        <f>"20190303154548613"</f>
        <v>20190303154548613</v>
      </c>
      <c r="B3824" t="str">
        <f>"1551599148605254"</f>
        <v>1551599148605254</v>
      </c>
      <c r="C3824" t="s">
        <v>40</v>
      </c>
      <c r="D3824">
        <v>5.0977739999999896</v>
      </c>
      <c r="E3824">
        <v>0.52339990000000003</v>
      </c>
      <c r="F3824" t="s">
        <v>41</v>
      </c>
      <c r="G3824">
        <v>-194.99870000000001</v>
      </c>
      <c r="H3824" s="1">
        <v>-3.002606E-6</v>
      </c>
      <c r="I3824">
        <v>163.12989999999999</v>
      </c>
      <c r="J3824">
        <v>-191.542</v>
      </c>
      <c r="K3824">
        <v>1.1191549999999999</v>
      </c>
      <c r="L3824">
        <v>189.78530000000001</v>
      </c>
      <c r="M3824">
        <v>9.6154689999999998E-3</v>
      </c>
      <c r="N3824">
        <v>-5.2616969999999897E-3</v>
      </c>
      <c r="O3824">
        <v>-0.9999401</v>
      </c>
      <c r="P3824">
        <v>-6.4736260000000004E-2</v>
      </c>
      <c r="Q3824">
        <v>-0.12593750000000001</v>
      </c>
      <c r="R3824">
        <v>-0.98992420000000003</v>
      </c>
      <c r="S3824">
        <v>-0.38442989999999999</v>
      </c>
      <c r="T3824">
        <v>-0.12450650000000001</v>
      </c>
      <c r="U3824">
        <v>-2.989868</v>
      </c>
      <c r="V3824">
        <v>7.4057170000000005E-2</v>
      </c>
      <c r="W3824">
        <v>-0.1208501</v>
      </c>
      <c r="X3824">
        <v>0.98990440000000002</v>
      </c>
      <c r="Y3824">
        <v>0.13695959999999999</v>
      </c>
      <c r="Z3824">
        <v>3.5977389999999998E-2</v>
      </c>
      <c r="AA3824">
        <v>0.98992309999999994</v>
      </c>
      <c r="AB3824">
        <v>22</v>
      </c>
      <c r="AC3824">
        <v>-3.4567000000000099</v>
      </c>
      <c r="AD3824">
        <v>-1.119158002606</v>
      </c>
      <c r="AE3824">
        <v>-26.6554</v>
      </c>
      <c r="AF3824">
        <v>3.7064221108753199</v>
      </c>
      <c r="AG3824">
        <v>-1.119158002606</v>
      </c>
      <c r="AH3824">
        <v>26.574857088572301</v>
      </c>
      <c r="AI3824">
        <v>92.388405243834001</v>
      </c>
      <c r="AJ3824">
        <v>82.060118123294004</v>
      </c>
      <c r="AK3824">
        <v>26.8554111638013</v>
      </c>
      <c r="AL3824">
        <v>96.941167028023699</v>
      </c>
      <c r="AM3824">
        <v>85.721532734231005</v>
      </c>
      <c r="AN3824">
        <v>0.99999996611888797</v>
      </c>
    </row>
    <row r="3825" spans="1:40" x14ac:dyDescent="0.25">
      <c r="A3825" t="str">
        <f>"20190303154548634"</f>
        <v>20190303154548634</v>
      </c>
      <c r="B3825" t="str">
        <f>"1551599148624775"</f>
        <v>1551599148624775</v>
      </c>
      <c r="C3825" t="s">
        <v>40</v>
      </c>
      <c r="D3825">
        <v>5.1710500000000001</v>
      </c>
      <c r="E3825">
        <v>0.52213209999999999</v>
      </c>
      <c r="F3825" t="s">
        <v>41</v>
      </c>
      <c r="G3825">
        <v>-194.79130000000001</v>
      </c>
      <c r="H3825" s="1">
        <v>-3.2706110000000002E-6</v>
      </c>
      <c r="I3825">
        <v>163.81360000000001</v>
      </c>
      <c r="J3825">
        <v>-191.5411</v>
      </c>
      <c r="K3825">
        <v>1.11914</v>
      </c>
      <c r="L3825">
        <v>189.5685</v>
      </c>
      <c r="M3825">
        <v>8.5146800000000002E-3</v>
      </c>
      <c r="N3825">
        <v>-5.2482070000000004E-3</v>
      </c>
      <c r="O3825">
        <v>-0.99995009999999995</v>
      </c>
      <c r="P3825">
        <v>-6.5156130000000007E-2</v>
      </c>
      <c r="Q3825">
        <v>-0.12525240000000001</v>
      </c>
      <c r="R3825">
        <v>-0.98998339999999996</v>
      </c>
      <c r="S3825">
        <v>-0.3740387</v>
      </c>
      <c r="T3825">
        <v>-0.12882979999999999</v>
      </c>
      <c r="U3825">
        <v>-2.9896850000000001</v>
      </c>
      <c r="V3825">
        <v>7.3387149999999998E-2</v>
      </c>
      <c r="W3825">
        <v>-0.1201781</v>
      </c>
      <c r="X3825">
        <v>0.99003609999999997</v>
      </c>
      <c r="Y3825">
        <v>0.13248260000000001</v>
      </c>
      <c r="Z3825">
        <v>3.7446550000000002E-2</v>
      </c>
      <c r="AA3825">
        <v>0.99047770000000002</v>
      </c>
      <c r="AB3825">
        <v>22</v>
      </c>
      <c r="AC3825">
        <v>-3.2502</v>
      </c>
      <c r="AD3825">
        <v>-1.1191432706110001</v>
      </c>
      <c r="AE3825">
        <v>-25.7548999999999</v>
      </c>
      <c r="AF3825">
        <v>3.4629436180961601</v>
      </c>
      <c r="AG3825">
        <v>-1.1191432706110001</v>
      </c>
      <c r="AH3825">
        <v>25.678564963960799</v>
      </c>
      <c r="AI3825">
        <v>92.473170490619395</v>
      </c>
      <c r="AJ3825">
        <v>82.319578467449105</v>
      </c>
      <c r="AK3825">
        <v>25.935172233294001</v>
      </c>
      <c r="AL3825">
        <v>96.9023815907304</v>
      </c>
      <c r="AM3825">
        <v>85.760661618237407</v>
      </c>
      <c r="AN3825">
        <v>0.99999996440396999</v>
      </c>
    </row>
    <row r="3826" spans="1:40" x14ac:dyDescent="0.25">
      <c r="A3826" t="str">
        <f>"20190303154548657"</f>
        <v>20190303154548657</v>
      </c>
      <c r="B3826" t="str">
        <f>"1551599148655030"</f>
        <v>1551599148655030</v>
      </c>
      <c r="C3826" t="s">
        <v>40</v>
      </c>
      <c r="D3826">
        <v>5.084708</v>
      </c>
      <c r="E3826">
        <v>0.52076129999999998</v>
      </c>
      <c r="F3826" t="s">
        <v>41</v>
      </c>
      <c r="G3826">
        <v>-194.65710000000001</v>
      </c>
      <c r="H3826" s="1">
        <v>-3.3620799999999998E-6</v>
      </c>
      <c r="I3826">
        <v>164.08269999999999</v>
      </c>
      <c r="J3826">
        <v>-191.54050000000001</v>
      </c>
      <c r="K3826">
        <v>1.1191279999999999</v>
      </c>
      <c r="L3826">
        <v>189.3409</v>
      </c>
      <c r="M3826">
        <v>7.3637599999999996E-3</v>
      </c>
      <c r="N3826">
        <v>-5.2362939999999998E-3</v>
      </c>
      <c r="O3826">
        <v>-0.99995940000000005</v>
      </c>
      <c r="P3826">
        <v>-6.5893709999999994E-2</v>
      </c>
      <c r="Q3826">
        <v>-0.1244048</v>
      </c>
      <c r="R3826">
        <v>-0.99004130000000001</v>
      </c>
      <c r="S3826">
        <v>-0.36552430000000002</v>
      </c>
      <c r="T3826">
        <v>-0.13128280000000001</v>
      </c>
      <c r="U3826">
        <v>-2.989655</v>
      </c>
      <c r="V3826">
        <v>7.2985610000000006E-2</v>
      </c>
      <c r="W3826">
        <v>-0.1193423</v>
      </c>
      <c r="X3826">
        <v>0.99016689999999996</v>
      </c>
      <c r="Y3826">
        <v>0.12856010000000001</v>
      </c>
      <c r="Z3826">
        <v>3.8290320000000003E-2</v>
      </c>
      <c r="AA3826">
        <v>0.99096220000000002</v>
      </c>
      <c r="AB3826">
        <v>22</v>
      </c>
      <c r="AC3826">
        <v>-3.1166</v>
      </c>
      <c r="AD3826">
        <v>-1.1191313620799901</v>
      </c>
      <c r="AE3826">
        <v>-25.258199999999999</v>
      </c>
      <c r="AF3826">
        <v>3.2961394971031299</v>
      </c>
      <c r="AG3826">
        <v>-1.1191313620799901</v>
      </c>
      <c r="AH3826">
        <v>25.185862388102901</v>
      </c>
      <c r="AI3826">
        <v>92.522774087600794</v>
      </c>
      <c r="AJ3826">
        <v>82.543927511259199</v>
      </c>
      <c r="AK3826">
        <v>25.4252759045484</v>
      </c>
      <c r="AL3826">
        <v>96.854146466025199</v>
      </c>
      <c r="AM3826">
        <v>85.784328361507306</v>
      </c>
      <c r="AN3826">
        <v>0.99999998684598501</v>
      </c>
    </row>
    <row r="3827" spans="1:40" x14ac:dyDescent="0.25">
      <c r="A3827" t="str">
        <f>"20190303154548680"</f>
        <v>20190303154548680</v>
      </c>
      <c r="B3827" t="str">
        <f>"1551599148674551"</f>
        <v>1551599148674551</v>
      </c>
      <c r="C3827" t="s">
        <v>40</v>
      </c>
      <c r="D3827">
        <v>5.1397399999999998</v>
      </c>
      <c r="E3827">
        <v>0.51985020000000004</v>
      </c>
      <c r="F3827" t="s">
        <v>41</v>
      </c>
      <c r="G3827">
        <v>-194.51740000000001</v>
      </c>
      <c r="H3827" s="1">
        <v>-3.4715740000000001E-6</v>
      </c>
      <c r="I3827">
        <v>164.3929</v>
      </c>
      <c r="J3827">
        <v>-191.5401</v>
      </c>
      <c r="K3827">
        <v>1.119119</v>
      </c>
      <c r="L3827">
        <v>189.11760000000001</v>
      </c>
      <c r="M3827">
        <v>6.2407360000000002E-3</v>
      </c>
      <c r="N3827">
        <v>-5.2301240000000001E-3</v>
      </c>
      <c r="O3827">
        <v>-0.99996689999999999</v>
      </c>
      <c r="P3827">
        <v>-6.7121050000000002E-2</v>
      </c>
      <c r="Q3827">
        <v>-0.1244603</v>
      </c>
      <c r="R3827">
        <v>-0.98995169999999999</v>
      </c>
      <c r="S3827">
        <v>-0.35673519999999997</v>
      </c>
      <c r="T3827">
        <v>-0.1341078</v>
      </c>
      <c r="U3827">
        <v>-2.989563</v>
      </c>
      <c r="V3827">
        <v>7.3099049999999999E-2</v>
      </c>
      <c r="W3827">
        <v>-0.11940530000000001</v>
      </c>
      <c r="X3827">
        <v>0.99015089999999994</v>
      </c>
      <c r="Y3827">
        <v>0.1245734</v>
      </c>
      <c r="Z3827">
        <v>3.9252849999999999E-2</v>
      </c>
      <c r="AA3827">
        <v>0.99143369999999997</v>
      </c>
      <c r="AB3827">
        <v>22</v>
      </c>
      <c r="AC3827">
        <v>-2.9773000000000098</v>
      </c>
      <c r="AD3827">
        <v>-1.119122471574</v>
      </c>
      <c r="AE3827">
        <v>-24.724699999999999</v>
      </c>
      <c r="AF3827">
        <v>3.1252330823696299</v>
      </c>
      <c r="AG3827">
        <v>-1.119122471574</v>
      </c>
      <c r="AH3827">
        <v>24.655845570466202</v>
      </c>
      <c r="AI3827">
        <v>92.578255640349695</v>
      </c>
      <c r="AJ3827">
        <v>82.776040615508805</v>
      </c>
      <c r="AK3827">
        <v>24.878308578361999</v>
      </c>
      <c r="AL3827">
        <v>96.857782345747793</v>
      </c>
      <c r="AM3827">
        <v>85.777731728402898</v>
      </c>
      <c r="AN3827">
        <v>0.9999999507749</v>
      </c>
    </row>
    <row r="3828" spans="1:40" x14ac:dyDescent="0.25">
      <c r="A3828" t="str">
        <f>"20190303154548704"</f>
        <v>20190303154548704</v>
      </c>
      <c r="B3828" t="str">
        <f>"1551599148694649"</f>
        <v>1551599148694649</v>
      </c>
      <c r="C3828" t="s">
        <v>40</v>
      </c>
      <c r="D3828">
        <v>5.1156240000000004</v>
      </c>
      <c r="E3828">
        <v>0.51905849999999998</v>
      </c>
      <c r="F3828" t="s">
        <v>41</v>
      </c>
      <c r="G3828">
        <v>-194.39769999999999</v>
      </c>
      <c r="H3828" s="1">
        <v>-3.703793E-6</v>
      </c>
      <c r="I3828">
        <v>164.95160000000001</v>
      </c>
      <c r="J3828">
        <v>-191.53989999999999</v>
      </c>
      <c r="K3828">
        <v>1.1191009999999999</v>
      </c>
      <c r="L3828">
        <v>188.88</v>
      </c>
      <c r="M3828">
        <v>5.0507909999999998E-3</v>
      </c>
      <c r="N3828">
        <v>-5.2309069999999999E-3</v>
      </c>
      <c r="O3828">
        <v>-0.99997380000000002</v>
      </c>
      <c r="P3828">
        <v>-6.8340629999999999E-2</v>
      </c>
      <c r="Q3828">
        <v>-0.12467300000000001</v>
      </c>
      <c r="R3828">
        <v>-0.98984159999999999</v>
      </c>
      <c r="S3828">
        <v>-0.35345460000000001</v>
      </c>
      <c r="T3828">
        <v>-0.13842389999999999</v>
      </c>
      <c r="U3828">
        <v>-2.98909</v>
      </c>
      <c r="V3828">
        <v>7.3138250000000002E-2</v>
      </c>
      <c r="W3828">
        <v>-0.11961860000000001</v>
      </c>
      <c r="X3828">
        <v>0.99012230000000001</v>
      </c>
      <c r="Y3828">
        <v>0.1223308</v>
      </c>
      <c r="Z3828">
        <v>4.0698379999999999E-2</v>
      </c>
      <c r="AA3828">
        <v>0.99165460000000005</v>
      </c>
      <c r="AB3828">
        <v>22</v>
      </c>
      <c r="AC3828">
        <v>-2.8577999999999899</v>
      </c>
      <c r="AD3828">
        <v>-1.119104703793</v>
      </c>
      <c r="AE3828">
        <v>-23.9283999999999</v>
      </c>
      <c r="AF3828">
        <v>2.9722127398524001</v>
      </c>
      <c r="AG3828">
        <v>-1.119104703793</v>
      </c>
      <c r="AH3828">
        <v>23.862199972858601</v>
      </c>
      <c r="AI3828">
        <v>92.664566423455398</v>
      </c>
      <c r="AJ3828">
        <v>82.899955984356097</v>
      </c>
      <c r="AK3828">
        <v>24.072619954082398</v>
      </c>
      <c r="AL3828">
        <v>96.870091482848395</v>
      </c>
      <c r="AM3828">
        <v>85.775354110497403</v>
      </c>
      <c r="AN3828">
        <v>0.99999999101815595</v>
      </c>
    </row>
    <row r="3829" spans="1:40" x14ac:dyDescent="0.25">
      <c r="A3829" t="str">
        <f>"20190303154548724"</f>
        <v>20190303154548724</v>
      </c>
      <c r="B3829" t="str">
        <f>"1551599148715145"</f>
        <v>1551599148715145</v>
      </c>
      <c r="C3829" t="s">
        <v>40</v>
      </c>
      <c r="D3829">
        <v>5.1592070000000003</v>
      </c>
      <c r="E3829">
        <v>0.51827380000000001</v>
      </c>
      <c r="F3829" t="s">
        <v>41</v>
      </c>
      <c r="G3829">
        <v>-194.29159999999999</v>
      </c>
      <c r="H3829" s="1">
        <v>-3.9007179999999998E-6</v>
      </c>
      <c r="I3829">
        <v>165.4614</v>
      </c>
      <c r="J3829">
        <v>-191.5401</v>
      </c>
      <c r="K3829">
        <v>1.1190910000000001</v>
      </c>
      <c r="L3829">
        <v>188.66659999999999</v>
      </c>
      <c r="M3829">
        <v>3.9844590000000001E-3</v>
      </c>
      <c r="N3829">
        <v>-5.2345450000000002E-3</v>
      </c>
      <c r="O3829">
        <v>-0.99997849999999999</v>
      </c>
      <c r="P3829">
        <v>-7.0012669999999999E-2</v>
      </c>
      <c r="Q3829">
        <v>-0.1247824</v>
      </c>
      <c r="R3829">
        <v>-0.98971120000000001</v>
      </c>
      <c r="S3829">
        <v>-0.35115049999999998</v>
      </c>
      <c r="T3829">
        <v>-0.14281429999999901</v>
      </c>
      <c r="U3829">
        <v>-2.988556</v>
      </c>
      <c r="V3829">
        <v>7.3752750000000006E-2</v>
      </c>
      <c r="W3829">
        <v>-0.11972670000000001</v>
      </c>
      <c r="X3829">
        <v>0.99006369999999999</v>
      </c>
      <c r="Y3829">
        <v>0.1205316</v>
      </c>
      <c r="Z3829">
        <v>4.2164889999999997E-2</v>
      </c>
      <c r="AA3829">
        <v>0.99181359999999996</v>
      </c>
      <c r="AB3829">
        <v>22</v>
      </c>
      <c r="AC3829">
        <v>-2.7514999999999898</v>
      </c>
      <c r="AD3829">
        <v>-1.119094900718</v>
      </c>
      <c r="AE3829">
        <v>-23.205199999999898</v>
      </c>
      <c r="AF3829">
        <v>2.83743191429441</v>
      </c>
      <c r="AG3829">
        <v>-1.119094900718</v>
      </c>
      <c r="AH3829">
        <v>23.1409784436282</v>
      </c>
      <c r="AI3829">
        <v>92.748110742469507</v>
      </c>
      <c r="AJ3829">
        <v>83.009568975056297</v>
      </c>
      <c r="AK3829">
        <v>23.341128434451001</v>
      </c>
      <c r="AL3829">
        <v>96.876329648807996</v>
      </c>
      <c r="AM3829">
        <v>85.739737987426295</v>
      </c>
      <c r="AN3829">
        <v>1.0000000404415701</v>
      </c>
    </row>
    <row r="3830" spans="1:40" x14ac:dyDescent="0.25">
      <c r="A3830" t="str">
        <f>"20190303154548747"</f>
        <v>20190303154548747</v>
      </c>
      <c r="B3830" t="str">
        <f>"1551599148744425"</f>
        <v>1551599148744425</v>
      </c>
      <c r="C3830" t="s">
        <v>40</v>
      </c>
      <c r="D3830">
        <v>5.2124959999999998</v>
      </c>
      <c r="E3830">
        <v>0.51732829999999996</v>
      </c>
      <c r="F3830" t="s">
        <v>41</v>
      </c>
      <c r="G3830">
        <v>-194.21789999999999</v>
      </c>
      <c r="H3830" s="1">
        <v>-4.0299320000000002E-6</v>
      </c>
      <c r="I3830">
        <v>165.83199999999999</v>
      </c>
      <c r="J3830">
        <v>-191.54040000000001</v>
      </c>
      <c r="K3830">
        <v>1.119086</v>
      </c>
      <c r="L3830">
        <v>188.4349</v>
      </c>
      <c r="M3830">
        <v>2.8289740000000002E-3</v>
      </c>
      <c r="N3830">
        <v>-5.2401069999999999E-3</v>
      </c>
      <c r="O3830">
        <v>-0.99998240000000005</v>
      </c>
      <c r="P3830">
        <v>-7.1507710000000002E-2</v>
      </c>
      <c r="Q3830">
        <v>-0.124643</v>
      </c>
      <c r="R3830">
        <v>-0.9896218</v>
      </c>
      <c r="S3830">
        <v>-0.35040280000000001</v>
      </c>
      <c r="T3830">
        <v>-0.14643610000000001</v>
      </c>
      <c r="U3830">
        <v>-2.9879609999999999</v>
      </c>
      <c r="V3830">
        <v>7.4102689999999999E-2</v>
      </c>
      <c r="W3830">
        <v>-0.1195836</v>
      </c>
      <c r="X3830">
        <v>0.99005480000000001</v>
      </c>
      <c r="Y3830">
        <v>0.11915630000000001</v>
      </c>
      <c r="Z3830">
        <v>4.3373740000000001E-2</v>
      </c>
      <c r="AA3830">
        <v>0.99192769999999997</v>
      </c>
      <c r="AB3830">
        <v>23</v>
      </c>
      <c r="AC3830">
        <v>-2.6774999999999798</v>
      </c>
      <c r="AD3830">
        <v>-1.1190900299319999</v>
      </c>
      <c r="AE3830">
        <v>-22.602900000000002</v>
      </c>
      <c r="AF3830">
        <v>2.73482199158788</v>
      </c>
      <c r="AG3830">
        <v>-1.1190900299319999</v>
      </c>
      <c r="AH3830">
        <v>22.540744698662401</v>
      </c>
      <c r="AI3830">
        <v>92.821596504244994</v>
      </c>
      <c r="AJ3830">
        <v>83.082233452142006</v>
      </c>
      <c r="AK3830">
        <v>22.733604760157199</v>
      </c>
      <c r="AL3830">
        <v>96.868071732107097</v>
      </c>
      <c r="AM3830">
        <v>85.719560630529301</v>
      </c>
      <c r="AN3830">
        <v>0.99999997652861705</v>
      </c>
    </row>
    <row r="3831" spans="1:40" x14ac:dyDescent="0.25">
      <c r="A3831" t="str">
        <f>"20190303154548769"</f>
        <v>20190303154548769</v>
      </c>
      <c r="B3831" t="str">
        <f>"1551599148764921"</f>
        <v>1551599148764921</v>
      </c>
      <c r="C3831" t="s">
        <v>40</v>
      </c>
      <c r="D3831">
        <v>5.1587769999999997</v>
      </c>
      <c r="E3831">
        <v>0.51668040000000004</v>
      </c>
      <c r="F3831" t="s">
        <v>41</v>
      </c>
      <c r="G3831">
        <v>-194.12860000000001</v>
      </c>
      <c r="H3831" s="1">
        <v>-4.1467060000000002E-6</v>
      </c>
      <c r="I3831">
        <v>166.1773</v>
      </c>
      <c r="J3831">
        <v>-191.5411</v>
      </c>
      <c r="K3831">
        <v>1.119081</v>
      </c>
      <c r="L3831">
        <v>188.2047</v>
      </c>
      <c r="M3831">
        <v>1.6823490000000001E-3</v>
      </c>
      <c r="N3831">
        <v>-5.2509610000000002E-3</v>
      </c>
      <c r="O3831">
        <v>-0.99998480000000001</v>
      </c>
      <c r="P3831">
        <v>-7.3047689999999998E-2</v>
      </c>
      <c r="Q3831">
        <v>-0.1240769</v>
      </c>
      <c r="R3831">
        <v>-0.98958029999999997</v>
      </c>
      <c r="S3831">
        <v>-0.34739690000000001</v>
      </c>
      <c r="T3831">
        <v>-0.15020729999999999</v>
      </c>
      <c r="U3831">
        <v>-2.987473</v>
      </c>
      <c r="V3831">
        <v>7.4507299999999999E-2</v>
      </c>
      <c r="W3831">
        <v>-0.1190083</v>
      </c>
      <c r="X3831">
        <v>0.99009380000000002</v>
      </c>
      <c r="Y3831">
        <v>0.1170451</v>
      </c>
      <c r="Z3831">
        <v>4.4629750000000003E-2</v>
      </c>
      <c r="AA3831">
        <v>0.99212330000000004</v>
      </c>
      <c r="AB3831">
        <v>23</v>
      </c>
      <c r="AC3831">
        <v>-2.5874999999999999</v>
      </c>
      <c r="AD3831">
        <v>-1.1190851467059999</v>
      </c>
      <c r="AE3831">
        <v>-22.0274</v>
      </c>
      <c r="AF3831">
        <v>2.6178896343039399</v>
      </c>
      <c r="AG3831">
        <v>-1.1190851467059999</v>
      </c>
      <c r="AH3831">
        <v>21.967088805963499</v>
      </c>
      <c r="AI3831">
        <v>92.895882512715104</v>
      </c>
      <c r="AJ3831">
        <v>83.203927305670703</v>
      </c>
      <c r="AK3831">
        <v>22.1508168768571</v>
      </c>
      <c r="AL3831">
        <v>96.834872064474993</v>
      </c>
      <c r="AM3831">
        <v>85.696445356148601</v>
      </c>
      <c r="AN3831">
        <v>1.0000000230103001</v>
      </c>
    </row>
    <row r="3832" spans="1:40" x14ac:dyDescent="0.25">
      <c r="A3832" t="str">
        <f>"20190303154548791"</f>
        <v>20190303154548791</v>
      </c>
      <c r="B3832" t="str">
        <f>"1551599148784442"</f>
        <v>1551599148784442</v>
      </c>
      <c r="C3832" t="s">
        <v>40</v>
      </c>
      <c r="D3832">
        <v>5.2216370000000003</v>
      </c>
      <c r="E3832">
        <v>0.51612000000000002</v>
      </c>
      <c r="F3832" t="s">
        <v>41</v>
      </c>
      <c r="G3832">
        <v>-194.1003</v>
      </c>
      <c r="H3832" s="1">
        <v>-4.1406309999999996E-6</v>
      </c>
      <c r="I3832">
        <v>166.1746</v>
      </c>
      <c r="J3832">
        <v>-191.5419</v>
      </c>
      <c r="K3832">
        <v>1.119084</v>
      </c>
      <c r="L3832">
        <v>187.98580000000001</v>
      </c>
      <c r="M3832">
        <v>5.9219000000000003E-4</v>
      </c>
      <c r="N3832">
        <v>-5.2651659999999999E-3</v>
      </c>
      <c r="O3832">
        <v>-0.99998600000000004</v>
      </c>
      <c r="P3832">
        <v>-7.5087680000000004E-2</v>
      </c>
      <c r="Q3832">
        <v>-0.12318320000000001</v>
      </c>
      <c r="R3832">
        <v>-0.9895391</v>
      </c>
      <c r="S3832">
        <v>-0.34698489999999999</v>
      </c>
      <c r="T3832">
        <v>-0.1517309</v>
      </c>
      <c r="U3832">
        <v>-2.9869539999999999</v>
      </c>
      <c r="V3832">
        <v>7.5468450000000006E-2</v>
      </c>
      <c r="W3832">
        <v>-0.1181031</v>
      </c>
      <c r="X3832">
        <v>0.99012940000000005</v>
      </c>
      <c r="Y3832">
        <v>0.1158445</v>
      </c>
      <c r="Z3832">
        <v>4.5133369999999999E-2</v>
      </c>
      <c r="AA3832">
        <v>0.99224140000000005</v>
      </c>
      <c r="AB3832">
        <v>23</v>
      </c>
      <c r="AC3832">
        <v>-2.5583999999999998</v>
      </c>
      <c r="AD3832">
        <v>-1.119088140631</v>
      </c>
      <c r="AE3832">
        <v>-21.811199999999999</v>
      </c>
      <c r="AF3832">
        <v>2.5646562608485501</v>
      </c>
      <c r="AG3832">
        <v>-1.119088140631</v>
      </c>
      <c r="AH3832">
        <v>21.753192877145</v>
      </c>
      <c r="AI3832">
        <v>92.924751150240496</v>
      </c>
      <c r="AJ3832">
        <v>83.275986366140302</v>
      </c>
      <c r="AK3832">
        <v>21.932423950696499</v>
      </c>
      <c r="AL3832">
        <v>96.782639508798795</v>
      </c>
      <c r="AM3832">
        <v>85.641297885373007</v>
      </c>
      <c r="AN3832">
        <v>1.00000002895968</v>
      </c>
    </row>
    <row r="3833" spans="1:40" x14ac:dyDescent="0.25">
      <c r="A3833" t="str">
        <f>"20190303154548825"</f>
        <v>20190303154548825</v>
      </c>
      <c r="B3833" t="str">
        <f>"1551599148815422"</f>
        <v>1551599148815422</v>
      </c>
      <c r="C3833" t="s">
        <v>40</v>
      </c>
      <c r="D3833">
        <v>5.2321350000000004</v>
      </c>
      <c r="E3833">
        <v>0.51534780000000002</v>
      </c>
      <c r="F3833" t="s">
        <v>41</v>
      </c>
      <c r="G3833">
        <v>-194.10390000000001</v>
      </c>
      <c r="H3833" s="1">
        <v>-4.0999990000000003E-6</v>
      </c>
      <c r="I3833">
        <v>166.06710000000001</v>
      </c>
      <c r="J3833">
        <v>-191.5438</v>
      </c>
      <c r="K3833">
        <v>1.1190770000000001</v>
      </c>
      <c r="L3833">
        <v>187.63720000000001</v>
      </c>
      <c r="M3833">
        <v>-1.1443969999999999E-3</v>
      </c>
      <c r="N3833">
        <v>-5.2891040000000002E-3</v>
      </c>
      <c r="O3833">
        <v>-0.99998560000000003</v>
      </c>
      <c r="P3833">
        <v>-7.7439330000000001E-2</v>
      </c>
      <c r="Q3833">
        <v>-0.1236225</v>
      </c>
      <c r="R3833">
        <v>-0.98930340000000005</v>
      </c>
      <c r="S3833">
        <v>-0.34904479999999999</v>
      </c>
      <c r="T3833">
        <v>-0.1524674</v>
      </c>
      <c r="U3833">
        <v>-2.9862669999999998</v>
      </c>
      <c r="V3833">
        <v>7.6098460000000007E-2</v>
      </c>
      <c r="W3833">
        <v>-0.118522</v>
      </c>
      <c r="X3833">
        <v>0.99003110000000005</v>
      </c>
      <c r="Y3833">
        <v>0.1148198</v>
      </c>
      <c r="Z3833">
        <v>4.5366530000000002E-2</v>
      </c>
      <c r="AA3833">
        <v>0.99234990000000001</v>
      </c>
      <c r="AB3833">
        <v>23</v>
      </c>
      <c r="AC3833">
        <v>-2.5600999999999998</v>
      </c>
      <c r="AD3833">
        <v>-1.119081099999</v>
      </c>
      <c r="AE3833">
        <v>-21.5701</v>
      </c>
      <c r="AF3833">
        <v>2.5287013916599999</v>
      </c>
      <c r="AG3833">
        <v>-1.119081099999</v>
      </c>
      <c r="AH3833">
        <v>21.515906842006899</v>
      </c>
      <c r="AI3833">
        <v>92.957058071224296</v>
      </c>
      <c r="AJ3833">
        <v>83.296944542237398</v>
      </c>
      <c r="AK3833">
        <v>21.692877182856002</v>
      </c>
      <c r="AL3833">
        <v>96.806810610277196</v>
      </c>
      <c r="AM3833">
        <v>85.604618786408295</v>
      </c>
      <c r="AN3833">
        <v>1.0000000095327899</v>
      </c>
    </row>
    <row r="3834" spans="1:40" x14ac:dyDescent="0.25">
      <c r="A3834" t="str">
        <f>"20190303154548847"</f>
        <v>20190303154548847</v>
      </c>
      <c r="B3834" t="str">
        <f>"1551599148844703"</f>
        <v>1551599148844703</v>
      </c>
      <c r="C3834" t="s">
        <v>40</v>
      </c>
      <c r="D3834">
        <v>5.1884110000000003</v>
      </c>
      <c r="E3834">
        <v>0.51489719999999894</v>
      </c>
      <c r="F3834" t="s">
        <v>41</v>
      </c>
      <c r="G3834">
        <v>-194.02690000000001</v>
      </c>
      <c r="H3834" s="1">
        <v>-4.2357300000000004E-6</v>
      </c>
      <c r="I3834">
        <v>166.45609999999999</v>
      </c>
      <c r="J3834">
        <v>-191.5454</v>
      </c>
      <c r="K3834">
        <v>1.119065</v>
      </c>
      <c r="L3834">
        <v>187.39840000000001</v>
      </c>
      <c r="M3834">
        <v>-2.3338130000000001E-3</v>
      </c>
      <c r="N3834">
        <v>-5.304446E-3</v>
      </c>
      <c r="O3834">
        <v>-0.99998319999999996</v>
      </c>
      <c r="P3834">
        <v>-7.8419279999999994E-2</v>
      </c>
      <c r="Q3834">
        <v>-0.1241076</v>
      </c>
      <c r="R3834">
        <v>-0.98916519999999997</v>
      </c>
      <c r="S3834">
        <v>-0.3499756</v>
      </c>
      <c r="T3834">
        <v>-0.15772739999999999</v>
      </c>
      <c r="U3834">
        <v>-2.9853360000000002</v>
      </c>
      <c r="V3834">
        <v>7.5899140000000004E-2</v>
      </c>
      <c r="W3834">
        <v>-0.118993</v>
      </c>
      <c r="X3834">
        <v>0.98998989999999998</v>
      </c>
      <c r="Y3834">
        <v>0.11396920000000001</v>
      </c>
      <c r="Z3834">
        <v>4.7112300000000003E-2</v>
      </c>
      <c r="AA3834">
        <v>0.99236659999999999</v>
      </c>
      <c r="AB3834">
        <v>23</v>
      </c>
      <c r="AC3834">
        <v>-2.4815000000000098</v>
      </c>
      <c r="AD3834">
        <v>-1.1190692357300001</v>
      </c>
      <c r="AE3834">
        <v>-20.942299999999999</v>
      </c>
      <c r="AF3834">
        <v>2.42578648495294</v>
      </c>
      <c r="AG3834">
        <v>-1.1190692357300001</v>
      </c>
      <c r="AH3834">
        <v>20.889213460357801</v>
      </c>
      <c r="AI3834">
        <v>93.046066208621198</v>
      </c>
      <c r="AJ3834">
        <v>83.376123410094607</v>
      </c>
      <c r="AK3834">
        <v>21.059344600849499</v>
      </c>
      <c r="AL3834">
        <v>96.833989269773298</v>
      </c>
      <c r="AM3834">
        <v>85.615904666601693</v>
      </c>
      <c r="AN3834">
        <v>1.00000000780187</v>
      </c>
    </row>
    <row r="3835" spans="1:40" x14ac:dyDescent="0.25">
      <c r="A3835" t="str">
        <f>"20190303154548870"</f>
        <v>20190303154548870</v>
      </c>
      <c r="B3835" t="str">
        <f>"1551599148865198"</f>
        <v>1551599148865198</v>
      </c>
      <c r="C3835" t="s">
        <v>40</v>
      </c>
      <c r="D3835">
        <v>5.1765460000000001</v>
      </c>
      <c r="E3835">
        <v>0.51460779999999995</v>
      </c>
      <c r="F3835" t="s">
        <v>41</v>
      </c>
      <c r="G3835">
        <v>-194.0027</v>
      </c>
      <c r="H3835" s="1">
        <v>-4.2146770000000001E-6</v>
      </c>
      <c r="I3835">
        <v>166.41239999999999</v>
      </c>
      <c r="J3835">
        <v>-191.5472</v>
      </c>
      <c r="K3835">
        <v>1.119057</v>
      </c>
      <c r="L3835">
        <v>187.1696</v>
      </c>
      <c r="M3835">
        <v>-3.4714809999999998E-3</v>
      </c>
      <c r="N3835">
        <v>-5.3188069999999896E-3</v>
      </c>
      <c r="O3835">
        <v>-0.99997990000000003</v>
      </c>
      <c r="P3835">
        <v>-7.9139760000000003E-2</v>
      </c>
      <c r="Q3835">
        <v>-0.1247743</v>
      </c>
      <c r="R3835">
        <v>-0.98902400000000001</v>
      </c>
      <c r="S3835">
        <v>-0.34954829999999998</v>
      </c>
      <c r="T3835">
        <v>-0.15918399999999999</v>
      </c>
      <c r="U3835">
        <v>-2.9851839999999998</v>
      </c>
      <c r="V3835">
        <v>7.5491610000000001E-2</v>
      </c>
      <c r="W3835">
        <v>-0.11964610000000001</v>
      </c>
      <c r="X3835">
        <v>0.98994230000000005</v>
      </c>
      <c r="Y3835">
        <v>0.112702</v>
      </c>
      <c r="Z3835">
        <v>4.758776E-2</v>
      </c>
      <c r="AA3835">
        <v>0.99248860000000005</v>
      </c>
      <c r="AB3835">
        <v>23</v>
      </c>
      <c r="AC3835">
        <v>-2.4554999999999998</v>
      </c>
      <c r="AD3835">
        <v>-1.119061214677</v>
      </c>
      <c r="AE3835">
        <v>-20.757200000000001</v>
      </c>
      <c r="AF3835">
        <v>2.3766136706599301</v>
      </c>
      <c r="AG3835">
        <v>-1.119061214677</v>
      </c>
      <c r="AH3835">
        <v>20.706247155074799</v>
      </c>
      <c r="AI3835">
        <v>93.073380079248693</v>
      </c>
      <c r="AJ3835">
        <v>83.452379310721</v>
      </c>
      <c r="AK3835">
        <v>20.872212671128199</v>
      </c>
      <c r="AL3835">
        <v>96.871678694941707</v>
      </c>
      <c r="AM3835">
        <v>85.639144557913397</v>
      </c>
      <c r="AN3835">
        <v>0.99999996487744502</v>
      </c>
    </row>
    <row r="3836" spans="1:40" x14ac:dyDescent="0.25">
      <c r="A3836" t="str">
        <f>"20190303154548893"</f>
        <v>20190303154548893</v>
      </c>
      <c r="B3836" t="str">
        <f>"1551599148884718"</f>
        <v>1551599148884718</v>
      </c>
      <c r="C3836" t="s">
        <v>40</v>
      </c>
      <c r="D3836">
        <v>5.2572469999999996</v>
      </c>
      <c r="E3836">
        <v>0.51412849999999999</v>
      </c>
      <c r="F3836" t="s">
        <v>41</v>
      </c>
      <c r="G3836">
        <v>-193.9752</v>
      </c>
      <c r="H3836" s="1">
        <v>-4.2207729999999998E-6</v>
      </c>
      <c r="I3836">
        <v>166.44099999999901</v>
      </c>
      <c r="J3836">
        <v>-191.54939999999999</v>
      </c>
      <c r="K3836">
        <v>1.119046</v>
      </c>
      <c r="L3836">
        <v>186.92429999999999</v>
      </c>
      <c r="M3836">
        <v>-4.6832130000000003E-3</v>
      </c>
      <c r="N3836">
        <v>-5.3337810000000001E-3</v>
      </c>
      <c r="O3836">
        <v>-0.9999749</v>
      </c>
      <c r="P3836">
        <v>-7.9970029999999998E-2</v>
      </c>
      <c r="Q3836">
        <v>-0.12532979999999999</v>
      </c>
      <c r="R3836">
        <v>-0.98888679999999995</v>
      </c>
      <c r="S3836">
        <v>-0.3496399</v>
      </c>
      <c r="T3836">
        <v>-0.1611477</v>
      </c>
      <c r="U3836">
        <v>-2.9849700000000001</v>
      </c>
      <c r="V3836">
        <v>7.5121679999999996E-2</v>
      </c>
      <c r="W3836">
        <v>-0.120187</v>
      </c>
      <c r="X3836">
        <v>0.98990489999999998</v>
      </c>
      <c r="Y3836">
        <v>0.11153250000000001</v>
      </c>
      <c r="Z3836">
        <v>4.8230919999999997E-2</v>
      </c>
      <c r="AA3836">
        <v>0.99258970000000002</v>
      </c>
      <c r="AB3836">
        <v>23</v>
      </c>
      <c r="AC3836">
        <v>-2.4258000000000002</v>
      </c>
      <c r="AD3836">
        <v>-1.119050220773</v>
      </c>
      <c r="AE3836">
        <v>-20.4833</v>
      </c>
      <c r="AF3836">
        <v>2.3230068264858801</v>
      </c>
      <c r="AG3836">
        <v>-1.119050220773</v>
      </c>
      <c r="AH3836">
        <v>20.4342896044718</v>
      </c>
      <c r="AI3836">
        <v>93.114556873944807</v>
      </c>
      <c r="AJ3836">
        <v>83.514356189909705</v>
      </c>
      <c r="AK3836">
        <v>20.596330395289701</v>
      </c>
      <c r="AL3836">
        <v>96.902895371078202</v>
      </c>
      <c r="AM3836">
        <v>85.660268810505102</v>
      </c>
      <c r="AN3836">
        <v>0.99999994640951395</v>
      </c>
    </row>
    <row r="3837" spans="1:40" x14ac:dyDescent="0.25">
      <c r="A3837" t="str">
        <f>"20190303154548917"</f>
        <v>20190303154548917</v>
      </c>
      <c r="B3837" t="str">
        <f>"1551599148905018"</f>
        <v>1551599148905018</v>
      </c>
      <c r="C3837" t="s">
        <v>40</v>
      </c>
      <c r="D3837">
        <v>5.2052440000000004</v>
      </c>
      <c r="E3837">
        <v>0.51386829999999994</v>
      </c>
      <c r="F3837" t="s">
        <v>41</v>
      </c>
      <c r="G3837">
        <v>-193.9074</v>
      </c>
      <c r="H3837" s="1">
        <v>-4.3278819999999996E-6</v>
      </c>
      <c r="I3837">
        <v>166.75129999999999</v>
      </c>
      <c r="J3837">
        <v>-191.55199999999999</v>
      </c>
      <c r="K3837">
        <v>1.1190450000000001</v>
      </c>
      <c r="L3837">
        <v>186.6721</v>
      </c>
      <c r="M3837">
        <v>-5.9134959999999999E-3</v>
      </c>
      <c r="N3837">
        <v>-5.3484769999999999E-3</v>
      </c>
      <c r="O3837">
        <v>-0.99996819999999997</v>
      </c>
      <c r="P3837">
        <v>-8.1757540000000004E-2</v>
      </c>
      <c r="Q3837">
        <v>-0.12604280000000001</v>
      </c>
      <c r="R3837">
        <v>-0.98865000000000003</v>
      </c>
      <c r="S3837">
        <v>-0.3488617</v>
      </c>
      <c r="T3837">
        <v>-0.16555989999999901</v>
      </c>
      <c r="U3837">
        <v>-2.9845429999999999</v>
      </c>
      <c r="V3837">
        <v>7.5692590000000004E-2</v>
      </c>
      <c r="W3837">
        <v>-0.12088699999999999</v>
      </c>
      <c r="X3837">
        <v>0.98977619999999999</v>
      </c>
      <c r="Y3837">
        <v>0.1100623</v>
      </c>
      <c r="Z3837">
        <v>4.9691600000000002E-2</v>
      </c>
      <c r="AA3837">
        <v>0.9926817</v>
      </c>
      <c r="AB3837">
        <v>23</v>
      </c>
      <c r="AC3837">
        <v>-2.3553999999999702</v>
      </c>
      <c r="AD3837">
        <v>-1.119049327882</v>
      </c>
      <c r="AE3837">
        <v>-19.9208</v>
      </c>
      <c r="AF3837">
        <v>2.23061363508406</v>
      </c>
      <c r="AG3837">
        <v>-1.119049327882</v>
      </c>
      <c r="AH3837">
        <v>19.8725349444857</v>
      </c>
      <c r="AI3837">
        <v>93.202927363242395</v>
      </c>
      <c r="AJ3837">
        <v>83.595581848422</v>
      </c>
      <c r="AK3837">
        <v>20.0286183674028</v>
      </c>
      <c r="AL3837">
        <v>96.943296756686195</v>
      </c>
      <c r="AM3837">
        <v>85.6268487765484</v>
      </c>
      <c r="AN3837">
        <v>0.99999998051817296</v>
      </c>
    </row>
    <row r="3838" spans="1:40" x14ac:dyDescent="0.25">
      <c r="A3838" t="str">
        <f>"20190303154548937"</f>
        <v>20190303154548937</v>
      </c>
      <c r="B3838" t="str">
        <f>"1551599148924537"</f>
        <v>1551599148924537</v>
      </c>
      <c r="C3838" t="s">
        <v>40</v>
      </c>
      <c r="D3838">
        <v>5.1857620000000004</v>
      </c>
      <c r="E3838">
        <v>0.51363130000000001</v>
      </c>
      <c r="F3838" t="s">
        <v>41</v>
      </c>
      <c r="G3838">
        <v>-193.90790000000001</v>
      </c>
      <c r="H3838" s="1">
        <v>-4.3181269999999999E-6</v>
      </c>
      <c r="I3838">
        <v>166.72559999999999</v>
      </c>
      <c r="J3838">
        <v>-191.55439999999999</v>
      </c>
      <c r="K3838">
        <v>1.119041</v>
      </c>
      <c r="L3838">
        <v>186.4554</v>
      </c>
      <c r="M3838">
        <v>-6.9499949999999996E-3</v>
      </c>
      <c r="N3838">
        <v>-5.3603969999999898E-3</v>
      </c>
      <c r="O3838">
        <v>-0.99996149999999995</v>
      </c>
      <c r="P3838">
        <v>-8.3576280000000003E-2</v>
      </c>
      <c r="Q3838">
        <v>-0.12695109999999901</v>
      </c>
      <c r="R3838">
        <v>-0.98838170000000003</v>
      </c>
      <c r="S3838">
        <v>-0.35244750000000002</v>
      </c>
      <c r="T3838">
        <v>-0.16740659999999999</v>
      </c>
      <c r="U3838">
        <v>-2.9839319999999998</v>
      </c>
      <c r="V3838">
        <v>7.6488280000000006E-2</v>
      </c>
      <c r="W3838">
        <v>-0.1217845</v>
      </c>
      <c r="X3838">
        <v>0.98960499999999996</v>
      </c>
      <c r="Y3838">
        <v>0.1102283</v>
      </c>
      <c r="Z3838">
        <v>5.0298469999999998E-2</v>
      </c>
      <c r="AA3838">
        <v>0.99263270000000003</v>
      </c>
      <c r="AB3838">
        <v>24</v>
      </c>
      <c r="AC3838">
        <v>-2.3535000000000199</v>
      </c>
      <c r="AD3838">
        <v>-1.1190453181269999</v>
      </c>
      <c r="AE3838">
        <v>-19.729800000000001</v>
      </c>
      <c r="AF3838">
        <v>2.2093115548054101</v>
      </c>
      <c r="AG3838">
        <v>-1.1190453181269999</v>
      </c>
      <c r="AH3838">
        <v>19.683248047486099</v>
      </c>
      <c r="AI3838">
        <v>93.233653181951993</v>
      </c>
      <c r="AJ3838">
        <v>83.595741027605499</v>
      </c>
      <c r="AK3838">
        <v>19.838436774834001</v>
      </c>
      <c r="AL3838">
        <v>96.995102429420498</v>
      </c>
      <c r="AM3838">
        <v>85.580297363058193</v>
      </c>
      <c r="AN3838">
        <v>0.99999998872130402</v>
      </c>
    </row>
    <row r="3839" spans="1:40" x14ac:dyDescent="0.25">
      <c r="A3839" t="str">
        <f>"20190303154548960"</f>
        <v>20190303154548960</v>
      </c>
      <c r="B3839" t="str">
        <f>"1551599148954793"</f>
        <v>1551599148954793</v>
      </c>
      <c r="C3839" t="s">
        <v>40</v>
      </c>
      <c r="D3839">
        <v>5.2280800000000003</v>
      </c>
      <c r="E3839">
        <v>0.51317900000000005</v>
      </c>
      <c r="F3839" t="s">
        <v>41</v>
      </c>
      <c r="G3839">
        <v>-193.90180000000001</v>
      </c>
      <c r="H3839" s="1">
        <v>-4.3467390000000003E-6</v>
      </c>
      <c r="I3839">
        <v>166.803</v>
      </c>
      <c r="J3839">
        <v>-191.5574</v>
      </c>
      <c r="K3839">
        <v>1.119057</v>
      </c>
      <c r="L3839">
        <v>186.2114</v>
      </c>
      <c r="M3839">
        <v>-8.0885639999999995E-3</v>
      </c>
      <c r="N3839">
        <v>-5.3731450000000002E-3</v>
      </c>
      <c r="O3839">
        <v>-0.99995290000000003</v>
      </c>
      <c r="P3839">
        <v>-8.5477049999999999E-2</v>
      </c>
      <c r="Q3839">
        <v>-0.12741330000000001</v>
      </c>
      <c r="R3839">
        <v>-0.98815989999999998</v>
      </c>
      <c r="S3839">
        <v>-0.3563385</v>
      </c>
      <c r="T3839">
        <v>-0.1698749</v>
      </c>
      <c r="U3839">
        <v>-2.9833069999999999</v>
      </c>
      <c r="V3839">
        <v>7.7267939999999993E-2</v>
      </c>
      <c r="W3839">
        <v>-0.12223349999999999</v>
      </c>
      <c r="X3839">
        <v>0.98948910000000001</v>
      </c>
      <c r="Y3839">
        <v>0.1103923</v>
      </c>
      <c r="Z3839">
        <v>5.111044E-2</v>
      </c>
      <c r="AA3839">
        <v>0.99257300000000004</v>
      </c>
      <c r="AB3839">
        <v>24</v>
      </c>
      <c r="AC3839">
        <v>-2.3443999999999998</v>
      </c>
      <c r="AD3839">
        <v>-1.119061346739</v>
      </c>
      <c r="AE3839">
        <v>-19.4084</v>
      </c>
      <c r="AF3839">
        <v>2.1801911185051401</v>
      </c>
      <c r="AG3839">
        <v>-1.119061346739</v>
      </c>
      <c r="AH3839">
        <v>19.363280421559502</v>
      </c>
      <c r="AI3839">
        <v>93.286890548511494</v>
      </c>
      <c r="AJ3839">
        <v>83.575889216105793</v>
      </c>
      <c r="AK3839">
        <v>19.517739630780099</v>
      </c>
      <c r="AL3839">
        <v>97.021021651213104</v>
      </c>
      <c r="AM3839">
        <v>85.534906868005294</v>
      </c>
      <c r="AN3839">
        <v>1.0000000210464499</v>
      </c>
    </row>
    <row r="3840" spans="1:40" x14ac:dyDescent="0.25">
      <c r="A3840" t="str">
        <f>"20190303154548982"</f>
        <v>20190303154548982</v>
      </c>
      <c r="B3840" t="str">
        <f>"1551599148975290"</f>
        <v>1551599148975290</v>
      </c>
      <c r="C3840" t="s">
        <v>40</v>
      </c>
      <c r="D3840">
        <v>5.2369159999999999</v>
      </c>
      <c r="E3840">
        <v>0.51284799999999997</v>
      </c>
      <c r="F3840" t="s">
        <v>41</v>
      </c>
      <c r="G3840">
        <v>-193.89449999999999</v>
      </c>
      <c r="H3840" s="1">
        <v>-4.3287569999999998E-6</v>
      </c>
      <c r="I3840">
        <v>166.7595</v>
      </c>
      <c r="J3840">
        <v>-191.56049999999999</v>
      </c>
      <c r="K3840">
        <v>1.119068</v>
      </c>
      <c r="L3840">
        <v>185.97460000000001</v>
      </c>
      <c r="M3840">
        <v>-9.1552400000000003E-3</v>
      </c>
      <c r="N3840">
        <v>-5.385005E-3</v>
      </c>
      <c r="O3840">
        <v>-0.99994369999999999</v>
      </c>
      <c r="P3840">
        <v>-8.7230000000000002E-2</v>
      </c>
      <c r="Q3840">
        <v>-0.1277712</v>
      </c>
      <c r="R3840">
        <v>-0.98796039999999996</v>
      </c>
      <c r="S3840">
        <v>-0.35838320000000001</v>
      </c>
      <c r="T3840">
        <v>-0.17160139999999999</v>
      </c>
      <c r="U3840">
        <v>-2.982834</v>
      </c>
      <c r="V3840">
        <v>7.797287E-2</v>
      </c>
      <c r="W3840">
        <v>-0.1225779</v>
      </c>
      <c r="X3840">
        <v>0.98939109999999997</v>
      </c>
      <c r="Y3840">
        <v>0.1100178</v>
      </c>
      <c r="Z3840">
        <v>5.1678259999999997E-2</v>
      </c>
      <c r="AA3840">
        <v>0.99258519999999995</v>
      </c>
      <c r="AB3840">
        <v>24</v>
      </c>
      <c r="AC3840">
        <v>-2.3340000000000001</v>
      </c>
      <c r="AD3840">
        <v>-1.1190723287569999</v>
      </c>
      <c r="AE3840">
        <v>-19.2151</v>
      </c>
      <c r="AF3840">
        <v>2.1507917949426898</v>
      </c>
      <c r="AG3840">
        <v>-1.1190723287569999</v>
      </c>
      <c r="AH3840">
        <v>19.171582480580302</v>
      </c>
      <c r="AI3840">
        <v>93.319865617188697</v>
      </c>
      <c r="AJ3840">
        <v>83.598954403915201</v>
      </c>
      <c r="AK3840">
        <v>19.324280142656701</v>
      </c>
      <c r="AL3840">
        <v>97.040904476984394</v>
      </c>
      <c r="AM3840">
        <v>85.493893509604504</v>
      </c>
      <c r="AN3840">
        <v>0.99999992939182503</v>
      </c>
    </row>
    <row r="3841" spans="1:40" x14ac:dyDescent="0.25">
      <c r="A3841" t="str">
        <f>"20190303154549003"</f>
        <v>20190303154549003</v>
      </c>
      <c r="B3841" t="str">
        <f>"1551599148994809"</f>
        <v>1551599148994809</v>
      </c>
      <c r="C3841" t="s">
        <v>40</v>
      </c>
      <c r="D3841">
        <v>5.2093179999999997</v>
      </c>
      <c r="E3841">
        <v>0.51246009999999997</v>
      </c>
      <c r="F3841" t="s">
        <v>41</v>
      </c>
      <c r="G3841">
        <v>-193.89570000000001</v>
      </c>
      <c r="H3841" s="1">
        <v>-4.3045349999999999E-6</v>
      </c>
      <c r="I3841">
        <v>166.69589999999999</v>
      </c>
      <c r="J3841">
        <v>-191.56379999999999</v>
      </c>
      <c r="K3841">
        <v>1.119092</v>
      </c>
      <c r="L3841">
        <v>185.73699999999999</v>
      </c>
      <c r="M3841">
        <v>-1.0179209999999999E-2</v>
      </c>
      <c r="N3841">
        <v>-5.3963099999999996E-3</v>
      </c>
      <c r="O3841">
        <v>-0.99993359999999998</v>
      </c>
      <c r="P3841">
        <v>-8.9133130000000005E-2</v>
      </c>
      <c r="Q3841">
        <v>-0.12791569999999999</v>
      </c>
      <c r="R3841">
        <v>-0.98777179999999998</v>
      </c>
      <c r="S3841">
        <v>-0.36123660000000002</v>
      </c>
      <c r="T3841">
        <v>-0.1731116</v>
      </c>
      <c r="U3841">
        <v>-2.9822690000000001</v>
      </c>
      <c r="V3841">
        <v>7.8872159999999997E-2</v>
      </c>
      <c r="W3841">
        <v>-0.1227086</v>
      </c>
      <c r="X3841">
        <v>0.98930370000000001</v>
      </c>
      <c r="Y3841">
        <v>0.1099551</v>
      </c>
      <c r="Z3841">
        <v>5.2174749999999999E-2</v>
      </c>
      <c r="AA3841">
        <v>0.99256619999999995</v>
      </c>
      <c r="AB3841">
        <v>24</v>
      </c>
      <c r="AC3841">
        <v>-2.3319000000000099</v>
      </c>
      <c r="AD3841">
        <v>-1.119096304535</v>
      </c>
      <c r="AE3841">
        <v>-19.0411</v>
      </c>
      <c r="AF3841">
        <v>2.1307018247574301</v>
      </c>
      <c r="AG3841">
        <v>-1.119096304535</v>
      </c>
      <c r="AH3841">
        <v>18.999192927938498</v>
      </c>
      <c r="AI3841">
        <v>93.350006416545895</v>
      </c>
      <c r="AJ3841">
        <v>83.601188662917906</v>
      </c>
      <c r="AK3841">
        <v>19.1510208270441</v>
      </c>
      <c r="AL3841">
        <v>97.048449395575204</v>
      </c>
      <c r="AM3841">
        <v>85.441739681108103</v>
      </c>
      <c r="AN3841">
        <v>1.00000001448535</v>
      </c>
    </row>
    <row r="3842" spans="1:40" x14ac:dyDescent="0.25">
      <c r="A3842" t="str">
        <f>"20190303154549026"</f>
        <v>20190303154549026</v>
      </c>
      <c r="B3842" t="str">
        <f>"1551599149015306"</f>
        <v>1551599149015306</v>
      </c>
      <c r="C3842" t="s">
        <v>40</v>
      </c>
      <c r="D3842">
        <v>5.1908059999999896</v>
      </c>
      <c r="E3842">
        <v>0.51228050000000003</v>
      </c>
      <c r="F3842" t="s">
        <v>41</v>
      </c>
      <c r="G3842">
        <v>-193.89160000000001</v>
      </c>
      <c r="H3842" s="1">
        <v>-4.2935009999999999E-6</v>
      </c>
      <c r="I3842">
        <v>166.66909999999999</v>
      </c>
      <c r="J3842">
        <v>-191.56729999999999</v>
      </c>
      <c r="K3842">
        <v>1.1191120000000001</v>
      </c>
      <c r="L3842">
        <v>185.5042</v>
      </c>
      <c r="M3842">
        <v>-1.1143770000000001E-2</v>
      </c>
      <c r="N3842">
        <v>-5.4070129999999996E-3</v>
      </c>
      <c r="O3842">
        <v>-0.99992320000000001</v>
      </c>
      <c r="P3842">
        <v>-9.1077539999999998E-2</v>
      </c>
      <c r="Q3842">
        <v>-0.12778390000000001</v>
      </c>
      <c r="R3842">
        <v>-0.98761149999999998</v>
      </c>
      <c r="S3842">
        <v>-0.36398320000000001</v>
      </c>
      <c r="T3842">
        <v>-0.1749916</v>
      </c>
      <c r="U3842">
        <v>-2.9816280000000002</v>
      </c>
      <c r="V3842">
        <v>7.9871449999999997E-2</v>
      </c>
      <c r="W3842">
        <v>-0.1225638</v>
      </c>
      <c r="X3842">
        <v>0.9892415</v>
      </c>
      <c r="Y3842">
        <v>0.1099185</v>
      </c>
      <c r="Z3842">
        <v>5.2795969999999998E-2</v>
      </c>
      <c r="AA3842">
        <v>0.99253740000000001</v>
      </c>
      <c r="AB3842">
        <v>24</v>
      </c>
      <c r="AC3842">
        <v>-2.32430000000002</v>
      </c>
      <c r="AD3842">
        <v>-1.1191162935009999</v>
      </c>
      <c r="AE3842">
        <v>-18.835100000000001</v>
      </c>
      <c r="AF3842">
        <v>2.10693198025549</v>
      </c>
      <c r="AG3842">
        <v>-1.1191162935009999</v>
      </c>
      <c r="AH3842">
        <v>18.794476918898798</v>
      </c>
      <c r="AI3842">
        <v>93.386487894663205</v>
      </c>
      <c r="AJ3842">
        <v>83.603632036949804</v>
      </c>
      <c r="AK3842">
        <v>18.945288234883702</v>
      </c>
      <c r="AL3842">
        <v>97.040089689816199</v>
      </c>
      <c r="AM3842">
        <v>85.383946722922502</v>
      </c>
      <c r="AN3842">
        <v>1.0000000394588899</v>
      </c>
    </row>
    <row r="3843" spans="1:40" x14ac:dyDescent="0.25">
      <c r="A3843" t="str">
        <f>"20190303154549048"</f>
        <v>20190303154549048</v>
      </c>
      <c r="B3843" t="str">
        <f>"1551599149044586"</f>
        <v>1551599149044586</v>
      </c>
      <c r="C3843" t="s">
        <v>40</v>
      </c>
      <c r="D3843">
        <v>5.1850880000000004</v>
      </c>
      <c r="E3843">
        <v>0.49849320000000003</v>
      </c>
      <c r="F3843" t="s">
        <v>41</v>
      </c>
      <c r="G3843">
        <v>-193.9188</v>
      </c>
      <c r="H3843" s="1">
        <v>-4.2295080000000001E-6</v>
      </c>
      <c r="I3843">
        <v>166.4898</v>
      </c>
      <c r="J3843">
        <v>-191.5712</v>
      </c>
      <c r="K3843">
        <v>1.1191310000000001</v>
      </c>
      <c r="L3843">
        <v>185.2527</v>
      </c>
      <c r="M3843">
        <v>-1.213844E-2</v>
      </c>
      <c r="N3843">
        <v>-5.4181799999999999E-3</v>
      </c>
      <c r="O3843">
        <v>-0.99991200000000002</v>
      </c>
      <c r="P3843">
        <v>-9.2208739999999997E-2</v>
      </c>
      <c r="Q3843">
        <v>-0.128682399999999</v>
      </c>
      <c r="R3843">
        <v>-0.98738999999999999</v>
      </c>
      <c r="S3843">
        <v>-0.36865229999999999</v>
      </c>
      <c r="T3843">
        <v>-0.17544709999999999</v>
      </c>
      <c r="U3843">
        <v>-2.9809420000000002</v>
      </c>
      <c r="V3843">
        <v>8.002774E-2</v>
      </c>
      <c r="W3843">
        <v>-0.1234475</v>
      </c>
      <c r="X3843">
        <v>0.98911890000000002</v>
      </c>
      <c r="Y3843">
        <v>0.1104878</v>
      </c>
      <c r="Z3843">
        <v>5.2941120000000001E-2</v>
      </c>
      <c r="AA3843">
        <v>0.99246639999999997</v>
      </c>
      <c r="AB3843">
        <v>24</v>
      </c>
      <c r="AC3843">
        <v>-2.3475999999999999</v>
      </c>
      <c r="AD3843">
        <v>-1.1191352295079999</v>
      </c>
      <c r="AE3843">
        <v>-18.762899999999998</v>
      </c>
      <c r="AF3843">
        <v>2.1122725087304199</v>
      </c>
      <c r="AG3843">
        <v>-1.1191352295079999</v>
      </c>
      <c r="AH3843">
        <v>18.724425758755999</v>
      </c>
      <c r="AI3843">
        <v>93.398919684335297</v>
      </c>
      <c r="AJ3843">
        <v>83.563764697005297</v>
      </c>
      <c r="AK3843">
        <v>18.876394751334999</v>
      </c>
      <c r="AL3843">
        <v>97.091109971698202</v>
      </c>
      <c r="AM3843">
        <v>85.374382539503998</v>
      </c>
      <c r="AN3843">
        <v>0.99999996138148295</v>
      </c>
    </row>
    <row r="3844" spans="1:40" x14ac:dyDescent="0.25">
      <c r="A3844" t="str">
        <f>"20190303154549070"</f>
        <v>20190303154549070</v>
      </c>
      <c r="B3844" t="str">
        <f>"1551599149065082"</f>
        <v>1551599149065082</v>
      </c>
      <c r="C3844" t="s">
        <v>40</v>
      </c>
      <c r="D3844">
        <v>5.0897370000000004</v>
      </c>
      <c r="E3844">
        <v>0.50028470000000003</v>
      </c>
      <c r="F3844" t="s">
        <v>42</v>
      </c>
      <c r="G3844">
        <v>-191.64830000000001</v>
      </c>
      <c r="H3844">
        <v>1.0529269999999999</v>
      </c>
      <c r="I3844">
        <v>184.37989999999999</v>
      </c>
      <c r="J3844">
        <v>-191.5753</v>
      </c>
      <c r="K3844">
        <v>1.119151</v>
      </c>
      <c r="L3844">
        <v>185.00470000000001</v>
      </c>
      <c r="M3844">
        <v>-1.3065210000000001E-2</v>
      </c>
      <c r="N3844">
        <v>-5.4307749999999997E-3</v>
      </c>
      <c r="O3844">
        <v>-0.99989989999999995</v>
      </c>
      <c r="P3844">
        <v>-9.2490370000000002E-2</v>
      </c>
      <c r="Q3844">
        <v>-0.12953990000000001</v>
      </c>
      <c r="R3844">
        <v>-0.9872512</v>
      </c>
      <c r="S3844">
        <v>-0.26318360000000002</v>
      </c>
      <c r="T3844">
        <v>-0.2264274</v>
      </c>
      <c r="U3844">
        <v>-2.9842070000000001</v>
      </c>
      <c r="V3844">
        <v>7.9401589999999994E-2</v>
      </c>
      <c r="W3844">
        <v>-0.12428690000000001</v>
      </c>
      <c r="X3844">
        <v>0.98906430000000001</v>
      </c>
      <c r="Y3844">
        <v>7.4596979999999993E-2</v>
      </c>
      <c r="Z3844">
        <v>6.9984000000000005E-2</v>
      </c>
      <c r="AA3844">
        <v>0.99475499999999994</v>
      </c>
      <c r="AB3844">
        <v>24</v>
      </c>
      <c r="AC3844">
        <v>-7.3000000000007503E-2</v>
      </c>
      <c r="AD3844">
        <v>-6.6224000000000005E-2</v>
      </c>
      <c r="AE3844">
        <v>-0.62480000000002101</v>
      </c>
      <c r="AF3844">
        <v>6.4119860113969904E-2</v>
      </c>
      <c r="AG3844">
        <v>-6.6224000000000005E-2</v>
      </c>
      <c r="AH3844">
        <v>0.61884177319524802</v>
      </c>
      <c r="AI3844">
        <v>96.075855505391701</v>
      </c>
      <c r="AJ3844">
        <v>84.084538613950102</v>
      </c>
      <c r="AK3844">
        <v>0.62566933350490594</v>
      </c>
      <c r="AL3844">
        <v>97.139576904174206</v>
      </c>
      <c r="AM3844">
        <v>85.410166617068697</v>
      </c>
      <c r="AN3844">
        <v>1.0000000177703099</v>
      </c>
    </row>
    <row r="3845" spans="1:40" x14ac:dyDescent="0.25">
      <c r="A3845" t="str">
        <f>"20190303154549093"</f>
        <v>20190303154549093</v>
      </c>
      <c r="B3845" t="str">
        <f>"1551599149084602"</f>
        <v>1551599149084602</v>
      </c>
      <c r="C3845" t="s">
        <v>40</v>
      </c>
      <c r="D3845">
        <v>5.1434860000000002</v>
      </c>
      <c r="E3845">
        <v>0.50064039999999999</v>
      </c>
      <c r="F3845" t="s">
        <v>41</v>
      </c>
      <c r="G3845">
        <v>-193.0804</v>
      </c>
      <c r="H3845" s="1">
        <v>-4.9883080000000004E-6</v>
      </c>
      <c r="I3845">
        <v>168.85299999999901</v>
      </c>
      <c r="J3845">
        <v>-191.5796</v>
      </c>
      <c r="K3845">
        <v>1.1191759999999999</v>
      </c>
      <c r="L3845">
        <v>184.7527</v>
      </c>
      <c r="M3845">
        <v>-1.394804E-2</v>
      </c>
      <c r="N3845">
        <v>-5.4507820000000004E-3</v>
      </c>
      <c r="O3845">
        <v>-0.99988809999999995</v>
      </c>
      <c r="P3845">
        <v>-9.2614379999999996E-2</v>
      </c>
      <c r="Q3845">
        <v>-0.1301736</v>
      </c>
      <c r="R3845">
        <v>-0.98715660000000005</v>
      </c>
      <c r="S3845">
        <v>-0.2782135</v>
      </c>
      <c r="T3845">
        <v>-0.20686950000000001</v>
      </c>
      <c r="U3845">
        <v>-2.985535</v>
      </c>
      <c r="V3845">
        <v>7.8662460000000003E-2</v>
      </c>
      <c r="W3845">
        <v>-0.12489400000000001</v>
      </c>
      <c r="X3845">
        <v>0.98904689999999995</v>
      </c>
      <c r="Y3845">
        <v>7.8685340000000006E-2</v>
      </c>
      <c r="Z3845">
        <v>6.3423939999999998E-2</v>
      </c>
      <c r="AA3845">
        <v>0.99487990000000004</v>
      </c>
      <c r="AB3845">
        <v>24</v>
      </c>
      <c r="AC3845">
        <v>-1.5007999999999899</v>
      </c>
      <c r="AD3845">
        <v>-1.1191809883079999</v>
      </c>
      <c r="AE3845">
        <v>-15.899699999999999</v>
      </c>
      <c r="AF3845">
        <v>1.2726312067832</v>
      </c>
      <c r="AG3845">
        <v>-1.1191809883079999</v>
      </c>
      <c r="AH3845">
        <v>15.8412901100368</v>
      </c>
      <c r="AI3845">
        <v>94.028274498242695</v>
      </c>
      <c r="AJ3845">
        <v>85.406931160610597</v>
      </c>
      <c r="AK3845">
        <v>15.931686308216699</v>
      </c>
      <c r="AL3845">
        <v>97.174634226882205</v>
      </c>
      <c r="AM3845">
        <v>85.452632566501293</v>
      </c>
      <c r="AN3845">
        <v>1.00000003212443</v>
      </c>
    </row>
    <row r="3846" spans="1:40" x14ac:dyDescent="0.25">
      <c r="A3846" t="str">
        <f>"20190303154549117"</f>
        <v>20190303154549117</v>
      </c>
      <c r="B3846" t="str">
        <f>"1551599149104629"</f>
        <v>1551599149104629</v>
      </c>
      <c r="C3846" t="s">
        <v>40</v>
      </c>
      <c r="D3846">
        <v>5.0853659999999996</v>
      </c>
      <c r="E3846">
        <v>0.50063049999999998</v>
      </c>
      <c r="F3846" t="s">
        <v>41</v>
      </c>
      <c r="G3846">
        <v>-193.12799999999999</v>
      </c>
      <c r="H3846" s="1">
        <v>-4.7938690000000002E-6</v>
      </c>
      <c r="I3846">
        <v>168.32470000000001</v>
      </c>
      <c r="J3846">
        <v>-191.584</v>
      </c>
      <c r="K3846">
        <v>1.11921</v>
      </c>
      <c r="L3846">
        <v>184.50550000000001</v>
      </c>
      <c r="M3846">
        <v>-1.4756409999999999E-2</v>
      </c>
      <c r="N3846">
        <v>-5.4808080000000002E-3</v>
      </c>
      <c r="O3846">
        <v>-0.99987610000000005</v>
      </c>
      <c r="P3846">
        <v>-9.3454179999999998E-2</v>
      </c>
      <c r="Q3846">
        <v>-0.1306283</v>
      </c>
      <c r="R3846">
        <v>-0.98701700000000003</v>
      </c>
      <c r="S3846">
        <v>-0.28143309999999999</v>
      </c>
      <c r="T3846">
        <v>-0.20341339999999999</v>
      </c>
      <c r="U3846">
        <v>-2.9858250000000002</v>
      </c>
      <c r="V3846">
        <v>7.8714649999999997E-2</v>
      </c>
      <c r="W3846">
        <v>-0.12531310000000001</v>
      </c>
      <c r="X3846">
        <v>0.98898969999999997</v>
      </c>
      <c r="Y3846">
        <v>7.8941010000000006E-2</v>
      </c>
      <c r="Z3846">
        <v>6.2236979999999997E-2</v>
      </c>
      <c r="AA3846">
        <v>0.9949346</v>
      </c>
      <c r="AB3846">
        <v>25</v>
      </c>
      <c r="AC3846">
        <v>-1.5439999999999801</v>
      </c>
      <c r="AD3846">
        <v>-1.119214793869</v>
      </c>
      <c r="AE3846">
        <v>-16.180800000000001</v>
      </c>
      <c r="AF3846">
        <v>1.29889940484865</v>
      </c>
      <c r="AG3846">
        <v>-1.119214793869</v>
      </c>
      <c r="AH3846">
        <v>16.125368419346401</v>
      </c>
      <c r="AI3846">
        <v>93.957588244035094</v>
      </c>
      <c r="AJ3846">
        <v>85.3947643770545</v>
      </c>
      <c r="AK3846">
        <v>16.216266157114799</v>
      </c>
      <c r="AL3846">
        <v>97.198837279674393</v>
      </c>
      <c r="AM3846">
        <v>85.449366127765003</v>
      </c>
      <c r="AN3846">
        <v>0.99999999793116101</v>
      </c>
    </row>
    <row r="3847" spans="1:40" x14ac:dyDescent="0.25">
      <c r="A3847" t="str">
        <f>"20190303154549137"</f>
        <v>20190303154549137</v>
      </c>
      <c r="B3847" t="str">
        <f>"1551599149134885"</f>
        <v>1551599149134885</v>
      </c>
      <c r="C3847" t="s">
        <v>40</v>
      </c>
      <c r="D3847">
        <v>5.0661269999999998</v>
      </c>
      <c r="E3847">
        <v>0.4810894</v>
      </c>
      <c r="F3847" t="s">
        <v>41</v>
      </c>
      <c r="G3847">
        <v>-193.17609999999999</v>
      </c>
      <c r="H3847" s="1">
        <v>-4.5887130000000004E-6</v>
      </c>
      <c r="I3847">
        <v>167.76830000000001</v>
      </c>
      <c r="J3847">
        <v>-191.5883</v>
      </c>
      <c r="K3847">
        <v>1.119246</v>
      </c>
      <c r="L3847">
        <v>184.26560000000001</v>
      </c>
      <c r="M3847">
        <v>-1.548662E-2</v>
      </c>
      <c r="N3847">
        <v>-5.5267490000000001E-3</v>
      </c>
      <c r="O3847">
        <v>-0.9998648</v>
      </c>
      <c r="P3847">
        <v>-9.439032E-2</v>
      </c>
      <c r="Q3847">
        <v>-0.13155240000000001</v>
      </c>
      <c r="R3847">
        <v>-0.9868053</v>
      </c>
      <c r="S3847">
        <v>-0.28405760000000002</v>
      </c>
      <c r="T3847">
        <v>-0.19968330000000001</v>
      </c>
      <c r="U3847">
        <v>-2.986145</v>
      </c>
      <c r="V3847">
        <v>7.8941269999999994E-2</v>
      </c>
      <c r="W3847">
        <v>-0.1261864</v>
      </c>
      <c r="X3847">
        <v>0.98886059999999998</v>
      </c>
      <c r="Y3847">
        <v>7.9077359999999999E-2</v>
      </c>
      <c r="Z3847">
        <v>6.0943749999999998E-2</v>
      </c>
      <c r="AA3847">
        <v>0.99500379999999999</v>
      </c>
      <c r="AB3847">
        <v>25</v>
      </c>
      <c r="AC3847">
        <v>-1.5877999999999799</v>
      </c>
      <c r="AD3847">
        <v>-1.119250588713</v>
      </c>
      <c r="AE3847">
        <v>-16.4972999999999</v>
      </c>
      <c r="AF3847">
        <v>1.3260705476184</v>
      </c>
      <c r="AG3847">
        <v>-1.119250588713</v>
      </c>
      <c r="AH3847">
        <v>16.444912442061</v>
      </c>
      <c r="AI3847">
        <v>93.881021722379401</v>
      </c>
      <c r="AJ3847">
        <v>85.389807849337899</v>
      </c>
      <c r="AK3847">
        <v>16.536212692289901</v>
      </c>
      <c r="AL3847">
        <v>97.249273972862397</v>
      </c>
      <c r="AM3847">
        <v>85.435726795315304</v>
      </c>
      <c r="AN3847">
        <v>1.0000000089432599</v>
      </c>
    </row>
    <row r="3848" spans="1:40" x14ac:dyDescent="0.25">
      <c r="A3848" t="str">
        <f>"20190303154549160"</f>
        <v>20190303154549160</v>
      </c>
      <c r="B3848" t="str">
        <f>"1551599149155383"</f>
        <v>1551599149155383</v>
      </c>
      <c r="C3848" t="s">
        <v>40</v>
      </c>
      <c r="D3848">
        <v>5.0312210000000004</v>
      </c>
      <c r="E3848">
        <v>0.47998220000000003</v>
      </c>
      <c r="F3848" t="s">
        <v>41</v>
      </c>
      <c r="G3848">
        <v>-192.49440000000001</v>
      </c>
      <c r="H3848" s="1">
        <v>-2.5550570000000002E-6</v>
      </c>
      <c r="I3848">
        <v>163.59270000000001</v>
      </c>
      <c r="J3848">
        <v>-191.59299999999999</v>
      </c>
      <c r="K3848">
        <v>1.1192949999999999</v>
      </c>
      <c r="L3848">
        <v>184.01560000000001</v>
      </c>
      <c r="M3848">
        <v>-1.6193920000000001E-2</v>
      </c>
      <c r="N3848">
        <v>-5.6014639999999996E-3</v>
      </c>
      <c r="O3848">
        <v>-0.99985349999999995</v>
      </c>
      <c r="P3848">
        <v>-9.6050930000000007E-2</v>
      </c>
      <c r="Q3848">
        <v>-0.1320365</v>
      </c>
      <c r="R3848">
        <v>-0.98658060000000003</v>
      </c>
      <c r="S3848">
        <v>-0.13174439999999901</v>
      </c>
      <c r="T3848">
        <v>-0.16273750000000001</v>
      </c>
      <c r="U3848">
        <v>-3.005814</v>
      </c>
      <c r="V3848">
        <v>7.9916290000000001E-2</v>
      </c>
      <c r="W3848">
        <v>-0.12659189999999901</v>
      </c>
      <c r="X3848">
        <v>0.98873040000000001</v>
      </c>
      <c r="Y3848">
        <v>2.7547470000000001E-2</v>
      </c>
      <c r="Z3848">
        <v>4.842287E-2</v>
      </c>
      <c r="AA3848">
        <v>0.99844699999999997</v>
      </c>
      <c r="AB3848">
        <v>25</v>
      </c>
      <c r="AC3848">
        <v>-0.90140000000002296</v>
      </c>
      <c r="AD3848">
        <v>-1.1192975550569999</v>
      </c>
      <c r="AE3848">
        <v>-20.422899999999998</v>
      </c>
      <c r="AF3848">
        <v>0.56884458886175904</v>
      </c>
      <c r="AG3848">
        <v>-1.1192975550569999</v>
      </c>
      <c r="AH3848">
        <v>20.3737416959708</v>
      </c>
      <c r="AI3848">
        <v>93.143345789960705</v>
      </c>
      <c r="AJ3848">
        <v>88.400689995029197</v>
      </c>
      <c r="AK3848">
        <v>20.4123923604552</v>
      </c>
      <c r="AL3848">
        <v>97.272695566992695</v>
      </c>
      <c r="AM3848">
        <v>85.378989317005605</v>
      </c>
      <c r="AN3848">
        <v>0.99999996321856599</v>
      </c>
    </row>
    <row r="3849" spans="1:40" x14ac:dyDescent="0.25">
      <c r="A3849" t="str">
        <f>"20190303154549182"</f>
        <v>20190303154549182</v>
      </c>
      <c r="B3849" t="str">
        <f>"1551599149174901"</f>
        <v>1551599149174901</v>
      </c>
      <c r="C3849" t="s">
        <v>40</v>
      </c>
      <c r="D3849">
        <v>5.0198729999999996</v>
      </c>
      <c r="E3849">
        <v>0.4795333</v>
      </c>
      <c r="F3849" t="s">
        <v>41</v>
      </c>
      <c r="G3849">
        <v>-192.4682</v>
      </c>
      <c r="H3849" s="1">
        <v>-2.4744629999999998E-6</v>
      </c>
      <c r="I3849">
        <v>163.43700000000001</v>
      </c>
      <c r="J3849">
        <v>-191.5977</v>
      </c>
      <c r="K3849">
        <v>1.1193420000000001</v>
      </c>
      <c r="L3849">
        <v>183.7698</v>
      </c>
      <c r="M3849">
        <v>-1.683904E-2</v>
      </c>
      <c r="N3849">
        <v>-5.7125569999999896E-3</v>
      </c>
      <c r="O3849">
        <v>-0.99984220000000001</v>
      </c>
      <c r="P3849">
        <v>-9.7822489999999998E-2</v>
      </c>
      <c r="Q3849">
        <v>-0.13227349999999999</v>
      </c>
      <c r="R3849">
        <v>-0.98637490000000005</v>
      </c>
      <c r="S3849">
        <v>-0.1278687</v>
      </c>
      <c r="T3849">
        <v>-0.16352639999999999</v>
      </c>
      <c r="U3849">
        <v>-3.0064850000000001</v>
      </c>
      <c r="V3849">
        <v>8.1062670000000003E-2</v>
      </c>
      <c r="W3849">
        <v>-0.1267152</v>
      </c>
      <c r="X3849">
        <v>0.98862130000000004</v>
      </c>
      <c r="Y3849">
        <v>2.5607870000000001E-2</v>
      </c>
      <c r="Z3849">
        <v>4.8563090000000003E-2</v>
      </c>
      <c r="AA3849">
        <v>0.99849180000000004</v>
      </c>
      <c r="AB3849">
        <v>25</v>
      </c>
      <c r="AC3849">
        <v>-0.87049999999999195</v>
      </c>
      <c r="AD3849">
        <v>-1.1193444744629999</v>
      </c>
      <c r="AE3849">
        <v>-20.332799999999899</v>
      </c>
      <c r="AF3849">
        <v>0.52639386904118601</v>
      </c>
      <c r="AG3849">
        <v>-1.1193444744629999</v>
      </c>
      <c r="AH3849">
        <v>20.283217113516901</v>
      </c>
      <c r="AI3849">
        <v>93.157645345043207</v>
      </c>
      <c r="AJ3849">
        <v>88.513382837190093</v>
      </c>
      <c r="AK3849">
        <v>20.320898578358701</v>
      </c>
      <c r="AL3849">
        <v>97.279817318513693</v>
      </c>
      <c r="AM3849">
        <v>85.312480348394004</v>
      </c>
      <c r="AN3849">
        <v>0.99999998659612899</v>
      </c>
    </row>
    <row r="3850" spans="1:40" x14ac:dyDescent="0.25">
      <c r="A3850" t="str">
        <f>"20190303154549204"</f>
        <v>20190303154549204</v>
      </c>
      <c r="B3850" t="str">
        <f>"1551599149194421"</f>
        <v>1551599149194421</v>
      </c>
      <c r="C3850" t="s">
        <v>40</v>
      </c>
      <c r="D3850">
        <v>5.018281</v>
      </c>
      <c r="E3850">
        <v>0.4790123</v>
      </c>
      <c r="F3850" t="s">
        <v>41</v>
      </c>
      <c r="G3850">
        <v>-192.4957</v>
      </c>
      <c r="H3850" s="1">
        <v>-2.257049E-6</v>
      </c>
      <c r="I3850">
        <v>162.9616</v>
      </c>
      <c r="J3850">
        <v>-191.6026</v>
      </c>
      <c r="K3850">
        <v>1.1194</v>
      </c>
      <c r="L3850">
        <v>183.52209999999999</v>
      </c>
      <c r="M3850">
        <v>-1.7449019999999999E-2</v>
      </c>
      <c r="N3850">
        <v>-5.8779549999999998E-3</v>
      </c>
      <c r="O3850">
        <v>-0.99983049999999996</v>
      </c>
      <c r="P3850">
        <v>-9.9104390000000001E-2</v>
      </c>
      <c r="Q3850">
        <v>-0.1331244</v>
      </c>
      <c r="R3850">
        <v>-0.9861318</v>
      </c>
      <c r="S3850">
        <v>-0.12976070000000001</v>
      </c>
      <c r="T3850">
        <v>-0.16175010000000001</v>
      </c>
      <c r="U3850">
        <v>-3.0068820000000001</v>
      </c>
      <c r="V3850">
        <v>8.1752270000000002E-2</v>
      </c>
      <c r="W3850">
        <v>-0.1273997</v>
      </c>
      <c r="X3850">
        <v>0.98847660000000004</v>
      </c>
      <c r="Y3850">
        <v>2.562101E-2</v>
      </c>
      <c r="Z3850">
        <v>4.7801469999999999E-2</v>
      </c>
      <c r="AA3850">
        <v>0.99852819999999998</v>
      </c>
      <c r="AB3850">
        <v>25</v>
      </c>
      <c r="AC3850">
        <v>-0.893100000000004</v>
      </c>
      <c r="AD3850">
        <v>-1.1194022570490001</v>
      </c>
      <c r="AE3850">
        <v>-20.560499999999902</v>
      </c>
      <c r="AF3850">
        <v>0.53262144547322698</v>
      </c>
      <c r="AG3850">
        <v>-1.1194022570490001</v>
      </c>
      <c r="AH3850">
        <v>20.512266028949501</v>
      </c>
      <c r="AI3850">
        <v>93.122615614213402</v>
      </c>
      <c r="AJ3850">
        <v>88.512592167062493</v>
      </c>
      <c r="AK3850">
        <v>20.5496911086192</v>
      </c>
      <c r="AL3850">
        <v>97.319356245143197</v>
      </c>
      <c r="AM3850">
        <v>85.272094722576895</v>
      </c>
      <c r="AN3850">
        <v>1.0000000529788999</v>
      </c>
    </row>
    <row r="3851" spans="1:40" x14ac:dyDescent="0.25">
      <c r="A3851" t="str">
        <f>"20190303154549226"</f>
        <v>20190303154549226</v>
      </c>
      <c r="B3851" t="str">
        <f>"1551599149214918"</f>
        <v>1551599149214918</v>
      </c>
      <c r="C3851" t="s">
        <v>40</v>
      </c>
      <c r="D3851">
        <v>5.02386</v>
      </c>
      <c r="E3851">
        <v>0.47880909999999899</v>
      </c>
      <c r="F3851" t="s">
        <v>41</v>
      </c>
      <c r="G3851">
        <v>-192.48699999999999</v>
      </c>
      <c r="H3851" s="1">
        <v>-2.2816880000000002E-6</v>
      </c>
      <c r="I3851">
        <v>163.01859999999999</v>
      </c>
      <c r="J3851">
        <v>-191.60759999999999</v>
      </c>
      <c r="K3851">
        <v>1.1194470000000001</v>
      </c>
      <c r="L3851">
        <v>183.2724</v>
      </c>
      <c r="M3851">
        <v>-1.803708E-2</v>
      </c>
      <c r="N3851">
        <v>-6.079742E-3</v>
      </c>
      <c r="O3851">
        <v>-0.99981900000000001</v>
      </c>
      <c r="P3851">
        <v>-0.1001322</v>
      </c>
      <c r="Q3851">
        <v>-0.133162</v>
      </c>
      <c r="R3851">
        <v>-0.98602319999999999</v>
      </c>
      <c r="S3851">
        <v>-0.1296997</v>
      </c>
      <c r="T3851">
        <v>-0.16416979999999901</v>
      </c>
      <c r="U3851">
        <v>-3.0070039999999998</v>
      </c>
      <c r="V3851">
        <v>8.2205449999999999E-2</v>
      </c>
      <c r="W3851">
        <v>-0.12723570000000001</v>
      </c>
      <c r="X3851">
        <v>0.98846009999999995</v>
      </c>
      <c r="Y3851">
        <v>2.5009699999999999E-2</v>
      </c>
      <c r="Z3851">
        <v>4.8398219999999999E-2</v>
      </c>
      <c r="AA3851">
        <v>0.99851500000000004</v>
      </c>
      <c r="AB3851">
        <v>25</v>
      </c>
      <c r="AC3851">
        <v>-0.87940000000000396</v>
      </c>
      <c r="AD3851">
        <v>-1.119449281688</v>
      </c>
      <c r="AE3851">
        <v>-20.253799999999998</v>
      </c>
      <c r="AF3851">
        <v>0.51236854552952105</v>
      </c>
      <c r="AG3851">
        <v>-1.119449281688</v>
      </c>
      <c r="AH3851">
        <v>20.204759852880201</v>
      </c>
      <c r="AI3851">
        <v>93.170226196378195</v>
      </c>
      <c r="AJ3851">
        <v>88.547358885146906</v>
      </c>
      <c r="AK3851">
        <v>20.242233299052799</v>
      </c>
      <c r="AL3851">
        <v>97.309882925573604</v>
      </c>
      <c r="AM3851">
        <v>85.245927172801998</v>
      </c>
      <c r="AN3851">
        <v>1.0000000143281</v>
      </c>
    </row>
    <row r="3852" spans="1:40" x14ac:dyDescent="0.25">
      <c r="A3852" t="str">
        <f>"20190303154549250"</f>
        <v>20190303154549250</v>
      </c>
      <c r="B3852" t="str">
        <f>"1551599149245173"</f>
        <v>1551599149245173</v>
      </c>
      <c r="C3852" t="s">
        <v>40</v>
      </c>
      <c r="D3852">
        <v>4.9925649999999999</v>
      </c>
      <c r="E3852">
        <v>0.47847909999999999</v>
      </c>
      <c r="F3852" t="s">
        <v>41</v>
      </c>
      <c r="G3852">
        <v>-192.49770000000001</v>
      </c>
      <c r="H3852" s="1">
        <v>-2.2121599999999999E-6</v>
      </c>
      <c r="I3852">
        <v>162.8655</v>
      </c>
      <c r="J3852">
        <v>-191.6129</v>
      </c>
      <c r="K3852">
        <v>1.119505</v>
      </c>
      <c r="L3852">
        <v>183.01419999999999</v>
      </c>
      <c r="M3852">
        <v>-1.8625829999999999E-2</v>
      </c>
      <c r="N3852">
        <v>-6.3507149999999998E-3</v>
      </c>
      <c r="O3852">
        <v>-0.99980659999999999</v>
      </c>
      <c r="P3852">
        <v>-0.10087019999999999</v>
      </c>
      <c r="Q3852">
        <v>-0.13427790000000001</v>
      </c>
      <c r="R3852">
        <v>-0.98579660000000002</v>
      </c>
      <c r="S3852">
        <v>-0.1311493</v>
      </c>
      <c r="T3852">
        <v>-0.16494919999999999</v>
      </c>
      <c r="U3852">
        <v>-3.0069270000000001</v>
      </c>
      <c r="V3852">
        <v>8.2367140000000005E-2</v>
      </c>
      <c r="W3852">
        <v>-0.12808359999999999</v>
      </c>
      <c r="X3852">
        <v>0.98833709999999997</v>
      </c>
      <c r="Y3852">
        <v>2.490233E-2</v>
      </c>
      <c r="Z3852">
        <v>4.8385659999999997E-2</v>
      </c>
      <c r="AA3852">
        <v>0.99851820000000002</v>
      </c>
      <c r="AB3852">
        <v>25</v>
      </c>
      <c r="AC3852">
        <v>-0.88480000000001202</v>
      </c>
      <c r="AD3852">
        <v>-1.11950721216</v>
      </c>
      <c r="AE3852">
        <v>-20.148699999999899</v>
      </c>
      <c r="AF3852">
        <v>0.507788157195462</v>
      </c>
      <c r="AG3852">
        <v>-1.11950721216</v>
      </c>
      <c r="AH3852">
        <v>20.099753201565001</v>
      </c>
      <c r="AI3852">
        <v>93.186926531090506</v>
      </c>
      <c r="AJ3852">
        <v>88.552821484940594</v>
      </c>
      <c r="AK3852">
        <v>20.137309253584299</v>
      </c>
      <c r="AL3852">
        <v>97.358864974735397</v>
      </c>
      <c r="AM3852">
        <v>85.236029284915304</v>
      </c>
      <c r="AN3852">
        <v>0.99999998878857399</v>
      </c>
    </row>
    <row r="3853" spans="1:40" x14ac:dyDescent="0.25">
      <c r="A3853" t="str">
        <f>"20190303154549271"</f>
        <v>20190303154549271</v>
      </c>
      <c r="B3853" t="str">
        <f>"1551599149264694"</f>
        <v>1551599149264694</v>
      </c>
      <c r="C3853" t="s">
        <v>40</v>
      </c>
      <c r="D3853">
        <v>5.0224830000000003</v>
      </c>
      <c r="E3853">
        <v>0.47834090000000001</v>
      </c>
      <c r="F3853" t="s">
        <v>41</v>
      </c>
      <c r="G3853">
        <v>-192.4845</v>
      </c>
      <c r="H3853" s="1">
        <v>-2.2470700000000001E-6</v>
      </c>
      <c r="I3853">
        <v>162.9468</v>
      </c>
      <c r="J3853">
        <v>-191.6182</v>
      </c>
      <c r="K3853">
        <v>1.119572</v>
      </c>
      <c r="L3853">
        <v>182.76660000000001</v>
      </c>
      <c r="M3853">
        <v>-1.9181409999999999E-2</v>
      </c>
      <c r="N3853">
        <v>-6.7048469999999999E-3</v>
      </c>
      <c r="O3853">
        <v>-0.99979370000000001</v>
      </c>
      <c r="P3853">
        <v>-0.10101980000000001</v>
      </c>
      <c r="Q3853">
        <v>-0.13473950000000001</v>
      </c>
      <c r="R3853">
        <v>-0.98571850000000005</v>
      </c>
      <c r="S3853">
        <v>-0.13059999999999999</v>
      </c>
      <c r="T3853">
        <v>-0.1677536</v>
      </c>
      <c r="U3853">
        <v>-3.0070190000000001</v>
      </c>
      <c r="V3853">
        <v>8.1969310000000004E-2</v>
      </c>
      <c r="W3853">
        <v>-0.128194899999999</v>
      </c>
      <c r="X3853">
        <v>0.98835580000000001</v>
      </c>
      <c r="Y3853">
        <v>2.4161950000000001E-2</v>
      </c>
      <c r="Z3853">
        <v>4.8958189999999999E-2</v>
      </c>
      <c r="AA3853">
        <v>0.99850850000000002</v>
      </c>
      <c r="AB3853">
        <v>25</v>
      </c>
      <c r="AC3853">
        <v>-0.86629999999999496</v>
      </c>
      <c r="AD3853">
        <v>-1.1195742470700001</v>
      </c>
      <c r="AE3853">
        <v>-19.819800000000001</v>
      </c>
      <c r="AF3853">
        <v>0.48441765713378199</v>
      </c>
      <c r="AG3853">
        <v>-1.1195742470700001</v>
      </c>
      <c r="AH3853">
        <v>19.769808280459799</v>
      </c>
      <c r="AI3853">
        <v>93.240256565354599</v>
      </c>
      <c r="AJ3853">
        <v>88.596368045849601</v>
      </c>
      <c r="AK3853">
        <v>19.807408371803302</v>
      </c>
      <c r="AL3853">
        <v>97.365294595748594</v>
      </c>
      <c r="AM3853">
        <v>85.259023224454594</v>
      </c>
      <c r="AN3853">
        <v>1.0000000437807599</v>
      </c>
    </row>
    <row r="3854" spans="1:40" x14ac:dyDescent="0.25">
      <c r="A3854" t="str">
        <f>"20190303154549294"</f>
        <v>20190303154549294</v>
      </c>
      <c r="B3854" t="str">
        <f>"1551599149285189"</f>
        <v>1551599149285189</v>
      </c>
      <c r="C3854" t="s">
        <v>40</v>
      </c>
      <c r="D3854">
        <v>5.0072590000000003</v>
      </c>
      <c r="E3854">
        <v>0.47828480000000001</v>
      </c>
      <c r="F3854" t="s">
        <v>41</v>
      </c>
      <c r="G3854">
        <v>-192.47989999999999</v>
      </c>
      <c r="H3854" s="1">
        <v>-2.2046090000000001E-6</v>
      </c>
      <c r="I3854">
        <v>162.8596</v>
      </c>
      <c r="J3854">
        <v>-191.62389999999999</v>
      </c>
      <c r="K3854">
        <v>1.119661</v>
      </c>
      <c r="L3854">
        <v>182.50739999999999</v>
      </c>
      <c r="M3854">
        <v>-1.9758709999999999E-2</v>
      </c>
      <c r="N3854">
        <v>-7.1884399999999999E-3</v>
      </c>
      <c r="O3854">
        <v>-0.99977890000000003</v>
      </c>
      <c r="P3854">
        <v>-0.1005832</v>
      </c>
      <c r="Q3854">
        <v>-0.13495299999999999</v>
      </c>
      <c r="R3854">
        <v>-0.98573390000000005</v>
      </c>
      <c r="S3854">
        <v>-0.13015750000000001</v>
      </c>
      <c r="T3854">
        <v>-0.1691154</v>
      </c>
      <c r="U3854">
        <v>-3.0070190000000001</v>
      </c>
      <c r="V3854">
        <v>8.0960870000000004E-2</v>
      </c>
      <c r="W3854">
        <v>-0.12793009999999999</v>
      </c>
      <c r="X3854">
        <v>0.98847320000000005</v>
      </c>
      <c r="Y3854">
        <v>2.343775E-2</v>
      </c>
      <c r="Z3854">
        <v>4.8925690000000001E-2</v>
      </c>
      <c r="AA3854">
        <v>0.99852739999999995</v>
      </c>
      <c r="AB3854">
        <v>25</v>
      </c>
      <c r="AC3854">
        <v>-0.85599999999999399</v>
      </c>
      <c r="AD3854">
        <v>-1.119663204609</v>
      </c>
      <c r="AE3854">
        <v>-19.647799999999901</v>
      </c>
      <c r="AF3854">
        <v>0.46609687994985699</v>
      </c>
      <c r="AG3854">
        <v>-1.119663204609</v>
      </c>
      <c r="AH3854">
        <v>19.597356483100398</v>
      </c>
      <c r="AI3854">
        <v>93.2690242140348</v>
      </c>
      <c r="AJ3854">
        <v>88.637553468752699</v>
      </c>
      <c r="AK3854">
        <v>19.634848436363601</v>
      </c>
      <c r="AL3854">
        <v>97.349996888189594</v>
      </c>
      <c r="AM3854">
        <v>85.317642518576207</v>
      </c>
      <c r="AN3854">
        <v>1.0000000200376999</v>
      </c>
    </row>
    <row r="3855" spans="1:40" x14ac:dyDescent="0.25">
      <c r="A3855" t="str">
        <f>"20190303154549318"</f>
        <v>20190303154549318</v>
      </c>
      <c r="B3855" t="str">
        <f>"1551599149314469"</f>
        <v>1551599149314469</v>
      </c>
      <c r="C3855" t="s">
        <v>40</v>
      </c>
      <c r="D3855">
        <v>5.0097269999999998</v>
      </c>
      <c r="E3855">
        <v>0.4782343</v>
      </c>
      <c r="F3855" t="s">
        <v>41</v>
      </c>
      <c r="G3855">
        <v>-192.47739999999999</v>
      </c>
      <c r="H3855" s="1">
        <v>-2.0531350000000002E-6</v>
      </c>
      <c r="I3855">
        <v>162.54050000000001</v>
      </c>
      <c r="J3855">
        <v>-191.62989999999999</v>
      </c>
      <c r="K3855">
        <v>1.119766</v>
      </c>
      <c r="L3855">
        <v>182.23910000000001</v>
      </c>
      <c r="M3855">
        <v>-2.0353739999999999E-2</v>
      </c>
      <c r="N3855">
        <v>-7.7988160000000001E-3</v>
      </c>
      <c r="O3855">
        <v>-0.9997625</v>
      </c>
      <c r="P3855">
        <v>-0.10021339999999999</v>
      </c>
      <c r="Q3855">
        <v>-0.13501009999999999</v>
      </c>
      <c r="R3855">
        <v>-0.98576339999999996</v>
      </c>
      <c r="S3855">
        <v>-0.12855530000000001</v>
      </c>
      <c r="T3855">
        <v>-0.16863159999999999</v>
      </c>
      <c r="U3855">
        <v>-3.0072019999999999</v>
      </c>
      <c r="V3855">
        <v>8.0001639999999999E-2</v>
      </c>
      <c r="W3855">
        <v>-0.12738339999999901</v>
      </c>
      <c r="X3855">
        <v>0.98862190000000005</v>
      </c>
      <c r="Y3855">
        <v>2.2310389999999999E-2</v>
      </c>
      <c r="Z3855">
        <v>4.8153229999999998E-2</v>
      </c>
      <c r="AA3855">
        <v>0.9985908</v>
      </c>
      <c r="AB3855">
        <v>25</v>
      </c>
      <c r="AC3855">
        <v>-0.84749999999999603</v>
      </c>
      <c r="AD3855">
        <v>-1.1197680531350001</v>
      </c>
      <c r="AE3855">
        <v>-19.698599999999999</v>
      </c>
      <c r="AF3855">
        <v>0.44493698118728597</v>
      </c>
      <c r="AG3855">
        <v>-1.1197680531350001</v>
      </c>
      <c r="AH3855">
        <v>19.648395585941</v>
      </c>
      <c r="AI3855">
        <v>93.260941506191003</v>
      </c>
      <c r="AJ3855">
        <v>88.702761513182296</v>
      </c>
      <c r="AK3855">
        <v>19.685306665421201</v>
      </c>
      <c r="AL3855">
        <v>97.318414842949906</v>
      </c>
      <c r="AM3855">
        <v>85.373570034238099</v>
      </c>
      <c r="AN3855">
        <v>1.00000002707892</v>
      </c>
    </row>
    <row r="3856" spans="1:40" x14ac:dyDescent="0.25">
      <c r="A3856" t="str">
        <f>"20190303154549338"</f>
        <v>20190303154549338</v>
      </c>
      <c r="B3856" t="str">
        <f>"1551599149334965"</f>
        <v>1551599149334965</v>
      </c>
      <c r="C3856" t="s">
        <v>40</v>
      </c>
      <c r="D3856">
        <v>5.0061939999999998</v>
      </c>
      <c r="E3856">
        <v>0.47821609999999998</v>
      </c>
      <c r="F3856" t="s">
        <v>41</v>
      </c>
      <c r="G3856">
        <v>-192.47800000000001</v>
      </c>
      <c r="H3856" s="1">
        <v>-1.8730389999999999E-6</v>
      </c>
      <c r="I3856">
        <v>162.1592</v>
      </c>
      <c r="J3856">
        <v>-191.63509999999999</v>
      </c>
      <c r="K3856">
        <v>1.1198619999999999</v>
      </c>
      <c r="L3856">
        <v>182.011</v>
      </c>
      <c r="M3856">
        <v>-2.0866889999999999E-2</v>
      </c>
      <c r="N3856">
        <v>-8.3650349999999998E-3</v>
      </c>
      <c r="O3856">
        <v>-0.99974719999999995</v>
      </c>
      <c r="P3856">
        <v>-9.9950639999999993E-2</v>
      </c>
      <c r="Q3856">
        <v>-0.13505249999999999</v>
      </c>
      <c r="R3856">
        <v>-0.98578429999999995</v>
      </c>
      <c r="S3856">
        <v>-0.12702939999999999</v>
      </c>
      <c r="T3856">
        <v>-0.1677102</v>
      </c>
      <c r="U3856">
        <v>-3.0074160000000001</v>
      </c>
      <c r="V3856">
        <v>7.9232159999999996E-2</v>
      </c>
      <c r="W3856">
        <v>-0.12686459999999999</v>
      </c>
      <c r="X3856">
        <v>0.98875049999999998</v>
      </c>
      <c r="Y3856">
        <v>2.1289969999999998E-2</v>
      </c>
      <c r="Z3856">
        <v>4.7279509999999997E-2</v>
      </c>
      <c r="AA3856">
        <v>0.99865479999999995</v>
      </c>
      <c r="AB3856">
        <v>25</v>
      </c>
      <c r="AC3856">
        <v>-0.84289999999998599</v>
      </c>
      <c r="AD3856">
        <v>-1.119863873039</v>
      </c>
      <c r="AE3856">
        <v>-19.851800000000001</v>
      </c>
      <c r="AF3856">
        <v>0.427099925978218</v>
      </c>
      <c r="AG3856">
        <v>-1.119863873039</v>
      </c>
      <c r="AH3856">
        <v>19.802165022713702</v>
      </c>
      <c r="AI3856">
        <v>93.236026490998398</v>
      </c>
      <c r="AJ3856">
        <v>88.7644164346369</v>
      </c>
      <c r="AK3856">
        <v>19.8384033890758</v>
      </c>
      <c r="AL3856">
        <v>97.288447172694603</v>
      </c>
      <c r="AM3856">
        <v>85.418471462970103</v>
      </c>
      <c r="AN3856">
        <v>0.99999995658083596</v>
      </c>
    </row>
    <row r="3857" spans="1:40" x14ac:dyDescent="0.25">
      <c r="A3857" t="str">
        <f>"20190303154549360"</f>
        <v>20190303154549360</v>
      </c>
      <c r="B3857" t="str">
        <f>"1551599149354486"</f>
        <v>1551599149354486</v>
      </c>
      <c r="C3857" t="s">
        <v>40</v>
      </c>
      <c r="D3857">
        <v>5.0138759999999998</v>
      </c>
      <c r="E3857">
        <v>0.47820289999999999</v>
      </c>
      <c r="F3857" t="s">
        <v>41</v>
      </c>
      <c r="G3857">
        <v>-192.4821</v>
      </c>
      <c r="H3857" s="1">
        <v>-1.7052669999999999E-6</v>
      </c>
      <c r="I3857">
        <v>161.80199999999999</v>
      </c>
      <c r="J3857">
        <v>-191.64089999999999</v>
      </c>
      <c r="K3857">
        <v>1.1199520000000001</v>
      </c>
      <c r="L3857">
        <v>181.76220000000001</v>
      </c>
      <c r="M3857">
        <v>-2.143805E-2</v>
      </c>
      <c r="N3857">
        <v>-8.9685200000000007E-3</v>
      </c>
      <c r="O3857">
        <v>-0.99973009999999995</v>
      </c>
      <c r="P3857">
        <v>-9.994691E-2</v>
      </c>
      <c r="Q3857">
        <v>-0.13573789999999999</v>
      </c>
      <c r="R3857">
        <v>-0.98569050000000002</v>
      </c>
      <c r="S3857">
        <v>-0.1260529</v>
      </c>
      <c r="T3857">
        <v>-0.1666665</v>
      </c>
      <c r="U3857">
        <v>-3.00766</v>
      </c>
      <c r="V3857">
        <v>7.8666719999999996E-2</v>
      </c>
      <c r="W3857">
        <v>-0.1269527</v>
      </c>
      <c r="X3857">
        <v>0.98878440000000001</v>
      </c>
      <c r="Y3857">
        <v>2.039326E-2</v>
      </c>
      <c r="Z3857">
        <v>4.6327140000000003E-2</v>
      </c>
      <c r="AA3857">
        <v>0.99871810000000005</v>
      </c>
      <c r="AB3857">
        <v>25</v>
      </c>
      <c r="AC3857">
        <v>-0.84120000000001405</v>
      </c>
      <c r="AD3857">
        <v>-1.1199537052670001</v>
      </c>
      <c r="AE3857">
        <v>-19.960199999999901</v>
      </c>
      <c r="AF3857">
        <v>0.41178763107697502</v>
      </c>
      <c r="AG3857">
        <v>-1.1199537052670001</v>
      </c>
      <c r="AH3857">
        <v>19.911072698580298</v>
      </c>
      <c r="AI3857">
        <v>93.218681475603205</v>
      </c>
      <c r="AJ3857">
        <v>88.815215497293096</v>
      </c>
      <c r="AK3857">
        <v>19.946796268152902</v>
      </c>
      <c r="AL3857">
        <v>97.293535647462804</v>
      </c>
      <c r="AM3857">
        <v>85.451185111983094</v>
      </c>
      <c r="AN3857">
        <v>1.0000000152780999</v>
      </c>
    </row>
    <row r="3858" spans="1:40" x14ac:dyDescent="0.25">
      <c r="A3858" t="str">
        <f>"20190303154549384"</f>
        <v>20190303154549384</v>
      </c>
      <c r="B3858" t="str">
        <f>"1551599149374982"</f>
        <v>1551599149374982</v>
      </c>
      <c r="C3858" t="s">
        <v>40</v>
      </c>
      <c r="D3858">
        <v>5.0121820000000001</v>
      </c>
      <c r="E3858">
        <v>0.47815020000000003</v>
      </c>
      <c r="F3858" t="s">
        <v>41</v>
      </c>
      <c r="G3858">
        <v>-192.48150000000001</v>
      </c>
      <c r="H3858" s="1">
        <v>-1.6704980000000001E-6</v>
      </c>
      <c r="I3858">
        <v>161.7287</v>
      </c>
      <c r="J3858">
        <v>-191.6472</v>
      </c>
      <c r="K3858">
        <v>1.120017</v>
      </c>
      <c r="L3858">
        <v>181.50049999999999</v>
      </c>
      <c r="M3858">
        <v>-2.2045100000000002E-2</v>
      </c>
      <c r="N3858">
        <v>-9.5509440000000004E-3</v>
      </c>
      <c r="O3858">
        <v>-0.99971140000000003</v>
      </c>
      <c r="P3858">
        <v>-0.1000521</v>
      </c>
      <c r="Q3858">
        <v>-0.1361704</v>
      </c>
      <c r="R3858">
        <v>-0.9856203</v>
      </c>
      <c r="S3858">
        <v>-0.1261902</v>
      </c>
      <c r="T3858">
        <v>-0.1681359</v>
      </c>
      <c r="U3858">
        <v>-3.007568</v>
      </c>
      <c r="V3858">
        <v>7.8173939999999997E-2</v>
      </c>
      <c r="W3858">
        <v>-0.1268088</v>
      </c>
      <c r="X3858">
        <v>0.988842</v>
      </c>
      <c r="Y3858">
        <v>1.983271E-2</v>
      </c>
      <c r="Z3858">
        <v>4.6232639999999998E-2</v>
      </c>
      <c r="AA3858">
        <v>0.9987338</v>
      </c>
      <c r="AB3858">
        <v>25</v>
      </c>
      <c r="AC3858">
        <v>-0.83430000000001303</v>
      </c>
      <c r="AD3858">
        <v>-1.120018670498</v>
      </c>
      <c r="AE3858">
        <v>-19.771799999999899</v>
      </c>
      <c r="AF3858">
        <v>0.39693459240745399</v>
      </c>
      <c r="AG3858">
        <v>-1.120018670498</v>
      </c>
      <c r="AH3858">
        <v>19.722213224172702</v>
      </c>
      <c r="AI3858">
        <v>93.249662557666198</v>
      </c>
      <c r="AJ3858">
        <v>88.847005322987599</v>
      </c>
      <c r="AK3858">
        <v>19.7579779672072</v>
      </c>
      <c r="AL3858">
        <v>97.285223214722194</v>
      </c>
      <c r="AM3858">
        <v>85.479823318898497</v>
      </c>
      <c r="AN3858">
        <v>1.00000006880827</v>
      </c>
    </row>
    <row r="3859" spans="1:40" x14ac:dyDescent="0.25">
      <c r="A3859" t="str">
        <f>"20190303154549407"</f>
        <v>20190303154549407</v>
      </c>
      <c r="B3859" t="str">
        <f>"1551599149394501"</f>
        <v>1551599149394501</v>
      </c>
      <c r="C3859" t="s">
        <v>40</v>
      </c>
      <c r="D3859">
        <v>4.9998809999999896</v>
      </c>
      <c r="E3859">
        <v>0.4781011</v>
      </c>
      <c r="F3859" t="s">
        <v>41</v>
      </c>
      <c r="G3859">
        <v>-192.4837</v>
      </c>
      <c r="H3859" s="1">
        <v>-1.5810950000000001E-6</v>
      </c>
      <c r="I3859">
        <v>161.5384</v>
      </c>
      <c r="J3859">
        <v>-191.65350000000001</v>
      </c>
      <c r="K3859">
        <v>1.1200650000000001</v>
      </c>
      <c r="L3859">
        <v>181.249</v>
      </c>
      <c r="M3859">
        <v>-2.2625369999999999E-2</v>
      </c>
      <c r="N3859">
        <v>-1.006459E-2</v>
      </c>
      <c r="O3859">
        <v>-0.99969330000000001</v>
      </c>
      <c r="P3859">
        <v>-0.101007</v>
      </c>
      <c r="Q3859">
        <v>-0.13586679999999901</v>
      </c>
      <c r="R3859">
        <v>-0.98556480000000002</v>
      </c>
      <c r="S3859">
        <v>-0.1260223</v>
      </c>
      <c r="T3859">
        <v>-0.16875179999999901</v>
      </c>
      <c r="U3859">
        <v>-3.00766</v>
      </c>
      <c r="V3859">
        <v>7.8556650000000006E-2</v>
      </c>
      <c r="W3859">
        <v>-0.125998</v>
      </c>
      <c r="X3859">
        <v>0.98891530000000005</v>
      </c>
      <c r="Y3859">
        <v>1.9195759999999999E-2</v>
      </c>
      <c r="Z3859">
        <v>4.5921240000000002E-2</v>
      </c>
      <c r="AA3859">
        <v>0.9987606</v>
      </c>
      <c r="AB3859">
        <v>25</v>
      </c>
      <c r="AC3859">
        <v>-0.83019999999998995</v>
      </c>
      <c r="AD3859">
        <v>-1.1200665810949999</v>
      </c>
      <c r="AE3859">
        <v>-19.710599999999999</v>
      </c>
      <c r="AF3859">
        <v>0.38277139232032098</v>
      </c>
      <c r="AG3859">
        <v>-1.1200665810949999</v>
      </c>
      <c r="AH3859">
        <v>19.660962644030501</v>
      </c>
      <c r="AI3859">
        <v>93.259946040115693</v>
      </c>
      <c r="AJ3859">
        <v>88.884672358469302</v>
      </c>
      <c r="AK3859">
        <v>19.6965609986826</v>
      </c>
      <c r="AL3859">
        <v>97.238392249560604</v>
      </c>
      <c r="AM3859">
        <v>85.458121890466103</v>
      </c>
      <c r="AN3859">
        <v>1.00000005691865</v>
      </c>
    </row>
    <row r="3860" spans="1:40" x14ac:dyDescent="0.25">
      <c r="A3860" t="str">
        <f>"20190303154549427"</f>
        <v>20190303154549427</v>
      </c>
      <c r="B3860" t="str">
        <f>"1551599149424758"</f>
        <v>1551599149424758</v>
      </c>
      <c r="C3860" t="s">
        <v>40</v>
      </c>
      <c r="D3860">
        <v>5.0179660000000004</v>
      </c>
      <c r="E3860">
        <v>0.47797899999999999</v>
      </c>
      <c r="F3860" t="s">
        <v>41</v>
      </c>
      <c r="G3860">
        <v>-192.51050000000001</v>
      </c>
      <c r="H3860" s="1">
        <v>-1.4009969999999999E-6</v>
      </c>
      <c r="I3860">
        <v>161.14230000000001</v>
      </c>
      <c r="J3860">
        <v>-191.65950000000001</v>
      </c>
      <c r="K3860">
        <v>1.1201030000000001</v>
      </c>
      <c r="L3860">
        <v>181.01240000000001</v>
      </c>
      <c r="M3860">
        <v>-2.3167110000000001E-2</v>
      </c>
      <c r="N3860">
        <v>-1.0509360000000001E-2</v>
      </c>
      <c r="O3860">
        <v>-0.99967660000000003</v>
      </c>
      <c r="P3860">
        <v>-0.1019531</v>
      </c>
      <c r="Q3860">
        <v>-0.13586679999999901</v>
      </c>
      <c r="R3860">
        <v>-0.9854678</v>
      </c>
      <c r="S3860">
        <v>-0.12820429999999999</v>
      </c>
      <c r="T3860">
        <v>-0.16754769999999999</v>
      </c>
      <c r="U3860">
        <v>-3.0077060000000002</v>
      </c>
      <c r="V3860">
        <v>7.8969010000000006E-2</v>
      </c>
      <c r="W3860">
        <v>-0.12555930000000001</v>
      </c>
      <c r="X3860">
        <v>0.98893819999999999</v>
      </c>
      <c r="Y3860">
        <v>1.9377780000000001E-2</v>
      </c>
      <c r="Z3860">
        <v>4.5076190000000002E-2</v>
      </c>
      <c r="AA3860">
        <v>0.99879560000000001</v>
      </c>
      <c r="AB3860">
        <v>25</v>
      </c>
      <c r="AC3860">
        <v>-0.85099999999999898</v>
      </c>
      <c r="AD3860">
        <v>-1.120104400997</v>
      </c>
      <c r="AE3860">
        <v>-19.870100000000001</v>
      </c>
      <c r="AF3860">
        <v>0.38917902238372598</v>
      </c>
      <c r="AG3860">
        <v>-1.120104400997</v>
      </c>
      <c r="AH3860">
        <v>19.821610313744099</v>
      </c>
      <c r="AI3860">
        <v>93.233680054693195</v>
      </c>
      <c r="AJ3860">
        <v>88.8751947770036</v>
      </c>
      <c r="AK3860">
        <v>19.857047353786601</v>
      </c>
      <c r="AL3860">
        <v>97.213055767044096</v>
      </c>
      <c r="AM3860">
        <v>85.434486447967402</v>
      </c>
      <c r="AN3860">
        <v>1.00000000288805</v>
      </c>
    </row>
    <row r="3861" spans="1:40" x14ac:dyDescent="0.25">
      <c r="A3861" t="str">
        <f>"20190303154549452"</f>
        <v>20190303154549452</v>
      </c>
      <c r="B3861" t="str">
        <f>"1551599149445254"</f>
        <v>1551599149445254</v>
      </c>
      <c r="C3861" t="s">
        <v>40</v>
      </c>
      <c r="D3861">
        <v>5.0381999999999998</v>
      </c>
      <c r="E3861">
        <v>0.47787600000000002</v>
      </c>
      <c r="F3861" t="s">
        <v>41</v>
      </c>
      <c r="G3861">
        <v>-192.53110000000001</v>
      </c>
      <c r="H3861" s="1">
        <v>-1.278689E-6</v>
      </c>
      <c r="I3861">
        <v>160.87190000000001</v>
      </c>
      <c r="J3861">
        <v>-191.66650000000001</v>
      </c>
      <c r="K3861">
        <v>1.120134</v>
      </c>
      <c r="L3861">
        <v>180.74299999999999</v>
      </c>
      <c r="M3861">
        <v>-2.378363E-2</v>
      </c>
      <c r="N3861">
        <v>-1.0965900000000001E-2</v>
      </c>
      <c r="O3861">
        <v>-0.99965729999999997</v>
      </c>
      <c r="P3861">
        <v>-0.10316500000000001</v>
      </c>
      <c r="Q3861">
        <v>-0.13559099999999999</v>
      </c>
      <c r="R3861">
        <v>-0.98537969999999997</v>
      </c>
      <c r="S3861">
        <v>-0.130172699999999</v>
      </c>
      <c r="T3861">
        <v>-0.16727259999999999</v>
      </c>
      <c r="U3861">
        <v>-3.0077060000000002</v>
      </c>
      <c r="V3861">
        <v>7.9573740000000004E-2</v>
      </c>
      <c r="W3861">
        <v>-0.124833</v>
      </c>
      <c r="X3861">
        <v>0.98898169999999996</v>
      </c>
      <c r="Y3861">
        <v>1.9414239999999999E-2</v>
      </c>
      <c r="Z3861">
        <v>4.4527520000000001E-2</v>
      </c>
      <c r="AA3861">
        <v>0.99881949999999997</v>
      </c>
      <c r="AB3861">
        <v>25</v>
      </c>
      <c r="AC3861">
        <v>-0.86459999999999504</v>
      </c>
      <c r="AD3861">
        <v>-1.120135278689</v>
      </c>
      <c r="AE3861">
        <v>-19.871099999999899</v>
      </c>
      <c r="AF3861">
        <v>0.39048179686256901</v>
      </c>
      <c r="AG3861">
        <v>-1.120135278689</v>
      </c>
      <c r="AH3861">
        <v>19.823172151333399</v>
      </c>
      <c r="AI3861">
        <v>93.233510694066496</v>
      </c>
      <c r="AJ3861">
        <v>88.871519365652503</v>
      </c>
      <c r="AK3861">
        <v>19.858633719811699</v>
      </c>
      <c r="AL3861">
        <v>97.171111628239402</v>
      </c>
      <c r="AM3861">
        <v>85.399875566232893</v>
      </c>
      <c r="AN3861">
        <v>1.0000000304607299</v>
      </c>
    </row>
    <row r="3862" spans="1:40" x14ac:dyDescent="0.25">
      <c r="A3862" t="str">
        <f>"20190303154549473"</f>
        <v>20190303154549473</v>
      </c>
      <c r="B3862" t="str">
        <f>"1551599149464774"</f>
        <v>1551599149464774</v>
      </c>
      <c r="C3862" t="s">
        <v>40</v>
      </c>
      <c r="D3862">
        <v>5.0712859999999997</v>
      </c>
      <c r="E3862">
        <v>0.47781059999999997</v>
      </c>
      <c r="F3862" t="s">
        <v>41</v>
      </c>
      <c r="G3862">
        <v>-192.5616</v>
      </c>
      <c r="H3862" s="1">
        <v>-1.11642999999999E-6</v>
      </c>
      <c r="I3862">
        <v>160.51159999999999</v>
      </c>
      <c r="J3862">
        <v>-191.6728</v>
      </c>
      <c r="K3862">
        <v>1.120161</v>
      </c>
      <c r="L3862">
        <v>180.50200000000001</v>
      </c>
      <c r="M3862">
        <v>-2.433826E-2</v>
      </c>
      <c r="N3862">
        <v>-1.132852E-2</v>
      </c>
      <c r="O3862">
        <v>-0.99963990000000003</v>
      </c>
      <c r="P3862">
        <v>-0.10399120000000001</v>
      </c>
      <c r="Q3862">
        <v>-0.135813299999999</v>
      </c>
      <c r="R3862">
        <v>-0.98526230000000004</v>
      </c>
      <c r="S3862">
        <v>-0.13307189999999999</v>
      </c>
      <c r="T3862">
        <v>-0.16652359999999999</v>
      </c>
      <c r="U3862">
        <v>-3.0076900000000002</v>
      </c>
      <c r="V3862">
        <v>7.9855049999999997E-2</v>
      </c>
      <c r="W3862">
        <v>-0.12469719999999999</v>
      </c>
      <c r="X3862">
        <v>0.98897610000000002</v>
      </c>
      <c r="Y3862">
        <v>1.982138E-2</v>
      </c>
      <c r="Z3862">
        <v>4.3915709999999997E-2</v>
      </c>
      <c r="AA3862">
        <v>0.99883860000000002</v>
      </c>
      <c r="AB3862">
        <v>25</v>
      </c>
      <c r="AC3862">
        <v>-0.88880000000000303</v>
      </c>
      <c r="AD3862">
        <v>-1.12016211643</v>
      </c>
      <c r="AE3862">
        <v>-19.990400000000001</v>
      </c>
      <c r="AF3862">
        <v>0.40071831947384101</v>
      </c>
      <c r="AG3862">
        <v>-1.12016211643</v>
      </c>
      <c r="AH3862">
        <v>19.943613094244999</v>
      </c>
      <c r="AI3862">
        <v>93.2140760410105</v>
      </c>
      <c r="AJ3862">
        <v>88.848935774332006</v>
      </c>
      <c r="AK3862">
        <v>19.979065083020899</v>
      </c>
      <c r="AL3862">
        <v>97.1632699962299</v>
      </c>
      <c r="AM3862">
        <v>85.3836572910961</v>
      </c>
      <c r="AN3862">
        <v>0.99999997353477499</v>
      </c>
    </row>
    <row r="3863" spans="1:40" x14ac:dyDescent="0.25">
      <c r="A3863" t="str">
        <f>"20190303154549498"</f>
        <v>20190303154549498</v>
      </c>
      <c r="B3863" t="str">
        <f>"1551599149495029"</f>
        <v>1551599149495029</v>
      </c>
      <c r="C3863" t="s">
        <v>40</v>
      </c>
      <c r="D3863">
        <v>5.0632529999999996</v>
      </c>
      <c r="E3863">
        <v>0.47516609999999998</v>
      </c>
      <c r="F3863" t="s">
        <v>41</v>
      </c>
      <c r="G3863">
        <v>-192.57570000000001</v>
      </c>
      <c r="H3863" s="1">
        <v>-1.052667E-6</v>
      </c>
      <c r="I3863">
        <v>160.36869999999999</v>
      </c>
      <c r="J3863">
        <v>-191.68</v>
      </c>
      <c r="K3863">
        <v>1.120188</v>
      </c>
      <c r="L3863">
        <v>180.2364</v>
      </c>
      <c r="M3863">
        <v>-2.4952660000000002E-2</v>
      </c>
      <c r="N3863">
        <v>-1.1681209999999999E-2</v>
      </c>
      <c r="O3863">
        <v>-0.99962079999999998</v>
      </c>
      <c r="P3863">
        <v>-0.1046999</v>
      </c>
      <c r="Q3863">
        <v>-0.13580900000000001</v>
      </c>
      <c r="R3863">
        <v>-0.98518760000000005</v>
      </c>
      <c r="S3863">
        <v>-0.1348724</v>
      </c>
      <c r="T3863">
        <v>-0.16733190000000001</v>
      </c>
      <c r="U3863">
        <v>-3.0075530000000001</v>
      </c>
      <c r="V3863">
        <v>7.9959580000000002E-2</v>
      </c>
      <c r="W3863">
        <v>-0.12434389999999899</v>
      </c>
      <c r="X3863">
        <v>0.98901220000000001</v>
      </c>
      <c r="Y3863">
        <v>1.9805440000000001E-2</v>
      </c>
      <c r="Z3863">
        <v>4.3831719999999998E-2</v>
      </c>
      <c r="AA3863">
        <v>0.99884260000000002</v>
      </c>
      <c r="AB3863">
        <v>25</v>
      </c>
      <c r="AC3863">
        <v>-0.89570000000000505</v>
      </c>
      <c r="AD3863">
        <v>-1.120189052667</v>
      </c>
      <c r="AE3863">
        <v>-19.867699999999999</v>
      </c>
      <c r="AF3863">
        <v>0.39837164212813297</v>
      </c>
      <c r="AG3863">
        <v>-1.120189052667</v>
      </c>
      <c r="AH3863">
        <v>19.820981997909001</v>
      </c>
      <c r="AI3863">
        <v>93.233996455134701</v>
      </c>
      <c r="AJ3863">
        <v>88.848596848606704</v>
      </c>
      <c r="AK3863">
        <v>19.8566072338756</v>
      </c>
      <c r="AL3863">
        <v>97.142868166050306</v>
      </c>
      <c r="AM3863">
        <v>85.377808672079794</v>
      </c>
      <c r="AN3863">
        <v>1.0000000358249099</v>
      </c>
    </row>
    <row r="3864" spans="1:40" x14ac:dyDescent="0.25">
      <c r="A3864" t="str">
        <f>"20190303154549520"</f>
        <v>20190303154549520</v>
      </c>
      <c r="B3864" t="str">
        <f>"1551599149514549"</f>
        <v>1551599149514549</v>
      </c>
      <c r="C3864" t="s">
        <v>40</v>
      </c>
      <c r="D3864">
        <v>5.1169310000000001</v>
      </c>
      <c r="E3864">
        <v>0.47547050000000002</v>
      </c>
      <c r="F3864" t="s">
        <v>41</v>
      </c>
      <c r="G3864">
        <v>-192.43969999999999</v>
      </c>
      <c r="H3864" s="1">
        <v>-1.106909E-6</v>
      </c>
      <c r="I3864">
        <v>160.56</v>
      </c>
      <c r="J3864">
        <v>-191.68680000000001</v>
      </c>
      <c r="K3864">
        <v>1.120204</v>
      </c>
      <c r="L3864">
        <v>179.9907</v>
      </c>
      <c r="M3864">
        <v>-2.5521459999999999E-2</v>
      </c>
      <c r="N3864">
        <v>-1.196673E-2</v>
      </c>
      <c r="O3864">
        <v>-0.99960269999999996</v>
      </c>
      <c r="P3864">
        <v>-0.1047525</v>
      </c>
      <c r="Q3864">
        <v>-0.13568649999999999</v>
      </c>
      <c r="R3864">
        <v>-0.98519860000000004</v>
      </c>
      <c r="S3864">
        <v>-0.1161804</v>
      </c>
      <c r="T3864">
        <v>-0.1713132</v>
      </c>
      <c r="U3864">
        <v>-3.0091549999999998</v>
      </c>
      <c r="V3864">
        <v>7.945112E-2</v>
      </c>
      <c r="W3864">
        <v>-0.12393709999999999</v>
      </c>
      <c r="X3864">
        <v>0.98910419999999999</v>
      </c>
      <c r="Y3864">
        <v>1.301919E-2</v>
      </c>
      <c r="Z3864">
        <v>4.4841810000000003E-2</v>
      </c>
      <c r="AA3864">
        <v>0.99890919999999905</v>
      </c>
      <c r="AB3864">
        <v>25</v>
      </c>
      <c r="AC3864">
        <v>-0.75289999999998203</v>
      </c>
      <c r="AD3864">
        <v>-1.120205106909</v>
      </c>
      <c r="AE3864">
        <v>-19.430700000000002</v>
      </c>
      <c r="AF3864">
        <v>0.25587025461810498</v>
      </c>
      <c r="AG3864">
        <v>-1.120205106909</v>
      </c>
      <c r="AH3864">
        <v>19.379272709858299</v>
      </c>
      <c r="AI3864">
        <v>93.307972801943606</v>
      </c>
      <c r="AJ3864">
        <v>89.243550874865605</v>
      </c>
      <c r="AK3864">
        <v>19.413308317538299</v>
      </c>
      <c r="AL3864">
        <v>97.119378786367193</v>
      </c>
      <c r="AM3864">
        <v>85.4075002388375</v>
      </c>
      <c r="AN3864">
        <v>1.0000000018416499</v>
      </c>
    </row>
    <row r="3865" spans="1:40" x14ac:dyDescent="0.25">
      <c r="A3865" t="str">
        <f>"20190303154549540"</f>
        <v>20190303154549540</v>
      </c>
      <c r="B3865" t="str">
        <f>"1551599149535047"</f>
        <v>1551599149535047</v>
      </c>
      <c r="C3865" t="s">
        <v>40</v>
      </c>
      <c r="D3865">
        <v>5.0885230000000004</v>
      </c>
      <c r="E3865">
        <v>0.4756456</v>
      </c>
      <c r="F3865" t="s">
        <v>41</v>
      </c>
      <c r="G3865">
        <v>-192.45920000000001</v>
      </c>
      <c r="H3865" s="1">
        <v>-1.0607169999999999E-6</v>
      </c>
      <c r="I3865">
        <v>160.4513</v>
      </c>
      <c r="J3865">
        <v>-191.6936</v>
      </c>
      <c r="K3865">
        <v>1.1202219999999901</v>
      </c>
      <c r="L3865">
        <v>179.749</v>
      </c>
      <c r="M3865">
        <v>-2.6079620000000001E-2</v>
      </c>
      <c r="N3865">
        <v>-1.2213150000000001E-2</v>
      </c>
      <c r="O3865">
        <v>-0.99958530000000001</v>
      </c>
      <c r="P3865">
        <v>-0.10500230000000001</v>
      </c>
      <c r="Q3865">
        <v>-0.13538310000000001</v>
      </c>
      <c r="R3865">
        <v>-0.98521380000000003</v>
      </c>
      <c r="S3865">
        <v>-0.118927</v>
      </c>
      <c r="T3865">
        <v>-0.17249</v>
      </c>
      <c r="U3865">
        <v>-3.0086819999999999</v>
      </c>
      <c r="V3865">
        <v>7.914997E-2</v>
      </c>
      <c r="W3865">
        <v>-0.1233886</v>
      </c>
      <c r="X3865">
        <v>0.98919690000000005</v>
      </c>
      <c r="Y3865">
        <v>1.337675E-2</v>
      </c>
      <c r="Z3865">
        <v>4.4991660000000003E-2</v>
      </c>
      <c r="AA3865">
        <v>0.99889779999999995</v>
      </c>
      <c r="AB3865">
        <v>25</v>
      </c>
      <c r="AC3865">
        <v>-0.76560000000000605</v>
      </c>
      <c r="AD3865">
        <v>-1.1202230607169901</v>
      </c>
      <c r="AE3865">
        <v>-19.297699999999999</v>
      </c>
      <c r="AF3865">
        <v>0.261146738301887</v>
      </c>
      <c r="AG3865">
        <v>-1.1202230607169901</v>
      </c>
      <c r="AH3865">
        <v>19.246349815057499</v>
      </c>
      <c r="AI3865">
        <v>93.330804721326203</v>
      </c>
      <c r="AJ3865">
        <v>89.222622058792197</v>
      </c>
      <c r="AK3865">
        <v>19.2806918581324</v>
      </c>
      <c r="AL3865">
        <v>97.087709077851201</v>
      </c>
      <c r="AM3865">
        <v>85.425260450047404</v>
      </c>
      <c r="AN3865">
        <v>0.99999998566528503</v>
      </c>
    </row>
    <row r="3866" spans="1:40" x14ac:dyDescent="0.25">
      <c r="A3866" t="str">
        <f>"20190303154549562"</f>
        <v>20190303154549562</v>
      </c>
      <c r="B3866" t="str">
        <f>"1551599149554566"</f>
        <v>1551599149554566</v>
      </c>
      <c r="C3866" t="s">
        <v>40</v>
      </c>
      <c r="D3866">
        <v>5.1120109999999999</v>
      </c>
      <c r="E3866">
        <v>0.47574060000000001</v>
      </c>
      <c r="F3866" t="s">
        <v>41</v>
      </c>
      <c r="G3866">
        <v>-192.47550000000001</v>
      </c>
      <c r="H3866" s="1">
        <v>-1.0057660000000001E-6</v>
      </c>
      <c r="I3866">
        <v>160.32589999999999</v>
      </c>
      <c r="J3866">
        <v>-191.7003</v>
      </c>
      <c r="K3866">
        <v>1.120234</v>
      </c>
      <c r="L3866">
        <v>179.51650000000001</v>
      </c>
      <c r="M3866">
        <v>-2.661517E-2</v>
      </c>
      <c r="N3866">
        <v>-1.2419619999999999E-2</v>
      </c>
      <c r="O3866">
        <v>-0.99956880000000004</v>
      </c>
      <c r="P3866">
        <v>-0.1048429</v>
      </c>
      <c r="Q3866">
        <v>-0.13514089999999901</v>
      </c>
      <c r="R3866">
        <v>-0.98526409999999998</v>
      </c>
      <c r="S3866">
        <v>-0.1210938</v>
      </c>
      <c r="T3866">
        <v>-0.1735014</v>
      </c>
      <c r="U3866">
        <v>-3.00827</v>
      </c>
      <c r="V3866">
        <v>7.8460859999999993E-2</v>
      </c>
      <c r="W3866">
        <v>-0.1229401</v>
      </c>
      <c r="X3866">
        <v>0.98930759999999995</v>
      </c>
      <c r="Y3866">
        <v>1.356422E-2</v>
      </c>
      <c r="Z3866">
        <v>4.5125859999999997E-2</v>
      </c>
      <c r="AA3866">
        <v>0.99888920000000003</v>
      </c>
      <c r="AB3866">
        <v>25</v>
      </c>
      <c r="AC3866">
        <v>-0.77520000000001199</v>
      </c>
      <c r="AD3866">
        <v>-1.120235005766</v>
      </c>
      <c r="AE3866">
        <v>-19.1906</v>
      </c>
      <c r="AF3866">
        <v>0.263229466387572</v>
      </c>
      <c r="AG3866">
        <v>-1.120235005766</v>
      </c>
      <c r="AH3866">
        <v>19.139322626617599</v>
      </c>
      <c r="AI3866">
        <v>93.349415514206797</v>
      </c>
      <c r="AJ3866">
        <v>89.212041777414299</v>
      </c>
      <c r="AK3866">
        <v>19.1738855432558</v>
      </c>
      <c r="AL3866">
        <v>97.061815013786202</v>
      </c>
      <c r="AM3866">
        <v>85.465428358056101</v>
      </c>
      <c r="AN3866">
        <v>0.99999995107885298</v>
      </c>
    </row>
    <row r="3867" spans="1:40" x14ac:dyDescent="0.25">
      <c r="A3867" t="str">
        <f>"20190303154549584"</f>
        <v>20190303154549584</v>
      </c>
      <c r="B3867" t="str">
        <f>"1551599149575062"</f>
        <v>1551599149575062</v>
      </c>
      <c r="C3867" t="s">
        <v>40</v>
      </c>
      <c r="D3867">
        <v>5.119497</v>
      </c>
      <c r="E3867">
        <v>0.47572930000000002</v>
      </c>
      <c r="F3867" t="s">
        <v>41</v>
      </c>
      <c r="G3867">
        <v>-192.49260000000001</v>
      </c>
      <c r="H3867" s="1">
        <v>-7.9224159999999898E-7</v>
      </c>
      <c r="I3867">
        <v>159.86449999999999</v>
      </c>
      <c r="J3867">
        <v>-191.70750000000001</v>
      </c>
      <c r="K3867">
        <v>1.120244</v>
      </c>
      <c r="L3867">
        <v>179.27090000000001</v>
      </c>
      <c r="M3867">
        <v>-2.7180039999999999E-2</v>
      </c>
      <c r="N3867">
        <v>-1.2609820000000001E-2</v>
      </c>
      <c r="O3867">
        <v>-0.99955110000000003</v>
      </c>
      <c r="P3867">
        <v>-0.1048876</v>
      </c>
      <c r="Q3867">
        <v>-0.13576750000000001</v>
      </c>
      <c r="R3867">
        <v>-0.98517319999999997</v>
      </c>
      <c r="S3867">
        <v>-0.1212921</v>
      </c>
      <c r="T3867">
        <v>-0.17149159999999999</v>
      </c>
      <c r="U3867">
        <v>-3.0084230000000001</v>
      </c>
      <c r="V3867">
        <v>7.7949779999999996E-2</v>
      </c>
      <c r="W3867">
        <v>-0.1233783</v>
      </c>
      <c r="X3867">
        <v>0.98929350000000005</v>
      </c>
      <c r="Y3867">
        <v>1.306452E-2</v>
      </c>
      <c r="Z3867">
        <v>4.4267479999999998E-2</v>
      </c>
      <c r="AA3867">
        <v>0.99893430000000005</v>
      </c>
      <c r="AB3867">
        <v>25</v>
      </c>
      <c r="AC3867">
        <v>-0.78509999999999902</v>
      </c>
      <c r="AD3867">
        <v>-1.1202447922415999</v>
      </c>
      <c r="AE3867">
        <v>-19.406400000000001</v>
      </c>
      <c r="AF3867">
        <v>0.25644812686624102</v>
      </c>
      <c r="AG3867">
        <v>-1.1202447922415999</v>
      </c>
      <c r="AH3867">
        <v>19.3561760187971</v>
      </c>
      <c r="AI3867">
        <v>93.312026324029603</v>
      </c>
      <c r="AJ3867">
        <v>89.2409381025371</v>
      </c>
      <c r="AK3867">
        <v>19.390262094849898</v>
      </c>
      <c r="AL3867">
        <v>97.087114277179595</v>
      </c>
      <c r="AM3867">
        <v>85.494779808662301</v>
      </c>
      <c r="AN3867">
        <v>1.00000000112759</v>
      </c>
    </row>
    <row r="3868" spans="1:40" x14ac:dyDescent="0.25">
      <c r="A3868" t="str">
        <f>"20190303154549606"</f>
        <v>20190303154549606</v>
      </c>
      <c r="B3868" t="str">
        <f>"1551599149594582"</f>
        <v>1551599149594582</v>
      </c>
      <c r="C3868" t="s">
        <v>40</v>
      </c>
      <c r="D3868">
        <v>5.1348029999999998</v>
      </c>
      <c r="E3868">
        <v>0.4756898</v>
      </c>
      <c r="F3868" t="s">
        <v>41</v>
      </c>
      <c r="G3868">
        <v>-192.49850000000001</v>
      </c>
      <c r="H3868" s="1">
        <v>-7.0810400000000005E-7</v>
      </c>
      <c r="I3868">
        <v>159.6832</v>
      </c>
      <c r="J3868">
        <v>-191.7149</v>
      </c>
      <c r="K3868">
        <v>1.120252</v>
      </c>
      <c r="L3868">
        <v>179.02699999999999</v>
      </c>
      <c r="M3868">
        <v>-2.7741370000000001E-2</v>
      </c>
      <c r="N3868">
        <v>-1.2774260000000001E-2</v>
      </c>
      <c r="O3868">
        <v>-0.99953349999999996</v>
      </c>
      <c r="P3868">
        <v>-0.10546759999999999</v>
      </c>
      <c r="Q3868">
        <v>-0.13597409999999999</v>
      </c>
      <c r="R3868">
        <v>-0.98508260000000003</v>
      </c>
      <c r="S3868">
        <v>-0.1214905</v>
      </c>
      <c r="T3868">
        <v>-0.17206009999999999</v>
      </c>
      <c r="U3868">
        <v>-3.008499</v>
      </c>
      <c r="V3868">
        <v>7.7977630000000006E-2</v>
      </c>
      <c r="W3868">
        <v>-0.1234224</v>
      </c>
      <c r="X3868">
        <v>0.98928579999999999</v>
      </c>
      <c r="Y3868">
        <v>1.2567729999999999E-2</v>
      </c>
      <c r="Z3868">
        <v>4.428874E-2</v>
      </c>
      <c r="AA3868">
        <v>0.99893969999999999</v>
      </c>
      <c r="AB3868">
        <v>25</v>
      </c>
      <c r="AC3868">
        <v>-0.78360000000000696</v>
      </c>
      <c r="AD3868">
        <v>-1.1202527081039999</v>
      </c>
      <c r="AE3868">
        <v>-19.343800000000002</v>
      </c>
      <c r="AF3868">
        <v>0.24580800174509199</v>
      </c>
      <c r="AG3868">
        <v>-1.1202527081039999</v>
      </c>
      <c r="AH3868">
        <v>19.2934917491927</v>
      </c>
      <c r="AI3868">
        <v>93.322808304370696</v>
      </c>
      <c r="AJ3868">
        <v>89.270064781151007</v>
      </c>
      <c r="AK3868">
        <v>19.327550584073101</v>
      </c>
      <c r="AL3868">
        <v>97.089660512314595</v>
      </c>
      <c r="AM3868">
        <v>85.493141873844905</v>
      </c>
      <c r="AN3868">
        <v>0.99999999684190799</v>
      </c>
    </row>
    <row r="3869" spans="1:40" x14ac:dyDescent="0.25">
      <c r="A3869" t="str">
        <f>"20190303154549629"</f>
        <v>20190303154549629</v>
      </c>
      <c r="B3869" t="str">
        <f>"1551599149624838"</f>
        <v>1551599149624838</v>
      </c>
      <c r="C3869" t="s">
        <v>40</v>
      </c>
      <c r="D3869">
        <v>5.2173759999999998</v>
      </c>
      <c r="E3869">
        <v>0.47499819999999998</v>
      </c>
      <c r="F3869" t="s">
        <v>61</v>
      </c>
      <c r="G3869">
        <v>-192.51230000000001</v>
      </c>
      <c r="H3869" s="1">
        <v>-1.4957890000000001E-5</v>
      </c>
      <c r="I3869">
        <v>159.5384</v>
      </c>
      <c r="J3869">
        <v>-191.7225</v>
      </c>
      <c r="K3869">
        <v>1.1202510000000001</v>
      </c>
      <c r="L3869">
        <v>178.7757</v>
      </c>
      <c r="M3869">
        <v>-2.8319810000000001E-2</v>
      </c>
      <c r="N3869">
        <v>-1.292109E-2</v>
      </c>
      <c r="O3869">
        <v>-0.99951559999999995</v>
      </c>
      <c r="P3869">
        <v>-0.10595830000000001</v>
      </c>
      <c r="Q3869">
        <v>-0.13628560000000001</v>
      </c>
      <c r="R3869">
        <v>-0.98498699999999995</v>
      </c>
      <c r="S3869">
        <v>-0.1230927</v>
      </c>
      <c r="T3869">
        <v>-0.17293140000000001</v>
      </c>
      <c r="U3869">
        <v>-3.0083769999999999</v>
      </c>
      <c r="V3869">
        <v>7.789952E-2</v>
      </c>
      <c r="W3869">
        <v>-0.1235887</v>
      </c>
      <c r="X3869">
        <v>0.98927120000000002</v>
      </c>
      <c r="Y3869">
        <v>1.252144E-2</v>
      </c>
      <c r="Z3869">
        <v>4.4430789999999998E-2</v>
      </c>
      <c r="AA3869">
        <v>0.99893399999999999</v>
      </c>
      <c r="AB3869">
        <v>25</v>
      </c>
      <c r="AC3869">
        <v>-0.78980000000001305</v>
      </c>
      <c r="AD3869">
        <v>-1.1202659578899901</v>
      </c>
      <c r="AE3869">
        <v>-19.237300000000001</v>
      </c>
      <c r="AF3869">
        <v>0.24381567615173</v>
      </c>
      <c r="AG3869">
        <v>-1.1202659578899901</v>
      </c>
      <c r="AH3869">
        <v>19.186994206443401</v>
      </c>
      <c r="AI3869">
        <v>93.341250738498402</v>
      </c>
      <c r="AJ3869">
        <v>89.271962183137902</v>
      </c>
      <c r="AK3869">
        <v>19.2212171461236</v>
      </c>
      <c r="AL3869">
        <v>97.099262257891397</v>
      </c>
      <c r="AM3869">
        <v>85.497571637380105</v>
      </c>
      <c r="AN3869">
        <v>1.0000000045666799</v>
      </c>
    </row>
    <row r="3870" spans="1:40" x14ac:dyDescent="0.25">
      <c r="A3870" t="str">
        <f>"20190303154549651"</f>
        <v>20190303154549651</v>
      </c>
      <c r="B3870" t="str">
        <f>"1551599149645335"</f>
        <v>1551599149645335</v>
      </c>
      <c r="C3870" t="s">
        <v>40</v>
      </c>
      <c r="D3870">
        <v>5.2652619999999999</v>
      </c>
      <c r="E3870">
        <v>0.47456589999999998</v>
      </c>
      <c r="F3870" t="s">
        <v>41</v>
      </c>
      <c r="G3870">
        <v>-192.43520000000001</v>
      </c>
      <c r="H3870" s="1">
        <v>-1.223767E-6</v>
      </c>
      <c r="I3870">
        <v>160.8098</v>
      </c>
      <c r="J3870">
        <v>-191.72989999999999</v>
      </c>
      <c r="K3870">
        <v>1.120263</v>
      </c>
      <c r="L3870">
        <v>178.53790000000001</v>
      </c>
      <c r="M3870">
        <v>-2.8864870000000001E-2</v>
      </c>
      <c r="N3870">
        <v>-1.3041550000000001E-2</v>
      </c>
      <c r="O3870">
        <v>-0.9994982</v>
      </c>
      <c r="P3870">
        <v>-0.10668320000000001</v>
      </c>
      <c r="Q3870">
        <v>-0.13651759999999999</v>
      </c>
      <c r="R3870">
        <v>-0.98487650000000004</v>
      </c>
      <c r="S3870">
        <v>-0.119278</v>
      </c>
      <c r="T3870">
        <v>-0.187497</v>
      </c>
      <c r="U3870">
        <v>-3.006958</v>
      </c>
      <c r="V3870">
        <v>7.8089329999999998E-2</v>
      </c>
      <c r="W3870">
        <v>-0.1237019</v>
      </c>
      <c r="X3870">
        <v>0.98924210000000001</v>
      </c>
      <c r="Y3870">
        <v>1.072177E-2</v>
      </c>
      <c r="Z3870">
        <v>4.9154400000000001E-2</v>
      </c>
      <c r="AA3870">
        <v>0.9987336</v>
      </c>
      <c r="AB3870">
        <v>25</v>
      </c>
      <c r="AC3870">
        <v>-0.70530000000002202</v>
      </c>
      <c r="AD3870">
        <v>-1.120264223767</v>
      </c>
      <c r="AE3870">
        <v>-17.728100000000001</v>
      </c>
      <c r="AF3870">
        <v>0.192475849185725</v>
      </c>
      <c r="AG3870">
        <v>-1.120264223767</v>
      </c>
      <c r="AH3870">
        <v>17.6706218870676</v>
      </c>
      <c r="AI3870">
        <v>93.627310618975699</v>
      </c>
      <c r="AJ3870">
        <v>89.375934940063999</v>
      </c>
      <c r="AK3870">
        <v>17.707143099870301</v>
      </c>
      <c r="AL3870">
        <v>97.105798198806099</v>
      </c>
      <c r="AM3870">
        <v>85.486514072407999</v>
      </c>
      <c r="AN3870">
        <v>1.00000001796793</v>
      </c>
    </row>
    <row r="3871" spans="1:40" x14ac:dyDescent="0.25">
      <c r="A3871" t="str">
        <f>"20190303154549673"</f>
        <v>20190303154549673</v>
      </c>
      <c r="B3871" t="str">
        <f>"1551599149664864"</f>
        <v>1551599149664864</v>
      </c>
      <c r="C3871" t="s">
        <v>40</v>
      </c>
      <c r="D3871">
        <v>5.2945159999999998</v>
      </c>
      <c r="E3871">
        <v>0.47412660000000001</v>
      </c>
      <c r="F3871" t="s">
        <v>41</v>
      </c>
      <c r="G3871">
        <v>-192.42269999999999</v>
      </c>
      <c r="H3871" s="1">
        <v>-1.2654559999999901E-6</v>
      </c>
      <c r="I3871">
        <v>160.905</v>
      </c>
      <c r="J3871">
        <v>-191.73779999999999</v>
      </c>
      <c r="K3871">
        <v>1.1202780000000001</v>
      </c>
      <c r="L3871">
        <v>178.28819999999999</v>
      </c>
      <c r="M3871">
        <v>-2.9432119999999999E-2</v>
      </c>
      <c r="N3871">
        <v>-1.315098E-2</v>
      </c>
      <c r="O3871">
        <v>-0.99948029999999999</v>
      </c>
      <c r="P3871">
        <v>-0.10754950000000001</v>
      </c>
      <c r="Q3871">
        <v>-0.13668540000000001</v>
      </c>
      <c r="R3871">
        <v>-0.9847593</v>
      </c>
      <c r="S3871">
        <v>-0.1181335</v>
      </c>
      <c r="T3871">
        <v>-0.1910299</v>
      </c>
      <c r="U3871">
        <v>-3.0068049999999999</v>
      </c>
      <c r="V3871">
        <v>7.8399410000000003E-2</v>
      </c>
      <c r="W3871">
        <v>-0.1237615</v>
      </c>
      <c r="X3871">
        <v>0.98921009999999998</v>
      </c>
      <c r="Y3871">
        <v>9.7749529999999994E-3</v>
      </c>
      <c r="Z3871">
        <v>5.0215250000000003E-2</v>
      </c>
      <c r="AA3871">
        <v>0.99869059999999998</v>
      </c>
      <c r="AB3871">
        <v>25</v>
      </c>
      <c r="AC3871">
        <v>-0.68489999999999895</v>
      </c>
      <c r="AD3871">
        <v>-1.1202792654559901</v>
      </c>
      <c r="AE3871">
        <v>-17.383199999999899</v>
      </c>
      <c r="AF3871">
        <v>0.17222040413692899</v>
      </c>
      <c r="AG3871">
        <v>-1.1202792654559901</v>
      </c>
      <c r="AH3871">
        <v>17.323987603466801</v>
      </c>
      <c r="AI3871">
        <v>93.699775672230601</v>
      </c>
      <c r="AJ3871">
        <v>89.4304326757063</v>
      </c>
      <c r="AK3871">
        <v>17.3610262365242</v>
      </c>
      <c r="AL3871">
        <v>97.109239605366596</v>
      </c>
      <c r="AM3871">
        <v>85.468520274203101</v>
      </c>
      <c r="AN3871">
        <v>0.999999999156304</v>
      </c>
    </row>
    <row r="3872" spans="1:40" x14ac:dyDescent="0.25">
      <c r="A3872" t="str">
        <f>"20190303154549697"</f>
        <v>20190303154549697</v>
      </c>
      <c r="B3872" t="str">
        <f>"1551599149685350"</f>
        <v>1551599149685350</v>
      </c>
      <c r="C3872" t="s">
        <v>40</v>
      </c>
      <c r="D3872">
        <v>5.1749340000000004</v>
      </c>
      <c r="E3872">
        <v>0.47415499999999999</v>
      </c>
      <c r="F3872" t="s">
        <v>41</v>
      </c>
      <c r="G3872">
        <v>-192.4041</v>
      </c>
      <c r="H3872" s="1">
        <v>-1.4278089999999999E-6</v>
      </c>
      <c r="I3872">
        <v>161.25890000000001</v>
      </c>
      <c r="J3872">
        <v>-191.74590000000001</v>
      </c>
      <c r="K3872">
        <v>1.1202920000000001</v>
      </c>
      <c r="L3872">
        <v>178.03489999999999</v>
      </c>
      <c r="M3872">
        <v>-2.9997800000000002E-2</v>
      </c>
      <c r="N3872">
        <v>-1.324635E-2</v>
      </c>
      <c r="O3872">
        <v>-0.99946239999999997</v>
      </c>
      <c r="P3872">
        <v>-0.1084277</v>
      </c>
      <c r="Q3872">
        <v>-0.1370422</v>
      </c>
      <c r="R3872">
        <v>-0.98461330000000002</v>
      </c>
      <c r="S3872">
        <v>-0.1176147</v>
      </c>
      <c r="T3872">
        <v>-0.1977602</v>
      </c>
      <c r="U3872">
        <v>-3.0061339999999999</v>
      </c>
      <c r="V3872">
        <v>7.8724730000000007E-2</v>
      </c>
      <c r="W3872">
        <v>-0.1240237</v>
      </c>
      <c r="X3872">
        <v>0.98915140000000001</v>
      </c>
      <c r="Y3872">
        <v>9.0415159999999994E-3</v>
      </c>
      <c r="Z3872">
        <v>5.2357300000000002E-2</v>
      </c>
      <c r="AA3872">
        <v>0.99858749999999996</v>
      </c>
      <c r="AB3872">
        <v>25</v>
      </c>
      <c r="AC3872">
        <v>-0.65819999999999301</v>
      </c>
      <c r="AD3872">
        <v>-1.120293427809</v>
      </c>
      <c r="AE3872">
        <v>-16.7759999999999</v>
      </c>
      <c r="AF3872">
        <v>0.15393118977725001</v>
      </c>
      <c r="AG3872">
        <v>-1.120293427809</v>
      </c>
      <c r="AH3872">
        <v>16.713774550330299</v>
      </c>
      <c r="AI3872">
        <v>93.834532165434396</v>
      </c>
      <c r="AJ3872">
        <v>89.472329955588194</v>
      </c>
      <c r="AK3872">
        <v>16.751985312041299</v>
      </c>
      <c r="AL3872">
        <v>97.124379360629106</v>
      </c>
      <c r="AM3872">
        <v>85.449526710887994</v>
      </c>
      <c r="AN3872">
        <v>0.99999997669861096</v>
      </c>
    </row>
    <row r="3873" spans="1:40" x14ac:dyDescent="0.25">
      <c r="A3873" t="str">
        <f>"20190303154549720"</f>
        <v>20190303154549720</v>
      </c>
      <c r="B3873" t="str">
        <f>"1551599149714630"</f>
        <v>1551599149714630</v>
      </c>
      <c r="C3873" t="s">
        <v>40</v>
      </c>
      <c r="D3873">
        <v>5.222181</v>
      </c>
      <c r="E3873">
        <v>0.47418480000000002</v>
      </c>
      <c r="F3873" t="s">
        <v>41</v>
      </c>
      <c r="G3873">
        <v>-192.43020000000001</v>
      </c>
      <c r="H3873" s="1">
        <v>-1.2963030000000001E-6</v>
      </c>
      <c r="I3873">
        <v>160.96600000000001</v>
      </c>
      <c r="J3873">
        <v>-191.7542</v>
      </c>
      <c r="K3873">
        <v>1.120317</v>
      </c>
      <c r="L3873">
        <v>177.77940000000001</v>
      </c>
      <c r="M3873">
        <v>-3.0551499999999999E-2</v>
      </c>
      <c r="N3873">
        <v>-1.3328980000000001E-2</v>
      </c>
      <c r="O3873">
        <v>-0.9994442</v>
      </c>
      <c r="P3873">
        <v>-0.1097075</v>
      </c>
      <c r="Q3873">
        <v>-0.1373162</v>
      </c>
      <c r="R3873">
        <v>-0.98443309999999995</v>
      </c>
      <c r="S3873">
        <v>-0.12051389999999999</v>
      </c>
      <c r="T3873">
        <v>-0.19730420000000001</v>
      </c>
      <c r="U3873">
        <v>-3.0061490000000002</v>
      </c>
      <c r="V3873">
        <v>7.9465830000000001E-2</v>
      </c>
      <c r="W3873">
        <v>-0.1242156</v>
      </c>
      <c r="X3873">
        <v>0.98906810000000001</v>
      </c>
      <c r="Y3873">
        <v>9.4490960000000006E-3</v>
      </c>
      <c r="Z3873">
        <v>5.2121170000000001E-2</v>
      </c>
      <c r="AA3873">
        <v>0.99859609999999999</v>
      </c>
      <c r="AB3873">
        <v>25</v>
      </c>
      <c r="AC3873">
        <v>-0.67600000000001603</v>
      </c>
      <c r="AD3873">
        <v>-1.1203182963030001</v>
      </c>
      <c r="AE3873">
        <v>-16.813400000000001</v>
      </c>
      <c r="AF3873">
        <v>0.16124932312104201</v>
      </c>
      <c r="AG3873">
        <v>-1.1203182963030001</v>
      </c>
      <c r="AH3873">
        <v>16.7519479654352</v>
      </c>
      <c r="AI3873">
        <v>93.825889959952804</v>
      </c>
      <c r="AJ3873">
        <v>89.448504713724901</v>
      </c>
      <c r="AK3873">
        <v>16.790142199096699</v>
      </c>
      <c r="AL3873">
        <v>97.135459795455304</v>
      </c>
      <c r="AM3873">
        <v>85.406486662259397</v>
      </c>
      <c r="AN3873">
        <v>1.00000001992927</v>
      </c>
    </row>
    <row r="3874" spans="1:40" x14ac:dyDescent="0.25">
      <c r="A3874" t="str">
        <f>"20190303154549740"</f>
        <v>20190303154549740</v>
      </c>
      <c r="B3874" t="str">
        <f>"1551599149735126"</f>
        <v>1551599149735126</v>
      </c>
      <c r="C3874" t="s">
        <v>40</v>
      </c>
      <c r="D3874">
        <v>5.2480949999999904</v>
      </c>
      <c r="E3874">
        <v>0.4740897</v>
      </c>
      <c r="F3874" t="s">
        <v>41</v>
      </c>
      <c r="G3874">
        <v>-192.46090000000001</v>
      </c>
      <c r="H3874" s="1">
        <v>-1.213971E-6</v>
      </c>
      <c r="I3874">
        <v>160.77449999999999</v>
      </c>
      <c r="J3874">
        <v>-191.76179999999999</v>
      </c>
      <c r="K3874">
        <v>1.1203430000000001</v>
      </c>
      <c r="L3874">
        <v>177.54939999999999</v>
      </c>
      <c r="M3874">
        <v>-3.1027820000000001E-2</v>
      </c>
      <c r="N3874">
        <v>-1.339272E-2</v>
      </c>
      <c r="O3874">
        <v>-0.99942900000000001</v>
      </c>
      <c r="P3874">
        <v>-0.1106791</v>
      </c>
      <c r="Q3874">
        <v>-0.1375799</v>
      </c>
      <c r="R3874">
        <v>-0.98428780000000005</v>
      </c>
      <c r="S3874">
        <v>-0.1249237</v>
      </c>
      <c r="T3874">
        <v>-0.1980344</v>
      </c>
      <c r="U3874">
        <v>-3.00589</v>
      </c>
      <c r="V3874">
        <v>7.9975450000000003E-2</v>
      </c>
      <c r="W3874">
        <v>-0.1244146</v>
      </c>
      <c r="X3874">
        <v>0.98900200000000005</v>
      </c>
      <c r="Y3874">
        <v>1.043755E-2</v>
      </c>
      <c r="Z3874">
        <v>5.2301149999999998E-2</v>
      </c>
      <c r="AA3874">
        <v>0.99857680000000004</v>
      </c>
      <c r="AB3874">
        <v>25</v>
      </c>
      <c r="AC3874">
        <v>-0.69910000000001504</v>
      </c>
      <c r="AD3874">
        <v>-1.120344213971</v>
      </c>
      <c r="AE3874">
        <v>-16.774899999999999</v>
      </c>
      <c r="AF3874">
        <v>0.17743809421191301</v>
      </c>
      <c r="AG3874">
        <v>-1.120344213971</v>
      </c>
      <c r="AH3874">
        <v>16.714091425079602</v>
      </c>
      <c r="AI3874">
        <v>93.834579704218498</v>
      </c>
      <c r="AJ3874">
        <v>89.391766398368404</v>
      </c>
      <c r="AK3874">
        <v>16.7525373481445</v>
      </c>
      <c r="AL3874">
        <v>97.146950860108007</v>
      </c>
      <c r="AM3874">
        <v>85.376847784274801</v>
      </c>
      <c r="AN3874">
        <v>1.00000001064993</v>
      </c>
    </row>
    <row r="3875" spans="1:40" x14ac:dyDescent="0.25">
      <c r="A3875" t="str">
        <f>"20190303154549763"</f>
        <v>20190303154549763</v>
      </c>
      <c r="B3875" t="str">
        <f>"1551599149754649"</f>
        <v>1551599149754649</v>
      </c>
      <c r="C3875" t="s">
        <v>40</v>
      </c>
      <c r="D3875">
        <v>5.4364679999999996</v>
      </c>
      <c r="E3875">
        <v>0.47402499999999997</v>
      </c>
      <c r="F3875" t="s">
        <v>41</v>
      </c>
      <c r="G3875">
        <v>-192.4777</v>
      </c>
      <c r="H3875" s="1">
        <v>-1.145122E-6</v>
      </c>
      <c r="I3875">
        <v>160.61940000000001</v>
      </c>
      <c r="J3875">
        <v>-191.77010000000001</v>
      </c>
      <c r="K3875">
        <v>1.1203780000000001</v>
      </c>
      <c r="L3875">
        <v>177.30330000000001</v>
      </c>
      <c r="M3875">
        <v>-3.150232E-2</v>
      </c>
      <c r="N3875">
        <v>-1.3451019999999999E-2</v>
      </c>
      <c r="O3875">
        <v>-0.99941340000000001</v>
      </c>
      <c r="P3875">
        <v>-0.11248370000000001</v>
      </c>
      <c r="Q3875">
        <v>-0.1381512</v>
      </c>
      <c r="R3875">
        <v>-0.98400319999999997</v>
      </c>
      <c r="S3875">
        <v>-0.12710569999999999</v>
      </c>
      <c r="T3875">
        <v>-0.1989089</v>
      </c>
      <c r="U3875">
        <v>-3.005798</v>
      </c>
      <c r="V3875">
        <v>8.1326109999999993E-2</v>
      </c>
      <c r="W3875">
        <v>-0.1249272</v>
      </c>
      <c r="X3875">
        <v>0.98882720000000002</v>
      </c>
      <c r="Y3875">
        <v>1.068697E-2</v>
      </c>
      <c r="Z3875">
        <v>5.2531630000000003E-2</v>
      </c>
      <c r="AA3875">
        <v>0.99856210000000001</v>
      </c>
      <c r="AB3875">
        <v>25</v>
      </c>
      <c r="AC3875">
        <v>-0.70759999999998502</v>
      </c>
      <c r="AD3875">
        <v>-1.120379145122</v>
      </c>
      <c r="AE3875">
        <v>-16.683899999999898</v>
      </c>
      <c r="AF3875">
        <v>0.180805861272538</v>
      </c>
      <c r="AG3875">
        <v>-1.120379145122</v>
      </c>
      <c r="AH3875">
        <v>16.623082673923399</v>
      </c>
      <c r="AI3875">
        <v>93.855619355739506</v>
      </c>
      <c r="AJ3875">
        <v>89.376830130003796</v>
      </c>
      <c r="AK3875">
        <v>16.661777149283601</v>
      </c>
      <c r="AL3875">
        <v>97.176551791898703</v>
      </c>
      <c r="AM3875">
        <v>85.298289747682603</v>
      </c>
      <c r="AN3875">
        <v>0.99999998646370503</v>
      </c>
    </row>
    <row r="3876" spans="1:40" x14ac:dyDescent="0.25">
      <c r="A3876" t="str">
        <f>"20190303154549785"</f>
        <v>20190303154549785</v>
      </c>
      <c r="B3876" t="str">
        <f>"1551599149775142"</f>
        <v>1551599149775142</v>
      </c>
      <c r="C3876" t="s">
        <v>40</v>
      </c>
      <c r="D3876">
        <v>5.3201510000000001</v>
      </c>
      <c r="E3876">
        <v>0.47414230000000002</v>
      </c>
      <c r="F3876" t="s">
        <v>41</v>
      </c>
      <c r="G3876">
        <v>-192.51</v>
      </c>
      <c r="H3876" s="1">
        <v>-1.1013599999999999E-6</v>
      </c>
      <c r="I3876">
        <v>160.5087</v>
      </c>
      <c r="J3876">
        <v>-191.7782</v>
      </c>
      <c r="K3876">
        <v>1.1204149999999999</v>
      </c>
      <c r="L3876">
        <v>177.06190000000001</v>
      </c>
      <c r="M3876">
        <v>-3.1928980000000003E-2</v>
      </c>
      <c r="N3876">
        <v>-1.350001E-2</v>
      </c>
      <c r="O3876">
        <v>-0.99939909999999998</v>
      </c>
      <c r="P3876">
        <v>-0.1136051</v>
      </c>
      <c r="Q3876">
        <v>-0.13863809999999999</v>
      </c>
      <c r="R3876">
        <v>-0.98380590000000001</v>
      </c>
      <c r="S3876">
        <v>-0.1324158</v>
      </c>
      <c r="T3876">
        <v>-0.20049990000000001</v>
      </c>
      <c r="U3876">
        <v>-3.0055079999999998</v>
      </c>
      <c r="V3876">
        <v>8.2040100000000005E-2</v>
      </c>
      <c r="W3876">
        <v>-0.12536230000000001</v>
      </c>
      <c r="X3876">
        <v>0.98871310000000001</v>
      </c>
      <c r="Y3876">
        <v>1.202316E-2</v>
      </c>
      <c r="Z3876">
        <v>5.3010830000000002E-2</v>
      </c>
      <c r="AA3876">
        <v>0.99852160000000001</v>
      </c>
      <c r="AB3876">
        <v>24</v>
      </c>
      <c r="AC3876">
        <v>-0.73179999999999201</v>
      </c>
      <c r="AD3876">
        <v>-1.12041610136</v>
      </c>
      <c r="AE3876">
        <v>-16.5532</v>
      </c>
      <c r="AF3876">
        <v>0.201928623989372</v>
      </c>
      <c r="AG3876">
        <v>-1.12041610136</v>
      </c>
      <c r="AH3876">
        <v>16.492714670155099</v>
      </c>
      <c r="AI3876">
        <v>93.886069986333197</v>
      </c>
      <c r="AJ3876">
        <v>89.298533922977995</v>
      </c>
      <c r="AK3876">
        <v>16.5319613053178</v>
      </c>
      <c r="AL3876">
        <v>97.201679063873399</v>
      </c>
      <c r="AM3876">
        <v>85.256654464998405</v>
      </c>
      <c r="AN3876">
        <v>0.99999993919045305</v>
      </c>
    </row>
    <row r="3877" spans="1:40" x14ac:dyDescent="0.25">
      <c r="A3877" t="str">
        <f>"20190303154549807"</f>
        <v>20190303154549807</v>
      </c>
      <c r="B3877" t="str">
        <f>"1551599149804422"</f>
        <v>1551599149804422</v>
      </c>
      <c r="C3877" t="s">
        <v>40</v>
      </c>
      <c r="D3877">
        <v>5.2015469999999997</v>
      </c>
      <c r="E3877">
        <v>0.50789129999999905</v>
      </c>
      <c r="F3877" t="s">
        <v>41</v>
      </c>
      <c r="G3877">
        <v>-192.54519999999999</v>
      </c>
      <c r="H3877" s="1">
        <v>-9.8800360000000004E-7</v>
      </c>
      <c r="I3877">
        <v>160.2491</v>
      </c>
      <c r="J3877">
        <v>-191.78630000000001</v>
      </c>
      <c r="K3877">
        <v>1.1204559999999999</v>
      </c>
      <c r="L3877">
        <v>176.82429999999999</v>
      </c>
      <c r="M3877">
        <v>-3.2314490000000001E-2</v>
      </c>
      <c r="N3877">
        <v>-1.354143E-2</v>
      </c>
      <c r="O3877">
        <v>-0.9993862</v>
      </c>
      <c r="P3877">
        <v>-0.1150275</v>
      </c>
      <c r="Q3877">
        <v>-0.13890329999999901</v>
      </c>
      <c r="R3877">
        <v>-0.98360320000000001</v>
      </c>
      <c r="S3877">
        <v>-0.13710020000000001</v>
      </c>
      <c r="T3877">
        <v>-0.20027690000000001</v>
      </c>
      <c r="U3877">
        <v>-3.005325</v>
      </c>
      <c r="V3877">
        <v>8.3095950000000002E-2</v>
      </c>
      <c r="W3877">
        <v>-0.12558339999999901</v>
      </c>
      <c r="X3877">
        <v>0.9885969</v>
      </c>
      <c r="Y3877">
        <v>1.3193E-2</v>
      </c>
      <c r="Z3877">
        <v>5.2896270000000002E-2</v>
      </c>
      <c r="AA3877">
        <v>0.99851290000000004</v>
      </c>
      <c r="AB3877">
        <v>24</v>
      </c>
      <c r="AC3877">
        <v>-0.75889999999998203</v>
      </c>
      <c r="AD3877">
        <v>-1.1204569880035999</v>
      </c>
      <c r="AE3877">
        <v>-16.575199999999899</v>
      </c>
      <c r="AF3877">
        <v>0.22182392888717301</v>
      </c>
      <c r="AG3877">
        <v>-1.1204569880035999</v>
      </c>
      <c r="AH3877">
        <v>16.5157561432816</v>
      </c>
      <c r="AI3877">
        <v>93.880747237179506</v>
      </c>
      <c r="AJ3877">
        <v>89.230503850206404</v>
      </c>
      <c r="AK3877">
        <v>16.5552055469492</v>
      </c>
      <c r="AL3877">
        <v>97.214447785782298</v>
      </c>
      <c r="AM3877">
        <v>85.195329844017394</v>
      </c>
      <c r="AN3877">
        <v>0.99999997897578596</v>
      </c>
    </row>
    <row r="3878" spans="1:40" x14ac:dyDescent="0.25">
      <c r="A3878" t="str">
        <f>"20190303154549830"</f>
        <v>20190303154549830</v>
      </c>
      <c r="B3878" t="str">
        <f>"1551599149824917"</f>
        <v>1551599149824917</v>
      </c>
      <c r="C3878" t="s">
        <v>40</v>
      </c>
      <c r="D3878">
        <v>5.1889539999999998</v>
      </c>
      <c r="E3878">
        <v>0.50739449999999997</v>
      </c>
      <c r="F3878" t="s">
        <v>61</v>
      </c>
      <c r="G3878">
        <v>-195.02950000000001</v>
      </c>
      <c r="H3878" s="1">
        <v>-1.291922E-5</v>
      </c>
      <c r="I3878">
        <v>153.17320000000001</v>
      </c>
      <c r="J3878">
        <v>-191.79490000000001</v>
      </c>
      <c r="K3878">
        <v>1.120498</v>
      </c>
      <c r="L3878">
        <v>176.57210000000001</v>
      </c>
      <c r="M3878">
        <v>-3.268128E-2</v>
      </c>
      <c r="N3878">
        <v>-1.3578959999999999E-2</v>
      </c>
      <c r="O3878">
        <v>-0.99937370000000003</v>
      </c>
      <c r="P3878">
        <v>-0.116231399999999</v>
      </c>
      <c r="Q3878">
        <v>-0.13859079999999999</v>
      </c>
      <c r="R3878">
        <v>-0.98350579999999999</v>
      </c>
      <c r="S3878">
        <v>-0.4089508</v>
      </c>
      <c r="T3878">
        <v>-0.14128289999999999</v>
      </c>
      <c r="U3878">
        <v>-2.9822389999999999</v>
      </c>
      <c r="V3878">
        <v>8.3949369999999995E-2</v>
      </c>
      <c r="W3878">
        <v>-0.1252287</v>
      </c>
      <c r="X3878">
        <v>0.98856980000000005</v>
      </c>
      <c r="Y3878">
        <v>0.1032855</v>
      </c>
      <c r="Z3878">
        <v>3.3400220000000001E-2</v>
      </c>
      <c r="AA3878">
        <v>0.99409080000000005</v>
      </c>
      <c r="AB3878">
        <v>24</v>
      </c>
      <c r="AC3878">
        <v>-3.2345999999999999</v>
      </c>
      <c r="AD3878">
        <v>-1.12051091922</v>
      </c>
      <c r="AE3878">
        <v>-23.398900000000001</v>
      </c>
      <c r="AF3878">
        <v>2.46255418682501</v>
      </c>
      <c r="AG3878">
        <v>-1.12051091922</v>
      </c>
      <c r="AH3878">
        <v>23.439375975390099</v>
      </c>
      <c r="AI3878">
        <v>92.721962283818698</v>
      </c>
      <c r="AJ3878">
        <v>84.002474543978295</v>
      </c>
      <c r="AK3878">
        <v>23.595000825574001</v>
      </c>
      <c r="AL3878">
        <v>97.193963200904804</v>
      </c>
      <c r="AM3878">
        <v>85.146086595076298</v>
      </c>
      <c r="AN3878">
        <v>0.99999998674956303</v>
      </c>
    </row>
    <row r="3879" spans="1:40" x14ac:dyDescent="0.25">
      <c r="A3879" t="str">
        <f>"20190303154549863"</f>
        <v>20190303154549863</v>
      </c>
      <c r="B3879" t="str">
        <f>"1551599149855177"</f>
        <v>1551599149855177</v>
      </c>
      <c r="C3879" t="s">
        <v>40</v>
      </c>
      <c r="D3879">
        <v>5.1579620000000004</v>
      </c>
      <c r="E3879">
        <v>0.50750399999999996</v>
      </c>
      <c r="F3879" t="s">
        <v>61</v>
      </c>
      <c r="G3879">
        <v>-195.10650000000001</v>
      </c>
      <c r="H3879" s="1">
        <v>-1.273663E-5</v>
      </c>
      <c r="I3879">
        <v>152.4203</v>
      </c>
      <c r="J3879">
        <v>-191.8073</v>
      </c>
      <c r="K3879">
        <v>1.12056</v>
      </c>
      <c r="L3879">
        <v>176.21080000000001</v>
      </c>
      <c r="M3879">
        <v>-3.3123220000000002E-2</v>
      </c>
      <c r="N3879">
        <v>-1.3623379999999999E-2</v>
      </c>
      <c r="O3879">
        <v>-0.99935870000000004</v>
      </c>
      <c r="P3879">
        <v>-0.1188012</v>
      </c>
      <c r="Q3879">
        <v>-0.1390256</v>
      </c>
      <c r="R3879">
        <v>-0.98313740000000005</v>
      </c>
      <c r="S3879">
        <v>-0.4089508</v>
      </c>
      <c r="T3879">
        <v>-0.13837079999999999</v>
      </c>
      <c r="U3879">
        <v>-2.9824830000000002</v>
      </c>
      <c r="V3879">
        <v>8.6106799999999997E-2</v>
      </c>
      <c r="W3879">
        <v>-0.1256149</v>
      </c>
      <c r="X3879">
        <v>0.98833530000000003</v>
      </c>
      <c r="Y3879">
        <v>0.102839899999999</v>
      </c>
      <c r="Z3879">
        <v>3.2386709999999999E-2</v>
      </c>
      <c r="AA3879">
        <v>0.99417049999999996</v>
      </c>
      <c r="AB3879">
        <v>24</v>
      </c>
      <c r="AC3879">
        <v>-3.2992000000000101</v>
      </c>
      <c r="AD3879">
        <v>-1.12057273662999</v>
      </c>
      <c r="AE3879">
        <v>-23.790500000000002</v>
      </c>
      <c r="AF3879">
        <v>2.5038482832319802</v>
      </c>
      <c r="AG3879">
        <v>-1.12057273662999</v>
      </c>
      <c r="AH3879">
        <v>23.834851880860601</v>
      </c>
      <c r="AI3879">
        <v>92.677015247186603</v>
      </c>
      <c r="AJ3879">
        <v>84.003080427922399</v>
      </c>
      <c r="AK3879">
        <v>23.992188388433501</v>
      </c>
      <c r="AL3879">
        <v>97.216266314965495</v>
      </c>
      <c r="AM3879">
        <v>85.020788827179004</v>
      </c>
      <c r="AN3879">
        <v>1.00000007466716</v>
      </c>
    </row>
    <row r="3880" spans="1:40" x14ac:dyDescent="0.25">
      <c r="A3880" t="str">
        <f>"20190303154549886"</f>
        <v>20190303154549886</v>
      </c>
      <c r="B3880" t="str">
        <f>"1551599149874694"</f>
        <v>1551599149874694</v>
      </c>
      <c r="C3880" t="s">
        <v>40</v>
      </c>
      <c r="D3880">
        <v>5.1407339999999904</v>
      </c>
      <c r="E3880">
        <v>0.50764949999999998</v>
      </c>
      <c r="F3880" t="s">
        <v>61</v>
      </c>
      <c r="G3880">
        <v>-195.31100000000001</v>
      </c>
      <c r="H3880" s="1">
        <v>-1.231594E-5</v>
      </c>
      <c r="I3880">
        <v>151.1987</v>
      </c>
      <c r="J3880">
        <v>-191.81549999999999</v>
      </c>
      <c r="K3880">
        <v>1.120611</v>
      </c>
      <c r="L3880">
        <v>175.9717</v>
      </c>
      <c r="M3880">
        <v>-3.3357480000000002E-2</v>
      </c>
      <c r="N3880">
        <v>-1.364717E-2</v>
      </c>
      <c r="O3880">
        <v>-0.99935050000000003</v>
      </c>
      <c r="P3880">
        <v>-0.1208369</v>
      </c>
      <c r="Q3880">
        <v>-0.13800029999999999</v>
      </c>
      <c r="R3880">
        <v>-0.98303339999999995</v>
      </c>
      <c r="S3880">
        <v>-0.4177246</v>
      </c>
      <c r="T3880">
        <v>-0.13360039999999901</v>
      </c>
      <c r="U3880">
        <v>-2.9820709999999999</v>
      </c>
      <c r="V3880">
        <v>8.7923490000000007E-2</v>
      </c>
      <c r="W3880">
        <v>-0.1245607</v>
      </c>
      <c r="X3880">
        <v>0.98830870000000004</v>
      </c>
      <c r="Y3880">
        <v>0.10550180000000001</v>
      </c>
      <c r="Z3880">
        <v>3.077185E-2</v>
      </c>
      <c r="AA3880">
        <v>0.99394289999999996</v>
      </c>
      <c r="AB3880">
        <v>24</v>
      </c>
      <c r="AC3880">
        <v>-3.4954999999999901</v>
      </c>
      <c r="AD3880">
        <v>-1.1206233159399901</v>
      </c>
      <c r="AE3880">
        <v>-24.773</v>
      </c>
      <c r="AF3880">
        <v>2.6617723125627002</v>
      </c>
      <c r="AG3880">
        <v>-1.1206233159399901</v>
      </c>
      <c r="AH3880">
        <v>24.8260138282021</v>
      </c>
      <c r="AI3880">
        <v>92.569815589253096</v>
      </c>
      <c r="AJ3880">
        <v>83.880292983435496</v>
      </c>
      <c r="AK3880">
        <v>24.993434959169502</v>
      </c>
      <c r="AL3880">
        <v>97.155387496045705</v>
      </c>
      <c r="AM3880">
        <v>84.916145661078602</v>
      </c>
      <c r="AN3880">
        <v>0.99999999728697997</v>
      </c>
    </row>
    <row r="3881" spans="1:40" x14ac:dyDescent="0.25">
      <c r="A3881" t="str">
        <f>"20190303154549909"</f>
        <v>20190303154549909</v>
      </c>
      <c r="B3881" t="str">
        <f>"1551599149904950"</f>
        <v>1551599149904950</v>
      </c>
      <c r="C3881" t="s">
        <v>40</v>
      </c>
      <c r="D3881">
        <v>5.0948919999999998</v>
      </c>
      <c r="E3881">
        <v>0.50780110000000001</v>
      </c>
      <c r="F3881" t="s">
        <v>61</v>
      </c>
      <c r="G3881">
        <v>-195.54920000000001</v>
      </c>
      <c r="H3881" s="1">
        <v>-1.175229E-5</v>
      </c>
      <c r="I3881">
        <v>149.78630000000001</v>
      </c>
      <c r="J3881">
        <v>-191.82429999999999</v>
      </c>
      <c r="K3881">
        <v>1.1206579999999999</v>
      </c>
      <c r="L3881">
        <v>175.7182</v>
      </c>
      <c r="M3881">
        <v>-3.3568540000000001E-2</v>
      </c>
      <c r="N3881">
        <v>-1.366849E-2</v>
      </c>
      <c r="O3881">
        <v>-0.99934290000000003</v>
      </c>
      <c r="P3881">
        <v>-0.1225345</v>
      </c>
      <c r="Q3881">
        <v>-0.13713649999999999</v>
      </c>
      <c r="R3881">
        <v>-0.98294400000000004</v>
      </c>
      <c r="S3881">
        <v>-0.42514039999999997</v>
      </c>
      <c r="T3881">
        <v>-0.12759960000000001</v>
      </c>
      <c r="U3881">
        <v>-2.981598</v>
      </c>
      <c r="V3881">
        <v>8.9424039999999996E-2</v>
      </c>
      <c r="W3881">
        <v>-0.12367019999999999</v>
      </c>
      <c r="X3881">
        <v>0.98828590000000005</v>
      </c>
      <c r="Y3881">
        <v>0.10774589999999901</v>
      </c>
      <c r="Z3881">
        <v>2.8754519999999999E-2</v>
      </c>
      <c r="AA3881">
        <v>0.99376260000000005</v>
      </c>
      <c r="AB3881">
        <v>24</v>
      </c>
      <c r="AC3881">
        <v>-3.7249000000000101</v>
      </c>
      <c r="AD3881">
        <v>-1.12066975229</v>
      </c>
      <c r="AE3881">
        <v>-25.931899999999899</v>
      </c>
      <c r="AF3881">
        <v>2.8470133028556801</v>
      </c>
      <c r="AG3881">
        <v>-1.12066975229</v>
      </c>
      <c r="AH3881">
        <v>25.9947669552534</v>
      </c>
      <c r="AI3881">
        <v>92.453914756375994</v>
      </c>
      <c r="AJ3881">
        <v>83.749731428921194</v>
      </c>
      <c r="AK3881">
        <v>26.174210484716902</v>
      </c>
      <c r="AL3881">
        <v>97.103968005705795</v>
      </c>
      <c r="AM3881">
        <v>84.829729522265097</v>
      </c>
      <c r="AN3881">
        <v>0.99999999871838496</v>
      </c>
    </row>
    <row r="3882" spans="1:40" x14ac:dyDescent="0.25">
      <c r="A3882" t="str">
        <f>"20190303154549931"</f>
        <v>20190303154549931</v>
      </c>
      <c r="B3882" t="str">
        <f>"1551599149924470"</f>
        <v>1551599149924470</v>
      </c>
      <c r="C3882" t="s">
        <v>40</v>
      </c>
      <c r="D3882">
        <v>5.078627</v>
      </c>
      <c r="E3882">
        <v>0.50793549999999998</v>
      </c>
      <c r="F3882" t="s">
        <v>61</v>
      </c>
      <c r="G3882">
        <v>-195.81700000000001</v>
      </c>
      <c r="H3882" s="1">
        <v>-1.133416E-5</v>
      </c>
      <c r="I3882">
        <v>148.12719999999999</v>
      </c>
      <c r="J3882">
        <v>-191.83260000000001</v>
      </c>
      <c r="K3882">
        <v>1.120703</v>
      </c>
      <c r="L3882">
        <v>175.47710000000001</v>
      </c>
      <c r="M3882">
        <v>-3.3735889999999998E-2</v>
      </c>
      <c r="N3882">
        <v>-1.3685610000000001E-2</v>
      </c>
      <c r="O3882">
        <v>-0.99933720000000004</v>
      </c>
      <c r="P3882">
        <v>-0.1236772</v>
      </c>
      <c r="Q3882">
        <v>-0.13682230000000001</v>
      </c>
      <c r="R3882">
        <v>-0.98284470000000002</v>
      </c>
      <c r="S3882">
        <v>-0.4314423</v>
      </c>
      <c r="T3882">
        <v>-0.12109489999999901</v>
      </c>
      <c r="U3882">
        <v>-2.9813689999999999</v>
      </c>
      <c r="V3882">
        <v>9.0411829999999999E-2</v>
      </c>
      <c r="W3882">
        <v>-0.12333470000000001</v>
      </c>
      <c r="X3882">
        <v>0.98823799999999995</v>
      </c>
      <c r="Y3882">
        <v>0.1096574</v>
      </c>
      <c r="Z3882">
        <v>2.6572640000000002E-2</v>
      </c>
      <c r="AA3882">
        <v>0.9936142</v>
      </c>
      <c r="AB3882">
        <v>24</v>
      </c>
      <c r="AC3882">
        <v>-3.9843999999999902</v>
      </c>
      <c r="AD3882">
        <v>-1.1207143341600001</v>
      </c>
      <c r="AE3882">
        <v>-27.349900000000002</v>
      </c>
      <c r="AF3882">
        <v>3.05435006674593</v>
      </c>
      <c r="AG3882">
        <v>-1.1207143341600001</v>
      </c>
      <c r="AH3882">
        <v>27.423668602853699</v>
      </c>
      <c r="AI3882">
        <v>92.325821025888601</v>
      </c>
      <c r="AJ3882">
        <v>83.644792919902102</v>
      </c>
      <c r="AK3882">
        <v>27.615985490077399</v>
      </c>
      <c r="AL3882">
        <v>97.084596635869701</v>
      </c>
      <c r="AM3882">
        <v>84.772680710691603</v>
      </c>
      <c r="AN3882">
        <v>1.0000000459360101</v>
      </c>
    </row>
    <row r="3883" spans="1:40" x14ac:dyDescent="0.25">
      <c r="A3883" t="str">
        <f>"20190303154549952"</f>
        <v>20190303154549952</v>
      </c>
      <c r="B3883" t="str">
        <f>"1551599149944969"</f>
        <v>1551599149944969</v>
      </c>
      <c r="C3883" t="s">
        <v>40</v>
      </c>
      <c r="D3883">
        <v>5.0530119999999998</v>
      </c>
      <c r="E3883">
        <v>0.50811419999999996</v>
      </c>
      <c r="F3883" t="s">
        <v>61</v>
      </c>
      <c r="G3883">
        <v>-195.94450000000001</v>
      </c>
      <c r="H3883" s="1">
        <v>-1.115785E-5</v>
      </c>
      <c r="I3883">
        <v>147.37289999999999</v>
      </c>
      <c r="J3883">
        <v>-191.84059999999999</v>
      </c>
      <c r="K3883">
        <v>1.1207320000000001</v>
      </c>
      <c r="L3883">
        <v>175.2456</v>
      </c>
      <c r="M3883">
        <v>-3.3868799999999998E-2</v>
      </c>
      <c r="N3883">
        <v>-1.369951E-2</v>
      </c>
      <c r="O3883">
        <v>-0.99933240000000001</v>
      </c>
      <c r="P3883">
        <v>-0.1244369</v>
      </c>
      <c r="Q3883">
        <v>-0.1362159</v>
      </c>
      <c r="R3883">
        <v>-0.98283319999999996</v>
      </c>
      <c r="S3883">
        <v>-0.43614199999999997</v>
      </c>
      <c r="T3883">
        <v>-0.1188712</v>
      </c>
      <c r="U3883">
        <v>-2.9809420000000002</v>
      </c>
      <c r="V3883">
        <v>9.1046249999999995E-2</v>
      </c>
      <c r="W3883">
        <v>-0.12271</v>
      </c>
      <c r="X3883">
        <v>0.98825750000000001</v>
      </c>
      <c r="Y3883">
        <v>0.1110821</v>
      </c>
      <c r="Z3883">
        <v>2.5819310000000002E-2</v>
      </c>
      <c r="AA3883">
        <v>0.99347580000000002</v>
      </c>
      <c r="AB3883">
        <v>24</v>
      </c>
      <c r="AC3883">
        <v>-4.1039000000000003</v>
      </c>
      <c r="AD3883">
        <v>-1.12074315785</v>
      </c>
      <c r="AE3883">
        <v>-27.872699999999998</v>
      </c>
      <c r="AF3883">
        <v>3.1524528983522302</v>
      </c>
      <c r="AG3883">
        <v>-1.12074315785</v>
      </c>
      <c r="AH3883">
        <v>27.951480485468799</v>
      </c>
      <c r="AI3883">
        <v>92.281652811253196</v>
      </c>
      <c r="AJ3883">
        <v>83.565199545115703</v>
      </c>
      <c r="AK3883">
        <v>28.151008611268999</v>
      </c>
      <c r="AL3883">
        <v>97.048530145837503</v>
      </c>
      <c r="AM3883">
        <v>84.736309212457996</v>
      </c>
      <c r="AN3883">
        <v>1.00000002502265</v>
      </c>
    </row>
    <row r="3884" spans="1:40" x14ac:dyDescent="0.25">
      <c r="A3884" t="str">
        <f>"20190303154549974"</f>
        <v>20190303154549974</v>
      </c>
      <c r="B3884" t="str">
        <f>"1551599149964486"</f>
        <v>1551599149964486</v>
      </c>
      <c r="C3884" t="s">
        <v>40</v>
      </c>
      <c r="D3884">
        <v>5.0125739999999999</v>
      </c>
      <c r="E3884">
        <v>0.50826479999999996</v>
      </c>
      <c r="F3884" t="s">
        <v>61</v>
      </c>
      <c r="G3884">
        <v>-196.06120000000001</v>
      </c>
      <c r="H3884" s="1">
        <v>-1.098739E-5</v>
      </c>
      <c r="I3884">
        <v>146.648</v>
      </c>
      <c r="J3884">
        <v>-191.8485</v>
      </c>
      <c r="K3884">
        <v>1.1207670000000001</v>
      </c>
      <c r="L3884">
        <v>175.0146</v>
      </c>
      <c r="M3884">
        <v>-3.397874E-2</v>
      </c>
      <c r="N3884">
        <v>-1.371122E-2</v>
      </c>
      <c r="O3884">
        <v>-0.99932860000000001</v>
      </c>
      <c r="P3884">
        <v>-0.1245093</v>
      </c>
      <c r="Q3884">
        <v>-0.13581029999999999</v>
      </c>
      <c r="R3884">
        <v>-0.98288019999999998</v>
      </c>
      <c r="S3884">
        <v>-0.4398804</v>
      </c>
      <c r="T3884">
        <v>-0.1168067</v>
      </c>
      <c r="U3884">
        <v>-2.980515</v>
      </c>
      <c r="V3884">
        <v>9.1013209999999997E-2</v>
      </c>
      <c r="W3884">
        <v>-0.1222887</v>
      </c>
      <c r="X3884">
        <v>0.98831270000000004</v>
      </c>
      <c r="Y3884">
        <v>0.1122155</v>
      </c>
      <c r="Z3884">
        <v>2.5122439999999999E-2</v>
      </c>
      <c r="AA3884">
        <v>0.99336619999999998</v>
      </c>
      <c r="AB3884">
        <v>24</v>
      </c>
      <c r="AC3884">
        <v>-4.2127000000000097</v>
      </c>
      <c r="AD3884">
        <v>-1.1207779873899999</v>
      </c>
      <c r="AE3884">
        <v>-28.366599999999998</v>
      </c>
      <c r="AF3884">
        <v>3.2413642692918199</v>
      </c>
      <c r="AG3884">
        <v>-1.1207779873899999</v>
      </c>
      <c r="AH3884">
        <v>28.4499183144307</v>
      </c>
      <c r="AI3884">
        <v>92.2415013410575</v>
      </c>
      <c r="AJ3884">
        <v>83.500187836589504</v>
      </c>
      <c r="AK3884">
        <v>28.655897084562501</v>
      </c>
      <c r="AL3884">
        <v>97.024208702915004</v>
      </c>
      <c r="AM3884">
        <v>84.738500878752205</v>
      </c>
      <c r="AN3884">
        <v>0.999999961761741</v>
      </c>
    </row>
    <row r="3885" spans="1:40" x14ac:dyDescent="0.25">
      <c r="A3885" t="str">
        <f>"20190303154549997"</f>
        <v>20190303154549997</v>
      </c>
      <c r="B3885" t="str">
        <f>"1551599149984982"</f>
        <v>1551599149984982</v>
      </c>
      <c r="C3885" t="s">
        <v>40</v>
      </c>
      <c r="D3885">
        <v>5.024921</v>
      </c>
      <c r="E3885">
        <v>0.50861559999999995</v>
      </c>
      <c r="F3885" t="s">
        <v>61</v>
      </c>
      <c r="G3885">
        <v>-196.12440000000001</v>
      </c>
      <c r="H3885" s="1">
        <v>-1.0863580000000001E-5</v>
      </c>
      <c r="I3885">
        <v>146.136</v>
      </c>
      <c r="J3885">
        <v>-191.8571</v>
      </c>
      <c r="K3885">
        <v>1.1208100000000001</v>
      </c>
      <c r="L3885">
        <v>174.768</v>
      </c>
      <c r="M3885">
        <v>-3.4076559999999999E-2</v>
      </c>
      <c r="N3885">
        <v>-1.37217E-2</v>
      </c>
      <c r="O3885">
        <v>-0.99932500000000002</v>
      </c>
      <c r="P3885">
        <v>-0.12478930000000001</v>
      </c>
      <c r="Q3885">
        <v>-0.133515299999999</v>
      </c>
      <c r="R3885">
        <v>-0.98315909999999995</v>
      </c>
      <c r="S3885">
        <v>-0.44128420000000002</v>
      </c>
      <c r="T3885">
        <v>-0.1156683</v>
      </c>
      <c r="U3885">
        <v>-2.9803769999999998</v>
      </c>
      <c r="V3885">
        <v>9.1191350000000004E-2</v>
      </c>
      <c r="W3885">
        <v>-0.1199765</v>
      </c>
      <c r="X3885">
        <v>0.98857969999999895</v>
      </c>
      <c r="Y3885">
        <v>0.1125843</v>
      </c>
      <c r="Z3885">
        <v>2.4733939999999999E-2</v>
      </c>
      <c r="AA3885">
        <v>0.9933343</v>
      </c>
      <c r="AB3885">
        <v>24</v>
      </c>
      <c r="AC3885">
        <v>-4.2672999999999996</v>
      </c>
      <c r="AD3885">
        <v>-1.1208208635799899</v>
      </c>
      <c r="AE3885">
        <v>-28.632000000000001</v>
      </c>
      <c r="AF3885">
        <v>3.2841260376742101</v>
      </c>
      <c r="AG3885">
        <v>-1.1208208635799899</v>
      </c>
      <c r="AH3885">
        <v>28.717746238502698</v>
      </c>
      <c r="AI3885">
        <v>92.220595900876603</v>
      </c>
      <c r="AJ3885">
        <v>83.476066660525206</v>
      </c>
      <c r="AK3885">
        <v>28.926642948302899</v>
      </c>
      <c r="AL3885">
        <v>96.890746170381306</v>
      </c>
      <c r="AM3885">
        <v>84.729676318619497</v>
      </c>
      <c r="AN3885">
        <v>1.00000002305958</v>
      </c>
    </row>
    <row r="3886" spans="1:40" x14ac:dyDescent="0.25">
      <c r="A3886" t="str">
        <f>"20190303154550020"</f>
        <v>20190303154550020</v>
      </c>
      <c r="B3886" t="str">
        <f>"1551599150015238"</f>
        <v>1551599150015238</v>
      </c>
      <c r="C3886" t="s">
        <v>40</v>
      </c>
      <c r="D3886">
        <v>5.0040639999999996</v>
      </c>
      <c r="E3886">
        <v>0.50889220000000002</v>
      </c>
      <c r="F3886" t="s">
        <v>61</v>
      </c>
      <c r="G3886">
        <v>-196.4308</v>
      </c>
      <c r="H3886" s="1">
        <v>-1.0334040000000001E-5</v>
      </c>
      <c r="I3886">
        <v>144.16800000000001</v>
      </c>
      <c r="J3886">
        <v>-191.8657</v>
      </c>
      <c r="K3886">
        <v>1.120849</v>
      </c>
      <c r="L3886">
        <v>174.5181</v>
      </c>
      <c r="M3886">
        <v>-3.4158260000000003E-2</v>
      </c>
      <c r="N3886">
        <v>-1.373051E-2</v>
      </c>
      <c r="O3886">
        <v>-0.99932220000000005</v>
      </c>
      <c r="P3886">
        <v>-0.12555330000000001</v>
      </c>
      <c r="Q3886">
        <v>-0.1310876</v>
      </c>
      <c r="R3886">
        <v>-0.98338859999999995</v>
      </c>
      <c r="S3886">
        <v>-0.44541930000000002</v>
      </c>
      <c r="T3886">
        <v>-0.10915329999999999</v>
      </c>
      <c r="U3886">
        <v>-2.9800420000000001</v>
      </c>
      <c r="V3886">
        <v>9.1870019999999997E-2</v>
      </c>
      <c r="W3886">
        <v>-0.11753420000000001</v>
      </c>
      <c r="X3886">
        <v>0.98881019999999997</v>
      </c>
      <c r="Y3886">
        <v>0.11387650000000001</v>
      </c>
      <c r="Z3886">
        <v>2.256141E-2</v>
      </c>
      <c r="AA3886">
        <v>0.99323870000000003</v>
      </c>
      <c r="AB3886">
        <v>24</v>
      </c>
      <c r="AC3886">
        <v>-4.5651000000000002</v>
      </c>
      <c r="AD3886">
        <v>-1.1208593340399999</v>
      </c>
      <c r="AE3886">
        <v>-30.350100000000001</v>
      </c>
      <c r="AF3886">
        <v>3.5209352636343301</v>
      </c>
      <c r="AG3886">
        <v>-1.1208593340399999</v>
      </c>
      <c r="AH3886">
        <v>30.447727163848501</v>
      </c>
      <c r="AI3886">
        <v>92.094309537565707</v>
      </c>
      <c r="AJ3886">
        <v>83.403689658160204</v>
      </c>
      <c r="AK3886">
        <v>30.671116709724899</v>
      </c>
      <c r="AL3886">
        <v>96.749815519218402</v>
      </c>
      <c r="AM3886">
        <v>84.691907091323799</v>
      </c>
      <c r="AN3886">
        <v>1.00000000018424</v>
      </c>
    </row>
    <row r="3887" spans="1:40" x14ac:dyDescent="0.25">
      <c r="A3887" t="str">
        <f>"20190303154550042"</f>
        <v>20190303154550042</v>
      </c>
      <c r="B3887" t="str">
        <f>"1551599150034758"</f>
        <v>1551599150034758</v>
      </c>
      <c r="C3887" t="s">
        <v>40</v>
      </c>
      <c r="D3887">
        <v>4.9916010000000002</v>
      </c>
      <c r="E3887">
        <v>0.50904929999999904</v>
      </c>
      <c r="F3887" t="s">
        <v>61</v>
      </c>
      <c r="G3887">
        <v>-196.7894</v>
      </c>
      <c r="H3887" s="1">
        <v>-9.7262509999999997E-6</v>
      </c>
      <c r="I3887">
        <v>141.95189999999999</v>
      </c>
      <c r="J3887">
        <v>-191.87370000000001</v>
      </c>
      <c r="K3887">
        <v>1.120881</v>
      </c>
      <c r="L3887">
        <v>174.28659999999999</v>
      </c>
      <c r="M3887">
        <v>-3.4217600000000001E-2</v>
      </c>
      <c r="N3887">
        <v>-1.373717E-2</v>
      </c>
      <c r="O3887">
        <v>-0.99931999999999999</v>
      </c>
      <c r="P3887">
        <v>-0.12722629999999999</v>
      </c>
      <c r="Q3887">
        <v>-0.12949359999999999</v>
      </c>
      <c r="R3887">
        <v>-0.98338460000000005</v>
      </c>
      <c r="S3887">
        <v>-0.45046999999999998</v>
      </c>
      <c r="T3887">
        <v>-0.10254779999999999</v>
      </c>
      <c r="U3887">
        <v>-2.979492</v>
      </c>
      <c r="V3887">
        <v>9.3486749999999993E-2</v>
      </c>
      <c r="W3887">
        <v>-0.11593100000000001</v>
      </c>
      <c r="X3887">
        <v>0.9888479</v>
      </c>
      <c r="Y3887">
        <v>0.1154988</v>
      </c>
      <c r="Z3887">
        <v>2.0361870000000001E-2</v>
      </c>
      <c r="AA3887">
        <v>0.99309890000000001</v>
      </c>
      <c r="AB3887">
        <v>24</v>
      </c>
      <c r="AC3887">
        <v>-4.9156999999999798</v>
      </c>
      <c r="AD3887">
        <v>-1.1208907262509999</v>
      </c>
      <c r="AE3887">
        <v>-32.334699999999998</v>
      </c>
      <c r="AF3887">
        <v>3.8018352353222098</v>
      </c>
      <c r="AG3887">
        <v>-1.1208907262509999</v>
      </c>
      <c r="AH3887">
        <v>32.445871963964002</v>
      </c>
      <c r="AI3887">
        <v>91.965146734880705</v>
      </c>
      <c r="AJ3887">
        <v>83.316859480313298</v>
      </c>
      <c r="AK3887">
        <v>32.687076263849001</v>
      </c>
      <c r="AL3887">
        <v>96.657326810398104</v>
      </c>
      <c r="AM3887">
        <v>84.599247531672802</v>
      </c>
      <c r="AN3887">
        <v>0.99999996926048496</v>
      </c>
    </row>
    <row r="3888" spans="1:40" x14ac:dyDescent="0.25">
      <c r="A3888" t="str">
        <f>"20190303154550064"</f>
        <v>20190303154550064</v>
      </c>
      <c r="B3888" t="str">
        <f>"1551599150055254"</f>
        <v>1551599150055254</v>
      </c>
      <c r="C3888" t="s">
        <v>40</v>
      </c>
      <c r="D3888">
        <v>4.9956889999999996</v>
      </c>
      <c r="E3888">
        <v>0.50915580000000005</v>
      </c>
      <c r="F3888" t="s">
        <v>61</v>
      </c>
      <c r="G3888">
        <v>-197.04320000000001</v>
      </c>
      <c r="H3888" s="1">
        <v>-9.3573620000000006E-6</v>
      </c>
      <c r="I3888">
        <v>140.58940000000001</v>
      </c>
      <c r="J3888">
        <v>-191.8818</v>
      </c>
      <c r="K3888">
        <v>1.120908</v>
      </c>
      <c r="L3888">
        <v>174.0506</v>
      </c>
      <c r="M3888">
        <v>-3.4261859999999998E-2</v>
      </c>
      <c r="N3888">
        <v>-1.374269E-2</v>
      </c>
      <c r="O3888">
        <v>-0.99931840000000005</v>
      </c>
      <c r="P3888">
        <v>-0.12857160000000001</v>
      </c>
      <c r="Q3888">
        <v>-0.12769159999999999</v>
      </c>
      <c r="R3888">
        <v>-0.98344500000000001</v>
      </c>
      <c r="S3888">
        <v>-0.4569397</v>
      </c>
      <c r="T3888">
        <v>-9.9077460000000006E-2</v>
      </c>
      <c r="U3888">
        <v>-2.978561</v>
      </c>
      <c r="V3888">
        <v>9.4788839999999999E-2</v>
      </c>
      <c r="W3888">
        <v>-0.1141196</v>
      </c>
      <c r="X3888">
        <v>0.98893470000000006</v>
      </c>
      <c r="Y3888">
        <v>0.1176123</v>
      </c>
      <c r="Z3888">
        <v>1.920583E-2</v>
      </c>
      <c r="AA3888">
        <v>0.99287380000000003</v>
      </c>
      <c r="AB3888">
        <v>24</v>
      </c>
      <c r="AC3888">
        <v>-5.1614000000000102</v>
      </c>
      <c r="AD3888">
        <v>-1.1209173573619999</v>
      </c>
      <c r="AE3888">
        <v>-33.461199999999899</v>
      </c>
      <c r="AF3888">
        <v>4.0074253377478</v>
      </c>
      <c r="AG3888">
        <v>-1.1209173573619999</v>
      </c>
      <c r="AH3888">
        <v>33.581597813511898</v>
      </c>
      <c r="AI3888">
        <v>91.898302527686994</v>
      </c>
      <c r="AJ3888">
        <v>83.194848621888397</v>
      </c>
      <c r="AK3888">
        <v>33.838434143265602</v>
      </c>
      <c r="AL3888">
        <v>96.552847383124202</v>
      </c>
      <c r="AM3888">
        <v>84.524957193831895</v>
      </c>
      <c r="AN3888">
        <v>1.0000000240783899</v>
      </c>
    </row>
    <row r="3889" spans="1:40" x14ac:dyDescent="0.25">
      <c r="A3889" t="str">
        <f>"20190303154550086"</f>
        <v>20190303154550086</v>
      </c>
      <c r="B3889" t="str">
        <f>"1551599150074774"</f>
        <v>1551599150074774</v>
      </c>
      <c r="C3889" t="s">
        <v>40</v>
      </c>
      <c r="D3889">
        <v>5.0091659999999996</v>
      </c>
      <c r="E3889">
        <v>0.50920029999999905</v>
      </c>
      <c r="F3889" t="s">
        <v>61</v>
      </c>
      <c r="G3889">
        <v>-197.29839999999999</v>
      </c>
      <c r="H3889" s="1">
        <v>-8.9507110000000006E-6</v>
      </c>
      <c r="I3889">
        <v>139.1354</v>
      </c>
      <c r="J3889">
        <v>-191.89019999999999</v>
      </c>
      <c r="K3889">
        <v>1.1209359999999999</v>
      </c>
      <c r="L3889">
        <v>173.80860000000001</v>
      </c>
      <c r="M3889">
        <v>-3.4292980000000001E-2</v>
      </c>
      <c r="N3889">
        <v>-1.3747260000000001E-2</v>
      </c>
      <c r="O3889">
        <v>-0.99931740000000002</v>
      </c>
      <c r="P3889">
        <v>-0.12975200000000001</v>
      </c>
      <c r="Q3889">
        <v>-0.1258466</v>
      </c>
      <c r="R3889">
        <v>-0.98352819999999996</v>
      </c>
      <c r="S3889">
        <v>-0.46194459999999998</v>
      </c>
      <c r="T3889">
        <v>-9.5595719999999995E-2</v>
      </c>
      <c r="U3889">
        <v>-2.9776919999999998</v>
      </c>
      <c r="V3889">
        <v>9.5937919999999996E-2</v>
      </c>
      <c r="W3889">
        <v>-0.1122662</v>
      </c>
      <c r="X3889">
        <v>0.98903600000000003</v>
      </c>
      <c r="Y3889">
        <v>0.1192584</v>
      </c>
      <c r="Z3889">
        <v>1.8047980000000002E-2</v>
      </c>
      <c r="AA3889">
        <v>0.9926992</v>
      </c>
      <c r="AB3889">
        <v>24</v>
      </c>
      <c r="AC3889">
        <v>-5.4081999999999901</v>
      </c>
      <c r="AD3889">
        <v>-1.1209449507109901</v>
      </c>
      <c r="AE3889">
        <v>-34.673200000000001</v>
      </c>
      <c r="AF3889">
        <v>4.2115616573560999</v>
      </c>
      <c r="AG3889">
        <v>-1.1209449507109901</v>
      </c>
      <c r="AH3889">
        <v>34.802772586243798</v>
      </c>
      <c r="AI3889">
        <v>91.831421429602401</v>
      </c>
      <c r="AJ3889">
        <v>83.100059368481794</v>
      </c>
      <c r="AK3889">
        <v>35.074588363458197</v>
      </c>
      <c r="AL3889">
        <v>96.445968641501807</v>
      </c>
      <c r="AM3889">
        <v>84.459560456170394</v>
      </c>
      <c r="AN3889">
        <v>0.999999996726183</v>
      </c>
    </row>
    <row r="3890" spans="1:40" x14ac:dyDescent="0.25">
      <c r="A3890" t="str">
        <f>"20190303154550110"</f>
        <v>20190303154550110</v>
      </c>
      <c r="B3890" t="str">
        <f>"1551599150105030"</f>
        <v>1551599150105030</v>
      </c>
      <c r="C3890" t="s">
        <v>40</v>
      </c>
      <c r="D3890">
        <v>5.0506409999999997</v>
      </c>
      <c r="E3890">
        <v>0.51081860000000001</v>
      </c>
      <c r="F3890" t="s">
        <v>61</v>
      </c>
      <c r="G3890">
        <v>-197.54349999999999</v>
      </c>
      <c r="H3890" s="1">
        <v>-8.5116649999999994E-6</v>
      </c>
      <c r="I3890">
        <v>137.65289999999999</v>
      </c>
      <c r="J3890">
        <v>-191.8989</v>
      </c>
      <c r="K3890">
        <v>1.1209559999999901</v>
      </c>
      <c r="L3890">
        <v>173.5557</v>
      </c>
      <c r="M3890">
        <v>-3.4309489999999998E-2</v>
      </c>
      <c r="N3890">
        <v>-1.3751019999999999E-2</v>
      </c>
      <c r="O3890">
        <v>-0.99931689999999995</v>
      </c>
      <c r="P3890">
        <v>-0.1306466</v>
      </c>
      <c r="Q3890">
        <v>-0.12454610000000001</v>
      </c>
      <c r="R3890">
        <v>-0.98357539999999999</v>
      </c>
      <c r="S3890">
        <v>-0.46548460000000003</v>
      </c>
      <c r="T3890">
        <v>-9.2297199999999996E-2</v>
      </c>
      <c r="U3890">
        <v>-2.97702</v>
      </c>
      <c r="V3890">
        <v>9.6816749999999993E-2</v>
      </c>
      <c r="W3890">
        <v>-0.11095869999999999</v>
      </c>
      <c r="X3890">
        <v>0.98909789999999997</v>
      </c>
      <c r="Y3890">
        <v>0.1204317</v>
      </c>
      <c r="Z3890">
        <v>1.6951339999999999E-2</v>
      </c>
      <c r="AA3890">
        <v>0.99257689999999998</v>
      </c>
      <c r="AB3890">
        <v>24</v>
      </c>
      <c r="AC3890">
        <v>-5.6445999999999898</v>
      </c>
      <c r="AD3890">
        <v>-1.12096451166499</v>
      </c>
      <c r="AE3890">
        <v>-35.902799999999999</v>
      </c>
      <c r="AF3890">
        <v>4.4051625383484998</v>
      </c>
      <c r="AG3890">
        <v>-1.12096451166499</v>
      </c>
      <c r="AH3890">
        <v>36.041053796180002</v>
      </c>
      <c r="AI3890">
        <v>91.768312711054506</v>
      </c>
      <c r="AJ3890">
        <v>83.031516371286401</v>
      </c>
      <c r="AK3890">
        <v>36.326568474944402</v>
      </c>
      <c r="AL3890">
        <v>96.370583451262505</v>
      </c>
      <c r="AM3890">
        <v>84.409475580170096</v>
      </c>
      <c r="AN3890">
        <v>0.99999998598533102</v>
      </c>
    </row>
    <row r="3891" spans="1:40" x14ac:dyDescent="0.25">
      <c r="A3891" t="str">
        <f>"20190303154550133"</f>
        <v>20190303154550133</v>
      </c>
      <c r="B3891" t="str">
        <f>"1551599150125527"</f>
        <v>1551599150125527</v>
      </c>
      <c r="C3891" t="s">
        <v>40</v>
      </c>
      <c r="D3891">
        <v>5.0188790000000001</v>
      </c>
      <c r="E3891">
        <v>0.50950709999999999</v>
      </c>
      <c r="F3891" t="s">
        <v>61</v>
      </c>
      <c r="G3891">
        <v>-195.7534</v>
      </c>
      <c r="H3891" s="1">
        <v>-1.175742E-5</v>
      </c>
      <c r="I3891">
        <v>149.71379999999999</v>
      </c>
      <c r="J3891">
        <v>-191.90719999999999</v>
      </c>
      <c r="K3891">
        <v>1.1209709999999999</v>
      </c>
      <c r="L3891">
        <v>173.31270000000001</v>
      </c>
      <c r="M3891">
        <v>-3.4313049999999998E-2</v>
      </c>
      <c r="N3891">
        <v>-1.375379E-2</v>
      </c>
      <c r="O3891">
        <v>-0.99931669999999995</v>
      </c>
      <c r="P3891">
        <v>-0.13164010000000001</v>
      </c>
      <c r="Q3891">
        <v>-0.1239059</v>
      </c>
      <c r="R3891">
        <v>-0.9835237</v>
      </c>
      <c r="S3891">
        <v>-0.47994999999999999</v>
      </c>
      <c r="T3891">
        <v>-0.13957720000000001</v>
      </c>
      <c r="U3891">
        <v>-2.968674</v>
      </c>
      <c r="V3891">
        <v>9.7809779999999999E-2</v>
      </c>
      <c r="W3891">
        <v>-0.1103145</v>
      </c>
      <c r="X3891">
        <v>0.98907230000000002</v>
      </c>
      <c r="Y3891">
        <v>0.12549169999999901</v>
      </c>
      <c r="Z3891">
        <v>3.27316E-2</v>
      </c>
      <c r="AA3891">
        <v>0.99155459999999995</v>
      </c>
      <c r="AB3891">
        <v>24</v>
      </c>
      <c r="AC3891">
        <v>-3.8462000000000001</v>
      </c>
      <c r="AD3891">
        <v>-1.12098275742</v>
      </c>
      <c r="AE3891">
        <v>-23.5989</v>
      </c>
      <c r="AF3891">
        <v>3.0274536518736301</v>
      </c>
      <c r="AG3891">
        <v>-1.12098275742</v>
      </c>
      <c r="AH3891">
        <v>23.664972368208499</v>
      </c>
      <c r="AI3891">
        <v>92.690117232533396</v>
      </c>
      <c r="AJ3891">
        <v>82.709764698453498</v>
      </c>
      <c r="AK3891">
        <v>23.8841578278311</v>
      </c>
      <c r="AL3891">
        <v>96.333445247324704</v>
      </c>
      <c r="AM3891">
        <v>84.352358278198395</v>
      </c>
      <c r="AN3891">
        <v>1.0000000283005901</v>
      </c>
    </row>
    <row r="3892" spans="1:40" x14ac:dyDescent="0.25">
      <c r="A3892" t="str">
        <f>"20190303154550154"</f>
        <v>20190303154550154</v>
      </c>
      <c r="B3892" t="str">
        <f>"1551599150145046"</f>
        <v>1551599150145046</v>
      </c>
      <c r="C3892" t="s">
        <v>40</v>
      </c>
      <c r="D3892">
        <v>5.0666200000000003</v>
      </c>
      <c r="E3892">
        <v>0.50925429999999905</v>
      </c>
      <c r="F3892" t="s">
        <v>61</v>
      </c>
      <c r="G3892">
        <v>-195.59030000000001</v>
      </c>
      <c r="H3892" s="1">
        <v>-1.191769E-5</v>
      </c>
      <c r="I3892">
        <v>150.1549</v>
      </c>
      <c r="J3892">
        <v>-191.9151</v>
      </c>
      <c r="K3892">
        <v>1.120973</v>
      </c>
      <c r="L3892">
        <v>173.08449999999999</v>
      </c>
      <c r="M3892">
        <v>-3.4308930000000001E-2</v>
      </c>
      <c r="N3892">
        <v>-1.3755710000000001E-2</v>
      </c>
      <c r="O3892">
        <v>-0.99931669999999995</v>
      </c>
      <c r="P3892">
        <v>-0.13277249999999999</v>
      </c>
      <c r="Q3892">
        <v>-0.1242182</v>
      </c>
      <c r="R3892">
        <v>-0.98333210000000004</v>
      </c>
      <c r="S3892">
        <v>-0.47218320000000003</v>
      </c>
      <c r="T3892">
        <v>-0.14371500000000001</v>
      </c>
      <c r="U3892">
        <v>-2.9689329999999998</v>
      </c>
      <c r="V3892">
        <v>9.8953269999999996E-2</v>
      </c>
      <c r="W3892">
        <v>-0.110626</v>
      </c>
      <c r="X3892">
        <v>0.98892369999999996</v>
      </c>
      <c r="Y3892">
        <v>0.1229454</v>
      </c>
      <c r="Z3892">
        <v>3.411674E-2</v>
      </c>
      <c r="AA3892">
        <v>0.99182680000000001</v>
      </c>
      <c r="AB3892">
        <v>24</v>
      </c>
      <c r="AC3892">
        <v>-3.67520000000001</v>
      </c>
      <c r="AD3892">
        <v>-1.12098491769</v>
      </c>
      <c r="AE3892">
        <v>-22.929599999999901</v>
      </c>
      <c r="AF3892">
        <v>2.8795615937345902</v>
      </c>
      <c r="AG3892">
        <v>-1.12098491769</v>
      </c>
      <c r="AH3892">
        <v>22.988634561970301</v>
      </c>
      <c r="AI3892">
        <v>92.770065580089906</v>
      </c>
      <c r="AJ3892">
        <v>82.860303571248394</v>
      </c>
      <c r="AK3892">
        <v>23.195383186781299</v>
      </c>
      <c r="AL3892">
        <v>96.351403145467003</v>
      </c>
      <c r="AM3892">
        <v>84.285913423875598</v>
      </c>
      <c r="AN3892">
        <v>0.99999997297069099</v>
      </c>
    </row>
    <row r="3893" spans="1:40" x14ac:dyDescent="0.25">
      <c r="A3893" t="str">
        <f>"20190303154550176"</f>
        <v>20190303154550176</v>
      </c>
      <c r="B3893" t="str">
        <f>"1551599150164566"</f>
        <v>1551599150164566</v>
      </c>
      <c r="C3893" t="s">
        <v>40</v>
      </c>
      <c r="D3893">
        <v>5.0508050000000004</v>
      </c>
      <c r="E3893">
        <v>0.50884890000000005</v>
      </c>
      <c r="F3893" t="s">
        <v>61</v>
      </c>
      <c r="G3893">
        <v>-195.5463</v>
      </c>
      <c r="H3893" s="1">
        <v>-1.1980800000000001E-5</v>
      </c>
      <c r="I3893">
        <v>150.3202</v>
      </c>
      <c r="J3893">
        <v>-191.923</v>
      </c>
      <c r="K3893">
        <v>1.1209750000000001</v>
      </c>
      <c r="L3893">
        <v>172.85419999999999</v>
      </c>
      <c r="M3893">
        <v>-3.4300890000000001E-2</v>
      </c>
      <c r="N3893">
        <v>-1.375709E-2</v>
      </c>
      <c r="O3893">
        <v>-0.99931689999999995</v>
      </c>
      <c r="P3893">
        <v>-0.13493520000000001</v>
      </c>
      <c r="Q3893">
        <v>-0.12545809999999999</v>
      </c>
      <c r="R3893">
        <v>-0.98288019999999998</v>
      </c>
      <c r="S3893">
        <v>-0.47351070000000001</v>
      </c>
      <c r="T3893">
        <v>-0.146175</v>
      </c>
      <c r="U3893">
        <v>-2.968445</v>
      </c>
      <c r="V3893">
        <v>0.1011383</v>
      </c>
      <c r="W3893">
        <v>-0.11186939999999999</v>
      </c>
      <c r="X3893">
        <v>0.98856270000000002</v>
      </c>
      <c r="Y3893">
        <v>0.123406</v>
      </c>
      <c r="Z3893">
        <v>3.4937429999999998E-2</v>
      </c>
      <c r="AA3893">
        <v>0.99174110000000004</v>
      </c>
      <c r="AB3893">
        <v>24</v>
      </c>
      <c r="AC3893">
        <v>-3.6233</v>
      </c>
      <c r="AD3893">
        <v>-1.1209869807999999</v>
      </c>
      <c r="AE3893">
        <v>-22.533999999999899</v>
      </c>
      <c r="AF3893">
        <v>2.8413038948631901</v>
      </c>
      <c r="AG3893">
        <v>-1.1209869807999999</v>
      </c>
      <c r="AH3893">
        <v>22.590535460996399</v>
      </c>
      <c r="AI3893">
        <v>92.818629178082404</v>
      </c>
      <c r="AJ3893">
        <v>82.831318432491599</v>
      </c>
      <c r="AK3893">
        <v>22.7960942279291</v>
      </c>
      <c r="AL3893">
        <v>96.4230897545049</v>
      </c>
      <c r="AM3893">
        <v>84.158483128713797</v>
      </c>
      <c r="AN3893">
        <v>0.99999996510726896</v>
      </c>
    </row>
    <row r="3894" spans="1:40" x14ac:dyDescent="0.25">
      <c r="A3894" t="str">
        <f>"20190303154550198"</f>
        <v>20190303154550198</v>
      </c>
      <c r="B3894" t="str">
        <f>"1551599150194823"</f>
        <v>1551599150194823</v>
      </c>
      <c r="C3894" t="s">
        <v>40</v>
      </c>
      <c r="D3894">
        <v>5.0606910000000003</v>
      </c>
      <c r="E3894">
        <v>0.50856809999999997</v>
      </c>
      <c r="F3894" t="s">
        <v>61</v>
      </c>
      <c r="G3894">
        <v>-195.43279999999999</v>
      </c>
      <c r="H3894" s="1">
        <v>-1.22636899999999E-5</v>
      </c>
      <c r="I3894">
        <v>151.0265</v>
      </c>
      <c r="J3894">
        <v>-191.93119999999999</v>
      </c>
      <c r="K3894">
        <v>1.120981</v>
      </c>
      <c r="L3894">
        <v>172.61510000000001</v>
      </c>
      <c r="M3894">
        <v>-3.4291160000000001E-2</v>
      </c>
      <c r="N3894">
        <v>-1.3758019999999999E-2</v>
      </c>
      <c r="O3894">
        <v>-0.99931720000000002</v>
      </c>
      <c r="P3894">
        <v>-0.13657179999999999</v>
      </c>
      <c r="Q3894">
        <v>-0.1245478</v>
      </c>
      <c r="R3894">
        <v>-0.98276960000000002</v>
      </c>
      <c r="S3894">
        <v>-0.47714230000000002</v>
      </c>
      <c r="T3894">
        <v>-0.1523902</v>
      </c>
      <c r="U3894">
        <v>-2.9673159999999998</v>
      </c>
      <c r="V3894">
        <v>0.1027872</v>
      </c>
      <c r="W3894">
        <v>-0.1109593</v>
      </c>
      <c r="X3894">
        <v>0.98849520000000002</v>
      </c>
      <c r="Y3894">
        <v>0.1246434</v>
      </c>
      <c r="Z3894">
        <v>3.7011330000000002E-2</v>
      </c>
      <c r="AA3894">
        <v>0.99151100000000003</v>
      </c>
      <c r="AB3894">
        <v>24</v>
      </c>
      <c r="AC3894">
        <v>-3.5015999999999901</v>
      </c>
      <c r="AD3894">
        <v>-1.12099326369</v>
      </c>
      <c r="AE3894">
        <v>-21.5886</v>
      </c>
      <c r="AF3894">
        <v>2.7519423950712301</v>
      </c>
      <c r="AG3894">
        <v>-1.12099326369</v>
      </c>
      <c r="AH3894">
        <v>21.6391377626679</v>
      </c>
      <c r="AI3894">
        <v>92.941845863594395</v>
      </c>
      <c r="AJ3894">
        <v>82.752354514454595</v>
      </c>
      <c r="AK3894">
        <v>21.842209044754402</v>
      </c>
      <c r="AL3894">
        <v>96.370618160059294</v>
      </c>
      <c r="AM3894">
        <v>84.063518629300702</v>
      </c>
      <c r="AN3894">
        <v>0.99999996758168397</v>
      </c>
    </row>
    <row r="3895" spans="1:40" x14ac:dyDescent="0.25">
      <c r="A3895" t="str">
        <f>"20190303154550220"</f>
        <v>20190303154550220</v>
      </c>
      <c r="B3895" t="str">
        <f>"1551599150215318"</f>
        <v>1551599150215318</v>
      </c>
      <c r="C3895" t="s">
        <v>40</v>
      </c>
      <c r="D3895">
        <v>5.0814199999999996</v>
      </c>
      <c r="E3895">
        <v>0.50847790000000004</v>
      </c>
      <c r="F3895" t="s">
        <v>61</v>
      </c>
      <c r="G3895">
        <v>-195.4503</v>
      </c>
      <c r="H3895" s="1">
        <v>-1.219547E-5</v>
      </c>
      <c r="I3895">
        <v>150.8603</v>
      </c>
      <c r="J3895">
        <v>-191.9391</v>
      </c>
      <c r="K3895">
        <v>1.1209960000000001</v>
      </c>
      <c r="L3895">
        <v>172.38509999999999</v>
      </c>
      <c r="M3895">
        <v>-3.4282609999999998E-2</v>
      </c>
      <c r="N3895">
        <v>-1.375847E-2</v>
      </c>
      <c r="O3895">
        <v>-0.99931740000000002</v>
      </c>
      <c r="P3895">
        <v>-0.13762049999999901</v>
      </c>
      <c r="Q3895">
        <v>-0.12287720000000001</v>
      </c>
      <c r="R3895">
        <v>-0.98283350000000003</v>
      </c>
      <c r="S3895">
        <v>-0.47987370000000001</v>
      </c>
      <c r="T3895">
        <v>-0.15286</v>
      </c>
      <c r="U3895">
        <v>-2.9665219999999999</v>
      </c>
      <c r="V3895">
        <v>0.103841</v>
      </c>
      <c r="W3895">
        <v>-0.1092875</v>
      </c>
      <c r="X3895">
        <v>0.98857130000000004</v>
      </c>
      <c r="Y3895">
        <v>0.12558169999999999</v>
      </c>
      <c r="Z3895">
        <v>3.7173860000000003E-2</v>
      </c>
      <c r="AA3895">
        <v>0.99138660000000001</v>
      </c>
      <c r="AB3895">
        <v>24</v>
      </c>
      <c r="AC3895">
        <v>-3.5112000000000001</v>
      </c>
      <c r="AD3895">
        <v>-1.12100819547</v>
      </c>
      <c r="AE3895">
        <v>-21.524799999999999</v>
      </c>
      <c r="AF3895">
        <v>2.7638373406874499</v>
      </c>
      <c r="AG3895">
        <v>-1.12100819547</v>
      </c>
      <c r="AH3895">
        <v>21.575526650047401</v>
      </c>
      <c r="AI3895">
        <v>92.950200621768403</v>
      </c>
      <c r="AJ3895">
        <v>82.700134207571196</v>
      </c>
      <c r="AK3895">
        <v>21.780698024787799</v>
      </c>
      <c r="AL3895">
        <v>96.274244939937603</v>
      </c>
      <c r="AM3895">
        <v>84.003555915164796</v>
      </c>
      <c r="AN3895">
        <v>0.99999996306046901</v>
      </c>
    </row>
    <row r="3896" spans="1:40" x14ac:dyDescent="0.25">
      <c r="A3896" t="str">
        <f>"20190303154550244"</f>
        <v>20190303154550244</v>
      </c>
      <c r="B3896" t="str">
        <f>"1551599150234838"</f>
        <v>1551599150234838</v>
      </c>
      <c r="C3896" t="s">
        <v>40</v>
      </c>
      <c r="D3896">
        <v>5.266305</v>
      </c>
      <c r="E3896">
        <v>0.50868679999999999</v>
      </c>
      <c r="F3896" t="s">
        <v>61</v>
      </c>
      <c r="G3896">
        <v>-195.51499999999999</v>
      </c>
      <c r="H3896" s="1">
        <v>-1.2002139999999999E-5</v>
      </c>
      <c r="I3896">
        <v>150.38290000000001</v>
      </c>
      <c r="J3896">
        <v>-191.94759999999999</v>
      </c>
      <c r="K3896">
        <v>1.1210070000000001</v>
      </c>
      <c r="L3896">
        <v>172.1353</v>
      </c>
      <c r="M3896">
        <v>-3.4275979999999998E-2</v>
      </c>
      <c r="N3896">
        <v>-1.375854E-2</v>
      </c>
      <c r="O3896">
        <v>-0.99931760000000003</v>
      </c>
      <c r="P3896">
        <v>-0.13908589999999901</v>
      </c>
      <c r="Q3896">
        <v>-0.1210862</v>
      </c>
      <c r="R3896">
        <v>-0.98284970000000005</v>
      </c>
      <c r="S3896">
        <v>-0.48205569999999998</v>
      </c>
      <c r="T3896">
        <v>-0.15111720000000001</v>
      </c>
      <c r="U3896">
        <v>-2.9660030000000002</v>
      </c>
      <c r="V3896">
        <v>0.1053111</v>
      </c>
      <c r="W3896">
        <v>-0.10749640000000001</v>
      </c>
      <c r="X3896">
        <v>0.98861220000000005</v>
      </c>
      <c r="Y3896">
        <v>0.12632979999999999</v>
      </c>
      <c r="Z3896">
        <v>3.6598319999999997E-2</v>
      </c>
      <c r="AA3896">
        <v>0.99131290000000005</v>
      </c>
      <c r="AB3896">
        <v>24</v>
      </c>
      <c r="AC3896">
        <v>-3.5673999999999899</v>
      </c>
      <c r="AD3896">
        <v>-1.1210190021399999</v>
      </c>
      <c r="AE3896">
        <v>-21.752399999999898</v>
      </c>
      <c r="AF3896">
        <v>2.8123741942864</v>
      </c>
      <c r="AG3896">
        <v>-1.1210190021399999</v>
      </c>
      <c r="AH3896">
        <v>21.80550732751</v>
      </c>
      <c r="AI3896">
        <v>92.9188449764723</v>
      </c>
      <c r="AJ3896">
        <v>82.650824614445199</v>
      </c>
      <c r="AK3896">
        <v>22.014683327768701</v>
      </c>
      <c r="AL3896">
        <v>96.1710140553256</v>
      </c>
      <c r="AM3896">
        <v>83.919544235740503</v>
      </c>
      <c r="AN3896">
        <v>0.99999999289250496</v>
      </c>
    </row>
    <row r="3897" spans="1:40" x14ac:dyDescent="0.25">
      <c r="A3897" t="str">
        <f>"20190303154550265"</f>
        <v>20190303154550265</v>
      </c>
      <c r="B3897" t="str">
        <f>"1551599150255334"</f>
        <v>1551599150255334</v>
      </c>
      <c r="C3897" t="s">
        <v>40</v>
      </c>
      <c r="D3897">
        <v>5.408074</v>
      </c>
      <c r="E3897">
        <v>0.51291409999999904</v>
      </c>
      <c r="F3897" t="s">
        <v>61</v>
      </c>
      <c r="G3897">
        <v>-195.6798</v>
      </c>
      <c r="H3897" s="1">
        <v>-1.1668049999999999E-5</v>
      </c>
      <c r="I3897">
        <v>149.48560000000001</v>
      </c>
      <c r="J3897">
        <v>-191.95529999999999</v>
      </c>
      <c r="K3897">
        <v>1.121014</v>
      </c>
      <c r="L3897">
        <v>171.9101</v>
      </c>
      <c r="M3897">
        <v>-3.4272560000000001E-2</v>
      </c>
      <c r="N3897">
        <v>-1.3758279999999999E-2</v>
      </c>
      <c r="O3897">
        <v>-0.99931789999999998</v>
      </c>
      <c r="P3897">
        <v>-0.14153019999999999</v>
      </c>
      <c r="Q3897">
        <v>-0.11914370000000001</v>
      </c>
      <c r="R3897">
        <v>-0.98273829999999995</v>
      </c>
      <c r="S3897">
        <v>-0.48858639999999998</v>
      </c>
      <c r="T3897">
        <v>-0.14675460000000001</v>
      </c>
      <c r="U3897">
        <v>-2.9651179999999999</v>
      </c>
      <c r="V3897">
        <v>0.1077605</v>
      </c>
      <c r="W3897">
        <v>-0.1055553</v>
      </c>
      <c r="X3897">
        <v>0.98855740000000003</v>
      </c>
      <c r="Y3897">
        <v>0.12851489999999999</v>
      </c>
      <c r="Z3897">
        <v>3.5148369999999998E-2</v>
      </c>
      <c r="AA3897">
        <v>0.99108450000000003</v>
      </c>
      <c r="AB3897">
        <v>24</v>
      </c>
      <c r="AC3897">
        <v>-3.7244999999999999</v>
      </c>
      <c r="AD3897">
        <v>-1.1210256680499999</v>
      </c>
      <c r="AE3897">
        <v>-22.424499999999899</v>
      </c>
      <c r="AF3897">
        <v>2.94652780271189</v>
      </c>
      <c r="AG3897">
        <v>-1.1210256680499999</v>
      </c>
      <c r="AH3897">
        <v>22.484301559565001</v>
      </c>
      <c r="AI3897">
        <v>92.830139405176197</v>
      </c>
      <c r="AJ3897">
        <v>82.534035081443903</v>
      </c>
      <c r="AK3897">
        <v>22.704240600866498</v>
      </c>
      <c r="AL3897">
        <v>96.059160764002797</v>
      </c>
      <c r="AM3897">
        <v>83.778874904729705</v>
      </c>
      <c r="AN3897">
        <v>0.99999998990655004</v>
      </c>
    </row>
    <row r="3898" spans="1:40" x14ac:dyDescent="0.25">
      <c r="A3898" t="str">
        <f>"20190303154550287"</f>
        <v>20190303154550287</v>
      </c>
      <c r="B3898" t="str">
        <f>"1551599150284614"</f>
        <v>1551599150284614</v>
      </c>
      <c r="C3898" t="s">
        <v>40</v>
      </c>
      <c r="D3898">
        <v>5.4751820000000002</v>
      </c>
      <c r="E3898">
        <v>0.61693719999999996</v>
      </c>
      <c r="F3898" t="s">
        <v>61</v>
      </c>
      <c r="G3898">
        <v>-196.19290000000001</v>
      </c>
      <c r="H3898" s="1">
        <v>-1.14274499999999E-5</v>
      </c>
      <c r="I3898">
        <v>148.22810000000001</v>
      </c>
      <c r="J3898">
        <v>-191.96340000000001</v>
      </c>
      <c r="K3898">
        <v>1.1210169999999999</v>
      </c>
      <c r="L3898">
        <v>171.67570000000001</v>
      </c>
      <c r="M3898">
        <v>-3.4271589999999998E-2</v>
      </c>
      <c r="N3898">
        <v>-1.3757729999999999E-2</v>
      </c>
      <c r="O3898">
        <v>-0.99931809999999999</v>
      </c>
      <c r="P3898">
        <v>-0.14466860000000001</v>
      </c>
      <c r="Q3898">
        <v>-0.1176553</v>
      </c>
      <c r="R3898">
        <v>-0.98246060000000002</v>
      </c>
      <c r="S3898">
        <v>-0.52955629999999998</v>
      </c>
      <c r="T3898">
        <v>-0.14009050000000001</v>
      </c>
      <c r="U3898">
        <v>-2.959457</v>
      </c>
      <c r="V3898">
        <v>0.110907199999999</v>
      </c>
      <c r="W3898">
        <v>-0.1040703</v>
      </c>
      <c r="X3898">
        <v>0.98836679999999999</v>
      </c>
      <c r="Y3898">
        <v>0.14214289999999999</v>
      </c>
      <c r="Z3898">
        <v>3.2927270000000002E-2</v>
      </c>
      <c r="AA3898">
        <v>0.98929829999999996</v>
      </c>
      <c r="AB3898">
        <v>24</v>
      </c>
      <c r="AC3898">
        <v>-4.2294999999999998</v>
      </c>
      <c r="AD3898">
        <v>-1.12102842745</v>
      </c>
      <c r="AE3898">
        <v>-23.447599999999898</v>
      </c>
      <c r="AF3898">
        <v>3.4157907940719801</v>
      </c>
      <c r="AG3898">
        <v>-1.12102842745</v>
      </c>
      <c r="AH3898">
        <v>23.526706130590998</v>
      </c>
      <c r="AI3898">
        <v>92.699769997443497</v>
      </c>
      <c r="AJ3898">
        <v>81.739074264394802</v>
      </c>
      <c r="AK3898">
        <v>23.799794806661801</v>
      </c>
      <c r="AL3898">
        <v>95.973605322473702</v>
      </c>
      <c r="AM3898">
        <v>83.597475272078299</v>
      </c>
      <c r="AN3898">
        <v>0.999999982848084</v>
      </c>
    </row>
    <row r="3899" spans="1:40" x14ac:dyDescent="0.25">
      <c r="A3899" t="str">
        <f>"20190303154550312"</f>
        <v>20190303154550312</v>
      </c>
      <c r="B3899" t="str">
        <f>"1551599150304762"</f>
        <v>1551599150304762</v>
      </c>
      <c r="C3899" t="s">
        <v>40</v>
      </c>
      <c r="D3899">
        <v>5.462688</v>
      </c>
      <c r="E3899">
        <v>0.61714040000000003</v>
      </c>
      <c r="F3899" t="s">
        <v>61</v>
      </c>
      <c r="G3899">
        <v>-208.8665</v>
      </c>
      <c r="H3899" s="1">
        <v>-4.7595239999999997E-6</v>
      </c>
      <c r="I3899">
        <v>136.3554</v>
      </c>
      <c r="J3899">
        <v>-191.97219999999999</v>
      </c>
      <c r="K3899">
        <v>1.1210279999999999</v>
      </c>
      <c r="L3899">
        <v>171.4177</v>
      </c>
      <c r="M3899">
        <v>-3.4271999999999997E-2</v>
      </c>
      <c r="N3899">
        <v>-1.3756819999999999E-2</v>
      </c>
      <c r="O3899">
        <v>-0.99931809999999999</v>
      </c>
      <c r="P3899">
        <v>-0.14765909999999999</v>
      </c>
      <c r="Q3899">
        <v>-0.1166721</v>
      </c>
      <c r="R3899">
        <v>-0.98213329999999999</v>
      </c>
      <c r="S3899">
        <v>-1.3602909999999999</v>
      </c>
      <c r="T3899">
        <v>-9.0215329999999996E-2</v>
      </c>
      <c r="U3899">
        <v>-2.842438</v>
      </c>
      <c r="V3899">
        <v>0.1139064</v>
      </c>
      <c r="W3899">
        <v>-0.1030918</v>
      </c>
      <c r="X3899">
        <v>0.98812820000000001</v>
      </c>
      <c r="Y3899">
        <v>0.40034769999999997</v>
      </c>
      <c r="Z3899">
        <v>1.515882E-2</v>
      </c>
      <c r="AA3899">
        <v>0.916238</v>
      </c>
      <c r="AB3899">
        <v>24</v>
      </c>
      <c r="AC3899">
        <v>-16.894300000000001</v>
      </c>
      <c r="AD3899">
        <v>-1.1210327595239999</v>
      </c>
      <c r="AE3899">
        <v>-35.062299999999901</v>
      </c>
      <c r="AF3899">
        <v>15.6696048320945</v>
      </c>
      <c r="AG3899">
        <v>-1.1210327595239999</v>
      </c>
      <c r="AH3899">
        <v>35.591226920013</v>
      </c>
      <c r="AI3899">
        <v>91.651223003617105</v>
      </c>
      <c r="AJ3899">
        <v>66.237741168490103</v>
      </c>
      <c r="AK3899">
        <v>38.904095719008602</v>
      </c>
      <c r="AL3899">
        <v>95.917238316507195</v>
      </c>
      <c r="AM3899">
        <v>83.424257881609094</v>
      </c>
      <c r="AN3899">
        <v>0.99999996341171904</v>
      </c>
    </row>
    <row r="3900" spans="1:40" x14ac:dyDescent="0.25">
      <c r="A3900" t="str">
        <f>"20190303154550333"</f>
        <v>20190303154550333</v>
      </c>
      <c r="B3900" t="str">
        <f>"1551599150325258"</f>
        <v>1551599150325258</v>
      </c>
      <c r="C3900" t="s">
        <v>40</v>
      </c>
      <c r="D3900">
        <v>5.4078489999999997</v>
      </c>
      <c r="E3900">
        <v>0.61687320000000001</v>
      </c>
      <c r="F3900" t="s">
        <v>61</v>
      </c>
      <c r="G3900">
        <v>-202.2723</v>
      </c>
      <c r="H3900">
        <v>7.9984920000000001E-2</v>
      </c>
      <c r="I3900">
        <v>150.12129999999999</v>
      </c>
      <c r="J3900">
        <v>-191.97989999999999</v>
      </c>
      <c r="K3900">
        <v>1.12103</v>
      </c>
      <c r="L3900">
        <v>171.19399999999999</v>
      </c>
      <c r="M3900">
        <v>-3.4272950000000003E-2</v>
      </c>
      <c r="N3900">
        <v>-1.375582E-2</v>
      </c>
      <c r="O3900">
        <v>-0.99931760000000003</v>
      </c>
      <c r="P3900">
        <v>-0.1510157</v>
      </c>
      <c r="Q3900">
        <v>-0.1149242</v>
      </c>
      <c r="R3900">
        <v>-0.98182820000000004</v>
      </c>
      <c r="S3900">
        <v>-1.3697969999999999</v>
      </c>
      <c r="T3900">
        <v>-0.13844699999999999</v>
      </c>
      <c r="U3900">
        <v>-2.8321839999999998</v>
      </c>
      <c r="V3900">
        <v>0.11727029999999999</v>
      </c>
      <c r="W3900">
        <v>-0.1013481</v>
      </c>
      <c r="X3900">
        <v>0.98791510000000005</v>
      </c>
      <c r="Y3900">
        <v>0.40393479999999998</v>
      </c>
      <c r="Z3900">
        <v>3.0618139999999999E-2</v>
      </c>
      <c r="AA3900">
        <v>0.91427519999999995</v>
      </c>
      <c r="AB3900">
        <v>24</v>
      </c>
      <c r="AC3900">
        <v>-10.292400000000001</v>
      </c>
      <c r="AD3900">
        <v>-1.04104508</v>
      </c>
      <c r="AE3900">
        <v>-21.072700000000001</v>
      </c>
      <c r="AF3900">
        <v>9.5452508814723505</v>
      </c>
      <c r="AG3900">
        <v>-1.04104508</v>
      </c>
      <c r="AH3900">
        <v>21.370989892284499</v>
      </c>
      <c r="AI3900">
        <v>92.5467288841227</v>
      </c>
      <c r="AJ3900">
        <v>65.932300233826098</v>
      </c>
      <c r="AK3900">
        <v>23.428930795599001</v>
      </c>
      <c r="AL3900">
        <v>95.816805334764098</v>
      </c>
      <c r="AM3900">
        <v>83.230391766529607</v>
      </c>
      <c r="AN3900">
        <v>1.0000000027218501</v>
      </c>
    </row>
    <row r="3901" spans="1:40" x14ac:dyDescent="0.25">
      <c r="A3901" t="str">
        <f>"20190303154550355"</f>
        <v>20190303154550355</v>
      </c>
      <c r="B3901" t="str">
        <f>"1551599150344778"</f>
        <v>1551599150344778</v>
      </c>
      <c r="C3901" t="s">
        <v>40</v>
      </c>
      <c r="D3901">
        <v>5.3901629999999896</v>
      </c>
      <c r="E3901">
        <v>0.61679459999999997</v>
      </c>
      <c r="F3901" t="s">
        <v>61</v>
      </c>
      <c r="G3901">
        <v>-200.76740000000001</v>
      </c>
      <c r="H3901">
        <v>7.9984819999999998E-2</v>
      </c>
      <c r="I3901">
        <v>153.166</v>
      </c>
      <c r="J3901">
        <v>-191.98779999999999</v>
      </c>
      <c r="K3901">
        <v>1.12104</v>
      </c>
      <c r="L3901">
        <v>170.96350000000001</v>
      </c>
      <c r="M3901">
        <v>-3.4273999999999999E-2</v>
      </c>
      <c r="N3901">
        <v>-1.375461E-2</v>
      </c>
      <c r="O3901">
        <v>-0.99931809999999999</v>
      </c>
      <c r="P3901">
        <v>-0.15286949999999999</v>
      </c>
      <c r="Q3901">
        <v>-0.1142808</v>
      </c>
      <c r="R3901">
        <v>-0.98161699999999996</v>
      </c>
      <c r="S3901">
        <v>-1.376846</v>
      </c>
      <c r="T3901">
        <v>-0.16311349999999999</v>
      </c>
      <c r="U3901">
        <v>-2.8246769999999999</v>
      </c>
      <c r="V3901">
        <v>0.1191289</v>
      </c>
      <c r="W3901">
        <v>-0.1007083</v>
      </c>
      <c r="X3901">
        <v>0.98775820000000003</v>
      </c>
      <c r="Y3901">
        <v>0.40658759999999999</v>
      </c>
      <c r="Z3901">
        <v>3.8553749999999998E-2</v>
      </c>
      <c r="AA3901">
        <v>0.912798</v>
      </c>
      <c r="AB3901">
        <v>24</v>
      </c>
      <c r="AC3901">
        <v>-8.7796000000000092</v>
      </c>
      <c r="AD3901">
        <v>-1.0410551800000001</v>
      </c>
      <c r="AE3901">
        <v>-17.797499999999999</v>
      </c>
      <c r="AF3901">
        <v>8.1419856211694093</v>
      </c>
      <c r="AG3901">
        <v>-1.0410551800000001</v>
      </c>
      <c r="AH3901">
        <v>18.038341820280898</v>
      </c>
      <c r="AI3901">
        <v>93.011161686319994</v>
      </c>
      <c r="AJ3901">
        <v>65.706960612538595</v>
      </c>
      <c r="AK3901">
        <v>19.818110438899801</v>
      </c>
      <c r="AL3901">
        <v>95.779958645478402</v>
      </c>
      <c r="AM3901">
        <v>83.123038738622398</v>
      </c>
      <c r="AN3901">
        <v>1.0000000590856599</v>
      </c>
    </row>
    <row r="3902" spans="1:40" x14ac:dyDescent="0.25">
      <c r="A3902" t="str">
        <f>"20190303154550376"</f>
        <v>20190303154550376</v>
      </c>
      <c r="B3902" t="str">
        <f>"1551599150375034"</f>
        <v>1551599150375034</v>
      </c>
      <c r="C3902" t="s">
        <v>40</v>
      </c>
      <c r="D3902">
        <v>5.4345990000000004</v>
      </c>
      <c r="E3902">
        <v>0.61668699999999999</v>
      </c>
      <c r="F3902" t="s">
        <v>61</v>
      </c>
      <c r="G3902">
        <v>-199.9864</v>
      </c>
      <c r="H3902">
        <v>7.8625879999999995E-2</v>
      </c>
      <c r="I3902">
        <v>154.6353</v>
      </c>
      <c r="J3902">
        <v>-191.99590000000001</v>
      </c>
      <c r="K3902">
        <v>1.121049</v>
      </c>
      <c r="L3902">
        <v>170.72909999999999</v>
      </c>
      <c r="M3902">
        <v>-3.427492E-2</v>
      </c>
      <c r="N3902">
        <v>-1.3753080000000001E-2</v>
      </c>
      <c r="O3902">
        <v>-0.99931789999999998</v>
      </c>
      <c r="P3902">
        <v>-0.1570587</v>
      </c>
      <c r="Q3902">
        <v>-0.1131889</v>
      </c>
      <c r="R3902">
        <v>-0.98108150000000005</v>
      </c>
      <c r="S3902">
        <v>-1.381454</v>
      </c>
      <c r="T3902">
        <v>-0.1800379</v>
      </c>
      <c r="U3902">
        <v>-2.820084</v>
      </c>
      <c r="V3902">
        <v>0.123333</v>
      </c>
      <c r="W3902">
        <v>-9.9623779999999995E-2</v>
      </c>
      <c r="X3902">
        <v>0.98735209999999995</v>
      </c>
      <c r="Y3902">
        <v>0.40826119999999999</v>
      </c>
      <c r="Z3902">
        <v>4.3997660000000001E-2</v>
      </c>
      <c r="AA3902">
        <v>0.91180430000000001</v>
      </c>
      <c r="AB3902">
        <v>24</v>
      </c>
      <c r="AC3902">
        <v>-7.9904999999999902</v>
      </c>
      <c r="AD3902">
        <v>-1.04242312</v>
      </c>
      <c r="AE3902">
        <v>-16.093799999999899</v>
      </c>
      <c r="AF3902">
        <v>7.4092012252714499</v>
      </c>
      <c r="AG3902">
        <v>-1.04242312</v>
      </c>
      <c r="AH3902">
        <v>16.303369496030601</v>
      </c>
      <c r="AI3902">
        <v>93.331424787831907</v>
      </c>
      <c r="AJ3902">
        <v>65.560184925786501</v>
      </c>
      <c r="AK3902">
        <v>17.938304426053701</v>
      </c>
      <c r="AL3902">
        <v>95.717506201187206</v>
      </c>
      <c r="AM3902">
        <v>82.879898197294494</v>
      </c>
      <c r="AN3902">
        <v>1.00000004790244</v>
      </c>
    </row>
    <row r="3903" spans="1:40" x14ac:dyDescent="0.25">
      <c r="A3903" t="str">
        <f>"20190303154550400"</f>
        <v>20190303154550400</v>
      </c>
      <c r="B3903" t="str">
        <f>"1551599150394554"</f>
        <v>1551599150394554</v>
      </c>
      <c r="C3903" t="s">
        <v>40</v>
      </c>
      <c r="D3903">
        <v>5.4322739999999996</v>
      </c>
      <c r="E3903">
        <v>0.61669659999999904</v>
      </c>
      <c r="F3903" t="s">
        <v>61</v>
      </c>
      <c r="G3903">
        <v>-199.95779999999999</v>
      </c>
      <c r="H3903">
        <v>1.069183E-3</v>
      </c>
      <c r="I3903">
        <v>154.6465</v>
      </c>
      <c r="J3903">
        <v>-192.00399999999999</v>
      </c>
      <c r="K3903">
        <v>1.1210629999999999</v>
      </c>
      <c r="L3903">
        <v>170.49100000000001</v>
      </c>
      <c r="M3903">
        <v>-3.4275640000000003E-2</v>
      </c>
      <c r="N3903">
        <v>-1.375144E-2</v>
      </c>
      <c r="O3903">
        <v>-0.99931789999999998</v>
      </c>
      <c r="P3903">
        <v>-0.1613588</v>
      </c>
      <c r="Q3903">
        <v>-0.1123101</v>
      </c>
      <c r="R3903">
        <v>-0.98048449999999998</v>
      </c>
      <c r="S3903">
        <v>-1.392288</v>
      </c>
      <c r="T3903">
        <v>-0.1958493</v>
      </c>
      <c r="U3903">
        <v>-2.8123469999999999</v>
      </c>
      <c r="V3903">
        <v>0.12765029999999999</v>
      </c>
      <c r="W3903">
        <v>-9.8753149999999998E-2</v>
      </c>
      <c r="X3903">
        <v>0.98689070000000001</v>
      </c>
      <c r="Y3903">
        <v>0.41195229999999999</v>
      </c>
      <c r="Z3903">
        <v>4.9093499999999998E-2</v>
      </c>
      <c r="AA3903">
        <v>0.90988190000000002</v>
      </c>
      <c r="AB3903">
        <v>24</v>
      </c>
      <c r="AC3903">
        <v>-7.95379999999997</v>
      </c>
      <c r="AD3903">
        <v>-1.1199938169999999</v>
      </c>
      <c r="AE3903">
        <v>-15.844499999999901</v>
      </c>
      <c r="AF3903">
        <v>7.3765547830468998</v>
      </c>
      <c r="AG3903">
        <v>-1.1199938169999999</v>
      </c>
      <c r="AH3903">
        <v>16.043806306959102</v>
      </c>
      <c r="AI3903">
        <v>93.629165857292804</v>
      </c>
      <c r="AJ3903">
        <v>65.308170284783799</v>
      </c>
      <c r="AK3903">
        <v>17.693831338424999</v>
      </c>
      <c r="AL3903">
        <v>95.667375732339593</v>
      </c>
      <c r="AM3903">
        <v>82.629943326348894</v>
      </c>
      <c r="AN3903">
        <v>1.0000000187357501</v>
      </c>
    </row>
    <row r="3904" spans="1:40" x14ac:dyDescent="0.25">
      <c r="A3904" t="str">
        <f>"20190303154550422"</f>
        <v>20190303154550422</v>
      </c>
      <c r="B3904" t="str">
        <f>"1551599150415050"</f>
        <v>1551599150415050</v>
      </c>
      <c r="C3904" t="s">
        <v>40</v>
      </c>
      <c r="D3904">
        <v>5.4181150000000002</v>
      </c>
      <c r="E3904">
        <v>0.61670219999999998</v>
      </c>
      <c r="F3904" t="s">
        <v>61</v>
      </c>
      <c r="G3904">
        <v>-199.81800000000001</v>
      </c>
      <c r="H3904" s="1">
        <v>-1.3787249999999999E-5</v>
      </c>
      <c r="I3904">
        <v>154.88579999999999</v>
      </c>
      <c r="J3904">
        <v>-192.01220000000001</v>
      </c>
      <c r="K3904">
        <v>1.1210770000000001</v>
      </c>
      <c r="L3904">
        <v>170.25389999999999</v>
      </c>
      <c r="M3904">
        <v>-3.4275890000000003E-2</v>
      </c>
      <c r="N3904">
        <v>-1.374993E-2</v>
      </c>
      <c r="O3904">
        <v>-0.99931789999999998</v>
      </c>
      <c r="P3904">
        <v>-0.1654484</v>
      </c>
      <c r="Q3904">
        <v>-0.1107886</v>
      </c>
      <c r="R3904">
        <v>-0.97997610000000002</v>
      </c>
      <c r="S3904">
        <v>-1.404755</v>
      </c>
      <c r="T3904">
        <v>-0.2015421</v>
      </c>
      <c r="U3904">
        <v>-2.8054199999999998</v>
      </c>
      <c r="V3904">
        <v>0.1317547</v>
      </c>
      <c r="W3904">
        <v>-9.7238519999999995E-2</v>
      </c>
      <c r="X3904">
        <v>0.98650159999999998</v>
      </c>
      <c r="Y3904">
        <v>0.41603099999999998</v>
      </c>
      <c r="Z3904">
        <v>5.0931560000000001E-2</v>
      </c>
      <c r="AA3904">
        <v>0.90792300000000004</v>
      </c>
      <c r="AB3904">
        <v>24</v>
      </c>
      <c r="AC3904">
        <v>-7.8057999999999703</v>
      </c>
      <c r="AD3904">
        <v>-1.12109078725</v>
      </c>
      <c r="AE3904">
        <v>-15.368099999999901</v>
      </c>
      <c r="AF3904">
        <v>7.2437645376321402</v>
      </c>
      <c r="AG3904">
        <v>-1.12109078725</v>
      </c>
      <c r="AH3904">
        <v>15.5608180461243</v>
      </c>
      <c r="AI3904">
        <v>93.736993631908405</v>
      </c>
      <c r="AJ3904">
        <v>65.037405522270902</v>
      </c>
      <c r="AK3904">
        <v>17.200814733450901</v>
      </c>
      <c r="AL3904">
        <v>95.580174101907303</v>
      </c>
      <c r="AM3904">
        <v>82.392736827623693</v>
      </c>
      <c r="AN3904">
        <v>1.0000000187732201</v>
      </c>
    </row>
    <row r="3905" spans="1:40" x14ac:dyDescent="0.25">
      <c r="A3905" t="str">
        <f>"20190303154550445"</f>
        <v>20190303154550445</v>
      </c>
      <c r="B3905" t="str">
        <f>"1551599150434570"</f>
        <v>1551599150434570</v>
      </c>
      <c r="C3905" t="s">
        <v>40</v>
      </c>
      <c r="D3905">
        <v>5.4166169999999996</v>
      </c>
      <c r="E3905">
        <v>0.6166005</v>
      </c>
      <c r="F3905" t="s">
        <v>61</v>
      </c>
      <c r="G3905">
        <v>-199.7809</v>
      </c>
      <c r="H3905" s="1">
        <v>-1.379114E-5</v>
      </c>
      <c r="I3905">
        <v>154.90129999999999</v>
      </c>
      <c r="J3905">
        <v>-192.02029999999999</v>
      </c>
      <c r="K3905">
        <v>1.121089</v>
      </c>
      <c r="L3905">
        <v>170.01679999999999</v>
      </c>
      <c r="M3905">
        <v>-3.4269819999999999E-2</v>
      </c>
      <c r="N3905">
        <v>-1.3748369999999999E-2</v>
      </c>
      <c r="O3905">
        <v>-0.99931809999999999</v>
      </c>
      <c r="P3905">
        <v>-0.1695479</v>
      </c>
      <c r="Q3905">
        <v>-0.1096965</v>
      </c>
      <c r="R3905">
        <v>-0.97939799999999999</v>
      </c>
      <c r="S3905">
        <v>-1.416382</v>
      </c>
      <c r="T3905">
        <v>-0.2043943</v>
      </c>
      <c r="U3905">
        <v>-2.799042</v>
      </c>
      <c r="V3905">
        <v>0.1358782</v>
      </c>
      <c r="W3905">
        <v>-9.6153329999999995E-2</v>
      </c>
      <c r="X3905">
        <v>0.98604849999999999</v>
      </c>
      <c r="Y3905">
        <v>0.4198423</v>
      </c>
      <c r="Z3905">
        <v>5.1859160000000001E-2</v>
      </c>
      <c r="AA3905">
        <v>0.90611430000000004</v>
      </c>
      <c r="AB3905">
        <v>23</v>
      </c>
      <c r="AC3905">
        <v>-7.7606000000000099</v>
      </c>
      <c r="AD3905">
        <v>-1.12110279114</v>
      </c>
      <c r="AE3905">
        <v>-15.1154999999999</v>
      </c>
      <c r="AF3905">
        <v>7.2066124785772399</v>
      </c>
      <c r="AG3905">
        <v>-1.12110279114</v>
      </c>
      <c r="AH3905">
        <v>15.3059650714514</v>
      </c>
      <c r="AI3905">
        <v>93.791340477720098</v>
      </c>
      <c r="AJ3905">
        <v>64.787215183110106</v>
      </c>
      <c r="AK3905">
        <v>16.954784034400902</v>
      </c>
      <c r="AL3905">
        <v>95.517704683550406</v>
      </c>
      <c r="AM3905">
        <v>82.154013515130501</v>
      </c>
      <c r="AN3905">
        <v>0.99999999622878899</v>
      </c>
    </row>
    <row r="3906" spans="1:40" x14ac:dyDescent="0.25">
      <c r="A3906" t="str">
        <f>"20190303154550466"</f>
        <v>20190303154550466</v>
      </c>
      <c r="B3906" t="str">
        <f>"1551599150455066"</f>
        <v>1551599150455066</v>
      </c>
      <c r="C3906" t="s">
        <v>40</v>
      </c>
      <c r="D3906">
        <v>5.4147230000000004</v>
      </c>
      <c r="E3906">
        <v>0.61636179999999996</v>
      </c>
      <c r="F3906" t="s">
        <v>61</v>
      </c>
      <c r="G3906">
        <v>-199.7825</v>
      </c>
      <c r="H3906" s="1">
        <v>-1.3772960000000001E-5</v>
      </c>
      <c r="I3906">
        <v>154.82900000000001</v>
      </c>
      <c r="J3906">
        <v>-192.02780000000001</v>
      </c>
      <c r="K3906">
        <v>1.121097</v>
      </c>
      <c r="L3906">
        <v>169.7979</v>
      </c>
      <c r="M3906">
        <v>-3.4254350000000003E-2</v>
      </c>
      <c r="N3906">
        <v>-1.374681E-2</v>
      </c>
      <c r="O3906">
        <v>-0.99931879999999995</v>
      </c>
      <c r="P3906">
        <v>-0.17348820000000001</v>
      </c>
      <c r="Q3906">
        <v>-0.1090289</v>
      </c>
      <c r="R3906">
        <v>-0.97878240000000005</v>
      </c>
      <c r="S3906">
        <v>-1.4273990000000001</v>
      </c>
      <c r="T3906">
        <v>-0.2061617</v>
      </c>
      <c r="U3906">
        <v>-2.7929080000000002</v>
      </c>
      <c r="V3906">
        <v>0.13985410000000001</v>
      </c>
      <c r="W3906">
        <v>-9.5491980000000004E-2</v>
      </c>
      <c r="X3906">
        <v>0.98555680000000001</v>
      </c>
      <c r="Y3906">
        <v>0.4234755</v>
      </c>
      <c r="Z3906">
        <v>5.244033E-2</v>
      </c>
      <c r="AA3906">
        <v>0.90438850000000004</v>
      </c>
      <c r="AB3906">
        <v>23</v>
      </c>
      <c r="AC3906">
        <v>-7.7546999999999802</v>
      </c>
      <c r="AD3906">
        <v>-1.1211107729600001</v>
      </c>
      <c r="AE3906">
        <v>-14.9688999999999</v>
      </c>
      <c r="AF3906">
        <v>7.2054837299059704</v>
      </c>
      <c r="AG3906">
        <v>-1.1211107729600001</v>
      </c>
      <c r="AH3906">
        <v>15.158731568891101</v>
      </c>
      <c r="AI3906">
        <v>93.821451485723401</v>
      </c>
      <c r="AJ3906">
        <v>64.576598424140997</v>
      </c>
      <c r="AK3906">
        <v>16.821504924497201</v>
      </c>
      <c r="AL3906">
        <v>95.479636669413395</v>
      </c>
      <c r="AM3906">
        <v>81.923443682634598</v>
      </c>
      <c r="AN3906">
        <v>1.00000004677868</v>
      </c>
    </row>
    <row r="3907" spans="1:40" x14ac:dyDescent="0.25">
      <c r="A3907" t="str">
        <f>"20190303154550491"</f>
        <v>20190303154550491</v>
      </c>
      <c r="B3907" t="str">
        <f>"1551599150485322"</f>
        <v>1551599150485322</v>
      </c>
      <c r="C3907" t="s">
        <v>40</v>
      </c>
      <c r="D3907">
        <v>5.392887</v>
      </c>
      <c r="E3907">
        <v>0.61617709999999903</v>
      </c>
      <c r="F3907" t="s">
        <v>61</v>
      </c>
      <c r="G3907">
        <v>-199.72730000000001</v>
      </c>
      <c r="H3907" s="1">
        <v>-1.378148E-5</v>
      </c>
      <c r="I3907">
        <v>154.8629</v>
      </c>
      <c r="J3907">
        <v>-192.03649999999999</v>
      </c>
      <c r="K3907">
        <v>1.1211150000000001</v>
      </c>
      <c r="L3907">
        <v>169.542</v>
      </c>
      <c r="M3907">
        <v>-3.419788E-2</v>
      </c>
      <c r="N3907">
        <v>-1.3744869999999999E-2</v>
      </c>
      <c r="O3907">
        <v>-0.99932080000000001</v>
      </c>
      <c r="P3907">
        <v>-0.1771953</v>
      </c>
      <c r="Q3907">
        <v>-0.1086839</v>
      </c>
      <c r="R3907">
        <v>-0.97815680000000005</v>
      </c>
      <c r="S3907">
        <v>-1.4368289999999999</v>
      </c>
      <c r="T3907">
        <v>-0.20921490000000001</v>
      </c>
      <c r="U3907">
        <v>-2.787064</v>
      </c>
      <c r="V3907">
        <v>0.14364089999999999</v>
      </c>
      <c r="W3907">
        <v>-9.5148750000000004E-2</v>
      </c>
      <c r="X3907">
        <v>0.98504519999999995</v>
      </c>
      <c r="Y3907">
        <v>0.42668420000000001</v>
      </c>
      <c r="Z3907">
        <v>5.344024E-2</v>
      </c>
      <c r="AA3907">
        <v>0.90282039999999997</v>
      </c>
      <c r="AB3907">
        <v>23</v>
      </c>
      <c r="AC3907">
        <v>-7.6908000000000198</v>
      </c>
      <c r="AD3907">
        <v>-1.1211287814799999</v>
      </c>
      <c r="AE3907">
        <v>-14.6791</v>
      </c>
      <c r="AF3907">
        <v>7.1515273918688198</v>
      </c>
      <c r="AG3907">
        <v>-1.1211287814799999</v>
      </c>
      <c r="AH3907">
        <v>14.8655081227307</v>
      </c>
      <c r="AI3907">
        <v>93.887983908158802</v>
      </c>
      <c r="AJ3907">
        <v>64.308633268579499</v>
      </c>
      <c r="AK3907">
        <v>16.534346238309102</v>
      </c>
      <c r="AL3907">
        <v>95.459881235579999</v>
      </c>
      <c r="AM3907">
        <v>81.7035114303265</v>
      </c>
      <c r="AN3907">
        <v>1.0000000194112</v>
      </c>
    </row>
    <row r="3908" spans="1:40" x14ac:dyDescent="0.25">
      <c r="A3908" t="str">
        <f>"20190303154550512"</f>
        <v>20190303154550512</v>
      </c>
      <c r="B3908" t="str">
        <f>"1551599150504842"</f>
        <v>1551599150504842</v>
      </c>
      <c r="C3908" t="s">
        <v>40</v>
      </c>
      <c r="D3908">
        <v>5.3583689999999997</v>
      </c>
      <c r="E3908">
        <v>0.61672680000000002</v>
      </c>
      <c r="F3908" t="s">
        <v>61</v>
      </c>
      <c r="G3908">
        <v>-199.60560000000001</v>
      </c>
      <c r="H3908" s="1">
        <v>-1.3811E-5</v>
      </c>
      <c r="I3908">
        <v>154.9802</v>
      </c>
      <c r="J3908">
        <v>-192.04419999999999</v>
      </c>
      <c r="K3908">
        <v>1.121149</v>
      </c>
      <c r="L3908">
        <v>169.315</v>
      </c>
      <c r="M3908">
        <v>-3.4093440000000003E-2</v>
      </c>
      <c r="N3908">
        <v>-1.3743129999999999E-2</v>
      </c>
      <c r="O3908">
        <v>-0.9993244</v>
      </c>
      <c r="P3908">
        <v>-0.1804695</v>
      </c>
      <c r="Q3908">
        <v>-0.1078122</v>
      </c>
      <c r="R3908">
        <v>-0.97765420000000003</v>
      </c>
      <c r="S3908">
        <v>-1.445694</v>
      </c>
      <c r="T3908">
        <v>-0.21413599999999999</v>
      </c>
      <c r="U3908">
        <v>-2.7813110000000001</v>
      </c>
      <c r="V3908">
        <v>0.147040899999999</v>
      </c>
      <c r="W3908">
        <v>-9.427199E-2</v>
      </c>
      <c r="X3908">
        <v>0.98462769999999999</v>
      </c>
      <c r="Y3908">
        <v>0.4297589</v>
      </c>
      <c r="Z3908">
        <v>5.5038999999999998E-2</v>
      </c>
      <c r="AA3908">
        <v>0.90126470000000003</v>
      </c>
      <c r="AB3908">
        <v>23</v>
      </c>
      <c r="AC3908">
        <v>-7.5614000000000097</v>
      </c>
      <c r="AD3908">
        <v>-1.121162811</v>
      </c>
      <c r="AE3908">
        <v>-14.3348</v>
      </c>
      <c r="AF3908">
        <v>7.0345696460919704</v>
      </c>
      <c r="AG3908">
        <v>-1.121162811</v>
      </c>
      <c r="AH3908">
        <v>14.5148203956303</v>
      </c>
      <c r="AI3908">
        <v>93.976204829600405</v>
      </c>
      <c r="AJ3908">
        <v>64.142973374465399</v>
      </c>
      <c r="AK3908">
        <v>16.168555509750799</v>
      </c>
      <c r="AL3908">
        <v>95.409420019046905</v>
      </c>
      <c r="AM3908">
        <v>81.506414632637302</v>
      </c>
      <c r="AN3908">
        <v>0.99999997098932902</v>
      </c>
    </row>
    <row r="3909" spans="1:40" x14ac:dyDescent="0.25">
      <c r="A3909" t="str">
        <f>"20190303154550535"</f>
        <v>20190303154550535</v>
      </c>
      <c r="B3909" t="str">
        <f>"1551599150525337"</f>
        <v>1551599150525337</v>
      </c>
      <c r="C3909" t="s">
        <v>40</v>
      </c>
      <c r="D3909">
        <v>5.3129569999999999</v>
      </c>
      <c r="E3909">
        <v>0.61726009999999998</v>
      </c>
      <c r="F3909" t="s">
        <v>61</v>
      </c>
      <c r="G3909">
        <v>-199.96340000000001</v>
      </c>
      <c r="H3909">
        <v>5.5425549999999997E-2</v>
      </c>
      <c r="I3909">
        <v>154.24629999999999</v>
      </c>
      <c r="J3909">
        <v>-192.05199999999999</v>
      </c>
      <c r="K3909">
        <v>1.121189</v>
      </c>
      <c r="L3909">
        <v>169.08179999999999</v>
      </c>
      <c r="M3909">
        <v>-3.3925860000000002E-2</v>
      </c>
      <c r="N3909">
        <v>-1.3741440000000001E-2</v>
      </c>
      <c r="O3909">
        <v>-0.99932989999999999</v>
      </c>
      <c r="P3909">
        <v>-0.18285380000000001</v>
      </c>
      <c r="Q3909">
        <v>-0.1073741</v>
      </c>
      <c r="R3909">
        <v>-0.97725910000000005</v>
      </c>
      <c r="S3909">
        <v>-1.4596559999999901</v>
      </c>
      <c r="T3909">
        <v>-0.19643250000000001</v>
      </c>
      <c r="U3909">
        <v>-2.7774510000000001</v>
      </c>
      <c r="V3909">
        <v>0.14961269999999999</v>
      </c>
      <c r="W3909">
        <v>-9.3823039999999996E-2</v>
      </c>
      <c r="X3909">
        <v>0.98428309999999997</v>
      </c>
      <c r="Y3909">
        <v>0.4341274</v>
      </c>
      <c r="Z3909">
        <v>4.9327200000000002E-2</v>
      </c>
      <c r="AA3909">
        <v>0.89949999999999997</v>
      </c>
      <c r="AB3909">
        <v>23</v>
      </c>
      <c r="AC3909">
        <v>-7.91139999999998</v>
      </c>
      <c r="AD3909">
        <v>-1.0657634499999999</v>
      </c>
      <c r="AE3909">
        <v>-14.8354999999999</v>
      </c>
      <c r="AF3909">
        <v>7.3738612821596199</v>
      </c>
      <c r="AG3909">
        <v>-1.0657634499999999</v>
      </c>
      <c r="AH3909">
        <v>15.0349724150031</v>
      </c>
      <c r="AI3909">
        <v>93.641584148939899</v>
      </c>
      <c r="AJ3909">
        <v>63.874484301958198</v>
      </c>
      <c r="AK3909">
        <v>16.779752008292402</v>
      </c>
      <c r="AL3909">
        <v>95.383582553869502</v>
      </c>
      <c r="AM3909">
        <v>81.357102471736994</v>
      </c>
      <c r="AN3909">
        <v>0.99999997189086998</v>
      </c>
    </row>
    <row r="3910" spans="1:40" x14ac:dyDescent="0.25">
      <c r="A3910" t="str">
        <f>"20190303154550555"</f>
        <v>20190303154550555</v>
      </c>
      <c r="B3910" t="str">
        <f>"1551599150544857"</f>
        <v>1551599150544857</v>
      </c>
      <c r="C3910" t="s">
        <v>40</v>
      </c>
      <c r="D3910">
        <v>5.277069</v>
      </c>
      <c r="E3910">
        <v>0.61709769999999997</v>
      </c>
      <c r="F3910" t="s">
        <v>61</v>
      </c>
      <c r="G3910">
        <v>-200.57820000000001</v>
      </c>
      <c r="H3910">
        <v>7.9984810000000003E-2</v>
      </c>
      <c r="I3910">
        <v>152.99539999999999</v>
      </c>
      <c r="J3910">
        <v>-192.05930000000001</v>
      </c>
      <c r="K3910">
        <v>1.121219</v>
      </c>
      <c r="L3910">
        <v>168.86369999999999</v>
      </c>
      <c r="M3910">
        <v>-3.3717619999999997E-2</v>
      </c>
      <c r="N3910">
        <v>-1.373986E-2</v>
      </c>
      <c r="O3910">
        <v>-0.99933709999999998</v>
      </c>
      <c r="P3910">
        <v>-0.1841711</v>
      </c>
      <c r="Q3910">
        <v>-0.1078543</v>
      </c>
      <c r="R3910">
        <v>-0.97695909999999997</v>
      </c>
      <c r="S3910">
        <v>-1.470764</v>
      </c>
      <c r="T3910">
        <v>-0.17960770000000001</v>
      </c>
      <c r="U3910">
        <v>-2.774902</v>
      </c>
      <c r="V3910">
        <v>0.15115429999999999</v>
      </c>
      <c r="W3910">
        <v>-9.4292219999999996E-2</v>
      </c>
      <c r="X3910">
        <v>0.98400270000000001</v>
      </c>
      <c r="Y3910">
        <v>0.43759949999999997</v>
      </c>
      <c r="Z3910">
        <v>4.3901059999999999E-2</v>
      </c>
      <c r="AA3910">
        <v>0.89809760000000005</v>
      </c>
      <c r="AB3910">
        <v>23</v>
      </c>
      <c r="AC3910">
        <v>-8.5189000000000004</v>
      </c>
      <c r="AD3910">
        <v>-1.0412341899999999</v>
      </c>
      <c r="AE3910">
        <v>-15.8683</v>
      </c>
      <c r="AF3910">
        <v>7.9523839627872803</v>
      </c>
      <c r="AG3910">
        <v>-1.0412341899999999</v>
      </c>
      <c r="AH3910">
        <v>16.092752308171399</v>
      </c>
      <c r="AI3910">
        <v>93.319788262033498</v>
      </c>
      <c r="AJ3910">
        <v>63.703289619316699</v>
      </c>
      <c r="AK3910">
        <v>17.980579973465201</v>
      </c>
      <c r="AL3910">
        <v>95.410584253404295</v>
      </c>
      <c r="AM3910">
        <v>81.266962388178001</v>
      </c>
      <c r="AN3910">
        <v>0.99999997938415397</v>
      </c>
    </row>
    <row r="3911" spans="1:40" x14ac:dyDescent="0.25">
      <c r="A3911" t="str">
        <f>"20190303154550579"</f>
        <v>20190303154550579</v>
      </c>
      <c r="B3911" t="str">
        <f>"1551599150575114"</f>
        <v>1551599150575114</v>
      </c>
      <c r="C3911" t="s">
        <v>40</v>
      </c>
      <c r="D3911">
        <v>5.5801179999999997</v>
      </c>
      <c r="E3911">
        <v>0.61455360000000003</v>
      </c>
      <c r="F3911" t="s">
        <v>61</v>
      </c>
      <c r="G3911">
        <v>-200.4606</v>
      </c>
      <c r="H3911">
        <v>7.9984639999999996E-2</v>
      </c>
      <c r="I3911">
        <v>153.0478</v>
      </c>
      <c r="J3911">
        <v>-192.06720000000001</v>
      </c>
      <c r="K3911">
        <v>1.1212299999999999</v>
      </c>
      <c r="L3911">
        <v>168.62090000000001</v>
      </c>
      <c r="M3911">
        <v>-3.3437830000000002E-2</v>
      </c>
      <c r="N3911">
        <v>-1.3737950000000001E-2</v>
      </c>
      <c r="O3911">
        <v>-0.99934650000000003</v>
      </c>
      <c r="P3911">
        <v>-0.18528500000000001</v>
      </c>
      <c r="Q3911">
        <v>-0.1101902</v>
      </c>
      <c r="R3911">
        <v>-0.97648749999999995</v>
      </c>
      <c r="S3911">
        <v>-1.4729460000000001</v>
      </c>
      <c r="T3911">
        <v>-0.18255279999999999</v>
      </c>
      <c r="U3911">
        <v>-2.7729029999999999</v>
      </c>
      <c r="V3911">
        <v>0.15256810000000001</v>
      </c>
      <c r="W3911">
        <v>-9.6621949999999998E-2</v>
      </c>
      <c r="X3911">
        <v>0.98355840000000005</v>
      </c>
      <c r="Y3911">
        <v>0.43864700000000001</v>
      </c>
      <c r="Z3911">
        <v>4.4854529999999997E-2</v>
      </c>
      <c r="AA3911">
        <v>0.89753930000000004</v>
      </c>
      <c r="AB3911">
        <v>23</v>
      </c>
      <c r="AC3911">
        <v>-8.3933999999999802</v>
      </c>
      <c r="AD3911">
        <v>-1.04124536</v>
      </c>
      <c r="AE3911">
        <v>-15.5731</v>
      </c>
      <c r="AF3911">
        <v>7.8407638165244302</v>
      </c>
      <c r="AG3911">
        <v>-1.04124536</v>
      </c>
      <c r="AH3911">
        <v>15.790372442979301</v>
      </c>
      <c r="AI3911">
        <v>93.380038167187493</v>
      </c>
      <c r="AJ3911">
        <v>63.593145010456503</v>
      </c>
      <c r="AK3911">
        <v>17.660623743634901</v>
      </c>
      <c r="AL3911">
        <v>95.544680344655106</v>
      </c>
      <c r="AM3911">
        <v>81.182637083830997</v>
      </c>
      <c r="AN3911">
        <v>0.99999997628498605</v>
      </c>
    </row>
    <row r="3912" spans="1:40" x14ac:dyDescent="0.25">
      <c r="A3912" t="str">
        <f>"20190303154550602"</f>
        <v>20190303154550602</v>
      </c>
      <c r="B3912" t="str">
        <f>"1551599150594634"</f>
        <v>1551599150594634</v>
      </c>
      <c r="C3912" t="s">
        <v>40</v>
      </c>
      <c r="D3912">
        <v>5.0624089999999997</v>
      </c>
      <c r="E3912">
        <v>0.52442659999999997</v>
      </c>
      <c r="F3912" t="s">
        <v>61</v>
      </c>
      <c r="G3912">
        <v>-200.0984</v>
      </c>
      <c r="H3912">
        <v>7.9984860000000005E-2</v>
      </c>
      <c r="I3912">
        <v>153.31549999999999</v>
      </c>
      <c r="J3912">
        <v>-192.0746</v>
      </c>
      <c r="K3912">
        <v>1.121224</v>
      </c>
      <c r="L3912">
        <v>168.38800000000001</v>
      </c>
      <c r="M3912">
        <v>-3.3129760000000001E-2</v>
      </c>
      <c r="N3912">
        <v>-1.373595E-2</v>
      </c>
      <c r="O3912">
        <v>-0.99935700000000005</v>
      </c>
      <c r="P3912">
        <v>-0.1861672</v>
      </c>
      <c r="Q3912">
        <v>-0.1124231</v>
      </c>
      <c r="R3912">
        <v>-0.97606530000000002</v>
      </c>
      <c r="S3912">
        <v>-1.455948</v>
      </c>
      <c r="T3912">
        <v>-0.1887636</v>
      </c>
      <c r="U3912">
        <v>-2.7746580000000001</v>
      </c>
      <c r="V3912">
        <v>0.1537722</v>
      </c>
      <c r="W3912">
        <v>-9.8854800000000007E-2</v>
      </c>
      <c r="X3912">
        <v>0.98314889999999999</v>
      </c>
      <c r="Y3912">
        <v>0.43433500000000003</v>
      </c>
      <c r="Z3912">
        <v>4.6951710000000001E-2</v>
      </c>
      <c r="AA3912">
        <v>0.89952690000000002</v>
      </c>
      <c r="AB3912">
        <v>23</v>
      </c>
      <c r="AC3912">
        <v>-8.0237999999999907</v>
      </c>
      <c r="AD3912">
        <v>-1.0412391400000001</v>
      </c>
      <c r="AE3912">
        <v>-15.0725</v>
      </c>
      <c r="AF3912">
        <v>7.4921396206358102</v>
      </c>
      <c r="AG3912">
        <v>-1.0412391400000001</v>
      </c>
      <c r="AH3912">
        <v>15.2732820196044</v>
      </c>
      <c r="AI3912">
        <v>93.5025023329287</v>
      </c>
      <c r="AJ3912">
        <v>63.870250746394802</v>
      </c>
      <c r="AK3912">
        <v>17.043751895992202</v>
      </c>
      <c r="AL3912">
        <v>95.673228818992897</v>
      </c>
      <c r="AM3912">
        <v>81.110512788272999</v>
      </c>
      <c r="AN3912">
        <v>0.99999996027354399</v>
      </c>
    </row>
    <row r="3913" spans="1:40" x14ac:dyDescent="0.25">
      <c r="A3913" t="str">
        <f>"20190303154550622"</f>
        <v>20190303154550622</v>
      </c>
      <c r="B3913" t="str">
        <f>"1551599150615130"</f>
        <v>1551599150615130</v>
      </c>
      <c r="C3913" t="s">
        <v>40</v>
      </c>
      <c r="D3913">
        <v>5.1581210000000004</v>
      </c>
      <c r="E3913">
        <v>0.51533899999999999</v>
      </c>
      <c r="F3913" t="s">
        <v>61</v>
      </c>
      <c r="G3913">
        <v>-196.31960000000001</v>
      </c>
      <c r="H3913" s="1">
        <v>-1.273627E-5</v>
      </c>
      <c r="I3913">
        <v>151.9913</v>
      </c>
      <c r="J3913">
        <v>-192.08150000000001</v>
      </c>
      <c r="K3913">
        <v>1.121216</v>
      </c>
      <c r="L3913">
        <v>168.16909999999999</v>
      </c>
      <c r="M3913">
        <v>-3.2824369999999999E-2</v>
      </c>
      <c r="N3913">
        <v>-1.3733739999999999E-2</v>
      </c>
      <c r="O3913">
        <v>-0.99936700000000001</v>
      </c>
      <c r="P3913">
        <v>-0.1876043</v>
      </c>
      <c r="Q3913">
        <v>-0.1142172</v>
      </c>
      <c r="R3913">
        <v>-0.97558180000000005</v>
      </c>
      <c r="S3913">
        <v>-0.75263979999999997</v>
      </c>
      <c r="T3913">
        <v>-0.19879450000000001</v>
      </c>
      <c r="U3913">
        <v>-2.9071199999999999</v>
      </c>
      <c r="V3913">
        <v>0.155526</v>
      </c>
      <c r="W3913">
        <v>-0.10065549999999999</v>
      </c>
      <c r="X3913">
        <v>0.98269030000000002</v>
      </c>
      <c r="Y3913">
        <v>0.2182528</v>
      </c>
      <c r="Z3913">
        <v>5.2606630000000001E-2</v>
      </c>
      <c r="AA3913">
        <v>0.97447329999999999</v>
      </c>
      <c r="AB3913">
        <v>23</v>
      </c>
      <c r="AC3913">
        <v>-4.2381000000000002</v>
      </c>
      <c r="AD3913">
        <v>-1.12122873627</v>
      </c>
      <c r="AE3913">
        <v>-16.177799999999898</v>
      </c>
      <c r="AF3913">
        <v>3.6881617232869601</v>
      </c>
      <c r="AG3913">
        <v>-1.12122873627</v>
      </c>
      <c r="AH3913">
        <v>16.235230556247799</v>
      </c>
      <c r="AI3913">
        <v>93.852800414353794</v>
      </c>
      <c r="AJ3913">
        <v>77.2013160510228</v>
      </c>
      <c r="AK3913">
        <v>16.686593480716201</v>
      </c>
      <c r="AL3913">
        <v>95.776918053505398</v>
      </c>
      <c r="AM3913">
        <v>81.006646520097704</v>
      </c>
      <c r="AN3913">
        <v>1.0000000460351599</v>
      </c>
    </row>
    <row r="3914" spans="1:40" x14ac:dyDescent="0.25">
      <c r="A3914" t="str">
        <f>"20190303154550645"</f>
        <v>20190303154550645</v>
      </c>
      <c r="B3914" t="str">
        <f>"1551599150634655"</f>
        <v>1551599150634655</v>
      </c>
      <c r="C3914" t="s">
        <v>40</v>
      </c>
      <c r="D3914">
        <v>5.074287</v>
      </c>
      <c r="E3914">
        <v>0.51177629999999996</v>
      </c>
      <c r="F3914" t="s">
        <v>61</v>
      </c>
      <c r="G3914">
        <v>-195.49860000000001</v>
      </c>
      <c r="H3914" s="1">
        <v>-1.307607E-5</v>
      </c>
      <c r="I3914">
        <v>153.63120000000001</v>
      </c>
      <c r="J3914">
        <v>-192.08869999999999</v>
      </c>
      <c r="K3914">
        <v>1.1212009999999999</v>
      </c>
      <c r="L3914">
        <v>167.93969999999999</v>
      </c>
      <c r="M3914">
        <v>-3.2508059999999998E-2</v>
      </c>
      <c r="N3914">
        <v>-1.3731449999999999E-2</v>
      </c>
      <c r="O3914">
        <v>-0.99937730000000002</v>
      </c>
      <c r="P3914">
        <v>-0.18802969999999999</v>
      </c>
      <c r="Q3914">
        <v>-0.11498070000000001</v>
      </c>
      <c r="R3914">
        <v>-0.97541020000000001</v>
      </c>
      <c r="S3914">
        <v>-0.68559269999999894</v>
      </c>
      <c r="T3914">
        <v>-0.2249641</v>
      </c>
      <c r="U3914">
        <v>-2.9169010000000002</v>
      </c>
      <c r="V3914">
        <v>0.15626570000000001</v>
      </c>
      <c r="W3914">
        <v>-0.1014268</v>
      </c>
      <c r="X3914">
        <v>0.98249359999999997</v>
      </c>
      <c r="Y3914">
        <v>0.19648689999999999</v>
      </c>
      <c r="Z3914">
        <v>6.1421980000000001E-2</v>
      </c>
      <c r="AA3914">
        <v>0.97858069999999997</v>
      </c>
      <c r="AB3914">
        <v>23</v>
      </c>
      <c r="AC3914">
        <v>-3.4099000000000199</v>
      </c>
      <c r="AD3914">
        <v>-1.12121407607</v>
      </c>
      <c r="AE3914">
        <v>-14.308499999999899</v>
      </c>
      <c r="AF3914">
        <v>2.92591163733639</v>
      </c>
      <c r="AG3914">
        <v>-1.12121407607</v>
      </c>
      <c r="AH3914">
        <v>14.328542618683599</v>
      </c>
      <c r="AI3914">
        <v>94.384190381182606</v>
      </c>
      <c r="AJ3914">
        <v>78.458779527907296</v>
      </c>
      <c r="AK3914">
        <v>14.6671474216806</v>
      </c>
      <c r="AL3914">
        <v>95.821337771263899</v>
      </c>
      <c r="AM3914">
        <v>80.962797984369899</v>
      </c>
      <c r="AN3914">
        <v>1.00000001939784</v>
      </c>
    </row>
    <row r="3915" spans="1:40" x14ac:dyDescent="0.25">
      <c r="A3915" t="str">
        <f>"20190303154550666"</f>
        <v>20190303154550666</v>
      </c>
      <c r="B3915" t="str">
        <f>"1551599150655146"</f>
        <v>1551599150655146</v>
      </c>
      <c r="C3915" t="s">
        <v>40</v>
      </c>
      <c r="D3915">
        <v>5.039898</v>
      </c>
      <c r="E3915">
        <v>0.51011700000000004</v>
      </c>
      <c r="F3915" t="s">
        <v>61</v>
      </c>
      <c r="G3915">
        <v>-195.1508</v>
      </c>
      <c r="H3915" s="1">
        <v>-1.322963E-5</v>
      </c>
      <c r="I3915">
        <v>154.36410000000001</v>
      </c>
      <c r="J3915">
        <v>-192.0958</v>
      </c>
      <c r="K3915">
        <v>1.121186</v>
      </c>
      <c r="L3915">
        <v>167.71260000000001</v>
      </c>
      <c r="M3915">
        <v>-3.222622E-2</v>
      </c>
      <c r="N3915">
        <v>-1.3729160000000001E-2</v>
      </c>
      <c r="O3915">
        <v>-0.99938649999999996</v>
      </c>
      <c r="P3915">
        <v>-0.1879314</v>
      </c>
      <c r="Q3915">
        <v>-0.11555410000000001</v>
      </c>
      <c r="R3915">
        <v>-0.97536120000000004</v>
      </c>
      <c r="S3915">
        <v>-0.65867609999999999</v>
      </c>
      <c r="T3915">
        <v>-0.24118139999999999</v>
      </c>
      <c r="U3915">
        <v>-2.9202119999999998</v>
      </c>
      <c r="V3915">
        <v>0.15644140000000001</v>
      </c>
      <c r="W3915">
        <v>-0.1020107</v>
      </c>
      <c r="X3915">
        <v>0.98240519999999998</v>
      </c>
      <c r="Y3915">
        <v>0.18786410000000001</v>
      </c>
      <c r="Z3915">
        <v>6.6867280000000001E-2</v>
      </c>
      <c r="AA3915">
        <v>0.97991620000000002</v>
      </c>
      <c r="AB3915">
        <v>23</v>
      </c>
      <c r="AC3915">
        <v>-3.0550000000000002</v>
      </c>
      <c r="AD3915">
        <v>-1.12119922963</v>
      </c>
      <c r="AE3915">
        <v>-13.3485</v>
      </c>
      <c r="AF3915">
        <v>2.6057321705889702</v>
      </c>
      <c r="AG3915">
        <v>-1.12119922963</v>
      </c>
      <c r="AH3915">
        <v>13.350525075725599</v>
      </c>
      <c r="AI3915">
        <v>94.712029030865907</v>
      </c>
      <c r="AJ3915">
        <v>78.955952270300202</v>
      </c>
      <c r="AK3915">
        <v>13.6485694362063</v>
      </c>
      <c r="AL3915">
        <v>95.854967109851401</v>
      </c>
      <c r="AM3915">
        <v>80.952004192483599</v>
      </c>
      <c r="AN3915">
        <v>1.0000000357677401</v>
      </c>
    </row>
    <row r="3916" spans="1:40" x14ac:dyDescent="0.25">
      <c r="A3916" t="str">
        <f>"20190303154550690"</f>
        <v>20190303154550690</v>
      </c>
      <c r="B3916" t="str">
        <f>"1551599150685403"</f>
        <v>1551599150685403</v>
      </c>
      <c r="C3916" t="s">
        <v>40</v>
      </c>
      <c r="D3916">
        <v>5.1263750000000003</v>
      </c>
      <c r="E3916">
        <v>0.50841309999999995</v>
      </c>
      <c r="F3916" t="s">
        <v>61</v>
      </c>
      <c r="G3916">
        <v>-195.0112</v>
      </c>
      <c r="H3916" s="1">
        <v>-1.325382E-5</v>
      </c>
      <c r="I3916">
        <v>154.5094</v>
      </c>
      <c r="J3916">
        <v>-192.10319999999999</v>
      </c>
      <c r="K3916">
        <v>1.121146</v>
      </c>
      <c r="L3916">
        <v>167.4727</v>
      </c>
      <c r="M3916">
        <v>-3.1992399999999997E-2</v>
      </c>
      <c r="N3916">
        <v>-1.372668E-2</v>
      </c>
      <c r="O3916">
        <v>-0.99939409999999895</v>
      </c>
      <c r="P3916">
        <v>-0.18829940000000001</v>
      </c>
      <c r="Q3916">
        <v>-0.1151225</v>
      </c>
      <c r="R3916">
        <v>-0.97534140000000003</v>
      </c>
      <c r="S3916">
        <v>-0.64521790000000001</v>
      </c>
      <c r="T3916">
        <v>-0.24813779999999999</v>
      </c>
      <c r="U3916">
        <v>-2.9220579999999998</v>
      </c>
      <c r="V3916">
        <v>0.15703039999999999</v>
      </c>
      <c r="W3916">
        <v>-0.1015952</v>
      </c>
      <c r="X3916">
        <v>0.98235419999999996</v>
      </c>
      <c r="Y3916">
        <v>0.1836255</v>
      </c>
      <c r="Z3916">
        <v>6.920142E-2</v>
      </c>
      <c r="AA3916">
        <v>0.98055740000000002</v>
      </c>
      <c r="AB3916">
        <v>23</v>
      </c>
      <c r="AC3916">
        <v>-2.9080000000000101</v>
      </c>
      <c r="AD3916">
        <v>-1.1211592538199999</v>
      </c>
      <c r="AE3916">
        <v>-12.9633</v>
      </c>
      <c r="AF3916">
        <v>2.47412522848682</v>
      </c>
      <c r="AG3916">
        <v>-1.1211592538199999</v>
      </c>
      <c r="AH3916">
        <v>12.957427293458901</v>
      </c>
      <c r="AI3916">
        <v>94.857945436576998</v>
      </c>
      <c r="AJ3916">
        <v>79.189915069244506</v>
      </c>
      <c r="AK3916">
        <v>13.239079113893601</v>
      </c>
      <c r="AL3916">
        <v>95.831036869977297</v>
      </c>
      <c r="AM3916">
        <v>80.918041632387798</v>
      </c>
      <c r="AN3916">
        <v>0.99999995272241804</v>
      </c>
    </row>
    <row r="3917" spans="1:40" x14ac:dyDescent="0.25">
      <c r="A3917" t="str">
        <f>"20190303154550712"</f>
        <v>20190303154550712</v>
      </c>
      <c r="B3917" t="str">
        <f>"1551599150704922"</f>
        <v>1551599150704922</v>
      </c>
      <c r="C3917" t="s">
        <v>40</v>
      </c>
      <c r="D3917">
        <v>5.078614</v>
      </c>
      <c r="E3917">
        <v>0.50746729999999995</v>
      </c>
      <c r="F3917" t="s">
        <v>61</v>
      </c>
      <c r="G3917">
        <v>-194.88310000000001</v>
      </c>
      <c r="H3917" s="1">
        <v>-1.32745E-5</v>
      </c>
      <c r="I3917">
        <v>154.6283</v>
      </c>
      <c r="J3917">
        <v>-192.11019999999999</v>
      </c>
      <c r="K3917">
        <v>1.121094</v>
      </c>
      <c r="L3917">
        <v>167.24950000000001</v>
      </c>
      <c r="M3917">
        <v>-3.1848580000000001E-2</v>
      </c>
      <c r="N3917">
        <v>-1.3724399999999999E-2</v>
      </c>
      <c r="O3917">
        <v>-0.99939860000000003</v>
      </c>
      <c r="P3917">
        <v>-0.18874199999999999</v>
      </c>
      <c r="Q3917">
        <v>-0.1145031</v>
      </c>
      <c r="R3917">
        <v>-0.9753288</v>
      </c>
      <c r="S3917">
        <v>-0.63273619999999997</v>
      </c>
      <c r="T3917">
        <v>-0.25519130000000001</v>
      </c>
      <c r="U3917">
        <v>-2.9235690000000001</v>
      </c>
      <c r="V3917">
        <v>0.15760260000000001</v>
      </c>
      <c r="W3917">
        <v>-0.10099610000000001</v>
      </c>
      <c r="X3917">
        <v>0.98232439999999999</v>
      </c>
      <c r="Y3917">
        <v>0.1796277</v>
      </c>
      <c r="Z3917">
        <v>7.1570460000000002E-2</v>
      </c>
      <c r="AA3917">
        <v>0.98112770000000005</v>
      </c>
      <c r="AB3917">
        <v>23</v>
      </c>
      <c r="AC3917">
        <v>-2.7729000000000199</v>
      </c>
      <c r="AD3917">
        <v>-1.1211072744999999</v>
      </c>
      <c r="AE3917">
        <v>-12.6212</v>
      </c>
      <c r="AF3917">
        <v>2.3517861178016202</v>
      </c>
      <c r="AG3917">
        <v>-1.1211072744999999</v>
      </c>
      <c r="AH3917">
        <v>12.6082156637531</v>
      </c>
      <c r="AI3917">
        <v>94.995592798668198</v>
      </c>
      <c r="AJ3917">
        <v>79.434150464947095</v>
      </c>
      <c r="AK3917">
        <v>12.8745827772604</v>
      </c>
      <c r="AL3917">
        <v>95.796533164585597</v>
      </c>
      <c r="AM3917">
        <v>80.885230710076399</v>
      </c>
      <c r="AN3917">
        <v>1.0000000092886601</v>
      </c>
    </row>
    <row r="3918" spans="1:40" x14ac:dyDescent="0.25">
      <c r="A3918" t="str">
        <f>"20190303154550737"</f>
        <v>20190303154550737</v>
      </c>
      <c r="B3918" t="str">
        <f>"1551599150725418"</f>
        <v>1551599150725418</v>
      </c>
      <c r="C3918" t="s">
        <v>40</v>
      </c>
      <c r="D3918">
        <v>5.1387229999999997</v>
      </c>
      <c r="E3918">
        <v>0.50691509999999995</v>
      </c>
      <c r="F3918" t="s">
        <v>61</v>
      </c>
      <c r="G3918">
        <v>-194.7946</v>
      </c>
      <c r="H3918" s="1">
        <v>-1.330822E-5</v>
      </c>
      <c r="I3918">
        <v>154.7252</v>
      </c>
      <c r="J3918">
        <v>-192.11789999999999</v>
      </c>
      <c r="K3918">
        <v>1.121024</v>
      </c>
      <c r="L3918">
        <v>167.00290000000001</v>
      </c>
      <c r="M3918">
        <v>-3.1783069999999997E-2</v>
      </c>
      <c r="N3918">
        <v>-1.3721870000000001E-2</v>
      </c>
      <c r="O3918">
        <v>-0.99940070000000003</v>
      </c>
      <c r="P3918">
        <v>-0.1894026</v>
      </c>
      <c r="Q3918">
        <v>-0.113942</v>
      </c>
      <c r="R3918">
        <v>-0.97526630000000003</v>
      </c>
      <c r="S3918">
        <v>-0.62670899999999996</v>
      </c>
      <c r="T3918">
        <v>-0.26173469999999999</v>
      </c>
      <c r="U3918">
        <v>-2.9239199999999999</v>
      </c>
      <c r="V3918">
        <v>0.15831329999999999</v>
      </c>
      <c r="W3918">
        <v>-0.1004631</v>
      </c>
      <c r="X3918">
        <v>0.98226480000000005</v>
      </c>
      <c r="Y3918">
        <v>0.17769989999999999</v>
      </c>
      <c r="Z3918">
        <v>7.3767020000000003E-2</v>
      </c>
      <c r="AA3918">
        <v>0.98131599999999997</v>
      </c>
      <c r="AB3918">
        <v>23</v>
      </c>
      <c r="AC3918">
        <v>-2.6767000000000101</v>
      </c>
      <c r="AD3918">
        <v>-1.12103730822</v>
      </c>
      <c r="AE3918">
        <v>-12.277699999999999</v>
      </c>
      <c r="AF3918">
        <v>2.2670451193371299</v>
      </c>
      <c r="AG3918">
        <v>-1.12103730822</v>
      </c>
      <c r="AH3918">
        <v>12.259012503653</v>
      </c>
      <c r="AI3918">
        <v>95.138291715923501</v>
      </c>
      <c r="AJ3918">
        <v>79.522723438664798</v>
      </c>
      <c r="AK3918">
        <v>12.517172435668201</v>
      </c>
      <c r="AL3918">
        <v>95.7658382388191</v>
      </c>
      <c r="AM3918">
        <v>80.844276622874503</v>
      </c>
      <c r="AN3918">
        <v>1.00000003636876</v>
      </c>
    </row>
    <row r="3919" spans="1:40" x14ac:dyDescent="0.25">
      <c r="A3919" t="str">
        <f>"20190303154550757"</f>
        <v>20190303154550757</v>
      </c>
      <c r="B3919" t="str">
        <f>"1551599150744938"</f>
        <v>1551599150744938</v>
      </c>
      <c r="C3919" t="s">
        <v>40</v>
      </c>
      <c r="D3919">
        <v>5.0990520000000004</v>
      </c>
      <c r="E3919">
        <v>0.50661750000000005</v>
      </c>
      <c r="F3919" t="s">
        <v>61</v>
      </c>
      <c r="G3919">
        <v>-194.75649999999999</v>
      </c>
      <c r="H3919" s="1">
        <v>-1.326871E-5</v>
      </c>
      <c r="I3919">
        <v>154.64099999999999</v>
      </c>
      <c r="J3919">
        <v>-192.12479999999999</v>
      </c>
      <c r="K3919">
        <v>1.1209469999999999</v>
      </c>
      <c r="L3919">
        <v>166.78530000000001</v>
      </c>
      <c r="M3919">
        <v>-3.1831949999999998E-2</v>
      </c>
      <c r="N3919">
        <v>-1.371966E-2</v>
      </c>
      <c r="O3919">
        <v>-0.99939920000000004</v>
      </c>
      <c r="P3919">
        <v>-0.19025</v>
      </c>
      <c r="Q3919">
        <v>-0.11380759999999999</v>
      </c>
      <c r="R3919">
        <v>-0.97511700000000001</v>
      </c>
      <c r="S3919">
        <v>-0.62408450000000004</v>
      </c>
      <c r="T3919">
        <v>-0.26515359999999899</v>
      </c>
      <c r="U3919">
        <v>-2.923889</v>
      </c>
      <c r="V3919">
        <v>0.15909980000000001</v>
      </c>
      <c r="W3919">
        <v>-0.1003598</v>
      </c>
      <c r="X3919">
        <v>0.98214820000000003</v>
      </c>
      <c r="Y3919">
        <v>0.1767928</v>
      </c>
      <c r="Z3919">
        <v>7.491913E-2</v>
      </c>
      <c r="AA3919">
        <v>0.98139259999999995</v>
      </c>
      <c r="AB3919">
        <v>23</v>
      </c>
      <c r="AC3919">
        <v>-2.6316999999999902</v>
      </c>
      <c r="AD3919">
        <v>-1.12096026871</v>
      </c>
      <c r="AE3919">
        <v>-12.144299999999999</v>
      </c>
      <c r="AF3919">
        <v>2.2256412530825802</v>
      </c>
      <c r="AG3919">
        <v>-1.12096026871</v>
      </c>
      <c r="AH3919">
        <v>12.1232681911979</v>
      </c>
      <c r="AI3919">
        <v>95.196395141513804</v>
      </c>
      <c r="AJ3919">
        <v>79.5972331266574</v>
      </c>
      <c r="AK3919">
        <v>12.3767387686401</v>
      </c>
      <c r="AL3919">
        <v>95.759889954089601</v>
      </c>
      <c r="AM3919">
        <v>80.798493442063105</v>
      </c>
      <c r="AN3919">
        <v>0.99999996128965896</v>
      </c>
    </row>
    <row r="3920" spans="1:40" x14ac:dyDescent="0.25">
      <c r="A3920" t="str">
        <f>"20190303154550780"</f>
        <v>20190303154550780</v>
      </c>
      <c r="B3920" t="str">
        <f>"1551599150775194"</f>
        <v>1551599150775194</v>
      </c>
      <c r="C3920" t="s">
        <v>40</v>
      </c>
      <c r="D3920">
        <v>5.1565139999999996</v>
      </c>
      <c r="E3920">
        <v>0.50596289999999999</v>
      </c>
      <c r="F3920" t="s">
        <v>61</v>
      </c>
      <c r="G3920">
        <v>-194.7561</v>
      </c>
      <c r="H3920" s="1">
        <v>-1.32191E-5</v>
      </c>
      <c r="I3920">
        <v>154.46129999999999</v>
      </c>
      <c r="J3920">
        <v>-192.13229999999999</v>
      </c>
      <c r="K3920">
        <v>1.120846</v>
      </c>
      <c r="L3920">
        <v>166.55500000000001</v>
      </c>
      <c r="M3920">
        <v>-3.2014470000000003E-2</v>
      </c>
      <c r="N3920">
        <v>-1.3717490000000001E-2</v>
      </c>
      <c r="O3920">
        <v>-0.99939319999999998</v>
      </c>
      <c r="P3920">
        <v>-0.1917343</v>
      </c>
      <c r="Q3920">
        <v>-0.1143125</v>
      </c>
      <c r="R3920">
        <v>-0.97476700000000005</v>
      </c>
      <c r="S3920">
        <v>-0.62423709999999999</v>
      </c>
      <c r="T3920">
        <v>-0.26593640000000002</v>
      </c>
      <c r="U3920">
        <v>-2.923737</v>
      </c>
      <c r="V3920">
        <v>0.16039320000000001</v>
      </c>
      <c r="W3920">
        <v>-0.1009058</v>
      </c>
      <c r="X3920">
        <v>0.98188189999999997</v>
      </c>
      <c r="Y3920">
        <v>0.17666809999999999</v>
      </c>
      <c r="Z3920">
        <v>7.5185399999999999E-2</v>
      </c>
      <c r="AA3920">
        <v>0.98139469999999995</v>
      </c>
      <c r="AB3920">
        <v>23</v>
      </c>
      <c r="AC3920">
        <v>-2.6238000000000099</v>
      </c>
      <c r="AD3920">
        <v>-1.1208592191</v>
      </c>
      <c r="AE3920">
        <v>-12.0937</v>
      </c>
      <c r="AF3920">
        <v>2.2170569470660602</v>
      </c>
      <c r="AG3920">
        <v>-1.1208592191</v>
      </c>
      <c r="AH3920">
        <v>12.072468616901</v>
      </c>
      <c r="AI3920">
        <v>95.217616101515105</v>
      </c>
      <c r="AJ3920">
        <v>79.5938278522529</v>
      </c>
      <c r="AK3920">
        <v>12.3254275950831</v>
      </c>
      <c r="AL3920">
        <v>95.791332771545697</v>
      </c>
      <c r="AM3920">
        <v>80.722513008666894</v>
      </c>
      <c r="AN3920">
        <v>1.00000001231374</v>
      </c>
    </row>
    <row r="3921" spans="1:40" x14ac:dyDescent="0.25">
      <c r="A3921" t="str">
        <f>"20190303154550801"</f>
        <v>20190303154550801</v>
      </c>
      <c r="B3921" t="str">
        <f>"1551599150794714"</f>
        <v>1551599150794714</v>
      </c>
      <c r="C3921" t="s">
        <v>40</v>
      </c>
      <c r="D3921">
        <v>5.1771919999999998</v>
      </c>
      <c r="E3921">
        <v>0.50558729999999996</v>
      </c>
      <c r="F3921" t="s">
        <v>61</v>
      </c>
      <c r="G3921">
        <v>-194.67400000000001</v>
      </c>
      <c r="H3921" s="1">
        <v>-1.325985E-5</v>
      </c>
      <c r="I3921">
        <v>154.63740000000001</v>
      </c>
      <c r="J3921">
        <v>-192.13980000000001</v>
      </c>
      <c r="K3921">
        <v>1.1207320000000001</v>
      </c>
      <c r="L3921">
        <v>166.33179999999999</v>
      </c>
      <c r="M3921">
        <v>-3.2339159999999999E-2</v>
      </c>
      <c r="N3921">
        <v>-1.3715659999999999E-2</v>
      </c>
      <c r="O3921">
        <v>-0.99938280000000002</v>
      </c>
      <c r="P3921">
        <v>-0.1936233</v>
      </c>
      <c r="Q3921">
        <v>-0.1159632</v>
      </c>
      <c r="R3921">
        <v>-0.97419860000000003</v>
      </c>
      <c r="S3921">
        <v>-0.62333680000000002</v>
      </c>
      <c r="T3921">
        <v>-0.2748929</v>
      </c>
      <c r="U3921">
        <v>-2.922806</v>
      </c>
      <c r="V3921">
        <v>0.1619555</v>
      </c>
      <c r="W3921">
        <v>-0.1026046</v>
      </c>
      <c r="X3921">
        <v>0.98144929999999997</v>
      </c>
      <c r="Y3921">
        <v>0.17607159999999999</v>
      </c>
      <c r="Z3921">
        <v>7.8191769999999994E-2</v>
      </c>
      <c r="AA3921">
        <v>0.981267</v>
      </c>
      <c r="AB3921">
        <v>23</v>
      </c>
      <c r="AC3921">
        <v>-2.53419999999999</v>
      </c>
      <c r="AD3921">
        <v>-1.1207452598500001</v>
      </c>
      <c r="AE3921">
        <v>-11.6943999999999</v>
      </c>
      <c r="AF3921">
        <v>2.1359140757536599</v>
      </c>
      <c r="AG3921">
        <v>-1.1207452598500001</v>
      </c>
      <c r="AH3921">
        <v>11.667886127723399</v>
      </c>
      <c r="AI3921">
        <v>95.397498215293794</v>
      </c>
      <c r="AJ3921">
        <v>79.626338020029806</v>
      </c>
      <c r="AK3921">
        <v>11.9146030385405</v>
      </c>
      <c r="AL3921">
        <v>95.889174728707502</v>
      </c>
      <c r="AM3921">
        <v>80.629684829954499</v>
      </c>
      <c r="AN3921">
        <v>1.0000000081959499</v>
      </c>
    </row>
    <row r="3922" spans="1:40" x14ac:dyDescent="0.25">
      <c r="A3922" t="str">
        <f>"20190303154550824"</f>
        <v>20190303154550824</v>
      </c>
      <c r="B3922" t="str">
        <f>"1551599150815210"</f>
        <v>1551599150815210</v>
      </c>
      <c r="C3922" t="s">
        <v>40</v>
      </c>
      <c r="D3922">
        <v>5.1671250000000004</v>
      </c>
      <c r="E3922">
        <v>0.50529970000000002</v>
      </c>
      <c r="F3922" t="s">
        <v>61</v>
      </c>
      <c r="G3922">
        <v>-194.59970000000001</v>
      </c>
      <c r="H3922" s="1">
        <v>-1.334437E-5</v>
      </c>
      <c r="I3922">
        <v>154.84979999999999</v>
      </c>
      <c r="J3922">
        <v>-192.14789999999999</v>
      </c>
      <c r="K3922">
        <v>1.120619</v>
      </c>
      <c r="L3922">
        <v>166.0959</v>
      </c>
      <c r="M3922">
        <v>-3.2855669999999997E-2</v>
      </c>
      <c r="N3922">
        <v>-1.371404E-2</v>
      </c>
      <c r="O3922">
        <v>-0.99936619999999998</v>
      </c>
      <c r="P3922">
        <v>-0.1955607</v>
      </c>
      <c r="Q3922">
        <v>-0.1173587</v>
      </c>
      <c r="R3922">
        <v>-0.97364479999999998</v>
      </c>
      <c r="S3922">
        <v>-0.62583919999999904</v>
      </c>
      <c r="T3922">
        <v>-0.28512720000000003</v>
      </c>
      <c r="U3922">
        <v>-2.9211269999999998</v>
      </c>
      <c r="V3922">
        <v>0.16337380000000001</v>
      </c>
      <c r="W3922">
        <v>-0.1040533</v>
      </c>
      <c r="X3922">
        <v>0.98106159999999998</v>
      </c>
      <c r="Y3922">
        <v>0.17641979999999999</v>
      </c>
      <c r="Z3922">
        <v>8.1624950000000002E-2</v>
      </c>
      <c r="AA3922">
        <v>0.98092480000000004</v>
      </c>
      <c r="AB3922">
        <v>23</v>
      </c>
      <c r="AC3922">
        <v>-2.45180000000002</v>
      </c>
      <c r="AD3922">
        <v>-1.1206323443699999</v>
      </c>
      <c r="AE3922">
        <v>-11.2461</v>
      </c>
      <c r="AF3922">
        <v>2.0614034566939798</v>
      </c>
      <c r="AG3922">
        <v>-1.1206323443699999</v>
      </c>
      <c r="AH3922">
        <v>11.214291579014301</v>
      </c>
      <c r="AI3922">
        <v>95.613133231759505</v>
      </c>
      <c r="AJ3922">
        <v>79.584204969196804</v>
      </c>
      <c r="AK3922">
        <v>11.457117293703</v>
      </c>
      <c r="AL3922">
        <v>95.972626021936605</v>
      </c>
      <c r="AM3922">
        <v>80.545432465334301</v>
      </c>
      <c r="AN3922">
        <v>0.99999997538094398</v>
      </c>
    </row>
    <row r="3923" spans="1:40" x14ac:dyDescent="0.25">
      <c r="A3923" t="str">
        <f>"20190303154550846"</f>
        <v>20190303154550846</v>
      </c>
      <c r="B3923" t="str">
        <f>"1551599150834731"</f>
        <v>1551599150834731</v>
      </c>
      <c r="C3923" t="s">
        <v>40</v>
      </c>
      <c r="D3923">
        <v>5.1817479999999998</v>
      </c>
      <c r="E3923">
        <v>0.50506470000000003</v>
      </c>
      <c r="F3923" t="s">
        <v>61</v>
      </c>
      <c r="G3923">
        <v>-194.5532</v>
      </c>
      <c r="H3923" s="1">
        <v>-1.337847E-5</v>
      </c>
      <c r="I3923">
        <v>154.93889999999999</v>
      </c>
      <c r="J3923">
        <v>-192.1557</v>
      </c>
      <c r="K3923">
        <v>1.12052</v>
      </c>
      <c r="L3923">
        <v>165.8783</v>
      </c>
      <c r="M3923">
        <v>-3.3450849999999997E-2</v>
      </c>
      <c r="N3923">
        <v>-1.3712790000000001E-2</v>
      </c>
      <c r="O3923">
        <v>-0.99934639999999997</v>
      </c>
      <c r="P3923">
        <v>-0.1979474</v>
      </c>
      <c r="Q3923">
        <v>-0.118353399999999</v>
      </c>
      <c r="R3923">
        <v>-0.9730415</v>
      </c>
      <c r="S3923">
        <v>-0.62937929999999997</v>
      </c>
      <c r="T3923">
        <v>-0.29323529999999998</v>
      </c>
      <c r="U3923">
        <v>-2.9194490000000002</v>
      </c>
      <c r="V3923">
        <v>0.1651706</v>
      </c>
      <c r="W3923">
        <v>-0.10509499999999999</v>
      </c>
      <c r="X3923">
        <v>0.98064969999999996</v>
      </c>
      <c r="Y3923">
        <v>0.17703459999999999</v>
      </c>
      <c r="Z3923">
        <v>8.4346969999999993E-2</v>
      </c>
      <c r="AA3923">
        <v>0.98058369999999995</v>
      </c>
      <c r="AB3923">
        <v>23</v>
      </c>
      <c r="AC3923">
        <v>-2.3975</v>
      </c>
      <c r="AD3923">
        <v>-1.12053337847</v>
      </c>
      <c r="AE3923">
        <v>-10.939399999999999</v>
      </c>
      <c r="AF3923">
        <v>2.01006813950577</v>
      </c>
      <c r="AG3923">
        <v>-1.12053337847</v>
      </c>
      <c r="AH3923">
        <v>10.904316926950401</v>
      </c>
      <c r="AI3923">
        <v>95.770599551602402</v>
      </c>
      <c r="AJ3923">
        <v>79.555520949662196</v>
      </c>
      <c r="AK3923">
        <v>11.144509707524101</v>
      </c>
      <c r="AL3923">
        <v>96.032639578258994</v>
      </c>
      <c r="AM3923">
        <v>80.439418022737698</v>
      </c>
      <c r="AN3923">
        <v>1.0000000601197201</v>
      </c>
    </row>
    <row r="3924" spans="1:40" x14ac:dyDescent="0.25">
      <c r="A3924" t="str">
        <f>"20190303154550868"</f>
        <v>20190303154550868</v>
      </c>
      <c r="B3924" t="str">
        <f>"1551599150864986"</f>
        <v>1551599150864986</v>
      </c>
      <c r="C3924" t="s">
        <v>40</v>
      </c>
      <c r="D3924">
        <v>5.2242179999999996</v>
      </c>
      <c r="E3924">
        <v>0.50477519999999998</v>
      </c>
      <c r="F3924" t="s">
        <v>42</v>
      </c>
      <c r="G3924">
        <v>-192.34710000000001</v>
      </c>
      <c r="H3924">
        <v>1.0299069999999999</v>
      </c>
      <c r="I3924">
        <v>164.99889999999999</v>
      </c>
      <c r="J3924">
        <v>-192.1643</v>
      </c>
      <c r="K3924">
        <v>1.120425</v>
      </c>
      <c r="L3924">
        <v>165.6481</v>
      </c>
      <c r="M3924">
        <v>-3.4207550000000003E-2</v>
      </c>
      <c r="N3924">
        <v>-1.3711320000000001E-2</v>
      </c>
      <c r="O3924">
        <v>-0.99932080000000001</v>
      </c>
      <c r="P3924">
        <v>-0.20197399999999999</v>
      </c>
      <c r="Q3924">
        <v>-0.11997720000000001</v>
      </c>
      <c r="R3924">
        <v>-0.97201439999999995</v>
      </c>
      <c r="S3924">
        <v>-0.63471979999999995</v>
      </c>
      <c r="T3924">
        <v>-0.30066510000000002</v>
      </c>
      <c r="U3924">
        <v>-2.9174190000000002</v>
      </c>
      <c r="V3924">
        <v>0.168464</v>
      </c>
      <c r="W3924">
        <v>-0.10677010000000001</v>
      </c>
      <c r="X3924">
        <v>0.97990820000000001</v>
      </c>
      <c r="Y3924">
        <v>0.178095</v>
      </c>
      <c r="Z3924">
        <v>8.6844969999999994E-2</v>
      </c>
      <c r="AA3924">
        <v>0.98017350000000003</v>
      </c>
      <c r="AB3924">
        <v>23</v>
      </c>
      <c r="AC3924">
        <v>-0.18280000000001401</v>
      </c>
      <c r="AD3924">
        <v>-9.0518000000000098E-2</v>
      </c>
      <c r="AE3924">
        <v>-0.64920000000000699</v>
      </c>
      <c r="AF3924">
        <v>0.15764379474780299</v>
      </c>
      <c r="AG3924">
        <v>-9.0518000000000098E-2</v>
      </c>
      <c r="AH3924">
        <v>0.64348291135343005</v>
      </c>
      <c r="AI3924">
        <v>97.780065116256097</v>
      </c>
      <c r="AJ3924">
        <v>76.2344988561007</v>
      </c>
      <c r="AK3924">
        <v>0.66866683150158901</v>
      </c>
      <c r="AL3924">
        <v>96.129159031421295</v>
      </c>
      <c r="AM3924">
        <v>80.245173980849202</v>
      </c>
      <c r="AN3924">
        <v>1.00000002698862</v>
      </c>
    </row>
    <row r="3925" spans="1:40" x14ac:dyDescent="0.25">
      <c r="A3925" t="str">
        <f>"20190303154550902"</f>
        <v>20190303154550902</v>
      </c>
      <c r="B3925" t="str">
        <f>"1551599150895242"</f>
        <v>1551599150895242</v>
      </c>
      <c r="C3925" t="s">
        <v>40</v>
      </c>
      <c r="D3925">
        <v>5.1753929999999997</v>
      </c>
      <c r="E3925">
        <v>0.50468859999999904</v>
      </c>
      <c r="F3925" t="s">
        <v>42</v>
      </c>
      <c r="G3925">
        <v>-192.3526</v>
      </c>
      <c r="H3925">
        <v>1.0299480000000001</v>
      </c>
      <c r="I3925">
        <v>164.79730000000001</v>
      </c>
      <c r="J3925">
        <v>-192.17750000000001</v>
      </c>
      <c r="K3925">
        <v>1.1203050000000001</v>
      </c>
      <c r="L3925">
        <v>165.3065</v>
      </c>
      <c r="M3925">
        <v>-3.5564520000000002E-2</v>
      </c>
      <c r="N3925">
        <v>-1.370916E-2</v>
      </c>
      <c r="O3925">
        <v>-0.99927359999999998</v>
      </c>
      <c r="P3925">
        <v>-0.2065787</v>
      </c>
      <c r="Q3925">
        <v>-0.12217799999999999</v>
      </c>
      <c r="R3925">
        <v>-0.97077199999999997</v>
      </c>
      <c r="S3925">
        <v>-0.64451599999999998</v>
      </c>
      <c r="T3925">
        <v>-0.30995820000000002</v>
      </c>
      <c r="U3925">
        <v>-2.9141849999999998</v>
      </c>
      <c r="V3925">
        <v>0.1717484</v>
      </c>
      <c r="W3925">
        <v>-0.1090361</v>
      </c>
      <c r="X3925">
        <v>0.97908819999999996</v>
      </c>
      <c r="Y3925">
        <v>0.1800628</v>
      </c>
      <c r="Z3925">
        <v>8.9973949999999997E-2</v>
      </c>
      <c r="AA3925">
        <v>0.97953159999999895</v>
      </c>
      <c r="AB3925">
        <v>23</v>
      </c>
      <c r="AC3925">
        <v>-0.17509999999998599</v>
      </c>
      <c r="AD3925">
        <v>-9.0357000000000007E-2</v>
      </c>
      <c r="AE3925">
        <v>-0.50919999999999199</v>
      </c>
      <c r="AF3925">
        <v>0.152581597923517</v>
      </c>
      <c r="AG3925">
        <v>-9.0357000000000007E-2</v>
      </c>
      <c r="AH3925">
        <v>0.50099841087843</v>
      </c>
      <c r="AI3925">
        <v>99.788865647657403</v>
      </c>
      <c r="AJ3925">
        <v>73.061620853407405</v>
      </c>
      <c r="AK3925">
        <v>0.53145549124701497</v>
      </c>
      <c r="AL3925">
        <v>96.259753676793693</v>
      </c>
      <c r="AM3925">
        <v>80.050591627119104</v>
      </c>
      <c r="AN3925">
        <v>1.0000000436925001</v>
      </c>
    </row>
    <row r="3926" spans="1:40" x14ac:dyDescent="0.25">
      <c r="A3926" t="str">
        <f>"20190303154550926"</f>
        <v>20190303154550926</v>
      </c>
      <c r="B3926" t="str">
        <f>"1551599150914763"</f>
        <v>1551599150914763</v>
      </c>
      <c r="C3926" t="s">
        <v>40</v>
      </c>
      <c r="D3926">
        <v>5.5232210000000004</v>
      </c>
      <c r="E3926">
        <v>0.52942040000000001</v>
      </c>
      <c r="F3926" t="s">
        <v>42</v>
      </c>
      <c r="G3926">
        <v>-192.3836</v>
      </c>
      <c r="H3926">
        <v>1.0211220000000001</v>
      </c>
      <c r="I3926">
        <v>164.39490000000001</v>
      </c>
      <c r="J3926">
        <v>-192.1876</v>
      </c>
      <c r="K3926">
        <v>1.120215</v>
      </c>
      <c r="L3926">
        <v>165.0583</v>
      </c>
      <c r="M3926">
        <v>-3.6734129999999997E-2</v>
      </c>
      <c r="N3926">
        <v>-1.3708089999999999E-2</v>
      </c>
      <c r="O3926">
        <v>-0.99923119999999999</v>
      </c>
      <c r="P3926">
        <v>-0.20985029999999999</v>
      </c>
      <c r="Q3926">
        <v>-0.1233118</v>
      </c>
      <c r="R3926">
        <v>-0.96992639999999997</v>
      </c>
      <c r="S3926">
        <v>-0.65754699999999999</v>
      </c>
      <c r="T3926">
        <v>-0.3166698</v>
      </c>
      <c r="U3926">
        <v>-2.9105530000000002</v>
      </c>
      <c r="V3926">
        <v>0.17388199999999901</v>
      </c>
      <c r="W3926">
        <v>-0.1102142</v>
      </c>
      <c r="X3926">
        <v>0.97857950000000005</v>
      </c>
      <c r="Y3926">
        <v>0.18329390000000001</v>
      </c>
      <c r="Z3926">
        <v>9.2236639999999995E-2</v>
      </c>
      <c r="AA3926">
        <v>0.97872150000000002</v>
      </c>
      <c r="AB3926">
        <v>23</v>
      </c>
      <c r="AC3926">
        <v>-0.19599999999999701</v>
      </c>
      <c r="AD3926">
        <v>-9.9093000000000098E-2</v>
      </c>
      <c r="AE3926">
        <v>-0.66339999999999499</v>
      </c>
      <c r="AF3926">
        <v>0.16804754635722</v>
      </c>
      <c r="AG3926">
        <v>-9.9093000000000098E-2</v>
      </c>
      <c r="AH3926">
        <v>0.65667732745321195</v>
      </c>
      <c r="AI3926">
        <v>98.317135961846205</v>
      </c>
      <c r="AJ3926">
        <v>75.645728092453695</v>
      </c>
      <c r="AK3926">
        <v>0.68504343867872697</v>
      </c>
      <c r="AL3926">
        <v>96.327663538151299</v>
      </c>
      <c r="AM3926">
        <v>79.924378975078199</v>
      </c>
      <c r="AN3926">
        <v>0.999999978812944</v>
      </c>
    </row>
    <row r="3927" spans="1:40" x14ac:dyDescent="0.25">
      <c r="A3927" t="str">
        <f>"20190303154550946"</f>
        <v>20190303154550946</v>
      </c>
      <c r="B3927" t="str">
        <f>"1551599150935258"</f>
        <v>1551599150935258</v>
      </c>
      <c r="C3927" t="s">
        <v>40</v>
      </c>
      <c r="D3927">
        <v>5.3142889999999996</v>
      </c>
      <c r="E3927">
        <v>0.5786346</v>
      </c>
      <c r="F3927" t="s">
        <v>61</v>
      </c>
      <c r="G3927">
        <v>-195.63990000000001</v>
      </c>
      <c r="H3927" s="1">
        <v>-1.306806E-5</v>
      </c>
      <c r="I3927">
        <v>153.5496</v>
      </c>
      <c r="J3927">
        <v>-192.19649999999999</v>
      </c>
      <c r="K3927">
        <v>1.120147</v>
      </c>
      <c r="L3927">
        <v>164.85</v>
      </c>
      <c r="M3927">
        <v>-3.7791159999999997E-2</v>
      </c>
      <c r="N3927">
        <v>-1.37073E-2</v>
      </c>
      <c r="O3927">
        <v>-0.99919179999999996</v>
      </c>
      <c r="P3927">
        <v>-0.21337680000000001</v>
      </c>
      <c r="Q3927">
        <v>-0.12528139999999999</v>
      </c>
      <c r="R3927">
        <v>-0.96890419999999999</v>
      </c>
      <c r="S3927">
        <v>-0.86125180000000001</v>
      </c>
      <c r="T3927">
        <v>-0.27947070000000002</v>
      </c>
      <c r="U3927">
        <v>-2.8711549999999999</v>
      </c>
      <c r="V3927">
        <v>0.17639189999999999</v>
      </c>
      <c r="W3927">
        <v>-0.112223</v>
      </c>
      <c r="X3927">
        <v>0.97790180000000004</v>
      </c>
      <c r="Y3927">
        <v>0.2498224</v>
      </c>
      <c r="Z3927">
        <v>7.9630350000000003E-2</v>
      </c>
      <c r="AA3927">
        <v>0.96501179999999998</v>
      </c>
      <c r="AB3927">
        <v>23</v>
      </c>
      <c r="AC3927">
        <v>-3.44340000000002</v>
      </c>
      <c r="AD3927">
        <v>-1.1201600680599999</v>
      </c>
      <c r="AE3927">
        <v>-11.3003999999999</v>
      </c>
      <c r="AF3927">
        <v>2.9869882643461501</v>
      </c>
      <c r="AG3927">
        <v>-1.1201600680599999</v>
      </c>
      <c r="AH3927">
        <v>11.3206833418341</v>
      </c>
      <c r="AI3927">
        <v>95.465071438868506</v>
      </c>
      <c r="AJ3927">
        <v>75.219234226585499</v>
      </c>
      <c r="AK3927">
        <v>11.761578499312799</v>
      </c>
      <c r="AL3927">
        <v>96.443477589732794</v>
      </c>
      <c r="AM3927">
        <v>79.775053569958004</v>
      </c>
      <c r="AN3927">
        <v>1.0000000172789201</v>
      </c>
    </row>
    <row r="3928" spans="1:40" x14ac:dyDescent="0.25">
      <c r="A3928" t="str">
        <f>"20190303154550969"</f>
        <v>20190303154550969</v>
      </c>
      <c r="B3928" t="str">
        <f>"1551599150964538"</f>
        <v>1551599150964538</v>
      </c>
      <c r="C3928" t="s">
        <v>40</v>
      </c>
      <c r="D3928">
        <v>5.3385809999999996</v>
      </c>
      <c r="E3928">
        <v>0.58063129999999996</v>
      </c>
      <c r="F3928" t="s">
        <v>61</v>
      </c>
      <c r="G3928">
        <v>-198.0136</v>
      </c>
      <c r="H3928" s="1">
        <v>-1.2874460000000001E-5</v>
      </c>
      <c r="I3928">
        <v>151.9434</v>
      </c>
      <c r="J3928">
        <v>-192.20660000000001</v>
      </c>
      <c r="K3928">
        <v>1.120079</v>
      </c>
      <c r="L3928">
        <v>164.6198</v>
      </c>
      <c r="M3928">
        <v>-3.9045129999999997E-2</v>
      </c>
      <c r="N3928">
        <v>-1.3706309999999999E-2</v>
      </c>
      <c r="O3928">
        <v>-0.99914360000000002</v>
      </c>
      <c r="P3928">
        <v>-0.2167075</v>
      </c>
      <c r="Q3928">
        <v>-0.12667700000000001</v>
      </c>
      <c r="R3928">
        <v>-0.96798340000000005</v>
      </c>
      <c r="S3928">
        <v>-1.2566679999999999</v>
      </c>
      <c r="T3928">
        <v>-0.2419895</v>
      </c>
      <c r="U3928">
        <v>-2.7882389999999999</v>
      </c>
      <c r="V3928">
        <v>0.17851220000000001</v>
      </c>
      <c r="W3928">
        <v>-0.11365599999999999</v>
      </c>
      <c r="X3928">
        <v>0.97735139999999998</v>
      </c>
      <c r="Y3928">
        <v>0.37386819999999998</v>
      </c>
      <c r="Z3928">
        <v>6.5861219999999998E-2</v>
      </c>
      <c r="AA3928">
        <v>0.92514039999999997</v>
      </c>
      <c r="AB3928">
        <v>23</v>
      </c>
      <c r="AC3928">
        <v>-5.80699999999998</v>
      </c>
      <c r="AD3928">
        <v>-1.1200918744599999</v>
      </c>
      <c r="AE3928">
        <v>-12.676399999999999</v>
      </c>
      <c r="AF3928">
        <v>5.2735410611867097</v>
      </c>
      <c r="AG3928">
        <v>-1.1200918744599999</v>
      </c>
      <c r="AH3928">
        <v>12.8108157753563</v>
      </c>
      <c r="AI3928">
        <v>94.622366038698203</v>
      </c>
      <c r="AJ3928">
        <v>67.625604091462193</v>
      </c>
      <c r="AK3928">
        <v>13.898987084006199</v>
      </c>
      <c r="AL3928">
        <v>96.526111094483198</v>
      </c>
      <c r="AM3928">
        <v>79.649084347610696</v>
      </c>
      <c r="AN3928">
        <v>1.0000000254833901</v>
      </c>
    </row>
    <row r="3929" spans="1:40" x14ac:dyDescent="0.25">
      <c r="A3929" t="str">
        <f>"20190303154550991"</f>
        <v>20190303154550991</v>
      </c>
      <c r="B3929" t="str">
        <f>"1551599150985034"</f>
        <v>1551599150985034</v>
      </c>
      <c r="C3929" t="s">
        <v>40</v>
      </c>
      <c r="D3929">
        <v>5.3055089999999998</v>
      </c>
      <c r="E3929">
        <v>0.58139249999999998</v>
      </c>
      <c r="F3929" t="s">
        <v>61</v>
      </c>
      <c r="G3929">
        <v>-198.5685</v>
      </c>
      <c r="H3929" s="1">
        <v>-1.263981E-5</v>
      </c>
      <c r="I3929">
        <v>150.8152</v>
      </c>
      <c r="J3929">
        <v>-192.21690000000001</v>
      </c>
      <c r="K3929">
        <v>1.1200209999999999</v>
      </c>
      <c r="L3929">
        <v>164.3954</v>
      </c>
      <c r="M3929">
        <v>-4.0354109999999999E-2</v>
      </c>
      <c r="N3929">
        <v>-1.370532E-2</v>
      </c>
      <c r="O3929">
        <v>-0.99909139999999996</v>
      </c>
      <c r="P3929">
        <v>-0.2200154</v>
      </c>
      <c r="Q3929">
        <v>-0.12712000000000001</v>
      </c>
      <c r="R3929">
        <v>-0.96717819999999999</v>
      </c>
      <c r="S3929">
        <v>-1.2823639999999901</v>
      </c>
      <c r="T3929">
        <v>-0.225776</v>
      </c>
      <c r="U3929">
        <v>-2.7825929999999999</v>
      </c>
      <c r="V3929">
        <v>0.18055669999999999</v>
      </c>
      <c r="W3929">
        <v>-0.1141321</v>
      </c>
      <c r="X3929">
        <v>0.97692020000000002</v>
      </c>
      <c r="Y3929">
        <v>0.38057039999999998</v>
      </c>
      <c r="Z3929">
        <v>6.046518E-2</v>
      </c>
      <c r="AA3929">
        <v>0.92277310000000001</v>
      </c>
      <c r="AB3929">
        <v>23</v>
      </c>
      <c r="AC3929">
        <v>-6.3515999999999897</v>
      </c>
      <c r="AD3929">
        <v>-1.1200336398099999</v>
      </c>
      <c r="AE3929">
        <v>-13.5801999999999</v>
      </c>
      <c r="AF3929">
        <v>5.7661742359709702</v>
      </c>
      <c r="AG3929">
        <v>-1.1200336398099999</v>
      </c>
      <c r="AH3929">
        <v>13.748737690900301</v>
      </c>
      <c r="AI3929">
        <v>94.296272756569294</v>
      </c>
      <c r="AJ3929">
        <v>67.246987398213193</v>
      </c>
      <c r="AK3929">
        <v>14.950954108921101</v>
      </c>
      <c r="AL3929">
        <v>96.553568661861902</v>
      </c>
      <c r="AM3929">
        <v>79.528623199406397</v>
      </c>
      <c r="AN3929">
        <v>0.99999996766666899</v>
      </c>
    </row>
    <row r="3930" spans="1:40" x14ac:dyDescent="0.25">
      <c r="A3930" t="str">
        <f>"20190303154551013"</f>
        <v>20190303154551013</v>
      </c>
      <c r="B3930" t="str">
        <f>"1551599151005539"</f>
        <v>1551599151005539</v>
      </c>
      <c r="C3930" t="s">
        <v>40</v>
      </c>
      <c r="D3930">
        <v>5.2938689999999999</v>
      </c>
      <c r="E3930">
        <v>0.5819685</v>
      </c>
      <c r="F3930" t="s">
        <v>61</v>
      </c>
      <c r="G3930">
        <v>-198.8586</v>
      </c>
      <c r="H3930" s="1">
        <v>-1.2506660000000001E-5</v>
      </c>
      <c r="I3930">
        <v>150.18379999999999</v>
      </c>
      <c r="J3930">
        <v>-192.22730000000001</v>
      </c>
      <c r="K3930">
        <v>1.119972</v>
      </c>
      <c r="L3930">
        <v>164.17670000000001</v>
      </c>
      <c r="M3930">
        <v>-4.1707319999999999E-2</v>
      </c>
      <c r="N3930">
        <v>-1.3704559999999999E-2</v>
      </c>
      <c r="O3930">
        <v>-0.99903600000000004</v>
      </c>
      <c r="P3930">
        <v>-0.223579</v>
      </c>
      <c r="Q3930">
        <v>-0.12702060000000001</v>
      </c>
      <c r="R3930">
        <v>-0.96637390000000001</v>
      </c>
      <c r="S3930">
        <v>-1.298141</v>
      </c>
      <c r="T3930">
        <v>-0.21891469999999999</v>
      </c>
      <c r="U3930">
        <v>-2.7777099999999999</v>
      </c>
      <c r="V3930">
        <v>0.18281739999999999</v>
      </c>
      <c r="W3930">
        <v>-0.11406380000000001</v>
      </c>
      <c r="X3930">
        <v>0.97650769999999998</v>
      </c>
      <c r="Y3930">
        <v>0.38430340000000002</v>
      </c>
      <c r="Z3930">
        <v>5.8201490000000002E-2</v>
      </c>
      <c r="AA3930">
        <v>0.92137040000000003</v>
      </c>
      <c r="AB3930">
        <v>23</v>
      </c>
      <c r="AC3930">
        <v>-6.63129999999998</v>
      </c>
      <c r="AD3930">
        <v>-1.11998450666</v>
      </c>
      <c r="AE3930">
        <v>-13.992900000000001</v>
      </c>
      <c r="AF3930">
        <v>6.0104246884128099</v>
      </c>
      <c r="AG3930">
        <v>-1.11998450666</v>
      </c>
      <c r="AH3930">
        <v>14.183123932265699</v>
      </c>
      <c r="AI3930">
        <v>94.158482474323094</v>
      </c>
      <c r="AJ3930">
        <v>67.034081635312006</v>
      </c>
      <c r="AK3930">
        <v>15.444758810296999</v>
      </c>
      <c r="AL3930">
        <v>96.5496292907157</v>
      </c>
      <c r="AM3930">
        <v>79.396091291011203</v>
      </c>
      <c r="AN3930">
        <v>1.00000002018624</v>
      </c>
    </row>
    <row r="3931" spans="1:40" x14ac:dyDescent="0.25">
      <c r="A3931" t="str">
        <f>"20190303154551036"</f>
        <v>20190303154551036</v>
      </c>
      <c r="B3931" t="str">
        <f>"1551599151025050"</f>
        <v>1551599151025050</v>
      </c>
      <c r="C3931" t="s">
        <v>40</v>
      </c>
      <c r="D3931">
        <v>5.3273089999999996</v>
      </c>
      <c r="E3931">
        <v>0.58240080000000005</v>
      </c>
      <c r="F3931" t="s">
        <v>61</v>
      </c>
      <c r="G3931">
        <v>-198.97550000000001</v>
      </c>
      <c r="H3931" s="1">
        <v>-1.2422659999999999E-5</v>
      </c>
      <c r="I3931">
        <v>149.9323</v>
      </c>
      <c r="J3931">
        <v>-192.23869999999999</v>
      </c>
      <c r="K3931">
        <v>1.1199220000000001</v>
      </c>
      <c r="L3931">
        <v>163.9453</v>
      </c>
      <c r="M3931">
        <v>-4.3216749999999998E-2</v>
      </c>
      <c r="N3931">
        <v>-1.370392E-2</v>
      </c>
      <c r="O3931">
        <v>-0.99897179999999997</v>
      </c>
      <c r="P3931">
        <v>-0.2277942</v>
      </c>
      <c r="Q3931">
        <v>-0.12807189999999999</v>
      </c>
      <c r="R3931">
        <v>-0.96525000000000005</v>
      </c>
      <c r="S3931">
        <v>-1.3131710000000001</v>
      </c>
      <c r="T3931">
        <v>-0.21794569999999999</v>
      </c>
      <c r="U3931">
        <v>-2.7719269999999998</v>
      </c>
      <c r="V3931">
        <v>0.18558939999999999</v>
      </c>
      <c r="W3931">
        <v>-0.1151508</v>
      </c>
      <c r="X3931">
        <v>0.97585699999999997</v>
      </c>
      <c r="Y3931">
        <v>0.38773869999999999</v>
      </c>
      <c r="Z3931">
        <v>5.7887750000000002E-2</v>
      </c>
      <c r="AA3931">
        <v>0.91994980000000004</v>
      </c>
      <c r="AB3931">
        <v>23</v>
      </c>
      <c r="AC3931">
        <v>-6.7368000000000103</v>
      </c>
      <c r="AD3931">
        <v>-1.1199344226600001</v>
      </c>
      <c r="AE3931">
        <v>-14.013</v>
      </c>
      <c r="AF3931">
        <v>6.0932383501251897</v>
      </c>
      <c r="AG3931">
        <v>-1.1199344226600001</v>
      </c>
      <c r="AH3931">
        <v>14.2173123830165</v>
      </c>
      <c r="AI3931">
        <v>94.141173591969903</v>
      </c>
      <c r="AJ3931">
        <v>66.801053797154097</v>
      </c>
      <c r="AK3931">
        <v>15.508506636642</v>
      </c>
      <c r="AL3931">
        <v>96.612322980038002</v>
      </c>
      <c r="AM3931">
        <v>79.232027446550106</v>
      </c>
      <c r="AN3931">
        <v>1.0000000082909899</v>
      </c>
    </row>
    <row r="3932" spans="1:40" x14ac:dyDescent="0.25">
      <c r="A3932" t="str">
        <f>"20190303154551059"</f>
        <v>20190303154551059</v>
      </c>
      <c r="B3932" t="str">
        <f>"1551599151055307"</f>
        <v>1551599151055307</v>
      </c>
      <c r="C3932" t="s">
        <v>40</v>
      </c>
      <c r="D3932">
        <v>5.3342989999999997</v>
      </c>
      <c r="E3932">
        <v>0.58287869999999997</v>
      </c>
      <c r="F3932" t="s">
        <v>61</v>
      </c>
      <c r="G3932">
        <v>-198.97499999999999</v>
      </c>
      <c r="H3932" s="1">
        <v>-1.242029E-5</v>
      </c>
      <c r="I3932">
        <v>149.92689999999999</v>
      </c>
      <c r="J3932">
        <v>-192.25030000000001</v>
      </c>
      <c r="K3932">
        <v>1.1198729999999999</v>
      </c>
      <c r="L3932">
        <v>163.72020000000001</v>
      </c>
      <c r="M3932">
        <v>-4.4759119999999999E-2</v>
      </c>
      <c r="N3932">
        <v>-1.370326E-2</v>
      </c>
      <c r="O3932">
        <v>-0.99890380000000001</v>
      </c>
      <c r="P3932">
        <v>-0.23196159999999999</v>
      </c>
      <c r="Q3932">
        <v>-0.1282508</v>
      </c>
      <c r="R3932">
        <v>-0.96423320000000001</v>
      </c>
      <c r="S3932">
        <v>-1.328735</v>
      </c>
      <c r="T3932">
        <v>-0.22090760000000001</v>
      </c>
      <c r="U3932">
        <v>-2.7651370000000002</v>
      </c>
      <c r="V3932">
        <v>0.1882819</v>
      </c>
      <c r="W3932">
        <v>-0.1153628</v>
      </c>
      <c r="X3932">
        <v>0.97531599999999996</v>
      </c>
      <c r="Y3932">
        <v>0.39137329999999998</v>
      </c>
      <c r="Z3932">
        <v>5.8872189999999998E-2</v>
      </c>
      <c r="AA3932">
        <v>0.91834689999999997</v>
      </c>
      <c r="AB3932">
        <v>23</v>
      </c>
      <c r="AC3932">
        <v>-6.7246999999999799</v>
      </c>
      <c r="AD3932">
        <v>-1.1198854202899999</v>
      </c>
      <c r="AE3932">
        <v>-13.7933</v>
      </c>
      <c r="AF3932">
        <v>6.0682062184941001</v>
      </c>
      <c r="AG3932">
        <v>-1.1198854202899999</v>
      </c>
      <c r="AH3932">
        <v>14.0058987149829</v>
      </c>
      <c r="AI3932">
        <v>94.196156777141496</v>
      </c>
      <c r="AJ3932">
        <v>66.574808417026304</v>
      </c>
      <c r="AK3932">
        <v>15.304981832041101</v>
      </c>
      <c r="AL3932">
        <v>96.624551400936497</v>
      </c>
      <c r="AM3932">
        <v>79.073625926192406</v>
      </c>
      <c r="AN3932">
        <v>0.99999997467372403</v>
      </c>
    </row>
    <row r="3933" spans="1:40" x14ac:dyDescent="0.25">
      <c r="A3933" t="str">
        <f>"20190303154551081"</f>
        <v>20190303154551081</v>
      </c>
      <c r="B3933" t="str">
        <f>"1551599151074827"</f>
        <v>1551599151074827</v>
      </c>
      <c r="C3933" t="s">
        <v>40</v>
      </c>
      <c r="D3933">
        <v>5.3010159999999997</v>
      </c>
      <c r="E3933">
        <v>0.58316459999999903</v>
      </c>
      <c r="F3933" t="s">
        <v>61</v>
      </c>
      <c r="G3933">
        <v>-199.08539999999999</v>
      </c>
      <c r="H3933" s="1">
        <v>-1.2341729999999999E-5</v>
      </c>
      <c r="I3933">
        <v>149.69810000000001</v>
      </c>
      <c r="J3933">
        <v>-192.26230000000001</v>
      </c>
      <c r="K3933">
        <v>1.1198300000000001</v>
      </c>
      <c r="L3933">
        <v>163.49430000000001</v>
      </c>
      <c r="M3933">
        <v>-4.6380980000000002E-2</v>
      </c>
      <c r="N3933">
        <v>-1.370261E-2</v>
      </c>
      <c r="O3933">
        <v>-0.99883010000000005</v>
      </c>
      <c r="P3933">
        <v>-0.23605139999999999</v>
      </c>
      <c r="Q3933">
        <v>-0.1279343</v>
      </c>
      <c r="R3933">
        <v>-0.96328250000000004</v>
      </c>
      <c r="S3933">
        <v>-1.3446499999999999</v>
      </c>
      <c r="T3933">
        <v>-0.2203108</v>
      </c>
      <c r="U3933">
        <v>-2.758499</v>
      </c>
      <c r="V3933">
        <v>0.1908194</v>
      </c>
      <c r="W3933">
        <v>-0.11507870000000001</v>
      </c>
      <c r="X3933">
        <v>0.97485630000000001</v>
      </c>
      <c r="Y3933">
        <v>0.39503300000000002</v>
      </c>
      <c r="Z3933">
        <v>5.8687789999999997E-2</v>
      </c>
      <c r="AA3933">
        <v>0.91679040000000001</v>
      </c>
      <c r="AB3933">
        <v>23</v>
      </c>
      <c r="AC3933">
        <v>-6.8230999999999797</v>
      </c>
      <c r="AD3933">
        <v>-1.1198423417300001</v>
      </c>
      <c r="AE3933">
        <v>-13.796200000000001</v>
      </c>
      <c r="AF3933">
        <v>6.1432932209456999</v>
      </c>
      <c r="AG3933">
        <v>-1.1198423417300001</v>
      </c>
      <c r="AH3933">
        <v>14.023603640721101</v>
      </c>
      <c r="AI3933">
        <v>94.183373222412001</v>
      </c>
      <c r="AJ3933">
        <v>66.343308159339102</v>
      </c>
      <c r="AK3933">
        <v>15.3510767550975</v>
      </c>
      <c r="AL3933">
        <v>96.608164508551695</v>
      </c>
      <c r="AM3933">
        <v>78.924892782053305</v>
      </c>
      <c r="AN3933">
        <v>0.99999997812986896</v>
      </c>
    </row>
    <row r="3934" spans="1:40" x14ac:dyDescent="0.25">
      <c r="A3934" t="str">
        <f>"20190303154551103"</f>
        <v>20190303154551103</v>
      </c>
      <c r="B3934" t="str">
        <f>"1551599151095322"</f>
        <v>1551599151095322</v>
      </c>
      <c r="C3934" t="s">
        <v>40</v>
      </c>
      <c r="D3934">
        <v>5.3167730000000004</v>
      </c>
      <c r="E3934">
        <v>0.58328190000000002</v>
      </c>
      <c r="F3934" t="s">
        <v>61</v>
      </c>
      <c r="G3934">
        <v>-199.24080000000001</v>
      </c>
      <c r="H3934" s="1">
        <v>-1.226589E-5</v>
      </c>
      <c r="I3934">
        <v>149.35730000000001</v>
      </c>
      <c r="J3934">
        <v>-192.27449999999999</v>
      </c>
      <c r="K3934">
        <v>1.1197790000000001</v>
      </c>
      <c r="L3934">
        <v>163.274</v>
      </c>
      <c r="M3934">
        <v>-4.8050519999999999E-2</v>
      </c>
      <c r="N3934">
        <v>-1.370217E-2</v>
      </c>
      <c r="O3934">
        <v>-0.99875100000000006</v>
      </c>
      <c r="P3934">
        <v>-0.2406346</v>
      </c>
      <c r="Q3934">
        <v>-0.12768080000000001</v>
      </c>
      <c r="R3934">
        <v>-0.96218130000000002</v>
      </c>
      <c r="S3934">
        <v>-1.3587039999999999</v>
      </c>
      <c r="T3934">
        <v>-0.218029</v>
      </c>
      <c r="U3934">
        <v>-2.7524259999999998</v>
      </c>
      <c r="V3934">
        <v>0.1938115</v>
      </c>
      <c r="W3934">
        <v>-0.11486209999999999</v>
      </c>
      <c r="X3934">
        <v>0.97429140000000003</v>
      </c>
      <c r="Y3934">
        <v>0.39808270000000001</v>
      </c>
      <c r="Z3934">
        <v>5.7957939999999999E-2</v>
      </c>
      <c r="AA3934">
        <v>0.91551680000000002</v>
      </c>
      <c r="AB3934">
        <v>23</v>
      </c>
      <c r="AC3934">
        <v>-6.9663000000000102</v>
      </c>
      <c r="AD3934">
        <v>-1.11979126589</v>
      </c>
      <c r="AE3934">
        <v>-13.916699999999899</v>
      </c>
      <c r="AF3934">
        <v>6.2570902938505801</v>
      </c>
      <c r="AG3934">
        <v>-1.11979126589</v>
      </c>
      <c r="AH3934">
        <v>14.1620680903943</v>
      </c>
      <c r="AI3934">
        <v>94.136721103168895</v>
      </c>
      <c r="AJ3934">
        <v>66.163181428376404</v>
      </c>
      <c r="AK3934">
        <v>15.5231853696825</v>
      </c>
      <c r="AL3934">
        <v>96.595671481055206</v>
      </c>
      <c r="AM3934">
        <v>78.749270759464196</v>
      </c>
      <c r="AN3934">
        <v>0.99999996583130901</v>
      </c>
    </row>
    <row r="3935" spans="1:40" x14ac:dyDescent="0.25">
      <c r="A3935" t="str">
        <f>"20190303154551126"</f>
        <v>20190303154551126</v>
      </c>
      <c r="B3935" t="str">
        <f>"1551599151114842"</f>
        <v>1551599151114842</v>
      </c>
      <c r="C3935" t="s">
        <v>40</v>
      </c>
      <c r="D3935">
        <v>5.289218</v>
      </c>
      <c r="E3935">
        <v>0.58349689999999999</v>
      </c>
      <c r="F3935" t="s">
        <v>61</v>
      </c>
      <c r="G3935">
        <v>-199.3853</v>
      </c>
      <c r="H3935" s="1">
        <v>-1.2210060000000001E-5</v>
      </c>
      <c r="I3935">
        <v>149.04839999999999</v>
      </c>
      <c r="J3935">
        <v>-192.2878</v>
      </c>
      <c r="K3935">
        <v>1.119718</v>
      </c>
      <c r="L3935">
        <v>163.04179999999999</v>
      </c>
      <c r="M3935">
        <v>-4.9905199999999997E-2</v>
      </c>
      <c r="N3935">
        <v>-1.3702000000000001E-2</v>
      </c>
      <c r="O3935">
        <v>-0.99865999999999999</v>
      </c>
      <c r="P3935">
        <v>-0.24563860000000001</v>
      </c>
      <c r="Q3935">
        <v>-0.12898959999999901</v>
      </c>
      <c r="R3935">
        <v>-0.96074139999999997</v>
      </c>
      <c r="S3935">
        <v>-1.3726039999999999</v>
      </c>
      <c r="T3935">
        <v>-0.21615200000000001</v>
      </c>
      <c r="U3935">
        <v>-2.7459560000000001</v>
      </c>
      <c r="V3935">
        <v>0.19705610000000001</v>
      </c>
      <c r="W3935">
        <v>-0.11621620000000001</v>
      </c>
      <c r="X3935">
        <v>0.97347969999999895</v>
      </c>
      <c r="Y3935">
        <v>0.4009644</v>
      </c>
      <c r="Z3935">
        <v>5.7370369999999997E-2</v>
      </c>
      <c r="AA3935">
        <v>0.91429539999999998</v>
      </c>
      <c r="AB3935">
        <v>22</v>
      </c>
      <c r="AC3935">
        <v>-7.0974999999999904</v>
      </c>
      <c r="AD3935">
        <v>-1.11973021006</v>
      </c>
      <c r="AE3935">
        <v>-13.993399999999999</v>
      </c>
      <c r="AF3935">
        <v>6.3578662421299397</v>
      </c>
      <c r="AG3935">
        <v>-1.11973021006</v>
      </c>
      <c r="AH3935">
        <v>14.257584715457099</v>
      </c>
      <c r="AI3935">
        <v>94.102646285983695</v>
      </c>
      <c r="AJ3935">
        <v>65.966535973541497</v>
      </c>
      <c r="AK3935">
        <v>15.6510376913025</v>
      </c>
      <c r="AL3935">
        <v>96.673778438961605</v>
      </c>
      <c r="AM3935">
        <v>78.556561578232703</v>
      </c>
      <c r="AN3935">
        <v>1.00000001900086</v>
      </c>
    </row>
    <row r="3936" spans="1:40" x14ac:dyDescent="0.25">
      <c r="A3936" t="str">
        <f>"20190303154551149"</f>
        <v>20190303154551149</v>
      </c>
      <c r="B3936" t="str">
        <f>"1551599151145098"</f>
        <v>1551599151145098</v>
      </c>
      <c r="C3936" t="s">
        <v>40</v>
      </c>
      <c r="D3936">
        <v>5.2376079999999998</v>
      </c>
      <c r="E3936">
        <v>0.58396409999999999</v>
      </c>
      <c r="F3936" t="s">
        <v>61</v>
      </c>
      <c r="G3936">
        <v>-199.3776</v>
      </c>
      <c r="H3936" s="1">
        <v>-1.221358E-5</v>
      </c>
      <c r="I3936">
        <v>149.0669</v>
      </c>
      <c r="J3936">
        <v>-192.3014</v>
      </c>
      <c r="K3936">
        <v>1.119664</v>
      </c>
      <c r="L3936">
        <v>162.81360000000001</v>
      </c>
      <c r="M3936">
        <v>-5.1808640000000003E-2</v>
      </c>
      <c r="N3936">
        <v>-1.3701939999999999E-2</v>
      </c>
      <c r="O3936">
        <v>-0.99856310000000004</v>
      </c>
      <c r="P3936">
        <v>-0.25140079999999998</v>
      </c>
      <c r="Q3936">
        <v>-0.13132199999999999</v>
      </c>
      <c r="R3936">
        <v>-0.95893289999999998</v>
      </c>
      <c r="S3936">
        <v>-1.3890530000000001</v>
      </c>
      <c r="T3936">
        <v>-0.21937980000000001</v>
      </c>
      <c r="U3936">
        <v>-2.7379910000000001</v>
      </c>
      <c r="V3936">
        <v>0.2010305</v>
      </c>
      <c r="W3936">
        <v>-0.1185997</v>
      </c>
      <c r="X3936">
        <v>0.97237899999999999</v>
      </c>
      <c r="Y3936">
        <v>0.4046247</v>
      </c>
      <c r="Z3936">
        <v>5.8455500000000001E-2</v>
      </c>
      <c r="AA3936">
        <v>0.9126126</v>
      </c>
      <c r="AB3936">
        <v>22</v>
      </c>
      <c r="AC3936">
        <v>-7.0762</v>
      </c>
      <c r="AD3936">
        <v>-1.11967621358</v>
      </c>
      <c r="AE3936">
        <v>-13.746700000000001</v>
      </c>
      <c r="AF3936">
        <v>6.3212783309468197</v>
      </c>
      <c r="AG3936">
        <v>-1.11967621358</v>
      </c>
      <c r="AH3936">
        <v>14.0213425074909</v>
      </c>
      <c r="AI3936">
        <v>94.163725530598796</v>
      </c>
      <c r="AJ3936">
        <v>65.732595860058296</v>
      </c>
      <c r="AK3936">
        <v>15.4210985430003</v>
      </c>
      <c r="AL3936">
        <v>96.811293939719405</v>
      </c>
      <c r="AM3936">
        <v>78.319183735089496</v>
      </c>
      <c r="AN3936">
        <v>1.0000000352056599</v>
      </c>
    </row>
    <row r="3937" spans="1:40" x14ac:dyDescent="0.25">
      <c r="A3937" t="str">
        <f>"20190303154551170"</f>
        <v>20190303154551170</v>
      </c>
      <c r="B3937" t="str">
        <f>"1551599151164618"</f>
        <v>1551599151164618</v>
      </c>
      <c r="C3937" t="s">
        <v>40</v>
      </c>
      <c r="D3937">
        <v>5.227741</v>
      </c>
      <c r="E3937">
        <v>0.58417439999999998</v>
      </c>
      <c r="F3937" t="s">
        <v>61</v>
      </c>
      <c r="G3937">
        <v>-199.33519999999999</v>
      </c>
      <c r="H3937" s="1">
        <v>-1.224104E-5</v>
      </c>
      <c r="I3937">
        <v>149.1996</v>
      </c>
      <c r="J3937">
        <v>-192.315</v>
      </c>
      <c r="K3937">
        <v>1.1196060000000001</v>
      </c>
      <c r="L3937">
        <v>162.595</v>
      </c>
      <c r="M3937">
        <v>-5.3718729999999999E-2</v>
      </c>
      <c r="N3937">
        <v>-1.3701919999999999E-2</v>
      </c>
      <c r="O3937">
        <v>-0.99846219999999997</v>
      </c>
      <c r="P3937">
        <v>-0.25712040000000003</v>
      </c>
      <c r="Q3937">
        <v>-0.13268429999999901</v>
      </c>
      <c r="R3937">
        <v>-0.95722750000000001</v>
      </c>
      <c r="S3937">
        <v>-1.409546</v>
      </c>
      <c r="T3937">
        <v>-0.22437879999999999</v>
      </c>
      <c r="U3937">
        <v>-2.7282099999999998</v>
      </c>
      <c r="V3937">
        <v>0.2049579</v>
      </c>
      <c r="W3937">
        <v>-0.1200117</v>
      </c>
      <c r="X3937">
        <v>0.97138530000000001</v>
      </c>
      <c r="Y3937">
        <v>0.40956429999999999</v>
      </c>
      <c r="Z3937">
        <v>6.011536E-2</v>
      </c>
      <c r="AA3937">
        <v>0.91029839999999995</v>
      </c>
      <c r="AB3937">
        <v>22</v>
      </c>
      <c r="AC3937">
        <v>-7.0201999999999796</v>
      </c>
      <c r="AD3937">
        <v>-1.11961824104</v>
      </c>
      <c r="AE3937">
        <v>-13.395399999999899</v>
      </c>
      <c r="AF3937">
        <v>6.2561224001469098</v>
      </c>
      <c r="AG3937">
        <v>-1.11961824104</v>
      </c>
      <c r="AH3937">
        <v>13.6782401286635</v>
      </c>
      <c r="AI3937">
        <v>94.257102425149199</v>
      </c>
      <c r="AJ3937">
        <v>65.421698679094604</v>
      </c>
      <c r="AK3937">
        <v>15.082667718565901</v>
      </c>
      <c r="AL3937">
        <v>96.892777993080301</v>
      </c>
      <c r="AM3937">
        <v>78.085604542233</v>
      </c>
      <c r="AN3937">
        <v>0.999999974982694</v>
      </c>
    </row>
    <row r="3938" spans="1:40" x14ac:dyDescent="0.25">
      <c r="A3938" t="str">
        <f>"20190303154551192"</f>
        <v>20190303154551192</v>
      </c>
      <c r="B3938" t="str">
        <f>"1551599151185114"</f>
        <v>1551599151185114</v>
      </c>
      <c r="C3938" t="s">
        <v>40</v>
      </c>
      <c r="D3938">
        <v>5.1899509999999998</v>
      </c>
      <c r="E3938">
        <v>0.58432109999999904</v>
      </c>
      <c r="F3938" t="s">
        <v>61</v>
      </c>
      <c r="G3938">
        <v>-199.3218</v>
      </c>
      <c r="H3938" s="1">
        <v>-1.2251590000000001E-5</v>
      </c>
      <c r="I3938">
        <v>149.24860000000001</v>
      </c>
      <c r="J3938">
        <v>-192.32910000000001</v>
      </c>
      <c r="K3938">
        <v>1.119542</v>
      </c>
      <c r="L3938">
        <v>162.37690000000001</v>
      </c>
      <c r="M3938">
        <v>-5.5730769999999999E-2</v>
      </c>
      <c r="N3938">
        <v>-1.3702199999999999E-2</v>
      </c>
      <c r="O3938">
        <v>-0.99835180000000001</v>
      </c>
      <c r="P3938">
        <v>-0.2634147</v>
      </c>
      <c r="Q3938">
        <v>-0.13363159999999999</v>
      </c>
      <c r="R3938">
        <v>-0.95538219999999996</v>
      </c>
      <c r="S3938">
        <v>-1.4274439999999999</v>
      </c>
      <c r="T3938">
        <v>-0.22809260000000001</v>
      </c>
      <c r="U3938">
        <v>-2.718979</v>
      </c>
      <c r="V3938">
        <v>0.2093711</v>
      </c>
      <c r="W3938">
        <v>-0.12101580000000001</v>
      </c>
      <c r="X3938">
        <v>0.97031900000000004</v>
      </c>
      <c r="Y3938">
        <v>0.41365160000000001</v>
      </c>
      <c r="Z3938">
        <v>6.1368779999999998E-2</v>
      </c>
      <c r="AA3938">
        <v>0.90836459999999997</v>
      </c>
      <c r="AB3938">
        <v>22</v>
      </c>
      <c r="AC3938">
        <v>-6.9926999999999797</v>
      </c>
      <c r="AD3938">
        <v>-1.1195542515899899</v>
      </c>
      <c r="AE3938">
        <v>-13.1282999999999</v>
      </c>
      <c r="AF3938">
        <v>6.21490318334829</v>
      </c>
      <c r="AG3938">
        <v>-1.1195542515899899</v>
      </c>
      <c r="AH3938">
        <v>13.421603156297399</v>
      </c>
      <c r="AI3938">
        <v>94.328645565175705</v>
      </c>
      <c r="AJ3938">
        <v>65.153399474705694</v>
      </c>
      <c r="AK3938">
        <v>14.832998839944</v>
      </c>
      <c r="AL3938">
        <v>96.950730745795497</v>
      </c>
      <c r="AM3938">
        <v>77.823655049607495</v>
      </c>
      <c r="AN3938">
        <v>1.0000000215629199</v>
      </c>
    </row>
    <row r="3939" spans="1:40" x14ac:dyDescent="0.25">
      <c r="A3939" t="str">
        <f>"20190303154551215"</f>
        <v>20190303154551215</v>
      </c>
      <c r="B3939" t="str">
        <f>"1551599151204634"</f>
        <v>1551599151204634</v>
      </c>
      <c r="C3939" t="s">
        <v>40</v>
      </c>
      <c r="D3939">
        <v>5.2037490000000002</v>
      </c>
      <c r="E3939">
        <v>0.5844471</v>
      </c>
      <c r="F3939" t="s">
        <v>61</v>
      </c>
      <c r="G3939">
        <v>-199.36179999999999</v>
      </c>
      <c r="H3939" s="1">
        <v>-1.224771E-5</v>
      </c>
      <c r="I3939">
        <v>149.20699999999999</v>
      </c>
      <c r="J3939">
        <v>-192.34399999999999</v>
      </c>
      <c r="K3939">
        <v>1.119472</v>
      </c>
      <c r="L3939">
        <v>162.15389999999999</v>
      </c>
      <c r="M3939">
        <v>-5.7913680000000002E-2</v>
      </c>
      <c r="N3939">
        <v>-1.3703170000000001E-2</v>
      </c>
      <c r="O3939">
        <v>-0.99822759999999999</v>
      </c>
      <c r="P3939">
        <v>-0.27045710000000001</v>
      </c>
      <c r="Q3939">
        <v>-0.13370660000000001</v>
      </c>
      <c r="R3939">
        <v>-0.95340210000000003</v>
      </c>
      <c r="S3939">
        <v>-1.446625</v>
      </c>
      <c r="T3939">
        <v>-0.23029040000000001</v>
      </c>
      <c r="U3939">
        <v>-2.7090299999999998</v>
      </c>
      <c r="V3939">
        <v>0.21437629999999999</v>
      </c>
      <c r="W3939">
        <v>-0.1211588</v>
      </c>
      <c r="X3939">
        <v>0.96920759999999995</v>
      </c>
      <c r="Y3939">
        <v>0.41802139999999999</v>
      </c>
      <c r="Z3939">
        <v>6.2128580000000003E-2</v>
      </c>
      <c r="AA3939">
        <v>0.90631019999999896</v>
      </c>
      <c r="AB3939">
        <v>22</v>
      </c>
      <c r="AC3939">
        <v>-7.0177999999999603</v>
      </c>
      <c r="AD3939">
        <v>-1.11948424771</v>
      </c>
      <c r="AE3939">
        <v>-12.946899999999999</v>
      </c>
      <c r="AF3939">
        <v>6.2202011688624097</v>
      </c>
      <c r="AG3939">
        <v>-1.11948424771</v>
      </c>
      <c r="AH3939">
        <v>13.2550331659079</v>
      </c>
      <c r="AI3939">
        <v>94.372174360524696</v>
      </c>
      <c r="AJ3939">
        <v>64.860701727115</v>
      </c>
      <c r="AK3939">
        <v>14.6846876640706</v>
      </c>
      <c r="AL3939">
        <v>96.958984840762596</v>
      </c>
      <c r="AM3939">
        <v>77.527717225339401</v>
      </c>
      <c r="AN3939">
        <v>1.00000001235844</v>
      </c>
    </row>
    <row r="3940" spans="1:40" x14ac:dyDescent="0.25">
      <c r="A3940" t="str">
        <f>"20190303154551236"</f>
        <v>20190303154551236</v>
      </c>
      <c r="B3940" t="str">
        <f>"1551599151225131"</f>
        <v>1551599151225131</v>
      </c>
      <c r="C3940" t="s">
        <v>40</v>
      </c>
      <c r="D3940">
        <v>5.153759</v>
      </c>
      <c r="E3940">
        <v>0.58454930000000005</v>
      </c>
      <c r="F3940" t="s">
        <v>61</v>
      </c>
      <c r="G3940">
        <v>-199.5035</v>
      </c>
      <c r="H3940" s="1">
        <v>-1.220985E-5</v>
      </c>
      <c r="I3940">
        <v>148.99010000000001</v>
      </c>
      <c r="J3940">
        <v>-192.35939999999999</v>
      </c>
      <c r="K3940">
        <v>1.1193869999999999</v>
      </c>
      <c r="L3940">
        <v>161.9342</v>
      </c>
      <c r="M3940">
        <v>-6.0206179999999998E-2</v>
      </c>
      <c r="N3940">
        <v>-1.370503E-2</v>
      </c>
      <c r="O3940">
        <v>-0.99809190000000003</v>
      </c>
      <c r="P3940">
        <v>-0.27784809999999999</v>
      </c>
      <c r="Q3940">
        <v>-0.13266639999999999</v>
      </c>
      <c r="R3940">
        <v>-0.95142040000000005</v>
      </c>
      <c r="S3940">
        <v>-1.467468</v>
      </c>
      <c r="T3940">
        <v>-0.2294593</v>
      </c>
      <c r="U3940">
        <v>-2.6981660000000001</v>
      </c>
      <c r="V3940">
        <v>0.2196285</v>
      </c>
      <c r="W3940">
        <v>-0.1201956</v>
      </c>
      <c r="X3940">
        <v>0.96815099999999998</v>
      </c>
      <c r="Y3940">
        <v>0.42287039999999998</v>
      </c>
      <c r="Z3940">
        <v>6.1898269999999998E-2</v>
      </c>
      <c r="AA3940">
        <v>0.90407369999999998</v>
      </c>
      <c r="AB3940">
        <v>22</v>
      </c>
      <c r="AC3940">
        <v>-7.1440999999999999</v>
      </c>
      <c r="AD3940">
        <v>-1.1193992098500001</v>
      </c>
      <c r="AE3940">
        <v>-12.944099999999899</v>
      </c>
      <c r="AF3940">
        <v>6.3155460526111504</v>
      </c>
      <c r="AG3940">
        <v>-1.1193992098500001</v>
      </c>
      <c r="AH3940">
        <v>13.2746768079791</v>
      </c>
      <c r="AI3940">
        <v>94.354514683282702</v>
      </c>
      <c r="AJ3940">
        <v>64.556813641331104</v>
      </c>
      <c r="AK3940">
        <v>14.743005829543799</v>
      </c>
      <c r="AL3940">
        <v>96.903391275004793</v>
      </c>
      <c r="AM3940">
        <v>77.218572979391595</v>
      </c>
      <c r="AN3940">
        <v>1.0000000095363</v>
      </c>
    </row>
    <row r="3941" spans="1:40" x14ac:dyDescent="0.25">
      <c r="A3941" t="str">
        <f>"20190303154551259"</f>
        <v>20190303154551259</v>
      </c>
      <c r="B3941" t="str">
        <f>"1551599151255386"</f>
        <v>1551599151255386</v>
      </c>
      <c r="C3941" t="s">
        <v>40</v>
      </c>
      <c r="D3941">
        <v>5.1369530000000001</v>
      </c>
      <c r="E3941">
        <v>0.58464099999999997</v>
      </c>
      <c r="F3941" t="s">
        <v>61</v>
      </c>
      <c r="G3941">
        <v>-199.7559</v>
      </c>
      <c r="H3941" s="1">
        <v>-1.2126659999999999E-5</v>
      </c>
      <c r="I3941">
        <v>148.58869999999999</v>
      </c>
      <c r="J3941">
        <v>-192.3759</v>
      </c>
      <c r="K3941">
        <v>1.119289</v>
      </c>
      <c r="L3941">
        <v>161.7081</v>
      </c>
      <c r="M3941">
        <v>-6.2728930000000002E-2</v>
      </c>
      <c r="N3941">
        <v>-1.370789E-2</v>
      </c>
      <c r="O3941">
        <v>-0.9979365</v>
      </c>
      <c r="P3941">
        <v>-0.28472069999999999</v>
      </c>
      <c r="Q3941">
        <v>-0.13071050000000001</v>
      </c>
      <c r="R3941">
        <v>-0.94965739999999998</v>
      </c>
      <c r="S3941">
        <v>-1.4891509999999999</v>
      </c>
      <c r="T3941">
        <v>-0.22537160000000001</v>
      </c>
      <c r="U3941">
        <v>-2.68689</v>
      </c>
      <c r="V3941">
        <v>0.22413089999999999</v>
      </c>
      <c r="W3941">
        <v>-0.11832230000000001</v>
      </c>
      <c r="X3941">
        <v>0.96734960000000003</v>
      </c>
      <c r="Y3941">
        <v>0.42780550000000001</v>
      </c>
      <c r="Z3941">
        <v>6.0600750000000002E-2</v>
      </c>
      <c r="AA3941">
        <v>0.90183709999999995</v>
      </c>
      <c r="AB3941">
        <v>22</v>
      </c>
      <c r="AC3941">
        <v>-7.3799999999999901</v>
      </c>
      <c r="AD3941">
        <v>-1.1193011266599999</v>
      </c>
      <c r="AE3941">
        <v>-13.119400000000001</v>
      </c>
      <c r="AF3941">
        <v>6.5064441093931897</v>
      </c>
      <c r="AG3941">
        <v>-1.1193011266599999</v>
      </c>
      <c r="AH3941">
        <v>13.481995436649299</v>
      </c>
      <c r="AI3941">
        <v>94.276054226541106</v>
      </c>
      <c r="AJ3941">
        <v>64.237929244763606</v>
      </c>
      <c r="AK3941">
        <v>15.0116904749143</v>
      </c>
      <c r="AL3941">
        <v>96.795287366306994</v>
      </c>
      <c r="AM3941">
        <v>76.954985792116005</v>
      </c>
      <c r="AN3941">
        <v>1.00000003781612</v>
      </c>
    </row>
    <row r="3942" spans="1:40" x14ac:dyDescent="0.25">
      <c r="A3942" t="str">
        <f>"20190303154551282"</f>
        <v>20190303154551282</v>
      </c>
      <c r="B3942" t="str">
        <f>"1551599151274907"</f>
        <v>1551599151274907</v>
      </c>
      <c r="C3942" t="s">
        <v>40</v>
      </c>
      <c r="D3942">
        <v>5.165292</v>
      </c>
      <c r="E3942">
        <v>0.58465610000000001</v>
      </c>
      <c r="F3942" t="s">
        <v>61</v>
      </c>
      <c r="G3942">
        <v>-200.13409999999999</v>
      </c>
      <c r="H3942" s="1">
        <v>-1.188686E-5</v>
      </c>
      <c r="I3942">
        <v>147.94799999999901</v>
      </c>
      <c r="J3942">
        <v>-192.3929</v>
      </c>
      <c r="K3942">
        <v>1.1191709999999999</v>
      </c>
      <c r="L3942">
        <v>161.48660000000001</v>
      </c>
      <c r="M3942">
        <v>-6.5391749999999998E-2</v>
      </c>
      <c r="N3942">
        <v>-1.371171E-2</v>
      </c>
      <c r="O3942">
        <v>-0.99776569999999998</v>
      </c>
      <c r="P3942">
        <v>-0.29109699999999999</v>
      </c>
      <c r="Q3942">
        <v>-0.13013430000000001</v>
      </c>
      <c r="R3942">
        <v>-0.94780209999999998</v>
      </c>
      <c r="S3942">
        <v>-1.509109</v>
      </c>
      <c r="T3942">
        <v>-0.2177248</v>
      </c>
      <c r="U3942">
        <v>-2.6766049999999999</v>
      </c>
      <c r="V3942">
        <v>0.22800500000000001</v>
      </c>
      <c r="W3942">
        <v>-0.1178352</v>
      </c>
      <c r="X3942">
        <v>0.96650329999999995</v>
      </c>
      <c r="Y3942">
        <v>0.43205320000000003</v>
      </c>
      <c r="Z3942">
        <v>5.8131479999999999E-2</v>
      </c>
      <c r="AA3942">
        <v>0.89997260000000001</v>
      </c>
      <c r="AB3942">
        <v>22</v>
      </c>
      <c r="AC3942">
        <v>-7.7411999999999903</v>
      </c>
      <c r="AD3942">
        <v>-1.11918288686</v>
      </c>
      <c r="AE3942">
        <v>-13.538600000000001</v>
      </c>
      <c r="AF3942">
        <v>6.8041911413506702</v>
      </c>
      <c r="AG3942">
        <v>-1.11918288686</v>
      </c>
      <c r="AH3942">
        <v>13.944064315598199</v>
      </c>
      <c r="AI3942">
        <v>94.125755504590401</v>
      </c>
      <c r="AJ3942">
        <v>63.989324075755803</v>
      </c>
      <c r="AK3942">
        <v>15.5559158219571</v>
      </c>
      <c r="AL3942">
        <v>96.767182084066604</v>
      </c>
      <c r="AM3942">
        <v>76.726205237760396</v>
      </c>
      <c r="AN3942">
        <v>1.00000002164746</v>
      </c>
    </row>
    <row r="3943" spans="1:40" x14ac:dyDescent="0.25">
      <c r="A3943" t="str">
        <f>"20190303154551304"</f>
        <v>20190303154551304</v>
      </c>
      <c r="B3943" t="str">
        <f>"1551599151295402"</f>
        <v>1551599151295402</v>
      </c>
      <c r="C3943" t="s">
        <v>40</v>
      </c>
      <c r="D3943">
        <v>5.1613089999999904</v>
      </c>
      <c r="E3943">
        <v>0.58462510000000001</v>
      </c>
      <c r="F3943" t="s">
        <v>61</v>
      </c>
      <c r="G3943">
        <v>-200.3323</v>
      </c>
      <c r="H3943" s="1">
        <v>-1.170114E-5</v>
      </c>
      <c r="I3943">
        <v>147.6191</v>
      </c>
      <c r="J3943">
        <v>-192.41069999999999</v>
      </c>
      <c r="K3943">
        <v>1.1190370000000001</v>
      </c>
      <c r="L3943">
        <v>161.26490000000001</v>
      </c>
      <c r="M3943">
        <v>-6.8281809999999998E-2</v>
      </c>
      <c r="N3943">
        <v>-1.3716839999999999E-2</v>
      </c>
      <c r="O3943">
        <v>-0.99757200000000001</v>
      </c>
      <c r="P3943">
        <v>-0.29805789999999999</v>
      </c>
      <c r="Q3943">
        <v>-0.13088949999999999</v>
      </c>
      <c r="R3943">
        <v>-0.94553160000000003</v>
      </c>
      <c r="S3943">
        <v>-1.526764</v>
      </c>
      <c r="T3943">
        <v>-0.215221</v>
      </c>
      <c r="U3943">
        <v>-2.6667480000000001</v>
      </c>
      <c r="V3943">
        <v>0.23226769999999999</v>
      </c>
      <c r="W3943">
        <v>-0.1186929</v>
      </c>
      <c r="X3943">
        <v>0.96538270000000004</v>
      </c>
      <c r="Y3943">
        <v>0.43538369999999998</v>
      </c>
      <c r="Z3943">
        <v>5.7358329999999999E-2</v>
      </c>
      <c r="AA3943">
        <v>0.89841589999999905</v>
      </c>
      <c r="AB3943">
        <v>22</v>
      </c>
      <c r="AC3943">
        <v>-7.9216000000000104</v>
      </c>
      <c r="AD3943">
        <v>-1.1190487011399901</v>
      </c>
      <c r="AE3943">
        <v>-13.645799999999999</v>
      </c>
      <c r="AF3943">
        <v>6.9363706798739004</v>
      </c>
      <c r="AG3943">
        <v>-1.1190487011399901</v>
      </c>
      <c r="AH3943">
        <v>14.084054702387499</v>
      </c>
      <c r="AI3943">
        <v>94.077108885763096</v>
      </c>
      <c r="AJ3943">
        <v>63.779839743542802</v>
      </c>
      <c r="AK3943">
        <v>15.7393171727359</v>
      </c>
      <c r="AL3943">
        <v>96.816671975027901</v>
      </c>
      <c r="AM3943">
        <v>76.471955471527096</v>
      </c>
      <c r="AN3943">
        <v>1.0000000232164901</v>
      </c>
    </row>
    <row r="3944" spans="1:40" x14ac:dyDescent="0.25">
      <c r="A3944" t="str">
        <f>"20190303154551327"</f>
        <v>20190303154551327</v>
      </c>
      <c r="B3944" t="str">
        <f>"1551599151314923"</f>
        <v>1551599151314923</v>
      </c>
      <c r="C3944" t="s">
        <v>40</v>
      </c>
      <c r="D3944">
        <v>5.1313319999999996</v>
      </c>
      <c r="E3944">
        <v>0.58455979999999996</v>
      </c>
      <c r="F3944" t="s">
        <v>61</v>
      </c>
      <c r="G3944">
        <v>-200.3853</v>
      </c>
      <c r="H3944" s="1">
        <v>-1.1661870000000001E-5</v>
      </c>
      <c r="I3944">
        <v>147.56620000000001</v>
      </c>
      <c r="J3944">
        <v>-192.4297</v>
      </c>
      <c r="K3944">
        <v>1.118911</v>
      </c>
      <c r="L3944">
        <v>161.04</v>
      </c>
      <c r="M3944">
        <v>-7.1403889999999998E-2</v>
      </c>
      <c r="N3944">
        <v>-1.3722720000000001E-2</v>
      </c>
      <c r="O3944">
        <v>-0.99735320000000005</v>
      </c>
      <c r="P3944">
        <v>-0.3045698</v>
      </c>
      <c r="Q3944">
        <v>-0.1310656</v>
      </c>
      <c r="R3944">
        <v>-0.94342950000000003</v>
      </c>
      <c r="S3944">
        <v>-1.545868</v>
      </c>
      <c r="T3944">
        <v>-0.2169266</v>
      </c>
      <c r="U3944">
        <v>-2.6554869999999999</v>
      </c>
      <c r="V3944">
        <v>0.23585900000000001</v>
      </c>
      <c r="W3944">
        <v>-0.1189629</v>
      </c>
      <c r="X3944">
        <v>0.96447830000000001</v>
      </c>
      <c r="Y3944">
        <v>0.43902580000000002</v>
      </c>
      <c r="Z3944">
        <v>5.7976769999999997E-2</v>
      </c>
      <c r="AA3944">
        <v>0.89660189999999995</v>
      </c>
      <c r="AB3944">
        <v>22</v>
      </c>
      <c r="AC3944">
        <v>-7.9555999999999996</v>
      </c>
      <c r="AD3944">
        <v>-1.1189226618699999</v>
      </c>
      <c r="AE3944">
        <v>-13.473799999999899</v>
      </c>
      <c r="AF3944">
        <v>6.9376408325882704</v>
      </c>
      <c r="AG3944">
        <v>-1.1189226618699999</v>
      </c>
      <c r="AH3944">
        <v>13.9362512180751</v>
      </c>
      <c r="AI3944">
        <v>94.111071560678198</v>
      </c>
      <c r="AJ3944">
        <v>63.535301598283702</v>
      </c>
      <c r="AK3944">
        <v>15.607752761321599</v>
      </c>
      <c r="AL3944">
        <v>96.832252277584402</v>
      </c>
      <c r="AM3944">
        <v>76.258258596364698</v>
      </c>
      <c r="AN3944">
        <v>1.00000001531414</v>
      </c>
    </row>
    <row r="3945" spans="1:40" x14ac:dyDescent="0.25">
      <c r="A3945" t="str">
        <f>"20190303154551351"</f>
        <v>20190303154551351</v>
      </c>
      <c r="B3945" t="str">
        <f>"1551599151345180"</f>
        <v>1551599151345180</v>
      </c>
      <c r="C3945" t="s">
        <v>40</v>
      </c>
      <c r="D3945">
        <v>5.1588609999999999</v>
      </c>
      <c r="E3945">
        <v>0.58444629999999997</v>
      </c>
      <c r="F3945" t="s">
        <v>61</v>
      </c>
      <c r="G3945">
        <v>-200.4819</v>
      </c>
      <c r="H3945" s="1">
        <v>-1.157515E-5</v>
      </c>
      <c r="I3945">
        <v>147.4186</v>
      </c>
      <c r="J3945">
        <v>-192.45079999999999</v>
      </c>
      <c r="K3945">
        <v>1.1187860000000001</v>
      </c>
      <c r="L3945">
        <v>160.80269999999999</v>
      </c>
      <c r="M3945">
        <v>-7.4912740000000005E-2</v>
      </c>
      <c r="N3945">
        <v>-1.372866E-2</v>
      </c>
      <c r="O3945">
        <v>-0.99709570000000003</v>
      </c>
      <c r="P3945">
        <v>-0.31084869999999998</v>
      </c>
      <c r="Q3945">
        <v>-0.12894050000000001</v>
      </c>
      <c r="R3945">
        <v>-0.94167310000000004</v>
      </c>
      <c r="S3945">
        <v>-1.5635380000000001</v>
      </c>
      <c r="T3945">
        <v>-0.2172683</v>
      </c>
      <c r="U3945">
        <v>-2.6449579999999999</v>
      </c>
      <c r="V3945">
        <v>0.23883840000000001</v>
      </c>
      <c r="W3945">
        <v>-0.1169232</v>
      </c>
      <c r="X3945">
        <v>0.96399440000000003</v>
      </c>
      <c r="Y3945">
        <v>0.4418589</v>
      </c>
      <c r="Z3945">
        <v>5.815066E-2</v>
      </c>
      <c r="AA3945">
        <v>0.89519789999999999</v>
      </c>
      <c r="AB3945">
        <v>22</v>
      </c>
      <c r="AC3945">
        <v>-8.0311000000000092</v>
      </c>
      <c r="AD3945">
        <v>-1.1187975751499999</v>
      </c>
      <c r="AE3945">
        <v>-13.384099999999901</v>
      </c>
      <c r="AF3945">
        <v>6.9699855232999601</v>
      </c>
      <c r="AG3945">
        <v>-1.1187975751499999</v>
      </c>
      <c r="AH3945">
        <v>13.8768781476409</v>
      </c>
      <c r="AI3945">
        <v>94.120806124848897</v>
      </c>
      <c r="AJ3945">
        <v>63.330842736997802</v>
      </c>
      <c r="AK3945">
        <v>15.569205289084101</v>
      </c>
      <c r="AL3945">
        <v>96.714564677654096</v>
      </c>
      <c r="AM3945">
        <v>76.084660777044604</v>
      </c>
      <c r="AN3945">
        <v>1.00000000962208</v>
      </c>
    </row>
    <row r="3946" spans="1:40" x14ac:dyDescent="0.25">
      <c r="A3946" t="str">
        <f>"20190303154551373"</f>
        <v>20190303154551373</v>
      </c>
      <c r="B3946" t="str">
        <f>"1551599151364699"</f>
        <v>1551599151364699</v>
      </c>
      <c r="C3946" t="s">
        <v>40</v>
      </c>
      <c r="D3946">
        <v>5.1481690000000002</v>
      </c>
      <c r="E3946">
        <v>0.58433279999999999</v>
      </c>
      <c r="F3946" t="s">
        <v>61</v>
      </c>
      <c r="G3946">
        <v>-200.81970000000001</v>
      </c>
      <c r="H3946" s="1">
        <v>-1.1254049999999999E-5</v>
      </c>
      <c r="I3946">
        <v>146.84280000000001</v>
      </c>
      <c r="J3946">
        <v>-192.471</v>
      </c>
      <c r="K3946">
        <v>1.118681</v>
      </c>
      <c r="L3946">
        <v>160.58500000000001</v>
      </c>
      <c r="M3946">
        <v>-7.8338270000000002E-2</v>
      </c>
      <c r="N3946">
        <v>-1.373431E-2</v>
      </c>
      <c r="O3946">
        <v>-0.99683239999999995</v>
      </c>
      <c r="P3946">
        <v>-0.31621120000000003</v>
      </c>
      <c r="Q3946">
        <v>-0.128916899999999</v>
      </c>
      <c r="R3946">
        <v>-0.93988899999999997</v>
      </c>
      <c r="S3946">
        <v>-1.5799099999999999</v>
      </c>
      <c r="T3946">
        <v>-0.21121010000000001</v>
      </c>
      <c r="U3946">
        <v>-2.6353909999999998</v>
      </c>
      <c r="V3946">
        <v>0.2409849</v>
      </c>
      <c r="W3946">
        <v>-0.1169776</v>
      </c>
      <c r="X3946">
        <v>0.96345340000000002</v>
      </c>
      <c r="Y3946">
        <v>0.44436219999999998</v>
      </c>
      <c r="Z3946">
        <v>5.6214449999999999E-2</v>
      </c>
      <c r="AA3946">
        <v>0.89408180000000004</v>
      </c>
      <c r="AB3946">
        <v>22</v>
      </c>
      <c r="AC3946">
        <v>-8.3487000000000293</v>
      </c>
      <c r="AD3946">
        <v>-1.1186922540499999</v>
      </c>
      <c r="AE3946">
        <v>-13.742199999999899</v>
      </c>
      <c r="AF3946">
        <v>7.2114904093704002</v>
      </c>
      <c r="AG3946">
        <v>-1.1186922540499999</v>
      </c>
      <c r="AH3946">
        <v>14.2849000724548</v>
      </c>
      <c r="AI3946">
        <v>93.9990147855044</v>
      </c>
      <c r="AJ3946">
        <v>63.213844312730103</v>
      </c>
      <c r="AK3946">
        <v>16.041054714816301</v>
      </c>
      <c r="AL3946">
        <v>96.717703389279606</v>
      </c>
      <c r="AM3946">
        <v>75.956953460354995</v>
      </c>
      <c r="AN3946">
        <v>0.999999967450664</v>
      </c>
    </row>
    <row r="3947" spans="1:40" x14ac:dyDescent="0.25">
      <c r="A3947" t="str">
        <f>"20190303154551393"</f>
        <v>20190303154551393</v>
      </c>
      <c r="B3947" t="str">
        <f>"1551599151385199"</f>
        <v>1551599151385199</v>
      </c>
      <c r="C3947" t="s">
        <v>40</v>
      </c>
      <c r="D3947">
        <v>5.1583589999999999</v>
      </c>
      <c r="E3947">
        <v>0.58422850000000004</v>
      </c>
      <c r="F3947" t="s">
        <v>61</v>
      </c>
      <c r="G3947">
        <v>-200.94640000000001</v>
      </c>
      <c r="H3947" s="1">
        <v>-1.113031E-5</v>
      </c>
      <c r="I3947">
        <v>146.61580000000001</v>
      </c>
      <c r="J3947">
        <v>-192.49090000000001</v>
      </c>
      <c r="K3947">
        <v>1.1185689999999999</v>
      </c>
      <c r="L3947">
        <v>160.38079999999999</v>
      </c>
      <c r="M3947">
        <v>-8.1742809999999999E-2</v>
      </c>
      <c r="N3947">
        <v>-1.3741359999999999E-2</v>
      </c>
      <c r="O3947">
        <v>-0.99655870000000002</v>
      </c>
      <c r="P3947">
        <v>-0.32083929999999999</v>
      </c>
      <c r="Q3947">
        <v>-0.12923109999999999</v>
      </c>
      <c r="R3947">
        <v>-0.93827579999999999</v>
      </c>
      <c r="S3947">
        <v>-1.59375</v>
      </c>
      <c r="T3947">
        <v>-0.21036389999999999</v>
      </c>
      <c r="U3947">
        <v>-2.6268310000000001</v>
      </c>
      <c r="V3947">
        <v>0.24240909999999999</v>
      </c>
      <c r="W3947">
        <v>-0.1173642</v>
      </c>
      <c r="X3947">
        <v>0.96304909999999999</v>
      </c>
      <c r="Y3947">
        <v>0.4460442</v>
      </c>
      <c r="Z3947">
        <v>5.5991050000000001E-2</v>
      </c>
      <c r="AA3947">
        <v>0.89325789999999905</v>
      </c>
      <c r="AB3947">
        <v>22</v>
      </c>
      <c r="AC3947">
        <v>-8.4555000000000007</v>
      </c>
      <c r="AD3947">
        <v>-1.11858013031</v>
      </c>
      <c r="AE3947">
        <v>-13.764999999999899</v>
      </c>
      <c r="AF3947">
        <v>7.2670600488558703</v>
      </c>
      <c r="AG3947">
        <v>-1.11858013031</v>
      </c>
      <c r="AH3947">
        <v>14.3414079861801</v>
      </c>
      <c r="AI3947">
        <v>93.979896873874296</v>
      </c>
      <c r="AJ3947">
        <v>63.127813274411103</v>
      </c>
      <c r="AK3947">
        <v>16.116369513251801</v>
      </c>
      <c r="AL3947">
        <v>96.740007028811405</v>
      </c>
      <c r="AM3947">
        <v>75.871580579402206</v>
      </c>
      <c r="AN3947">
        <v>1.0000000481076201</v>
      </c>
    </row>
    <row r="3948" spans="1:40" x14ac:dyDescent="0.25">
      <c r="A3948" t="str">
        <f>"20190303154551416"</f>
        <v>20190303154551416</v>
      </c>
      <c r="B3948" t="str">
        <f>"1551599151404715"</f>
        <v>1551599151404715</v>
      </c>
      <c r="C3948" t="s">
        <v>40</v>
      </c>
      <c r="D3948">
        <v>5.1399189999999999</v>
      </c>
      <c r="E3948">
        <v>0.58412509999999995</v>
      </c>
      <c r="F3948" t="s">
        <v>61</v>
      </c>
      <c r="G3948">
        <v>-200.9246</v>
      </c>
      <c r="H3948" s="1">
        <v>-1.1143599999999999E-5</v>
      </c>
      <c r="I3948">
        <v>146.62790000000001</v>
      </c>
      <c r="J3948">
        <v>-192.51349999999999</v>
      </c>
      <c r="K3948">
        <v>1.118444</v>
      </c>
      <c r="L3948">
        <v>160.15960000000001</v>
      </c>
      <c r="M3948">
        <v>-8.563664E-2</v>
      </c>
      <c r="N3948">
        <v>-1.375119E-2</v>
      </c>
      <c r="O3948">
        <v>-0.99623170000000005</v>
      </c>
      <c r="P3948">
        <v>-0.32826729999999998</v>
      </c>
      <c r="Q3948">
        <v>-0.1288086</v>
      </c>
      <c r="R3948">
        <v>-0.93576159999999997</v>
      </c>
      <c r="S3948">
        <v>-1.605972</v>
      </c>
      <c r="T3948">
        <v>-0.2130051</v>
      </c>
      <c r="U3948">
        <v>-2.618881</v>
      </c>
      <c r="V3948">
        <v>0.24623120000000001</v>
      </c>
      <c r="W3948">
        <v>-0.1170455</v>
      </c>
      <c r="X3948">
        <v>0.96211769999999996</v>
      </c>
      <c r="Y3948">
        <v>0.44675550000000003</v>
      </c>
      <c r="Z3948">
        <v>5.6919989999999997E-2</v>
      </c>
      <c r="AA3948">
        <v>0.89284359999999996</v>
      </c>
      <c r="AB3948">
        <v>22</v>
      </c>
      <c r="AC3948">
        <v>-8.4110999999999994</v>
      </c>
      <c r="AD3948">
        <v>-1.1184551436000001</v>
      </c>
      <c r="AE3948">
        <v>-13.531700000000001</v>
      </c>
      <c r="AF3948">
        <v>7.1858661430805002</v>
      </c>
      <c r="AG3948">
        <v>-1.1184551436000001</v>
      </c>
      <c r="AH3948">
        <v>14.132704076225099</v>
      </c>
      <c r="AI3948">
        <v>94.035205073796604</v>
      </c>
      <c r="AJ3948">
        <v>63.048641127087201</v>
      </c>
      <c r="AK3948">
        <v>15.8940535622813</v>
      </c>
      <c r="AL3948">
        <v>96.721620727459197</v>
      </c>
      <c r="AM3948">
        <v>75.644627799454696</v>
      </c>
      <c r="AN3948">
        <v>0.99999996078848896</v>
      </c>
    </row>
    <row r="3949" spans="1:40" x14ac:dyDescent="0.25">
      <c r="A3949" t="str">
        <f>"20190303154551439"</f>
        <v>20190303154551439</v>
      </c>
      <c r="B3949" t="str">
        <f>"1551599151434971"</f>
        <v>1551599151434971</v>
      </c>
      <c r="C3949" t="s">
        <v>40</v>
      </c>
      <c r="D3949">
        <v>5.4339490000000001</v>
      </c>
      <c r="E3949">
        <v>0.58415289999999997</v>
      </c>
      <c r="F3949" t="s">
        <v>61</v>
      </c>
      <c r="G3949">
        <v>-201.00309999999999</v>
      </c>
      <c r="H3949" s="1">
        <v>-1.108665E-5</v>
      </c>
      <c r="I3949">
        <v>146.55359999999999</v>
      </c>
      <c r="J3949">
        <v>-192.5384</v>
      </c>
      <c r="K3949">
        <v>1.1183019999999999</v>
      </c>
      <c r="L3949">
        <v>159.92670000000001</v>
      </c>
      <c r="M3949">
        <v>-8.9965080000000003E-2</v>
      </c>
      <c r="N3949">
        <v>-1.376281E-2</v>
      </c>
      <c r="O3949">
        <v>-0.99585000000000001</v>
      </c>
      <c r="P3949">
        <v>-0.33688210000000002</v>
      </c>
      <c r="Q3949">
        <v>-0.12784000000000001</v>
      </c>
      <c r="R3949">
        <v>-0.93282779999999998</v>
      </c>
      <c r="S3949">
        <v>-1.6260829999999999</v>
      </c>
      <c r="T3949">
        <v>-0.21422550000000001</v>
      </c>
      <c r="U3949">
        <v>-2.6060490000000001</v>
      </c>
      <c r="V3949">
        <v>0.25086310000000001</v>
      </c>
      <c r="W3949">
        <v>-0.11619790000000001</v>
      </c>
      <c r="X3949">
        <v>0.96102330000000002</v>
      </c>
      <c r="Y3949">
        <v>0.44978309999999999</v>
      </c>
      <c r="Z3949">
        <v>5.739499E-2</v>
      </c>
      <c r="AA3949">
        <v>0.89129169999999902</v>
      </c>
      <c r="AB3949">
        <v>22</v>
      </c>
      <c r="AC3949">
        <v>-8.4646999999999899</v>
      </c>
      <c r="AD3949">
        <v>-1.11831308665</v>
      </c>
      <c r="AE3949">
        <v>-13.373100000000001</v>
      </c>
      <c r="AF3949">
        <v>7.1912390628276102</v>
      </c>
      <c r="AG3949">
        <v>-1.11831308665</v>
      </c>
      <c r="AH3949">
        <v>14.010509988644101</v>
      </c>
      <c r="AI3949">
        <v>94.061855903416401</v>
      </c>
      <c r="AJ3949">
        <v>62.8297217725137</v>
      </c>
      <c r="AK3949">
        <v>15.7879363300087</v>
      </c>
      <c r="AL3949">
        <v>96.672722800752496</v>
      </c>
      <c r="AM3949">
        <v>75.370118605060298</v>
      </c>
      <c r="AN3949">
        <v>1.0000000150244499</v>
      </c>
    </row>
    <row r="3950" spans="1:40" x14ac:dyDescent="0.25">
      <c r="A3950" t="str">
        <f>"20190303154551462"</f>
        <v>20190303154551462</v>
      </c>
      <c r="B3950" t="str">
        <f>"1551599151455467"</f>
        <v>1551599151455467</v>
      </c>
      <c r="C3950" t="s">
        <v>40</v>
      </c>
      <c r="D3950">
        <v>5.5009240000000004</v>
      </c>
      <c r="E3950">
        <v>0.61110559999999903</v>
      </c>
      <c r="F3950" t="s">
        <v>61</v>
      </c>
      <c r="G3950">
        <v>-201.24979999999999</v>
      </c>
      <c r="H3950" s="1">
        <v>-1.088645E-5</v>
      </c>
      <c r="I3950">
        <v>146.2484</v>
      </c>
      <c r="J3950">
        <v>-192.5626</v>
      </c>
      <c r="K3950">
        <v>1.118174</v>
      </c>
      <c r="L3950">
        <v>159.71209999999999</v>
      </c>
      <c r="M3950">
        <v>-9.4175990000000001E-2</v>
      </c>
      <c r="N3950">
        <v>-1.377402E-2</v>
      </c>
      <c r="O3950">
        <v>-0.99546049999999997</v>
      </c>
      <c r="P3950">
        <v>-0.34473710000000002</v>
      </c>
      <c r="Q3950">
        <v>-0.12693299999999999</v>
      </c>
      <c r="R3950">
        <v>-0.93007799999999996</v>
      </c>
      <c r="S3950">
        <v>-1.650177</v>
      </c>
      <c r="T3950">
        <v>-0.21183879999999999</v>
      </c>
      <c r="U3950">
        <v>-2.5910489999999999</v>
      </c>
      <c r="V3950">
        <v>0.25484970000000001</v>
      </c>
      <c r="W3950">
        <v>-0.1154033</v>
      </c>
      <c r="X3950">
        <v>0.96006970000000003</v>
      </c>
      <c r="Y3950">
        <v>0.45425860000000001</v>
      </c>
      <c r="Z3950">
        <v>5.6676879999999999E-2</v>
      </c>
      <c r="AA3950">
        <v>0.88906509999999905</v>
      </c>
      <c r="AB3950">
        <v>22</v>
      </c>
      <c r="AC3950">
        <v>-8.68719999999999</v>
      </c>
      <c r="AD3950">
        <v>-1.1181848864499999</v>
      </c>
      <c r="AE3950">
        <v>-13.4636999999999</v>
      </c>
      <c r="AF3950">
        <v>7.3447362456139897</v>
      </c>
      <c r="AG3950">
        <v>-1.1181848864499999</v>
      </c>
      <c r="AH3950">
        <v>14.153126366774799</v>
      </c>
      <c r="AI3950">
        <v>94.0113461623652</v>
      </c>
      <c r="AJ3950">
        <v>62.573035814172201</v>
      </c>
      <c r="AK3950">
        <v>15.9845698694653</v>
      </c>
      <c r="AL3950">
        <v>96.626886914275701</v>
      </c>
      <c r="AM3950">
        <v>75.133729041937698</v>
      </c>
      <c r="AN3950">
        <v>1.00000006004953</v>
      </c>
    </row>
    <row r="3951" spans="1:40" x14ac:dyDescent="0.25">
      <c r="A3951" t="str">
        <f>"20190303154551483"</f>
        <v>20190303154551483</v>
      </c>
      <c r="B3951" t="str">
        <f>"1551599151474986"</f>
        <v>1551599151474986</v>
      </c>
      <c r="C3951" t="s">
        <v>40</v>
      </c>
      <c r="D3951">
        <v>5.4322150000000002</v>
      </c>
      <c r="E3951">
        <v>0.62413909999999995</v>
      </c>
      <c r="F3951" t="s">
        <v>61</v>
      </c>
      <c r="G3951">
        <v>-198.6798</v>
      </c>
      <c r="H3951" s="1">
        <v>-1.283796E-5</v>
      </c>
      <c r="I3951">
        <v>151.5635</v>
      </c>
      <c r="J3951">
        <v>-192.58860000000001</v>
      </c>
      <c r="K3951">
        <v>1.118044</v>
      </c>
      <c r="L3951">
        <v>159.49299999999999</v>
      </c>
      <c r="M3951">
        <v>-9.8722489999999996E-2</v>
      </c>
      <c r="N3951">
        <v>-1.3786369999999999E-2</v>
      </c>
      <c r="O3951">
        <v>-0.9950196</v>
      </c>
      <c r="P3951">
        <v>-0.35256910000000002</v>
      </c>
      <c r="Q3951">
        <v>-0.12612319999999999</v>
      </c>
      <c r="R3951">
        <v>-0.92724779999999996</v>
      </c>
      <c r="S3951">
        <v>-1.8669739999999999</v>
      </c>
      <c r="T3951">
        <v>-0.3412693</v>
      </c>
      <c r="U3951">
        <v>-2.4869379999999999</v>
      </c>
      <c r="V3951">
        <v>0.25850849999999997</v>
      </c>
      <c r="W3951">
        <v>-0.1147055</v>
      </c>
      <c r="X3951">
        <v>0.95917459999999999</v>
      </c>
      <c r="Y3951">
        <v>0.51519529999999902</v>
      </c>
      <c r="Z3951">
        <v>9.8291989999999996E-2</v>
      </c>
      <c r="AA3951">
        <v>0.85141789999999995</v>
      </c>
      <c r="AB3951">
        <v>22</v>
      </c>
      <c r="AC3951">
        <v>-6.0911999999999802</v>
      </c>
      <c r="AD3951">
        <v>-1.11805683796</v>
      </c>
      <c r="AE3951">
        <v>-7.9294999999999902</v>
      </c>
      <c r="AF3951">
        <v>5.2133616098841404</v>
      </c>
      <c r="AG3951">
        <v>-1.11805683796</v>
      </c>
      <c r="AH3951">
        <v>8.3872859112717695</v>
      </c>
      <c r="AI3951">
        <v>96.459243353673301</v>
      </c>
      <c r="AJ3951">
        <v>58.135779704847501</v>
      </c>
      <c r="AK3951">
        <v>9.9385992637665392</v>
      </c>
      <c r="AL3951">
        <v>96.586639336212698</v>
      </c>
      <c r="AM3951">
        <v>74.916520057689596</v>
      </c>
      <c r="AN3951">
        <v>0.99999995479382897</v>
      </c>
    </row>
    <row r="3952" spans="1:40" x14ac:dyDescent="0.25">
      <c r="A3952" t="str">
        <f>"20190303154551506"</f>
        <v>20190303154551506</v>
      </c>
      <c r="B3952" t="str">
        <f>"1551599151495484"</f>
        <v>1551599151495484</v>
      </c>
      <c r="C3952" t="s">
        <v>40</v>
      </c>
      <c r="D3952">
        <v>5.4174389999999999</v>
      </c>
      <c r="E3952">
        <v>0.62902159999999996</v>
      </c>
      <c r="F3952" t="s">
        <v>61</v>
      </c>
      <c r="G3952">
        <v>-199.2353</v>
      </c>
      <c r="H3952" s="1">
        <v>-1.283083E-5</v>
      </c>
      <c r="I3952">
        <v>151.33940000000001</v>
      </c>
      <c r="J3952">
        <v>-192.61590000000001</v>
      </c>
      <c r="K3952">
        <v>1.1179349999999999</v>
      </c>
      <c r="L3952">
        <v>159.2739</v>
      </c>
      <c r="M3952">
        <v>-0.10347000000000001</v>
      </c>
      <c r="N3952">
        <v>-1.3799169999999999E-2</v>
      </c>
      <c r="O3952">
        <v>-0.99453709999999995</v>
      </c>
      <c r="P3952">
        <v>-0.36078060000000001</v>
      </c>
      <c r="Q3952">
        <v>-0.12400990000000001</v>
      </c>
      <c r="R3952">
        <v>-0.92436960000000001</v>
      </c>
      <c r="S3952">
        <v>-1.985107</v>
      </c>
      <c r="T3952">
        <v>-0.33391949999999998</v>
      </c>
      <c r="U3952">
        <v>-2.435165</v>
      </c>
      <c r="V3952">
        <v>0.26238240000000002</v>
      </c>
      <c r="W3952">
        <v>-0.1126953</v>
      </c>
      <c r="X3952">
        <v>0.95836069999999995</v>
      </c>
      <c r="Y3952">
        <v>0.54500680000000001</v>
      </c>
      <c r="Z3952">
        <v>9.5149410000000004E-2</v>
      </c>
      <c r="AA3952">
        <v>0.83301510000000001</v>
      </c>
      <c r="AB3952">
        <v>22</v>
      </c>
      <c r="AC3952">
        <v>-6.6193999999999802</v>
      </c>
      <c r="AD3952">
        <v>-1.1179478308299999</v>
      </c>
      <c r="AE3952">
        <v>-7.9344999999999803</v>
      </c>
      <c r="AF3952">
        <v>5.6961285043654204</v>
      </c>
      <c r="AG3952">
        <v>-1.1179478308299999</v>
      </c>
      <c r="AH3952">
        <v>8.4776450153568703</v>
      </c>
      <c r="AI3952">
        <v>96.246582932282905</v>
      </c>
      <c r="AJ3952">
        <v>56.102852054809901</v>
      </c>
      <c r="AK3952">
        <v>10.2745390308814</v>
      </c>
      <c r="AL3952">
        <v>96.470711304871003</v>
      </c>
      <c r="AM3952">
        <v>74.688621364827696</v>
      </c>
      <c r="AN3952">
        <v>0.99999999288816999</v>
      </c>
    </row>
    <row r="3953" spans="1:40" x14ac:dyDescent="0.25">
      <c r="A3953" t="str">
        <f>"20190303154551528"</f>
        <v>20190303154551528</v>
      </c>
      <c r="B3953" t="str">
        <f>"1551599151524762"</f>
        <v>1551599151524762</v>
      </c>
      <c r="C3953" t="s">
        <v>40</v>
      </c>
      <c r="D3953">
        <v>5.0423559999999998</v>
      </c>
      <c r="E3953">
        <v>0.63592799999999905</v>
      </c>
      <c r="F3953" t="s">
        <v>61</v>
      </c>
      <c r="G3953">
        <v>-199.5335</v>
      </c>
      <c r="H3953" s="1">
        <v>-1.280541E-5</v>
      </c>
      <c r="I3953">
        <v>151.13319999999999</v>
      </c>
      <c r="J3953">
        <v>-192.64340000000001</v>
      </c>
      <c r="K3953">
        <v>1.1178459999999999</v>
      </c>
      <c r="L3953">
        <v>159.0625</v>
      </c>
      <c r="M3953">
        <v>-0.1082443</v>
      </c>
      <c r="N3953">
        <v>-1.381143E-2</v>
      </c>
      <c r="O3953">
        <v>-0.99402860000000004</v>
      </c>
      <c r="P3953">
        <v>-0.36908020000000002</v>
      </c>
      <c r="Q3953">
        <v>-0.12134979999999999</v>
      </c>
      <c r="R3953">
        <v>-0.92144159999999997</v>
      </c>
      <c r="S3953">
        <v>-2.0427550000000001</v>
      </c>
      <c r="T3953">
        <v>-0.33012590000000003</v>
      </c>
      <c r="U3953">
        <v>-2.403915</v>
      </c>
      <c r="V3953">
        <v>0.26634370000000002</v>
      </c>
      <c r="W3953">
        <v>-0.11013199999999999</v>
      </c>
      <c r="X3953">
        <v>0.95756569999999996</v>
      </c>
      <c r="Y3953">
        <v>0.55802209999999997</v>
      </c>
      <c r="Z3953">
        <v>9.3716190000000005E-2</v>
      </c>
      <c r="AA3953">
        <v>0.82451719999999895</v>
      </c>
      <c r="AB3953">
        <v>22</v>
      </c>
      <c r="AC3953">
        <v>-6.8900999999999897</v>
      </c>
      <c r="AD3953">
        <v>-1.1178588054099901</v>
      </c>
      <c r="AE3953">
        <v>-7.9293000000000102</v>
      </c>
      <c r="AF3953">
        <v>5.9241382024234897</v>
      </c>
      <c r="AG3953">
        <v>-1.1178588054099901</v>
      </c>
      <c r="AH3953">
        <v>8.5319673757110497</v>
      </c>
      <c r="AI3953">
        <v>96.142580838750803</v>
      </c>
      <c r="AJ3953">
        <v>55.225970584152599</v>
      </c>
      <c r="AK3953">
        <v>10.4469846870015</v>
      </c>
      <c r="AL3953">
        <v>96.322924546416402</v>
      </c>
      <c r="AM3953">
        <v>74.456269538475695</v>
      </c>
      <c r="AN3953">
        <v>1.00000004688508</v>
      </c>
    </row>
    <row r="3954" spans="1:40" x14ac:dyDescent="0.25">
      <c r="A3954" t="str">
        <f>"20190303154551552"</f>
        <v>20190303154551552</v>
      </c>
      <c r="B3954" t="str">
        <f>"1551599151545260"</f>
        <v>1551599151545260</v>
      </c>
      <c r="C3954" t="s">
        <v>40</v>
      </c>
      <c r="D3954">
        <v>5.4159600000000001</v>
      </c>
      <c r="E3954">
        <v>0.63718900000000001</v>
      </c>
      <c r="F3954" t="s">
        <v>61</v>
      </c>
      <c r="G3954">
        <v>-202.762</v>
      </c>
      <c r="H3954" s="1">
        <v>-1.065264E-5</v>
      </c>
      <c r="I3954">
        <v>147.7166</v>
      </c>
      <c r="J3954">
        <v>-192.67490000000001</v>
      </c>
      <c r="K3954">
        <v>1.117739</v>
      </c>
      <c r="L3954">
        <v>158.8314</v>
      </c>
      <c r="M3954">
        <v>-0.11370180000000001</v>
      </c>
      <c r="N3954">
        <v>-1.3825489999999999E-2</v>
      </c>
      <c r="O3954">
        <v>-0.99341900000000005</v>
      </c>
      <c r="P3954">
        <v>-0.37871680000000002</v>
      </c>
      <c r="Q3954">
        <v>-0.1183216</v>
      </c>
      <c r="R3954">
        <v>-0.91791820000000002</v>
      </c>
      <c r="S3954">
        <v>-2.1190950000000002</v>
      </c>
      <c r="T3954">
        <v>-0.23410790000000001</v>
      </c>
      <c r="U3954">
        <v>-2.3761139999999998</v>
      </c>
      <c r="V3954">
        <v>0.2710555</v>
      </c>
      <c r="W3954">
        <v>-0.1072182</v>
      </c>
      <c r="X3954">
        <v>0.95657369999999997</v>
      </c>
      <c r="Y3954">
        <v>0.57482900000000003</v>
      </c>
      <c r="Z3954">
        <v>6.2294660000000002E-2</v>
      </c>
      <c r="AA3954">
        <v>0.81589880000000004</v>
      </c>
      <c r="AB3954">
        <v>22</v>
      </c>
      <c r="AC3954">
        <v>-10.0870999999999</v>
      </c>
      <c r="AD3954">
        <v>-1.1177496526399999</v>
      </c>
      <c r="AE3954">
        <v>-11.114800000000001</v>
      </c>
      <c r="AF3954">
        <v>8.7094791596156895</v>
      </c>
      <c r="AG3954">
        <v>-1.1177496526399999</v>
      </c>
      <c r="AH3954">
        <v>12.1225097451889</v>
      </c>
      <c r="AI3954">
        <v>94.282425332393203</v>
      </c>
      <c r="AJ3954">
        <v>54.304450551361803</v>
      </c>
      <c r="AK3954">
        <v>14.968621647966</v>
      </c>
      <c r="AL3954">
        <v>96.154981450175796</v>
      </c>
      <c r="AM3954">
        <v>74.179348669815795</v>
      </c>
      <c r="AN3954">
        <v>1.0000000350115801</v>
      </c>
    </row>
    <row r="3955" spans="1:40" x14ac:dyDescent="0.25">
      <c r="A3955" t="str">
        <f>"20190303154551573"</f>
        <v>20190303154551573</v>
      </c>
      <c r="B3955" t="str">
        <f>"1551599151564779"</f>
        <v>1551599151564779</v>
      </c>
      <c r="C3955" t="s">
        <v>40</v>
      </c>
      <c r="D3955">
        <v>5.4103139999999996</v>
      </c>
      <c r="E3955">
        <v>0.63790919999999995</v>
      </c>
      <c r="F3955" t="s">
        <v>61</v>
      </c>
      <c r="G3955">
        <v>-202.81370000000001</v>
      </c>
      <c r="H3955" s="1">
        <v>-1.064357E-5</v>
      </c>
      <c r="I3955">
        <v>147.76320000000001</v>
      </c>
      <c r="J3955">
        <v>-192.70500000000001</v>
      </c>
      <c r="K3955">
        <v>1.117621</v>
      </c>
      <c r="L3955">
        <v>158.62129999999999</v>
      </c>
      <c r="M3955">
        <v>-0.1188946</v>
      </c>
      <c r="N3955">
        <v>-1.384034E-2</v>
      </c>
      <c r="O3955">
        <v>-0.99281059999999999</v>
      </c>
      <c r="P3955">
        <v>-0.38815189999999999</v>
      </c>
      <c r="Q3955">
        <v>-0.1164549</v>
      </c>
      <c r="R3955">
        <v>-0.91420809999999997</v>
      </c>
      <c r="S3955">
        <v>-2.152374</v>
      </c>
      <c r="T3955">
        <v>-0.237288</v>
      </c>
      <c r="U3955">
        <v>-2.3496700000000001</v>
      </c>
      <c r="V3955">
        <v>0.27585019999999999</v>
      </c>
      <c r="W3955">
        <v>-0.1054744</v>
      </c>
      <c r="X3955">
        <v>0.95539620000000003</v>
      </c>
      <c r="Y3955">
        <v>0.58135059999999905</v>
      </c>
      <c r="Z3955">
        <v>6.3391610000000001E-2</v>
      </c>
      <c r="AA3955">
        <v>0.81118009999999996</v>
      </c>
      <c r="AB3955">
        <v>22</v>
      </c>
      <c r="AC3955">
        <v>-10.108700000000001</v>
      </c>
      <c r="AD3955">
        <v>-1.11763164357</v>
      </c>
      <c r="AE3955">
        <v>-10.858099999999901</v>
      </c>
      <c r="AF3955">
        <v>8.6965334596077106</v>
      </c>
      <c r="AG3955">
        <v>-1.11763164357</v>
      </c>
      <c r="AH3955">
        <v>11.915425478078401</v>
      </c>
      <c r="AI3955">
        <v>94.332673055694102</v>
      </c>
      <c r="AJ3955">
        <v>53.875974076579197</v>
      </c>
      <c r="AK3955">
        <v>14.7937878526233</v>
      </c>
      <c r="AL3955">
        <v>96.054499207961001</v>
      </c>
      <c r="AM3955">
        <v>73.895058990443005</v>
      </c>
      <c r="AN3955">
        <v>1.0000000404349101</v>
      </c>
    </row>
    <row r="3956" spans="1:40" x14ac:dyDescent="0.25">
      <c r="A3956" t="str">
        <f>"20190303154551595"</f>
        <v>20190303154551595</v>
      </c>
      <c r="B3956" t="str">
        <f>"1551599151585275"</f>
        <v>1551599151585275</v>
      </c>
      <c r="C3956" t="s">
        <v>40</v>
      </c>
      <c r="D3956">
        <v>5.4621930000000001</v>
      </c>
      <c r="E3956">
        <v>0.63838919999999999</v>
      </c>
      <c r="F3956" t="s">
        <v>61</v>
      </c>
      <c r="G3956">
        <v>-202.7689</v>
      </c>
      <c r="H3956" s="1">
        <v>-1.0703099999999999E-5</v>
      </c>
      <c r="I3956">
        <v>147.8964</v>
      </c>
      <c r="J3956">
        <v>-192.73589999999999</v>
      </c>
      <c r="K3956">
        <v>1.1174789999999999</v>
      </c>
      <c r="L3956">
        <v>158.4144</v>
      </c>
      <c r="M3956">
        <v>-0.1242407</v>
      </c>
      <c r="N3956">
        <v>-1.385776E-2</v>
      </c>
      <c r="O3956">
        <v>-0.99215560000000003</v>
      </c>
      <c r="P3956">
        <v>-0.3980805</v>
      </c>
      <c r="Q3956">
        <v>-0.11567479999999999</v>
      </c>
      <c r="R3956">
        <v>-0.91002819999999995</v>
      </c>
      <c r="S3956">
        <v>-2.1812900000000002</v>
      </c>
      <c r="T3956">
        <v>-0.24224010000000001</v>
      </c>
      <c r="U3956">
        <v>-2.324554</v>
      </c>
      <c r="V3956">
        <v>0.28104869999999998</v>
      </c>
      <c r="W3956">
        <v>-0.10483729999999999</v>
      </c>
      <c r="X3956">
        <v>0.95395010000000002</v>
      </c>
      <c r="Y3956">
        <v>0.58662169999999902</v>
      </c>
      <c r="Z3956">
        <v>6.5088989999999999E-2</v>
      </c>
      <c r="AA3956">
        <v>0.80724130000000005</v>
      </c>
      <c r="AB3956">
        <v>22</v>
      </c>
      <c r="AC3956">
        <v>-10.032999999999999</v>
      </c>
      <c r="AD3956">
        <v>-1.1174897031</v>
      </c>
      <c r="AE3956">
        <v>-10.517999999999899</v>
      </c>
      <c r="AF3956">
        <v>8.5975475706190192</v>
      </c>
      <c r="AG3956">
        <v>-1.1174897031</v>
      </c>
      <c r="AH3956">
        <v>11.614473347088101</v>
      </c>
      <c r="AI3956">
        <v>94.422043767835007</v>
      </c>
      <c r="AJ3956">
        <v>53.489515766354302</v>
      </c>
      <c r="AK3956">
        <v>14.493536442007899</v>
      </c>
      <c r="AL3956">
        <v>96.017792727125595</v>
      </c>
      <c r="AM3956">
        <v>73.584197577765707</v>
      </c>
      <c r="AN3956">
        <v>1.00000001226649</v>
      </c>
    </row>
    <row r="3957" spans="1:40" x14ac:dyDescent="0.25">
      <c r="A3957" t="str">
        <f>"20190303154551617"</f>
        <v>20190303154551617</v>
      </c>
      <c r="B3957" t="str">
        <f>"1551599151615532"</f>
        <v>1551599151615532</v>
      </c>
      <c r="C3957" t="s">
        <v>40</v>
      </c>
      <c r="D3957">
        <v>5.4366949999999896</v>
      </c>
      <c r="E3957">
        <v>0.63846979999999998</v>
      </c>
      <c r="F3957" t="s">
        <v>61</v>
      </c>
      <c r="G3957">
        <v>-202.6397</v>
      </c>
      <c r="H3957" s="1">
        <v>-1.082414E-5</v>
      </c>
      <c r="I3957">
        <v>148.11070000000001</v>
      </c>
      <c r="J3957">
        <v>-192.77080000000001</v>
      </c>
      <c r="K3957">
        <v>1.117313</v>
      </c>
      <c r="L3957">
        <v>158.19139999999999</v>
      </c>
      <c r="M3957">
        <v>-0.1302767</v>
      </c>
      <c r="N3957">
        <v>-1.38791E-2</v>
      </c>
      <c r="O3957">
        <v>-0.99138079999999995</v>
      </c>
      <c r="P3957">
        <v>-0.40821279999999999</v>
      </c>
      <c r="Q3957">
        <v>-0.1161113</v>
      </c>
      <c r="R3957">
        <v>-0.90547290000000002</v>
      </c>
      <c r="S3957">
        <v>-2.2092589999999999</v>
      </c>
      <c r="T3957">
        <v>-0.2492808</v>
      </c>
      <c r="U3957">
        <v>-2.2984770000000001</v>
      </c>
      <c r="V3957">
        <v>0.28583809999999998</v>
      </c>
      <c r="W3957">
        <v>-0.1054353</v>
      </c>
      <c r="X3957">
        <v>0.95245999999999997</v>
      </c>
      <c r="Y3957">
        <v>0.59125260000000002</v>
      </c>
      <c r="Z3957">
        <v>6.7491809999999999E-2</v>
      </c>
      <c r="AA3957">
        <v>0.80365739999999997</v>
      </c>
      <c r="AB3957">
        <v>22</v>
      </c>
      <c r="AC3957">
        <v>-9.8688999999999893</v>
      </c>
      <c r="AD3957">
        <v>-1.1173238241399901</v>
      </c>
      <c r="AE3957">
        <v>-10.080699999999901</v>
      </c>
      <c r="AF3957">
        <v>8.4185622300667102</v>
      </c>
      <c r="AG3957">
        <v>-1.1173238241399901</v>
      </c>
      <c r="AH3957">
        <v>11.210262409266999</v>
      </c>
      <c r="AI3957">
        <v>94.556766834354505</v>
      </c>
      <c r="AJ3957">
        <v>53.094577572830097</v>
      </c>
      <c r="AK3957">
        <v>14.0638041025222</v>
      </c>
      <c r="AL3957">
        <v>96.052246403912804</v>
      </c>
      <c r="AM3957">
        <v>73.295231546810001</v>
      </c>
      <c r="AN3957">
        <v>1.00000003674884</v>
      </c>
    </row>
    <row r="3958" spans="1:40" x14ac:dyDescent="0.25">
      <c r="A3958" t="str">
        <f>"20190303154551639"</f>
        <v>20190303154551639</v>
      </c>
      <c r="B3958" t="str">
        <f>"1551599151635051"</f>
        <v>1551599151635051</v>
      </c>
      <c r="C3958" t="s">
        <v>40</v>
      </c>
      <c r="D3958">
        <v>5.421443</v>
      </c>
      <c r="E3958">
        <v>0.63852229999999999</v>
      </c>
      <c r="F3958" t="s">
        <v>61</v>
      </c>
      <c r="G3958">
        <v>-202.34790000000001</v>
      </c>
      <c r="H3958" s="1">
        <v>-1.105602E-5</v>
      </c>
      <c r="I3958">
        <v>148.45509999999999</v>
      </c>
      <c r="J3958">
        <v>-192.80600000000001</v>
      </c>
      <c r="K3958">
        <v>1.1171450000000001</v>
      </c>
      <c r="L3958">
        <v>157.97739999999999</v>
      </c>
      <c r="M3958">
        <v>-0.1363519</v>
      </c>
      <c r="N3958">
        <v>-1.3901429999999999E-2</v>
      </c>
      <c r="O3958">
        <v>-0.99056310000000003</v>
      </c>
      <c r="P3958">
        <v>-0.41861549999999997</v>
      </c>
      <c r="Q3958">
        <v>-0.11564629999999999</v>
      </c>
      <c r="R3958">
        <v>-0.90077070000000004</v>
      </c>
      <c r="S3958">
        <v>-2.235001</v>
      </c>
      <c r="T3958">
        <v>-0.26075090000000001</v>
      </c>
      <c r="U3958">
        <v>-2.2721559999999998</v>
      </c>
      <c r="V3958">
        <v>0.29090830000000001</v>
      </c>
      <c r="W3958">
        <v>-0.10514080000000001</v>
      </c>
      <c r="X3958">
        <v>0.95095620000000003</v>
      </c>
      <c r="Y3958">
        <v>0.59538469999999999</v>
      </c>
      <c r="Z3958">
        <v>7.1357580000000004E-2</v>
      </c>
      <c r="AA3958">
        <v>0.80026569999999997</v>
      </c>
      <c r="AB3958">
        <v>22</v>
      </c>
      <c r="AC3958">
        <v>-9.5419000000000196</v>
      </c>
      <c r="AD3958">
        <v>-1.11715605602</v>
      </c>
      <c r="AE3958">
        <v>-9.5222999999999995</v>
      </c>
      <c r="AF3958">
        <v>8.0986367532788801</v>
      </c>
      <c r="AG3958">
        <v>-1.11715605602</v>
      </c>
      <c r="AH3958">
        <v>10.6613104650653</v>
      </c>
      <c r="AI3958">
        <v>94.769800683626102</v>
      </c>
      <c r="AJ3958">
        <v>52.778655656527</v>
      </c>
      <c r="AK3958">
        <v>13.4350100761992</v>
      </c>
      <c r="AL3958">
        <v>96.035278947186995</v>
      </c>
      <c r="AM3958">
        <v>72.990533516805201</v>
      </c>
      <c r="AN3958">
        <v>0.99999996057598395</v>
      </c>
    </row>
    <row r="3959" spans="1:40" x14ac:dyDescent="0.25">
      <c r="A3959" t="str">
        <f>"20190303154551661"</f>
        <v>20190303154551661</v>
      </c>
      <c r="B3959" t="str">
        <f>"1551599151654571"</f>
        <v>1551599151654571</v>
      </c>
      <c r="C3959" t="s">
        <v>40</v>
      </c>
      <c r="D3959">
        <v>5.4184599999999996</v>
      </c>
      <c r="E3959">
        <v>0.63839780000000002</v>
      </c>
      <c r="F3959" t="s">
        <v>61</v>
      </c>
      <c r="G3959">
        <v>-202.3562</v>
      </c>
      <c r="H3959" s="1">
        <v>-1.1063120000000001E-5</v>
      </c>
      <c r="I3959">
        <v>148.4914</v>
      </c>
      <c r="J3959">
        <v>-192.84200000000001</v>
      </c>
      <c r="K3959">
        <v>1.1169750000000001</v>
      </c>
      <c r="L3959">
        <v>157.7679</v>
      </c>
      <c r="M3959">
        <v>-0.14259769999999999</v>
      </c>
      <c r="N3959">
        <v>-1.3925359999999999E-2</v>
      </c>
      <c r="O3959">
        <v>-0.98968290000000003</v>
      </c>
      <c r="P3959">
        <v>-0.4295717</v>
      </c>
      <c r="Q3959">
        <v>-0.114166</v>
      </c>
      <c r="R3959">
        <v>-0.89578719999999901</v>
      </c>
      <c r="S3959">
        <v>-2.2609710000000001</v>
      </c>
      <c r="T3959">
        <v>-0.26448070000000001</v>
      </c>
      <c r="U3959">
        <v>-2.2457579999999999</v>
      </c>
      <c r="V3959">
        <v>0.29643639999999999</v>
      </c>
      <c r="W3959">
        <v>-0.1038404</v>
      </c>
      <c r="X3959">
        <v>0.94939059999999997</v>
      </c>
      <c r="Y3959">
        <v>0.59953919999999905</v>
      </c>
      <c r="Z3959">
        <v>7.2726230000000003E-2</v>
      </c>
      <c r="AA3959">
        <v>0.79703429999999997</v>
      </c>
      <c r="AB3959">
        <v>22</v>
      </c>
      <c r="AC3959">
        <v>-9.5141999999999793</v>
      </c>
      <c r="AD3959">
        <v>-1.1169860631199999</v>
      </c>
      <c r="AE3959">
        <v>-9.2765000000000004</v>
      </c>
      <c r="AF3959">
        <v>8.0372266569656698</v>
      </c>
      <c r="AG3959">
        <v>-1.1169860631199999</v>
      </c>
      <c r="AH3959">
        <v>10.464574834770399</v>
      </c>
      <c r="AI3959">
        <v>94.838730014700502</v>
      </c>
      <c r="AJ3959">
        <v>52.474245568451998</v>
      </c>
      <c r="AK3959">
        <v>13.242054095688999</v>
      </c>
      <c r="AL3959">
        <v>95.960361524195207</v>
      </c>
      <c r="AM3959">
        <v>72.659620560989495</v>
      </c>
      <c r="AN3959">
        <v>0.99999993964273803</v>
      </c>
    </row>
    <row r="3960" spans="1:40" x14ac:dyDescent="0.25">
      <c r="A3960" t="str">
        <f>"20190303154551683"</f>
        <v>20190303154551683</v>
      </c>
      <c r="B3960" t="str">
        <f>"1551599151675069"</f>
        <v>1551599151675069</v>
      </c>
      <c r="C3960" t="s">
        <v>40</v>
      </c>
      <c r="D3960">
        <v>5.3897709999999996</v>
      </c>
      <c r="E3960">
        <v>0.63819899999999996</v>
      </c>
      <c r="F3960" t="s">
        <v>61</v>
      </c>
      <c r="G3960">
        <v>-202.488</v>
      </c>
      <c r="H3960" s="1">
        <v>-1.09810199999999E-5</v>
      </c>
      <c r="I3960">
        <v>148.4119</v>
      </c>
      <c r="J3960">
        <v>-192.88120000000001</v>
      </c>
      <c r="K3960">
        <v>1.116798</v>
      </c>
      <c r="L3960">
        <v>157.55179999999999</v>
      </c>
      <c r="M3960">
        <v>-0.1493891</v>
      </c>
      <c r="N3960">
        <v>-1.395297E-2</v>
      </c>
      <c r="O3960">
        <v>-0.98868020000000001</v>
      </c>
      <c r="P3960">
        <v>-0.44089800000000001</v>
      </c>
      <c r="Q3960">
        <v>-0.11205560000000001</v>
      </c>
      <c r="R3960">
        <v>-0.89053519999999897</v>
      </c>
      <c r="S3960">
        <v>-2.2871700000000001</v>
      </c>
      <c r="T3960">
        <v>-0.26485130000000001</v>
      </c>
      <c r="U3960">
        <v>-2.2184300000000001</v>
      </c>
      <c r="V3960">
        <v>0.30187950000000002</v>
      </c>
      <c r="W3960">
        <v>-0.10191450000000001</v>
      </c>
      <c r="X3960">
        <v>0.94788300000000003</v>
      </c>
      <c r="Y3960">
        <v>0.60349739999999996</v>
      </c>
      <c r="Z3960">
        <v>7.3022370000000003E-2</v>
      </c>
      <c r="AA3960">
        <v>0.7940142</v>
      </c>
      <c r="AB3960">
        <v>22</v>
      </c>
      <c r="AC3960">
        <v>-9.6067999999999891</v>
      </c>
      <c r="AD3960">
        <v>-1.1168089810199999</v>
      </c>
      <c r="AE3960">
        <v>-9.1398999999999795</v>
      </c>
      <c r="AF3960">
        <v>8.0761526746738799</v>
      </c>
      <c r="AG3960">
        <v>-1.1168089810199999</v>
      </c>
      <c r="AH3960">
        <v>10.398841553505701</v>
      </c>
      <c r="AI3960">
        <v>94.848290113720296</v>
      </c>
      <c r="AJ3960">
        <v>52.1656695248316</v>
      </c>
      <c r="AK3960">
        <v>13.2139097158882</v>
      </c>
      <c r="AL3960">
        <v>95.849426649119806</v>
      </c>
      <c r="AM3960">
        <v>72.334488189881398</v>
      </c>
      <c r="AN3960">
        <v>0.99999998975974902</v>
      </c>
    </row>
    <row r="3961" spans="1:40" x14ac:dyDescent="0.25">
      <c r="A3961" t="str">
        <f>"20190303154551706"</f>
        <v>20190303154551706</v>
      </c>
      <c r="B3961" t="str">
        <f>"1551599151694587"</f>
        <v>1551599151694587</v>
      </c>
      <c r="C3961" t="s">
        <v>40</v>
      </c>
      <c r="D3961">
        <v>5.3926999999999996</v>
      </c>
      <c r="E3961">
        <v>0.63795500000000005</v>
      </c>
      <c r="F3961" t="s">
        <v>61</v>
      </c>
      <c r="G3961">
        <v>-202.78200000000001</v>
      </c>
      <c r="H3961" s="1">
        <v>-1.0780540000000001E-5</v>
      </c>
      <c r="I3961">
        <v>148.1763</v>
      </c>
      <c r="J3961">
        <v>-192.9221</v>
      </c>
      <c r="K3961">
        <v>1.116627</v>
      </c>
      <c r="L3961">
        <v>157.33619999999999</v>
      </c>
      <c r="M3961">
        <v>-0.1564796</v>
      </c>
      <c r="N3961">
        <v>-1.398276E-2</v>
      </c>
      <c r="O3961">
        <v>-0.98758239999999997</v>
      </c>
      <c r="P3961">
        <v>-0.45196700000000001</v>
      </c>
      <c r="Q3961">
        <v>-0.11018600000000001</v>
      </c>
      <c r="R3961">
        <v>-0.88520350000000003</v>
      </c>
      <c r="S3961">
        <v>-2.313339</v>
      </c>
      <c r="T3961">
        <v>-0.26094450000000002</v>
      </c>
      <c r="U3961">
        <v>-2.190598</v>
      </c>
      <c r="V3961">
        <v>0.306822599999999</v>
      </c>
      <c r="W3961">
        <v>-0.10022109999999999</v>
      </c>
      <c r="X3961">
        <v>0.94647539999999997</v>
      </c>
      <c r="Y3961">
        <v>0.60735879999999998</v>
      </c>
      <c r="Z3961">
        <v>7.1935910000000006E-2</v>
      </c>
      <c r="AA3961">
        <v>0.79116399999999998</v>
      </c>
      <c r="AB3961">
        <v>22</v>
      </c>
      <c r="AC3961">
        <v>-9.8599000000000103</v>
      </c>
      <c r="AD3961">
        <v>-1.1166377805399901</v>
      </c>
      <c r="AE3961">
        <v>-9.1598999999999897</v>
      </c>
      <c r="AF3961">
        <v>8.2481544338339408</v>
      </c>
      <c r="AG3961">
        <v>-1.1166377805399901</v>
      </c>
      <c r="AH3961">
        <v>10.51765666066</v>
      </c>
      <c r="AI3961">
        <v>94.775537810599701</v>
      </c>
      <c r="AJ3961">
        <v>51.895755758631303</v>
      </c>
      <c r="AK3961">
        <v>13.4126818022657</v>
      </c>
      <c r="AL3961">
        <v>95.751902364057102</v>
      </c>
      <c r="AM3961">
        <v>72.0386601861061</v>
      </c>
      <c r="AN3961">
        <v>1.00000002978056</v>
      </c>
    </row>
    <row r="3962" spans="1:40" x14ac:dyDescent="0.25">
      <c r="A3962" t="str">
        <f>"20190303154551729"</f>
        <v>20190303154551729</v>
      </c>
      <c r="B3962" t="str">
        <f>"1551599151724843"</f>
        <v>1551599151724843</v>
      </c>
      <c r="C3962" t="s">
        <v>40</v>
      </c>
      <c r="D3962">
        <v>5.3917719999999996</v>
      </c>
      <c r="E3962">
        <v>0.63775599999999999</v>
      </c>
      <c r="F3962" t="s">
        <v>61</v>
      </c>
      <c r="G3962">
        <v>-203.1053</v>
      </c>
      <c r="H3962" s="1">
        <v>-1.055997E-5</v>
      </c>
      <c r="I3962">
        <v>147.9169</v>
      </c>
      <c r="J3962">
        <v>-192.96619999999999</v>
      </c>
      <c r="K3962">
        <v>1.1164689999999999</v>
      </c>
      <c r="L3962">
        <v>157.1148</v>
      </c>
      <c r="M3962">
        <v>-0.16404449999999901</v>
      </c>
      <c r="N3962">
        <v>-1.401312E-2</v>
      </c>
      <c r="O3962">
        <v>-0.98635340000000005</v>
      </c>
      <c r="P3962">
        <v>-0.46414270000000002</v>
      </c>
      <c r="Q3962">
        <v>-0.10939309999999999</v>
      </c>
      <c r="R3962">
        <v>-0.87897950000000002</v>
      </c>
      <c r="S3962">
        <v>-2.3385310000000001</v>
      </c>
      <c r="T3962">
        <v>-0.25643110000000002</v>
      </c>
      <c r="U3962">
        <v>-2.163116</v>
      </c>
      <c r="V3962">
        <v>0.3125716</v>
      </c>
      <c r="W3962">
        <v>-9.9607459999999995E-2</v>
      </c>
      <c r="X3962">
        <v>0.94465730000000003</v>
      </c>
      <c r="Y3962">
        <v>0.61060419999999904</v>
      </c>
      <c r="Z3962">
        <v>7.0651749999999999E-2</v>
      </c>
      <c r="AA3962">
        <v>0.78877810000000004</v>
      </c>
      <c r="AB3962">
        <v>22</v>
      </c>
      <c r="AC3962">
        <v>-10.139099999999999</v>
      </c>
      <c r="AD3962">
        <v>-1.1164795599699999</v>
      </c>
      <c r="AE3962">
        <v>-9.1979000000000006</v>
      </c>
      <c r="AF3962">
        <v>8.4365880072428396</v>
      </c>
      <c r="AG3962">
        <v>-1.1164795599699999</v>
      </c>
      <c r="AH3962">
        <v>10.665753521431601</v>
      </c>
      <c r="AI3962">
        <v>94.693444926827993</v>
      </c>
      <c r="AJ3962">
        <v>51.656079203891501</v>
      </c>
      <c r="AK3962">
        <v>13.6448100753259</v>
      </c>
      <c r="AL3962">
        <v>95.716566546288306</v>
      </c>
      <c r="AM3962">
        <v>71.691467768424403</v>
      </c>
      <c r="AN3962">
        <v>1.0000000328287499</v>
      </c>
    </row>
    <row r="3963" spans="1:40" x14ac:dyDescent="0.25">
      <c r="A3963" t="str">
        <f>"20190303154551752"</f>
        <v>20190303154551752</v>
      </c>
      <c r="B3963" t="str">
        <f>"1551599151745339"</f>
        <v>1551599151745339</v>
      </c>
      <c r="C3963" t="s">
        <v>40</v>
      </c>
      <c r="D3963">
        <v>5.3622459999999998</v>
      </c>
      <c r="E3963">
        <v>0.63746789999999998</v>
      </c>
      <c r="F3963" t="s">
        <v>61</v>
      </c>
      <c r="G3963">
        <v>-203.26679999999999</v>
      </c>
      <c r="H3963" s="1">
        <v>-1.046473E-5</v>
      </c>
      <c r="I3963">
        <v>147.8374</v>
      </c>
      <c r="J3963">
        <v>-193.01130000000001</v>
      </c>
      <c r="K3963">
        <v>1.1163350000000001</v>
      </c>
      <c r="L3963">
        <v>156.89830000000001</v>
      </c>
      <c r="M3963">
        <v>-0.1717081</v>
      </c>
      <c r="N3963">
        <v>-1.4041E-2</v>
      </c>
      <c r="O3963">
        <v>-0.98504789999999998</v>
      </c>
      <c r="P3963">
        <v>-0.47690979999999999</v>
      </c>
      <c r="Q3963">
        <v>-0.1092857</v>
      </c>
      <c r="R3963">
        <v>-0.87213189999999996</v>
      </c>
      <c r="S3963">
        <v>-2.3665620000000001</v>
      </c>
      <c r="T3963">
        <v>-0.25650990000000001</v>
      </c>
      <c r="U3963">
        <v>-2.1314700000000002</v>
      </c>
      <c r="V3963">
        <v>0.31894980000000001</v>
      </c>
      <c r="W3963">
        <v>-9.9680619999999998E-2</v>
      </c>
      <c r="X3963">
        <v>0.94251510000000005</v>
      </c>
      <c r="Y3963">
        <v>0.61490290000000003</v>
      </c>
      <c r="Z3963">
        <v>7.087802E-2</v>
      </c>
      <c r="AA3963">
        <v>0.78541119999999898</v>
      </c>
      <c r="AB3963">
        <v>22</v>
      </c>
      <c r="AC3963">
        <v>-10.2554999999999</v>
      </c>
      <c r="AD3963">
        <v>-1.11634546473</v>
      </c>
      <c r="AE3963">
        <v>-9.0609000000000002</v>
      </c>
      <c r="AF3963">
        <v>8.4906692349956998</v>
      </c>
      <c r="AG3963">
        <v>-1.11634546473</v>
      </c>
      <c r="AH3963">
        <v>10.616775915061799</v>
      </c>
      <c r="AI3963">
        <v>94.694487729995998</v>
      </c>
      <c r="AJ3963">
        <v>51.349247197011202</v>
      </c>
      <c r="AK3963">
        <v>13.640147436349899</v>
      </c>
      <c r="AL3963">
        <v>95.720779704865606</v>
      </c>
      <c r="AM3963">
        <v>71.304034018441399</v>
      </c>
      <c r="AN3963">
        <v>0.99999995732581604</v>
      </c>
    </row>
    <row r="3964" spans="1:40" x14ac:dyDescent="0.25">
      <c r="A3964" t="str">
        <f>"20190303154551775"</f>
        <v>20190303154551775</v>
      </c>
      <c r="B3964" t="str">
        <f>"1551599151764860"</f>
        <v>1551599151764860</v>
      </c>
      <c r="C3964" t="s">
        <v>40</v>
      </c>
      <c r="D3964">
        <v>5.3942569999999996</v>
      </c>
      <c r="E3964">
        <v>0.63714369999999998</v>
      </c>
      <c r="F3964" t="s">
        <v>61</v>
      </c>
      <c r="G3964">
        <v>-203.2825</v>
      </c>
      <c r="H3964" s="1">
        <v>-1.047776E-5</v>
      </c>
      <c r="I3964">
        <v>147.90459999999999</v>
      </c>
      <c r="J3964">
        <v>-193.05959999999999</v>
      </c>
      <c r="K3964">
        <v>1.1162030000000001</v>
      </c>
      <c r="L3964">
        <v>156.6765</v>
      </c>
      <c r="M3964">
        <v>-0.17983950000000001</v>
      </c>
      <c r="N3964">
        <v>-1.406933E-2</v>
      </c>
      <c r="O3964">
        <v>-0.98359560000000001</v>
      </c>
      <c r="P3964">
        <v>-0.49054950000000003</v>
      </c>
      <c r="Q3964">
        <v>-0.1080822</v>
      </c>
      <c r="R3964">
        <v>-0.86468480000000003</v>
      </c>
      <c r="S3964">
        <v>-2.3953090000000001</v>
      </c>
      <c r="T3964">
        <v>-0.26033889999999998</v>
      </c>
      <c r="U3964">
        <v>-2.097397</v>
      </c>
      <c r="V3964">
        <v>0.32590209999999997</v>
      </c>
      <c r="W3964">
        <v>-9.8668569999999997E-2</v>
      </c>
      <c r="X3964">
        <v>0.94024059999999998</v>
      </c>
      <c r="Y3964">
        <v>0.61929699999999999</v>
      </c>
      <c r="Z3964">
        <v>7.2351029999999997E-2</v>
      </c>
      <c r="AA3964">
        <v>0.78181619999999996</v>
      </c>
      <c r="AB3964">
        <v>21</v>
      </c>
      <c r="AC3964">
        <v>-10.222899999999999</v>
      </c>
      <c r="AD3964">
        <v>-1.1162134777599999</v>
      </c>
      <c r="AE3964">
        <v>-8.7719000000000094</v>
      </c>
      <c r="AF3964">
        <v>8.4206827759538996</v>
      </c>
      <c r="AG3964">
        <v>-1.1162134777599999</v>
      </c>
      <c r="AH3964">
        <v>10.396133066731</v>
      </c>
      <c r="AI3964">
        <v>94.769291689010899</v>
      </c>
      <c r="AJ3964">
        <v>50.993143133150497</v>
      </c>
      <c r="AK3964">
        <v>13.425103861138499</v>
      </c>
      <c r="AL3964">
        <v>95.662505832261402</v>
      </c>
      <c r="AM3964">
        <v>70.882883519801595</v>
      </c>
      <c r="AN3964">
        <v>1.0000000256893</v>
      </c>
    </row>
    <row r="3965" spans="1:40" x14ac:dyDescent="0.25">
      <c r="A3965" t="str">
        <f>"20190303154551796"</f>
        <v>20190303154551796</v>
      </c>
      <c r="B3965" t="str">
        <f>"1551599151785354"</f>
        <v>1551599151785354</v>
      </c>
      <c r="C3965" t="s">
        <v>40</v>
      </c>
      <c r="D3965">
        <v>4.9685259999999998</v>
      </c>
      <c r="E3965">
        <v>0.63890760000000002</v>
      </c>
      <c r="F3965" t="s">
        <v>61</v>
      </c>
      <c r="G3965">
        <v>-203.38499999999999</v>
      </c>
      <c r="H3965" s="1">
        <v>-1.043247E-5</v>
      </c>
      <c r="I3965">
        <v>147.90520000000001</v>
      </c>
      <c r="J3965">
        <v>-193.10419999999999</v>
      </c>
      <c r="K3965">
        <v>1.1160870000000001</v>
      </c>
      <c r="L3965">
        <v>156.4804</v>
      </c>
      <c r="M3965">
        <v>-0.1872772</v>
      </c>
      <c r="N3965">
        <v>-1.4096859999999999E-2</v>
      </c>
      <c r="O3965">
        <v>-0.98220609999999997</v>
      </c>
      <c r="P3965">
        <v>-0.5025056</v>
      </c>
      <c r="Q3965">
        <v>-0.1062641</v>
      </c>
      <c r="R3965">
        <v>-0.85801899999999998</v>
      </c>
      <c r="S3965">
        <v>-2.4256899999999999</v>
      </c>
      <c r="T3965">
        <v>-0.26222620000000002</v>
      </c>
      <c r="U3965">
        <v>-2.0606080000000002</v>
      </c>
      <c r="V3965">
        <v>0.33177259999999997</v>
      </c>
      <c r="W3965">
        <v>-9.702173E-2</v>
      </c>
      <c r="X3965">
        <v>0.93835690000000005</v>
      </c>
      <c r="Y3965">
        <v>0.62501419999999996</v>
      </c>
      <c r="Z3965">
        <v>7.3196929999999993E-2</v>
      </c>
      <c r="AA3965">
        <v>0.77717400000000003</v>
      </c>
      <c r="AB3965">
        <v>21</v>
      </c>
      <c r="AC3965">
        <v>-10.280799999999999</v>
      </c>
      <c r="AD3965">
        <v>-1.1160974324699999</v>
      </c>
      <c r="AE3965">
        <v>-8.5751999999999899</v>
      </c>
      <c r="AF3965">
        <v>8.4341488003316893</v>
      </c>
      <c r="AG3965">
        <v>-1.1160974324699999</v>
      </c>
      <c r="AH3965">
        <v>10.277569026410101</v>
      </c>
      <c r="AI3965">
        <v>94.798567715509805</v>
      </c>
      <c r="AJ3965">
        <v>50.626446181079402</v>
      </c>
      <c r="AK3965">
        <v>13.3420000208937</v>
      </c>
      <c r="AL3965">
        <v>95.567694195725196</v>
      </c>
      <c r="AM3965">
        <v>70.528055530923297</v>
      </c>
      <c r="AN3965">
        <v>0.99999997299028098</v>
      </c>
    </row>
    <row r="3966" spans="1:40" x14ac:dyDescent="0.25">
      <c r="A3966" t="str">
        <f>"20190303154551822"</f>
        <v>20190303154551822</v>
      </c>
      <c r="B3966" t="str">
        <f>"1551599151814635"</f>
        <v>1551599151814635</v>
      </c>
      <c r="C3966" t="s">
        <v>40</v>
      </c>
      <c r="D3966">
        <v>5.0406040000000001</v>
      </c>
      <c r="E3966">
        <v>0.639374199999999</v>
      </c>
      <c r="F3966" t="s">
        <v>61</v>
      </c>
      <c r="G3966">
        <v>-204.5462</v>
      </c>
      <c r="H3966" s="1">
        <v>-9.7353119999999993E-6</v>
      </c>
      <c r="I3966">
        <v>147.10210000000001</v>
      </c>
      <c r="J3966">
        <v>-193.16030000000001</v>
      </c>
      <c r="K3966">
        <v>1.115934</v>
      </c>
      <c r="L3966">
        <v>156.24430000000001</v>
      </c>
      <c r="M3966">
        <v>-0.19652720000000001</v>
      </c>
      <c r="N3966">
        <v>-1.4133679999999999E-2</v>
      </c>
      <c r="O3966">
        <v>-0.98039659999999995</v>
      </c>
      <c r="P3966">
        <v>-0.51573500000000005</v>
      </c>
      <c r="Q3966">
        <v>-0.10502060000000001</v>
      </c>
      <c r="R3966">
        <v>-0.85028729999999997</v>
      </c>
      <c r="S3966">
        <v>-2.466812</v>
      </c>
      <c r="T3966">
        <v>-0.24062359999999999</v>
      </c>
      <c r="U3966">
        <v>-2.0218959999999999</v>
      </c>
      <c r="V3966">
        <v>0.33739239999999998</v>
      </c>
      <c r="W3966">
        <v>-9.5975969999999994E-2</v>
      </c>
      <c r="X3966">
        <v>0.93645880000000004</v>
      </c>
      <c r="Y3966">
        <v>0.63172439999999996</v>
      </c>
      <c r="Z3966">
        <v>6.6203380000000006E-2</v>
      </c>
      <c r="AA3966">
        <v>0.77236099999999996</v>
      </c>
      <c r="AB3966">
        <v>21</v>
      </c>
      <c r="AC3966">
        <v>-11.3858999999999</v>
      </c>
      <c r="AD3966">
        <v>-1.1159437353120001</v>
      </c>
      <c r="AE3966">
        <v>-9.1422000000000008</v>
      </c>
      <c r="AF3966">
        <v>9.3125502374935394</v>
      </c>
      <c r="AG3966">
        <v>-1.1159437353120001</v>
      </c>
      <c r="AH3966">
        <v>11.1366933479959</v>
      </c>
      <c r="AI3966">
        <v>94.395703413968604</v>
      </c>
      <c r="AJ3966">
        <v>50.097489190786497</v>
      </c>
      <c r="AK3966">
        <v>14.5600433060317</v>
      </c>
      <c r="AL3966">
        <v>95.507495183552905</v>
      </c>
      <c r="AM3966">
        <v>70.186650656497704</v>
      </c>
      <c r="AN3966">
        <v>1.0000000512463101</v>
      </c>
    </row>
    <row r="3967" spans="1:40" x14ac:dyDescent="0.25">
      <c r="A3967" t="str">
        <f>"20190303154551841"</f>
        <v>20190303154551841</v>
      </c>
      <c r="B3967" t="str">
        <f>"1551599151835131"</f>
        <v>1551599151835131</v>
      </c>
      <c r="C3967" t="s">
        <v>40</v>
      </c>
      <c r="D3967">
        <v>5.389062</v>
      </c>
      <c r="E3967">
        <v>0.63950750000000001</v>
      </c>
      <c r="F3967" t="s">
        <v>61</v>
      </c>
      <c r="G3967">
        <v>-205.2533</v>
      </c>
      <c r="H3967" s="1">
        <v>-9.3323810000000003E-6</v>
      </c>
      <c r="I3967">
        <v>146.6592</v>
      </c>
      <c r="J3967">
        <v>-193.2079</v>
      </c>
      <c r="K3967">
        <v>1.1157979999999901</v>
      </c>
      <c r="L3967">
        <v>156.05250000000001</v>
      </c>
      <c r="M3967">
        <v>-0.2043103</v>
      </c>
      <c r="N3967">
        <v>-1.4166120000000001E-2</v>
      </c>
      <c r="O3967">
        <v>-0.9788038</v>
      </c>
      <c r="P3967">
        <v>-0.52878760000000002</v>
      </c>
      <c r="Q3967">
        <v>-0.1035423</v>
      </c>
      <c r="R3967">
        <v>-0.84241509999999997</v>
      </c>
      <c r="S3967">
        <v>-2.501312</v>
      </c>
      <c r="T3967">
        <v>-0.23081979999999999</v>
      </c>
      <c r="U3967">
        <v>-1.982559</v>
      </c>
      <c r="V3967">
        <v>0.34432170000000001</v>
      </c>
      <c r="W3967">
        <v>-9.4711450000000003E-2</v>
      </c>
      <c r="X3967">
        <v>0.93406230000000001</v>
      </c>
      <c r="Y3967">
        <v>0.63837129999999997</v>
      </c>
      <c r="Z3967">
        <v>6.3148399999999993E-2</v>
      </c>
      <c r="AA3967">
        <v>0.76713379999999998</v>
      </c>
      <c r="AB3967">
        <v>21</v>
      </c>
      <c r="AC3967">
        <v>-12.045400000000001</v>
      </c>
      <c r="AD3967">
        <v>-1.1158073323809901</v>
      </c>
      <c r="AE3967">
        <v>-9.3933</v>
      </c>
      <c r="AF3967">
        <v>9.8195276863713801</v>
      </c>
      <c r="AG3967">
        <v>-1.1158073323809901</v>
      </c>
      <c r="AH3967">
        <v>11.5944969522542</v>
      </c>
      <c r="AI3967">
        <v>94.200130978070703</v>
      </c>
      <c r="AJ3967">
        <v>49.738310552731598</v>
      </c>
      <c r="AK3967">
        <v>15.234845242477601</v>
      </c>
      <c r="AL3967">
        <v>95.434712035501803</v>
      </c>
      <c r="AM3967">
        <v>69.764691286170603</v>
      </c>
      <c r="AN3967">
        <v>1.0000000360666399</v>
      </c>
    </row>
    <row r="3968" spans="1:40" x14ac:dyDescent="0.25">
      <c r="A3968" t="str">
        <f>"20190303154551864"</f>
        <v>20190303154551864</v>
      </c>
      <c r="B3968" t="str">
        <f>"1551599151854655"</f>
        <v>1551599151854655</v>
      </c>
      <c r="C3968" t="s">
        <v>40</v>
      </c>
      <c r="D3968">
        <v>5.3277049999999999</v>
      </c>
      <c r="E3968">
        <v>0.64120129999999997</v>
      </c>
      <c r="F3968" t="s">
        <v>61</v>
      </c>
      <c r="G3968">
        <v>-205.6232</v>
      </c>
      <c r="H3968" s="1">
        <v>-9.1325290000000004E-6</v>
      </c>
      <c r="I3968">
        <v>146.52340000000001</v>
      </c>
      <c r="J3968">
        <v>-193.26339999999999</v>
      </c>
      <c r="K3968">
        <v>1.1156459999999999</v>
      </c>
      <c r="L3968">
        <v>155.83930000000001</v>
      </c>
      <c r="M3968">
        <v>-0.21326249999999999</v>
      </c>
      <c r="N3968">
        <v>-1.420419E-2</v>
      </c>
      <c r="O3968">
        <v>-0.97689170000000003</v>
      </c>
      <c r="P3968">
        <v>-0.54370750000000001</v>
      </c>
      <c r="Q3968">
        <v>-0.101325</v>
      </c>
      <c r="R3968">
        <v>-0.83313609999999905</v>
      </c>
      <c r="S3968">
        <v>-2.5323180000000001</v>
      </c>
      <c r="T3968">
        <v>-0.22759019999999999</v>
      </c>
      <c r="U3968">
        <v>-1.943649</v>
      </c>
      <c r="V3968">
        <v>0.3523135</v>
      </c>
      <c r="W3968">
        <v>-9.2745739999999993E-2</v>
      </c>
      <c r="X3968">
        <v>0.93127519999999997</v>
      </c>
      <c r="Y3968">
        <v>0.64332429999999996</v>
      </c>
      <c r="Z3968">
        <v>6.2277539999999999E-2</v>
      </c>
      <c r="AA3968">
        <v>0.76305659999999997</v>
      </c>
      <c r="AB3968">
        <v>21</v>
      </c>
      <c r="AC3968">
        <v>-12.3598</v>
      </c>
      <c r="AD3968">
        <v>-1.1156551325289901</v>
      </c>
      <c r="AE3968">
        <v>-9.3158999999999992</v>
      </c>
      <c r="AF3968">
        <v>10.0363234975718</v>
      </c>
      <c r="AG3968">
        <v>-1.1156551325289901</v>
      </c>
      <c r="AH3968">
        <v>11.6770182445792</v>
      </c>
      <c r="AI3968">
        <v>94.144253778707593</v>
      </c>
      <c r="AJ3968">
        <v>49.321149057314997</v>
      </c>
      <c r="AK3968">
        <v>15.437785812961801</v>
      </c>
      <c r="AL3968">
        <v>95.321587132463804</v>
      </c>
      <c r="AM3968">
        <v>69.277718767966405</v>
      </c>
      <c r="AN3968">
        <v>1.00000003635271</v>
      </c>
    </row>
    <row r="3969" spans="1:40" x14ac:dyDescent="0.25">
      <c r="A3969" t="str">
        <f>"20190303154551885"</f>
        <v>20190303154551885</v>
      </c>
      <c r="B3969" t="str">
        <f>"1551599151875147"</f>
        <v>1551599151875147</v>
      </c>
      <c r="C3969" t="s">
        <v>40</v>
      </c>
      <c r="D3969">
        <v>5.3034869999999996</v>
      </c>
      <c r="E3969">
        <v>0.64201469999999905</v>
      </c>
      <c r="F3969" t="s">
        <v>61</v>
      </c>
      <c r="G3969">
        <v>-206.5284</v>
      </c>
      <c r="H3969" s="1">
        <v>-8.6205720000000002E-6</v>
      </c>
      <c r="I3969">
        <v>146.10480000000001</v>
      </c>
      <c r="J3969">
        <v>-193.3175</v>
      </c>
      <c r="K3969">
        <v>1.115523</v>
      </c>
      <c r="L3969">
        <v>155.63939999999999</v>
      </c>
      <c r="M3969">
        <v>-0.22188630000000001</v>
      </c>
      <c r="N3969">
        <v>-1.4239430000000001E-2</v>
      </c>
      <c r="O3969">
        <v>-0.97496870000000002</v>
      </c>
      <c r="P3969">
        <v>-0.558432699999999</v>
      </c>
      <c r="Q3969">
        <v>-9.7682050000000006E-2</v>
      </c>
      <c r="R3969">
        <v>-0.82377869999999997</v>
      </c>
      <c r="S3969">
        <v>-2.5781559999999999</v>
      </c>
      <c r="T3969">
        <v>-0.21683549999999999</v>
      </c>
      <c r="U3969">
        <v>-1.891983</v>
      </c>
      <c r="V3969">
        <v>0.3605334</v>
      </c>
      <c r="W3969">
        <v>-8.9341760000000006E-2</v>
      </c>
      <c r="X3969">
        <v>0.92845770000000005</v>
      </c>
      <c r="Y3969">
        <v>0.65313299999999996</v>
      </c>
      <c r="Z3969">
        <v>5.8875959999999998E-2</v>
      </c>
      <c r="AA3969">
        <v>0.75495089999999998</v>
      </c>
      <c r="AB3969">
        <v>21</v>
      </c>
      <c r="AC3969">
        <v>-13.210900000000001</v>
      </c>
      <c r="AD3969">
        <v>-1.1155316205720001</v>
      </c>
      <c r="AE3969">
        <v>-9.5345999999999798</v>
      </c>
      <c r="AF3969">
        <v>10.7154710581522</v>
      </c>
      <c r="AG3969">
        <v>-1.1155316205720001</v>
      </c>
      <c r="AH3969">
        <v>12.171430796496701</v>
      </c>
      <c r="AI3969">
        <v>93.935245620948606</v>
      </c>
      <c r="AJ3969">
        <v>48.639989775984503</v>
      </c>
      <c r="AK3969">
        <v>16.254521168847202</v>
      </c>
      <c r="AL3969">
        <v>95.125740210473495</v>
      </c>
      <c r="AM3969">
        <v>68.778096849159695</v>
      </c>
      <c r="AN3969">
        <v>0.99999999164237297</v>
      </c>
    </row>
    <row r="3970" spans="1:40" x14ac:dyDescent="0.25">
      <c r="A3970" t="str">
        <f>"20190303154551908"</f>
        <v>20190303154551908</v>
      </c>
      <c r="B3970" t="str">
        <f>"1551599151905403"</f>
        <v>1551599151905403</v>
      </c>
      <c r="C3970" t="s">
        <v>40</v>
      </c>
      <c r="D3970">
        <v>5.3175280000000003</v>
      </c>
      <c r="E3970">
        <v>0.64281690000000002</v>
      </c>
      <c r="F3970" t="s">
        <v>61</v>
      </c>
      <c r="G3970">
        <v>-207.28299999999999</v>
      </c>
      <c r="H3970" s="1">
        <v>-8.2060329999999993E-6</v>
      </c>
      <c r="I3970">
        <v>145.80199999999999</v>
      </c>
      <c r="J3970">
        <v>-193.37719999999999</v>
      </c>
      <c r="K3970">
        <v>1.1154280000000001</v>
      </c>
      <c r="L3970">
        <v>155.42789999999999</v>
      </c>
      <c r="M3970">
        <v>-0.23126569999999999</v>
      </c>
      <c r="N3970">
        <v>-1.4275120000000001E-2</v>
      </c>
      <c r="O3970">
        <v>-0.97278600000000004</v>
      </c>
      <c r="P3970">
        <v>-0.5756346</v>
      </c>
      <c r="Q3970">
        <v>-9.2353420000000006E-2</v>
      </c>
      <c r="R3970">
        <v>-0.81247530000000001</v>
      </c>
      <c r="S3970">
        <v>-2.616638</v>
      </c>
      <c r="T3970">
        <v>-0.209011</v>
      </c>
      <c r="U3970">
        <v>-1.84317</v>
      </c>
      <c r="V3970">
        <v>0.37098140000000002</v>
      </c>
      <c r="W3970">
        <v>-8.4288520000000006E-2</v>
      </c>
      <c r="X3970">
        <v>0.92480709999999999</v>
      </c>
      <c r="Y3970">
        <v>0.66059259999999997</v>
      </c>
      <c r="Z3970">
        <v>5.6481499999999997E-2</v>
      </c>
      <c r="AA3970">
        <v>0.74861690000000003</v>
      </c>
      <c r="AB3970">
        <v>21</v>
      </c>
      <c r="AC3970">
        <v>-13.905799999999999</v>
      </c>
      <c r="AD3970">
        <v>-1.1154362060330001</v>
      </c>
      <c r="AE3970">
        <v>-9.6258999999999695</v>
      </c>
      <c r="AF3970">
        <v>11.253426296314499</v>
      </c>
      <c r="AG3970">
        <v>-1.1154362060330001</v>
      </c>
      <c r="AH3970">
        <v>12.526666273449701</v>
      </c>
      <c r="AI3970">
        <v>93.7897730851262</v>
      </c>
      <c r="AJ3970">
        <v>48.064819232297999</v>
      </c>
      <c r="AK3970">
        <v>16.876053130477398</v>
      </c>
      <c r="AL3970">
        <v>94.835113424736804</v>
      </c>
      <c r="AM3970">
        <v>68.142076331848898</v>
      </c>
      <c r="AN3970">
        <v>0.99999996298007898</v>
      </c>
    </row>
    <row r="3971" spans="1:40" x14ac:dyDescent="0.25">
      <c r="A3971" t="str">
        <f>"20190303154551943"</f>
        <v>20190303154551943</v>
      </c>
      <c r="B3971" t="str">
        <f>"1551599151934684"</f>
        <v>1551599151934684</v>
      </c>
      <c r="C3971" t="s">
        <v>40</v>
      </c>
      <c r="D3971">
        <v>5.3385210000000001</v>
      </c>
      <c r="E3971">
        <v>0.64322179999999995</v>
      </c>
      <c r="F3971" t="s">
        <v>61</v>
      </c>
      <c r="G3971">
        <v>-208.66800000000001</v>
      </c>
      <c r="H3971" s="1">
        <v>-7.4224289999999996E-6</v>
      </c>
      <c r="I3971">
        <v>145.16030000000001</v>
      </c>
      <c r="J3971">
        <v>-193.47319999999999</v>
      </c>
      <c r="K3971">
        <v>1.115275</v>
      </c>
      <c r="L3971">
        <v>155.10429999999999</v>
      </c>
      <c r="M3971">
        <v>-0.24611350000000001</v>
      </c>
      <c r="N3971">
        <v>-1.432921E-2</v>
      </c>
      <c r="O3971">
        <v>-0.96913499999999997</v>
      </c>
      <c r="P3971">
        <v>-0.59687109999999999</v>
      </c>
      <c r="Q3971">
        <v>-8.7725049999999999E-2</v>
      </c>
      <c r="R3971">
        <v>-0.79752709999999905</v>
      </c>
      <c r="S3971">
        <v>-2.659729</v>
      </c>
      <c r="T3971">
        <v>-0.1940219</v>
      </c>
      <c r="U3971">
        <v>-1.785965</v>
      </c>
      <c r="V3971">
        <v>0.3811059</v>
      </c>
      <c r="W3971">
        <v>-7.9968269999999994E-2</v>
      </c>
      <c r="X3971">
        <v>0.92106639999999995</v>
      </c>
      <c r="Y3971">
        <v>0.66606829999999995</v>
      </c>
      <c r="Z3971">
        <v>5.1758579999999998E-2</v>
      </c>
      <c r="AA3971">
        <v>0.7440928</v>
      </c>
      <c r="AB3971">
        <v>21</v>
      </c>
      <c r="AC3971">
        <v>-15.194800000000001</v>
      </c>
      <c r="AD3971">
        <v>-1.1152824224289899</v>
      </c>
      <c r="AE3971">
        <v>-9.9439999999999795</v>
      </c>
      <c r="AF3971">
        <v>12.2335772928824</v>
      </c>
      <c r="AG3971">
        <v>-1.1152824224289899</v>
      </c>
      <c r="AH3971">
        <v>13.327826705298</v>
      </c>
      <c r="AI3971">
        <v>93.527694271480399</v>
      </c>
      <c r="AJ3971">
        <v>47.451258807992303</v>
      </c>
      <c r="AK3971">
        <v>18.1255409008714</v>
      </c>
      <c r="AL3971">
        <v>94.586742025087105</v>
      </c>
      <c r="AM3971">
        <v>67.521894694002597</v>
      </c>
      <c r="AN3971">
        <v>0.99999997221528103</v>
      </c>
    </row>
    <row r="3972" spans="1:40" x14ac:dyDescent="0.25">
      <c r="A3972" t="str">
        <f>"20190303154551965"</f>
        <v>20190303154551965</v>
      </c>
      <c r="B3972" t="str">
        <f>"1551599151955179"</f>
        <v>1551599151955179</v>
      </c>
      <c r="C3972" t="s">
        <v>40</v>
      </c>
      <c r="D3972">
        <v>5.3089599999999999</v>
      </c>
      <c r="E3972">
        <v>0.64339349999999995</v>
      </c>
      <c r="F3972" t="s">
        <v>61</v>
      </c>
      <c r="G3972">
        <v>-209.8083</v>
      </c>
      <c r="H3972" s="1">
        <v>-6.8122590000000003E-6</v>
      </c>
      <c r="I3972">
        <v>144.7645</v>
      </c>
      <c r="J3972">
        <v>-193.53720000000001</v>
      </c>
      <c r="K3972">
        <v>1.115173</v>
      </c>
      <c r="L3972">
        <v>154.8997</v>
      </c>
      <c r="M3972">
        <v>-0.25583270000000002</v>
      </c>
      <c r="N3972">
        <v>-1.436636E-2</v>
      </c>
      <c r="O3972">
        <v>-0.96661439999999998</v>
      </c>
      <c r="P3972">
        <v>-0.61118909999999904</v>
      </c>
      <c r="Q3972">
        <v>-8.4822770000000006E-2</v>
      </c>
      <c r="R3972">
        <v>-0.78692620000000002</v>
      </c>
      <c r="S3972">
        <v>-2.7083279999999998</v>
      </c>
      <c r="T3972">
        <v>-0.18491179999999999</v>
      </c>
      <c r="U3972">
        <v>-1.7143250000000001</v>
      </c>
      <c r="V3972">
        <v>0.3884224</v>
      </c>
      <c r="W3972">
        <v>-7.7282260000000005E-2</v>
      </c>
      <c r="X3972">
        <v>0.91823489999999997</v>
      </c>
      <c r="Y3972">
        <v>0.67871289999999995</v>
      </c>
      <c r="Z3972">
        <v>4.9024489999999997E-2</v>
      </c>
      <c r="AA3972">
        <v>0.73276560000000002</v>
      </c>
      <c r="AB3972">
        <v>21</v>
      </c>
      <c r="AC3972">
        <v>-16.271099999999901</v>
      </c>
      <c r="AD3972">
        <v>-1.115179812259</v>
      </c>
      <c r="AE3972">
        <v>-10.1351999999999</v>
      </c>
      <c r="AF3972">
        <v>13.092011532126699</v>
      </c>
      <c r="AG3972">
        <v>-1.115179812259</v>
      </c>
      <c r="AH3972">
        <v>13.9138609264321</v>
      </c>
      <c r="AI3972">
        <v>93.340648523305703</v>
      </c>
      <c r="AJ3972">
        <v>46.743101367033397</v>
      </c>
      <c r="AK3972">
        <v>19.137395795956799</v>
      </c>
      <c r="AL3972">
        <v>94.432367260659603</v>
      </c>
      <c r="AM3972">
        <v>67.071159589887699</v>
      </c>
      <c r="AN3972">
        <v>0.99999992005523497</v>
      </c>
    </row>
    <row r="3973" spans="1:40" x14ac:dyDescent="0.25">
      <c r="A3973" t="str">
        <f>"20190303154551987"</f>
        <v>20190303154551987</v>
      </c>
      <c r="B3973" t="str">
        <f>"1551599151985435"</f>
        <v>1551599151985435</v>
      </c>
      <c r="C3973" t="s">
        <v>40</v>
      </c>
      <c r="D3973">
        <v>5.3130309999999996</v>
      </c>
      <c r="E3973">
        <v>0.64340390000000003</v>
      </c>
      <c r="F3973" t="s">
        <v>41</v>
      </c>
      <c r="G3973">
        <v>-210.21019999999999</v>
      </c>
      <c r="H3973" s="1">
        <v>-5.5446920000000002E-6</v>
      </c>
      <c r="I3973">
        <v>144.7696</v>
      </c>
      <c r="J3973">
        <v>-193.6028</v>
      </c>
      <c r="K3973">
        <v>1.1150910000000001</v>
      </c>
      <c r="L3973">
        <v>154.69820000000001</v>
      </c>
      <c r="M3973">
        <v>-0.26560539999999999</v>
      </c>
      <c r="N3973">
        <v>-1.440292E-2</v>
      </c>
      <c r="O3973">
        <v>-0.96397440000000001</v>
      </c>
      <c r="P3973">
        <v>-0.62489399999999995</v>
      </c>
      <c r="Q3973">
        <v>-8.1533629999999996E-2</v>
      </c>
      <c r="R3973">
        <v>-0.77644080000000004</v>
      </c>
      <c r="S3973">
        <v>-2.7397610000000001</v>
      </c>
      <c r="T3973">
        <v>-0.18325</v>
      </c>
      <c r="U3973">
        <v>-1.664612</v>
      </c>
      <c r="V3973">
        <v>0.3951441</v>
      </c>
      <c r="W3973">
        <v>-7.4192140000000004E-2</v>
      </c>
      <c r="X3973">
        <v>0.91561820000000005</v>
      </c>
      <c r="Y3973">
        <v>0.68472299999999997</v>
      </c>
      <c r="Z3973">
        <v>4.8683619999999997E-2</v>
      </c>
      <c r="AA3973">
        <v>0.72717549999999997</v>
      </c>
      <c r="AB3973">
        <v>21</v>
      </c>
      <c r="AC3973">
        <v>-16.607399999999899</v>
      </c>
      <c r="AD3973">
        <v>-1.115096544692</v>
      </c>
      <c r="AE3973">
        <v>-9.9286000000000101</v>
      </c>
      <c r="AF3973">
        <v>13.329133604525801</v>
      </c>
      <c r="AG3973">
        <v>-1.115096544692</v>
      </c>
      <c r="AH3973">
        <v>13.937090240305499</v>
      </c>
      <c r="AI3973">
        <v>93.309282684742399</v>
      </c>
      <c r="AJ3973">
        <v>46.277315799460503</v>
      </c>
      <c r="AK3973">
        <v>19.3171355878066</v>
      </c>
      <c r="AL3973">
        <v>94.254805965364895</v>
      </c>
      <c r="AM3973">
        <v>66.656908961393398</v>
      </c>
      <c r="AN3973">
        <v>1.00000001078691</v>
      </c>
    </row>
    <row r="3974" spans="1:40" x14ac:dyDescent="0.25">
      <c r="A3974" t="str">
        <f>"20190303154552008"</f>
        <v>20190303154552008</v>
      </c>
      <c r="B3974" t="str">
        <f>"1551599152004955"</f>
        <v>1551599152004955</v>
      </c>
      <c r="C3974" t="s">
        <v>40</v>
      </c>
      <c r="D3974">
        <v>5.2811059999999896</v>
      </c>
      <c r="E3974">
        <v>0.64337809999999995</v>
      </c>
      <c r="F3974" t="s">
        <v>41</v>
      </c>
      <c r="G3974">
        <v>-210.72569999999999</v>
      </c>
      <c r="H3974" s="1">
        <v>-5.3339459999999999E-6</v>
      </c>
      <c r="I3974">
        <v>144.6977</v>
      </c>
      <c r="J3974">
        <v>-193.6688</v>
      </c>
      <c r="K3974">
        <v>1.115005</v>
      </c>
      <c r="L3974">
        <v>154.5026</v>
      </c>
      <c r="M3974">
        <v>-0.27527469999999998</v>
      </c>
      <c r="N3974">
        <v>-1.4436559999999999E-2</v>
      </c>
      <c r="O3974">
        <v>-0.96125729999999998</v>
      </c>
      <c r="P3974">
        <v>-0.63756400000000002</v>
      </c>
      <c r="Q3974">
        <v>-7.8392240000000002E-2</v>
      </c>
      <c r="R3974">
        <v>-0.76639919999999995</v>
      </c>
      <c r="S3974">
        <v>-2.7683409999999999</v>
      </c>
      <c r="T3974">
        <v>-0.1802821</v>
      </c>
      <c r="U3974">
        <v>-1.6168209999999901</v>
      </c>
      <c r="V3974">
        <v>0.40091199999999999</v>
      </c>
      <c r="W3974">
        <v>-7.1230539999999995E-2</v>
      </c>
      <c r="X3974">
        <v>0.91334320000000002</v>
      </c>
      <c r="Y3974">
        <v>0.69005819999999995</v>
      </c>
      <c r="Z3974">
        <v>4.7907039999999998E-2</v>
      </c>
      <c r="AA3974">
        <v>0.72216659999999999</v>
      </c>
      <c r="AB3974">
        <v>21</v>
      </c>
      <c r="AC3974">
        <v>-17.056899999999899</v>
      </c>
      <c r="AD3974">
        <v>-1.115010333946</v>
      </c>
      <c r="AE3974">
        <v>-9.8048999999999999</v>
      </c>
      <c r="AF3974">
        <v>13.654597718286199</v>
      </c>
      <c r="AG3974">
        <v>-1.115010333946</v>
      </c>
      <c r="AH3974">
        <v>14.076622293754999</v>
      </c>
      <c r="AI3974">
        <v>93.254092929753</v>
      </c>
      <c r="AJ3974">
        <v>45.871882324863201</v>
      </c>
      <c r="AK3974">
        <v>19.642876115632198</v>
      </c>
      <c r="AL3974">
        <v>94.084668371682994</v>
      </c>
      <c r="AM3974">
        <v>66.300927507650798</v>
      </c>
      <c r="AN3974">
        <v>1.00000001127946</v>
      </c>
    </row>
    <row r="3975" spans="1:40" x14ac:dyDescent="0.25">
      <c r="A3975" t="str">
        <f>"20190303154552031"</f>
        <v>20190303154552031</v>
      </c>
      <c r="B3975" t="str">
        <f>"1551599152024476"</f>
        <v>1551599152024476</v>
      </c>
      <c r="C3975" t="s">
        <v>40</v>
      </c>
      <c r="D3975">
        <v>5.3357330000000003</v>
      </c>
      <c r="E3975">
        <v>0.64323409999999903</v>
      </c>
      <c r="F3975" t="s">
        <v>41</v>
      </c>
      <c r="G3975">
        <v>-211.5008</v>
      </c>
      <c r="H3975" s="1">
        <v>-4.9961969999999998E-6</v>
      </c>
      <c r="I3975">
        <v>144.47149999999999</v>
      </c>
      <c r="J3975">
        <v>-193.73949999999999</v>
      </c>
      <c r="K3975">
        <v>1.114916</v>
      </c>
      <c r="L3975">
        <v>154.3004</v>
      </c>
      <c r="M3975">
        <v>-0.285468099999999</v>
      </c>
      <c r="N3975">
        <v>-1.4469920000000001E-2</v>
      </c>
      <c r="O3975">
        <v>-0.95827910000000005</v>
      </c>
      <c r="P3975">
        <v>-0.65009019999999995</v>
      </c>
      <c r="Q3975">
        <v>-7.7927949999999996E-2</v>
      </c>
      <c r="R3975">
        <v>-0.75585040000000003</v>
      </c>
      <c r="S3975">
        <v>-2.7943419999999999</v>
      </c>
      <c r="T3975">
        <v>-0.17472650000000001</v>
      </c>
      <c r="U3975">
        <v>-1.571915</v>
      </c>
      <c r="V3975">
        <v>0.40620679999999998</v>
      </c>
      <c r="W3975">
        <v>-7.0942030000000003E-2</v>
      </c>
      <c r="X3975">
        <v>0.91102320000000003</v>
      </c>
      <c r="Y3975">
        <v>0.69413239999999998</v>
      </c>
      <c r="Z3975">
        <v>4.625108E-2</v>
      </c>
      <c r="AA3975">
        <v>0.71836</v>
      </c>
      <c r="AB3975">
        <v>21</v>
      </c>
      <c r="AC3975">
        <v>-17.761299999999999</v>
      </c>
      <c r="AD3975">
        <v>-1.1149209961969999</v>
      </c>
      <c r="AE3975">
        <v>-9.8289000000000009</v>
      </c>
      <c r="AF3975">
        <v>14.1731770960955</v>
      </c>
      <c r="AG3975">
        <v>-1.1149209961969999</v>
      </c>
      <c r="AH3975">
        <v>14.4470485038233</v>
      </c>
      <c r="AI3975">
        <v>93.153189202787004</v>
      </c>
      <c r="AJ3975">
        <v>45.548255526775399</v>
      </c>
      <c r="AK3975">
        <v>20.2691689098707</v>
      </c>
      <c r="AL3975">
        <v>94.068096073140097</v>
      </c>
      <c r="AM3975">
        <v>65.968875351744501</v>
      </c>
      <c r="AN3975">
        <v>1.0000000034625001</v>
      </c>
    </row>
    <row r="3976" spans="1:40" x14ac:dyDescent="0.25">
      <c r="A3976" t="str">
        <f>"20190303154552056"</f>
        <v>20190303154552056</v>
      </c>
      <c r="B3976" t="str">
        <f>"1551599152054731"</f>
        <v>1551599152054731</v>
      </c>
      <c r="C3976" t="s">
        <v>40</v>
      </c>
      <c r="D3976">
        <v>5.311547</v>
      </c>
      <c r="E3976">
        <v>0.64283579999999996</v>
      </c>
      <c r="F3976" t="s">
        <v>41</v>
      </c>
      <c r="G3976">
        <v>-211.35599999999999</v>
      </c>
      <c r="H3976" s="1">
        <v>-5.10341E-6</v>
      </c>
      <c r="I3976">
        <v>144.76259999999999</v>
      </c>
      <c r="J3976">
        <v>-193.8246</v>
      </c>
      <c r="K3976">
        <v>1.114814</v>
      </c>
      <c r="L3976">
        <v>154.0669</v>
      </c>
      <c r="M3976">
        <v>-0.297481099999999</v>
      </c>
      <c r="N3976">
        <v>-1.450862E-2</v>
      </c>
      <c r="O3976">
        <v>-0.95461739999999995</v>
      </c>
      <c r="P3976">
        <v>-0.66405649999999905</v>
      </c>
      <c r="Q3976">
        <v>-7.7848860000000006E-2</v>
      </c>
      <c r="R3976">
        <v>-0.74361840000000001</v>
      </c>
      <c r="S3976">
        <v>-2.8188629999999999</v>
      </c>
      <c r="T3976">
        <v>-0.17840159999999999</v>
      </c>
      <c r="U3976">
        <v>-1.526184</v>
      </c>
      <c r="V3976">
        <v>0.4117014</v>
      </c>
      <c r="W3976">
        <v>-7.1049909999999994E-2</v>
      </c>
      <c r="X3976">
        <v>0.90854500000000005</v>
      </c>
      <c r="Y3976">
        <v>0.69665940000000004</v>
      </c>
      <c r="Z3976">
        <v>4.7689679999999998E-2</v>
      </c>
      <c r="AA3976">
        <v>0.71581519999999899</v>
      </c>
      <c r="AB3976">
        <v>21</v>
      </c>
      <c r="AC3976">
        <v>-17.531399999999898</v>
      </c>
      <c r="AD3976">
        <v>-1.1148191034099999</v>
      </c>
      <c r="AE3976">
        <v>-9.3043000000000102</v>
      </c>
      <c r="AF3976">
        <v>13.925462267948401</v>
      </c>
      <c r="AG3976">
        <v>-1.1148191034099999</v>
      </c>
      <c r="AH3976">
        <v>14.054449681950199</v>
      </c>
      <c r="AI3976">
        <v>93.2250175634545</v>
      </c>
      <c r="AJ3976">
        <v>45.264131713223698</v>
      </c>
      <c r="AK3976">
        <v>19.816379005051701</v>
      </c>
      <c r="AL3976">
        <v>94.074292487634807</v>
      </c>
      <c r="AM3976">
        <v>65.622644718272895</v>
      </c>
      <c r="AN3976">
        <v>1.0000000747489799</v>
      </c>
    </row>
    <row r="3977" spans="1:40" x14ac:dyDescent="0.25">
      <c r="A3977" t="str">
        <f>"20190303154552076"</f>
        <v>20190303154552076</v>
      </c>
      <c r="B3977" t="str">
        <f>"1551599152065467"</f>
        <v>1551599152065467</v>
      </c>
      <c r="C3977" t="s">
        <v>40</v>
      </c>
      <c r="D3977">
        <v>5.2723360000000001</v>
      </c>
      <c r="E3977">
        <v>0.64267669999999999</v>
      </c>
      <c r="F3977" t="s">
        <v>41</v>
      </c>
      <c r="G3977">
        <v>-210.86969999999999</v>
      </c>
      <c r="H3977" s="1">
        <v>-5.3727299999999998E-6</v>
      </c>
      <c r="I3977">
        <v>145.22790000000001</v>
      </c>
      <c r="J3977">
        <v>-193.88929999999999</v>
      </c>
      <c r="K3977">
        <v>1.1147450000000001</v>
      </c>
      <c r="L3977">
        <v>153.8956</v>
      </c>
      <c r="M3977">
        <v>-0.30646220000000002</v>
      </c>
      <c r="N3977">
        <v>-1.4537359999999999E-2</v>
      </c>
      <c r="O3977">
        <v>-0.95177199999999995</v>
      </c>
      <c r="P3977">
        <v>-0.67534740000000004</v>
      </c>
      <c r="Q3977">
        <v>-7.7963909999999997E-2</v>
      </c>
      <c r="R3977">
        <v>-0.73336730000000006</v>
      </c>
      <c r="S3977">
        <v>-2.8442539999999998</v>
      </c>
      <c r="T3977">
        <v>-0.18602569999999999</v>
      </c>
      <c r="U3977">
        <v>-1.4749300000000001</v>
      </c>
      <c r="V3977">
        <v>0.41700690000000001</v>
      </c>
      <c r="W3977">
        <v>-7.1328959999999997E-2</v>
      </c>
      <c r="X3977">
        <v>0.90610020000000002</v>
      </c>
      <c r="Y3977">
        <v>0.70252230000000004</v>
      </c>
      <c r="Z3977">
        <v>5.0492990000000001E-2</v>
      </c>
      <c r="AA3977">
        <v>0.70986819999999995</v>
      </c>
      <c r="AB3977">
        <v>21</v>
      </c>
      <c r="AC3977">
        <v>-16.980399999999999</v>
      </c>
      <c r="AD3977">
        <v>-1.1147503727299899</v>
      </c>
      <c r="AE3977">
        <v>-8.6676999999999893</v>
      </c>
      <c r="AF3977">
        <v>13.460550549526101</v>
      </c>
      <c r="AG3977">
        <v>-1.1147503727299899</v>
      </c>
      <c r="AH3977">
        <v>13.4090990614762</v>
      </c>
      <c r="AI3977">
        <v>93.357800291185796</v>
      </c>
      <c r="AJ3977">
        <v>44.890287013245299</v>
      </c>
      <c r="AK3977">
        <v>19.032420422277699</v>
      </c>
      <c r="AL3977">
        <v>94.0903215463035</v>
      </c>
      <c r="AM3977">
        <v>65.287090488303505</v>
      </c>
      <c r="AN3977">
        <v>1.0000000738111601</v>
      </c>
    </row>
    <row r="3978" spans="1:40" x14ac:dyDescent="0.25">
      <c r="A3978" t="str">
        <f>"20190303154552098"</f>
        <v>20190303154552098</v>
      </c>
      <c r="B3978" t="str">
        <f>"1551599152094748"</f>
        <v>1551599152094748</v>
      </c>
      <c r="C3978" t="s">
        <v>40</v>
      </c>
      <c r="D3978">
        <v>5.272932</v>
      </c>
      <c r="E3978">
        <v>0.64203710000000003</v>
      </c>
      <c r="F3978" t="s">
        <v>41</v>
      </c>
      <c r="G3978">
        <v>-210.5806</v>
      </c>
      <c r="H3978" s="1">
        <v>-5.5418679999999901E-6</v>
      </c>
      <c r="I3978">
        <v>145.5556</v>
      </c>
      <c r="J3978">
        <v>-193.96619999999999</v>
      </c>
      <c r="K3978">
        <v>1.114668</v>
      </c>
      <c r="L3978">
        <v>153.6986</v>
      </c>
      <c r="M3978">
        <v>-0.31696279999999999</v>
      </c>
      <c r="N3978">
        <v>-1.4570349999999999E-2</v>
      </c>
      <c r="O3978">
        <v>-0.94832620000000001</v>
      </c>
      <c r="P3978">
        <v>-0.6871623</v>
      </c>
      <c r="Q3978">
        <v>-7.9026529999999998E-2</v>
      </c>
      <c r="R3978">
        <v>-0.72219350000000004</v>
      </c>
      <c r="S3978">
        <v>-2.8653719999999998</v>
      </c>
      <c r="T3978">
        <v>-0.19136819999999999</v>
      </c>
      <c r="U3978">
        <v>-1.431732</v>
      </c>
      <c r="V3978">
        <v>0.42169410000000002</v>
      </c>
      <c r="W3978">
        <v>-7.2552729999999996E-2</v>
      </c>
      <c r="X3978">
        <v>0.90383080000000005</v>
      </c>
      <c r="Y3978">
        <v>0.70521650000000002</v>
      </c>
      <c r="Z3978">
        <v>5.248941E-2</v>
      </c>
      <c r="AA3978">
        <v>0.70704630000000002</v>
      </c>
      <c r="AB3978">
        <v>21</v>
      </c>
      <c r="AC3978">
        <v>-16.6144</v>
      </c>
      <c r="AD3978">
        <v>-1.1146735418680001</v>
      </c>
      <c r="AE3978">
        <v>-8.14299999999999</v>
      </c>
      <c r="AF3978">
        <v>13.1285912142204</v>
      </c>
      <c r="AG3978">
        <v>-1.1146735418680001</v>
      </c>
      <c r="AH3978">
        <v>12.9427701088783</v>
      </c>
      <c r="AI3978">
        <v>93.460048583175606</v>
      </c>
      <c r="AJ3978">
        <v>44.591636789911803</v>
      </c>
      <c r="AK3978">
        <v>18.4693720106104</v>
      </c>
      <c r="AL3978">
        <v>94.160621011834195</v>
      </c>
      <c r="AM3978">
        <v>64.987979466419105</v>
      </c>
      <c r="AN3978">
        <v>0.99999996381695</v>
      </c>
    </row>
    <row r="3979" spans="1:40" x14ac:dyDescent="0.25">
      <c r="A3979" t="str">
        <f>"20190303154552126"</f>
        <v>20190303154552126</v>
      </c>
      <c r="B3979" t="str">
        <f>"1551599152114775"</f>
        <v>1551599152114775</v>
      </c>
      <c r="C3979" t="s">
        <v>40</v>
      </c>
      <c r="D3979">
        <v>5.2263099999999998</v>
      </c>
      <c r="E3979">
        <v>0.64153870000000002</v>
      </c>
      <c r="F3979" t="s">
        <v>61</v>
      </c>
      <c r="G3979">
        <v>-209.94049999999999</v>
      </c>
      <c r="H3979" s="1">
        <v>-7.0829509999999999E-6</v>
      </c>
      <c r="I3979">
        <v>146.012</v>
      </c>
      <c r="J3979">
        <v>-194.0659</v>
      </c>
      <c r="K3979">
        <v>1.114576</v>
      </c>
      <c r="L3979">
        <v>153.45359999999999</v>
      </c>
      <c r="M3979">
        <v>-0.33029459999999999</v>
      </c>
      <c r="N3979">
        <v>-1.461163E-2</v>
      </c>
      <c r="O3979">
        <v>-0.94376499999999997</v>
      </c>
      <c r="P3979">
        <v>-0.70063229999999999</v>
      </c>
      <c r="Q3979">
        <v>-7.9528970000000004E-2</v>
      </c>
      <c r="R3979">
        <v>-0.70907719999999996</v>
      </c>
      <c r="S3979">
        <v>-2.884109</v>
      </c>
      <c r="T3979">
        <v>-0.2012506</v>
      </c>
      <c r="U3979">
        <v>-1.3877870000000001</v>
      </c>
      <c r="V3979">
        <v>0.42595060000000001</v>
      </c>
      <c r="W3979">
        <v>-7.3221120000000001E-2</v>
      </c>
      <c r="X3979">
        <v>0.90177870000000004</v>
      </c>
      <c r="Y3979">
        <v>0.70558849999999995</v>
      </c>
      <c r="Z3979">
        <v>5.604058E-2</v>
      </c>
      <c r="AA3979">
        <v>0.70640239999999999</v>
      </c>
      <c r="AB3979">
        <v>21</v>
      </c>
      <c r="AC3979">
        <v>-15.8745999999999</v>
      </c>
      <c r="AD3979">
        <v>-1.1145830829509999</v>
      </c>
      <c r="AE3979">
        <v>-7.4415999999999896</v>
      </c>
      <c r="AF3979">
        <v>12.4748882444265</v>
      </c>
      <c r="AG3979">
        <v>-1.1145830829509999</v>
      </c>
      <c r="AH3979">
        <v>12.218342349894799</v>
      </c>
      <c r="AI3979">
        <v>93.6522454157884</v>
      </c>
      <c r="AJ3979">
        <v>44.404757181279798</v>
      </c>
      <c r="AK3979">
        <v>17.497228978868701</v>
      </c>
      <c r="AL3979">
        <v>94.1990187716912</v>
      </c>
      <c r="AM3979">
        <v>64.716529166429098</v>
      </c>
      <c r="AN3979">
        <v>1.0000000349140501</v>
      </c>
    </row>
    <row r="3980" spans="1:40" x14ac:dyDescent="0.25">
      <c r="A3980" t="str">
        <f>"20190303154552146"</f>
        <v>20190303154552146</v>
      </c>
      <c r="B3980" t="str">
        <f>"1551599152135271"</f>
        <v>1551599152135271</v>
      </c>
      <c r="C3980" t="s">
        <v>40</v>
      </c>
      <c r="D3980">
        <v>5.1695440000000001</v>
      </c>
      <c r="E3980">
        <v>0.64117489999999999</v>
      </c>
      <c r="F3980" t="s">
        <v>61</v>
      </c>
      <c r="G3980">
        <v>-209.6481</v>
      </c>
      <c r="H3980" s="1">
        <v>-7.287043E-6</v>
      </c>
      <c r="I3980">
        <v>146.29390000000001</v>
      </c>
      <c r="J3980">
        <v>-194.13800000000001</v>
      </c>
      <c r="K3980">
        <v>1.114511</v>
      </c>
      <c r="L3980">
        <v>153.28270000000001</v>
      </c>
      <c r="M3980">
        <v>-0.33975280000000002</v>
      </c>
      <c r="N3980">
        <v>-1.46404E-2</v>
      </c>
      <c r="O3980">
        <v>-0.94040100000000004</v>
      </c>
      <c r="P3980">
        <v>-0.71092919999999904</v>
      </c>
      <c r="Q3980">
        <v>-7.9676430000000006E-2</v>
      </c>
      <c r="R3980">
        <v>-0.69873609999999997</v>
      </c>
      <c r="S3980">
        <v>-2.906647</v>
      </c>
      <c r="T3980">
        <v>-0.2079097</v>
      </c>
      <c r="U3980">
        <v>-1.335526</v>
      </c>
      <c r="V3980">
        <v>0.43006929999999999</v>
      </c>
      <c r="W3980">
        <v>-7.3509569999999996E-2</v>
      </c>
      <c r="X3980">
        <v>0.89979819999999999</v>
      </c>
      <c r="Y3980">
        <v>0.71088240000000003</v>
      </c>
      <c r="Z3980">
        <v>5.8557600000000001E-2</v>
      </c>
      <c r="AA3980">
        <v>0.70086879999999996</v>
      </c>
      <c r="AB3980">
        <v>21</v>
      </c>
      <c r="AC3980">
        <v>-15.5100999999999</v>
      </c>
      <c r="AD3980">
        <v>-1.1145182870429999</v>
      </c>
      <c r="AE3980">
        <v>-6.9887999999999897</v>
      </c>
      <c r="AF3980">
        <v>12.160362916564299</v>
      </c>
      <c r="AG3980">
        <v>-1.1145182870429999</v>
      </c>
      <c r="AH3980">
        <v>11.7925273920299</v>
      </c>
      <c r="AI3980">
        <v>93.764351662847901</v>
      </c>
      <c r="AJ3980">
        <v>44.120199426310599</v>
      </c>
      <c r="AK3980">
        <v>16.975873455185798</v>
      </c>
      <c r="AL3980">
        <v>94.215590417007604</v>
      </c>
      <c r="AM3980">
        <v>64.453975172249898</v>
      </c>
      <c r="AN3980">
        <v>1.00000003020365</v>
      </c>
    </row>
    <row r="3981" spans="1:40" x14ac:dyDescent="0.25">
      <c r="A3981" t="str">
        <f>"20190303154552169"</f>
        <v>20190303154552169</v>
      </c>
      <c r="B3981" t="str">
        <f>"1551599152164550"</f>
        <v>1551599152164550</v>
      </c>
      <c r="C3981" t="s">
        <v>40</v>
      </c>
      <c r="D3981">
        <v>5.2744330000000001</v>
      </c>
      <c r="E3981">
        <v>0.64054519999999904</v>
      </c>
      <c r="F3981" t="s">
        <v>61</v>
      </c>
      <c r="G3981">
        <v>-209.59979999999999</v>
      </c>
      <c r="H3981" s="1">
        <v>-7.3460819999999998E-6</v>
      </c>
      <c r="I3981">
        <v>146.43629999999999</v>
      </c>
      <c r="J3981">
        <v>-194.2244</v>
      </c>
      <c r="K3981">
        <v>1.1144459999999901</v>
      </c>
      <c r="L3981">
        <v>153.08449999999999</v>
      </c>
      <c r="M3981">
        <v>-0.35087180000000001</v>
      </c>
      <c r="N3981">
        <v>-1.4672299999999999E-2</v>
      </c>
      <c r="O3981">
        <v>-0.93630860000000005</v>
      </c>
      <c r="P3981">
        <v>-0.72240039999999905</v>
      </c>
      <c r="Q3981">
        <v>-7.9612790000000003E-2</v>
      </c>
      <c r="R3981">
        <v>-0.68687670000000001</v>
      </c>
      <c r="S3981">
        <v>-2.923813</v>
      </c>
      <c r="T3981">
        <v>-0.21075450000000001</v>
      </c>
      <c r="U3981">
        <v>-1.294632</v>
      </c>
      <c r="V3981">
        <v>0.43428149999999999</v>
      </c>
      <c r="W3981">
        <v>-7.3586810000000002E-2</v>
      </c>
      <c r="X3981">
        <v>0.89776639999999996</v>
      </c>
      <c r="Y3981">
        <v>0.71221259999999997</v>
      </c>
      <c r="Z3981">
        <v>5.9713290000000002E-2</v>
      </c>
      <c r="AA3981">
        <v>0.69941940000000002</v>
      </c>
      <c r="AB3981">
        <v>21</v>
      </c>
      <c r="AC3981">
        <v>-15.3753999999999</v>
      </c>
      <c r="AD3981">
        <v>-1.1144533460820001</v>
      </c>
      <c r="AE3981">
        <v>-6.6482000000000001</v>
      </c>
      <c r="AF3981">
        <v>12.0115854774317</v>
      </c>
      <c r="AG3981">
        <v>-1.1144533460820001</v>
      </c>
      <c r="AH3981">
        <v>11.569601791406299</v>
      </c>
      <c r="AI3981">
        <v>93.823071188572797</v>
      </c>
      <c r="AJ3981">
        <v>43.926227304770102</v>
      </c>
      <c r="AK3981">
        <v>16.7145409016806</v>
      </c>
      <c r="AL3981">
        <v>94.220028197126695</v>
      </c>
      <c r="AM3981">
        <v>64.185296468382106</v>
      </c>
      <c r="AN3981">
        <v>0.99999997440859201</v>
      </c>
    </row>
    <row r="3982" spans="1:40" x14ac:dyDescent="0.25">
      <c r="A3982" t="str">
        <f>"20190303154552189"</f>
        <v>20190303154552189</v>
      </c>
      <c r="B3982" t="str">
        <f>"1551599152185046"</f>
        <v>1551599152185046</v>
      </c>
      <c r="C3982" t="s">
        <v>40</v>
      </c>
      <c r="D3982">
        <v>5.1887759999999998</v>
      </c>
      <c r="E3982">
        <v>0.64010330000000004</v>
      </c>
      <c r="F3982" t="s">
        <v>61</v>
      </c>
      <c r="G3982">
        <v>-209.79060000000001</v>
      </c>
      <c r="H3982" s="1">
        <v>-7.2704720000000002E-6</v>
      </c>
      <c r="I3982">
        <v>146.47049999999999</v>
      </c>
      <c r="J3982">
        <v>-194.3083</v>
      </c>
      <c r="K3982">
        <v>1.11439</v>
      </c>
      <c r="L3982">
        <v>152.89830000000001</v>
      </c>
      <c r="M3982">
        <v>-0.36146820000000002</v>
      </c>
      <c r="N3982">
        <v>-1.470047E-2</v>
      </c>
      <c r="O3982">
        <v>-0.9322686</v>
      </c>
      <c r="P3982">
        <v>-0.73201179999999999</v>
      </c>
      <c r="Q3982">
        <v>-7.9265329999999995E-2</v>
      </c>
      <c r="R3982">
        <v>-0.67666539999999997</v>
      </c>
      <c r="S3982">
        <v>-2.9413149999999999</v>
      </c>
      <c r="T3982">
        <v>-0.2105814</v>
      </c>
      <c r="U3982">
        <v>-1.249741</v>
      </c>
      <c r="V3982">
        <v>0.4367317</v>
      </c>
      <c r="W3982">
        <v>-7.3332060000000004E-2</v>
      </c>
      <c r="X3982">
        <v>0.89659789999999995</v>
      </c>
      <c r="Y3982">
        <v>0.71478759999999997</v>
      </c>
      <c r="Z3982">
        <v>5.988773E-2</v>
      </c>
      <c r="AA3982">
        <v>0.69677270000000002</v>
      </c>
      <c r="AB3982">
        <v>21</v>
      </c>
      <c r="AC3982">
        <v>-15.4823</v>
      </c>
      <c r="AD3982">
        <v>-1.114397270472</v>
      </c>
      <c r="AE3982">
        <v>-6.4278000000000102</v>
      </c>
      <c r="AF3982">
        <v>12.058236953992299</v>
      </c>
      <c r="AG3982">
        <v>-1.114397270472</v>
      </c>
      <c r="AH3982">
        <v>11.5390533882477</v>
      </c>
      <c r="AI3982">
        <v>93.820025584042298</v>
      </c>
      <c r="AJ3982">
        <v>43.739591364659802</v>
      </c>
      <c r="AK3982">
        <v>16.727005494465899</v>
      </c>
      <c r="AL3982">
        <v>94.205392524313993</v>
      </c>
      <c r="AM3982">
        <v>64.029345572938198</v>
      </c>
      <c r="AN3982">
        <v>0.99999998154657099</v>
      </c>
    </row>
    <row r="3983" spans="1:40" x14ac:dyDescent="0.25">
      <c r="A3983" t="str">
        <f>"20190303154552211"</f>
        <v>20190303154552211</v>
      </c>
      <c r="B3983" t="str">
        <f>"1551599152204566"</f>
        <v>1551599152204566</v>
      </c>
      <c r="C3983" t="s">
        <v>40</v>
      </c>
      <c r="D3983">
        <v>5.2030940000000001</v>
      </c>
      <c r="E3983">
        <v>0.6395653</v>
      </c>
      <c r="F3983" t="s">
        <v>41</v>
      </c>
      <c r="G3983">
        <v>-210.1525</v>
      </c>
      <c r="H3983" s="1">
        <v>-5.8576670000000004E-6</v>
      </c>
      <c r="I3983">
        <v>146.4093</v>
      </c>
      <c r="J3983">
        <v>-194.39599999999999</v>
      </c>
      <c r="K3983">
        <v>1.114331</v>
      </c>
      <c r="L3983">
        <v>152.7099</v>
      </c>
      <c r="M3983">
        <v>-0.37234469999999997</v>
      </c>
      <c r="N3983">
        <v>-1.4728440000000001E-2</v>
      </c>
      <c r="O3983">
        <v>-0.92797770000000002</v>
      </c>
      <c r="P3983">
        <v>-0.74169459999999998</v>
      </c>
      <c r="Q3983">
        <v>-7.8637029999999997E-2</v>
      </c>
      <c r="R3983">
        <v>-0.66611219999999904</v>
      </c>
      <c r="S3983">
        <v>-2.9564819999999998</v>
      </c>
      <c r="T3983">
        <v>-0.2079425</v>
      </c>
      <c r="U3983">
        <v>-1.210831</v>
      </c>
      <c r="V3983">
        <v>0.4391465</v>
      </c>
      <c r="W3983">
        <v>-7.2795570000000004E-2</v>
      </c>
      <c r="X3983">
        <v>0.89546139999999996</v>
      </c>
      <c r="Y3983">
        <v>0.71577389999999996</v>
      </c>
      <c r="Z3983">
        <v>5.917091E-2</v>
      </c>
      <c r="AA3983">
        <v>0.69582080000000002</v>
      </c>
      <c r="AB3983">
        <v>21</v>
      </c>
      <c r="AC3983">
        <v>-15.756500000000001</v>
      </c>
      <c r="AD3983">
        <v>-1.1143368576670001</v>
      </c>
      <c r="AE3983">
        <v>-6.3006000000000002</v>
      </c>
      <c r="AF3983">
        <v>12.2243036037957</v>
      </c>
      <c r="AG3983">
        <v>-1.1143368576670001</v>
      </c>
      <c r="AH3983">
        <v>11.664635985054</v>
      </c>
      <c r="AI3983">
        <v>93.773198407578207</v>
      </c>
      <c r="AJ3983">
        <v>43.657925876614101</v>
      </c>
      <c r="AK3983">
        <v>16.933371722546699</v>
      </c>
      <c r="AL3983">
        <v>94.1745715358864</v>
      </c>
      <c r="AM3983">
        <v>63.876037101229997</v>
      </c>
      <c r="AN3983">
        <v>0.99999998118191702</v>
      </c>
    </row>
    <row r="3984" spans="1:40" x14ac:dyDescent="0.25">
      <c r="A3984" t="str">
        <f>"20190303154552233"</f>
        <v>20190303154552233</v>
      </c>
      <c r="B3984" t="str">
        <f>"1551599152225063"</f>
        <v>1551599152225063</v>
      </c>
      <c r="C3984" t="s">
        <v>40</v>
      </c>
      <c r="D3984">
        <v>5.1930120000000004</v>
      </c>
      <c r="E3984">
        <v>0.63901619999999903</v>
      </c>
      <c r="F3984" t="s">
        <v>41</v>
      </c>
      <c r="G3984">
        <v>-210.54040000000001</v>
      </c>
      <c r="H3984" s="1">
        <v>-5.6969630000000003E-6</v>
      </c>
      <c r="I3984">
        <v>146.34289999999999</v>
      </c>
      <c r="J3984">
        <v>-194.48330000000001</v>
      </c>
      <c r="K3984">
        <v>1.114271</v>
      </c>
      <c r="L3984">
        <v>152.52809999999999</v>
      </c>
      <c r="M3984">
        <v>-0.38298850000000001</v>
      </c>
      <c r="N3984">
        <v>-1.4756500000000001E-2</v>
      </c>
      <c r="O3984">
        <v>-0.92363530000000005</v>
      </c>
      <c r="P3984">
        <v>-0.75084740000000005</v>
      </c>
      <c r="Q3984">
        <v>-7.9225610000000002E-2</v>
      </c>
      <c r="R3984">
        <v>-0.65570729999999999</v>
      </c>
      <c r="S3984">
        <v>-2.9708100000000002</v>
      </c>
      <c r="T3984">
        <v>-0.2050554</v>
      </c>
      <c r="U3984">
        <v>-1.1716310000000001</v>
      </c>
      <c r="V3984">
        <v>0.4412548</v>
      </c>
      <c r="W3984">
        <v>-7.3472339999999997E-2</v>
      </c>
      <c r="X3984">
        <v>0.89436909999999903</v>
      </c>
      <c r="Y3984">
        <v>0.71689669999999905</v>
      </c>
      <c r="Z3984">
        <v>5.8370940000000003E-2</v>
      </c>
      <c r="AA3984">
        <v>0.6947316</v>
      </c>
      <c r="AB3984">
        <v>21</v>
      </c>
      <c r="AC3984">
        <v>-16.057099999999899</v>
      </c>
      <c r="AD3984">
        <v>-1.114276696963</v>
      </c>
      <c r="AE3984">
        <v>-6.1852</v>
      </c>
      <c r="AF3984">
        <v>12.411354454000699</v>
      </c>
      <c r="AG3984">
        <v>-1.114276696963</v>
      </c>
      <c r="AH3984">
        <v>11.8143026801134</v>
      </c>
      <c r="AI3984">
        <v>93.720593449926</v>
      </c>
      <c r="AJ3984">
        <v>43.588206583266803</v>
      </c>
      <c r="AK3984">
        <v>17.171519436484701</v>
      </c>
      <c r="AL3984">
        <v>94.213451490466198</v>
      </c>
      <c r="AM3984">
        <v>63.739655111752</v>
      </c>
      <c r="AN3984">
        <v>1.00000003515146</v>
      </c>
    </row>
    <row r="3985" spans="1:40" x14ac:dyDescent="0.25">
      <c r="A3985" t="str">
        <f>"20190303154552258"</f>
        <v>20190303154552258</v>
      </c>
      <c r="B3985" t="str">
        <f>"1551599152255320"</f>
        <v>1551599152255320</v>
      </c>
      <c r="C3985" t="s">
        <v>40</v>
      </c>
      <c r="D3985">
        <v>5.2948490000000001</v>
      </c>
      <c r="E3985">
        <v>0.63891580000000003</v>
      </c>
      <c r="F3985" t="s">
        <v>41</v>
      </c>
      <c r="G3985">
        <v>-210.63120000000001</v>
      </c>
      <c r="H3985" s="1">
        <v>-5.6711419999999997E-6</v>
      </c>
      <c r="I3985">
        <v>146.39400000000001</v>
      </c>
      <c r="J3985">
        <v>-194.58959999999999</v>
      </c>
      <c r="K3985">
        <v>1.1141890000000001</v>
      </c>
      <c r="L3985">
        <v>152.3142</v>
      </c>
      <c r="M3985">
        <v>-0.39569690000000002</v>
      </c>
      <c r="N3985">
        <v>-1.479107E-2</v>
      </c>
      <c r="O3985">
        <v>-0.91826209999999997</v>
      </c>
      <c r="P3985">
        <v>-0.76090649999999904</v>
      </c>
      <c r="Q3985">
        <v>-7.9714480000000004E-2</v>
      </c>
      <c r="R3985">
        <v>-0.64394659999999904</v>
      </c>
      <c r="S3985">
        <v>-2.9839020000000001</v>
      </c>
      <c r="T3985">
        <v>-0.2059028</v>
      </c>
      <c r="U3985">
        <v>-1.133499</v>
      </c>
      <c r="V3985">
        <v>0.44275700000000001</v>
      </c>
      <c r="W3985">
        <v>-7.4047329999999995E-2</v>
      </c>
      <c r="X3985">
        <v>0.89357889999999995</v>
      </c>
      <c r="Y3985">
        <v>0.71603609999999995</v>
      </c>
      <c r="Z3985">
        <v>5.8802590000000002E-2</v>
      </c>
      <c r="AA3985">
        <v>0.69558219999999904</v>
      </c>
      <c r="AB3985">
        <v>21</v>
      </c>
      <c r="AC3985">
        <v>-16.041599999999999</v>
      </c>
      <c r="AD3985">
        <v>-1.1141946711420001</v>
      </c>
      <c r="AE3985">
        <v>-5.9201999999999897</v>
      </c>
      <c r="AF3985">
        <v>12.3367622876911</v>
      </c>
      <c r="AG3985">
        <v>-1.1141946711420001</v>
      </c>
      <c r="AH3985">
        <v>11.7353678816808</v>
      </c>
      <c r="AI3985">
        <v>93.743949224012397</v>
      </c>
      <c r="AJ3985">
        <v>43.568876336996098</v>
      </c>
      <c r="AK3985">
        <v>17.0632937273724</v>
      </c>
      <c r="AL3985">
        <v>94.246486084724594</v>
      </c>
      <c r="AM3985">
        <v>63.642168720945897</v>
      </c>
      <c r="AN3985">
        <v>1.0000000093271599</v>
      </c>
    </row>
    <row r="3986" spans="1:40" x14ac:dyDescent="0.25">
      <c r="A3986" t="str">
        <f>"20190303154552278"</f>
        <v>20190303154552278</v>
      </c>
      <c r="B3986" t="str">
        <f>"1551599152274839"</f>
        <v>1551599152274839</v>
      </c>
      <c r="C3986" t="s">
        <v>40</v>
      </c>
      <c r="D3986">
        <v>5.2600819999999997</v>
      </c>
      <c r="E3986">
        <v>0.63881619999999995</v>
      </c>
      <c r="F3986" t="s">
        <v>41</v>
      </c>
      <c r="G3986">
        <v>-210.4247</v>
      </c>
      <c r="H3986" s="1">
        <v>-5.78247899999999E-6</v>
      </c>
      <c r="I3986">
        <v>146.5746</v>
      </c>
      <c r="J3986">
        <v>-194.6771</v>
      </c>
      <c r="K3986">
        <v>1.1141239999999999</v>
      </c>
      <c r="L3986">
        <v>152.1438</v>
      </c>
      <c r="M3986">
        <v>-0.4059682</v>
      </c>
      <c r="N3986">
        <v>-1.481915E-2</v>
      </c>
      <c r="O3986">
        <v>-0.913767</v>
      </c>
      <c r="P3986">
        <v>-0.76872089999999904</v>
      </c>
      <c r="Q3986">
        <v>-7.9847660000000001E-2</v>
      </c>
      <c r="R3986">
        <v>-0.63458040000000004</v>
      </c>
      <c r="S3986">
        <v>-3.0002439999999999</v>
      </c>
      <c r="T3986">
        <v>-0.21110419999999999</v>
      </c>
      <c r="U3986">
        <v>-1.0874629999999901</v>
      </c>
      <c r="V3986">
        <v>0.4436523</v>
      </c>
      <c r="W3986">
        <v>-7.4245290000000005E-2</v>
      </c>
      <c r="X3986">
        <v>0.89311830000000003</v>
      </c>
      <c r="Y3986">
        <v>0.71874439999999995</v>
      </c>
      <c r="Z3986">
        <v>6.0755129999999997E-2</v>
      </c>
      <c r="AA3986">
        <v>0.69261490000000003</v>
      </c>
      <c r="AB3986">
        <v>21</v>
      </c>
      <c r="AC3986">
        <v>-15.7476</v>
      </c>
      <c r="AD3986">
        <v>-1.114129782479</v>
      </c>
      <c r="AE3986">
        <v>-5.5691999999999897</v>
      </c>
      <c r="AF3986">
        <v>12.0763239888058</v>
      </c>
      <c r="AG3986">
        <v>-1.114129782479</v>
      </c>
      <c r="AH3986">
        <v>11.432374761565701</v>
      </c>
      <c r="AI3986">
        <v>93.832952277314604</v>
      </c>
      <c r="AJ3986">
        <v>43.430948915286898</v>
      </c>
      <c r="AK3986">
        <v>16.6666757016418</v>
      </c>
      <c r="AL3986">
        <v>94.257859652582098</v>
      </c>
      <c r="AM3986">
        <v>63.584328336235998</v>
      </c>
      <c r="AN3986">
        <v>1.0000000120886801</v>
      </c>
    </row>
    <row r="3987" spans="1:40" x14ac:dyDescent="0.25">
      <c r="A3987" t="str">
        <f>"20190303154552301"</f>
        <v>20190303154552301</v>
      </c>
      <c r="B3987" t="str">
        <f>"1551599152295334"</f>
        <v>1551599152295334</v>
      </c>
      <c r="C3987" t="s">
        <v>40</v>
      </c>
      <c r="D3987">
        <v>5.2804479999999998</v>
      </c>
      <c r="E3987">
        <v>0.63869109999999996</v>
      </c>
      <c r="F3987" t="s">
        <v>41</v>
      </c>
      <c r="G3987">
        <v>-210.3785</v>
      </c>
      <c r="H3987" s="1">
        <v>-5.8162530000000003E-6</v>
      </c>
      <c r="I3987">
        <v>146.66499999999999</v>
      </c>
      <c r="J3987">
        <v>-194.77420000000001</v>
      </c>
      <c r="K3987">
        <v>1.114047</v>
      </c>
      <c r="L3987">
        <v>151.96039999999999</v>
      </c>
      <c r="M3987">
        <v>-0.41717490000000002</v>
      </c>
      <c r="N3987">
        <v>-1.484915E-2</v>
      </c>
      <c r="O3987">
        <v>-0.90870479999999998</v>
      </c>
      <c r="P3987">
        <v>-0.77705059999999904</v>
      </c>
      <c r="Q3987">
        <v>-8.0818180000000003E-2</v>
      </c>
      <c r="R3987">
        <v>-0.62422819999999901</v>
      </c>
      <c r="S3987">
        <v>-3.0126040000000001</v>
      </c>
      <c r="T3987">
        <v>-0.21376609999999999</v>
      </c>
      <c r="U3987">
        <v>-1.0512079999999999</v>
      </c>
      <c r="V3987">
        <v>0.44450830000000002</v>
      </c>
      <c r="W3987">
        <v>-7.5287450000000006E-2</v>
      </c>
      <c r="X3987">
        <v>0.89260519999999999</v>
      </c>
      <c r="Y3987">
        <v>0.71846169999999998</v>
      </c>
      <c r="Z3987">
        <v>6.1764600000000003E-2</v>
      </c>
      <c r="AA3987">
        <v>0.69281890000000002</v>
      </c>
      <c r="AB3987">
        <v>21</v>
      </c>
      <c r="AC3987">
        <v>-15.604299999999901</v>
      </c>
      <c r="AD3987">
        <v>-1.1140528162529999</v>
      </c>
      <c r="AE3987">
        <v>-5.2953999999999999</v>
      </c>
      <c r="AF3987">
        <v>11.917444101368901</v>
      </c>
      <c r="AG3987">
        <v>-1.1140528162529999</v>
      </c>
      <c r="AH3987">
        <v>11.271408679761899</v>
      </c>
      <c r="AI3987">
        <v>93.885342057412103</v>
      </c>
      <c r="AJ3987">
        <v>43.404167240624403</v>
      </c>
      <c r="AK3987">
        <v>16.441144765887401</v>
      </c>
      <c r="AL3987">
        <v>94.317738949993</v>
      </c>
      <c r="AM3987">
        <v>63.527162902137</v>
      </c>
      <c r="AN3987">
        <v>0.99999993598171399</v>
      </c>
    </row>
    <row r="3988" spans="1:40" x14ac:dyDescent="0.25">
      <c r="A3988" t="str">
        <f>"20190303154552323"</f>
        <v>20190303154552323</v>
      </c>
      <c r="B3988" t="str">
        <f>"1551599152314855"</f>
        <v>1551599152314855</v>
      </c>
      <c r="C3988" t="s">
        <v>40</v>
      </c>
      <c r="D3988">
        <v>5.2545019999999996</v>
      </c>
      <c r="E3988">
        <v>0.63852350000000002</v>
      </c>
      <c r="F3988" t="s">
        <v>41</v>
      </c>
      <c r="G3988">
        <v>-210.12909999999999</v>
      </c>
      <c r="H3988" s="1">
        <v>-5.940878E-6</v>
      </c>
      <c r="I3988">
        <v>146.82749999999999</v>
      </c>
      <c r="J3988">
        <v>-194.8766</v>
      </c>
      <c r="K3988">
        <v>1.1139829999999999</v>
      </c>
      <c r="L3988">
        <v>151.77350000000001</v>
      </c>
      <c r="M3988">
        <v>-0.42877549999999998</v>
      </c>
      <c r="N3988">
        <v>-1.4880000000000001E-2</v>
      </c>
      <c r="O3988">
        <v>-0.90328850000000005</v>
      </c>
      <c r="P3988">
        <v>-0.78529380000000004</v>
      </c>
      <c r="Q3988">
        <v>-8.1307969999999993E-2</v>
      </c>
      <c r="R3988">
        <v>-0.61376119999999901</v>
      </c>
      <c r="S3988">
        <v>-3.0254669999999999</v>
      </c>
      <c r="T3988">
        <v>-0.21950910000000001</v>
      </c>
      <c r="U3988">
        <v>-1.011368</v>
      </c>
      <c r="V3988">
        <v>0.44497130000000001</v>
      </c>
      <c r="W3988">
        <v>-7.5837879999999996E-2</v>
      </c>
      <c r="X3988">
        <v>0.89232800000000001</v>
      </c>
      <c r="Y3988">
        <v>0.71853080000000003</v>
      </c>
      <c r="Z3988">
        <v>6.3827179999999997E-2</v>
      </c>
      <c r="AA3988">
        <v>0.69256019999999996</v>
      </c>
      <c r="AB3988">
        <v>21</v>
      </c>
      <c r="AC3988">
        <v>-15.2524999999999</v>
      </c>
      <c r="AD3988">
        <v>-1.1139889408779999</v>
      </c>
      <c r="AE3988">
        <v>-4.9460000000000202</v>
      </c>
      <c r="AF3988">
        <v>11.6019750633911</v>
      </c>
      <c r="AG3988">
        <v>-1.1139889408779999</v>
      </c>
      <c r="AH3988">
        <v>10.9559006414145</v>
      </c>
      <c r="AI3988">
        <v>93.993357908327198</v>
      </c>
      <c r="AJ3988">
        <v>43.359454524301299</v>
      </c>
      <c r="AK3988">
        <v>15.996204412187801</v>
      </c>
      <c r="AL3988">
        <v>94.349366190294205</v>
      </c>
      <c r="AM3988">
        <v>63.4962475432528</v>
      </c>
      <c r="AN3988">
        <v>1.00000005072529</v>
      </c>
    </row>
    <row r="3989" spans="1:40" x14ac:dyDescent="0.25">
      <c r="A3989" t="str">
        <f>"20190303154552346"</f>
        <v>20190303154552346</v>
      </c>
      <c r="B3989" t="str">
        <f>"1551599152335350"</f>
        <v>1551599152335350</v>
      </c>
      <c r="C3989" t="s">
        <v>40</v>
      </c>
      <c r="D3989">
        <v>4.8721899999999998</v>
      </c>
      <c r="E3989">
        <v>0.63844690000000004</v>
      </c>
      <c r="F3989" t="s">
        <v>41</v>
      </c>
      <c r="G3989">
        <v>-210.03280000000001</v>
      </c>
      <c r="H3989" s="1">
        <v>-5.9951009999999998E-6</v>
      </c>
      <c r="I3989">
        <v>146.92490000000001</v>
      </c>
      <c r="J3989">
        <v>-194.97839999999999</v>
      </c>
      <c r="K3989">
        <v>1.1139289999999999</v>
      </c>
      <c r="L3989">
        <v>151.59350000000001</v>
      </c>
      <c r="M3989">
        <v>-0.44009359999999997</v>
      </c>
      <c r="N3989">
        <v>-1.4909749999999999E-2</v>
      </c>
      <c r="O3989">
        <v>-0.89782830000000002</v>
      </c>
      <c r="P3989">
        <v>-0.79264919999999905</v>
      </c>
      <c r="Q3989">
        <v>-8.0801040000000005E-2</v>
      </c>
      <c r="R3989">
        <v>-0.60430030000000001</v>
      </c>
      <c r="S3989">
        <v>-3.037598</v>
      </c>
      <c r="T3989">
        <v>-0.22326489999999999</v>
      </c>
      <c r="U3989">
        <v>-0.97175599999999995</v>
      </c>
      <c r="V3989">
        <v>0.44450260000000003</v>
      </c>
      <c r="W3989">
        <v>-7.5358889999999998E-2</v>
      </c>
      <c r="X3989">
        <v>0.89260209999999995</v>
      </c>
      <c r="Y3989">
        <v>0.71871059999999998</v>
      </c>
      <c r="Z3989">
        <v>6.5210249999999997E-2</v>
      </c>
      <c r="AA3989">
        <v>0.69224469999999905</v>
      </c>
      <c r="AB3989">
        <v>21</v>
      </c>
      <c r="AC3989">
        <v>-15.054399999999999</v>
      </c>
      <c r="AD3989">
        <v>-1.113934995101</v>
      </c>
      <c r="AE3989">
        <v>-4.6685999999999899</v>
      </c>
      <c r="AF3989">
        <v>11.4059477170343</v>
      </c>
      <c r="AG3989">
        <v>-1.113934995101</v>
      </c>
      <c r="AH3989">
        <v>10.764381535414101</v>
      </c>
      <c r="AI3989">
        <v>94.062700946504904</v>
      </c>
      <c r="AJ3989">
        <v>43.342434232120802</v>
      </c>
      <c r="AK3989">
        <v>15.722862472749499</v>
      </c>
      <c r="AL3989">
        <v>94.321843474114502</v>
      </c>
      <c r="AM3989">
        <v>63.5273766751232</v>
      </c>
      <c r="AN3989">
        <v>1.0000000163166001</v>
      </c>
    </row>
    <row r="3990" spans="1:40" x14ac:dyDescent="0.25">
      <c r="A3990" t="str">
        <f>"20190303154552368"</f>
        <v>20190303154552368</v>
      </c>
      <c r="B3990" t="str">
        <f>"1551599152364630"</f>
        <v>1551599152364630</v>
      </c>
      <c r="C3990" t="s">
        <v>40</v>
      </c>
      <c r="D3990">
        <v>5.2763619999999998</v>
      </c>
      <c r="E3990">
        <v>0.63801540000000001</v>
      </c>
      <c r="F3990" t="s">
        <v>41</v>
      </c>
      <c r="G3990">
        <v>-210.5472</v>
      </c>
      <c r="H3990" s="1">
        <v>-5.7781050000000001E-6</v>
      </c>
      <c r="I3990">
        <v>146.8151</v>
      </c>
      <c r="J3990">
        <v>-195.0881</v>
      </c>
      <c r="K3990">
        <v>1.1138870000000001</v>
      </c>
      <c r="L3990">
        <v>151.40549999999999</v>
      </c>
      <c r="M3990">
        <v>-0.45206079999999998</v>
      </c>
      <c r="N3990">
        <v>-1.49391E-2</v>
      </c>
      <c r="O3990">
        <v>-0.89186200000000004</v>
      </c>
      <c r="P3990">
        <v>-0.80020449999999999</v>
      </c>
      <c r="Q3990">
        <v>-7.9662839999999999E-2</v>
      </c>
      <c r="R3990">
        <v>-0.59441299999999997</v>
      </c>
      <c r="S3990">
        <v>-3.0490719999999998</v>
      </c>
      <c r="T3990">
        <v>-0.21815850000000001</v>
      </c>
      <c r="U3990">
        <v>-0.93583680000000002</v>
      </c>
      <c r="V3990">
        <v>0.44376159999999998</v>
      </c>
      <c r="W3990">
        <v>-7.4227379999999996E-2</v>
      </c>
      <c r="X3990">
        <v>0.89306549999999996</v>
      </c>
      <c r="Y3990">
        <v>0.71773279999999995</v>
      </c>
      <c r="Z3990">
        <v>6.352998E-2</v>
      </c>
      <c r="AA3990">
        <v>0.69341439999999999</v>
      </c>
      <c r="AB3990">
        <v>20</v>
      </c>
      <c r="AC3990">
        <v>-15.459099999999999</v>
      </c>
      <c r="AD3990">
        <v>-1.1138927781049901</v>
      </c>
      <c r="AE3990">
        <v>-4.5903999999999803</v>
      </c>
      <c r="AF3990">
        <v>11.6579298655407</v>
      </c>
      <c r="AG3990">
        <v>-1.1138927781049901</v>
      </c>
      <c r="AH3990">
        <v>11.0310629174038</v>
      </c>
      <c r="AI3990">
        <v>93.970125728478706</v>
      </c>
      <c r="AJ3990">
        <v>43.417395782815802</v>
      </c>
      <c r="AK3990">
        <v>16.088270104604199</v>
      </c>
      <c r="AL3990">
        <v>94.256830593175195</v>
      </c>
      <c r="AM3990">
        <v>63.5773546701406</v>
      </c>
      <c r="AN3990">
        <v>1.0000000244332301</v>
      </c>
    </row>
    <row r="3991" spans="1:40" x14ac:dyDescent="0.25">
      <c r="A3991" t="str">
        <f>"20190303154552391"</f>
        <v>20190303154552391</v>
      </c>
      <c r="B3991" t="str">
        <f>"1551599152385127"</f>
        <v>1551599152385127</v>
      </c>
      <c r="C3991" t="s">
        <v>40</v>
      </c>
      <c r="D3991">
        <v>5.2296940000000003</v>
      </c>
      <c r="E3991">
        <v>0.63770159999999998</v>
      </c>
      <c r="F3991" t="s">
        <v>41</v>
      </c>
      <c r="G3991">
        <v>-210.7971</v>
      </c>
      <c r="H3991" s="1">
        <v>-5.6758599999999999E-6</v>
      </c>
      <c r="I3991">
        <v>146.77959999999999</v>
      </c>
      <c r="J3991">
        <v>-195.2</v>
      </c>
      <c r="K3991">
        <v>1.113856</v>
      </c>
      <c r="L3991">
        <v>151.21979999999999</v>
      </c>
      <c r="M3991">
        <v>-0.4640049</v>
      </c>
      <c r="N3991">
        <v>-1.496518E-2</v>
      </c>
      <c r="O3991">
        <v>-0.8857064</v>
      </c>
      <c r="P3991">
        <v>-0.80721100000000001</v>
      </c>
      <c r="Q3991">
        <v>-7.9107670000000005E-2</v>
      </c>
      <c r="R3991">
        <v>-0.58493809999999902</v>
      </c>
      <c r="S3991">
        <v>-3.0584410000000002</v>
      </c>
      <c r="T3991">
        <v>-0.2168689</v>
      </c>
      <c r="U3991">
        <v>-0.90063479999999996</v>
      </c>
      <c r="V3991">
        <v>0.44234269999999998</v>
      </c>
      <c r="W3991">
        <v>-7.3650320000000005E-2</v>
      </c>
      <c r="X3991">
        <v>0.89381679999999997</v>
      </c>
      <c r="Y3991">
        <v>0.71633819999999904</v>
      </c>
      <c r="Z3991">
        <v>6.3151369999999998E-2</v>
      </c>
      <c r="AA3991">
        <v>0.6948896</v>
      </c>
      <c r="AB3991">
        <v>20</v>
      </c>
      <c r="AC3991">
        <v>-15.597099999999999</v>
      </c>
      <c r="AD3991">
        <v>-1.11386167586</v>
      </c>
      <c r="AE3991">
        <v>-4.4401999999999999</v>
      </c>
      <c r="AF3991">
        <v>11.700292577375601</v>
      </c>
      <c r="AG3991">
        <v>-1.11386167586</v>
      </c>
      <c r="AH3991">
        <v>11.1186389551661</v>
      </c>
      <c r="AI3991">
        <v>93.947703655429194</v>
      </c>
      <c r="AJ3991">
        <v>43.539849130586603</v>
      </c>
      <c r="AK3991">
        <v>16.179050233078499</v>
      </c>
      <c r="AL3991">
        <v>94.223677044102303</v>
      </c>
      <c r="AM3991">
        <v>63.6695646602452</v>
      </c>
      <c r="AN3991">
        <v>0.99999995292081501</v>
      </c>
    </row>
    <row r="3992" spans="1:40" x14ac:dyDescent="0.25">
      <c r="A3992" t="str">
        <f>"20190303154552414"</f>
        <v>20190303154552414</v>
      </c>
      <c r="B3992" t="str">
        <f>"1551599152404647"</f>
        <v>1551599152404647</v>
      </c>
      <c r="C3992" t="s">
        <v>40</v>
      </c>
      <c r="D3992">
        <v>5.2490420000000002</v>
      </c>
      <c r="E3992">
        <v>0.63733769999999901</v>
      </c>
      <c r="F3992" t="s">
        <v>41</v>
      </c>
      <c r="G3992">
        <v>-211.11009999999999</v>
      </c>
      <c r="H3992" s="1">
        <v>-5.5460020000000004E-6</v>
      </c>
      <c r="I3992">
        <v>146.7252</v>
      </c>
      <c r="J3992">
        <v>-195.31299999999999</v>
      </c>
      <c r="K3992">
        <v>1.1138209999999999</v>
      </c>
      <c r="L3992">
        <v>151.03790000000001</v>
      </c>
      <c r="M3992">
        <v>-0.47583019999999998</v>
      </c>
      <c r="N3992">
        <v>-1.498845E-2</v>
      </c>
      <c r="O3992">
        <v>-0.87940949999999996</v>
      </c>
      <c r="P3992">
        <v>-0.81414629999999999</v>
      </c>
      <c r="Q3992">
        <v>-7.9518069999999996E-2</v>
      </c>
      <c r="R3992">
        <v>-0.57518959999999997</v>
      </c>
      <c r="S3992">
        <v>-3.0675050000000001</v>
      </c>
      <c r="T3992">
        <v>-0.2147551</v>
      </c>
      <c r="U3992">
        <v>-0.86657709999999999</v>
      </c>
      <c r="V3992">
        <v>0.44106909999999999</v>
      </c>
      <c r="W3992">
        <v>-7.4035530000000002E-2</v>
      </c>
      <c r="X3992">
        <v>0.89441419999999905</v>
      </c>
      <c r="Y3992">
        <v>0.71473489999999995</v>
      </c>
      <c r="Z3992">
        <v>6.2467469999999997E-2</v>
      </c>
      <c r="AA3992">
        <v>0.69660029999999995</v>
      </c>
      <c r="AB3992">
        <v>20</v>
      </c>
      <c r="AC3992">
        <v>-15.7971</v>
      </c>
      <c r="AD3992">
        <v>-1.113826546002</v>
      </c>
      <c r="AE3992">
        <v>-4.3127000000000004</v>
      </c>
      <c r="AF3992">
        <v>11.7868037788074</v>
      </c>
      <c r="AG3992">
        <v>-1.113826546002</v>
      </c>
      <c r="AH3992">
        <v>11.2585479078285</v>
      </c>
      <c r="AI3992">
        <v>93.909157526733196</v>
      </c>
      <c r="AJ3992">
        <v>43.686870442617597</v>
      </c>
      <c r="AK3992">
        <v>16.337816680559101</v>
      </c>
      <c r="AL3992">
        <v>94.2458082332369</v>
      </c>
      <c r="AM3992">
        <v>63.750369546882602</v>
      </c>
      <c r="AN3992">
        <v>0.99999998591941497</v>
      </c>
    </row>
    <row r="3993" spans="1:40" x14ac:dyDescent="0.25">
      <c r="A3993" t="str">
        <f>"20190303154552434"</f>
        <v>20190303154552434</v>
      </c>
      <c r="B3993" t="str">
        <f>"1551599152425142"</f>
        <v>1551599152425142</v>
      </c>
      <c r="C3993" t="s">
        <v>40</v>
      </c>
      <c r="D3993">
        <v>5.1654479999999996</v>
      </c>
      <c r="E3993">
        <v>0.63710339999999999</v>
      </c>
      <c r="F3993" t="s">
        <v>41</v>
      </c>
      <c r="G3993">
        <v>-211.24080000000001</v>
      </c>
      <c r="H3993" s="1">
        <v>-5.4965039999999999E-6</v>
      </c>
      <c r="I3993">
        <v>146.72909999999999</v>
      </c>
      <c r="J3993">
        <v>-195.41319999999999</v>
      </c>
      <c r="K3993">
        <v>1.1137840000000001</v>
      </c>
      <c r="L3993">
        <v>150.88130000000001</v>
      </c>
      <c r="M3993">
        <v>-0.48609449999999998</v>
      </c>
      <c r="N3993">
        <v>-1.5007410000000001E-2</v>
      </c>
      <c r="O3993">
        <v>-0.87377739999999904</v>
      </c>
      <c r="P3993">
        <v>-0.82020930000000003</v>
      </c>
      <c r="Q3993">
        <v>-8.1600259999999994E-2</v>
      </c>
      <c r="R3993">
        <v>-0.56621429999999995</v>
      </c>
      <c r="S3993">
        <v>-3.0759430000000001</v>
      </c>
      <c r="T3993">
        <v>-0.2151006</v>
      </c>
      <c r="U3993">
        <v>-0.8321075</v>
      </c>
      <c r="V3993">
        <v>0.4402007</v>
      </c>
      <c r="W3993">
        <v>-7.6099669999999994E-2</v>
      </c>
      <c r="X3993">
        <v>0.89466880000000004</v>
      </c>
      <c r="Y3993">
        <v>0.71430439999999995</v>
      </c>
      <c r="Z3993">
        <v>6.2642760000000006E-2</v>
      </c>
      <c r="AA3993">
        <v>0.69702589999999998</v>
      </c>
      <c r="AB3993">
        <v>20</v>
      </c>
      <c r="AC3993">
        <v>-15.8276</v>
      </c>
      <c r="AD3993">
        <v>-1.1137894965040001</v>
      </c>
      <c r="AE3993">
        <v>-4.1522000000000201</v>
      </c>
      <c r="AF3993">
        <v>11.7582905172611</v>
      </c>
      <c r="AG3993">
        <v>-1.1137894965040001</v>
      </c>
      <c r="AH3993">
        <v>11.2708639042323</v>
      </c>
      <c r="AI3993">
        <v>93.911919682715506</v>
      </c>
      <c r="AJ3993">
        <v>43.787479644165401</v>
      </c>
      <c r="AK3993">
        <v>16.325755605133899</v>
      </c>
      <c r="AL3993">
        <v>94.364409174625095</v>
      </c>
      <c r="AM3993">
        <v>63.801594529969897</v>
      </c>
      <c r="AN3993">
        <v>1.00000003887401</v>
      </c>
    </row>
    <row r="3994" spans="1:40" x14ac:dyDescent="0.25">
      <c r="A3994" t="str">
        <f>"20190303154552459"</f>
        <v>20190303154552459</v>
      </c>
      <c r="B3994" t="str">
        <f>"1551599152455401"</f>
        <v>1551599152455401</v>
      </c>
      <c r="C3994" t="s">
        <v>40</v>
      </c>
      <c r="D3994">
        <v>5.1978160000000004</v>
      </c>
      <c r="E3994">
        <v>0.63662969999999997</v>
      </c>
      <c r="F3994" t="s">
        <v>41</v>
      </c>
      <c r="G3994">
        <v>-211.17169999999999</v>
      </c>
      <c r="H3994" s="1">
        <v>-5.5342819999999996E-6</v>
      </c>
      <c r="I3994">
        <v>146.79249999999999</v>
      </c>
      <c r="J3994">
        <v>-195.5394</v>
      </c>
      <c r="K3994">
        <v>1.1137629999999901</v>
      </c>
      <c r="L3994">
        <v>150.68950000000001</v>
      </c>
      <c r="M3994">
        <v>-0.49875209999999998</v>
      </c>
      <c r="N3994">
        <v>-1.502914E-2</v>
      </c>
      <c r="O3994">
        <v>-0.86661449999999995</v>
      </c>
      <c r="P3994">
        <v>-0.82756229999999997</v>
      </c>
      <c r="Q3994">
        <v>-8.2534339999999998E-2</v>
      </c>
      <c r="R3994">
        <v>-0.55527399999999905</v>
      </c>
      <c r="S3994">
        <v>-3.0836030000000001</v>
      </c>
      <c r="T3994">
        <v>-0.21794469999999999</v>
      </c>
      <c r="U3994">
        <v>-0.80007930000000005</v>
      </c>
      <c r="V3994">
        <v>0.43896859999999999</v>
      </c>
      <c r="W3994">
        <v>-7.6999490000000004E-2</v>
      </c>
      <c r="X3994">
        <v>0.89519699999999902</v>
      </c>
      <c r="Y3994">
        <v>0.71127850000000004</v>
      </c>
      <c r="Z3994">
        <v>6.3562789999999994E-2</v>
      </c>
      <c r="AA3994">
        <v>0.70003059999999995</v>
      </c>
      <c r="AB3994">
        <v>20</v>
      </c>
      <c r="AC3994">
        <v>-15.632299999999899</v>
      </c>
      <c r="AD3994">
        <v>-1.1137685342819901</v>
      </c>
      <c r="AE3994">
        <v>-3.8970000000000198</v>
      </c>
      <c r="AF3994">
        <v>11.549651633378801</v>
      </c>
      <c r="AG3994">
        <v>-1.1137685342819901</v>
      </c>
      <c r="AH3994">
        <v>11.121945503267201</v>
      </c>
      <c r="AI3994">
        <v>93.973526829226003</v>
      </c>
      <c r="AJ3994">
        <v>43.919227021846098</v>
      </c>
      <c r="AK3994">
        <v>16.072728610227099</v>
      </c>
      <c r="AL3994">
        <v>94.416116907634404</v>
      </c>
      <c r="AM3994">
        <v>63.878525806655801</v>
      </c>
      <c r="AN3994">
        <v>1.0000000110276099</v>
      </c>
    </row>
    <row r="3995" spans="1:40" x14ac:dyDescent="0.25">
      <c r="A3995" t="str">
        <f>"20190303154552480"</f>
        <v>20190303154552480</v>
      </c>
      <c r="B3995" t="str">
        <f>"1551599152474919"</f>
        <v>1551599152474919</v>
      </c>
      <c r="C3995" t="s">
        <v>40</v>
      </c>
      <c r="D3995">
        <v>5.030494</v>
      </c>
      <c r="E3995">
        <v>0.63636490000000001</v>
      </c>
      <c r="F3995" t="s">
        <v>41</v>
      </c>
      <c r="G3995">
        <v>-211.23589999999999</v>
      </c>
      <c r="H3995" s="1">
        <v>-5.514396E-6</v>
      </c>
      <c r="I3995">
        <v>146.8194</v>
      </c>
      <c r="J3995">
        <v>-195.6534</v>
      </c>
      <c r="K3995">
        <v>1.1137589999999999</v>
      </c>
      <c r="L3995">
        <v>150.52170000000001</v>
      </c>
      <c r="M3995">
        <v>-0.50989649999999997</v>
      </c>
      <c r="N3995">
        <v>-1.504547E-2</v>
      </c>
      <c r="O3995">
        <v>-0.86010450000000005</v>
      </c>
      <c r="P3995">
        <v>-0.83289159999999995</v>
      </c>
      <c r="Q3995">
        <v>-8.0805619999999995E-2</v>
      </c>
      <c r="R3995">
        <v>-0.54750559999999904</v>
      </c>
      <c r="S3995">
        <v>-3.091736</v>
      </c>
      <c r="T3995">
        <v>-0.21937950000000001</v>
      </c>
      <c r="U3995">
        <v>-0.76229859999999905</v>
      </c>
      <c r="V3995">
        <v>0.4359691</v>
      </c>
      <c r="W3995">
        <v>-7.5181440000000002E-2</v>
      </c>
      <c r="X3995">
        <v>0.89681580000000005</v>
      </c>
      <c r="Y3995">
        <v>0.71067619999999998</v>
      </c>
      <c r="Z3995">
        <v>6.4086829999999997E-2</v>
      </c>
      <c r="AA3995">
        <v>0.70059419999999994</v>
      </c>
      <c r="AB3995">
        <v>20</v>
      </c>
      <c r="AC3995">
        <v>-15.5824999999999</v>
      </c>
      <c r="AD3995">
        <v>-1.113764514396</v>
      </c>
      <c r="AE3995">
        <v>-3.7023000000000001</v>
      </c>
      <c r="AF3995">
        <v>11.4606679951301</v>
      </c>
      <c r="AG3995">
        <v>-1.113764514396</v>
      </c>
      <c r="AH3995">
        <v>11.0775158916503</v>
      </c>
      <c r="AI3995">
        <v>93.9970906726805</v>
      </c>
      <c r="AJ3995">
        <v>44.026057996532401</v>
      </c>
      <c r="AK3995">
        <v>15.9780706162506</v>
      </c>
      <c r="AL3995">
        <v>94.311647734368705</v>
      </c>
      <c r="AM3995">
        <v>64.074221288344503</v>
      </c>
      <c r="AN3995">
        <v>0.99999994210246002</v>
      </c>
    </row>
    <row r="3996" spans="1:40" x14ac:dyDescent="0.25">
      <c r="A3996" t="str">
        <f>"20190303154552504"</f>
        <v>20190303154552504</v>
      </c>
      <c r="B3996" t="str">
        <f>"1551599152495415"</f>
        <v>1551599152495415</v>
      </c>
      <c r="C3996" t="s">
        <v>40</v>
      </c>
      <c r="D3996">
        <v>5.2075610000000001</v>
      </c>
      <c r="E3996">
        <v>0.63611059999999997</v>
      </c>
      <c r="F3996" t="s">
        <v>41</v>
      </c>
      <c r="G3996">
        <v>-211.9965</v>
      </c>
      <c r="H3996" s="1">
        <v>-5.1910749999999899E-6</v>
      </c>
      <c r="I3996">
        <v>146.64330000000001</v>
      </c>
      <c r="J3996">
        <v>-195.77590000000001</v>
      </c>
      <c r="K3996">
        <v>1.1137600000000001</v>
      </c>
      <c r="L3996">
        <v>150.3467</v>
      </c>
      <c r="M3996">
        <v>-0.52158599999999999</v>
      </c>
      <c r="N3996">
        <v>-1.505861E-2</v>
      </c>
      <c r="O3996">
        <v>-0.85306569999999904</v>
      </c>
      <c r="P3996">
        <v>-0.83763809999999905</v>
      </c>
      <c r="Q3996">
        <v>-7.9433110000000001E-2</v>
      </c>
      <c r="R3996">
        <v>-0.54041919999999899</v>
      </c>
      <c r="S3996">
        <v>-3.0981290000000001</v>
      </c>
      <c r="T3996">
        <v>-0.21113370000000001</v>
      </c>
      <c r="U3996">
        <v>-0.73521419999999904</v>
      </c>
      <c r="V3996">
        <v>0.43147869999999999</v>
      </c>
      <c r="W3996">
        <v>-7.3676149999999996E-2</v>
      </c>
      <c r="X3996">
        <v>0.89910949999999901</v>
      </c>
      <c r="Y3996">
        <v>0.70740899999999995</v>
      </c>
      <c r="Z3996">
        <v>6.1235879999999999E-2</v>
      </c>
      <c r="AA3996">
        <v>0.70414670000000001</v>
      </c>
      <c r="AB3996">
        <v>20</v>
      </c>
      <c r="AC3996">
        <v>-16.220599999999902</v>
      </c>
      <c r="AD3996">
        <v>-1.1137651910749999</v>
      </c>
      <c r="AE3996">
        <v>-3.7033999999999798</v>
      </c>
      <c r="AF3996">
        <v>11.853828910877301</v>
      </c>
      <c r="AG3996">
        <v>-1.1137651910749999</v>
      </c>
      <c r="AH3996">
        <v>11.5691575861951</v>
      </c>
      <c r="AI3996">
        <v>93.846836043281101</v>
      </c>
      <c r="AJ3996">
        <v>44.303689883189499</v>
      </c>
      <c r="AK3996">
        <v>16.601178873905901</v>
      </c>
      <c r="AL3996">
        <v>94.225160960732794</v>
      </c>
      <c r="AM3996">
        <v>64.363855582441801</v>
      </c>
      <c r="AN3996">
        <v>0.99999996831138005</v>
      </c>
    </row>
    <row r="3997" spans="1:40" x14ac:dyDescent="0.25">
      <c r="A3997" t="str">
        <f>"20190303154552525"</f>
        <v>20190303154552525</v>
      </c>
      <c r="B3997" t="str">
        <f>"1551599152514935"</f>
        <v>1551599152514935</v>
      </c>
      <c r="C3997" t="s">
        <v>40</v>
      </c>
      <c r="D3997">
        <v>5.1984709999999996</v>
      </c>
      <c r="E3997">
        <v>0.63559330000000003</v>
      </c>
      <c r="F3997" t="s">
        <v>41</v>
      </c>
      <c r="G3997">
        <v>-213.06450000000001</v>
      </c>
      <c r="H3997" s="1">
        <v>-4.7353539999999996E-6</v>
      </c>
      <c r="I3997">
        <v>146.38630000000001</v>
      </c>
      <c r="J3997">
        <v>-195.89320000000001</v>
      </c>
      <c r="K3997">
        <v>1.113742</v>
      </c>
      <c r="L3997">
        <v>150.18389999999999</v>
      </c>
      <c r="M3997">
        <v>-0.53251680000000001</v>
      </c>
      <c r="N3997">
        <v>-1.5068399999999999E-2</v>
      </c>
      <c r="O3997">
        <v>-0.84628539999999997</v>
      </c>
      <c r="P3997">
        <v>-0.84245840000000005</v>
      </c>
      <c r="Q3997">
        <v>-8.3008230000000002E-2</v>
      </c>
      <c r="R3997">
        <v>-0.53232880000000005</v>
      </c>
      <c r="S3997">
        <v>-3.1038209999999999</v>
      </c>
      <c r="T3997">
        <v>-0.19995379999999999</v>
      </c>
      <c r="U3997">
        <v>-0.71101380000000003</v>
      </c>
      <c r="V3997">
        <v>0.42821789999999998</v>
      </c>
      <c r="W3997">
        <v>-7.7155100000000004E-2</v>
      </c>
      <c r="X3997">
        <v>0.90037579999999995</v>
      </c>
      <c r="Y3997">
        <v>0.70407819999999899</v>
      </c>
      <c r="Z3997">
        <v>5.7402639999999998E-2</v>
      </c>
      <c r="AA3997">
        <v>0.70779859999999895</v>
      </c>
      <c r="AB3997">
        <v>20</v>
      </c>
      <c r="AC3997">
        <v>-17.171299999999999</v>
      </c>
      <c r="AD3997">
        <v>-1.113746735354</v>
      </c>
      <c r="AE3997">
        <v>-3.7975999999999801</v>
      </c>
      <c r="AF3997">
        <v>12.460975914547401</v>
      </c>
      <c r="AG3997">
        <v>-1.113746735354</v>
      </c>
      <c r="AH3997">
        <v>12.3098891532105</v>
      </c>
      <c r="AI3997">
        <v>93.638233431241403</v>
      </c>
      <c r="AJ3997">
        <v>44.650535966565499</v>
      </c>
      <c r="AK3997">
        <v>17.551345347231099</v>
      </c>
      <c r="AL3997">
        <v>94.425059220987393</v>
      </c>
      <c r="AM3997">
        <v>64.564282584976098</v>
      </c>
      <c r="AN3997">
        <v>1.0000000302810199</v>
      </c>
    </row>
    <row r="3998" spans="1:40" x14ac:dyDescent="0.25">
      <c r="A3998" t="str">
        <f>"20190303154552547"</f>
        <v>20190303154552547</v>
      </c>
      <c r="B3998" t="str">
        <f>"1551599152535431"</f>
        <v>1551599152535431</v>
      </c>
      <c r="C3998" t="s">
        <v>40</v>
      </c>
      <c r="D3998">
        <v>4.8867120000000002</v>
      </c>
      <c r="E3998">
        <v>0.63516850000000002</v>
      </c>
      <c r="F3998" t="s">
        <v>41</v>
      </c>
      <c r="G3998">
        <v>-212.52260000000001</v>
      </c>
      <c r="H3998" s="1">
        <v>-4.9669860000000001E-6</v>
      </c>
      <c r="I3998">
        <v>146.51900000000001</v>
      </c>
      <c r="J3998">
        <v>-196.0129</v>
      </c>
      <c r="K3998">
        <v>1.113729</v>
      </c>
      <c r="L3998">
        <v>150.0223</v>
      </c>
      <c r="M3998">
        <v>-0.54341200000000001</v>
      </c>
      <c r="N3998">
        <v>-1.507651E-2</v>
      </c>
      <c r="O3998">
        <v>-0.83933099999999905</v>
      </c>
      <c r="P3998">
        <v>-0.84805560000000002</v>
      </c>
      <c r="Q3998">
        <v>-8.8629949999999999E-2</v>
      </c>
      <c r="R3998">
        <v>-0.5224432</v>
      </c>
      <c r="S3998">
        <v>-3.1077270000000001</v>
      </c>
      <c r="T3998">
        <v>-0.20813889999999999</v>
      </c>
      <c r="U3998">
        <v>-0.68490600000000001</v>
      </c>
      <c r="V3998">
        <v>0.4265314</v>
      </c>
      <c r="W3998">
        <v>-8.2720799999999997E-2</v>
      </c>
      <c r="X3998">
        <v>0.90068210000000004</v>
      </c>
      <c r="Y3998">
        <v>0.70058209999999999</v>
      </c>
      <c r="Z3998">
        <v>6.0056440000000003E-2</v>
      </c>
      <c r="AA3998">
        <v>0.71104009999999995</v>
      </c>
      <c r="AB3998">
        <v>20</v>
      </c>
      <c r="AC3998">
        <v>-16.509699999999999</v>
      </c>
      <c r="AD3998">
        <v>-1.113733966986</v>
      </c>
      <c r="AE3998">
        <v>-3.5032999999999901</v>
      </c>
      <c r="AF3998">
        <v>11.9028905571907</v>
      </c>
      <c r="AG3998">
        <v>-1.113733966986</v>
      </c>
      <c r="AH3998">
        <v>11.861694895331</v>
      </c>
      <c r="AI3998">
        <v>93.791870520751004</v>
      </c>
      <c r="AJ3998">
        <v>44.900678461264697</v>
      </c>
      <c r="AK3998">
        <v>16.840992035969801</v>
      </c>
      <c r="AL3998">
        <v>94.744974650607006</v>
      </c>
      <c r="AM3998">
        <v>64.659409043174605</v>
      </c>
      <c r="AN3998">
        <v>1.0000000055995</v>
      </c>
    </row>
    <row r="3999" spans="1:40" x14ac:dyDescent="0.25">
      <c r="A3999" t="str">
        <f>"20190303154552571"</f>
        <v>20190303154552571</v>
      </c>
      <c r="B3999" t="str">
        <f>"1551599152564711"</f>
        <v>1551599152564711</v>
      </c>
      <c r="C3999" t="s">
        <v>40</v>
      </c>
      <c r="D3999">
        <v>4.7173059999999998</v>
      </c>
      <c r="E3999">
        <v>0.63457669999999999</v>
      </c>
      <c r="F3999" t="s">
        <v>41</v>
      </c>
      <c r="G3999">
        <v>-211.60239999999999</v>
      </c>
      <c r="H3999" s="1">
        <v>-5.3624599999999996E-6</v>
      </c>
      <c r="I3999">
        <v>146.75640000000001</v>
      </c>
      <c r="J3999">
        <v>-196.149</v>
      </c>
      <c r="K3999">
        <v>1.1137300000000001</v>
      </c>
      <c r="L3999">
        <v>149.84379999999999</v>
      </c>
      <c r="M3999">
        <v>-0.55549799999999905</v>
      </c>
      <c r="N3999">
        <v>-1.5084409999999999E-2</v>
      </c>
      <c r="O3999">
        <v>-0.83138109999999998</v>
      </c>
      <c r="P3999">
        <v>-0.85470579999999996</v>
      </c>
      <c r="Q3999">
        <v>-9.2937809999999996E-2</v>
      </c>
      <c r="R3999">
        <v>-0.51072589999999995</v>
      </c>
      <c r="S3999">
        <v>-3.1125790000000002</v>
      </c>
      <c r="T3999">
        <v>-0.2223666</v>
      </c>
      <c r="U3999">
        <v>-0.65205380000000002</v>
      </c>
      <c r="V3999">
        <v>0.42543930000000002</v>
      </c>
      <c r="W3999">
        <v>-8.6985060000000003E-2</v>
      </c>
      <c r="X3999">
        <v>0.90079690000000001</v>
      </c>
      <c r="Y3999">
        <v>0.69734439999999998</v>
      </c>
      <c r="Z3999">
        <v>6.4692299999999994E-2</v>
      </c>
      <c r="AA3999">
        <v>0.71381070000000002</v>
      </c>
      <c r="AB3999">
        <v>20</v>
      </c>
      <c r="AC3999">
        <v>-15.453399999999901</v>
      </c>
      <c r="AD3999">
        <v>-1.1137353624599999</v>
      </c>
      <c r="AE3999">
        <v>-3.0873999999999699</v>
      </c>
      <c r="AF3999">
        <v>11.078551237527099</v>
      </c>
      <c r="AG3999">
        <v>-1.1137353624599999</v>
      </c>
      <c r="AH3999">
        <v>11.096979931986199</v>
      </c>
      <c r="AI3999">
        <v>94.062718553337405</v>
      </c>
      <c r="AJ3999">
        <v>45.047614921297402</v>
      </c>
      <c r="AK3999">
        <v>15.719976704531501</v>
      </c>
      <c r="AL3999">
        <v>94.990183182407307</v>
      </c>
      <c r="AM3999">
        <v>64.719002061180404</v>
      </c>
      <c r="AN3999">
        <v>1.00000002684865</v>
      </c>
    </row>
    <row r="4000" spans="1:40" x14ac:dyDescent="0.25">
      <c r="A4000" t="str">
        <f>"20190303154552599"</f>
        <v>20190303154552599</v>
      </c>
      <c r="B4000" t="str">
        <f>"1551599152594967"</f>
        <v>1551599152594967</v>
      </c>
      <c r="C4000" t="s">
        <v>40</v>
      </c>
      <c r="D4000">
        <v>5.0427660000000003</v>
      </c>
      <c r="E4000">
        <v>0.63385190000000002</v>
      </c>
      <c r="F4000" t="s">
        <v>41</v>
      </c>
      <c r="G4000">
        <v>-211.0061</v>
      </c>
      <c r="H4000" s="1">
        <v>-5.6206820000000002E-6</v>
      </c>
      <c r="I4000">
        <v>146.9211</v>
      </c>
      <c r="J4000">
        <v>-196.3098</v>
      </c>
      <c r="K4000">
        <v>1.113747</v>
      </c>
      <c r="L4000">
        <v>149.63939999999999</v>
      </c>
      <c r="M4000">
        <v>-0.56939799999999996</v>
      </c>
      <c r="N4000">
        <v>-1.5093179999999999E-2</v>
      </c>
      <c r="O4000">
        <v>-0.82192350000000003</v>
      </c>
      <c r="P4000">
        <v>-0.86213830000000002</v>
      </c>
      <c r="Q4000">
        <v>-9.244964E-2</v>
      </c>
      <c r="R4000">
        <v>-0.49816739999999998</v>
      </c>
      <c r="S4000">
        <v>-3.1180270000000001</v>
      </c>
      <c r="T4000">
        <v>-0.2337381</v>
      </c>
      <c r="U4000">
        <v>-0.61337280000000005</v>
      </c>
      <c r="V4000">
        <v>0.42352780000000001</v>
      </c>
      <c r="W4000">
        <v>-8.6429779999999998E-2</v>
      </c>
      <c r="X4000">
        <v>0.90175059999999996</v>
      </c>
      <c r="Y4000">
        <v>0.69378329999999999</v>
      </c>
      <c r="Z4000">
        <v>6.8314020000000003E-2</v>
      </c>
      <c r="AA4000">
        <v>0.71693649999999998</v>
      </c>
      <c r="AB4000">
        <v>20</v>
      </c>
      <c r="AC4000">
        <v>-14.696300000000001</v>
      </c>
      <c r="AD4000">
        <v>-1.1137526206820001</v>
      </c>
      <c r="AE4000">
        <v>-2.7183000000000002</v>
      </c>
      <c r="AF4000">
        <v>10.474470863117</v>
      </c>
      <c r="AG4000">
        <v>-1.1137526206820001</v>
      </c>
      <c r="AH4000">
        <v>10.5449263951202</v>
      </c>
      <c r="AI4000">
        <v>94.285413809693907</v>
      </c>
      <c r="AJ4000">
        <v>45.1920506786768</v>
      </c>
      <c r="AK4000">
        <v>14.904712591689499</v>
      </c>
      <c r="AL4000">
        <v>94.958247719701603</v>
      </c>
      <c r="AM4000">
        <v>64.841828936747703</v>
      </c>
      <c r="AN4000">
        <v>1.00000002442202</v>
      </c>
    </row>
    <row r="4001" spans="1:40" x14ac:dyDescent="0.25">
      <c r="A4001" t="str">
        <f>"20190303154552617"</f>
        <v>20190303154552617</v>
      </c>
      <c r="B4001" t="str">
        <f>"1551599152614487"</f>
        <v>1551599152614487</v>
      </c>
      <c r="C4001" t="s">
        <v>40</v>
      </c>
      <c r="D4001">
        <v>5.0050379999999999</v>
      </c>
      <c r="E4001">
        <v>0.63332029999999995</v>
      </c>
      <c r="F4001" t="s">
        <v>41</v>
      </c>
      <c r="G4001">
        <v>-211.09540000000001</v>
      </c>
      <c r="H4001" s="1">
        <v>-5.587948E-6</v>
      </c>
      <c r="I4001">
        <v>146.93</v>
      </c>
      <c r="J4001">
        <v>-196.41309999999999</v>
      </c>
      <c r="K4001">
        <v>1.113766</v>
      </c>
      <c r="L4001">
        <v>149.5121</v>
      </c>
      <c r="M4001">
        <v>-0.57812419999999998</v>
      </c>
      <c r="N4001">
        <v>-1.509917E-2</v>
      </c>
      <c r="O4001">
        <v>-0.81580909999999995</v>
      </c>
      <c r="P4001">
        <v>-0.86631729999999996</v>
      </c>
      <c r="Q4001">
        <v>-8.8391910000000004E-2</v>
      </c>
      <c r="R4001">
        <v>-0.49161100000000002</v>
      </c>
      <c r="S4001">
        <v>-3.1237180000000002</v>
      </c>
      <c r="T4001">
        <v>-0.23529849999999999</v>
      </c>
      <c r="U4001">
        <v>-0.57241819999999999</v>
      </c>
      <c r="V4001">
        <v>0.4211819</v>
      </c>
      <c r="W4001">
        <v>-8.2302840000000002E-2</v>
      </c>
      <c r="X4001">
        <v>0.90323419999999999</v>
      </c>
      <c r="Y4001">
        <v>0.69539609999999996</v>
      </c>
      <c r="Z4001">
        <v>6.8897689999999998E-2</v>
      </c>
      <c r="AA4001">
        <v>0.71531619999999996</v>
      </c>
      <c r="AB4001">
        <v>20</v>
      </c>
      <c r="AC4001">
        <v>-14.6823</v>
      </c>
      <c r="AD4001">
        <v>-1.1137715879479999</v>
      </c>
      <c r="AE4001">
        <v>-2.5820999999999898</v>
      </c>
      <c r="AF4001">
        <v>10.4281664437451</v>
      </c>
      <c r="AG4001">
        <v>-1.1137715879479999</v>
      </c>
      <c r="AH4001">
        <v>10.537085128741801</v>
      </c>
      <c r="AI4001">
        <v>94.296479275745099</v>
      </c>
      <c r="AJ4001">
        <v>45.2976603831872</v>
      </c>
      <c r="AK4001">
        <v>14.8666507841855</v>
      </c>
      <c r="AL4001">
        <v>94.720945465275094</v>
      </c>
      <c r="AM4001">
        <v>65.000162803661894</v>
      </c>
      <c r="AN4001">
        <v>0.99999998520465705</v>
      </c>
    </row>
    <row r="4002" spans="1:40" x14ac:dyDescent="0.25">
      <c r="A4002" t="str">
        <f>"20190303154552635"</f>
        <v>20190303154552635</v>
      </c>
      <c r="B4002" t="str">
        <f>"1551599152625241"</f>
        <v>1551599152625241</v>
      </c>
      <c r="C4002" t="s">
        <v>40</v>
      </c>
      <c r="D4002">
        <v>4.978434</v>
      </c>
      <c r="E4002">
        <v>0.63304910000000003</v>
      </c>
      <c r="F4002" t="s">
        <v>41</v>
      </c>
      <c r="G4002">
        <v>-211.9196</v>
      </c>
      <c r="H4002" s="1">
        <v>-5.2437770000000001E-6</v>
      </c>
      <c r="I4002">
        <v>146.774</v>
      </c>
      <c r="J4002">
        <v>-196.52440000000001</v>
      </c>
      <c r="K4002">
        <v>1.1137760000000001</v>
      </c>
      <c r="L4002">
        <v>149.37790000000001</v>
      </c>
      <c r="M4002">
        <v>-0.58735850000000001</v>
      </c>
      <c r="N4002">
        <v>-1.510616E-2</v>
      </c>
      <c r="O4002">
        <v>-0.80918610000000002</v>
      </c>
      <c r="P4002">
        <v>-0.87088699999999997</v>
      </c>
      <c r="Q4002">
        <v>-8.3305489999999996E-2</v>
      </c>
      <c r="R4002">
        <v>-0.48437219999999997</v>
      </c>
      <c r="S4002">
        <v>-3.126709</v>
      </c>
      <c r="T4002">
        <v>-0.22457969999999999</v>
      </c>
      <c r="U4002">
        <v>-0.55210879999999996</v>
      </c>
      <c r="V4002">
        <v>0.41894429999999999</v>
      </c>
      <c r="W4002">
        <v>-7.7153529999999998E-2</v>
      </c>
      <c r="X4002">
        <v>0.90472819999999998</v>
      </c>
      <c r="Y4002">
        <v>0.69214900000000001</v>
      </c>
      <c r="Z4002">
        <v>6.5200720000000004E-2</v>
      </c>
      <c r="AA4002">
        <v>0.71880359999999999</v>
      </c>
      <c r="AB4002">
        <v>20</v>
      </c>
      <c r="AC4002">
        <v>-15.3951999999999</v>
      </c>
      <c r="AD4002">
        <v>-1.1137812437770001</v>
      </c>
      <c r="AE4002">
        <v>-2.6038999999999999</v>
      </c>
      <c r="AF4002">
        <v>10.8740728314535</v>
      </c>
      <c r="AG4002">
        <v>-1.1137812437770001</v>
      </c>
      <c r="AH4002">
        <v>11.094359371413301</v>
      </c>
      <c r="AI4002">
        <v>94.100852527422504</v>
      </c>
      <c r="AJ4002">
        <v>45.574509182363798</v>
      </c>
      <c r="AK4002">
        <v>15.574683896144199</v>
      </c>
      <c r="AL4002">
        <v>94.424968889031803</v>
      </c>
      <c r="AM4002">
        <v>65.152987747730805</v>
      </c>
      <c r="AN4002">
        <v>1.00000005478459</v>
      </c>
    </row>
    <row r="4003" spans="1:40" x14ac:dyDescent="0.25">
      <c r="A4003" t="str">
        <f>"20190303154552659"</f>
        <v>20190303154552659</v>
      </c>
      <c r="B4003" t="str">
        <f>"1551599152654503"</f>
        <v>1551599152654503</v>
      </c>
      <c r="C4003" t="s">
        <v>40</v>
      </c>
      <c r="D4003">
        <v>4.9489419999999997</v>
      </c>
      <c r="E4003">
        <v>0.63221119999999897</v>
      </c>
      <c r="F4003" t="s">
        <v>41</v>
      </c>
      <c r="G4003">
        <v>-213.19800000000001</v>
      </c>
      <c r="H4003" s="1">
        <v>-4.7162809999999997E-6</v>
      </c>
      <c r="I4003">
        <v>146.56780000000001</v>
      </c>
      <c r="J4003">
        <v>-196.65899999999999</v>
      </c>
      <c r="K4003">
        <v>1.113756</v>
      </c>
      <c r="L4003">
        <v>149.21979999999999</v>
      </c>
      <c r="M4003">
        <v>-0.59830319999999904</v>
      </c>
      <c r="N4003">
        <v>-1.511497E-2</v>
      </c>
      <c r="O4003">
        <v>-0.80112740000000005</v>
      </c>
      <c r="P4003">
        <v>-0.87694689999999997</v>
      </c>
      <c r="Q4003">
        <v>-8.2220020000000005E-2</v>
      </c>
      <c r="R4003">
        <v>-0.47350199999999998</v>
      </c>
      <c r="S4003">
        <v>-3.1312410000000002</v>
      </c>
      <c r="T4003">
        <v>-0.2091644</v>
      </c>
      <c r="U4003">
        <v>-0.52774049999999995</v>
      </c>
      <c r="V4003">
        <v>0.4180005</v>
      </c>
      <c r="W4003">
        <v>-7.6047660000000003E-2</v>
      </c>
      <c r="X4003">
        <v>0.90525820000000001</v>
      </c>
      <c r="Y4003">
        <v>0.68834469999999903</v>
      </c>
      <c r="Z4003">
        <v>5.9931199999999997E-2</v>
      </c>
      <c r="AA4003">
        <v>0.72290369999999904</v>
      </c>
      <c r="AB4003">
        <v>20</v>
      </c>
      <c r="AC4003">
        <v>-16.538999999999898</v>
      </c>
      <c r="AD4003">
        <v>-1.1137607162809999</v>
      </c>
      <c r="AE4003">
        <v>-2.6519999999999802</v>
      </c>
      <c r="AF4003">
        <v>11.613132830025</v>
      </c>
      <c r="AG4003">
        <v>-1.1137607162809999</v>
      </c>
      <c r="AH4003">
        <v>11.968383414209001</v>
      </c>
      <c r="AI4003">
        <v>93.820885849268805</v>
      </c>
      <c r="AJ4003">
        <v>45.863083584159199</v>
      </c>
      <c r="AK4003">
        <v>16.7136925486396</v>
      </c>
      <c r="AL4003">
        <v>94.361420570652498</v>
      </c>
      <c r="AM4003">
        <v>65.214997469046594</v>
      </c>
      <c r="AN4003">
        <v>1.0000000366294799</v>
      </c>
    </row>
    <row r="4004" spans="1:40" x14ac:dyDescent="0.25">
      <c r="A4004" t="str">
        <f>"20190303154552682"</f>
        <v>20190303154552682</v>
      </c>
      <c r="B4004" t="str">
        <f>"1551599152674998"</f>
        <v>1551599152674998</v>
      </c>
      <c r="C4004" t="s">
        <v>40</v>
      </c>
      <c r="D4004">
        <v>4.7403750000000002</v>
      </c>
      <c r="E4004">
        <v>0.63184289999999999</v>
      </c>
      <c r="F4004" t="s">
        <v>41</v>
      </c>
      <c r="G4004">
        <v>-213.4178</v>
      </c>
      <c r="H4004" s="1">
        <v>-4.6334219999999997E-6</v>
      </c>
      <c r="I4004">
        <v>146.57650000000001</v>
      </c>
      <c r="J4004">
        <v>-196.8013</v>
      </c>
      <c r="K4004">
        <v>1.113734</v>
      </c>
      <c r="L4004">
        <v>149.0573</v>
      </c>
      <c r="M4004">
        <v>-0.60962190000000005</v>
      </c>
      <c r="N4004">
        <v>-1.512376E-2</v>
      </c>
      <c r="O4004">
        <v>-0.79254820000000004</v>
      </c>
      <c r="P4004">
        <v>-0.88306119999999899</v>
      </c>
      <c r="Q4004">
        <v>-8.4936029999999996E-2</v>
      </c>
      <c r="R4004">
        <v>-0.46150740000000001</v>
      </c>
      <c r="S4004">
        <v>-3.1344759999999998</v>
      </c>
      <c r="T4004">
        <v>-0.2083113</v>
      </c>
      <c r="U4004">
        <v>-0.49438480000000001</v>
      </c>
      <c r="V4004">
        <v>0.41722510000000002</v>
      </c>
      <c r="W4004">
        <v>-7.8751570000000007E-2</v>
      </c>
      <c r="X4004">
        <v>0.90538470000000004</v>
      </c>
      <c r="Y4004">
        <v>0.68569519999999995</v>
      </c>
      <c r="Z4004">
        <v>5.9523239999999998E-2</v>
      </c>
      <c r="AA4004">
        <v>0.72545090000000001</v>
      </c>
      <c r="AB4004">
        <v>20</v>
      </c>
      <c r="AC4004">
        <v>-16.616499999999998</v>
      </c>
      <c r="AD4004">
        <v>-1.1137386334219901</v>
      </c>
      <c r="AE4004">
        <v>-2.4807999999999799</v>
      </c>
      <c r="AF4004">
        <v>11.6073501684132</v>
      </c>
      <c r="AG4004">
        <v>-1.1137386334219901</v>
      </c>
      <c r="AH4004">
        <v>12.044388457716</v>
      </c>
      <c r="AI4004">
        <v>93.809282356183502</v>
      </c>
      <c r="AJ4004">
        <v>46.058594487085898</v>
      </c>
      <c r="AK4004">
        <v>16.764196521041502</v>
      </c>
      <c r="AL4004">
        <v>94.5168094428263</v>
      </c>
      <c r="AM4004">
        <v>65.258505868892698</v>
      </c>
      <c r="AN4004">
        <v>1.0000000244207801</v>
      </c>
    </row>
    <row r="4005" spans="1:40" x14ac:dyDescent="0.25">
      <c r="A4005" t="str">
        <f>"20190303154552703"</f>
        <v>20190303154552703</v>
      </c>
      <c r="B4005" t="str">
        <f>"1551599152694519"</f>
        <v>1551599152694519</v>
      </c>
      <c r="C4005" t="s">
        <v>40</v>
      </c>
      <c r="D4005">
        <v>4.9276269999999904</v>
      </c>
      <c r="E4005">
        <v>0.63156829999999997</v>
      </c>
      <c r="F4005" t="s">
        <v>41</v>
      </c>
      <c r="G4005">
        <v>-213.01730000000001</v>
      </c>
      <c r="H4005" s="1">
        <v>-4.8107679999999997E-6</v>
      </c>
      <c r="I4005">
        <v>146.70930000000001</v>
      </c>
      <c r="J4005">
        <v>-196.93049999999999</v>
      </c>
      <c r="K4005">
        <v>1.1137280000000001</v>
      </c>
      <c r="L4005">
        <v>148.91399999999999</v>
      </c>
      <c r="M4005">
        <v>-0.61967159999999999</v>
      </c>
      <c r="N4005">
        <v>-1.51301E-2</v>
      </c>
      <c r="O4005">
        <v>-0.78471559999999996</v>
      </c>
      <c r="P4005">
        <v>-0.88805769999999995</v>
      </c>
      <c r="Q4005">
        <v>-8.7513880000000002E-2</v>
      </c>
      <c r="R4005">
        <v>-0.45132640000000002</v>
      </c>
      <c r="S4005">
        <v>-3.138992</v>
      </c>
      <c r="T4005">
        <v>-0.21558959999999999</v>
      </c>
      <c r="U4005">
        <v>-0.45451350000000001</v>
      </c>
      <c r="V4005">
        <v>0.4158539</v>
      </c>
      <c r="W4005">
        <v>-8.129567E-2</v>
      </c>
      <c r="X4005">
        <v>0.9057906</v>
      </c>
      <c r="Y4005">
        <v>0.68543149999999997</v>
      </c>
      <c r="Z4005">
        <v>6.182692E-2</v>
      </c>
      <c r="AA4005">
        <v>0.72550740000000002</v>
      </c>
      <c r="AB4005">
        <v>20</v>
      </c>
      <c r="AC4005">
        <v>-16.0868</v>
      </c>
      <c r="AD4005">
        <v>-1.113732810768</v>
      </c>
      <c r="AE4005">
        <v>-2.2046999999999701</v>
      </c>
      <c r="AF4005">
        <v>11.205937821875199</v>
      </c>
      <c r="AG4005">
        <v>-1.113732810768</v>
      </c>
      <c r="AH4005">
        <v>11.645144509264799</v>
      </c>
      <c r="AI4005">
        <v>93.9422627136899</v>
      </c>
      <c r="AJ4005">
        <v>46.101111581301303</v>
      </c>
      <c r="AK4005">
        <v>16.199470172915401</v>
      </c>
      <c r="AL4005">
        <v>94.6630446198469</v>
      </c>
      <c r="AM4005">
        <v>65.339860758473506</v>
      </c>
      <c r="AN4005">
        <v>1.00000003157715</v>
      </c>
    </row>
    <row r="4006" spans="1:40" x14ac:dyDescent="0.25">
      <c r="A4006" t="str">
        <f>"20190303154552725"</f>
        <v>20190303154552725</v>
      </c>
      <c r="B4006" t="str">
        <f>"1551599152715015"</f>
        <v>1551599152715015</v>
      </c>
      <c r="C4006" t="s">
        <v>40</v>
      </c>
      <c r="D4006">
        <v>4.9824479999999998</v>
      </c>
      <c r="E4006">
        <v>0.59862099999999996</v>
      </c>
      <c r="F4006" t="s">
        <v>41</v>
      </c>
      <c r="G4006">
        <v>-212.55330000000001</v>
      </c>
      <c r="H4006" s="1">
        <v>-5.0093389999999996E-6</v>
      </c>
      <c r="I4006">
        <v>146.82429999999999</v>
      </c>
      <c r="J4006">
        <v>-197.06890000000001</v>
      </c>
      <c r="K4006">
        <v>1.113734</v>
      </c>
      <c r="L4006">
        <v>148.7646</v>
      </c>
      <c r="M4006">
        <v>-0.63019510000000001</v>
      </c>
      <c r="N4006">
        <v>-1.5134730000000001E-2</v>
      </c>
      <c r="O4006">
        <v>-0.77628929999999996</v>
      </c>
      <c r="P4006">
        <v>-0.89329249999999905</v>
      </c>
      <c r="Q4006">
        <v>-8.7903449999999994E-2</v>
      </c>
      <c r="R4006">
        <v>-0.44079689999999999</v>
      </c>
      <c r="S4006">
        <v>-3.142471</v>
      </c>
      <c r="T4006">
        <v>-0.224023</v>
      </c>
      <c r="U4006">
        <v>-0.42033389999999998</v>
      </c>
      <c r="V4006">
        <v>0.41431600000000002</v>
      </c>
      <c r="W4006">
        <v>-8.1634120000000004E-2</v>
      </c>
      <c r="X4006">
        <v>0.90646459999999995</v>
      </c>
      <c r="Y4006">
        <v>0.68328149999999999</v>
      </c>
      <c r="Z4006">
        <v>6.4384520000000001E-2</v>
      </c>
      <c r="AA4006">
        <v>0.72731080000000004</v>
      </c>
      <c r="AB4006">
        <v>20</v>
      </c>
      <c r="AC4006">
        <v>-15.4843999999999</v>
      </c>
      <c r="AD4006">
        <v>-1.1137390093390001</v>
      </c>
      <c r="AE4006">
        <v>-1.9402999999999999</v>
      </c>
      <c r="AF4006">
        <v>10.7441187284518</v>
      </c>
      <c r="AG4006">
        <v>-1.1137390093390001</v>
      </c>
      <c r="AH4006">
        <v>11.2086269048489</v>
      </c>
      <c r="AI4006">
        <v>94.1029080998442</v>
      </c>
      <c r="AJ4006">
        <v>46.212166697414702</v>
      </c>
      <c r="AK4006">
        <v>15.566303958361299</v>
      </c>
      <c r="AL4006">
        <v>94.6825013140745</v>
      </c>
      <c r="AM4006">
        <v>65.436374400636694</v>
      </c>
      <c r="AN4006">
        <v>0.99999997422866604</v>
      </c>
    </row>
    <row r="4007" spans="1:40" x14ac:dyDescent="0.25">
      <c r="A4007" t="str">
        <f>"20190303154552748"</f>
        <v>20190303154552748</v>
      </c>
      <c r="B4007" t="str">
        <f>"1551599152745271"</f>
        <v>1551599152745271</v>
      </c>
      <c r="C4007" t="s">
        <v>40</v>
      </c>
      <c r="D4007">
        <v>4.8251730000000004</v>
      </c>
      <c r="E4007">
        <v>0.59530509999999903</v>
      </c>
      <c r="F4007" t="s">
        <v>41</v>
      </c>
      <c r="G4007">
        <v>-212.05019999999999</v>
      </c>
      <c r="H4007" s="1">
        <v>-5.0042299999999999E-6</v>
      </c>
      <c r="I4007">
        <v>145.7062</v>
      </c>
      <c r="J4007">
        <v>-197.20699999999999</v>
      </c>
      <c r="K4007">
        <v>1.1137619999999999</v>
      </c>
      <c r="L4007">
        <v>148.61940000000001</v>
      </c>
      <c r="M4007">
        <v>-0.64045719999999995</v>
      </c>
      <c r="N4007">
        <v>-1.513714E-2</v>
      </c>
      <c r="O4007">
        <v>-0.76784469999999905</v>
      </c>
      <c r="P4007">
        <v>-0.89846550000000003</v>
      </c>
      <c r="Q4007">
        <v>-8.6285349999999997E-2</v>
      </c>
      <c r="R4007">
        <v>-0.43048189999999997</v>
      </c>
      <c r="S4007">
        <v>-3.0308839999999999</v>
      </c>
      <c r="T4007">
        <v>-0.2253222</v>
      </c>
      <c r="U4007">
        <v>-0.61874390000000001</v>
      </c>
      <c r="V4007">
        <v>0.41286050000000002</v>
      </c>
      <c r="W4007">
        <v>-7.9955289999999998E-2</v>
      </c>
      <c r="X4007">
        <v>0.90727800000000003</v>
      </c>
      <c r="Y4007">
        <v>0.62163290000000004</v>
      </c>
      <c r="Z4007">
        <v>6.3861050000000003E-2</v>
      </c>
      <c r="AA4007">
        <v>0.78070109999999904</v>
      </c>
      <c r="AB4007">
        <v>20</v>
      </c>
      <c r="AC4007">
        <v>-14.8431999999999</v>
      </c>
      <c r="AD4007">
        <v>-1.1137670042299901</v>
      </c>
      <c r="AE4007">
        <v>-2.91320000000001</v>
      </c>
      <c r="AF4007">
        <v>9.4811823668320994</v>
      </c>
      <c r="AG4007">
        <v>-1.1137670042299901</v>
      </c>
      <c r="AH4007">
        <v>11.6813346143194</v>
      </c>
      <c r="AI4007">
        <v>94.233881417986694</v>
      </c>
      <c r="AJ4007">
        <v>50.935408545764403</v>
      </c>
      <c r="AK4007">
        <v>15.0859827119261</v>
      </c>
      <c r="AL4007">
        <v>94.585995785819904</v>
      </c>
      <c r="AM4007">
        <v>65.531900748674801</v>
      </c>
      <c r="AN4007">
        <v>1.00000000507161</v>
      </c>
    </row>
    <row r="4008" spans="1:40" x14ac:dyDescent="0.25">
      <c r="A4008" t="str">
        <f>"20190303154552772"</f>
        <v>20190303154552772</v>
      </c>
      <c r="B4008" t="str">
        <f>"1551599152764790"</f>
        <v>1551599152764790</v>
      </c>
      <c r="C4008" t="s">
        <v>40</v>
      </c>
      <c r="D4008">
        <v>4.8091939999999997</v>
      </c>
      <c r="E4008">
        <v>0.59225930000000004</v>
      </c>
      <c r="F4008" t="s">
        <v>41</v>
      </c>
      <c r="G4008">
        <v>-212.6114</v>
      </c>
      <c r="H4008" s="1">
        <v>-4.7568799999999996E-6</v>
      </c>
      <c r="I4008">
        <v>145.5266</v>
      </c>
      <c r="J4008">
        <v>-197.36490000000001</v>
      </c>
      <c r="K4008">
        <v>1.113801</v>
      </c>
      <c r="L4008">
        <v>148.45820000000001</v>
      </c>
      <c r="M4008">
        <v>-0.65188819999999903</v>
      </c>
      <c r="N4008">
        <v>-1.513756E-2</v>
      </c>
      <c r="O4008">
        <v>-0.75816419999999995</v>
      </c>
      <c r="P4008">
        <v>-0.90433490000000005</v>
      </c>
      <c r="Q4008">
        <v>-8.4943669999999999E-2</v>
      </c>
      <c r="R4008">
        <v>-0.41828589999999999</v>
      </c>
      <c r="S4008">
        <v>-3.0268250000000001</v>
      </c>
      <c r="T4008">
        <v>-0.21884629999999999</v>
      </c>
      <c r="U4008">
        <v>-0.60771180000000002</v>
      </c>
      <c r="V4008">
        <v>0.4116727</v>
      </c>
      <c r="W4008">
        <v>-7.8549910000000001E-2</v>
      </c>
      <c r="X4008">
        <v>0.90794030000000003</v>
      </c>
      <c r="Y4008">
        <v>0.61258179999999995</v>
      </c>
      <c r="Z4008">
        <v>6.1376760000000002E-2</v>
      </c>
      <c r="AA4008">
        <v>0.78802059999999996</v>
      </c>
      <c r="AB4008">
        <v>20</v>
      </c>
      <c r="AC4008">
        <v>-15.2464999999999</v>
      </c>
      <c r="AD4008">
        <v>-1.1138057568799999</v>
      </c>
      <c r="AE4008">
        <v>-2.9316</v>
      </c>
      <c r="AF4008">
        <v>9.5999728498352503</v>
      </c>
      <c r="AG4008">
        <v>-1.1138057568799999</v>
      </c>
      <c r="AH4008">
        <v>12.1007627295507</v>
      </c>
      <c r="AI4008">
        <v>94.124362409527706</v>
      </c>
      <c r="AJ4008">
        <v>51.5737600082455</v>
      </c>
      <c r="AK4008">
        <v>15.486397276917501</v>
      </c>
      <c r="AL4008">
        <v>94.505219182681302</v>
      </c>
      <c r="AM4008">
        <v>65.609802567461898</v>
      </c>
      <c r="AN4008">
        <v>1.00000004432519</v>
      </c>
    </row>
    <row r="4009" spans="1:40" x14ac:dyDescent="0.25">
      <c r="A4009" t="str">
        <f>"20190303154552795"</f>
        <v>20190303154552795</v>
      </c>
      <c r="B4009" t="str">
        <f>"1551599152785287"</f>
        <v>1551599152785287</v>
      </c>
      <c r="C4009" t="s">
        <v>40</v>
      </c>
      <c r="D4009">
        <v>4.768745</v>
      </c>
      <c r="E4009">
        <v>0.58984840000000005</v>
      </c>
      <c r="F4009" t="s">
        <v>41</v>
      </c>
      <c r="G4009">
        <v>-215.22389999999999</v>
      </c>
      <c r="H4009" s="1">
        <v>-3.6564100000000001E-6</v>
      </c>
      <c r="I4009">
        <v>144.9786</v>
      </c>
      <c r="J4009">
        <v>-197.5129</v>
      </c>
      <c r="K4009">
        <v>1.113828</v>
      </c>
      <c r="L4009">
        <v>148.31120000000001</v>
      </c>
      <c r="M4009">
        <v>-0.66233180000000003</v>
      </c>
      <c r="N4009">
        <v>-1.513601E-2</v>
      </c>
      <c r="O4009">
        <v>-0.74905790000000005</v>
      </c>
      <c r="P4009">
        <v>-0.90940790000000005</v>
      </c>
      <c r="Q4009">
        <v>-8.5274760000000005E-2</v>
      </c>
      <c r="R4009">
        <v>-0.40706989999999998</v>
      </c>
      <c r="S4009">
        <v>-3.0268250000000001</v>
      </c>
      <c r="T4009">
        <v>-0.1887722</v>
      </c>
      <c r="U4009">
        <v>-0.58973690000000001</v>
      </c>
      <c r="V4009">
        <v>0.41029890000000002</v>
      </c>
      <c r="W4009">
        <v>-7.8814990000000001E-2</v>
      </c>
      <c r="X4009">
        <v>0.90853890000000004</v>
      </c>
      <c r="Y4009">
        <v>0.60681750000000001</v>
      </c>
      <c r="Z4009">
        <v>5.1566269999999997E-2</v>
      </c>
      <c r="AA4009">
        <v>0.793166699999999</v>
      </c>
      <c r="AB4009">
        <v>20</v>
      </c>
      <c r="AC4009">
        <v>-17.710999999999899</v>
      </c>
      <c r="AD4009">
        <v>-1.1138316564099999</v>
      </c>
      <c r="AE4009">
        <v>-3.33260000000001</v>
      </c>
      <c r="AF4009">
        <v>11.018454738795899</v>
      </c>
      <c r="AG4009">
        <v>-1.1138316564099999</v>
      </c>
      <c r="AH4009">
        <v>14.1743536632216</v>
      </c>
      <c r="AI4009">
        <v>93.550121313470001</v>
      </c>
      <c r="AJ4009">
        <v>52.140238336179202</v>
      </c>
      <c r="AK4009">
        <v>17.9877532660363</v>
      </c>
      <c r="AL4009">
        <v>94.520454756138804</v>
      </c>
      <c r="AM4009">
        <v>65.695921652855205</v>
      </c>
      <c r="AN4009">
        <v>0.999999961401559</v>
      </c>
    </row>
    <row r="4010" spans="1:40" x14ac:dyDescent="0.25">
      <c r="A4010" t="str">
        <f>"20190303154552817"</f>
        <v>20190303154552817</v>
      </c>
      <c r="B4010" t="str">
        <f>"1551599152805783"</f>
        <v>1551599152805783</v>
      </c>
      <c r="C4010" t="s">
        <v>40</v>
      </c>
      <c r="D4010">
        <v>4.7803940000000003</v>
      </c>
      <c r="E4010">
        <v>0.58775739999999999</v>
      </c>
      <c r="F4010" t="s">
        <v>41</v>
      </c>
      <c r="G4010">
        <v>-216.65880000000001</v>
      </c>
      <c r="H4010" s="1">
        <v>-2.9136470000000002E-6</v>
      </c>
      <c r="I4010">
        <v>144.70429999999999</v>
      </c>
      <c r="J4010">
        <v>-197.65299999999999</v>
      </c>
      <c r="K4010">
        <v>1.1138600000000001</v>
      </c>
      <c r="L4010">
        <v>148.17580000000001</v>
      </c>
      <c r="M4010">
        <v>-0.67196619999999996</v>
      </c>
      <c r="N4010">
        <v>-1.513309E-2</v>
      </c>
      <c r="O4010">
        <v>-0.74042730000000001</v>
      </c>
      <c r="P4010">
        <v>-0.91399459999999999</v>
      </c>
      <c r="Q4010">
        <v>-8.7069540000000001E-2</v>
      </c>
      <c r="R4010">
        <v>-0.39627410000000002</v>
      </c>
      <c r="S4010">
        <v>-3.0270839999999999</v>
      </c>
      <c r="T4010">
        <v>-0.17610300000000001</v>
      </c>
      <c r="U4010">
        <v>-0.57028199999999996</v>
      </c>
      <c r="V4010">
        <v>0.4091533</v>
      </c>
      <c r="W4010">
        <v>-8.0554020000000004E-2</v>
      </c>
      <c r="X4010">
        <v>0.90890300000000002</v>
      </c>
      <c r="Y4010">
        <v>0.60172239999999999</v>
      </c>
      <c r="Z4010">
        <v>4.7342049999999997E-2</v>
      </c>
      <c r="AA4010">
        <v>0.79730100000000004</v>
      </c>
      <c r="AB4010">
        <v>20</v>
      </c>
      <c r="AC4010">
        <v>-19.005800000000001</v>
      </c>
      <c r="AD4010">
        <v>-1.113862913647</v>
      </c>
      <c r="AE4010">
        <v>-3.4715000000000198</v>
      </c>
      <c r="AF4010">
        <v>11.702130144535101</v>
      </c>
      <c r="AG4010">
        <v>-1.113862913647</v>
      </c>
      <c r="AH4010">
        <v>15.292574397733601</v>
      </c>
      <c r="AI4010">
        <v>93.310543258951697</v>
      </c>
      <c r="AJ4010">
        <v>52.576187368777298</v>
      </c>
      <c r="AK4010">
        <v>19.288425861646999</v>
      </c>
      <c r="AL4010">
        <v>94.620411438907993</v>
      </c>
      <c r="AM4010">
        <v>65.764551621298395</v>
      </c>
      <c r="AN4010">
        <v>1.0000000182240201</v>
      </c>
    </row>
    <row r="4011" spans="1:40" x14ac:dyDescent="0.25">
      <c r="A4011" t="str">
        <f>"20190303154552837"</f>
        <v>20190303154552837</v>
      </c>
      <c r="B4011" t="str">
        <f>"1551599152835063"</f>
        <v>1551599152835063</v>
      </c>
      <c r="C4011" t="s">
        <v>40</v>
      </c>
      <c r="D4011">
        <v>4.8237839999999998</v>
      </c>
      <c r="E4011">
        <v>0.58546909999999996</v>
      </c>
      <c r="F4011" t="s">
        <v>41</v>
      </c>
      <c r="G4011">
        <v>-218.2021</v>
      </c>
      <c r="H4011" s="1">
        <v>-2.113878E-6</v>
      </c>
      <c r="I4011">
        <v>144.44030000000001</v>
      </c>
      <c r="J4011">
        <v>-197.7912</v>
      </c>
      <c r="K4011">
        <v>1.1138809999999999</v>
      </c>
      <c r="L4011">
        <v>148.04560000000001</v>
      </c>
      <c r="M4011">
        <v>-0.68123990000000001</v>
      </c>
      <c r="N4011">
        <v>-1.5128839999999999E-2</v>
      </c>
      <c r="O4011">
        <v>-0.731904</v>
      </c>
      <c r="P4011">
        <v>-0.91850940000000003</v>
      </c>
      <c r="Q4011">
        <v>-8.7779919999999997E-2</v>
      </c>
      <c r="R4011">
        <v>-0.38553300000000001</v>
      </c>
      <c r="S4011">
        <v>-3.028</v>
      </c>
      <c r="T4011">
        <v>-0.164132</v>
      </c>
      <c r="U4011">
        <v>-0.55044559999999998</v>
      </c>
      <c r="V4011">
        <v>0.40830379999999999</v>
      </c>
      <c r="W4011">
        <v>-8.1216150000000001E-2</v>
      </c>
      <c r="X4011">
        <v>0.90922599999999998</v>
      </c>
      <c r="Y4011">
        <v>0.59697959999999906</v>
      </c>
      <c r="Z4011">
        <v>4.3380080000000001E-2</v>
      </c>
      <c r="AA4011">
        <v>0.80108269999999904</v>
      </c>
      <c r="AB4011">
        <v>20</v>
      </c>
      <c r="AC4011">
        <v>-20.410900000000002</v>
      </c>
      <c r="AD4011">
        <v>-1.1138831138780001</v>
      </c>
      <c r="AE4011">
        <v>-3.6053000000000002</v>
      </c>
      <c r="AF4011">
        <v>12.4482213160548</v>
      </c>
      <c r="AG4011">
        <v>-1.1138831138780001</v>
      </c>
      <c r="AH4011">
        <v>16.497698343518401</v>
      </c>
      <c r="AI4011">
        <v>93.085041982139202</v>
      </c>
      <c r="AJ4011">
        <v>52.963879961728999</v>
      </c>
      <c r="AK4011">
        <v>20.6971737239314</v>
      </c>
      <c r="AL4011">
        <v>94.658473548972907</v>
      </c>
      <c r="AM4011">
        <v>65.816703665765601</v>
      </c>
      <c r="AN4011">
        <v>0.99999998759563102</v>
      </c>
    </row>
    <row r="4012" spans="1:40" x14ac:dyDescent="0.25">
      <c r="A4012" t="str">
        <f>"20190303154552860"</f>
        <v>20190303154552860</v>
      </c>
      <c r="B4012" t="str">
        <f>"1551599152855559"</f>
        <v>1551599152855559</v>
      </c>
      <c r="C4012" t="s">
        <v>40</v>
      </c>
      <c r="D4012">
        <v>4.8714380000000004</v>
      </c>
      <c r="E4012">
        <v>0.58429940000000002</v>
      </c>
      <c r="F4012" t="s">
        <v>41</v>
      </c>
      <c r="G4012">
        <v>-219.78639999999999</v>
      </c>
      <c r="H4012" s="1">
        <v>-1.295711E-6</v>
      </c>
      <c r="I4012">
        <v>144.1799</v>
      </c>
      <c r="J4012">
        <v>-197.94309999999999</v>
      </c>
      <c r="K4012">
        <v>1.1139110000000001</v>
      </c>
      <c r="L4012">
        <v>147.90600000000001</v>
      </c>
      <c r="M4012">
        <v>-0.69118590000000002</v>
      </c>
      <c r="N4012">
        <v>-1.512285E-2</v>
      </c>
      <c r="O4012">
        <v>-0.72251899999999902</v>
      </c>
      <c r="P4012">
        <v>-0.92307779999999995</v>
      </c>
      <c r="Q4012">
        <v>-8.8708300000000004E-2</v>
      </c>
      <c r="R4012">
        <v>-0.37424360000000001</v>
      </c>
      <c r="S4012">
        <v>-3.0281220000000002</v>
      </c>
      <c r="T4012">
        <v>-0.15335009999999999</v>
      </c>
      <c r="U4012">
        <v>-0.532196</v>
      </c>
      <c r="V4012">
        <v>0.40694370000000002</v>
      </c>
      <c r="W4012">
        <v>-8.208319E-2</v>
      </c>
      <c r="X4012">
        <v>0.90975779999999995</v>
      </c>
      <c r="Y4012">
        <v>0.59087279999999998</v>
      </c>
      <c r="Z4012">
        <v>3.9781770000000001E-2</v>
      </c>
      <c r="AA4012">
        <v>0.80578329999999998</v>
      </c>
      <c r="AB4012">
        <v>20</v>
      </c>
      <c r="AC4012">
        <v>-21.843299999999999</v>
      </c>
      <c r="AD4012">
        <v>-1.1139122957109999</v>
      </c>
      <c r="AE4012">
        <v>-3.7261000000000002</v>
      </c>
      <c r="AF4012">
        <v>13.1749861680942</v>
      </c>
      <c r="AG4012">
        <v>-1.1139122957109999</v>
      </c>
      <c r="AH4012">
        <v>17.747143132091999</v>
      </c>
      <c r="AI4012">
        <v>92.885065620428804</v>
      </c>
      <c r="AJ4012">
        <v>53.410833055556402</v>
      </c>
      <c r="AK4012">
        <v>22.131022355123399</v>
      </c>
      <c r="AL4012">
        <v>94.708317462336097</v>
      </c>
      <c r="AM4012">
        <v>65.900557865847404</v>
      </c>
      <c r="AN4012">
        <v>1.00000003985555</v>
      </c>
    </row>
    <row r="4013" spans="1:40" x14ac:dyDescent="0.25">
      <c r="A4013" t="str">
        <f>"20190303154552883"</f>
        <v>20190303154552883</v>
      </c>
      <c r="B4013" t="str">
        <f>"1551599152875080"</f>
        <v>1551599152875080</v>
      </c>
      <c r="C4013" t="s">
        <v>40</v>
      </c>
      <c r="D4013">
        <v>4.9420989999999998</v>
      </c>
      <c r="E4013">
        <v>0.58287119999999903</v>
      </c>
      <c r="F4013" t="s">
        <v>41</v>
      </c>
      <c r="G4013">
        <v>-220.60759999999999</v>
      </c>
      <c r="H4013" s="1">
        <v>-4.8715330000000001E-6</v>
      </c>
      <c r="I4013">
        <v>144.13919999999999</v>
      </c>
      <c r="J4013">
        <v>-198.09700000000001</v>
      </c>
      <c r="K4013">
        <v>1.113944</v>
      </c>
      <c r="L4013">
        <v>147.7687</v>
      </c>
      <c r="M4013">
        <v>-0.70098269999999996</v>
      </c>
      <c r="N4013">
        <v>-1.5115409999999999E-2</v>
      </c>
      <c r="O4013">
        <v>-0.71301809999999999</v>
      </c>
      <c r="P4013">
        <v>-0.92765569999999997</v>
      </c>
      <c r="Q4013">
        <v>-8.9783059999999998E-2</v>
      </c>
      <c r="R4013">
        <v>-0.36248269999999999</v>
      </c>
      <c r="S4013">
        <v>-3.0314329999999998</v>
      </c>
      <c r="T4013">
        <v>-0.14898919999999999</v>
      </c>
      <c r="U4013">
        <v>-0.50381469999999995</v>
      </c>
      <c r="V4013">
        <v>0.40600399999999998</v>
      </c>
      <c r="W4013">
        <v>-8.3107710000000001E-2</v>
      </c>
      <c r="X4013">
        <v>0.91008449999999996</v>
      </c>
      <c r="Y4013">
        <v>0.58741739999999998</v>
      </c>
      <c r="Z4013">
        <v>3.8246620000000002E-2</v>
      </c>
      <c r="AA4013">
        <v>0.80837990000000004</v>
      </c>
      <c r="AB4013">
        <v>20</v>
      </c>
      <c r="AC4013">
        <v>-22.510599999999901</v>
      </c>
      <c r="AD4013">
        <v>-1.1139488715329999</v>
      </c>
      <c r="AE4013">
        <v>-3.6295000000000002</v>
      </c>
      <c r="AF4013">
        <v>13.475628291923201</v>
      </c>
      <c r="AG4013">
        <v>-1.1139488715329999</v>
      </c>
      <c r="AH4013">
        <v>18.325799231580501</v>
      </c>
      <c r="AI4013">
        <v>92.803601838025997</v>
      </c>
      <c r="AJ4013">
        <v>53.671599487132703</v>
      </c>
      <c r="AK4013">
        <v>22.774291590007099</v>
      </c>
      <c r="AL4013">
        <v>94.767219735080303</v>
      </c>
      <c r="AM4013">
        <v>65.957546180762193</v>
      </c>
      <c r="AN4013">
        <v>0.99999996830884597</v>
      </c>
    </row>
    <row r="4014" spans="1:40" x14ac:dyDescent="0.25">
      <c r="A4014" t="str">
        <f>"20190303154552905"</f>
        <v>20190303154552905</v>
      </c>
      <c r="B4014" t="str">
        <f>"1551599152895576"</f>
        <v>1551599152895576</v>
      </c>
      <c r="C4014" t="s">
        <v>40</v>
      </c>
      <c r="D4014">
        <v>4.9453129999999996</v>
      </c>
      <c r="E4014">
        <v>0.58164530000000003</v>
      </c>
      <c r="F4014" t="s">
        <v>41</v>
      </c>
      <c r="G4014">
        <v>-221.2978</v>
      </c>
      <c r="H4014" s="1">
        <v>-4.6341869999999999E-6</v>
      </c>
      <c r="I4014">
        <v>144.12520000000001</v>
      </c>
      <c r="J4014">
        <v>-198.244</v>
      </c>
      <c r="K4014">
        <v>1.113974</v>
      </c>
      <c r="L4014">
        <v>147.64099999999999</v>
      </c>
      <c r="M4014">
        <v>-0.71009990000000001</v>
      </c>
      <c r="N4014">
        <v>-1.5107270000000001E-2</v>
      </c>
      <c r="O4014">
        <v>-0.70393899999999998</v>
      </c>
      <c r="P4014">
        <v>-0.9315388</v>
      </c>
      <c r="Q4014">
        <v>-9.0899209999999994E-2</v>
      </c>
      <c r="R4014">
        <v>-0.35209800000000002</v>
      </c>
      <c r="S4014">
        <v>-3.0336759999999998</v>
      </c>
      <c r="T4014">
        <v>-0.14565739999999999</v>
      </c>
      <c r="U4014">
        <v>-0.4764099</v>
      </c>
      <c r="V4014">
        <v>0.40437250000000002</v>
      </c>
      <c r="W4014">
        <v>-8.4157969999999999E-2</v>
      </c>
      <c r="X4014">
        <v>0.91071409999999997</v>
      </c>
      <c r="Y4014">
        <v>0.58427369999999901</v>
      </c>
      <c r="Z4014">
        <v>3.7060460000000003E-2</v>
      </c>
      <c r="AA4014">
        <v>0.81071009999999999</v>
      </c>
      <c r="AB4014">
        <v>20</v>
      </c>
      <c r="AC4014">
        <v>-23.053799999999899</v>
      </c>
      <c r="AD4014">
        <v>-1.1139786341869999</v>
      </c>
      <c r="AE4014">
        <v>-3.5157999999999801</v>
      </c>
      <c r="AF4014">
        <v>13.7021993838492</v>
      </c>
      <c r="AG4014">
        <v>-1.1139786341869999</v>
      </c>
      <c r="AH4014">
        <v>18.804649650214699</v>
      </c>
      <c r="AI4014">
        <v>92.741087193132699</v>
      </c>
      <c r="AJ4014">
        <v>53.920666803170697</v>
      </c>
      <c r="AK4014">
        <v>23.293906173493198</v>
      </c>
      <c r="AL4014">
        <v>94.827606961320598</v>
      </c>
      <c r="AM4014">
        <v>66.057967554181005</v>
      </c>
      <c r="AN4014">
        <v>0.99999992730478704</v>
      </c>
    </row>
    <row r="4015" spans="1:40" x14ac:dyDescent="0.25">
      <c r="A4015" t="str">
        <f>"20190303154552927"</f>
        <v>20190303154552927</v>
      </c>
      <c r="B4015" t="str">
        <f>"1551599152915095"</f>
        <v>1551599152915095</v>
      </c>
      <c r="C4015" t="s">
        <v>40</v>
      </c>
      <c r="D4015">
        <v>4.914053</v>
      </c>
      <c r="E4015">
        <v>0.5803334</v>
      </c>
      <c r="F4015" t="s">
        <v>41</v>
      </c>
      <c r="G4015">
        <v>-221.62020000000001</v>
      </c>
      <c r="H4015" s="1">
        <v>-4.5307709999999997E-6</v>
      </c>
      <c r="I4015">
        <v>144.16079999999999</v>
      </c>
      <c r="J4015">
        <v>-198.40190000000001</v>
      </c>
      <c r="K4015">
        <v>1.1139950000000001</v>
      </c>
      <c r="L4015">
        <v>147.50749999999999</v>
      </c>
      <c r="M4015">
        <v>-0.71964130000000004</v>
      </c>
      <c r="N4015">
        <v>-1.509784E-2</v>
      </c>
      <c r="O4015">
        <v>-0.69418190000000002</v>
      </c>
      <c r="P4015">
        <v>-0.93547919999999996</v>
      </c>
      <c r="Q4015">
        <v>-9.3249970000000001E-2</v>
      </c>
      <c r="R4015">
        <v>-0.34085700000000002</v>
      </c>
      <c r="S4015">
        <v>-3.0355530000000002</v>
      </c>
      <c r="T4015">
        <v>-0.14465710000000001</v>
      </c>
      <c r="U4015">
        <v>-0.45191959999999998</v>
      </c>
      <c r="V4015">
        <v>0.40271639999999997</v>
      </c>
      <c r="W4015">
        <v>-8.6443309999999995E-2</v>
      </c>
      <c r="X4015">
        <v>0.91123379999999998</v>
      </c>
      <c r="Y4015">
        <v>0.57968310000000001</v>
      </c>
      <c r="Z4015">
        <v>3.6527770000000001E-2</v>
      </c>
      <c r="AA4015">
        <v>0.81402289999999999</v>
      </c>
      <c r="AB4015">
        <v>20</v>
      </c>
      <c r="AC4015">
        <v>-23.218299999999999</v>
      </c>
      <c r="AD4015">
        <v>-1.113999530771</v>
      </c>
      <c r="AE4015">
        <v>-3.34669999999999</v>
      </c>
      <c r="AF4015">
        <v>13.6800117398623</v>
      </c>
      <c r="AG4015">
        <v>-1.113999530771</v>
      </c>
      <c r="AH4015">
        <v>18.991406357670499</v>
      </c>
      <c r="AI4015">
        <v>92.724975292712998</v>
      </c>
      <c r="AJ4015">
        <v>54.233797442671197</v>
      </c>
      <c r="AK4015">
        <v>23.4319702884648</v>
      </c>
      <c r="AL4015">
        <v>94.959026007650493</v>
      </c>
      <c r="AM4015">
        <v>66.157145648270202</v>
      </c>
      <c r="AN4015">
        <v>0.99999999146757801</v>
      </c>
    </row>
    <row r="4016" spans="1:40" x14ac:dyDescent="0.25">
      <c r="A4016" t="str">
        <f>"20190303154552949"</f>
        <v>20190303154552949</v>
      </c>
      <c r="B4016" t="str">
        <f>"1551599152945351"</f>
        <v>1551599152945351</v>
      </c>
      <c r="C4016" t="s">
        <v>40</v>
      </c>
      <c r="D4016">
        <v>5.0175289999999997</v>
      </c>
      <c r="E4016">
        <v>0.57868249999999999</v>
      </c>
      <c r="F4016" t="s">
        <v>41</v>
      </c>
      <c r="G4016">
        <v>-222.3723</v>
      </c>
      <c r="H4016" s="1">
        <v>-4.2727949999999996E-6</v>
      </c>
      <c r="I4016">
        <v>144.14930000000001</v>
      </c>
      <c r="J4016">
        <v>-198.54910000000001</v>
      </c>
      <c r="K4016">
        <v>1.114025</v>
      </c>
      <c r="L4016">
        <v>147.3862</v>
      </c>
      <c r="M4016">
        <v>-0.72831480000000004</v>
      </c>
      <c r="N4016">
        <v>-1.508869E-2</v>
      </c>
      <c r="O4016">
        <v>-0.68507680000000004</v>
      </c>
      <c r="P4016">
        <v>-0.93892609999999999</v>
      </c>
      <c r="Q4016">
        <v>-9.4768270000000002E-2</v>
      </c>
      <c r="R4016">
        <v>-0.33081260000000001</v>
      </c>
      <c r="S4016">
        <v>-3.037766</v>
      </c>
      <c r="T4016">
        <v>-0.14117689999999999</v>
      </c>
      <c r="U4016">
        <v>-0.42558289999999999</v>
      </c>
      <c r="V4016">
        <v>0.4009008</v>
      </c>
      <c r="W4016">
        <v>-8.789334E-2</v>
      </c>
      <c r="X4016">
        <v>0.91189549999999997</v>
      </c>
      <c r="Y4016">
        <v>0.5764918</v>
      </c>
      <c r="Z4016">
        <v>3.5299530000000003E-2</v>
      </c>
      <c r="AA4016">
        <v>0.81634010000000001</v>
      </c>
      <c r="AB4016">
        <v>20</v>
      </c>
      <c r="AC4016">
        <v>-23.8231999999999</v>
      </c>
      <c r="AD4016">
        <v>-1.1140292727949901</v>
      </c>
      <c r="AE4016">
        <v>-3.2368999999999901</v>
      </c>
      <c r="AF4016">
        <v>13.934907465795099</v>
      </c>
      <c r="AG4016">
        <v>-1.1140292727949901</v>
      </c>
      <c r="AH4016">
        <v>19.528609333075799</v>
      </c>
      <c r="AI4016">
        <v>92.658682687552997</v>
      </c>
      <c r="AJ4016">
        <v>54.489722706310097</v>
      </c>
      <c r="AK4016">
        <v>24.016437907916501</v>
      </c>
      <c r="AL4016">
        <v>95.0424237819458</v>
      </c>
      <c r="AM4016">
        <v>66.2680486863986</v>
      </c>
      <c r="AN4016">
        <v>1.0000000467886201</v>
      </c>
    </row>
    <row r="4017" spans="1:40" x14ac:dyDescent="0.25">
      <c r="A4017" t="str">
        <f>"20190303154552973"</f>
        <v>20190303154552973</v>
      </c>
      <c r="B4017" t="str">
        <f>"1551599152964871"</f>
        <v>1551599152964871</v>
      </c>
      <c r="C4017" t="s">
        <v>40</v>
      </c>
      <c r="D4017">
        <v>5.0388080000000004</v>
      </c>
      <c r="E4017">
        <v>0.57813999999999999</v>
      </c>
      <c r="F4017" t="s">
        <v>41</v>
      </c>
      <c r="G4017">
        <v>-221.21180000000001</v>
      </c>
      <c r="H4017" s="1">
        <v>-4.7052460000000003E-6</v>
      </c>
      <c r="I4017">
        <v>144.36080000000001</v>
      </c>
      <c r="J4017">
        <v>-198.72149999999999</v>
      </c>
      <c r="K4017">
        <v>1.1140699999999999</v>
      </c>
      <c r="L4017">
        <v>147.24799999999999</v>
      </c>
      <c r="M4017">
        <v>-0.73819709999999905</v>
      </c>
      <c r="N4017">
        <v>-1.507732E-2</v>
      </c>
      <c r="O4017">
        <v>-0.67441669999999998</v>
      </c>
      <c r="P4017">
        <v>-0.94291599999999998</v>
      </c>
      <c r="Q4017">
        <v>-9.4949039999999998E-2</v>
      </c>
      <c r="R4017">
        <v>-0.31920910000000002</v>
      </c>
      <c r="S4017">
        <v>-3.037201</v>
      </c>
      <c r="T4017">
        <v>-0.14930019999999999</v>
      </c>
      <c r="U4017">
        <v>-0.4054565</v>
      </c>
      <c r="V4017">
        <v>0.39888560000000001</v>
      </c>
      <c r="W4017">
        <v>-8.7993699999999994E-2</v>
      </c>
      <c r="X4017">
        <v>0.9127691</v>
      </c>
      <c r="Y4017">
        <v>0.569774</v>
      </c>
      <c r="Z4017">
        <v>3.7404779999999999E-2</v>
      </c>
      <c r="AA4017">
        <v>0.82094969999999901</v>
      </c>
      <c r="AB4017">
        <v>20</v>
      </c>
      <c r="AC4017">
        <v>-22.490300000000001</v>
      </c>
      <c r="AD4017">
        <v>-1.1140747052460001</v>
      </c>
      <c r="AE4017">
        <v>-2.8871999999999698</v>
      </c>
      <c r="AF4017">
        <v>13.006594098498899</v>
      </c>
      <c r="AG4017">
        <v>-1.1140747052460001</v>
      </c>
      <c r="AH4017">
        <v>18.506881495361199</v>
      </c>
      <c r="AI4017">
        <v>92.819606956333402</v>
      </c>
      <c r="AJ4017">
        <v>54.9005389399656</v>
      </c>
      <c r="AK4017">
        <v>22.647677920160302</v>
      </c>
      <c r="AL4017">
        <v>95.048196480035401</v>
      </c>
      <c r="AM4017">
        <v>66.394382068454703</v>
      </c>
      <c r="AN4017">
        <v>1.0000000215209199</v>
      </c>
    </row>
    <row r="4018" spans="1:40" x14ac:dyDescent="0.25">
      <c r="A4018" t="str">
        <f>"20190303154553016"</f>
        <v>20190303154553016</v>
      </c>
      <c r="B4018" t="str">
        <f>"1551599153004887"</f>
        <v>1551599153004887</v>
      </c>
      <c r="C4018" t="s">
        <v>40</v>
      </c>
      <c r="D4018">
        <v>5.1377420000000003</v>
      </c>
      <c r="E4018">
        <v>0.56148379999999998</v>
      </c>
      <c r="F4018" t="s">
        <v>41</v>
      </c>
      <c r="G4018">
        <v>-220.9922</v>
      </c>
      <c r="H4018" s="1">
        <v>-4.8087119999999997E-6</v>
      </c>
      <c r="I4018">
        <v>144.52279999999999</v>
      </c>
      <c r="J4018">
        <v>-199.02459999999999</v>
      </c>
      <c r="K4018">
        <v>1.1141589999999999</v>
      </c>
      <c r="L4018">
        <v>147.0146</v>
      </c>
      <c r="M4018">
        <v>-0.75488230000000001</v>
      </c>
      <c r="N4018">
        <v>-1.505395E-2</v>
      </c>
      <c r="O4018">
        <v>-0.65568769999999998</v>
      </c>
      <c r="P4018">
        <v>-0.94924149999999996</v>
      </c>
      <c r="Q4018">
        <v>-9.5511970000000002E-2</v>
      </c>
      <c r="R4018">
        <v>-0.2996974</v>
      </c>
      <c r="S4018">
        <v>-3.0403440000000002</v>
      </c>
      <c r="T4018">
        <v>-0.15209129999999901</v>
      </c>
      <c r="U4018">
        <v>-0.37203979999999998</v>
      </c>
      <c r="V4018">
        <v>0.39478530000000001</v>
      </c>
      <c r="W4018">
        <v>-8.8398580000000004E-2</v>
      </c>
      <c r="X4018">
        <v>0.91451099999999996</v>
      </c>
      <c r="Y4018">
        <v>0.55807799999999996</v>
      </c>
      <c r="Z4018">
        <v>3.7566380000000003E-2</v>
      </c>
      <c r="AA4018">
        <v>0.8289377</v>
      </c>
      <c r="AB4018">
        <v>20</v>
      </c>
      <c r="AC4018">
        <v>-21.967600000000001</v>
      </c>
      <c r="AD4018">
        <v>-1.114163808712</v>
      </c>
      <c r="AE4018">
        <v>-2.4918000000000098</v>
      </c>
      <c r="AF4018">
        <v>12.492559714949101</v>
      </c>
      <c r="AG4018">
        <v>-1.114163808712</v>
      </c>
      <c r="AH4018">
        <v>18.172704060551201</v>
      </c>
      <c r="AI4018">
        <v>92.892313834207698</v>
      </c>
      <c r="AJ4018">
        <v>55.493991234912897</v>
      </c>
      <c r="AK4018">
        <v>22.080592883720001</v>
      </c>
      <c r="AL4018">
        <v>95.071484974680601</v>
      </c>
      <c r="AM4018">
        <v>66.650623018018294</v>
      </c>
      <c r="AN4018">
        <v>1.00000005558155</v>
      </c>
    </row>
    <row r="4019" spans="1:40" x14ac:dyDescent="0.25">
      <c r="A4019" t="str">
        <f>"20190303154553040"</f>
        <v>20190303154553040</v>
      </c>
      <c r="B4019" t="str">
        <f>"1551599153035144"</f>
        <v>1551599153035144</v>
      </c>
      <c r="C4019" t="s">
        <v>40</v>
      </c>
      <c r="D4019">
        <v>5.1745000000000001</v>
      </c>
      <c r="E4019">
        <v>0.55910209999999905</v>
      </c>
      <c r="F4019" t="s">
        <v>41</v>
      </c>
      <c r="G4019">
        <v>-214.36680000000001</v>
      </c>
      <c r="H4019" s="1">
        <v>-3.9534369999999997E-6</v>
      </c>
      <c r="I4019">
        <v>144.79759999999999</v>
      </c>
      <c r="J4019">
        <v>-199.19139999999999</v>
      </c>
      <c r="K4019">
        <v>1.1142099999999999</v>
      </c>
      <c r="L4019">
        <v>146.89099999999999</v>
      </c>
      <c r="M4019">
        <v>-0.76370749999999998</v>
      </c>
      <c r="N4019">
        <v>-1.5039500000000001E-2</v>
      </c>
      <c r="O4019">
        <v>-0.64538739999999895</v>
      </c>
      <c r="P4019">
        <v>-0.95233230000000002</v>
      </c>
      <c r="Q4019">
        <v>-9.6804829999999994E-2</v>
      </c>
      <c r="R4019">
        <v>-0.28929629999999901</v>
      </c>
      <c r="S4019">
        <v>-3.001541</v>
      </c>
      <c r="T4019">
        <v>-0.217973</v>
      </c>
      <c r="U4019">
        <v>-0.43373109999999998</v>
      </c>
      <c r="V4019">
        <v>0.39229059999999999</v>
      </c>
      <c r="W4019">
        <v>-8.9599949999999998E-2</v>
      </c>
      <c r="X4019">
        <v>0.91546709999999998</v>
      </c>
      <c r="Y4019">
        <v>0.52721390000000001</v>
      </c>
      <c r="Z4019">
        <v>5.553197E-2</v>
      </c>
      <c r="AA4019">
        <v>0.84791609999999995</v>
      </c>
      <c r="AB4019">
        <v>19</v>
      </c>
      <c r="AC4019">
        <v>-15.1754</v>
      </c>
      <c r="AD4019">
        <v>-1.1142139534369999</v>
      </c>
      <c r="AE4019">
        <v>-2.0933999999999999</v>
      </c>
      <c r="AF4019">
        <v>8.1530615828548392</v>
      </c>
      <c r="AG4019">
        <v>-1.1142139534369999</v>
      </c>
      <c r="AH4019">
        <v>12.8739774291857</v>
      </c>
      <c r="AI4019">
        <v>94.181932323108498</v>
      </c>
      <c r="AJ4019">
        <v>57.654009593066696</v>
      </c>
      <c r="AK4019">
        <v>15.279174740640901</v>
      </c>
      <c r="AL4019">
        <v>95.140592734141705</v>
      </c>
      <c r="AM4019">
        <v>66.804182444594204</v>
      </c>
      <c r="AN4019">
        <v>1.00000003853538</v>
      </c>
    </row>
    <row r="4020" spans="1:40" x14ac:dyDescent="0.25">
      <c r="A4020" t="str">
        <f>"20190303154553062"</f>
        <v>20190303154553062</v>
      </c>
      <c r="B4020" t="str">
        <f>"1551599153055640"</f>
        <v>1551599153055640</v>
      </c>
      <c r="C4020" t="s">
        <v>40</v>
      </c>
      <c r="D4020">
        <v>5.2009429999999996</v>
      </c>
      <c r="E4020">
        <v>0.55830970000000002</v>
      </c>
      <c r="F4020" t="s">
        <v>41</v>
      </c>
      <c r="G4020">
        <v>-214.10769999999999</v>
      </c>
      <c r="H4020" s="1">
        <v>-4.0547980000000001E-6</v>
      </c>
      <c r="I4020">
        <v>144.80799999999999</v>
      </c>
      <c r="J4020">
        <v>-199.35419999999999</v>
      </c>
      <c r="K4020">
        <v>1.114263</v>
      </c>
      <c r="L4020">
        <v>146.77369999999999</v>
      </c>
      <c r="M4020">
        <v>-0.77207340000000002</v>
      </c>
      <c r="N4020">
        <v>-1.502446E-2</v>
      </c>
      <c r="O4020">
        <v>-0.63535580000000003</v>
      </c>
      <c r="P4020">
        <v>-0.95539079999999998</v>
      </c>
      <c r="Q4020">
        <v>-9.6866889999999997E-2</v>
      </c>
      <c r="R4020">
        <v>-0.27900760000000002</v>
      </c>
      <c r="S4020">
        <v>-3.0001069999999999</v>
      </c>
      <c r="T4020">
        <v>-0.2241021</v>
      </c>
      <c r="U4020">
        <v>-0.41896060000000002</v>
      </c>
      <c r="V4020">
        <v>0.39021420000000001</v>
      </c>
      <c r="W4020">
        <v>-8.9577309999999993E-2</v>
      </c>
      <c r="X4020">
        <v>0.91635630000000001</v>
      </c>
      <c r="Y4020">
        <v>0.52002360000000003</v>
      </c>
      <c r="Z4020">
        <v>5.6658609999999998E-2</v>
      </c>
      <c r="AA4020">
        <v>0.85227059999999999</v>
      </c>
      <c r="AB4020">
        <v>19</v>
      </c>
      <c r="AC4020">
        <v>-14.753500000000001</v>
      </c>
      <c r="AD4020">
        <v>-1.114267054798</v>
      </c>
      <c r="AE4020">
        <v>-1.96569999999999</v>
      </c>
      <c r="AF4020">
        <v>7.8131539144327604</v>
      </c>
      <c r="AG4020">
        <v>-1.114267054798</v>
      </c>
      <c r="AH4020">
        <v>12.5706763362189</v>
      </c>
      <c r="AI4020">
        <v>94.305312719445894</v>
      </c>
      <c r="AJ4020">
        <v>58.137475322601198</v>
      </c>
      <c r="AK4020">
        <v>14.842805284379301</v>
      </c>
      <c r="AL4020">
        <v>95.139290300380793</v>
      </c>
      <c r="AM4020">
        <v>66.934123824621807</v>
      </c>
      <c r="AN4020">
        <v>1.00000004244908</v>
      </c>
    </row>
    <row r="4021" spans="1:40" x14ac:dyDescent="0.25">
      <c r="A4021" t="str">
        <f>"20190303154553083"</f>
        <v>20190303154553083</v>
      </c>
      <c r="B4021" t="str">
        <f>"1551599153075160"</f>
        <v>1551599153075160</v>
      </c>
      <c r="C4021" t="s">
        <v>40</v>
      </c>
      <c r="D4021">
        <v>5.2230850000000002</v>
      </c>
      <c r="E4021">
        <v>0.55750679999999997</v>
      </c>
      <c r="F4021" t="s">
        <v>41</v>
      </c>
      <c r="G4021">
        <v>-214.15369999999999</v>
      </c>
      <c r="H4021" s="1">
        <v>-4.0424749999999998E-6</v>
      </c>
      <c r="I4021">
        <v>144.8382</v>
      </c>
      <c r="J4021">
        <v>-199.51339999999999</v>
      </c>
      <c r="K4021">
        <v>1.114325</v>
      </c>
      <c r="L4021">
        <v>146.66220000000001</v>
      </c>
      <c r="M4021">
        <v>-0.78001069999999995</v>
      </c>
      <c r="N4021">
        <v>-1.500843E-2</v>
      </c>
      <c r="O4021">
        <v>-0.62558619999999898</v>
      </c>
      <c r="P4021">
        <v>-0.95818170000000003</v>
      </c>
      <c r="Q4021">
        <v>-9.7041760000000005E-2</v>
      </c>
      <c r="R4021">
        <v>-0.269204</v>
      </c>
      <c r="S4021">
        <v>-3.002472</v>
      </c>
      <c r="T4021">
        <v>-0.22605900000000001</v>
      </c>
      <c r="U4021">
        <v>-0.39266970000000001</v>
      </c>
      <c r="V4021">
        <v>0.38806810000000003</v>
      </c>
      <c r="W4021">
        <v>-8.9664590000000002E-2</v>
      </c>
      <c r="X4021">
        <v>0.91725860000000004</v>
      </c>
      <c r="Y4021">
        <v>0.51667189999999996</v>
      </c>
      <c r="Z4021">
        <v>5.6708939999999999E-2</v>
      </c>
      <c r="AA4021">
        <v>0.85430339999999905</v>
      </c>
      <c r="AB4021">
        <v>19</v>
      </c>
      <c r="AC4021">
        <v>-14.6402999999999</v>
      </c>
      <c r="AD4021">
        <v>-1.1143290424750001</v>
      </c>
      <c r="AE4021">
        <v>-1.8240000000000101</v>
      </c>
      <c r="AF4021">
        <v>7.69301458415101</v>
      </c>
      <c r="AG4021">
        <v>-1.1143290424750001</v>
      </c>
      <c r="AH4021">
        <v>12.4908173903661</v>
      </c>
      <c r="AI4021">
        <v>94.343888926011104</v>
      </c>
      <c r="AJ4021">
        <v>58.371349921261199</v>
      </c>
      <c r="AK4021">
        <v>14.7120604160782</v>
      </c>
      <c r="AL4021">
        <v>95.1443116846078</v>
      </c>
      <c r="AM4021">
        <v>67.068050354329799</v>
      </c>
      <c r="AN4021">
        <v>0.99999996410571801</v>
      </c>
    </row>
    <row r="4022" spans="1:40" x14ac:dyDescent="0.25">
      <c r="A4022" t="str">
        <f>"20190303154553106"</f>
        <v>20190303154553106</v>
      </c>
      <c r="B4022" t="str">
        <f>"1551599153095656"</f>
        <v>1551599153095656</v>
      </c>
      <c r="C4022" t="s">
        <v>40</v>
      </c>
      <c r="D4022">
        <v>5.2339260000000003</v>
      </c>
      <c r="E4022">
        <v>0.55054349999999996</v>
      </c>
      <c r="F4022" t="s">
        <v>41</v>
      </c>
      <c r="G4022">
        <v>-213.94720000000001</v>
      </c>
      <c r="H4022" s="1">
        <v>-4.1317980000000003E-6</v>
      </c>
      <c r="I4022">
        <v>144.8947</v>
      </c>
      <c r="J4022">
        <v>-199.67930000000001</v>
      </c>
      <c r="K4022">
        <v>1.1143879999999999</v>
      </c>
      <c r="L4022">
        <v>146.54900000000001</v>
      </c>
      <c r="M4022">
        <v>-0.78805360000000002</v>
      </c>
      <c r="N4022">
        <v>-1.499049E-2</v>
      </c>
      <c r="O4022">
        <v>-0.61542410000000003</v>
      </c>
      <c r="P4022">
        <v>-0.96097469999999996</v>
      </c>
      <c r="Q4022">
        <v>-9.7195939999999995E-2</v>
      </c>
      <c r="R4022">
        <v>-0.25899939999999999</v>
      </c>
      <c r="S4022">
        <v>-3.004089</v>
      </c>
      <c r="T4022">
        <v>-0.23192389999999999</v>
      </c>
      <c r="U4022">
        <v>-0.36787409999999998</v>
      </c>
      <c r="V4022">
        <v>0.38593670000000002</v>
      </c>
      <c r="W4022">
        <v>-8.9731420000000006E-2</v>
      </c>
      <c r="X4022">
        <v>0.91815100000000005</v>
      </c>
      <c r="Y4022">
        <v>0.51246210000000003</v>
      </c>
      <c r="Z4022">
        <v>5.7763799999999997E-2</v>
      </c>
      <c r="AA4022">
        <v>0.85676479999999999</v>
      </c>
      <c r="AB4022">
        <v>19</v>
      </c>
      <c r="AC4022">
        <v>-14.2678999999999</v>
      </c>
      <c r="AD4022">
        <v>-1.1143921317979999</v>
      </c>
      <c r="AE4022">
        <v>-1.6543000000000001</v>
      </c>
      <c r="AF4022">
        <v>7.4332287322021102</v>
      </c>
      <c r="AG4022">
        <v>-1.1143921317979999</v>
      </c>
      <c r="AH4022">
        <v>12.189967076436799</v>
      </c>
      <c r="AI4022">
        <v>94.463007703479306</v>
      </c>
      <c r="AJ4022">
        <v>58.625891670736998</v>
      </c>
      <c r="AK4022">
        <v>14.320965628520399</v>
      </c>
      <c r="AL4022">
        <v>95.148155756527501</v>
      </c>
      <c r="AM4022">
        <v>67.200978010206896</v>
      </c>
      <c r="AN4022">
        <v>1.0000000614715501</v>
      </c>
    </row>
    <row r="4023" spans="1:40" x14ac:dyDescent="0.25">
      <c r="A4023" t="str">
        <f>"20190303154553128"</f>
        <v>20190303154553128</v>
      </c>
      <c r="B4023" t="str">
        <f>"1551599153124935"</f>
        <v>1551599153124935</v>
      </c>
      <c r="C4023" t="s">
        <v>40</v>
      </c>
      <c r="D4023">
        <v>5.2803909999999998</v>
      </c>
      <c r="E4023">
        <v>0.54820939999999996</v>
      </c>
      <c r="F4023" t="s">
        <v>41</v>
      </c>
      <c r="G4023">
        <v>-211.82089999999999</v>
      </c>
      <c r="H4023" s="1">
        <v>-4.9620220000000003E-6</v>
      </c>
      <c r="I4023">
        <v>144.9718</v>
      </c>
      <c r="J4023">
        <v>-199.84540000000001</v>
      </c>
      <c r="K4023">
        <v>1.1144499999999999</v>
      </c>
      <c r="L4023">
        <v>146.43879999999999</v>
      </c>
      <c r="M4023">
        <v>-0.79586429999999997</v>
      </c>
      <c r="N4023">
        <v>-1.497152E-2</v>
      </c>
      <c r="O4023">
        <v>-0.60528990000000005</v>
      </c>
      <c r="P4023">
        <v>-0.96375230000000001</v>
      </c>
      <c r="Q4023">
        <v>-9.6493869999999995E-2</v>
      </c>
      <c r="R4023">
        <v>-0.24873799999999999</v>
      </c>
      <c r="S4023">
        <v>-2.9894259999999999</v>
      </c>
      <c r="T4023">
        <v>-0.27438000000000001</v>
      </c>
      <c r="U4023">
        <v>-0.38833620000000002</v>
      </c>
      <c r="V4023">
        <v>0.38404749999999999</v>
      </c>
      <c r="W4023">
        <v>-8.8945079999999996E-2</v>
      </c>
      <c r="X4023">
        <v>0.91901920000000004</v>
      </c>
      <c r="Y4023">
        <v>0.49404540000000002</v>
      </c>
      <c r="Z4023">
        <v>6.8188830000000006E-2</v>
      </c>
      <c r="AA4023">
        <v>0.86675800000000003</v>
      </c>
      <c r="AB4023">
        <v>19</v>
      </c>
      <c r="AC4023">
        <v>-11.975499999999901</v>
      </c>
      <c r="AD4023">
        <v>-1.1144549620219999</v>
      </c>
      <c r="AE4023">
        <v>-1.4669999999999801</v>
      </c>
      <c r="AF4023">
        <v>6.0303448800192596</v>
      </c>
      <c r="AG4023">
        <v>-1.1144549620219999</v>
      </c>
      <c r="AH4023">
        <v>10.331846113189201</v>
      </c>
      <c r="AI4023">
        <v>95.322250589443698</v>
      </c>
      <c r="AJ4023">
        <v>59.7293536505913</v>
      </c>
      <c r="AK4023">
        <v>12.014745662766799</v>
      </c>
      <c r="AL4023">
        <v>95.102921232133696</v>
      </c>
      <c r="AM4023">
        <v>67.320513862759796</v>
      </c>
      <c r="AN4023">
        <v>0.99999999974054798</v>
      </c>
    </row>
    <row r="4024" spans="1:40" x14ac:dyDescent="0.25">
      <c r="A4024" t="str">
        <f>"20190303154553150"</f>
        <v>20190303154553150</v>
      </c>
      <c r="B4024" t="str">
        <f>"1551599153145431"</f>
        <v>1551599153145431</v>
      </c>
      <c r="C4024" t="s">
        <v>40</v>
      </c>
      <c r="D4024">
        <v>5.2503190000000002</v>
      </c>
      <c r="E4024">
        <v>0.54872469999999995</v>
      </c>
      <c r="F4024" t="s">
        <v>41</v>
      </c>
      <c r="G4024">
        <v>-213.8648</v>
      </c>
      <c r="H4024" s="1">
        <v>-4.1251919999999997E-6</v>
      </c>
      <c r="I4024">
        <v>144.67910000000001</v>
      </c>
      <c r="J4024">
        <v>-200.0067</v>
      </c>
      <c r="K4024">
        <v>1.114519</v>
      </c>
      <c r="L4024">
        <v>146.33439999999999</v>
      </c>
      <c r="M4024">
        <v>-0.80322119999999997</v>
      </c>
      <c r="N4024">
        <v>-1.495136E-2</v>
      </c>
      <c r="O4024">
        <v>-0.5954931</v>
      </c>
      <c r="P4024">
        <v>-0.96633999999999998</v>
      </c>
      <c r="Q4024">
        <v>-9.4839450000000006E-2</v>
      </c>
      <c r="R4024">
        <v>-0.23914949999999999</v>
      </c>
      <c r="S4024">
        <v>-2.9920960000000001</v>
      </c>
      <c r="T4024">
        <v>-0.23785149999999999</v>
      </c>
      <c r="U4024">
        <v>-0.37554929999999997</v>
      </c>
      <c r="V4024">
        <v>0.3820595</v>
      </c>
      <c r="W4024">
        <v>-8.7198090000000006E-2</v>
      </c>
      <c r="X4024">
        <v>0.92001469999999996</v>
      </c>
      <c r="Y4024">
        <v>0.48814380000000002</v>
      </c>
      <c r="Z4024">
        <v>5.762635E-2</v>
      </c>
      <c r="AA4024">
        <v>0.87085869999999999</v>
      </c>
      <c r="AB4024">
        <v>19</v>
      </c>
      <c r="AC4024">
        <v>-13.8581</v>
      </c>
      <c r="AD4024">
        <v>-1.114523125192</v>
      </c>
      <c r="AE4024">
        <v>-1.65529999999998</v>
      </c>
      <c r="AF4024">
        <v>6.87973297972467</v>
      </c>
      <c r="AG4024">
        <v>-1.114523125192</v>
      </c>
      <c r="AH4024">
        <v>12.041406382812401</v>
      </c>
      <c r="AI4024">
        <v>94.594731351486203</v>
      </c>
      <c r="AJ4024">
        <v>60.258959306222202</v>
      </c>
      <c r="AK4024">
        <v>13.9128845084308</v>
      </c>
      <c r="AL4024">
        <v>95.002435549740298</v>
      </c>
      <c r="AM4024">
        <v>67.448088867364007</v>
      </c>
      <c r="AN4024">
        <v>1.0000000083279901</v>
      </c>
    </row>
    <row r="4025" spans="1:40" x14ac:dyDescent="0.25">
      <c r="A4025" t="str">
        <f>"20190303154553174"</f>
        <v>20190303154553174</v>
      </c>
      <c r="B4025" t="str">
        <f>"1551599153164951"</f>
        <v>1551599153164951</v>
      </c>
      <c r="C4025" t="s">
        <v>40</v>
      </c>
      <c r="D4025">
        <v>5.3252579999999998</v>
      </c>
      <c r="E4025">
        <v>0.54858339999999906</v>
      </c>
      <c r="F4025" t="s">
        <v>41</v>
      </c>
      <c r="G4025">
        <v>-213.5866</v>
      </c>
      <c r="H4025" s="1">
        <v>-4.2511540000000001E-6</v>
      </c>
      <c r="I4025">
        <v>144.7869</v>
      </c>
      <c r="J4025">
        <v>-200.18700000000001</v>
      </c>
      <c r="K4025">
        <v>1.1146149999999999</v>
      </c>
      <c r="L4025">
        <v>146.2209</v>
      </c>
      <c r="M4025">
        <v>-0.81116909999999998</v>
      </c>
      <c r="N4025">
        <v>-1.492506E-2</v>
      </c>
      <c r="O4025">
        <v>-0.58462130000000001</v>
      </c>
      <c r="P4025">
        <v>-0.9687616</v>
      </c>
      <c r="Q4025">
        <v>-9.4525390000000001E-2</v>
      </c>
      <c r="R4025">
        <v>-0.2292728</v>
      </c>
      <c r="S4025">
        <v>-2.9958800000000001</v>
      </c>
      <c r="T4025">
        <v>-0.24587680000000001</v>
      </c>
      <c r="U4025">
        <v>-0.34140009999999998</v>
      </c>
      <c r="V4025">
        <v>0.37910470000000002</v>
      </c>
      <c r="W4025">
        <v>-8.6756130000000001E-2</v>
      </c>
      <c r="X4025">
        <v>0.92127789999999998</v>
      </c>
      <c r="Y4025">
        <v>0.4861473</v>
      </c>
      <c r="Z4025">
        <v>5.9157979999999999E-2</v>
      </c>
      <c r="AA4025">
        <v>0.87187219999999999</v>
      </c>
      <c r="AB4025">
        <v>19</v>
      </c>
      <c r="AC4025">
        <v>-13.3995999999999</v>
      </c>
      <c r="AD4025">
        <v>-1.1146192511539901</v>
      </c>
      <c r="AE4025">
        <v>-1.4339999999999899</v>
      </c>
      <c r="AF4025">
        <v>6.6258895739066599</v>
      </c>
      <c r="AG4025">
        <v>-1.1146192511539901</v>
      </c>
      <c r="AH4025">
        <v>11.629434134643899</v>
      </c>
      <c r="AI4025">
        <v>94.760411476452504</v>
      </c>
      <c r="AJ4025">
        <v>60.327599885989599</v>
      </c>
      <c r="AK4025">
        <v>13.430879606811599</v>
      </c>
      <c r="AL4025">
        <v>94.977016897450397</v>
      </c>
      <c r="AM4025">
        <v>67.632895462827094</v>
      </c>
      <c r="AN4025">
        <v>0.99999998434153803</v>
      </c>
    </row>
    <row r="4026" spans="1:40" x14ac:dyDescent="0.25">
      <c r="A4026" t="str">
        <f>"20190303154553198"</f>
        <v>20190303154553198</v>
      </c>
      <c r="B4026" t="str">
        <f>"1551599153195209"</f>
        <v>1551599153195209</v>
      </c>
      <c r="C4026" t="s">
        <v>40</v>
      </c>
      <c r="D4026">
        <v>5.3032019999999997</v>
      </c>
      <c r="E4026">
        <v>0.54774060000000002</v>
      </c>
      <c r="F4026" t="s">
        <v>41</v>
      </c>
      <c r="G4026">
        <v>-213.15639999999999</v>
      </c>
      <c r="H4026" s="1">
        <v>-4.4316400000000003E-6</v>
      </c>
      <c r="I4026">
        <v>144.87309999999999</v>
      </c>
      <c r="J4026">
        <v>-200.36099999999999</v>
      </c>
      <c r="K4026">
        <v>1.1147180000000001</v>
      </c>
      <c r="L4026">
        <v>146.11420000000001</v>
      </c>
      <c r="M4026">
        <v>-0.8185557</v>
      </c>
      <c r="N4026">
        <v>-1.489472E-2</v>
      </c>
      <c r="O4026">
        <v>-0.57423400000000002</v>
      </c>
      <c r="P4026">
        <v>-0.97084890000000001</v>
      </c>
      <c r="Q4026">
        <v>-9.5541280000000006E-2</v>
      </c>
      <c r="R4026">
        <v>-0.21982769999999999</v>
      </c>
      <c r="S4026">
        <v>-2.997849</v>
      </c>
      <c r="T4026">
        <v>-0.25764239999999999</v>
      </c>
      <c r="U4026">
        <v>-0.3115387</v>
      </c>
      <c r="V4026">
        <v>0.3762858</v>
      </c>
      <c r="W4026">
        <v>-8.7637889999999996E-2</v>
      </c>
      <c r="X4026">
        <v>0.92234950000000004</v>
      </c>
      <c r="Y4026">
        <v>0.48338989999999998</v>
      </c>
      <c r="Z4026">
        <v>6.1609030000000002E-2</v>
      </c>
      <c r="AA4026">
        <v>0.87323449999999903</v>
      </c>
      <c r="AB4026">
        <v>19</v>
      </c>
      <c r="AC4026">
        <v>-12.795400000000001</v>
      </c>
      <c r="AD4026">
        <v>-1.11472243164</v>
      </c>
      <c r="AE4026">
        <v>-1.2411000000000101</v>
      </c>
      <c r="AF4026">
        <v>6.2850893309379501</v>
      </c>
      <c r="AG4026">
        <v>-1.11472243164</v>
      </c>
      <c r="AH4026">
        <v>11.104178550352</v>
      </c>
      <c r="AI4026">
        <v>94.992913645364396</v>
      </c>
      <c r="AJ4026">
        <v>60.4896532930969</v>
      </c>
      <c r="AK4026">
        <v>12.808112088655699</v>
      </c>
      <c r="AL4026">
        <v>95.0277311058435</v>
      </c>
      <c r="AM4026">
        <v>67.806287025469999</v>
      </c>
      <c r="AN4026">
        <v>1.0000000015977699</v>
      </c>
    </row>
    <row r="4027" spans="1:40" x14ac:dyDescent="0.25">
      <c r="A4027" t="str">
        <f>"20190303154553221"</f>
        <v>20190303154553221</v>
      </c>
      <c r="B4027" t="str">
        <f>"1551599153214727"</f>
        <v>1551599153214727</v>
      </c>
      <c r="C4027" t="s">
        <v>40</v>
      </c>
      <c r="D4027">
        <v>5.3073600000000001</v>
      </c>
      <c r="E4027">
        <v>0.54692099999999999</v>
      </c>
      <c r="F4027" t="s">
        <v>41</v>
      </c>
      <c r="G4027">
        <v>-212.50040000000001</v>
      </c>
      <c r="H4027" s="1">
        <v>-4.6964609999999998E-6</v>
      </c>
      <c r="I4027">
        <v>144.94589999999999</v>
      </c>
      <c r="J4027">
        <v>-200.5384</v>
      </c>
      <c r="K4027">
        <v>1.114846</v>
      </c>
      <c r="L4027">
        <v>146.00829999999999</v>
      </c>
      <c r="M4027">
        <v>-0.82579389999999997</v>
      </c>
      <c r="N4027">
        <v>-1.4858680000000001E-2</v>
      </c>
      <c r="O4027">
        <v>-0.56377670000000002</v>
      </c>
      <c r="P4027">
        <v>-0.97273699999999996</v>
      </c>
      <c r="Q4027">
        <v>-9.7404050000000006E-2</v>
      </c>
      <c r="R4027">
        <v>-0.21046500000000001</v>
      </c>
      <c r="S4027">
        <v>-2.997665</v>
      </c>
      <c r="T4027">
        <v>-0.27526640000000002</v>
      </c>
      <c r="U4027">
        <v>-0.28851320000000003</v>
      </c>
      <c r="V4027">
        <v>0.37333880000000003</v>
      </c>
      <c r="W4027">
        <v>-8.9347300000000004E-2</v>
      </c>
      <c r="X4027">
        <v>0.92338249999999999</v>
      </c>
      <c r="Y4027">
        <v>0.47845880000000002</v>
      </c>
      <c r="Z4027">
        <v>6.5385360000000003E-2</v>
      </c>
      <c r="AA4027">
        <v>0.87567229999999996</v>
      </c>
      <c r="AB4027">
        <v>19</v>
      </c>
      <c r="AC4027">
        <v>-11.962</v>
      </c>
      <c r="AD4027">
        <v>-1.1148506964610001</v>
      </c>
      <c r="AE4027">
        <v>-1.06239999999999</v>
      </c>
      <c r="AF4027">
        <v>5.8170871891009304</v>
      </c>
      <c r="AG4027">
        <v>-1.1148506964610001</v>
      </c>
      <c r="AH4027">
        <v>10.3887255803467</v>
      </c>
      <c r="AI4027">
        <v>95.349236148308606</v>
      </c>
      <c r="AJ4027">
        <v>60.753689215074097</v>
      </c>
      <c r="AK4027">
        <v>11.9585540356998</v>
      </c>
      <c r="AL4027">
        <v>95.126058755530593</v>
      </c>
      <c r="AM4027">
        <v>67.985702818282704</v>
      </c>
      <c r="AN4027">
        <v>1.0000000204544801</v>
      </c>
    </row>
    <row r="4028" spans="1:40" x14ac:dyDescent="0.25">
      <c r="A4028" t="str">
        <f>"20190303154553242"</f>
        <v>20190303154553242</v>
      </c>
      <c r="B4028" t="str">
        <f>"1551599153235224"</f>
        <v>1551599153235224</v>
      </c>
      <c r="C4028" t="s">
        <v>40</v>
      </c>
      <c r="D4028">
        <v>5.3115670000000001</v>
      </c>
      <c r="E4028">
        <v>0.5460547</v>
      </c>
      <c r="F4028" t="s">
        <v>41</v>
      </c>
      <c r="G4028">
        <v>-212.13630000000001</v>
      </c>
      <c r="H4028" s="1">
        <v>-4.8423640000000003E-6</v>
      </c>
      <c r="I4028">
        <v>144.98009999999999</v>
      </c>
      <c r="J4028">
        <v>-200.69200000000001</v>
      </c>
      <c r="K4028">
        <v>1.1149659999999999</v>
      </c>
      <c r="L4028">
        <v>145.91899999999899</v>
      </c>
      <c r="M4028">
        <v>-0.83180959999999904</v>
      </c>
      <c r="N4028">
        <v>-1.480676E-2</v>
      </c>
      <c r="O4028">
        <v>-0.55486409999999997</v>
      </c>
      <c r="P4028">
        <v>-0.97400019999999998</v>
      </c>
      <c r="Q4028">
        <v>-9.9612820000000005E-2</v>
      </c>
      <c r="R4028">
        <v>-0.2034736</v>
      </c>
      <c r="S4028">
        <v>-2.9977420000000001</v>
      </c>
      <c r="T4028">
        <v>-0.28815849999999998</v>
      </c>
      <c r="U4028">
        <v>-0.2657776</v>
      </c>
      <c r="V4028">
        <v>0.36991649999999998</v>
      </c>
      <c r="W4028">
        <v>-9.1409420000000005E-2</v>
      </c>
      <c r="X4028">
        <v>0.92455719999999997</v>
      </c>
      <c r="Y4028">
        <v>0.47527740000000002</v>
      </c>
      <c r="Z4028">
        <v>6.8021070000000003E-2</v>
      </c>
      <c r="AA4028">
        <v>0.8772027</v>
      </c>
      <c r="AB4028">
        <v>19</v>
      </c>
      <c r="AC4028">
        <v>-11.444299999999901</v>
      </c>
      <c r="AD4028">
        <v>-1.1149708423639999</v>
      </c>
      <c r="AE4028">
        <v>-0.93889999999998897</v>
      </c>
      <c r="AF4028">
        <v>5.5176319275979102</v>
      </c>
      <c r="AG4028">
        <v>-1.1149708423639999</v>
      </c>
      <c r="AH4028">
        <v>9.94774746229659</v>
      </c>
      <c r="AI4028">
        <v>95.597972380546494</v>
      </c>
      <c r="AJ4028">
        <v>60.984557505072701</v>
      </c>
      <c r="AK4028">
        <v>11.430008820705099</v>
      </c>
      <c r="AL4028">
        <v>95.244695397282499</v>
      </c>
      <c r="AM4028">
        <v>68.193589197253701</v>
      </c>
      <c r="AN4028">
        <v>0.99999995755441196</v>
      </c>
    </row>
    <row r="4029" spans="1:40" x14ac:dyDescent="0.25">
      <c r="A4029" t="str">
        <f>"20190303154553263"</f>
        <v>20190303154553263</v>
      </c>
      <c r="B4029" t="str">
        <f>"1551599153254743"</f>
        <v>1551599153254743</v>
      </c>
      <c r="C4029" t="s">
        <v>40</v>
      </c>
      <c r="D4029">
        <v>5.2729350000000004</v>
      </c>
      <c r="E4029">
        <v>0.54495830000000001</v>
      </c>
      <c r="F4029" t="s">
        <v>41</v>
      </c>
      <c r="G4029">
        <v>-211.8169</v>
      </c>
      <c r="H4029" s="1">
        <v>-4.9663789999999996E-6</v>
      </c>
      <c r="I4029">
        <v>144.98779999999999</v>
      </c>
      <c r="J4029">
        <v>-200.85939999999999</v>
      </c>
      <c r="K4029">
        <v>1.115119</v>
      </c>
      <c r="L4029">
        <v>145.82380000000001</v>
      </c>
      <c r="M4029">
        <v>-0.8380995</v>
      </c>
      <c r="N4029">
        <v>-1.468993E-2</v>
      </c>
      <c r="O4029">
        <v>-0.54531940000000001</v>
      </c>
      <c r="P4029">
        <v>-0.97536369999999895</v>
      </c>
      <c r="Q4029">
        <v>-9.9662710000000002E-2</v>
      </c>
      <c r="R4029">
        <v>-0.1968068</v>
      </c>
      <c r="S4029">
        <v>-2.9969790000000001</v>
      </c>
      <c r="T4029">
        <v>-0.30036570000000001</v>
      </c>
      <c r="U4029">
        <v>-0.25085449999999998</v>
      </c>
      <c r="V4029">
        <v>0.36570439999999999</v>
      </c>
      <c r="W4029">
        <v>-9.1336379999999995E-2</v>
      </c>
      <c r="X4029">
        <v>0.92623860000000002</v>
      </c>
      <c r="Y4029">
        <v>0.46922979999999997</v>
      </c>
      <c r="Z4029">
        <v>7.0218219999999998E-2</v>
      </c>
      <c r="AA4029">
        <v>0.88027999999999995</v>
      </c>
      <c r="AB4029">
        <v>19</v>
      </c>
      <c r="AC4029">
        <v>-10.9575</v>
      </c>
      <c r="AD4029">
        <v>-1.115123966379</v>
      </c>
      <c r="AE4029">
        <v>-0.83600000000001196</v>
      </c>
      <c r="AF4029">
        <v>5.2214911483957396</v>
      </c>
      <c r="AG4029">
        <v>-1.115123966379</v>
      </c>
      <c r="AH4029">
        <v>9.5421497132319999</v>
      </c>
      <c r="AI4029">
        <v>95.853402276322399</v>
      </c>
      <c r="AJ4029">
        <v>61.312397341114099</v>
      </c>
      <c r="AK4029">
        <v>10.934353772532701</v>
      </c>
      <c r="AL4029">
        <v>95.240492745492801</v>
      </c>
      <c r="AM4029">
        <v>68.454533949154495</v>
      </c>
      <c r="AN4029">
        <v>0.99999999331041201</v>
      </c>
    </row>
    <row r="4030" spans="1:40" x14ac:dyDescent="0.25">
      <c r="A4030" t="str">
        <f>"20190303154553285"</f>
        <v>20190303154553285</v>
      </c>
      <c r="B4030" t="str">
        <f>"1551599153275240"</f>
        <v>1551599153275240</v>
      </c>
      <c r="C4030" t="s">
        <v>40</v>
      </c>
      <c r="D4030">
        <v>5.2323649999999997</v>
      </c>
      <c r="E4030">
        <v>0.54410150000000002</v>
      </c>
      <c r="F4030" t="s">
        <v>41</v>
      </c>
      <c r="G4030">
        <v>-211.8546</v>
      </c>
      <c r="H4030" s="1">
        <v>-4.9447539999999997E-6</v>
      </c>
      <c r="I4030">
        <v>144.94749999999999</v>
      </c>
      <c r="J4030">
        <v>-201.02850000000001</v>
      </c>
      <c r="K4030">
        <v>1.115265</v>
      </c>
      <c r="L4030">
        <v>145.72989999999999</v>
      </c>
      <c r="M4030">
        <v>-0.84418979999999999</v>
      </c>
      <c r="N4030">
        <v>-1.4531219999999999E-2</v>
      </c>
      <c r="O4030">
        <v>-0.53584730000000003</v>
      </c>
      <c r="P4030">
        <v>-0.97676549999999995</v>
      </c>
      <c r="Q4030">
        <v>-9.7296309999999997E-2</v>
      </c>
      <c r="R4030">
        <v>-0.1909517</v>
      </c>
      <c r="S4030">
        <v>-2.9965359999999999</v>
      </c>
      <c r="T4030">
        <v>-0.30390610000000001</v>
      </c>
      <c r="U4030">
        <v>-0.23881530000000001</v>
      </c>
      <c r="V4030">
        <v>0.36102519999999999</v>
      </c>
      <c r="W4030">
        <v>-8.8886119999999999E-2</v>
      </c>
      <c r="X4030">
        <v>0.92831030000000003</v>
      </c>
      <c r="Y4030">
        <v>0.46274090000000001</v>
      </c>
      <c r="Z4030">
        <v>7.0167499999999994E-2</v>
      </c>
      <c r="AA4030">
        <v>0.88371219999999995</v>
      </c>
      <c r="AB4030">
        <v>19</v>
      </c>
      <c r="AC4030">
        <v>-10.826099999999901</v>
      </c>
      <c r="AD4030">
        <v>-1.115269944754</v>
      </c>
      <c r="AE4030">
        <v>-0.78239999999999499</v>
      </c>
      <c r="AF4030">
        <v>5.0874753404576403</v>
      </c>
      <c r="AG4030">
        <v>-1.115269944754</v>
      </c>
      <c r="AH4030">
        <v>9.4596711704213998</v>
      </c>
      <c r="AI4030">
        <v>95.927981384094707</v>
      </c>
      <c r="AJ4030">
        <v>61.728334603972399</v>
      </c>
      <c r="AK4030">
        <v>10.798685616404301</v>
      </c>
      <c r="AL4030">
        <v>95.099529764778893</v>
      </c>
      <c r="AM4030">
        <v>68.748656058513802</v>
      </c>
      <c r="AN4030">
        <v>0.99999997522489203</v>
      </c>
    </row>
    <row r="4031" spans="1:40" x14ac:dyDescent="0.25">
      <c r="A4031" t="str">
        <f>"20190303154553308"</f>
        <v>20190303154553308</v>
      </c>
      <c r="B4031" t="str">
        <f>"1551599153305495"</f>
        <v>1551599153305495</v>
      </c>
      <c r="C4031" t="s">
        <v>40</v>
      </c>
      <c r="D4031">
        <v>5.2897189999999998</v>
      </c>
      <c r="E4031">
        <v>0.54279659999999996</v>
      </c>
      <c r="F4031" t="s">
        <v>41</v>
      </c>
      <c r="G4031">
        <v>-212.25319999999999</v>
      </c>
      <c r="H4031" s="1">
        <v>-4.7793000000000001E-6</v>
      </c>
      <c r="I4031">
        <v>144.8776</v>
      </c>
      <c r="J4031">
        <v>-201.20519999999999</v>
      </c>
      <c r="K4031">
        <v>1.1154029999999999</v>
      </c>
      <c r="L4031">
        <v>145.63409999999999</v>
      </c>
      <c r="M4031">
        <v>-0.85028150000000002</v>
      </c>
      <c r="N4031">
        <v>-1.4336740000000001E-2</v>
      </c>
      <c r="O4031">
        <v>-0.52613319999999997</v>
      </c>
      <c r="P4031">
        <v>-0.97804939999999996</v>
      </c>
      <c r="Q4031">
        <v>-9.5167039999999994E-2</v>
      </c>
      <c r="R4031">
        <v>-0.18537290000000001</v>
      </c>
      <c r="S4031">
        <v>-2.9972080000000001</v>
      </c>
      <c r="T4031">
        <v>-0.29779860000000002</v>
      </c>
      <c r="U4031">
        <v>-0.22756960000000001</v>
      </c>
      <c r="V4031">
        <v>0.35585029999999901</v>
      </c>
      <c r="W4031">
        <v>-8.6705480000000001E-2</v>
      </c>
      <c r="X4031">
        <v>0.93051209999999995</v>
      </c>
      <c r="Y4031">
        <v>0.45613090000000001</v>
      </c>
      <c r="Z4031">
        <v>6.7705890000000005E-2</v>
      </c>
      <c r="AA4031">
        <v>0.88733340000000005</v>
      </c>
      <c r="AB4031">
        <v>19</v>
      </c>
      <c r="AC4031">
        <v>-11.048</v>
      </c>
      <c r="AD4031">
        <v>-1.1154077792999999</v>
      </c>
      <c r="AE4031">
        <v>-0.75649999999998796</v>
      </c>
      <c r="AF4031">
        <v>5.1180872169170799</v>
      </c>
      <c r="AG4031">
        <v>-1.1154077792999999</v>
      </c>
      <c r="AH4031">
        <v>9.6945794812526902</v>
      </c>
      <c r="AI4031">
        <v>95.809634343999505</v>
      </c>
      <c r="AJ4031">
        <v>62.168953673685699</v>
      </c>
      <c r="AK4031">
        <v>11.0192478233506</v>
      </c>
      <c r="AL4031">
        <v>94.974103700246204</v>
      </c>
      <c r="AM4031">
        <v>69.071938703876796</v>
      </c>
      <c r="AN4031">
        <v>1.00000002225926</v>
      </c>
    </row>
    <row r="4032" spans="1:40" x14ac:dyDescent="0.25">
      <c r="A4032" t="str">
        <f>"20190303154553330"</f>
        <v>20190303154553330</v>
      </c>
      <c r="B4032" t="str">
        <f>"1551599153325015"</f>
        <v>1551599153325015</v>
      </c>
      <c r="C4032" t="s">
        <v>40</v>
      </c>
      <c r="D4032">
        <v>5.2955370000000004</v>
      </c>
      <c r="E4032">
        <v>0.54196330000000004</v>
      </c>
      <c r="F4032" t="s">
        <v>41</v>
      </c>
      <c r="G4032">
        <v>-212.52019999999999</v>
      </c>
      <c r="H4032" s="1">
        <v>-4.663304E-6</v>
      </c>
      <c r="I4032">
        <v>144.80160000000001</v>
      </c>
      <c r="J4032">
        <v>-201.37739999999999</v>
      </c>
      <c r="K4032">
        <v>1.1155189999999999</v>
      </c>
      <c r="L4032">
        <v>145.5429</v>
      </c>
      <c r="M4032">
        <v>-0.85595509999999997</v>
      </c>
      <c r="N4032">
        <v>-1.4119380000000001E-2</v>
      </c>
      <c r="O4032">
        <v>-0.51685769999999998</v>
      </c>
      <c r="P4032">
        <v>-0.97898419999999997</v>
      </c>
      <c r="Q4032">
        <v>-9.5429659999999999E-2</v>
      </c>
      <c r="R4032">
        <v>-0.1802319</v>
      </c>
      <c r="S4032">
        <v>-2.9967959999999998</v>
      </c>
      <c r="T4032">
        <v>-0.29541909999999999</v>
      </c>
      <c r="U4032">
        <v>-0.22047420000000001</v>
      </c>
      <c r="V4032">
        <v>0.35063250000000001</v>
      </c>
      <c r="W4032">
        <v>-8.6952070000000006E-2</v>
      </c>
      <c r="X4032">
        <v>0.93246779999999996</v>
      </c>
      <c r="Y4032">
        <v>0.44866080000000003</v>
      </c>
      <c r="Z4032">
        <v>6.6171830000000001E-2</v>
      </c>
      <c r="AA4032">
        <v>0.89124899999999996</v>
      </c>
      <c r="AB4032">
        <v>19</v>
      </c>
      <c r="AC4032">
        <v>-11.1427999999999</v>
      </c>
      <c r="AD4032">
        <v>-1.115523663304</v>
      </c>
      <c r="AE4032">
        <v>-0.74129999999999496</v>
      </c>
      <c r="AF4032">
        <v>5.0745972041779996</v>
      </c>
      <c r="AG4032">
        <v>-1.115523663304</v>
      </c>
      <c r="AH4032">
        <v>9.8238462674084399</v>
      </c>
      <c r="AI4032">
        <v>95.760936992648894</v>
      </c>
      <c r="AJ4032">
        <v>62.680973381455601</v>
      </c>
      <c r="AK4032">
        <v>11.1132301926</v>
      </c>
      <c r="AL4032">
        <v>94.988285913475806</v>
      </c>
      <c r="AM4032">
        <v>69.392414683296906</v>
      </c>
      <c r="AN4032">
        <v>1.0000000052851801</v>
      </c>
    </row>
    <row r="4033" spans="1:40" x14ac:dyDescent="0.25">
      <c r="A4033" t="str">
        <f>"20190303154553354"</f>
        <v>20190303154553354</v>
      </c>
      <c r="B4033" t="str">
        <f>"1551599153345511"</f>
        <v>1551599153345511</v>
      </c>
      <c r="C4033" t="s">
        <v>40</v>
      </c>
      <c r="D4033">
        <v>5.2846919999999997</v>
      </c>
      <c r="E4033">
        <v>0.54152959999999895</v>
      </c>
      <c r="F4033" t="s">
        <v>41</v>
      </c>
      <c r="G4033">
        <v>-212.60120000000001</v>
      </c>
      <c r="H4033" s="1">
        <v>-4.6232549999999997E-6</v>
      </c>
      <c r="I4033">
        <v>144.75129999999999</v>
      </c>
      <c r="J4033">
        <v>-201.55760000000001</v>
      </c>
      <c r="K4033">
        <v>1.1156440000000001</v>
      </c>
      <c r="L4033">
        <v>145.4495</v>
      </c>
      <c r="M4033">
        <v>-0.86161589999999999</v>
      </c>
      <c r="N4033">
        <v>-1.386807E-2</v>
      </c>
      <c r="O4033">
        <v>-0.50737129999999997</v>
      </c>
      <c r="P4033">
        <v>-0.97987979999999997</v>
      </c>
      <c r="Q4033">
        <v>-9.5290059999999996E-2</v>
      </c>
      <c r="R4033">
        <v>-0.1753719</v>
      </c>
      <c r="S4033">
        <v>-2.9964750000000002</v>
      </c>
      <c r="T4033">
        <v>-0.29781770000000002</v>
      </c>
      <c r="U4033">
        <v>-0.21131900000000001</v>
      </c>
      <c r="V4033">
        <v>0.344997099999999</v>
      </c>
      <c r="W4033">
        <v>-8.6814269999999999E-2</v>
      </c>
      <c r="X4033">
        <v>0.93458030000000003</v>
      </c>
      <c r="Y4033">
        <v>0.44147999999999998</v>
      </c>
      <c r="Z4033">
        <v>6.5777429999999998E-2</v>
      </c>
      <c r="AA4033">
        <v>0.89485680000000001</v>
      </c>
      <c r="AB4033">
        <v>19</v>
      </c>
      <c r="AC4033">
        <v>-11.0435999999999</v>
      </c>
      <c r="AD4033">
        <v>-1.115648623255</v>
      </c>
      <c r="AE4033">
        <v>-0.69820000000001403</v>
      </c>
      <c r="AF4033">
        <v>4.9517726642254596</v>
      </c>
      <c r="AG4033">
        <v>-1.115648623255</v>
      </c>
      <c r="AH4033">
        <v>9.7712146500837704</v>
      </c>
      <c r="AI4033">
        <v>95.815279085472099</v>
      </c>
      <c r="AJ4033">
        <v>63.125409625979501</v>
      </c>
      <c r="AK4033">
        <v>11.010965448440601</v>
      </c>
      <c r="AL4033">
        <v>94.980360478024195</v>
      </c>
      <c r="AM4033">
        <v>69.738548769785595</v>
      </c>
      <c r="AN4033">
        <v>1.00000002681606</v>
      </c>
    </row>
    <row r="4034" spans="1:40" x14ac:dyDescent="0.25">
      <c r="A4034" t="str">
        <f>"20190303154553375"</f>
        <v>20190303154553375</v>
      </c>
      <c r="B4034" t="str">
        <f>"1551599153365031"</f>
        <v>1551599153365031</v>
      </c>
      <c r="C4034" t="s">
        <v>40</v>
      </c>
      <c r="D4034">
        <v>5.3076530000000002</v>
      </c>
      <c r="E4034">
        <v>0.52903210000000001</v>
      </c>
      <c r="F4034" t="s">
        <v>41</v>
      </c>
      <c r="G4034">
        <v>-212.74780000000001</v>
      </c>
      <c r="H4034" s="1">
        <v>-4.5585230000000001E-6</v>
      </c>
      <c r="I4034">
        <v>144.7038</v>
      </c>
      <c r="J4034">
        <v>-201.72829999999999</v>
      </c>
      <c r="K4034">
        <v>1.1157790000000001</v>
      </c>
      <c r="L4034">
        <v>145.363</v>
      </c>
      <c r="M4034">
        <v>-0.86671759999999998</v>
      </c>
      <c r="N4034">
        <v>-1.3619940000000001E-2</v>
      </c>
      <c r="O4034">
        <v>-0.49861339999999998</v>
      </c>
      <c r="P4034">
        <v>-0.9807186</v>
      </c>
      <c r="Q4034">
        <v>-9.3597609999999998E-2</v>
      </c>
      <c r="R4034">
        <v>-0.17155399999999901</v>
      </c>
      <c r="S4034">
        <v>-2.9967959999999998</v>
      </c>
      <c r="T4034">
        <v>-0.29877730000000002</v>
      </c>
      <c r="U4034">
        <v>-0.1996918</v>
      </c>
      <c r="V4034">
        <v>0.3392984</v>
      </c>
      <c r="W4034">
        <v>-8.5119559999999997E-2</v>
      </c>
      <c r="X4034">
        <v>0.93681979999999998</v>
      </c>
      <c r="Y4034">
        <v>0.43587540000000002</v>
      </c>
      <c r="Z4034">
        <v>6.515174E-2</v>
      </c>
      <c r="AA4034">
        <v>0.89764580000000005</v>
      </c>
      <c r="AB4034">
        <v>19</v>
      </c>
      <c r="AC4034">
        <v>-11.019500000000001</v>
      </c>
      <c r="AD4034">
        <v>-1.115783558523</v>
      </c>
      <c r="AE4034">
        <v>-0.65919999999999801</v>
      </c>
      <c r="AF4034">
        <v>4.8737951249095302</v>
      </c>
      <c r="AG4034">
        <v>-1.115783558523</v>
      </c>
      <c r="AH4034">
        <v>9.7804776547601495</v>
      </c>
      <c r="AI4034">
        <v>95.830110201979394</v>
      </c>
      <c r="AJ4034">
        <v>63.512064747207603</v>
      </c>
      <c r="AK4034">
        <v>10.984379592144601</v>
      </c>
      <c r="AL4034">
        <v>94.882899870535496</v>
      </c>
      <c r="AM4034">
        <v>70.090571860621495</v>
      </c>
      <c r="AN4034">
        <v>1.0000000407045899</v>
      </c>
    </row>
    <row r="4035" spans="1:40" x14ac:dyDescent="0.25">
      <c r="A4035" t="str">
        <f>"20190303154553400"</f>
        <v>20190303154553400</v>
      </c>
      <c r="B4035" t="str">
        <f>"1551599153395288"</f>
        <v>1551599153395288</v>
      </c>
      <c r="C4035" t="s">
        <v>40</v>
      </c>
      <c r="D4035">
        <v>5.2195939999999998</v>
      </c>
      <c r="E4035">
        <v>0.53596889999999997</v>
      </c>
      <c r="F4035" t="s">
        <v>41</v>
      </c>
      <c r="G4035">
        <v>-211.57329999999999</v>
      </c>
      <c r="H4035" s="1">
        <v>-4.9594219999999997E-6</v>
      </c>
      <c r="I4035">
        <v>144.4211</v>
      </c>
      <c r="J4035">
        <v>-201.9161</v>
      </c>
      <c r="K4035">
        <v>1.1159319999999999</v>
      </c>
      <c r="L4035">
        <v>145.2698</v>
      </c>
      <c r="M4035">
        <v>-0.87205189999999999</v>
      </c>
      <c r="N4035">
        <v>-1.3340319999999999E-2</v>
      </c>
      <c r="O4035">
        <v>-0.48923149999999999</v>
      </c>
      <c r="P4035">
        <v>-0.98178639999999995</v>
      </c>
      <c r="Q4035">
        <v>-9.1188770000000002E-2</v>
      </c>
      <c r="R4035">
        <v>-0.16667419999999999</v>
      </c>
      <c r="S4035">
        <v>-2.9769589999999999</v>
      </c>
      <c r="T4035">
        <v>-0.33739609999999998</v>
      </c>
      <c r="U4035">
        <v>-0.28482059999999998</v>
      </c>
      <c r="V4035">
        <v>0.33402349999999997</v>
      </c>
      <c r="W4035">
        <v>-8.2726690000000005E-2</v>
      </c>
      <c r="X4035">
        <v>0.93892739999999997</v>
      </c>
      <c r="Y4035">
        <v>0.39903460000000002</v>
      </c>
      <c r="Z4035">
        <v>7.1354230000000005E-2</v>
      </c>
      <c r="AA4035">
        <v>0.9141553</v>
      </c>
      <c r="AB4035">
        <v>19</v>
      </c>
      <c r="AC4035">
        <v>-9.65719999999998</v>
      </c>
      <c r="AD4035">
        <v>-1.1159369594220001</v>
      </c>
      <c r="AE4035">
        <v>-0.848700000000007</v>
      </c>
      <c r="AF4035">
        <v>3.9327395486766901</v>
      </c>
      <c r="AG4035">
        <v>-1.1159369594220001</v>
      </c>
      <c r="AH4035">
        <v>8.7220052602651208</v>
      </c>
      <c r="AI4035">
        <v>96.652722327285602</v>
      </c>
      <c r="AJ4035">
        <v>65.729455544233701</v>
      </c>
      <c r="AK4035">
        <v>9.6325039016458405</v>
      </c>
      <c r="AL4035">
        <v>94.745313152460895</v>
      </c>
      <c r="AM4035">
        <v>70.416980089031298</v>
      </c>
      <c r="AN4035">
        <v>1.00000003313068</v>
      </c>
    </row>
    <row r="4036" spans="1:40" x14ac:dyDescent="0.25">
      <c r="A4036" t="str">
        <f>"20190303154553422"</f>
        <v>20190303154553422</v>
      </c>
      <c r="B4036" t="str">
        <f>"1551599153414808"</f>
        <v>1551599153414808</v>
      </c>
      <c r="C4036" t="s">
        <v>40</v>
      </c>
      <c r="D4036">
        <v>5.1114509999999997</v>
      </c>
      <c r="E4036">
        <v>0.53502629999999995</v>
      </c>
      <c r="F4036" t="s">
        <v>41</v>
      </c>
      <c r="G4036">
        <v>-213.84809999999999</v>
      </c>
      <c r="H4036" s="1">
        <v>-4.0829049999999998E-6</v>
      </c>
      <c r="I4036">
        <v>144.40459999999999</v>
      </c>
      <c r="J4036">
        <v>-202.09569999999999</v>
      </c>
      <c r="K4036">
        <v>1.1160810000000001</v>
      </c>
      <c r="L4036">
        <v>145.18260000000001</v>
      </c>
      <c r="M4036">
        <v>-0.87687979999999999</v>
      </c>
      <c r="N4036">
        <v>-1.305721E-2</v>
      </c>
      <c r="O4036">
        <v>-0.48053289999999999</v>
      </c>
      <c r="P4036">
        <v>-0.9823769</v>
      </c>
      <c r="Q4036">
        <v>-9.0047699999999994E-2</v>
      </c>
      <c r="R4036">
        <v>-0.16379070000000001</v>
      </c>
      <c r="S4036">
        <v>-2.9927980000000001</v>
      </c>
      <c r="T4036">
        <v>-0.27989899999999901</v>
      </c>
      <c r="U4036">
        <v>-0.2170105</v>
      </c>
      <c r="V4036">
        <v>0.32753640000000001</v>
      </c>
      <c r="W4036">
        <v>-8.1596650000000007E-2</v>
      </c>
      <c r="X4036">
        <v>0.94130860000000005</v>
      </c>
      <c r="Y4036">
        <v>0.4124911</v>
      </c>
      <c r="Z4036">
        <v>5.8560380000000002E-2</v>
      </c>
      <c r="AA4036">
        <v>0.90907740000000004</v>
      </c>
      <c r="AB4036">
        <v>19</v>
      </c>
      <c r="AC4036">
        <v>-11.7523999999999</v>
      </c>
      <c r="AD4036">
        <v>-1.116085082905</v>
      </c>
      <c r="AE4036">
        <v>-0.77800000000002001</v>
      </c>
      <c r="AF4036">
        <v>4.9214333184392203</v>
      </c>
      <c r="AG4036">
        <v>-1.116085082905</v>
      </c>
      <c r="AH4036">
        <v>10.585157052843501</v>
      </c>
      <c r="AI4036">
        <v>95.461450108389101</v>
      </c>
      <c r="AJ4036">
        <v>65.064530730140007</v>
      </c>
      <c r="AK4036">
        <v>11.7265383491245</v>
      </c>
      <c r="AL4036">
        <v>94.680347164487799</v>
      </c>
      <c r="AM4036">
        <v>70.8142204628966</v>
      </c>
      <c r="AN4036">
        <v>0.99999999352507096</v>
      </c>
    </row>
    <row r="4037" spans="1:40" x14ac:dyDescent="0.25">
      <c r="A4037" t="str">
        <f>"20190303154553443"</f>
        <v>20190303154553443</v>
      </c>
      <c r="B4037" t="str">
        <f>"1551599153435304"</f>
        <v>1551599153435304</v>
      </c>
      <c r="C4037" t="s">
        <v>40</v>
      </c>
      <c r="D4037">
        <v>5.2928850000000001</v>
      </c>
      <c r="E4037">
        <v>0.53399830000000004</v>
      </c>
      <c r="F4037" t="s">
        <v>41</v>
      </c>
      <c r="G4037">
        <v>-215.40469999999999</v>
      </c>
      <c r="H4037" s="1">
        <v>-3.377913E-6</v>
      </c>
      <c r="I4037">
        <v>144.22110000000001</v>
      </c>
      <c r="J4037">
        <v>-202.2619</v>
      </c>
      <c r="K4037">
        <v>1.116204</v>
      </c>
      <c r="L4037">
        <v>145.1035</v>
      </c>
      <c r="M4037">
        <v>-0.88111550000000005</v>
      </c>
      <c r="N4037">
        <v>-1.2769630000000001E-2</v>
      </c>
      <c r="O4037">
        <v>-0.47272910000000001</v>
      </c>
      <c r="P4037">
        <v>-0.98279680000000003</v>
      </c>
      <c r="Q4037">
        <v>-9.1166999999999998E-2</v>
      </c>
      <c r="R4037">
        <v>-0.16062290000000001</v>
      </c>
      <c r="S4037">
        <v>-2.99472</v>
      </c>
      <c r="T4037">
        <v>-0.25113439999999998</v>
      </c>
      <c r="U4037">
        <v>-0.2163544</v>
      </c>
      <c r="V4037">
        <v>0.32218089999999999</v>
      </c>
      <c r="W4037">
        <v>-8.2777539999999997E-2</v>
      </c>
      <c r="X4037">
        <v>0.94305220000000001</v>
      </c>
      <c r="Y4037">
        <v>0.405366</v>
      </c>
      <c r="Z4037">
        <v>5.141163E-2</v>
      </c>
      <c r="AA4037">
        <v>0.91270770000000001</v>
      </c>
      <c r="AB4037">
        <v>19</v>
      </c>
      <c r="AC4037">
        <v>-13.1427999999999</v>
      </c>
      <c r="AD4037">
        <v>-1.116207377913</v>
      </c>
      <c r="AE4037">
        <v>-0.88239999999998897</v>
      </c>
      <c r="AF4037">
        <v>5.39717490582564</v>
      </c>
      <c r="AG4037">
        <v>-1.116207377913</v>
      </c>
      <c r="AH4037">
        <v>11.9128951759279</v>
      </c>
      <c r="AI4037">
        <v>94.878195167783105</v>
      </c>
      <c r="AJ4037">
        <v>65.626946031253198</v>
      </c>
      <c r="AK4037">
        <v>13.1260232876232</v>
      </c>
      <c r="AL4037">
        <v>94.748236576863206</v>
      </c>
      <c r="AM4037">
        <v>71.137968523623002</v>
      </c>
      <c r="AN4037">
        <v>1.00000005268904</v>
      </c>
    </row>
    <row r="4038" spans="1:40" x14ac:dyDescent="0.25">
      <c r="A4038" t="str">
        <f>"20190303154553465"</f>
        <v>20190303154553465</v>
      </c>
      <c r="B4038" t="str">
        <f>"1551599153454823"</f>
        <v>1551599153454823</v>
      </c>
      <c r="C4038" t="s">
        <v>40</v>
      </c>
      <c r="D4038">
        <v>5.3252860000000002</v>
      </c>
      <c r="E4038">
        <v>0.534215199999999</v>
      </c>
      <c r="F4038" t="s">
        <v>41</v>
      </c>
      <c r="G4038">
        <v>-214.90600000000001</v>
      </c>
      <c r="H4038" s="1">
        <v>-3.607287E-6</v>
      </c>
      <c r="I4038">
        <v>144.19710000000001</v>
      </c>
      <c r="J4038">
        <v>-202.44040000000001</v>
      </c>
      <c r="K4038">
        <v>1.116287</v>
      </c>
      <c r="L4038">
        <v>145.02010000000001</v>
      </c>
      <c r="M4038">
        <v>-0.88544769999999995</v>
      </c>
      <c r="N4038">
        <v>-1.2457279999999999E-2</v>
      </c>
      <c r="O4038">
        <v>-0.46457199999999998</v>
      </c>
      <c r="P4038">
        <v>-0.98315810000000003</v>
      </c>
      <c r="Q4038">
        <v>-9.3508629999999995E-2</v>
      </c>
      <c r="R4038">
        <v>-0.15702439999999901</v>
      </c>
      <c r="S4038">
        <v>-2.992966</v>
      </c>
      <c r="T4038">
        <v>-0.26421640000000002</v>
      </c>
      <c r="U4038">
        <v>-0.2145386</v>
      </c>
      <c r="V4038">
        <v>0.31681880000000001</v>
      </c>
      <c r="W4038">
        <v>-8.5231329999999994E-2</v>
      </c>
      <c r="X4038">
        <v>0.94464890000000001</v>
      </c>
      <c r="Y4038">
        <v>0.39717400000000003</v>
      </c>
      <c r="Z4038">
        <v>5.345685E-2</v>
      </c>
      <c r="AA4038">
        <v>0.91618509999999997</v>
      </c>
      <c r="AB4038">
        <v>19</v>
      </c>
      <c r="AC4038">
        <v>-12.465599999999901</v>
      </c>
      <c r="AD4038">
        <v>-1.116290607287</v>
      </c>
      <c r="AE4038">
        <v>-0.82300000000000695</v>
      </c>
      <c r="AF4038">
        <v>5.02273498203642</v>
      </c>
      <c r="AG4038">
        <v>-1.116290607287</v>
      </c>
      <c r="AH4038">
        <v>11.3304002397575</v>
      </c>
      <c r="AI4038">
        <v>95.146663439643604</v>
      </c>
      <c r="AJ4038">
        <v>66.092423031898704</v>
      </c>
      <c r="AK4038">
        <v>12.443951985313401</v>
      </c>
      <c r="AL4038">
        <v>94.889327190040206</v>
      </c>
      <c r="AM4038">
        <v>71.459443551661096</v>
      </c>
      <c r="AN4038">
        <v>1.0000000379591001</v>
      </c>
    </row>
    <row r="4039" spans="1:40" x14ac:dyDescent="0.25">
      <c r="A4039" t="str">
        <f>"20190303154553511"</f>
        <v>20190303154553511</v>
      </c>
      <c r="B4039" t="str">
        <f>"1551599153504600"</f>
        <v>1551599153504600</v>
      </c>
      <c r="C4039" t="s">
        <v>40</v>
      </c>
      <c r="D4039">
        <v>5.3055349999999999</v>
      </c>
      <c r="E4039">
        <v>0.53416470000000005</v>
      </c>
      <c r="F4039" t="s">
        <v>41</v>
      </c>
      <c r="G4039">
        <v>-214.52430000000001</v>
      </c>
      <c r="H4039" s="1">
        <v>-3.787979E-6</v>
      </c>
      <c r="I4039">
        <v>144.20580000000001</v>
      </c>
      <c r="J4039">
        <v>-202.8117</v>
      </c>
      <c r="K4039">
        <v>1.1163920000000001</v>
      </c>
      <c r="L4039">
        <v>144.852</v>
      </c>
      <c r="M4039">
        <v>-0.89384759999999996</v>
      </c>
      <c r="N4039">
        <v>-1.1790780000000001E-2</v>
      </c>
      <c r="O4039">
        <v>-0.4482159</v>
      </c>
      <c r="P4039">
        <v>-0.98415889999999995</v>
      </c>
      <c r="Q4039">
        <v>-9.6643889999999996E-2</v>
      </c>
      <c r="R4039">
        <v>-0.14863189999999901</v>
      </c>
      <c r="S4039">
        <v>-2.9928889999999999</v>
      </c>
      <c r="T4039">
        <v>-0.27647759999999999</v>
      </c>
      <c r="U4039">
        <v>-0.2016907</v>
      </c>
      <c r="V4039">
        <v>0.3073611</v>
      </c>
      <c r="W4039">
        <v>-8.8736280000000001E-2</v>
      </c>
      <c r="X4039">
        <v>0.94744660000000003</v>
      </c>
      <c r="Y4039">
        <v>0.38398919999999997</v>
      </c>
      <c r="Z4039">
        <v>5.4472439999999997E-2</v>
      </c>
      <c r="AA4039">
        <v>0.92172940000000003</v>
      </c>
      <c r="AB4039">
        <v>19</v>
      </c>
      <c r="AC4039">
        <v>-11.7126</v>
      </c>
      <c r="AD4039">
        <v>-1.1163957879790001</v>
      </c>
      <c r="AE4039">
        <v>-0.646199999999993</v>
      </c>
      <c r="AF4039">
        <v>4.6305525496400097</v>
      </c>
      <c r="AG4039">
        <v>-1.1163957879790001</v>
      </c>
      <c r="AH4039">
        <v>10.6630829987791</v>
      </c>
      <c r="AI4039">
        <v>95.485468245203705</v>
      </c>
      <c r="AJ4039">
        <v>66.526612337821703</v>
      </c>
      <c r="AK4039">
        <v>11.678599895074999</v>
      </c>
      <c r="AL4039">
        <v>95.090910294996505</v>
      </c>
      <c r="AM4039">
        <v>72.026421536045007</v>
      </c>
      <c r="AN4039">
        <v>1.0000000165164999</v>
      </c>
    </row>
    <row r="4040" spans="1:40" x14ac:dyDescent="0.25">
      <c r="A4040" t="str">
        <f>"20190303154553531"</f>
        <v>20190303154553531</v>
      </c>
      <c r="B4040" t="str">
        <f>"1551599153525052"</f>
        <v>1551599153525052</v>
      </c>
      <c r="C4040" t="s">
        <v>40</v>
      </c>
      <c r="D4040">
        <v>5.3113489999999999</v>
      </c>
      <c r="E4040">
        <v>0.53421750000000001</v>
      </c>
      <c r="F4040" t="s">
        <v>41</v>
      </c>
      <c r="G4040">
        <v>-214.1259</v>
      </c>
      <c r="H4040" s="1">
        <v>-3.9374709999999998E-6</v>
      </c>
      <c r="I4040">
        <v>144.1859</v>
      </c>
      <c r="J4040">
        <v>-202.9803</v>
      </c>
      <c r="K4040">
        <v>1.116409</v>
      </c>
      <c r="L4040">
        <v>144.77789999999999</v>
      </c>
      <c r="M4040">
        <v>-0.89742409999999995</v>
      </c>
      <c r="N4040">
        <v>-1.146895E-2</v>
      </c>
      <c r="O4040">
        <v>-0.44101990000000002</v>
      </c>
      <c r="P4040">
        <v>-0.98469240000000002</v>
      </c>
      <c r="Q4040">
        <v>-9.6604860000000001E-2</v>
      </c>
      <c r="R4040">
        <v>-0.14508119999999999</v>
      </c>
      <c r="S4040">
        <v>-2.992661</v>
      </c>
      <c r="T4040">
        <v>-0.29529309999999998</v>
      </c>
      <c r="U4040">
        <v>-0.176178</v>
      </c>
      <c r="V4040">
        <v>0.30317369999999999</v>
      </c>
      <c r="W4040">
        <v>-8.8913450000000005E-2</v>
      </c>
      <c r="X4040">
        <v>0.94877820000000002</v>
      </c>
      <c r="Y4040">
        <v>0.38395230000000002</v>
      </c>
      <c r="Z4040">
        <v>5.7955029999999998E-2</v>
      </c>
      <c r="AA4040">
        <v>0.92153229999999997</v>
      </c>
      <c r="AB4040">
        <v>19</v>
      </c>
      <c r="AC4040">
        <v>-11.1456</v>
      </c>
      <c r="AD4040">
        <v>-1.1164129374709999</v>
      </c>
      <c r="AE4040">
        <v>-0.59199999999998398</v>
      </c>
      <c r="AF4040">
        <v>4.3410124189064199</v>
      </c>
      <c r="AG4040">
        <v>-1.1164129374709999</v>
      </c>
      <c r="AH4040">
        <v>10.162412911248699</v>
      </c>
      <c r="AI4040">
        <v>95.768791149550907</v>
      </c>
      <c r="AJ4040">
        <v>66.869592444481796</v>
      </c>
      <c r="AK4040">
        <v>11.1069979223356</v>
      </c>
      <c r="AL4040">
        <v>95.101101841451296</v>
      </c>
      <c r="AM4040">
        <v>72.279178417715997</v>
      </c>
      <c r="AN4040">
        <v>0.99999998337891605</v>
      </c>
    </row>
    <row r="4041" spans="1:40" x14ac:dyDescent="0.25">
      <c r="A4041" t="str">
        <f>"20190303154553556"</f>
        <v>20190303154553556</v>
      </c>
      <c r="B4041" t="str">
        <f>"1551599153545547"</f>
        <v>1551599153545547</v>
      </c>
      <c r="C4041" t="s">
        <v>40</v>
      </c>
      <c r="D4041">
        <v>5.3544960000000001</v>
      </c>
      <c r="E4041">
        <v>0.53406799999999999</v>
      </c>
      <c r="F4041" t="s">
        <v>41</v>
      </c>
      <c r="G4041">
        <v>-214.22389999999999</v>
      </c>
      <c r="H4041" s="1">
        <v>-3.8949819999999999E-6</v>
      </c>
      <c r="I4041">
        <v>144.15860000000001</v>
      </c>
      <c r="J4041">
        <v>-203.1806</v>
      </c>
      <c r="K4041">
        <v>1.116411</v>
      </c>
      <c r="L4041">
        <v>144.6917</v>
      </c>
      <c r="M4041">
        <v>-0.90150419999999998</v>
      </c>
      <c r="N4041">
        <v>-1.1085380000000001E-2</v>
      </c>
      <c r="O4041">
        <v>-0.43262820000000002</v>
      </c>
      <c r="P4041">
        <v>-0.98536820000000003</v>
      </c>
      <c r="Q4041">
        <v>-9.7014959999999997E-2</v>
      </c>
      <c r="R4041">
        <v>-0.14013410000000001</v>
      </c>
      <c r="S4041">
        <v>-2.9931950000000001</v>
      </c>
      <c r="T4041">
        <v>-0.29720390000000002</v>
      </c>
      <c r="U4041">
        <v>-0.16488649999999999</v>
      </c>
      <c r="V4041">
        <v>0.29907119999999998</v>
      </c>
      <c r="W4041">
        <v>-8.9599010000000007E-2</v>
      </c>
      <c r="X4041">
        <v>0.95001500000000005</v>
      </c>
      <c r="Y4041">
        <v>0.3788144</v>
      </c>
      <c r="Z4041">
        <v>5.7516039999999997E-2</v>
      </c>
      <c r="AA4041">
        <v>0.9236837</v>
      </c>
      <c r="AB4041">
        <v>20</v>
      </c>
      <c r="AC4041">
        <v>-11.043299999999901</v>
      </c>
      <c r="AD4041">
        <v>-1.1164148949820001</v>
      </c>
      <c r="AE4041">
        <v>-0.53309999999999003</v>
      </c>
      <c r="AF4041">
        <v>4.2539409830384596</v>
      </c>
      <c r="AG4041">
        <v>-1.1164148949820001</v>
      </c>
      <c r="AH4041">
        <v>10.084022305028</v>
      </c>
      <c r="AI4041">
        <v>95.824385987446803</v>
      </c>
      <c r="AJ4041">
        <v>67.127569253223797</v>
      </c>
      <c r="AK4041">
        <v>11.001359095730599</v>
      </c>
      <c r="AL4041">
        <v>95.140538688465199</v>
      </c>
      <c r="AM4041">
        <v>72.525642569500306</v>
      </c>
      <c r="AN4041">
        <v>1.0000000327437</v>
      </c>
    </row>
    <row r="4042" spans="1:40" x14ac:dyDescent="0.25">
      <c r="A4042" t="str">
        <f>"20190303154553576"</f>
        <v>20190303154553576</v>
      </c>
      <c r="B4042" t="str">
        <f>"1551599153565067"</f>
        <v>1551599153565067</v>
      </c>
      <c r="C4042" t="s">
        <v>40</v>
      </c>
      <c r="D4042">
        <v>5.3318009999999996</v>
      </c>
      <c r="E4042">
        <v>0.5339834</v>
      </c>
      <c r="F4042" t="s">
        <v>41</v>
      </c>
      <c r="G4042">
        <v>-214.23750000000001</v>
      </c>
      <c r="H4042" s="1">
        <v>-3.88541099999999E-6</v>
      </c>
      <c r="I4042">
        <v>144.13419999999999</v>
      </c>
      <c r="J4042">
        <v>-203.34989999999999</v>
      </c>
      <c r="K4042">
        <v>1.116431</v>
      </c>
      <c r="L4042">
        <v>144.62039999999999</v>
      </c>
      <c r="M4042">
        <v>-0.90479739999999997</v>
      </c>
      <c r="N4042">
        <v>-1.075016E-2</v>
      </c>
      <c r="O4042">
        <v>-0.42570659999999999</v>
      </c>
      <c r="P4042">
        <v>-0.98590129999999998</v>
      </c>
      <c r="Q4042">
        <v>-9.6390359999999994E-2</v>
      </c>
      <c r="R4042">
        <v>-0.13677500000000001</v>
      </c>
      <c r="S4042">
        <v>-2.9933320000000001</v>
      </c>
      <c r="T4042">
        <v>-0.3022358</v>
      </c>
      <c r="U4042">
        <v>-0.15092469999999999</v>
      </c>
      <c r="V4042">
        <v>0.29507030000000001</v>
      </c>
      <c r="W4042">
        <v>-8.9194540000000003E-2</v>
      </c>
      <c r="X4042">
        <v>0.95130320000000002</v>
      </c>
      <c r="Y4042">
        <v>0.37593080000000001</v>
      </c>
      <c r="Z4042">
        <v>5.791785E-2</v>
      </c>
      <c r="AA4042">
        <v>0.92483599999999999</v>
      </c>
      <c r="AB4042">
        <v>20</v>
      </c>
      <c r="AC4042">
        <v>-10.887600000000001</v>
      </c>
      <c r="AD4042">
        <v>-1.116434885411</v>
      </c>
      <c r="AE4042">
        <v>-0.48619999999999602</v>
      </c>
      <c r="AF4042">
        <v>4.1516856715040298</v>
      </c>
      <c r="AG4042">
        <v>-1.116434885411</v>
      </c>
      <c r="AH4042">
        <v>9.9541737137139297</v>
      </c>
      <c r="AI4042">
        <v>95.909910842460604</v>
      </c>
      <c r="AJ4042">
        <v>67.359964448546904</v>
      </c>
      <c r="AK4042">
        <v>10.842900676992601</v>
      </c>
      <c r="AL4042">
        <v>95.117271461113504</v>
      </c>
      <c r="AM4042">
        <v>72.767425934943205</v>
      </c>
      <c r="AN4042">
        <v>0.99999996311907002</v>
      </c>
    </row>
    <row r="4043" spans="1:40" x14ac:dyDescent="0.25">
      <c r="A4043" t="str">
        <f>"20190303154553600"</f>
        <v>20190303154553600</v>
      </c>
      <c r="B4043" t="str">
        <f>"1551599153595323"</f>
        <v>1551599153595323</v>
      </c>
      <c r="C4043" t="s">
        <v>40</v>
      </c>
      <c r="D4043">
        <v>5.2556310000000002</v>
      </c>
      <c r="E4043">
        <v>0.53458059999999996</v>
      </c>
      <c r="F4043" t="s">
        <v>41</v>
      </c>
      <c r="G4043">
        <v>-214.37180000000001</v>
      </c>
      <c r="H4043" s="1">
        <v>-3.8277800000000003E-6</v>
      </c>
      <c r="I4043">
        <v>144.1</v>
      </c>
      <c r="J4043">
        <v>-203.55029999999999</v>
      </c>
      <c r="K4043">
        <v>1.116487</v>
      </c>
      <c r="L4043">
        <v>144.53739999999999</v>
      </c>
      <c r="M4043">
        <v>-0.90851459999999995</v>
      </c>
      <c r="N4043">
        <v>-1.033189E-2</v>
      </c>
      <c r="O4043">
        <v>-0.41772530000000002</v>
      </c>
      <c r="P4043">
        <v>-0.98656540000000004</v>
      </c>
      <c r="Q4043">
        <v>-9.5429050000000001E-2</v>
      </c>
      <c r="R4043">
        <v>-0.13259689999999999</v>
      </c>
      <c r="S4043">
        <v>-2.993668</v>
      </c>
      <c r="T4043">
        <v>-0.30323489999999997</v>
      </c>
      <c r="U4043">
        <v>-0.14132690000000001</v>
      </c>
      <c r="V4043">
        <v>0.29079389999999999</v>
      </c>
      <c r="W4043">
        <v>-8.849717E-2</v>
      </c>
      <c r="X4043">
        <v>0.95268419999999998</v>
      </c>
      <c r="Y4043">
        <v>0.37076229999999999</v>
      </c>
      <c r="Z4043">
        <v>5.7288890000000002E-2</v>
      </c>
      <c r="AA4043">
        <v>0.92695919999999998</v>
      </c>
      <c r="AB4043">
        <v>20</v>
      </c>
      <c r="AC4043">
        <v>-10.8215</v>
      </c>
      <c r="AD4043">
        <v>-1.1164908277799901</v>
      </c>
      <c r="AE4043">
        <v>-0.43739999999999601</v>
      </c>
      <c r="AF4043">
        <v>4.0798916431997601</v>
      </c>
      <c r="AG4043">
        <v>-1.1164908277799901</v>
      </c>
      <c r="AH4043">
        <v>9.9094272614677106</v>
      </c>
      <c r="AI4043">
        <v>95.947889823516306</v>
      </c>
      <c r="AJ4043">
        <v>67.622142853850093</v>
      </c>
      <c r="AK4043">
        <v>10.7744520157216</v>
      </c>
      <c r="AL4043">
        <v>95.077156207063197</v>
      </c>
      <c r="AM4043">
        <v>73.0259027257665</v>
      </c>
      <c r="AN4043">
        <v>1.00000001315242</v>
      </c>
    </row>
    <row r="4044" spans="1:40" x14ac:dyDescent="0.25">
      <c r="A4044" t="str">
        <f>"20190303154553645"</f>
        <v>20190303154553645</v>
      </c>
      <c r="B4044" t="str">
        <f>"1551599153635343"</f>
        <v>1551599153635343</v>
      </c>
      <c r="C4044" t="s">
        <v>40</v>
      </c>
      <c r="D4044">
        <v>5.2408539999999997</v>
      </c>
      <c r="E4044">
        <v>0.53499810000000003</v>
      </c>
      <c r="F4044" t="s">
        <v>41</v>
      </c>
      <c r="G4044">
        <v>-214.89349999999999</v>
      </c>
      <c r="H4044" s="1">
        <v>-3.5787699999999898E-6</v>
      </c>
      <c r="I4044">
        <v>144.0677</v>
      </c>
      <c r="J4044">
        <v>-203.91669999999999</v>
      </c>
      <c r="K4044">
        <v>1.1166640000000001</v>
      </c>
      <c r="L4044">
        <v>144.38990000000001</v>
      </c>
      <c r="M4044">
        <v>-0.91474770000000005</v>
      </c>
      <c r="N4044">
        <v>-9.5248859999999998E-3</v>
      </c>
      <c r="O4044">
        <v>-0.40391339999999998</v>
      </c>
      <c r="P4044">
        <v>-0.98728890000000002</v>
      </c>
      <c r="Q4044">
        <v>-9.5034640000000004E-2</v>
      </c>
      <c r="R4044">
        <v>-0.1273938</v>
      </c>
      <c r="S4044">
        <v>-2.9956670000000001</v>
      </c>
      <c r="T4044">
        <v>-0.29485790000000001</v>
      </c>
      <c r="U4044">
        <v>-0.1240387</v>
      </c>
      <c r="V4044">
        <v>0.28144829999999998</v>
      </c>
      <c r="W4044">
        <v>-8.8556410000000002E-2</v>
      </c>
      <c r="X4044">
        <v>0.95548140000000004</v>
      </c>
      <c r="Y4044">
        <v>0.3623422</v>
      </c>
      <c r="Z4044">
        <v>5.4259450000000001E-2</v>
      </c>
      <c r="AA4044">
        <v>0.93046439999999997</v>
      </c>
      <c r="AB4044">
        <v>20</v>
      </c>
      <c r="AC4044">
        <v>-10.9767999999999</v>
      </c>
      <c r="AD4044">
        <v>-1.11666757876999</v>
      </c>
      <c r="AE4044">
        <v>-0.32220000000000898</v>
      </c>
      <c r="AF4044">
        <v>4.0967716396185203</v>
      </c>
      <c r="AG4044">
        <v>-1.11666757876999</v>
      </c>
      <c r="AH4044">
        <v>10.0675058588194</v>
      </c>
      <c r="AI4044">
        <v>95.865841131370999</v>
      </c>
      <c r="AJ4044">
        <v>67.857110450312604</v>
      </c>
      <c r="AK4044">
        <v>10.9263515670155</v>
      </c>
      <c r="AL4044">
        <v>95.080563627991097</v>
      </c>
      <c r="AM4044">
        <v>73.5870416772797</v>
      </c>
      <c r="AN4044">
        <v>1.00000004453546</v>
      </c>
    </row>
    <row r="4045" spans="1:40" x14ac:dyDescent="0.25">
      <c r="A4045" t="str">
        <f>"20190303154553665"</f>
        <v>20190303154553665</v>
      </c>
      <c r="B4045" t="str">
        <f>"1551599153654863"</f>
        <v>1551599153654863</v>
      </c>
      <c r="C4045" t="s">
        <v>40</v>
      </c>
      <c r="D4045">
        <v>5.2557869999999998</v>
      </c>
      <c r="E4045">
        <v>0.53558359999999905</v>
      </c>
      <c r="F4045" t="s">
        <v>41</v>
      </c>
      <c r="G4045">
        <v>-216.18379999999999</v>
      </c>
      <c r="H4045" s="1">
        <v>-2.939394E-6</v>
      </c>
      <c r="I4045">
        <v>143.9572</v>
      </c>
      <c r="J4045">
        <v>-204.1037</v>
      </c>
      <c r="K4045">
        <v>1.116738</v>
      </c>
      <c r="L4045">
        <v>144.31649999999999</v>
      </c>
      <c r="M4045">
        <v>-0.91766899999999996</v>
      </c>
      <c r="N4045">
        <v>-9.1283809999999996E-3</v>
      </c>
      <c r="O4045">
        <v>-0.39724110000000001</v>
      </c>
      <c r="P4045">
        <v>-0.987591</v>
      </c>
      <c r="Q4045">
        <v>-9.4936099999999995E-2</v>
      </c>
      <c r="R4045">
        <v>-0.12510569999999999</v>
      </c>
      <c r="S4045">
        <v>-2.9987029999999999</v>
      </c>
      <c r="T4045">
        <v>-0.27296959999999998</v>
      </c>
      <c r="U4045">
        <v>-0.1057892</v>
      </c>
      <c r="V4045">
        <v>0.27673330000000002</v>
      </c>
      <c r="W4045">
        <v>-8.869109E-2</v>
      </c>
      <c r="X4045">
        <v>0.9568451</v>
      </c>
      <c r="Y4045">
        <v>0.36177090000000001</v>
      </c>
      <c r="Z4045">
        <v>4.9616399999999998E-2</v>
      </c>
      <c r="AA4045">
        <v>0.93094580000000005</v>
      </c>
      <c r="AB4045">
        <v>20</v>
      </c>
      <c r="AC4045">
        <v>-12.0800999999999</v>
      </c>
      <c r="AD4045">
        <v>-1.116740939394</v>
      </c>
      <c r="AE4045">
        <v>-0.35929999999999002</v>
      </c>
      <c r="AF4045">
        <v>4.4313426096783397</v>
      </c>
      <c r="AG4045">
        <v>-1.116740939394</v>
      </c>
      <c r="AH4045">
        <v>11.1336642622556</v>
      </c>
      <c r="AI4045">
        <v>95.324176333604299</v>
      </c>
      <c r="AJ4045">
        <v>68.296803668281797</v>
      </c>
      <c r="AK4045">
        <v>12.035048298810301</v>
      </c>
      <c r="AL4045">
        <v>95.088310999742802</v>
      </c>
      <c r="AM4045">
        <v>73.869373960247202</v>
      </c>
      <c r="AN4045">
        <v>0.99999998708414395</v>
      </c>
    </row>
    <row r="4046" spans="1:40" x14ac:dyDescent="0.25">
      <c r="A4046" t="str">
        <f>"20190303154553689"</f>
        <v>20190303154553689</v>
      </c>
      <c r="B4046" t="str">
        <f>"1551599153685119"</f>
        <v>1551599153685119</v>
      </c>
      <c r="C4046" t="s">
        <v>40</v>
      </c>
      <c r="D4046">
        <v>5.2876260000000004</v>
      </c>
      <c r="E4046">
        <v>0.53589709999999902</v>
      </c>
      <c r="F4046" t="s">
        <v>41</v>
      </c>
      <c r="G4046">
        <v>-216.95310000000001</v>
      </c>
      <c r="H4046" s="1">
        <v>-2.5635320000000001E-6</v>
      </c>
      <c r="I4046">
        <v>143.91120000000001</v>
      </c>
      <c r="J4046">
        <v>-204.30449999999999</v>
      </c>
      <c r="K4046">
        <v>1.1167899999999999</v>
      </c>
      <c r="L4046">
        <v>144.23910000000001</v>
      </c>
      <c r="M4046">
        <v>-0.92064310000000005</v>
      </c>
      <c r="N4046">
        <v>-8.7343479999999994E-3</v>
      </c>
      <c r="O4046">
        <v>-0.39030759999999998</v>
      </c>
      <c r="P4046">
        <v>-0.98785500000000004</v>
      </c>
      <c r="Q4046">
        <v>-9.536066E-2</v>
      </c>
      <c r="R4046">
        <v>-0.1226752</v>
      </c>
      <c r="S4046">
        <v>-3.00061</v>
      </c>
      <c r="T4046">
        <v>-0.26078259999999998</v>
      </c>
      <c r="U4046">
        <v>-9.4665529999999998E-2</v>
      </c>
      <c r="V4046">
        <v>0.27186719999999998</v>
      </c>
      <c r="W4046">
        <v>-8.937378E-2</v>
      </c>
      <c r="X4046">
        <v>0.95817569999999996</v>
      </c>
      <c r="Y4046">
        <v>0.35849589999999998</v>
      </c>
      <c r="Z4046">
        <v>4.6733860000000002E-2</v>
      </c>
      <c r="AA4046">
        <v>0.93236079999999999</v>
      </c>
      <c r="AB4046">
        <v>20</v>
      </c>
      <c r="AC4046">
        <v>-12.6486</v>
      </c>
      <c r="AD4046">
        <v>-1.116792563532</v>
      </c>
      <c r="AE4046">
        <v>-0.32789999999999903</v>
      </c>
      <c r="AF4046">
        <v>4.5993113939765102</v>
      </c>
      <c r="AG4046">
        <v>-1.116792563532</v>
      </c>
      <c r="AH4046">
        <v>11.6822657767396</v>
      </c>
      <c r="AI4046">
        <v>95.083180792917403</v>
      </c>
      <c r="AJ4046">
        <v>68.510426004033704</v>
      </c>
      <c r="AK4046">
        <v>12.6046112437911</v>
      </c>
      <c r="AL4046">
        <v>95.127581840991198</v>
      </c>
      <c r="AM4046">
        <v>74.159547988646196</v>
      </c>
      <c r="AN4046">
        <v>1.0000000595289</v>
      </c>
    </row>
    <row r="4047" spans="1:40" x14ac:dyDescent="0.25">
      <c r="A4047" t="str">
        <f>"20190303154553710"</f>
        <v>20190303154553710</v>
      </c>
      <c r="B4047" t="str">
        <f>"1551599153705615"</f>
        <v>1551599153705615</v>
      </c>
      <c r="C4047" t="s">
        <v>40</v>
      </c>
      <c r="D4047">
        <v>5.2873780000000004</v>
      </c>
      <c r="E4047">
        <v>0.53597019999999995</v>
      </c>
      <c r="F4047" t="s">
        <v>41</v>
      </c>
      <c r="G4047">
        <v>-217.66139999999999</v>
      </c>
      <c r="H4047" s="1">
        <v>-2.2149000000000002E-6</v>
      </c>
      <c r="I4047">
        <v>143.85929999999999</v>
      </c>
      <c r="J4047">
        <v>-204.4881</v>
      </c>
      <c r="K4047">
        <v>1.1168209999999901</v>
      </c>
      <c r="L4047">
        <v>144.1694</v>
      </c>
      <c r="M4047">
        <v>-0.92320740000000001</v>
      </c>
      <c r="N4047">
        <v>-8.3832790000000004E-3</v>
      </c>
      <c r="O4047">
        <v>-0.38421110000000003</v>
      </c>
      <c r="P4047">
        <v>-0.98812580000000005</v>
      </c>
      <c r="Q4047">
        <v>-9.4711100000000006E-2</v>
      </c>
      <c r="R4047">
        <v>-0.1209857</v>
      </c>
      <c r="S4047">
        <v>-3.0020449999999999</v>
      </c>
      <c r="T4047">
        <v>-0.251005899999999</v>
      </c>
      <c r="U4047">
        <v>-8.5357669999999997E-2</v>
      </c>
      <c r="V4047">
        <v>0.2672117</v>
      </c>
      <c r="W4047">
        <v>-8.8960559999999994E-2</v>
      </c>
      <c r="X4047">
        <v>0.95952280000000001</v>
      </c>
      <c r="Y4047">
        <v>0.35544629999999999</v>
      </c>
      <c r="Z4047">
        <v>4.4417760000000001E-2</v>
      </c>
      <c r="AA4047">
        <v>0.93364069999999999</v>
      </c>
      <c r="AB4047">
        <v>20</v>
      </c>
      <c r="AC4047">
        <v>-13.1732999999999</v>
      </c>
      <c r="AD4047">
        <v>-1.1168232148999999</v>
      </c>
      <c r="AE4047">
        <v>-0.31010000000000498</v>
      </c>
      <c r="AF4047">
        <v>4.7411501418822599</v>
      </c>
      <c r="AG4047">
        <v>-1.1168232148999999</v>
      </c>
      <c r="AH4047">
        <v>12.193667490835301</v>
      </c>
      <c r="AI4047">
        <v>94.879206605774499</v>
      </c>
      <c r="AJ4047">
        <v>68.752889028244496</v>
      </c>
      <c r="AK4047">
        <v>13.1305493273611</v>
      </c>
      <c r="AL4047">
        <v>95.1038115009503</v>
      </c>
      <c r="AM4047">
        <v>74.438333459926696</v>
      </c>
      <c r="AN4047">
        <v>1.0000000387861201</v>
      </c>
    </row>
    <row r="4048" spans="1:40" x14ac:dyDescent="0.25">
      <c r="A4048" t="str">
        <f>"20190303154553732"</f>
        <v>20190303154553732</v>
      </c>
      <c r="B4048" t="str">
        <f>"1551599153725135"</f>
        <v>1551599153725135</v>
      </c>
      <c r="C4048" t="s">
        <v>40</v>
      </c>
      <c r="D4048">
        <v>5.2811459999999997</v>
      </c>
      <c r="E4048">
        <v>0.53625970000000001</v>
      </c>
      <c r="F4048" t="s">
        <v>41</v>
      </c>
      <c r="G4048">
        <v>-218.20849999999999</v>
      </c>
      <c r="H4048" s="1">
        <v>-1.9417080000000002E-6</v>
      </c>
      <c r="I4048">
        <v>143.80449999999999</v>
      </c>
      <c r="J4048">
        <v>-204.68010000000001</v>
      </c>
      <c r="K4048">
        <v>1.1168559999999901</v>
      </c>
      <c r="L4048">
        <v>144.0977</v>
      </c>
      <c r="M4048">
        <v>-0.92573680000000003</v>
      </c>
      <c r="N4048">
        <v>-8.0213300000000001E-3</v>
      </c>
      <c r="O4048">
        <v>-0.37808350000000002</v>
      </c>
      <c r="P4048">
        <v>-0.98849679999999995</v>
      </c>
      <c r="Q4048">
        <v>-9.3109860000000003E-2</v>
      </c>
      <c r="R4048">
        <v>-0.11918430000000001</v>
      </c>
      <c r="S4048">
        <v>-3.0028380000000001</v>
      </c>
      <c r="T4048">
        <v>-0.2444279</v>
      </c>
      <c r="U4048">
        <v>-7.9864500000000005E-2</v>
      </c>
      <c r="V4048">
        <v>0.26268399999999997</v>
      </c>
      <c r="W4048">
        <v>-8.76112E-2</v>
      </c>
      <c r="X4048">
        <v>0.96089610000000003</v>
      </c>
      <c r="Y4048">
        <v>0.3511165</v>
      </c>
      <c r="Z4048">
        <v>4.2673250000000003E-2</v>
      </c>
      <c r="AA4048">
        <v>0.93535880000000005</v>
      </c>
      <c r="AB4048">
        <v>20</v>
      </c>
      <c r="AC4048">
        <v>-13.5283999999999</v>
      </c>
      <c r="AD4048">
        <v>-1.11685794170799</v>
      </c>
      <c r="AE4048">
        <v>-0.29320000000001301</v>
      </c>
      <c r="AF4048">
        <v>4.8108212238495298</v>
      </c>
      <c r="AG4048">
        <v>-1.11685794170799</v>
      </c>
      <c r="AH4048">
        <v>12.5495056376565</v>
      </c>
      <c r="AI4048">
        <v>94.750332522056297</v>
      </c>
      <c r="AJ4048">
        <v>69.025800430892502</v>
      </c>
      <c r="AK4048">
        <v>13.48634362084</v>
      </c>
      <c r="AL4048">
        <v>95.026196183278202</v>
      </c>
      <c r="AM4048">
        <v>74.710398126731803</v>
      </c>
      <c r="AN4048">
        <v>0.99999996060832397</v>
      </c>
    </row>
    <row r="4049" spans="1:40" x14ac:dyDescent="0.25">
      <c r="A4049" t="str">
        <f>"20190303154553754"</f>
        <v>20190303154553754</v>
      </c>
      <c r="B4049" t="str">
        <f>"1551599153744655"</f>
        <v>1551599153744655</v>
      </c>
      <c r="C4049" t="s">
        <v>40</v>
      </c>
      <c r="D4049">
        <v>5.340795</v>
      </c>
      <c r="E4049">
        <v>0.53624209999999894</v>
      </c>
      <c r="F4049" t="s">
        <v>41</v>
      </c>
      <c r="G4049">
        <v>-219.0513</v>
      </c>
      <c r="H4049" s="1">
        <v>-1.5291929999999999E-6</v>
      </c>
      <c r="I4049">
        <v>143.75149999999999</v>
      </c>
      <c r="J4049">
        <v>-204.87450000000001</v>
      </c>
      <c r="K4049">
        <v>1.1168979999999999</v>
      </c>
      <c r="L4049">
        <v>144.02629999999999</v>
      </c>
      <c r="M4049">
        <v>-0.92816449999999995</v>
      </c>
      <c r="N4049">
        <v>-7.6751190000000002E-3</v>
      </c>
      <c r="O4049">
        <v>-0.37209150000000002</v>
      </c>
      <c r="P4049">
        <v>-0.9890757</v>
      </c>
      <c r="Q4049">
        <v>-8.9766970000000001E-2</v>
      </c>
      <c r="R4049">
        <v>-0.116925399999999</v>
      </c>
      <c r="S4049">
        <v>-3.0041959999999999</v>
      </c>
      <c r="T4049">
        <v>-0.23347090000000001</v>
      </c>
      <c r="U4049">
        <v>-7.2372439999999996E-2</v>
      </c>
      <c r="V4049">
        <v>0.25882129999999998</v>
      </c>
      <c r="W4049">
        <v>-8.4517690000000006E-2</v>
      </c>
      <c r="X4049">
        <v>0.96222050000000003</v>
      </c>
      <c r="Y4049">
        <v>0.34762870000000001</v>
      </c>
      <c r="Z4049">
        <v>4.0213060000000002E-2</v>
      </c>
      <c r="AA4049">
        <v>0.93676950000000003</v>
      </c>
      <c r="AB4049">
        <v>21</v>
      </c>
      <c r="AC4049">
        <v>-14.176799999999901</v>
      </c>
      <c r="AD4049">
        <v>-1.116899529193</v>
      </c>
      <c r="AE4049">
        <v>-0.27479999999999899</v>
      </c>
      <c r="AF4049">
        <v>4.9891985916113999</v>
      </c>
      <c r="AG4049">
        <v>-1.116899529193</v>
      </c>
      <c r="AH4049">
        <v>13.1792704936954</v>
      </c>
      <c r="AI4049">
        <v>94.531649469993198</v>
      </c>
      <c r="AJ4049">
        <v>69.265133634387695</v>
      </c>
      <c r="AK4049">
        <v>14.1362207782292</v>
      </c>
      <c r="AL4049">
        <v>94.848290750522494</v>
      </c>
      <c r="AM4049">
        <v>74.944730272337296</v>
      </c>
      <c r="AN4049">
        <v>0.99999999793843797</v>
      </c>
    </row>
    <row r="4050" spans="1:40" x14ac:dyDescent="0.25">
      <c r="A4050" t="str">
        <f>"20190303154553777"</f>
        <v>20190303154553777</v>
      </c>
      <c r="B4050" t="str">
        <f>"1551599153774911"</f>
        <v>1551599153774911</v>
      </c>
      <c r="C4050" t="s">
        <v>40</v>
      </c>
      <c r="D4050">
        <v>5.3337120000000002</v>
      </c>
      <c r="E4050">
        <v>0.54744289999999995</v>
      </c>
      <c r="F4050" t="s">
        <v>41</v>
      </c>
      <c r="G4050">
        <v>-220.00960000000001</v>
      </c>
      <c r="H4050" s="1">
        <v>-4.9962410000000002E-6</v>
      </c>
      <c r="I4050">
        <v>143.69499999999999</v>
      </c>
      <c r="J4050">
        <v>-205.0813</v>
      </c>
      <c r="K4050">
        <v>1.116935</v>
      </c>
      <c r="L4050">
        <v>143.95160000000001</v>
      </c>
      <c r="M4050">
        <v>-0.93063499999999999</v>
      </c>
      <c r="N4050">
        <v>-7.3367739999999999E-3</v>
      </c>
      <c r="O4050">
        <v>-0.36587560000000002</v>
      </c>
      <c r="P4050">
        <v>-0.98982630000000005</v>
      </c>
      <c r="Q4050">
        <v>-8.5437520000000003E-2</v>
      </c>
      <c r="R4050">
        <v>-0.1137764</v>
      </c>
      <c r="S4050">
        <v>-3.0052490000000001</v>
      </c>
      <c r="T4050">
        <v>-0.22177369999999999</v>
      </c>
      <c r="U4050">
        <v>-6.5780640000000001E-2</v>
      </c>
      <c r="V4050">
        <v>0.25563150000000001</v>
      </c>
      <c r="W4050">
        <v>-8.0448720000000001E-2</v>
      </c>
      <c r="X4050">
        <v>0.96342130000000004</v>
      </c>
      <c r="Y4050">
        <v>0.34364109999999998</v>
      </c>
      <c r="Z4050">
        <v>3.7640319999999998E-2</v>
      </c>
      <c r="AA4050">
        <v>0.93834640000000002</v>
      </c>
      <c r="AB4050">
        <v>21</v>
      </c>
      <c r="AC4050">
        <v>-14.9283</v>
      </c>
      <c r="AD4050">
        <v>-1.116939996241</v>
      </c>
      <c r="AE4050">
        <v>-0.25660000000001998</v>
      </c>
      <c r="AF4050">
        <v>5.1941708249380802</v>
      </c>
      <c r="AG4050">
        <v>-1.116939996241</v>
      </c>
      <c r="AH4050">
        <v>13.909214726805301</v>
      </c>
      <c r="AI4050">
        <v>94.302138989386293</v>
      </c>
      <c r="AJ4050">
        <v>69.522668798207704</v>
      </c>
      <c r="AK4050">
        <v>14.889365998262599</v>
      </c>
      <c r="AL4050">
        <v>94.614358490528403</v>
      </c>
      <c r="AM4050">
        <v>75.139722607856299</v>
      </c>
      <c r="AN4050">
        <v>1.0000000308177801</v>
      </c>
    </row>
    <row r="4051" spans="1:40" x14ac:dyDescent="0.25">
      <c r="A4051" t="str">
        <f>"20190303154553801"</f>
        <v>20190303154553801</v>
      </c>
      <c r="B4051" t="str">
        <f>"1551599153795406"</f>
        <v>1551599153795406</v>
      </c>
      <c r="C4051" t="s">
        <v>40</v>
      </c>
      <c r="D4051">
        <v>5.2562259999999998</v>
      </c>
      <c r="E4051">
        <v>0.54316260000000005</v>
      </c>
      <c r="F4051" t="s">
        <v>41</v>
      </c>
      <c r="G4051">
        <v>-250.40620000000001</v>
      </c>
      <c r="H4051" s="1">
        <v>-4.9778010000000003E-6</v>
      </c>
      <c r="I4051">
        <v>144.3518</v>
      </c>
      <c r="J4051">
        <v>-205.29249999999999</v>
      </c>
      <c r="K4051">
        <v>1.11693</v>
      </c>
      <c r="L4051">
        <v>143.8768</v>
      </c>
      <c r="M4051">
        <v>-0.93306670000000003</v>
      </c>
      <c r="N4051">
        <v>-7.019216E-3</v>
      </c>
      <c r="O4051">
        <v>-0.35963529999999999</v>
      </c>
      <c r="P4051">
        <v>-0.99064229999999998</v>
      </c>
      <c r="Q4051">
        <v>-8.1217650000000002E-2</v>
      </c>
      <c r="R4051">
        <v>-0.1096898</v>
      </c>
      <c r="S4051">
        <v>-3.0274809999999999</v>
      </c>
      <c r="T4051">
        <v>-7.4606179999999994E-2</v>
      </c>
      <c r="U4051">
        <v>2.6733400000000001E-2</v>
      </c>
      <c r="V4051">
        <v>0.25331799999999999</v>
      </c>
      <c r="W4051">
        <v>-7.6501440000000004E-2</v>
      </c>
      <c r="X4051">
        <v>0.96435340000000003</v>
      </c>
      <c r="Y4051">
        <v>0.36767470000000002</v>
      </c>
      <c r="Z4051">
        <v>1.1964570000000001E-2</v>
      </c>
      <c r="AA4051">
        <v>0.92987750000000002</v>
      </c>
      <c r="AB4051">
        <v>21</v>
      </c>
      <c r="AC4051">
        <v>-45.113700000000001</v>
      </c>
      <c r="AD4051">
        <v>-1.116934977801</v>
      </c>
      <c r="AE4051">
        <v>0.47499999999999398</v>
      </c>
      <c r="AF4051">
        <v>16.6578843152117</v>
      </c>
      <c r="AG4051">
        <v>-1.116934977801</v>
      </c>
      <c r="AH4051">
        <v>41.898611520350599</v>
      </c>
      <c r="AI4051">
        <v>91.419042137608002</v>
      </c>
      <c r="AJ4051">
        <v>68.318416628652997</v>
      </c>
      <c r="AK4051">
        <v>45.102397951072</v>
      </c>
      <c r="AL4051">
        <v>94.387496460880399</v>
      </c>
      <c r="AM4051">
        <v>75.281956478961902</v>
      </c>
      <c r="AN4051">
        <v>0.99999997976881605</v>
      </c>
    </row>
    <row r="4052" spans="1:40" x14ac:dyDescent="0.25">
      <c r="A4052" t="str">
        <f>"20190303154553829"</f>
        <v>20190303154553829</v>
      </c>
      <c r="B4052" t="str">
        <f>"1551599153825192"</f>
        <v>1551599153825192</v>
      </c>
      <c r="C4052" t="s">
        <v>40</v>
      </c>
      <c r="D4052">
        <v>5.2976340000000004</v>
      </c>
      <c r="E4052">
        <v>0.5421049</v>
      </c>
      <c r="F4052" t="s">
        <v>41</v>
      </c>
      <c r="G4052">
        <v>-256.45839999999998</v>
      </c>
      <c r="H4052" s="1">
        <v>-2.6611510000000002E-6</v>
      </c>
      <c r="I4052">
        <v>143.97399999999999</v>
      </c>
      <c r="J4052">
        <v>-205.53649999999999</v>
      </c>
      <c r="K4052">
        <v>1.116859</v>
      </c>
      <c r="L4052">
        <v>143.79220000000001</v>
      </c>
      <c r="M4052">
        <v>-0.93578850000000002</v>
      </c>
      <c r="N4052">
        <v>-6.6784909999999999E-3</v>
      </c>
      <c r="O4052">
        <v>-0.3524989</v>
      </c>
      <c r="P4052">
        <v>-0.99160630000000005</v>
      </c>
      <c r="Q4052">
        <v>-7.6921630000000005E-2</v>
      </c>
      <c r="R4052">
        <v>-0.10392419999999999</v>
      </c>
      <c r="S4052">
        <v>-3.0235439999999998</v>
      </c>
      <c r="T4052">
        <v>-6.6002850000000002E-2</v>
      </c>
      <c r="U4052">
        <v>5.7525629999999996E-3</v>
      </c>
      <c r="V4052">
        <v>0.2517086</v>
      </c>
      <c r="W4052">
        <v>-7.2543899999999994E-2</v>
      </c>
      <c r="X4052">
        <v>0.96508039999999995</v>
      </c>
      <c r="Y4052">
        <v>0.3541396</v>
      </c>
      <c r="Z4052">
        <v>1.0221900000000001E-2</v>
      </c>
      <c r="AA4052">
        <v>0.93513670000000004</v>
      </c>
      <c r="AB4052">
        <v>21</v>
      </c>
      <c r="AC4052">
        <v>-50.921900000000001</v>
      </c>
      <c r="AD4052">
        <v>-1.1168616611510001</v>
      </c>
      <c r="AE4052">
        <v>0.181799999999981</v>
      </c>
      <c r="AF4052">
        <v>18.111729919385699</v>
      </c>
      <c r="AG4052">
        <v>-1.1168616611510001</v>
      </c>
      <c r="AH4052">
        <v>47.566219412664999</v>
      </c>
      <c r="AI4052">
        <v>91.257053673499897</v>
      </c>
      <c r="AJ4052">
        <v>69.154730398465901</v>
      </c>
      <c r="AK4052">
        <v>50.909992829077297</v>
      </c>
      <c r="AL4052">
        <v>94.160113570931202</v>
      </c>
      <c r="AM4052">
        <v>75.381988975546307</v>
      </c>
      <c r="AN4052">
        <v>1.0000000076026601</v>
      </c>
    </row>
    <row r="4053" spans="1:40" x14ac:dyDescent="0.25">
      <c r="A4053" t="str">
        <f>"20190303154553850"</f>
        <v>20190303154553850</v>
      </c>
      <c r="B4053" t="str">
        <f>"1551599153844713"</f>
        <v>1551599153844713</v>
      </c>
      <c r="C4053" t="s">
        <v>40</v>
      </c>
      <c r="D4053">
        <v>5.2945520000000004</v>
      </c>
      <c r="E4053">
        <v>0.54366359999999903</v>
      </c>
      <c r="F4053" t="s">
        <v>41</v>
      </c>
      <c r="G4053">
        <v>-256.9522</v>
      </c>
      <c r="H4053" s="1">
        <v>-2.471369E-6</v>
      </c>
      <c r="I4053">
        <v>144.05690000000001</v>
      </c>
      <c r="J4053">
        <v>-205.73929999999999</v>
      </c>
      <c r="K4053">
        <v>1.116771</v>
      </c>
      <c r="L4053">
        <v>143.7234</v>
      </c>
      <c r="M4053">
        <v>-0.93800119999999998</v>
      </c>
      <c r="N4053">
        <v>-6.4071980000000002E-3</v>
      </c>
      <c r="O4053">
        <v>-0.34657270000000001</v>
      </c>
      <c r="P4053">
        <v>-0.99243289999999995</v>
      </c>
      <c r="Q4053">
        <v>-7.2900590000000001E-2</v>
      </c>
      <c r="R4053">
        <v>-9.8805050000000005E-2</v>
      </c>
      <c r="S4053">
        <v>-3.0219269999999998</v>
      </c>
      <c r="T4053">
        <v>-6.5642829999999999E-2</v>
      </c>
      <c r="U4053">
        <v>1.556396E-2</v>
      </c>
      <c r="V4053">
        <v>0.2507086</v>
      </c>
      <c r="W4053">
        <v>-6.8816829999999996E-2</v>
      </c>
      <c r="X4053">
        <v>0.96561350000000001</v>
      </c>
      <c r="Y4053">
        <v>0.35126160000000001</v>
      </c>
      <c r="Z4053">
        <v>1.0093380000000001E-2</v>
      </c>
      <c r="AA4053">
        <v>0.93622289999999997</v>
      </c>
      <c r="AB4053">
        <v>21</v>
      </c>
      <c r="AC4053">
        <v>-51.212899999999998</v>
      </c>
      <c r="AD4053">
        <v>-1.1167734713689901</v>
      </c>
      <c r="AE4053">
        <v>0.33350000000001501</v>
      </c>
      <c r="AF4053">
        <v>18.053603184142801</v>
      </c>
      <c r="AG4053">
        <v>-1.1167734713689901</v>
      </c>
      <c r="AH4053">
        <v>47.900388022919799</v>
      </c>
      <c r="AI4053">
        <v>91.249789051319496</v>
      </c>
      <c r="AJ4053">
        <v>69.348629382942903</v>
      </c>
      <c r="AK4053">
        <v>51.201825589163597</v>
      </c>
      <c r="AL4053">
        <v>93.946032703096805</v>
      </c>
      <c r="AM4053">
        <v>75.445288754785693</v>
      </c>
      <c r="AN4053">
        <v>0.99999999479372903</v>
      </c>
    </row>
    <row r="4054" spans="1:40" x14ac:dyDescent="0.25">
      <c r="A4054" t="str">
        <f>"20190303154553870"</f>
        <v>20190303154553870</v>
      </c>
      <c r="B4054" t="str">
        <f>"1551599153865209"</f>
        <v>1551599153865209</v>
      </c>
      <c r="C4054" t="s">
        <v>40</v>
      </c>
      <c r="D4054">
        <v>5.3325370000000003</v>
      </c>
      <c r="E4054">
        <v>0.54267730000000003</v>
      </c>
      <c r="F4054" t="s">
        <v>41</v>
      </c>
      <c r="G4054">
        <v>-261.2079</v>
      </c>
      <c r="H4054" s="1">
        <v>-4.7362429999999998E-6</v>
      </c>
      <c r="I4054">
        <v>144.52809999999999</v>
      </c>
      <c r="J4054">
        <v>-205.9151</v>
      </c>
      <c r="K4054">
        <v>1.116676</v>
      </c>
      <c r="L4054">
        <v>143.66489999999999</v>
      </c>
      <c r="M4054">
        <v>-0.93989009999999995</v>
      </c>
      <c r="N4054">
        <v>-6.1844710000000004E-3</v>
      </c>
      <c r="O4054">
        <v>-0.34142109999999998</v>
      </c>
      <c r="P4054">
        <v>-0.99306669999999997</v>
      </c>
      <c r="Q4054">
        <v>-6.946571E-2</v>
      </c>
      <c r="R4054">
        <v>-9.4833219999999996E-2</v>
      </c>
      <c r="S4054">
        <v>-3.0227810000000002</v>
      </c>
      <c r="T4054">
        <v>-6.0859080000000003E-2</v>
      </c>
      <c r="U4054">
        <v>4.3853759999999999E-2</v>
      </c>
      <c r="V4054">
        <v>0.24937300000000001</v>
      </c>
      <c r="W4054">
        <v>-6.5630289999999994E-2</v>
      </c>
      <c r="X4054">
        <v>0.96618099999999996</v>
      </c>
      <c r="Y4054">
        <v>0.35490159999999998</v>
      </c>
      <c r="Z4054">
        <v>9.2978680000000008E-3</v>
      </c>
      <c r="AA4054">
        <v>0.93485739999999995</v>
      </c>
      <c r="AB4054">
        <v>21</v>
      </c>
      <c r="AC4054">
        <v>-55.2928</v>
      </c>
      <c r="AD4054">
        <v>-1.116680736243</v>
      </c>
      <c r="AE4054">
        <v>0.86320000000000596</v>
      </c>
      <c r="AF4054">
        <v>19.681792490021301</v>
      </c>
      <c r="AG4054">
        <v>-1.116680736243</v>
      </c>
      <c r="AH4054">
        <v>51.654365385073397</v>
      </c>
      <c r="AI4054">
        <v>91.157305841735607</v>
      </c>
      <c r="AJ4054">
        <v>69.141726570939497</v>
      </c>
      <c r="AK4054">
        <v>55.2882753829564</v>
      </c>
      <c r="AL4054">
        <v>93.763043466301198</v>
      </c>
      <c r="AM4054">
        <v>75.527706162743598</v>
      </c>
      <c r="AN4054">
        <v>0.99999997642774097</v>
      </c>
    </row>
    <row r="4055" spans="1:40" x14ac:dyDescent="0.25">
      <c r="A4055" t="str">
        <f>"20190303154553912"</f>
        <v>20190303154553912</v>
      </c>
      <c r="B4055" t="str">
        <f>"1551599153905225"</f>
        <v>1551599153905225</v>
      </c>
      <c r="C4055" t="s">
        <v>40</v>
      </c>
      <c r="D4055">
        <v>5.2168749999999999</v>
      </c>
      <c r="E4055">
        <v>0.54271720000000001</v>
      </c>
      <c r="F4055" t="s">
        <v>41</v>
      </c>
      <c r="G4055">
        <v>-274.58499999999998</v>
      </c>
      <c r="H4055" s="1">
        <v>-3.6286170000000001E-6</v>
      </c>
      <c r="I4055">
        <v>144.76249999999999</v>
      </c>
      <c r="J4055">
        <v>-206.3082</v>
      </c>
      <c r="K4055">
        <v>1.1164190000000001</v>
      </c>
      <c r="L4055">
        <v>143.53790000000001</v>
      </c>
      <c r="M4055">
        <v>-0.94405190000000005</v>
      </c>
      <c r="N4055">
        <v>-5.7300249999999997E-3</v>
      </c>
      <c r="O4055">
        <v>-0.32974730000000002</v>
      </c>
      <c r="P4055">
        <v>-0.99429140000000005</v>
      </c>
      <c r="Q4055">
        <v>-6.4613089999999998E-2</v>
      </c>
      <c r="R4055">
        <v>-8.4908579999999997E-2</v>
      </c>
      <c r="S4055">
        <v>-3.022141</v>
      </c>
      <c r="T4055">
        <v>-4.9144739999999999E-2</v>
      </c>
      <c r="U4055">
        <v>4.8309329999999998E-2</v>
      </c>
      <c r="V4055">
        <v>0.24716460000000001</v>
      </c>
      <c r="W4055">
        <v>-6.1318459999999998E-2</v>
      </c>
      <c r="X4055">
        <v>0.96703139999999999</v>
      </c>
      <c r="Y4055">
        <v>0.34472150000000001</v>
      </c>
      <c r="Z4055">
        <v>7.1629850000000002E-3</v>
      </c>
      <c r="AA4055">
        <v>0.93867769999999995</v>
      </c>
      <c r="AB4055">
        <v>21</v>
      </c>
      <c r="AC4055">
        <v>-68.276799999999895</v>
      </c>
      <c r="AD4055">
        <v>-1.116422628617</v>
      </c>
      <c r="AE4055">
        <v>1.2245999999999799</v>
      </c>
      <c r="AF4055">
        <v>23.664238713053098</v>
      </c>
      <c r="AG4055">
        <v>-1.116422628617</v>
      </c>
      <c r="AH4055">
        <v>64.036966430556305</v>
      </c>
      <c r="AI4055">
        <v>90.936883554362197</v>
      </c>
      <c r="AJ4055">
        <v>69.718697870330701</v>
      </c>
      <c r="AK4055">
        <v>68.278661842351994</v>
      </c>
      <c r="AL4055">
        <v>93.515494293553402</v>
      </c>
      <c r="AM4055">
        <v>75.662653971615001</v>
      </c>
      <c r="AN4055">
        <v>1.0000000108079401</v>
      </c>
    </row>
    <row r="4056" spans="1:40" x14ac:dyDescent="0.25">
      <c r="A4056" t="str">
        <f>"20190303154553933"</f>
        <v>20190303154553933</v>
      </c>
      <c r="B4056" t="str">
        <f>"1551599153924745"</f>
        <v>1551599153924745</v>
      </c>
      <c r="C4056" t="s">
        <v>40</v>
      </c>
      <c r="D4056">
        <v>5.3250739999999999</v>
      </c>
      <c r="E4056">
        <v>0.54318239999999995</v>
      </c>
      <c r="F4056" t="s">
        <v>41</v>
      </c>
      <c r="G4056">
        <v>-267.5582</v>
      </c>
      <c r="H4056" s="1">
        <v>-2.5049540000000002E-6</v>
      </c>
      <c r="I4056">
        <v>145.1602</v>
      </c>
      <c r="J4056">
        <v>-206.51480000000001</v>
      </c>
      <c r="K4056">
        <v>1.1162669999999999</v>
      </c>
      <c r="L4056">
        <v>143.4734</v>
      </c>
      <c r="M4056">
        <v>-0.94621060000000001</v>
      </c>
      <c r="N4056">
        <v>-5.5111739999999998E-3</v>
      </c>
      <c r="O4056">
        <v>-0.32350440000000003</v>
      </c>
      <c r="P4056">
        <v>-0.9947859</v>
      </c>
      <c r="Q4056">
        <v>-6.3733769999999995E-2</v>
      </c>
      <c r="R4056">
        <v>-7.9619090000000003E-2</v>
      </c>
      <c r="S4056">
        <v>-3.0204930000000001</v>
      </c>
      <c r="T4056">
        <v>-5.5055380000000001E-2</v>
      </c>
      <c r="U4056">
        <v>8.0001829999999996E-2</v>
      </c>
      <c r="V4056">
        <v>0.24592810000000001</v>
      </c>
      <c r="W4056">
        <v>-6.070561E-2</v>
      </c>
      <c r="X4056">
        <v>0.96738519999999995</v>
      </c>
      <c r="Y4056">
        <v>0.34834949999999998</v>
      </c>
      <c r="Z4056">
        <v>8.1488459999999995E-3</v>
      </c>
      <c r="AA4056">
        <v>0.93732930000000003</v>
      </c>
      <c r="AB4056">
        <v>22</v>
      </c>
      <c r="AC4056">
        <v>-61.043399999999899</v>
      </c>
      <c r="AD4056">
        <v>-1.1162695049539999</v>
      </c>
      <c r="AE4056">
        <v>1.6868000000000001</v>
      </c>
      <c r="AF4056">
        <v>21.337071422980699</v>
      </c>
      <c r="AG4056">
        <v>-1.1162695049539999</v>
      </c>
      <c r="AH4056">
        <v>57.195983199820603</v>
      </c>
      <c r="AI4056">
        <v>91.047572110791904</v>
      </c>
      <c r="AJ4056">
        <v>69.541873124833103</v>
      </c>
      <c r="AK4056">
        <v>61.056507996373497</v>
      </c>
      <c r="AL4056">
        <v>93.480315202505693</v>
      </c>
      <c r="AM4056">
        <v>75.736449567516402</v>
      </c>
      <c r="AN4056">
        <v>0.99999996331705998</v>
      </c>
    </row>
    <row r="4057" spans="1:40" x14ac:dyDescent="0.25">
      <c r="A4057" t="str">
        <f>"20190303154553955"</f>
        <v>20190303154553955</v>
      </c>
      <c r="B4057" t="str">
        <f>"1551599153945241"</f>
        <v>1551599153945241</v>
      </c>
      <c r="C4057" t="s">
        <v>40</v>
      </c>
      <c r="D4057">
        <v>5.2325929999999996</v>
      </c>
      <c r="E4057">
        <v>0.54325059999999903</v>
      </c>
      <c r="F4057" t="s">
        <v>41</v>
      </c>
      <c r="G4057">
        <v>-267.99200000000002</v>
      </c>
      <c r="H4057" s="1">
        <v>-2.4103520000000002E-6</v>
      </c>
      <c r="I4057">
        <v>145.50399999999999</v>
      </c>
      <c r="J4057">
        <v>-206.72149999999999</v>
      </c>
      <c r="K4057">
        <v>1.1161270000000001</v>
      </c>
      <c r="L4057">
        <v>143.41040000000001</v>
      </c>
      <c r="M4057">
        <v>-0.94834719999999995</v>
      </c>
      <c r="N4057">
        <v>-5.3004649999999999E-3</v>
      </c>
      <c r="O4057">
        <v>-0.31719079999999999</v>
      </c>
      <c r="P4057">
        <v>-0.99514990000000003</v>
      </c>
      <c r="Q4057">
        <v>-6.4041319999999999E-2</v>
      </c>
      <c r="R4057">
        <v>-7.4671849999999998E-2</v>
      </c>
      <c r="S4057">
        <v>-3.020203</v>
      </c>
      <c r="T4057">
        <v>-5.4839249999999999E-2</v>
      </c>
      <c r="U4057">
        <v>9.9761959999999997E-2</v>
      </c>
      <c r="V4057">
        <v>0.24426300000000001</v>
      </c>
      <c r="W4057">
        <v>-6.1264850000000003E-2</v>
      </c>
      <c r="X4057">
        <v>0.96777179999999996</v>
      </c>
      <c r="Y4057">
        <v>0.34823229999999999</v>
      </c>
      <c r="Z4057">
        <v>8.0714359999999995E-3</v>
      </c>
      <c r="AA4057">
        <v>0.93737349999999997</v>
      </c>
      <c r="AB4057">
        <v>22</v>
      </c>
      <c r="AC4057">
        <v>-61.270499999999998</v>
      </c>
      <c r="AD4057">
        <v>-1.1161294103520001</v>
      </c>
      <c r="AE4057">
        <v>2.0935999999999799</v>
      </c>
      <c r="AF4057">
        <v>21.413096650919002</v>
      </c>
      <c r="AG4057">
        <v>-1.1161294103520001</v>
      </c>
      <c r="AH4057">
        <v>57.423395680423198</v>
      </c>
      <c r="AI4057">
        <v>91.043345839473105</v>
      </c>
      <c r="AJ4057">
        <v>69.549591298436994</v>
      </c>
      <c r="AK4057">
        <v>61.296107743581103</v>
      </c>
      <c r="AL4057">
        <v>93.5124168277667</v>
      </c>
      <c r="AM4057">
        <v>75.834553580703798</v>
      </c>
      <c r="AN4057">
        <v>1.00000002594488</v>
      </c>
    </row>
    <row r="4058" spans="1:40" x14ac:dyDescent="0.25">
      <c r="A4058" t="str">
        <f>"20190303154553979"</f>
        <v>20190303154553979</v>
      </c>
      <c r="B4058" t="str">
        <f>"1551599153975497"</f>
        <v>1551599153975497</v>
      </c>
      <c r="C4058" t="s">
        <v>40</v>
      </c>
      <c r="D4058">
        <v>5.2215439999999997</v>
      </c>
      <c r="E4058">
        <v>0.54302039999999996</v>
      </c>
      <c r="F4058" t="s">
        <v>41</v>
      </c>
      <c r="G4058">
        <v>-267.14299999999997</v>
      </c>
      <c r="H4058" s="1">
        <v>-2.8307350000000002E-6</v>
      </c>
      <c r="I4058">
        <v>145.71520000000001</v>
      </c>
      <c r="J4058">
        <v>-206.95009999999999</v>
      </c>
      <c r="K4058">
        <v>1.11599</v>
      </c>
      <c r="L4058">
        <v>143.3424</v>
      </c>
      <c r="M4058">
        <v>-0.9506791</v>
      </c>
      <c r="N4058">
        <v>-5.0677789999999997E-3</v>
      </c>
      <c r="O4058">
        <v>-0.31013489999999999</v>
      </c>
      <c r="P4058">
        <v>-0.99556860000000003</v>
      </c>
      <c r="Q4058">
        <v>-6.2706919999999999E-2</v>
      </c>
      <c r="R4058">
        <v>-7.0079699999999995E-2</v>
      </c>
      <c r="S4058">
        <v>-3.0196839999999998</v>
      </c>
      <c r="T4058">
        <v>-5.578077E-2</v>
      </c>
      <c r="U4058">
        <v>0.1151886</v>
      </c>
      <c r="V4058">
        <v>0.24155650000000001</v>
      </c>
      <c r="W4058">
        <v>-6.0193549999999998E-2</v>
      </c>
      <c r="X4058">
        <v>0.96851810000000005</v>
      </c>
      <c r="Y4058">
        <v>0.34605059999999999</v>
      </c>
      <c r="Z4058">
        <v>8.1459199999999992E-3</v>
      </c>
      <c r="AA4058">
        <v>0.93818040000000003</v>
      </c>
      <c r="AB4058">
        <v>22</v>
      </c>
      <c r="AC4058">
        <v>-60.192899999999902</v>
      </c>
      <c r="AD4058">
        <v>-1.115992830735</v>
      </c>
      <c r="AE4058">
        <v>2.37280000000001</v>
      </c>
      <c r="AF4058">
        <v>20.916779327118</v>
      </c>
      <c r="AG4058">
        <v>-1.115992830735</v>
      </c>
      <c r="AH4058">
        <v>56.469585925381701</v>
      </c>
      <c r="AI4058">
        <v>91.061697797485195</v>
      </c>
      <c r="AJ4058">
        <v>69.674973545051799</v>
      </c>
      <c r="AK4058">
        <v>60.2293220284079</v>
      </c>
      <c r="AL4058">
        <v>93.4509222450762</v>
      </c>
      <c r="AM4058">
        <v>75.995666027762994</v>
      </c>
      <c r="AN4058">
        <v>1.00000005809072</v>
      </c>
    </row>
    <row r="4059" spans="1:40" x14ac:dyDescent="0.25">
      <c r="A4059" t="str">
        <f>"20190303154554003"</f>
        <v>20190303154554003</v>
      </c>
      <c r="B4059" t="str">
        <f>"1551599153995017"</f>
        <v>1551599153995017</v>
      </c>
      <c r="C4059" t="s">
        <v>40</v>
      </c>
      <c r="D4059">
        <v>5.2527410000000003</v>
      </c>
      <c r="E4059">
        <v>0.54281380000000001</v>
      </c>
      <c r="F4059" t="s">
        <v>41</v>
      </c>
      <c r="G4059">
        <v>-267.20409999999998</v>
      </c>
      <c r="H4059" s="1">
        <v>-2.8487980000000001E-6</v>
      </c>
      <c r="I4059">
        <v>145.88149999999999</v>
      </c>
      <c r="J4059">
        <v>-207.18029999999999</v>
      </c>
      <c r="K4059">
        <v>1.115885</v>
      </c>
      <c r="L4059">
        <v>143.27590000000001</v>
      </c>
      <c r="M4059">
        <v>-0.95298899999999998</v>
      </c>
      <c r="N4059">
        <v>-4.8280349999999996E-3</v>
      </c>
      <c r="O4059">
        <v>-0.30296689999999998</v>
      </c>
      <c r="P4059">
        <v>-0.99607690000000004</v>
      </c>
      <c r="Q4059">
        <v>-5.8769040000000002E-2</v>
      </c>
      <c r="R4059">
        <v>-6.6160369999999996E-2</v>
      </c>
      <c r="S4059">
        <v>-3.0187680000000001</v>
      </c>
      <c r="T4059">
        <v>-5.591202E-2</v>
      </c>
      <c r="U4059">
        <v>0.12721250000000001</v>
      </c>
      <c r="V4059">
        <v>0.23816950000000001</v>
      </c>
      <c r="W4059">
        <v>-5.6509179999999999E-2</v>
      </c>
      <c r="X4059">
        <v>0.9695783</v>
      </c>
      <c r="Y4059">
        <v>0.34272509999999901</v>
      </c>
      <c r="Z4059">
        <v>8.0726440000000003E-3</v>
      </c>
      <c r="AA4059">
        <v>0.93940100000000004</v>
      </c>
      <c r="AB4059">
        <v>22</v>
      </c>
      <c r="AC4059">
        <v>-60.023800000000001</v>
      </c>
      <c r="AD4059">
        <v>-1.115887848798</v>
      </c>
      <c r="AE4059">
        <v>2.6055999999999799</v>
      </c>
      <c r="AF4059">
        <v>20.661443183093802</v>
      </c>
      <c r="AG4059">
        <v>-1.115887848798</v>
      </c>
      <c r="AH4059">
        <v>56.393806043559998</v>
      </c>
      <c r="AI4059">
        <v>91.064414339744502</v>
      </c>
      <c r="AJ4059">
        <v>69.878283200874904</v>
      </c>
      <c r="AK4059">
        <v>60.0699741982463</v>
      </c>
      <c r="AL4059">
        <v>93.239463043255995</v>
      </c>
      <c r="AM4059">
        <v>76.198984150580202</v>
      </c>
      <c r="AN4059">
        <v>1.0000000389927</v>
      </c>
    </row>
    <row r="4060" spans="1:40" x14ac:dyDescent="0.25">
      <c r="A4060" t="str">
        <f>"20190303154554045"</f>
        <v>20190303154554045</v>
      </c>
      <c r="B4060" t="str">
        <f>"1551599154035033"</f>
        <v>1551599154035033</v>
      </c>
      <c r="C4060" t="s">
        <v>40</v>
      </c>
      <c r="D4060">
        <v>5.2589399999999999</v>
      </c>
      <c r="E4060">
        <v>0.54254880000000005</v>
      </c>
      <c r="F4060" t="s">
        <v>41</v>
      </c>
      <c r="G4060">
        <v>-275.96629999999999</v>
      </c>
      <c r="H4060" s="1">
        <v>-3.450883E-6</v>
      </c>
      <c r="I4060">
        <v>146.41059999999999</v>
      </c>
      <c r="J4060">
        <v>-207.60400000000001</v>
      </c>
      <c r="K4060">
        <v>1.1157269999999999</v>
      </c>
      <c r="L4060">
        <v>143.1584</v>
      </c>
      <c r="M4060">
        <v>-0.95710499999999998</v>
      </c>
      <c r="N4060">
        <v>-4.3786750000000003E-3</v>
      </c>
      <c r="O4060">
        <v>-0.28970849999999998</v>
      </c>
      <c r="P4060">
        <v>-0.99701039999999996</v>
      </c>
      <c r="Q4060">
        <v>-4.905839E-2</v>
      </c>
      <c r="R4060">
        <v>-5.9697710000000001E-2</v>
      </c>
      <c r="S4060">
        <v>-3.0180660000000001</v>
      </c>
      <c r="T4060">
        <v>-4.8960919999999998E-2</v>
      </c>
      <c r="U4060">
        <v>0.13754269999999999</v>
      </c>
      <c r="V4060">
        <v>0.23122319999999999</v>
      </c>
      <c r="W4060">
        <v>-4.7239980000000001E-2</v>
      </c>
      <c r="X4060">
        <v>0.97175319999999998</v>
      </c>
      <c r="Y4060">
        <v>0.33290940000000002</v>
      </c>
      <c r="Z4060">
        <v>6.8018000000000002E-3</v>
      </c>
      <c r="AA4060">
        <v>0.9429343</v>
      </c>
      <c r="AB4060">
        <v>22</v>
      </c>
      <c r="AC4060">
        <v>-68.362299999999905</v>
      </c>
      <c r="AD4060">
        <v>-1.1157304508829999</v>
      </c>
      <c r="AE4060">
        <v>3.2521999999999802</v>
      </c>
      <c r="AF4060">
        <v>22.911964761093799</v>
      </c>
      <c r="AG4060">
        <v>-1.1157304508829999</v>
      </c>
      <c r="AH4060">
        <v>64.471187519821001</v>
      </c>
      <c r="AI4060">
        <v>90.934224556870703</v>
      </c>
      <c r="AJ4060">
        <v>70.435651179729902</v>
      </c>
      <c r="AK4060">
        <v>68.430526841962603</v>
      </c>
      <c r="AL4060">
        <v>92.707659102647199</v>
      </c>
      <c r="AM4060">
        <v>76.615683055563196</v>
      </c>
      <c r="AN4060">
        <v>1.0000000328194301</v>
      </c>
    </row>
    <row r="4061" spans="1:40" x14ac:dyDescent="0.25">
      <c r="A4061" t="str">
        <f>"20190303154554068"</f>
        <v>20190303154554068</v>
      </c>
      <c r="B4061" t="str">
        <f>"1551599154065289"</f>
        <v>1551599154065289</v>
      </c>
      <c r="C4061" t="s">
        <v>40</v>
      </c>
      <c r="D4061">
        <v>5.3399159999999997</v>
      </c>
      <c r="E4061">
        <v>0.54219680000000003</v>
      </c>
      <c r="F4061" t="s">
        <v>41</v>
      </c>
      <c r="G4061">
        <v>-331.6225</v>
      </c>
      <c r="H4061" s="1">
        <v>-5.8506660000000001E-6</v>
      </c>
      <c r="I4061">
        <v>149.55199999999999</v>
      </c>
      <c r="J4061">
        <v>-207.83439999999999</v>
      </c>
      <c r="K4061">
        <v>1.1156489999999999</v>
      </c>
      <c r="L4061">
        <v>143.09719999999999</v>
      </c>
      <c r="M4061">
        <v>-0.95925720000000003</v>
      </c>
      <c r="N4061">
        <v>-4.1455779999999996E-3</v>
      </c>
      <c r="O4061">
        <v>-0.28250360000000002</v>
      </c>
      <c r="P4061">
        <v>-0.99741009999999997</v>
      </c>
      <c r="Q4061">
        <v>-4.6052170000000003E-2</v>
      </c>
      <c r="R4061">
        <v>-5.5247999999999998E-2</v>
      </c>
      <c r="S4061">
        <v>-3.016953</v>
      </c>
      <c r="T4061">
        <v>-2.7142050000000001E-2</v>
      </c>
      <c r="U4061">
        <v>0.1555328</v>
      </c>
      <c r="V4061">
        <v>0.22831460000000001</v>
      </c>
      <c r="W4061">
        <v>-4.4464240000000002E-2</v>
      </c>
      <c r="X4061">
        <v>0.97257150000000003</v>
      </c>
      <c r="Y4061">
        <v>0.33149620000000002</v>
      </c>
      <c r="Z4061">
        <v>3.5153799999999998E-3</v>
      </c>
      <c r="AA4061">
        <v>0.94345000000000001</v>
      </c>
      <c r="AB4061">
        <v>23</v>
      </c>
      <c r="AC4061">
        <v>-123.7881</v>
      </c>
      <c r="AD4061">
        <v>-1.11565485066599</v>
      </c>
      <c r="AE4061">
        <v>6.4548000000000298</v>
      </c>
      <c r="AF4061">
        <v>41.159419947036803</v>
      </c>
      <c r="AG4061">
        <v>-1.11565485066599</v>
      </c>
      <c r="AH4061">
        <v>116.91266494796</v>
      </c>
      <c r="AI4061">
        <v>90.515712222209302</v>
      </c>
      <c r="AJ4061">
        <v>70.605244670903005</v>
      </c>
      <c r="AK4061">
        <v>123.951255586042</v>
      </c>
      <c r="AL4061">
        <v>92.548453573246604</v>
      </c>
      <c r="AM4061">
        <v>76.788831775041103</v>
      </c>
      <c r="AN4061">
        <v>0.99999997391209305</v>
      </c>
    </row>
    <row r="4062" spans="1:40" x14ac:dyDescent="0.25">
      <c r="A4062" t="str">
        <f>"20190303154554089"</f>
        <v>20190303154554089</v>
      </c>
      <c r="B4062" t="str">
        <f>"1551599154084810"</f>
        <v>1551599154084810</v>
      </c>
      <c r="C4062" t="s">
        <v>40</v>
      </c>
      <c r="D4062">
        <v>5.2889879999999998</v>
      </c>
      <c r="E4062">
        <v>0.54239839999999995</v>
      </c>
      <c r="F4062" t="s">
        <v>41</v>
      </c>
      <c r="G4062">
        <v>-349.37699999999899</v>
      </c>
      <c r="H4062">
        <v>7.9986719999999997E-2</v>
      </c>
      <c r="I4062">
        <v>150.9127</v>
      </c>
      <c r="J4062">
        <v>-208.04740000000001</v>
      </c>
      <c r="K4062">
        <v>1.115572</v>
      </c>
      <c r="L4062">
        <v>143.04220000000001</v>
      </c>
      <c r="M4062">
        <v>-0.9611883</v>
      </c>
      <c r="N4062">
        <v>-3.9394629999999998E-3</v>
      </c>
      <c r="O4062">
        <v>-0.27586579999999999</v>
      </c>
      <c r="P4062">
        <v>-0.99766149999999998</v>
      </c>
      <c r="Q4062">
        <v>-4.4572979999999998E-2</v>
      </c>
      <c r="R4062">
        <v>-5.1818259999999998E-2</v>
      </c>
      <c r="S4062">
        <v>-3.0159760000000002</v>
      </c>
      <c r="T4062">
        <v>-2.206779E-2</v>
      </c>
      <c r="U4062">
        <v>0.1665344</v>
      </c>
      <c r="V4062">
        <v>0.2249612</v>
      </c>
      <c r="W4062">
        <v>-4.3176050000000001E-2</v>
      </c>
      <c r="X4062">
        <v>0.97341069999999996</v>
      </c>
      <c r="Y4062">
        <v>0.32842749999999998</v>
      </c>
      <c r="Z4062">
        <v>2.7542550000000002E-3</v>
      </c>
      <c r="AA4062">
        <v>0.94452519999999995</v>
      </c>
      <c r="AB4062">
        <v>23</v>
      </c>
      <c r="AC4062">
        <v>-141.329599999999</v>
      </c>
      <c r="AD4062">
        <v>-1.0355852800000001</v>
      </c>
      <c r="AE4062">
        <v>7.8704999999999901</v>
      </c>
      <c r="AF4062">
        <v>46.550895789525903</v>
      </c>
      <c r="AG4062">
        <v>-1.0355852800000001</v>
      </c>
      <c r="AH4062">
        <v>133.667011659774</v>
      </c>
      <c r="AI4062">
        <v>90.419197302117894</v>
      </c>
      <c r="AJ4062">
        <v>70.798808231590399</v>
      </c>
      <c r="AK4062">
        <v>141.544792704407</v>
      </c>
      <c r="AL4062">
        <v>92.474574557683795</v>
      </c>
      <c r="AM4062">
        <v>76.987056516938694</v>
      </c>
      <c r="AN4062">
        <v>1.00000005183676</v>
      </c>
    </row>
    <row r="4063" spans="1:40" x14ac:dyDescent="0.25">
      <c r="A4063" t="str">
        <f>"20190303154554112"</f>
        <v>20190303154554112</v>
      </c>
      <c r="B4063" t="str">
        <f>"1551599154105305"</f>
        <v>1551599154105305</v>
      </c>
      <c r="C4063" t="s">
        <v>40</v>
      </c>
      <c r="D4063">
        <v>5.2546140000000001</v>
      </c>
      <c r="E4063">
        <v>0.54243759999999996</v>
      </c>
      <c r="F4063" t="s">
        <v>41</v>
      </c>
      <c r="G4063">
        <v>-375.61320000000001</v>
      </c>
      <c r="H4063">
        <v>7.9985710000000002E-2</v>
      </c>
      <c r="I4063">
        <v>152.97190000000001</v>
      </c>
      <c r="J4063">
        <v>-208.2826</v>
      </c>
      <c r="K4063">
        <v>1.1154949999999999</v>
      </c>
      <c r="L4063">
        <v>142.98320000000001</v>
      </c>
      <c r="M4063">
        <v>-0.96324489999999996</v>
      </c>
      <c r="N4063">
        <v>-3.7165000000000002E-3</v>
      </c>
      <c r="O4063">
        <v>-0.26859929999999999</v>
      </c>
      <c r="P4063">
        <v>-0.99795400000000001</v>
      </c>
      <c r="Q4063">
        <v>-4.3278070000000002E-2</v>
      </c>
      <c r="R4063">
        <v>-4.7064670000000003E-2</v>
      </c>
      <c r="S4063">
        <v>-3.0155029999999998</v>
      </c>
      <c r="T4063">
        <v>-1.8636349999999999E-2</v>
      </c>
      <c r="U4063">
        <v>0.17869570000000001</v>
      </c>
      <c r="V4063">
        <v>0.2222702</v>
      </c>
      <c r="W4063">
        <v>-4.208742E-2</v>
      </c>
      <c r="X4063">
        <v>0.97407630000000001</v>
      </c>
      <c r="Y4063">
        <v>0.32510159999999899</v>
      </c>
      <c r="Z4063">
        <v>2.2499400000000002E-3</v>
      </c>
      <c r="AA4063">
        <v>0.94567639999999997</v>
      </c>
      <c r="AB4063">
        <v>23</v>
      </c>
      <c r="AC4063">
        <v>-167.3306</v>
      </c>
      <c r="AD4063">
        <v>-1.03550929</v>
      </c>
      <c r="AE4063">
        <v>9.9886999999999908</v>
      </c>
      <c r="AF4063">
        <v>54.564737353163501</v>
      </c>
      <c r="AG4063">
        <v>-1.03550929</v>
      </c>
      <c r="AH4063">
        <v>158.492425135715</v>
      </c>
      <c r="AI4063">
        <v>90.353948356204199</v>
      </c>
      <c r="AJ4063">
        <v>71.0027733544608</v>
      </c>
      <c r="AK4063">
        <v>167.62527156520801</v>
      </c>
      <c r="AL4063">
        <v>92.412143982560394</v>
      </c>
      <c r="AM4063">
        <v>77.1460081083642</v>
      </c>
      <c r="AN4063">
        <v>1.00000001547599</v>
      </c>
    </row>
    <row r="4064" spans="1:40" x14ac:dyDescent="0.25">
      <c r="A4064" t="str">
        <f>"20190303154554134"</f>
        <v>20190303154554134</v>
      </c>
      <c r="B4064" t="str">
        <f>"1551599154124825"</f>
        <v>1551599154124825</v>
      </c>
      <c r="C4064" t="s">
        <v>40</v>
      </c>
      <c r="D4064">
        <v>5.2930630000000001</v>
      </c>
      <c r="E4064">
        <v>0.54255200000000003</v>
      </c>
      <c r="F4064" t="s">
        <v>61</v>
      </c>
      <c r="G4064">
        <v>-426.23070000000001</v>
      </c>
      <c r="H4064" s="1">
        <v>-1.75746799999999E-5</v>
      </c>
      <c r="I4064">
        <v>156.96250000000001</v>
      </c>
      <c r="J4064">
        <v>-208.51599999999999</v>
      </c>
      <c r="K4064">
        <v>1.1154550000000001</v>
      </c>
      <c r="L4064">
        <v>142.9263</v>
      </c>
      <c r="M4064">
        <v>-0.96519969999999999</v>
      </c>
      <c r="N4064">
        <v>-3.5010610000000002E-3</v>
      </c>
      <c r="O4064">
        <v>-0.26149060000000002</v>
      </c>
      <c r="P4064">
        <v>-0.99823189999999995</v>
      </c>
      <c r="Q4064">
        <v>-4.1412909999999997E-2</v>
      </c>
      <c r="R4064">
        <v>-4.263981E-2</v>
      </c>
      <c r="S4064">
        <v>-3.0146030000000001</v>
      </c>
      <c r="T4064">
        <v>-1.5429500000000001E-2</v>
      </c>
      <c r="U4064">
        <v>0.19335939999999999</v>
      </c>
      <c r="V4064">
        <v>0.21944469999999999</v>
      </c>
      <c r="W4064">
        <v>-4.0404530000000001E-2</v>
      </c>
      <c r="X4064">
        <v>0.97478799999999999</v>
      </c>
      <c r="Y4064">
        <v>0.32273079999999998</v>
      </c>
      <c r="Z4064">
        <v>1.7978200000000001E-3</v>
      </c>
      <c r="AA4064">
        <v>0.94648909999999997</v>
      </c>
      <c r="AB4064">
        <v>23</v>
      </c>
      <c r="AC4064">
        <v>-217.71469999999999</v>
      </c>
      <c r="AD4064">
        <v>-1.1154725746799901</v>
      </c>
      <c r="AE4064">
        <v>14.036199999999999</v>
      </c>
      <c r="AF4064">
        <v>70.476671255553001</v>
      </c>
      <c r="AG4064">
        <v>-1.1154725746799901</v>
      </c>
      <c r="AH4064">
        <v>206.463691371431</v>
      </c>
      <c r="AI4064">
        <v>90.292954822419304</v>
      </c>
      <c r="AJ4064">
        <v>71.152588934228703</v>
      </c>
      <c r="AK4064">
        <v>218.16384055348399</v>
      </c>
      <c r="AL4064">
        <v>92.315639220128801</v>
      </c>
      <c r="AM4064">
        <v>77.313048682445597</v>
      </c>
      <c r="AN4064">
        <v>1.0000000736732999</v>
      </c>
    </row>
    <row r="4065" spans="1:40" x14ac:dyDescent="0.25">
      <c r="A4065" t="str">
        <f>"20190303154554156"</f>
        <v>20190303154554156</v>
      </c>
      <c r="B4065" t="str">
        <f>"1551599154145321"</f>
        <v>1551599154145321</v>
      </c>
      <c r="C4065" t="s">
        <v>40</v>
      </c>
      <c r="D4065">
        <v>5.3991790000000002</v>
      </c>
      <c r="E4065">
        <v>0.54224669999999997</v>
      </c>
      <c r="F4065" t="s">
        <v>41</v>
      </c>
      <c r="G4065">
        <v>-499.95850000000002</v>
      </c>
      <c r="H4065">
        <v>5.0690260000000001E-2</v>
      </c>
      <c r="I4065">
        <v>163.01220000000001</v>
      </c>
      <c r="J4065">
        <v>-208.73939999999999</v>
      </c>
      <c r="K4065">
        <v>1.1154389999999901</v>
      </c>
      <c r="L4065">
        <v>142.8734</v>
      </c>
      <c r="M4065">
        <v>-0.96698360000000005</v>
      </c>
      <c r="N4065">
        <v>-3.306228E-3</v>
      </c>
      <c r="O4065">
        <v>-0.25481740000000003</v>
      </c>
      <c r="P4065">
        <v>-0.99844290000000002</v>
      </c>
      <c r="Q4065">
        <v>-4.0363669999999997E-2</v>
      </c>
      <c r="R4065">
        <v>-3.8503059999999999E-2</v>
      </c>
      <c r="S4065">
        <v>-3.0137179999999999</v>
      </c>
      <c r="T4065">
        <v>-1.101041E-2</v>
      </c>
      <c r="U4065">
        <v>0.20770259999999999</v>
      </c>
      <c r="V4065">
        <v>0.2167723</v>
      </c>
      <c r="W4065">
        <v>-3.9504129999999998E-2</v>
      </c>
      <c r="X4065">
        <v>0.97542260000000003</v>
      </c>
      <c r="Y4065">
        <v>0.32069799999999998</v>
      </c>
      <c r="Z4065">
        <v>1.1932990000000001E-3</v>
      </c>
      <c r="AA4065">
        <v>0.94718069999999999</v>
      </c>
      <c r="AB4065">
        <v>23</v>
      </c>
      <c r="AC4065">
        <v>-291.21910000000003</v>
      </c>
      <c r="AD4065">
        <v>-1.06474873999999</v>
      </c>
      <c r="AE4065">
        <v>20.1388</v>
      </c>
      <c r="AF4065">
        <v>93.680843237472601</v>
      </c>
      <c r="AG4065">
        <v>-1.06474873999999</v>
      </c>
      <c r="AH4065">
        <v>276.47019323256899</v>
      </c>
      <c r="AI4065">
        <v>90.208986290780501</v>
      </c>
      <c r="AJ4065">
        <v>71.281251074722306</v>
      </c>
      <c r="AK4065">
        <v>291.912661297206</v>
      </c>
      <c r="AL4065">
        <v>92.264008980513793</v>
      </c>
      <c r="AM4065">
        <v>77.470536138395403</v>
      </c>
      <c r="AN4065">
        <v>1.00000002746255</v>
      </c>
    </row>
    <row r="4066" spans="1:40" x14ac:dyDescent="0.25">
      <c r="A4066" t="str">
        <f>"20190303154554179"</f>
        <v>20190303154554179</v>
      </c>
      <c r="B4066" t="str">
        <f>"1551599154175577"</f>
        <v>1551599154175577</v>
      </c>
      <c r="C4066" t="s">
        <v>40</v>
      </c>
      <c r="D4066">
        <v>5.2750490000000001</v>
      </c>
      <c r="E4066">
        <v>0.54200179999999998</v>
      </c>
      <c r="F4066" t="s">
        <v>43</v>
      </c>
      <c r="G4066">
        <v>-491.5256</v>
      </c>
      <c r="H4066">
        <v>-0.05</v>
      </c>
      <c r="I4066">
        <v>163.32669999999999</v>
      </c>
      <c r="J4066">
        <v>-208.9871</v>
      </c>
      <c r="K4066">
        <v>1.115459</v>
      </c>
      <c r="L4066">
        <v>142.81639999999999</v>
      </c>
      <c r="M4066">
        <v>-0.96885529999999997</v>
      </c>
      <c r="N4066">
        <v>-3.1074029999999999E-3</v>
      </c>
      <c r="O4066">
        <v>-0.24760850000000001</v>
      </c>
      <c r="P4066">
        <v>-0.99861999999999995</v>
      </c>
      <c r="Q4066">
        <v>-4.0394399999999997E-2</v>
      </c>
      <c r="R4066">
        <v>-3.3565900000000003E-2</v>
      </c>
      <c r="S4066">
        <v>-3.0126040000000001</v>
      </c>
      <c r="T4066">
        <v>-1.241577E-2</v>
      </c>
      <c r="U4066">
        <v>0.21789549999999999</v>
      </c>
      <c r="V4066">
        <v>0.21433240000000001</v>
      </c>
      <c r="W4066">
        <v>-3.967271E-2</v>
      </c>
      <c r="X4066">
        <v>0.97595480000000001</v>
      </c>
      <c r="Y4066">
        <v>0.31685289999999999</v>
      </c>
      <c r="Z4066">
        <v>1.3855829999999999E-3</v>
      </c>
      <c r="AA4066">
        <v>0.94847369999999998</v>
      </c>
      <c r="AB4066">
        <v>24</v>
      </c>
      <c r="AC4066">
        <v>-282.5385</v>
      </c>
      <c r="AD4066">
        <v>-1.165459</v>
      </c>
      <c r="AE4066">
        <v>20.510300000000001</v>
      </c>
      <c r="AF4066">
        <v>89.829350509384597</v>
      </c>
      <c r="AG4066">
        <v>-1.165459</v>
      </c>
      <c r="AH4066">
        <v>268.65711912214601</v>
      </c>
      <c r="AI4066">
        <v>90.235724972570495</v>
      </c>
      <c r="AJ4066">
        <v>71.511904415915794</v>
      </c>
      <c r="AK4066">
        <v>283.27957597156399</v>
      </c>
      <c r="AL4066">
        <v>92.273675459772406</v>
      </c>
      <c r="AM4066">
        <v>77.613730848273903</v>
      </c>
      <c r="AN4066">
        <v>1.00000003662577</v>
      </c>
    </row>
    <row r="4067" spans="1:40" x14ac:dyDescent="0.25">
      <c r="A4067" t="str">
        <f>"20190303154554203"</f>
        <v>20190303154554203</v>
      </c>
      <c r="B4067" t="str">
        <f>"1551599154195097"</f>
        <v>1551599154195097</v>
      </c>
      <c r="C4067" t="s">
        <v>40</v>
      </c>
      <c r="D4067">
        <v>5.2839169999999998</v>
      </c>
      <c r="E4067">
        <v>0.54190649999999996</v>
      </c>
      <c r="F4067" t="s">
        <v>61</v>
      </c>
      <c r="G4067">
        <v>-416.8802</v>
      </c>
      <c r="H4067" s="1">
        <v>-1.8027520000000001E-5</v>
      </c>
      <c r="I4067">
        <v>158.751</v>
      </c>
      <c r="J4067">
        <v>-209.23500000000001</v>
      </c>
      <c r="K4067">
        <v>1.115523</v>
      </c>
      <c r="L4067">
        <v>142.761</v>
      </c>
      <c r="M4067">
        <v>-0.97060869999999999</v>
      </c>
      <c r="N4067">
        <v>-2.9284160000000001E-3</v>
      </c>
      <c r="O4067">
        <v>-0.24064550000000001</v>
      </c>
      <c r="P4067">
        <v>-0.9987066</v>
      </c>
      <c r="Q4067">
        <v>-4.2093529999999997E-2</v>
      </c>
      <c r="R4067">
        <v>-2.8521910000000001E-2</v>
      </c>
      <c r="S4067">
        <v>-3.0112299999999999</v>
      </c>
      <c r="T4067">
        <v>-1.6157149999999999E-2</v>
      </c>
      <c r="U4067">
        <v>0.23080439999999999</v>
      </c>
      <c r="V4067">
        <v>0.21222540000000001</v>
      </c>
      <c r="W4067">
        <v>-4.1477489999999999E-2</v>
      </c>
      <c r="X4067">
        <v>0.97634010000000004</v>
      </c>
      <c r="Y4067">
        <v>0.31411299999999998</v>
      </c>
      <c r="Z4067">
        <v>1.877449E-3</v>
      </c>
      <c r="AA4067">
        <v>0.94938370000000005</v>
      </c>
      <c r="AB4067">
        <v>24</v>
      </c>
      <c r="AC4067">
        <v>-207.64519999999999</v>
      </c>
      <c r="AD4067">
        <v>-1.11554102752</v>
      </c>
      <c r="AE4067">
        <v>15.99</v>
      </c>
      <c r="AF4067">
        <v>65.487315292903105</v>
      </c>
      <c r="AG4067">
        <v>-1.11554102752</v>
      </c>
      <c r="AH4067">
        <v>197.68948369175001</v>
      </c>
      <c r="AI4067">
        <v>90.306909770750906</v>
      </c>
      <c r="AJ4067">
        <v>71.671849504594604</v>
      </c>
      <c r="AK4067">
        <v>208.256968330875</v>
      </c>
      <c r="AL4067">
        <v>92.377167068096696</v>
      </c>
      <c r="AM4067">
        <v>77.736484165322395</v>
      </c>
      <c r="AN4067">
        <v>0.999999996724935</v>
      </c>
    </row>
    <row r="4068" spans="1:40" x14ac:dyDescent="0.25">
      <c r="A4068" t="str">
        <f>"20190303154554226"</f>
        <v>20190303154554226</v>
      </c>
      <c r="B4068" t="str">
        <f>"1551599154215593"</f>
        <v>1551599154215593</v>
      </c>
      <c r="C4068" t="s">
        <v>40</v>
      </c>
      <c r="D4068">
        <v>5.2380399999999998</v>
      </c>
      <c r="E4068">
        <v>0.54172279999999995</v>
      </c>
      <c r="F4068" t="s">
        <v>41</v>
      </c>
      <c r="G4068">
        <v>-345.6617</v>
      </c>
      <c r="H4068">
        <v>7.9985760000000003E-2</v>
      </c>
      <c r="I4068">
        <v>153.87389999999999</v>
      </c>
      <c r="J4068">
        <v>-209.4888</v>
      </c>
      <c r="K4068">
        <v>1.115618</v>
      </c>
      <c r="L4068">
        <v>142.70609999999999</v>
      </c>
      <c r="M4068">
        <v>-0.97227669999999999</v>
      </c>
      <c r="N4068">
        <v>-2.766063E-3</v>
      </c>
      <c r="O4068">
        <v>-0.23381689999999999</v>
      </c>
      <c r="P4068">
        <v>-0.99886269999999999</v>
      </c>
      <c r="Q4068">
        <v>-4.1270710000000002E-2</v>
      </c>
      <c r="R4068">
        <v>-2.3879540000000001E-2</v>
      </c>
      <c r="S4068">
        <v>-3.009903</v>
      </c>
      <c r="T4068">
        <v>-2.2846459999999999E-2</v>
      </c>
      <c r="U4068">
        <v>0.24517820000000001</v>
      </c>
      <c r="V4068">
        <v>0.2099268</v>
      </c>
      <c r="W4068">
        <v>-4.072833E-2</v>
      </c>
      <c r="X4068">
        <v>0.97686850000000003</v>
      </c>
      <c r="Y4068">
        <v>0.311969</v>
      </c>
      <c r="Z4068">
        <v>2.7291080000000001E-3</v>
      </c>
      <c r="AA4068">
        <v>0.95008840000000006</v>
      </c>
      <c r="AB4068">
        <v>24</v>
      </c>
      <c r="AC4068">
        <v>-136.1729</v>
      </c>
      <c r="AD4068">
        <v>-1.03563224</v>
      </c>
      <c r="AE4068">
        <v>11.1678</v>
      </c>
      <c r="AF4068">
        <v>42.695427932124097</v>
      </c>
      <c r="AG4068">
        <v>-1.03563224</v>
      </c>
      <c r="AH4068">
        <v>129.77955925922501</v>
      </c>
      <c r="AI4068">
        <v>90.434308679206097</v>
      </c>
      <c r="AJ4068">
        <v>71.789609931896607</v>
      </c>
      <c r="AK4068">
        <v>136.626154531124</v>
      </c>
      <c r="AL4068">
        <v>92.334206902994495</v>
      </c>
      <c r="AM4068">
        <v>77.871721990341001</v>
      </c>
      <c r="AN4068">
        <v>1.00000006225753</v>
      </c>
    </row>
    <row r="4069" spans="1:40" x14ac:dyDescent="0.25">
      <c r="A4069" t="str">
        <f>"20190303154554271"</f>
        <v>20190303154554271</v>
      </c>
      <c r="B4069" t="str">
        <f>"1551599154265369"</f>
        <v>1551599154265369</v>
      </c>
      <c r="C4069" t="s">
        <v>40</v>
      </c>
      <c r="D4069">
        <v>5.2743729999999998</v>
      </c>
      <c r="E4069">
        <v>0.54130529999999999</v>
      </c>
      <c r="F4069" t="s">
        <v>41</v>
      </c>
      <c r="G4069">
        <v>-345.26920000000001</v>
      </c>
      <c r="H4069">
        <v>7.9985669999999995E-2</v>
      </c>
      <c r="I4069">
        <v>154.34729999999999</v>
      </c>
      <c r="J4069">
        <v>-209.964</v>
      </c>
      <c r="K4069">
        <v>1.1157859999999999</v>
      </c>
      <c r="L4069">
        <v>142.6071</v>
      </c>
      <c r="M4069">
        <v>-0.97510949999999996</v>
      </c>
      <c r="N4069">
        <v>-2.5181460000000002E-3</v>
      </c>
      <c r="O4069">
        <v>-0.22170970000000001</v>
      </c>
      <c r="P4069">
        <v>-0.99896589999999996</v>
      </c>
      <c r="Q4069">
        <v>-4.237324E-2</v>
      </c>
      <c r="R4069">
        <v>-1.6489899999999998E-2</v>
      </c>
      <c r="S4069">
        <v>-3.0086360000000001</v>
      </c>
      <c r="T4069">
        <v>-2.294767E-2</v>
      </c>
      <c r="U4069">
        <v>0.25794980000000001</v>
      </c>
      <c r="V4069">
        <v>0.20500099999999999</v>
      </c>
      <c r="W4069">
        <v>-4.1920270000000003E-2</v>
      </c>
      <c r="X4069">
        <v>0.97786360000000005</v>
      </c>
      <c r="Y4069">
        <v>0.30418269999999997</v>
      </c>
      <c r="Z4069">
        <v>2.6634419999999998E-3</v>
      </c>
      <c r="AA4069">
        <v>0.95260999999999996</v>
      </c>
      <c r="AB4069">
        <v>24</v>
      </c>
      <c r="AC4069">
        <v>-135.30520000000001</v>
      </c>
      <c r="AD4069">
        <v>-1.03580033</v>
      </c>
      <c r="AE4069">
        <v>11.7401999999999</v>
      </c>
      <c r="AF4069">
        <v>41.444175205375998</v>
      </c>
      <c r="AG4069">
        <v>-1.03580033</v>
      </c>
      <c r="AH4069">
        <v>129.32735289635599</v>
      </c>
      <c r="AI4069">
        <v>90.436990814678595</v>
      </c>
      <c r="AJ4069">
        <v>72.231451120054203</v>
      </c>
      <c r="AK4069">
        <v>135.80963422362899</v>
      </c>
      <c r="AL4069">
        <v>92.402558643737905</v>
      </c>
      <c r="AM4069">
        <v>78.159883576473106</v>
      </c>
      <c r="AN4069">
        <v>0.99999996962141602</v>
      </c>
    </row>
    <row r="4070" spans="1:40" x14ac:dyDescent="0.25">
      <c r="A4070" t="str">
        <f>"20190303154554290"</f>
        <v>20190303154554290</v>
      </c>
      <c r="B4070" t="str">
        <f>"1551599154284890"</f>
        <v>1551599154284890</v>
      </c>
      <c r="C4070" t="s">
        <v>40</v>
      </c>
      <c r="D4070">
        <v>5.1885309999999896</v>
      </c>
      <c r="E4070">
        <v>0.54111260000000005</v>
      </c>
      <c r="F4070" t="s">
        <v>61</v>
      </c>
      <c r="G4070">
        <v>-310.19799999999998</v>
      </c>
      <c r="H4070">
        <v>6.4225909999999997E-2</v>
      </c>
      <c r="I4070">
        <v>151.84780000000001</v>
      </c>
      <c r="J4070">
        <v>-210.18960000000001</v>
      </c>
      <c r="K4070">
        <v>1.1158509999999999</v>
      </c>
      <c r="L4070">
        <v>142.56190000000001</v>
      </c>
      <c r="M4070">
        <v>-0.97633389999999998</v>
      </c>
      <c r="N4070">
        <v>-2.4276279999999998E-3</v>
      </c>
      <c r="O4070">
        <v>-0.21625539999999999</v>
      </c>
      <c r="P4070">
        <v>-0.99898120000000001</v>
      </c>
      <c r="Q4070">
        <v>-4.3204659999999999E-2</v>
      </c>
      <c r="R4070">
        <v>-1.3030440000000001E-2</v>
      </c>
      <c r="S4070">
        <v>-3.0063629999999999</v>
      </c>
      <c r="T4070">
        <v>-3.1539919999999999E-2</v>
      </c>
      <c r="U4070">
        <v>0.27716059999999998</v>
      </c>
      <c r="V4070">
        <v>0.20291239999999999</v>
      </c>
      <c r="W4070">
        <v>-4.277889E-2</v>
      </c>
      <c r="X4070">
        <v>0.97826199999999996</v>
      </c>
      <c r="Y4070">
        <v>0.30494520000000003</v>
      </c>
      <c r="Z4070">
        <v>3.6974019999999998E-3</v>
      </c>
      <c r="AA4070">
        <v>0.95236270000000001</v>
      </c>
      <c r="AB4070">
        <v>25</v>
      </c>
      <c r="AC4070">
        <v>-100.008399999999</v>
      </c>
      <c r="AD4070">
        <v>-1.0516250899999999</v>
      </c>
      <c r="AE4070">
        <v>9.2858999999999892</v>
      </c>
      <c r="AF4070">
        <v>30.690218753888601</v>
      </c>
      <c r="AG4070">
        <v>-1.0516250899999999</v>
      </c>
      <c r="AH4070">
        <v>95.623255619188697</v>
      </c>
      <c r="AI4070">
        <v>90.599949575005596</v>
      </c>
      <c r="AJ4070">
        <v>72.206002391860807</v>
      </c>
      <c r="AK4070">
        <v>100.433074520817</v>
      </c>
      <c r="AL4070">
        <v>92.451798029625493</v>
      </c>
      <c r="AM4070">
        <v>78.281800781373093</v>
      </c>
      <c r="AN4070">
        <v>1.0000000080736899</v>
      </c>
    </row>
    <row r="4071" spans="1:40" x14ac:dyDescent="0.25">
      <c r="A4071" t="str">
        <f>"20190303154554313"</f>
        <v>20190303154554313</v>
      </c>
      <c r="B4071" t="str">
        <f>"1551599154305385"</f>
        <v>1551599154305385</v>
      </c>
      <c r="C4071" t="s">
        <v>40</v>
      </c>
      <c r="D4071">
        <v>5.1702339999999998</v>
      </c>
      <c r="E4071">
        <v>0.54088249999999904</v>
      </c>
      <c r="F4071" t="s">
        <v>61</v>
      </c>
      <c r="G4071">
        <v>-301.99200000000002</v>
      </c>
      <c r="H4071" s="1">
        <v>-1.1772979999999999E-5</v>
      </c>
      <c r="I4071">
        <v>151.30539999999999</v>
      </c>
      <c r="J4071">
        <v>-210.44540000000001</v>
      </c>
      <c r="K4071">
        <v>1.1159159999999999</v>
      </c>
      <c r="L4071">
        <v>142.512</v>
      </c>
      <c r="M4071">
        <v>-0.97763730000000004</v>
      </c>
      <c r="N4071">
        <v>-2.3448369999999998E-3</v>
      </c>
      <c r="O4071">
        <v>-0.2102851</v>
      </c>
      <c r="P4071">
        <v>-0.99895540000000005</v>
      </c>
      <c r="Q4071">
        <v>-4.482589E-2</v>
      </c>
      <c r="R4071">
        <v>-8.8891549999999993E-3</v>
      </c>
      <c r="S4071">
        <v>-3.0052189999999999</v>
      </c>
      <c r="T4071">
        <v>-3.652859E-2</v>
      </c>
      <c r="U4071">
        <v>0.28622439999999999</v>
      </c>
      <c r="V4071">
        <v>0.20096720000000001</v>
      </c>
      <c r="W4071">
        <v>-4.442227E-2</v>
      </c>
      <c r="X4071">
        <v>0.97859030000000002</v>
      </c>
      <c r="Y4071">
        <v>0.30199530000000002</v>
      </c>
      <c r="Z4071">
        <v>4.2346900000000002E-3</v>
      </c>
      <c r="AA4071">
        <v>0.95330000000000004</v>
      </c>
      <c r="AB4071">
        <v>25</v>
      </c>
      <c r="AC4071">
        <v>-91.546599999999998</v>
      </c>
      <c r="AD4071">
        <v>-1.1159277729799999</v>
      </c>
      <c r="AE4071">
        <v>8.7933999999999894</v>
      </c>
      <c r="AF4071">
        <v>27.843618718122499</v>
      </c>
      <c r="AG4071">
        <v>-1.1159277729799999</v>
      </c>
      <c r="AH4071">
        <v>87.637587324964002</v>
      </c>
      <c r="AI4071">
        <v>90.695288154004302</v>
      </c>
      <c r="AJ4071">
        <v>72.374260309341395</v>
      </c>
      <c r="AK4071">
        <v>91.961182627537994</v>
      </c>
      <c r="AL4071">
        <v>92.546046260363795</v>
      </c>
      <c r="AM4071">
        <v>78.394861688903205</v>
      </c>
      <c r="AN4071">
        <v>1.0000000644009299</v>
      </c>
    </row>
    <row r="4072" spans="1:40" x14ac:dyDescent="0.25">
      <c r="A4072" t="str">
        <f>"20190303154554336"</f>
        <v>20190303154554336</v>
      </c>
      <c r="B4072" t="str">
        <f>"1551599154324905"</f>
        <v>1551599154324905</v>
      </c>
      <c r="C4072" t="s">
        <v>40</v>
      </c>
      <c r="D4072">
        <v>5.1454129999999996</v>
      </c>
      <c r="E4072">
        <v>0.5404909</v>
      </c>
      <c r="F4072" t="s">
        <v>61</v>
      </c>
      <c r="G4072">
        <v>-282.58699999999999</v>
      </c>
      <c r="H4072">
        <v>7.5173729999999994E-2</v>
      </c>
      <c r="I4072">
        <v>149.64150000000001</v>
      </c>
      <c r="J4072">
        <v>-210.6985</v>
      </c>
      <c r="K4072">
        <v>1.115972</v>
      </c>
      <c r="L4072">
        <v>142.4639</v>
      </c>
      <c r="M4072">
        <v>-0.97884389999999999</v>
      </c>
      <c r="N4072">
        <v>-2.280682E-3</v>
      </c>
      <c r="O4072">
        <v>-0.20459640000000001</v>
      </c>
      <c r="P4072">
        <v>-0.99888929999999998</v>
      </c>
      <c r="Q4072">
        <v>-4.6826680000000002E-2</v>
      </c>
      <c r="R4072">
        <v>-5.2444049999999997E-3</v>
      </c>
      <c r="S4072">
        <v>-3.0038299999999998</v>
      </c>
      <c r="T4072">
        <v>-4.3334360000000002E-2</v>
      </c>
      <c r="U4072">
        <v>0.2968597</v>
      </c>
      <c r="V4072">
        <v>0.19881740000000001</v>
      </c>
      <c r="W4072">
        <v>-4.6425630000000002E-2</v>
      </c>
      <c r="X4072">
        <v>0.97893629999999998</v>
      </c>
      <c r="Y4072">
        <v>0.29982189999999997</v>
      </c>
      <c r="Z4072">
        <v>4.9692570000000004E-3</v>
      </c>
      <c r="AA4072">
        <v>0.9539822</v>
      </c>
      <c r="AB4072">
        <v>25</v>
      </c>
      <c r="AC4072">
        <v>-71.888499999999993</v>
      </c>
      <c r="AD4072">
        <v>-1.04079827</v>
      </c>
      <c r="AE4072">
        <v>7.1776000000000098</v>
      </c>
      <c r="AF4072">
        <v>21.729422108426999</v>
      </c>
      <c r="AG4072">
        <v>-1.04079827</v>
      </c>
      <c r="AH4072">
        <v>68.884981970285594</v>
      </c>
      <c r="AI4072">
        <v>90.825535739581397</v>
      </c>
      <c r="AJ4072">
        <v>72.492381324950998</v>
      </c>
      <c r="AK4072">
        <v>72.238437048787304</v>
      </c>
      <c r="AL4072">
        <v>92.6609491497004</v>
      </c>
      <c r="AM4072">
        <v>78.519640747930794</v>
      </c>
      <c r="AN4072">
        <v>0.99999998856067296</v>
      </c>
    </row>
    <row r="4073" spans="1:40" x14ac:dyDescent="0.25">
      <c r="A4073" t="str">
        <f>"20190303154554360"</f>
        <v>20190303154554360</v>
      </c>
      <c r="B4073" t="str">
        <f>"1551599154355162"</f>
        <v>1551599154355162</v>
      </c>
      <c r="C4073" t="s">
        <v>40</v>
      </c>
      <c r="D4073">
        <v>5.1427949999999996</v>
      </c>
      <c r="E4073">
        <v>0.54012469999999901</v>
      </c>
      <c r="F4073" t="s">
        <v>41</v>
      </c>
      <c r="G4073">
        <v>-274.69720000000001</v>
      </c>
      <c r="H4073" s="1">
        <v>-4.3350500000000001E-6</v>
      </c>
      <c r="I4073">
        <v>148.96029999999999</v>
      </c>
      <c r="J4073">
        <v>-210.96690000000001</v>
      </c>
      <c r="K4073">
        <v>1.11605</v>
      </c>
      <c r="L4073">
        <v>142.41419999999999</v>
      </c>
      <c r="M4073">
        <v>-0.9800392</v>
      </c>
      <c r="N4073">
        <v>-2.2271790000000001E-3</v>
      </c>
      <c r="O4073">
        <v>-0.1987922</v>
      </c>
      <c r="P4073">
        <v>-0.99877070000000001</v>
      </c>
      <c r="Q4073">
        <v>-4.9523409999999997E-2</v>
      </c>
      <c r="R4073">
        <v>-2.1366129999999999E-3</v>
      </c>
      <c r="S4073">
        <v>-3.002472</v>
      </c>
      <c r="T4073">
        <v>-5.2355649999999997E-2</v>
      </c>
      <c r="U4073">
        <v>0.30477910000000002</v>
      </c>
      <c r="V4073">
        <v>0.1960211</v>
      </c>
      <c r="W4073">
        <v>-4.9105419999999997E-2</v>
      </c>
      <c r="X4073">
        <v>0.97936939999999995</v>
      </c>
      <c r="Y4073">
        <v>0.2966781</v>
      </c>
      <c r="Z4073">
        <v>5.9170079999999996E-3</v>
      </c>
      <c r="AA4073">
        <v>0.95495920000000001</v>
      </c>
      <c r="AB4073">
        <v>25</v>
      </c>
      <c r="AC4073">
        <v>-63.7303</v>
      </c>
      <c r="AD4073">
        <v>-1.1160543350499901</v>
      </c>
      <c r="AE4073">
        <v>6.5460999999999903</v>
      </c>
      <c r="AF4073">
        <v>19.078777315239702</v>
      </c>
      <c r="AG4073">
        <v>-1.1160543350499901</v>
      </c>
      <c r="AH4073">
        <v>61.138472326663603</v>
      </c>
      <c r="AI4073">
        <v>90.998322409126501</v>
      </c>
      <c r="AJ4073">
        <v>72.669026068865094</v>
      </c>
      <c r="AK4073">
        <v>64.055898397895405</v>
      </c>
      <c r="AL4073">
        <v>92.814665227807893</v>
      </c>
      <c r="AM4073">
        <v>78.681786254566902</v>
      </c>
      <c r="AN4073">
        <v>1.0000000177874699</v>
      </c>
    </row>
    <row r="4074" spans="1:40" x14ac:dyDescent="0.25">
      <c r="A4074" t="str">
        <f>"20190303154554380"</f>
        <v>20190303154554380</v>
      </c>
      <c r="B4074" t="str">
        <f>"1551599154374681"</f>
        <v>1551599154374681</v>
      </c>
      <c r="C4074" t="s">
        <v>40</v>
      </c>
      <c r="D4074">
        <v>5.1118160000000001</v>
      </c>
      <c r="E4074">
        <v>0.53990609999999895</v>
      </c>
      <c r="F4074" t="s">
        <v>41</v>
      </c>
      <c r="G4074">
        <v>-264.81130000000002</v>
      </c>
      <c r="H4074" s="1">
        <v>-4.1258859999999998E-6</v>
      </c>
      <c r="I4074">
        <v>148</v>
      </c>
      <c r="J4074">
        <v>-211.19649999999999</v>
      </c>
      <c r="K4074">
        <v>1.11612</v>
      </c>
      <c r="L4074">
        <v>142.37289999999999</v>
      </c>
      <c r="M4074">
        <v>-0.98099619999999998</v>
      </c>
      <c r="N4074">
        <v>-2.1907839999999999E-3</v>
      </c>
      <c r="O4074">
        <v>-0.19401479999999999</v>
      </c>
      <c r="P4074">
        <v>-0.998664</v>
      </c>
      <c r="Q4074">
        <v>-5.167542E-2</v>
      </c>
      <c r="R4074">
        <v>-1.165748E-4</v>
      </c>
      <c r="S4074">
        <v>-3.0012819999999998</v>
      </c>
      <c r="T4074">
        <v>-6.2208769999999997E-2</v>
      </c>
      <c r="U4074">
        <v>0.31135559999999901</v>
      </c>
      <c r="V4074">
        <v>0.19319890000000001</v>
      </c>
      <c r="W4074">
        <v>-5.1229249999999997E-2</v>
      </c>
      <c r="X4074">
        <v>0.97982130000000001</v>
      </c>
      <c r="Y4074">
        <v>0.29410389999999997</v>
      </c>
      <c r="Z4074">
        <v>6.9388569999999997E-3</v>
      </c>
      <c r="AA4074">
        <v>0.9557483</v>
      </c>
      <c r="AB4074">
        <v>25</v>
      </c>
      <c r="AC4074">
        <v>-53.614800000000002</v>
      </c>
      <c r="AD4074">
        <v>-1.116124125886</v>
      </c>
      <c r="AE4074">
        <v>5.6271000000000102</v>
      </c>
      <c r="AF4074">
        <v>15.9154438599318</v>
      </c>
      <c r="AG4074">
        <v>-1.116124125886</v>
      </c>
      <c r="AH4074">
        <v>51.482228147969501</v>
      </c>
      <c r="AI4074">
        <v>91.186576050845602</v>
      </c>
      <c r="AJ4074">
        <v>72.821297542241297</v>
      </c>
      <c r="AK4074">
        <v>53.897744863793797</v>
      </c>
      <c r="AL4074">
        <v>92.936505168555797</v>
      </c>
      <c r="AM4074">
        <v>78.845638583698999</v>
      </c>
      <c r="AN4074">
        <v>1.00000001547523</v>
      </c>
    </row>
    <row r="4075" spans="1:40" x14ac:dyDescent="0.25">
      <c r="A4075" t="str">
        <f>"20190303154554403"</f>
        <v>20190303154554403</v>
      </c>
      <c r="B4075" t="str">
        <f>"1551599154395177"</f>
        <v>1551599154395177</v>
      </c>
      <c r="C4075" t="s">
        <v>40</v>
      </c>
      <c r="D4075">
        <v>5.1398840000000003</v>
      </c>
      <c r="E4075">
        <v>0.53968859999999996</v>
      </c>
      <c r="F4075" t="s">
        <v>41</v>
      </c>
      <c r="G4075">
        <v>-259.51130000000001</v>
      </c>
      <c r="H4075" s="1">
        <v>-2.277202E-6</v>
      </c>
      <c r="I4075">
        <v>147.45320000000001</v>
      </c>
      <c r="J4075">
        <v>-211.46559999999999</v>
      </c>
      <c r="K4075">
        <v>1.1162069999999999</v>
      </c>
      <c r="L4075">
        <v>142.32560000000001</v>
      </c>
      <c r="M4075">
        <v>-0.98204590000000003</v>
      </c>
      <c r="N4075">
        <v>-2.1596580000000001E-3</v>
      </c>
      <c r="O4075">
        <v>-0.1886302</v>
      </c>
      <c r="P4075">
        <v>-0.99857499999999999</v>
      </c>
      <c r="Q4075">
        <v>-5.332721E-2</v>
      </c>
      <c r="R4075">
        <v>2.0824900000000002E-3</v>
      </c>
      <c r="S4075">
        <v>-3.0004580000000001</v>
      </c>
      <c r="T4075">
        <v>-6.9313650000000004E-2</v>
      </c>
      <c r="U4075">
        <v>0.31550600000000001</v>
      </c>
      <c r="V4075">
        <v>0.18996209999999999</v>
      </c>
      <c r="W4075">
        <v>-5.2836569999999999E-2</v>
      </c>
      <c r="X4075">
        <v>0.98036869999999998</v>
      </c>
      <c r="Y4075">
        <v>0.29017029999999999</v>
      </c>
      <c r="Z4075">
        <v>7.5852699999999999E-3</v>
      </c>
      <c r="AA4075">
        <v>0.95694489999999999</v>
      </c>
      <c r="AB4075">
        <v>26</v>
      </c>
      <c r="AC4075">
        <v>-48.045699999999997</v>
      </c>
      <c r="AD4075">
        <v>-1.116209277202</v>
      </c>
      <c r="AE4075">
        <v>5.1276000000000002</v>
      </c>
      <c r="AF4075">
        <v>14.090920521552</v>
      </c>
      <c r="AG4075">
        <v>-1.116209277202</v>
      </c>
      <c r="AH4075">
        <v>46.191316024542203</v>
      </c>
      <c r="AI4075">
        <v>91.324063507905294</v>
      </c>
      <c r="AJ4075">
        <v>73.035378618953402</v>
      </c>
      <c r="AK4075">
        <v>48.305668822347698</v>
      </c>
      <c r="AL4075">
        <v>93.028722659847602</v>
      </c>
      <c r="AM4075">
        <v>79.033920965625398</v>
      </c>
      <c r="AN4075">
        <v>1.00000004525273</v>
      </c>
    </row>
    <row r="4076" spans="1:40" x14ac:dyDescent="0.25">
      <c r="A4076" t="str">
        <f>"20190303154554427"</f>
        <v>20190303154554427</v>
      </c>
      <c r="B4076" t="str">
        <f>"1551599154415673"</f>
        <v>1551599154415673</v>
      </c>
      <c r="C4076" t="s">
        <v>40</v>
      </c>
      <c r="D4076">
        <v>5.0695759999999996</v>
      </c>
      <c r="E4076">
        <v>0.52333569999999996</v>
      </c>
      <c r="F4076" t="s">
        <v>41</v>
      </c>
      <c r="G4076">
        <v>-256.10219999999998</v>
      </c>
      <c r="H4076" s="1">
        <v>-3.525845E-6</v>
      </c>
      <c r="I4076">
        <v>147.09389999999999</v>
      </c>
      <c r="J4076">
        <v>-211.73570000000001</v>
      </c>
      <c r="K4076">
        <v>1.1163000000000001</v>
      </c>
      <c r="L4076">
        <v>142.27950000000001</v>
      </c>
      <c r="M4076">
        <v>-0.98302480000000003</v>
      </c>
      <c r="N4076">
        <v>-2.1400770000000002E-3</v>
      </c>
      <c r="O4076">
        <v>-0.1834604</v>
      </c>
      <c r="P4076">
        <v>-0.99848680000000001</v>
      </c>
      <c r="Q4076">
        <v>-5.4892339999999998E-2</v>
      </c>
      <c r="R4076">
        <v>3.3474160000000002E-3</v>
      </c>
      <c r="S4076">
        <v>-2.999619</v>
      </c>
      <c r="T4076">
        <v>-7.5010419999999994E-2</v>
      </c>
      <c r="U4076">
        <v>0.32043460000000001</v>
      </c>
      <c r="V4076">
        <v>0.18602859999999999</v>
      </c>
      <c r="W4076">
        <v>-5.4341279999999999E-2</v>
      </c>
      <c r="X4076">
        <v>0.98104049999999998</v>
      </c>
      <c r="Y4076">
        <v>0.28669689999999998</v>
      </c>
      <c r="Z4076">
        <v>8.0551269999999901E-3</v>
      </c>
      <c r="AA4076">
        <v>0.95798749999999999</v>
      </c>
      <c r="AB4076">
        <v>26</v>
      </c>
      <c r="AC4076">
        <v>-44.366499999999903</v>
      </c>
      <c r="AD4076">
        <v>-1.116303525845</v>
      </c>
      <c r="AE4076">
        <v>4.8143999999999698</v>
      </c>
      <c r="AF4076">
        <v>12.864150378983201</v>
      </c>
      <c r="AG4076">
        <v>-1.116303525845</v>
      </c>
      <c r="AH4076">
        <v>42.703494876908898</v>
      </c>
      <c r="AI4076">
        <v>91.433800402435693</v>
      </c>
      <c r="AJ4076">
        <v>73.235413512794494</v>
      </c>
      <c r="AK4076">
        <v>44.613013496479802</v>
      </c>
      <c r="AL4076">
        <v>93.1150602771488</v>
      </c>
      <c r="AM4076">
        <v>79.262839560051603</v>
      </c>
      <c r="AN4076">
        <v>1.00000003868512</v>
      </c>
    </row>
    <row r="4077" spans="1:40" x14ac:dyDescent="0.25">
      <c r="A4077" t="str">
        <f>"20190303154554451"</f>
        <v>20190303154554451</v>
      </c>
      <c r="B4077" t="str">
        <f>"1551599154444955"</f>
        <v>1551599154444955</v>
      </c>
      <c r="C4077" t="s">
        <v>40</v>
      </c>
      <c r="D4077">
        <v>5.1461230000000002</v>
      </c>
      <c r="E4077">
        <v>0.50355550000000004</v>
      </c>
      <c r="F4077" t="s">
        <v>41</v>
      </c>
      <c r="G4077">
        <v>-231.5061</v>
      </c>
      <c r="H4077" s="1">
        <v>-4.4658179999999997E-6</v>
      </c>
      <c r="I4077">
        <v>143.57560000000001</v>
      </c>
      <c r="J4077">
        <v>-212.01900000000001</v>
      </c>
      <c r="K4077">
        <v>1.116382</v>
      </c>
      <c r="L4077">
        <v>142.23240000000001</v>
      </c>
      <c r="M4077">
        <v>-0.98398479999999999</v>
      </c>
      <c r="N4077">
        <v>-2.1297870000000002E-3</v>
      </c>
      <c r="O4077">
        <v>-0.1782397</v>
      </c>
      <c r="P4077">
        <v>-0.99846630000000003</v>
      </c>
      <c r="Q4077">
        <v>-5.5195059999999997E-2</v>
      </c>
      <c r="R4077">
        <v>4.3149190000000004E-3</v>
      </c>
      <c r="S4077">
        <v>-2.9945979999999999</v>
      </c>
      <c r="T4077">
        <v>-0.1690855</v>
      </c>
      <c r="U4077">
        <v>0.1963348</v>
      </c>
      <c r="V4077">
        <v>0.1817763</v>
      </c>
      <c r="W4077">
        <v>-5.457857E-2</v>
      </c>
      <c r="X4077">
        <v>0.98182409999999998</v>
      </c>
      <c r="Y4077">
        <v>0.24157419999999999</v>
      </c>
      <c r="Z4077">
        <v>1.6704569999999998E-2</v>
      </c>
      <c r="AA4077">
        <v>0.97023859999999995</v>
      </c>
      <c r="AB4077">
        <v>26</v>
      </c>
      <c r="AC4077">
        <v>-19.487100000000002</v>
      </c>
      <c r="AD4077">
        <v>-1.1163864658180001</v>
      </c>
      <c r="AE4077">
        <v>1.34319999999999</v>
      </c>
      <c r="AF4077">
        <v>4.7794622021384701</v>
      </c>
      <c r="AG4077">
        <v>-1.1163864658180001</v>
      </c>
      <c r="AH4077">
        <v>18.873990472898502</v>
      </c>
      <c r="AI4077">
        <v>93.281721774523604</v>
      </c>
      <c r="AJ4077">
        <v>75.789705624067196</v>
      </c>
      <c r="AK4077">
        <v>19.501720284472199</v>
      </c>
      <c r="AL4077">
        <v>93.128676309157498</v>
      </c>
      <c r="AM4077">
        <v>79.510947880145395</v>
      </c>
      <c r="AN4077">
        <v>1.00000000344287</v>
      </c>
    </row>
    <row r="4078" spans="1:40" x14ac:dyDescent="0.25">
      <c r="A4078" t="str">
        <f>"20190303154554474"</f>
        <v>20190303154554474</v>
      </c>
      <c r="B4078" t="str">
        <f>"1551599154465449"</f>
        <v>1551599154465449</v>
      </c>
      <c r="C4078" t="s">
        <v>40</v>
      </c>
      <c r="D4078">
        <v>5.1421830000000002</v>
      </c>
      <c r="E4078">
        <v>0.48935089999999998</v>
      </c>
      <c r="F4078" t="s">
        <v>41</v>
      </c>
      <c r="G4078">
        <v>-228.1069</v>
      </c>
      <c r="H4078" s="1">
        <v>-1.55155E-6</v>
      </c>
      <c r="I4078">
        <v>142.46170000000001</v>
      </c>
      <c r="J4078">
        <v>-212.28380000000001</v>
      </c>
      <c r="K4078">
        <v>1.1164480000000001</v>
      </c>
      <c r="L4078">
        <v>142.18950000000001</v>
      </c>
      <c r="M4078">
        <v>-0.98482349999999996</v>
      </c>
      <c r="N4078">
        <v>-2.1294439999999999E-3</v>
      </c>
      <c r="O4078">
        <v>-0.17354559999999999</v>
      </c>
      <c r="P4078">
        <v>-0.99842089999999994</v>
      </c>
      <c r="Q4078">
        <v>-5.6030070000000001E-2</v>
      </c>
      <c r="R4078">
        <v>4.0196770000000001E-3</v>
      </c>
      <c r="S4078">
        <v>-2.9929350000000001</v>
      </c>
      <c r="T4078">
        <v>-0.20768829999999999</v>
      </c>
      <c r="U4078">
        <v>4.2678830000000001E-2</v>
      </c>
      <c r="V4078">
        <v>0.17679779999999901</v>
      </c>
      <c r="W4078">
        <v>-5.5340060000000003E-2</v>
      </c>
      <c r="X4078">
        <v>0.98269019999999996</v>
      </c>
      <c r="Y4078">
        <v>0.18671840000000001</v>
      </c>
      <c r="Z4078">
        <v>1.8284439999999999E-2</v>
      </c>
      <c r="AA4078">
        <v>0.98224330000000004</v>
      </c>
      <c r="AB4078">
        <v>26</v>
      </c>
      <c r="AC4078">
        <v>-15.823099999999901</v>
      </c>
      <c r="AD4078">
        <v>-1.1164495515499999</v>
      </c>
      <c r="AE4078">
        <v>0.272199999999998</v>
      </c>
      <c r="AF4078">
        <v>2.9991783966633001</v>
      </c>
      <c r="AG4078">
        <v>-1.1164495515499999</v>
      </c>
      <c r="AH4078">
        <v>15.4588189813173</v>
      </c>
      <c r="AI4078">
        <v>94.055420823096696</v>
      </c>
      <c r="AJ4078">
        <v>79.020399921654601</v>
      </c>
      <c r="AK4078">
        <v>15.786596053402601</v>
      </c>
      <c r="AL4078">
        <v>93.172372505389902</v>
      </c>
      <c r="AM4078">
        <v>79.800907846135004</v>
      </c>
      <c r="AN4078">
        <v>1.0000000067508401</v>
      </c>
    </row>
    <row r="4079" spans="1:40" x14ac:dyDescent="0.25">
      <c r="A4079" t="str">
        <f>"20190303154554493"</f>
        <v>20190303154554493</v>
      </c>
      <c r="B4079" t="str">
        <f>"1551599154484970"</f>
        <v>1551599154484970</v>
      </c>
      <c r="C4079" t="s">
        <v>40</v>
      </c>
      <c r="D4079">
        <v>5.1079939999999997</v>
      </c>
      <c r="E4079">
        <v>0.4844194</v>
      </c>
      <c r="F4079" t="s">
        <v>41</v>
      </c>
      <c r="G4079">
        <v>-227.90090000000001</v>
      </c>
      <c r="H4079" s="1">
        <v>-1.468362E-6</v>
      </c>
      <c r="I4079">
        <v>141.81700000000001</v>
      </c>
      <c r="J4079">
        <v>-212.52510000000001</v>
      </c>
      <c r="K4079">
        <v>1.1165099999999999</v>
      </c>
      <c r="L4079">
        <v>142.15129999999999</v>
      </c>
      <c r="M4079">
        <v>-0.98553999999999997</v>
      </c>
      <c r="N4079">
        <v>-2.1344739999999999E-3</v>
      </c>
      <c r="O4079">
        <v>-0.16942989999999999</v>
      </c>
      <c r="P4079">
        <v>-0.99834829999999997</v>
      </c>
      <c r="Q4079">
        <v>-5.740369E-2</v>
      </c>
      <c r="R4079">
        <v>2.4153159999999998E-3</v>
      </c>
      <c r="S4079">
        <v>-2.9930270000000001</v>
      </c>
      <c r="T4079">
        <v>-0.21396799999999999</v>
      </c>
      <c r="U4079">
        <v>-7.1380620000000006E-2</v>
      </c>
      <c r="V4079">
        <v>0.17109669999999999</v>
      </c>
      <c r="W4079">
        <v>-5.6633490000000002E-2</v>
      </c>
      <c r="X4079">
        <v>0.98362519999999998</v>
      </c>
      <c r="Y4079">
        <v>0.145100799999999</v>
      </c>
      <c r="Z4079">
        <v>1.7016650000000001E-2</v>
      </c>
      <c r="AA4079">
        <v>0.9892706</v>
      </c>
      <c r="AB4079">
        <v>26</v>
      </c>
      <c r="AC4079">
        <v>-15.3757999999999</v>
      </c>
      <c r="AD4079">
        <v>-1.1165114683619899</v>
      </c>
      <c r="AE4079">
        <v>-0.334299999999984</v>
      </c>
      <c r="AF4079">
        <v>2.2637284483188398</v>
      </c>
      <c r="AG4079">
        <v>-1.1165114683619899</v>
      </c>
      <c r="AH4079">
        <v>15.130396314238199</v>
      </c>
      <c r="AI4079">
        <v>94.174064151077602</v>
      </c>
      <c r="AJ4079">
        <v>81.490830548164396</v>
      </c>
      <c r="AK4079">
        <v>15.3394901144929</v>
      </c>
      <c r="AL4079">
        <v>93.246597086118399</v>
      </c>
      <c r="AM4079">
        <v>80.132415021363101</v>
      </c>
      <c r="AN4079">
        <v>0.99999998350775399</v>
      </c>
    </row>
    <row r="4080" spans="1:40" x14ac:dyDescent="0.25">
      <c r="A4080" t="str">
        <f>"20190303154554516"</f>
        <v>20190303154554516</v>
      </c>
      <c r="B4080" t="str">
        <f>"1551599154505466"</f>
        <v>1551599154505466</v>
      </c>
      <c r="C4080" t="s">
        <v>40</v>
      </c>
      <c r="D4080">
        <v>5.1444449999999904</v>
      </c>
      <c r="E4080">
        <v>0.48085020000000001</v>
      </c>
      <c r="F4080" t="s">
        <v>41</v>
      </c>
      <c r="G4080">
        <v>-227.98310000000001</v>
      </c>
      <c r="H4080" s="1">
        <v>-1.363156E-6</v>
      </c>
      <c r="I4080">
        <v>141.554</v>
      </c>
      <c r="J4080">
        <v>-212.7894</v>
      </c>
      <c r="K4080">
        <v>1.1165769999999999</v>
      </c>
      <c r="L4080">
        <v>142.1105</v>
      </c>
      <c r="M4080">
        <v>-0.98627560000000003</v>
      </c>
      <c r="N4080">
        <v>-2.1429819999999999E-3</v>
      </c>
      <c r="O4080">
        <v>-0.1650933</v>
      </c>
      <c r="P4080">
        <v>-0.99821409999999999</v>
      </c>
      <c r="Q4080">
        <v>-5.9732970000000003E-2</v>
      </c>
      <c r="R4080">
        <v>-8.1053679999999902E-4</v>
      </c>
      <c r="S4080">
        <v>-2.9927980000000001</v>
      </c>
      <c r="T4080">
        <v>-0.21616640000000001</v>
      </c>
      <c r="U4080">
        <v>-0.1156311</v>
      </c>
      <c r="V4080">
        <v>0.1635586</v>
      </c>
      <c r="W4080">
        <v>-5.886272E-2</v>
      </c>
      <c r="X4080">
        <v>0.98477599999999998</v>
      </c>
      <c r="Y4080">
        <v>0.12615470000000001</v>
      </c>
      <c r="Z4080">
        <v>1.6183010000000001E-2</v>
      </c>
      <c r="AA4080">
        <v>0.99187860000000005</v>
      </c>
      <c r="AB4080">
        <v>27</v>
      </c>
      <c r="AC4080">
        <v>-15.1937</v>
      </c>
      <c r="AD4080">
        <v>-1.116578363156</v>
      </c>
      <c r="AE4080">
        <v>-0.556499999999999</v>
      </c>
      <c r="AF4080">
        <v>1.9490083122208199</v>
      </c>
      <c r="AG4080">
        <v>-1.116578363156</v>
      </c>
      <c r="AH4080">
        <v>14.9962032821163</v>
      </c>
      <c r="AI4080">
        <v>94.222852077330899</v>
      </c>
      <c r="AJ4080">
        <v>82.594959389703007</v>
      </c>
      <c r="AK4080">
        <v>15.1634921281586</v>
      </c>
      <c r="AL4080">
        <v>93.374536026834207</v>
      </c>
      <c r="AM4080">
        <v>80.569989503514407</v>
      </c>
      <c r="AN4080">
        <v>1.0000000028078699</v>
      </c>
    </row>
    <row r="4081" spans="1:40" x14ac:dyDescent="0.25">
      <c r="A4081" t="str">
        <f>"20190303154554560"</f>
        <v>20190303154554560</v>
      </c>
      <c r="B4081" t="str">
        <f>"1551599154555242"</f>
        <v>1551599154555242</v>
      </c>
      <c r="C4081" t="s">
        <v>40</v>
      </c>
      <c r="D4081">
        <v>5.1075530000000002</v>
      </c>
      <c r="E4081">
        <v>0.47653689999999999</v>
      </c>
      <c r="F4081" t="s">
        <v>42</v>
      </c>
      <c r="G4081">
        <v>-213.59360000000001</v>
      </c>
      <c r="H4081">
        <v>1.0550360000000001</v>
      </c>
      <c r="I4081">
        <v>142.0694</v>
      </c>
      <c r="J4081">
        <v>-213.31020000000001</v>
      </c>
      <c r="K4081">
        <v>1.1167</v>
      </c>
      <c r="L4081">
        <v>142.03299999999999</v>
      </c>
      <c r="M4081">
        <v>-0.98759470000000005</v>
      </c>
      <c r="N4081">
        <v>-2.167965E-3</v>
      </c>
      <c r="O4081">
        <v>-0.1570096</v>
      </c>
      <c r="P4081">
        <v>-0.9980002</v>
      </c>
      <c r="Q4081">
        <v>-6.2749739999999998E-2</v>
      </c>
      <c r="R4081">
        <v>-7.6457460000000001E-3</v>
      </c>
      <c r="S4081">
        <v>-2.9915310000000002</v>
      </c>
      <c r="T4081">
        <v>-0.22879969999999999</v>
      </c>
      <c r="U4081">
        <v>-0.15351870000000001</v>
      </c>
      <c r="V4081">
        <v>0.14870349999999999</v>
      </c>
      <c r="W4081">
        <v>-6.1685759999999999E-2</v>
      </c>
      <c r="X4081">
        <v>0.98695600000000006</v>
      </c>
      <c r="Y4081">
        <v>0.1054457</v>
      </c>
      <c r="Z4081">
        <v>1.5730979999999999E-2</v>
      </c>
      <c r="AA4081">
        <v>0.99430059999999998</v>
      </c>
      <c r="AB4081">
        <v>27</v>
      </c>
      <c r="AC4081">
        <v>-0.28339999999999999</v>
      </c>
      <c r="AD4081">
        <v>-6.1663999999999899E-2</v>
      </c>
      <c r="AE4081">
        <v>3.6400000000014601E-2</v>
      </c>
      <c r="AF4081">
        <v>7.6865124131025905E-2</v>
      </c>
      <c r="AG4081">
        <v>-6.1663999999999899E-2</v>
      </c>
      <c r="AH4081">
        <v>0.26196851471650701</v>
      </c>
      <c r="AI4081">
        <v>102.727560008198</v>
      </c>
      <c r="AJ4081">
        <v>73.647594138139397</v>
      </c>
      <c r="AK4081">
        <v>0.279889619147354</v>
      </c>
      <c r="AL4081">
        <v>93.536578968350895</v>
      </c>
      <c r="AM4081">
        <v>81.431760516603902</v>
      </c>
      <c r="AN4081">
        <v>1.00000000491751</v>
      </c>
    </row>
    <row r="4082" spans="1:40" x14ac:dyDescent="0.25">
      <c r="A4082" t="str">
        <f>"20190303154554580"</f>
        <v>20190303154554580</v>
      </c>
      <c r="B4082" t="str">
        <f>"1551599154574762"</f>
        <v>1551599154574762</v>
      </c>
      <c r="C4082" t="s">
        <v>40</v>
      </c>
      <c r="D4082">
        <v>5.0653769999999998</v>
      </c>
      <c r="E4082">
        <v>0.47624499999999997</v>
      </c>
      <c r="F4082" t="s">
        <v>42</v>
      </c>
      <c r="G4082">
        <v>-214.0712</v>
      </c>
      <c r="H4082">
        <v>1.0541389999999999</v>
      </c>
      <c r="I4082">
        <v>141.97999999999999</v>
      </c>
      <c r="J4082">
        <v>-213.5685</v>
      </c>
      <c r="K4082">
        <v>1.1167499999999999</v>
      </c>
      <c r="L4082">
        <v>141.99590000000001</v>
      </c>
      <c r="M4082">
        <v>-0.98819670000000004</v>
      </c>
      <c r="N4082">
        <v>-2.1883599999999999E-3</v>
      </c>
      <c r="O4082">
        <v>-0.15317510000000001</v>
      </c>
      <c r="P4082">
        <v>-0.99796859999999998</v>
      </c>
      <c r="Q4082">
        <v>-6.2726309999999993E-2</v>
      </c>
      <c r="R4082">
        <v>-1.1145230000000001E-2</v>
      </c>
      <c r="S4082">
        <v>-2.9889679999999998</v>
      </c>
      <c r="T4082">
        <v>-0.24561379999999999</v>
      </c>
      <c r="U4082">
        <v>-0.20825199999999999</v>
      </c>
      <c r="V4082">
        <v>0.14141679999999901</v>
      </c>
      <c r="W4082">
        <v>-6.1570439999999997E-2</v>
      </c>
      <c r="X4082">
        <v>0.98803359999999996</v>
      </c>
      <c r="Y4082">
        <v>8.335157E-2</v>
      </c>
      <c r="Z4082">
        <v>1.5667199999999999E-2</v>
      </c>
      <c r="AA4082">
        <v>0.99639699999999998</v>
      </c>
      <c r="AB4082">
        <v>27</v>
      </c>
      <c r="AC4082">
        <v>-0.50270000000000403</v>
      </c>
      <c r="AD4082">
        <v>-6.2610999999999903E-2</v>
      </c>
      <c r="AE4082">
        <v>-1.59000000000162E-2</v>
      </c>
      <c r="AF4082">
        <v>6.0353634604726702E-2</v>
      </c>
      <c r="AG4082">
        <v>-6.2610999999999903E-2</v>
      </c>
      <c r="AH4082">
        <v>0.49158500966551499</v>
      </c>
      <c r="AI4082">
        <v>97.204905606411401</v>
      </c>
      <c r="AJ4082">
        <v>83.0006217570687</v>
      </c>
      <c r="AK4082">
        <v>0.49921790859187498</v>
      </c>
      <c r="AL4082">
        <v>93.529959008765204</v>
      </c>
      <c r="AM4082">
        <v>81.854602864231296</v>
      </c>
      <c r="AN4082">
        <v>1.0000000125664901</v>
      </c>
    </row>
    <row r="4083" spans="1:40" x14ac:dyDescent="0.25">
      <c r="A4083" t="str">
        <f>"20190303154554605"</f>
        <v>20190303154554605</v>
      </c>
      <c r="B4083" t="str">
        <f>"1551599154595258"</f>
        <v>1551599154595258</v>
      </c>
      <c r="C4083" t="s">
        <v>40</v>
      </c>
      <c r="D4083">
        <v>5.0446239999999998</v>
      </c>
      <c r="E4083">
        <v>0.47603400000000001</v>
      </c>
      <c r="F4083" t="s">
        <v>42</v>
      </c>
      <c r="G4083">
        <v>-214.31549999999999</v>
      </c>
      <c r="H4083">
        <v>1.056203</v>
      </c>
      <c r="I4083">
        <v>141.94069999999999</v>
      </c>
      <c r="J4083">
        <v>-213.85679999999999</v>
      </c>
      <c r="K4083">
        <v>1.1167849999999999</v>
      </c>
      <c r="L4083">
        <v>141.9556</v>
      </c>
      <c r="M4083">
        <v>-0.98883299999999996</v>
      </c>
      <c r="N4083">
        <v>-2.2150870000000001E-3</v>
      </c>
      <c r="O4083">
        <v>-0.1490117</v>
      </c>
      <c r="P4083">
        <v>-0.99799210000000005</v>
      </c>
      <c r="Q4083">
        <v>-6.1718780000000001E-2</v>
      </c>
      <c r="R4083">
        <v>-1.422882E-2</v>
      </c>
      <c r="S4083">
        <v>-2.9884189999999999</v>
      </c>
      <c r="T4083">
        <v>-0.242228</v>
      </c>
      <c r="U4083">
        <v>-0.22125239999999999</v>
      </c>
      <c r="V4083">
        <v>0.13422200000000001</v>
      </c>
      <c r="W4083">
        <v>-6.0471150000000001E-2</v>
      </c>
      <c r="X4083">
        <v>0.98910450000000005</v>
      </c>
      <c r="Y4083">
        <v>7.4889059999999993E-2</v>
      </c>
      <c r="Z4083">
        <v>1.4770409999999999E-2</v>
      </c>
      <c r="AA4083">
        <v>0.99708249999999998</v>
      </c>
      <c r="AB4083">
        <v>27</v>
      </c>
      <c r="AC4083">
        <v>-0.458699999999993</v>
      </c>
      <c r="AD4083">
        <v>-6.0582000000000101E-2</v>
      </c>
      <c r="AE4083">
        <v>-1.4900000000011401E-2</v>
      </c>
      <c r="AF4083">
        <v>5.26998907218365E-2</v>
      </c>
      <c r="AG4083">
        <v>-6.0582000000000101E-2</v>
      </c>
      <c r="AH4083">
        <v>0.44799281222121301</v>
      </c>
      <c r="AI4083">
        <v>97.649267935869801</v>
      </c>
      <c r="AJ4083">
        <v>83.290812354138097</v>
      </c>
      <c r="AK4083">
        <v>0.45513186771304498</v>
      </c>
      <c r="AL4083">
        <v>93.466856751270797</v>
      </c>
      <c r="AM4083">
        <v>82.272137173348298</v>
      </c>
      <c r="AN4083">
        <v>1.0000000085932801</v>
      </c>
    </row>
    <row r="4084" spans="1:40" x14ac:dyDescent="0.25">
      <c r="A4084" t="str">
        <f>"20190303154554628"</f>
        <v>20190303154554628</v>
      </c>
      <c r="B4084" t="str">
        <f>"1551599154625514"</f>
        <v>1551599154625514</v>
      </c>
      <c r="C4084" t="s">
        <v>40</v>
      </c>
      <c r="D4084">
        <v>5.0395310000000002</v>
      </c>
      <c r="E4084">
        <v>0.47597149999999999</v>
      </c>
      <c r="F4084" t="s">
        <v>42</v>
      </c>
      <c r="G4084">
        <v>-214.79839999999999</v>
      </c>
      <c r="H4084">
        <v>1.042354</v>
      </c>
      <c r="I4084">
        <v>141.88249999999999</v>
      </c>
      <c r="J4084">
        <v>-214.15360000000001</v>
      </c>
      <c r="K4084">
        <v>1.1168129999999901</v>
      </c>
      <c r="L4084">
        <v>141.9153</v>
      </c>
      <c r="M4084">
        <v>-0.98945499999999997</v>
      </c>
      <c r="N4084">
        <v>-2.2438150000000001E-3</v>
      </c>
      <c r="O4084">
        <v>-0.1448227</v>
      </c>
      <c r="P4084">
        <v>-0.99799349999999998</v>
      </c>
      <c r="Q4084">
        <v>-6.0813140000000002E-2</v>
      </c>
      <c r="R4084">
        <v>-1.762269E-2</v>
      </c>
      <c r="S4084">
        <v>-2.9881129999999998</v>
      </c>
      <c r="T4084">
        <v>-0.23618839999999999</v>
      </c>
      <c r="U4084">
        <v>-0.23225399999999999</v>
      </c>
      <c r="V4084">
        <v>0.1266844</v>
      </c>
      <c r="W4084">
        <v>-5.9475409999999999E-2</v>
      </c>
      <c r="X4084">
        <v>0.99015839999999999</v>
      </c>
      <c r="Y4084">
        <v>6.7078750000000006E-2</v>
      </c>
      <c r="Z4084">
        <v>1.375911E-2</v>
      </c>
      <c r="AA4084">
        <v>0.99765280000000001</v>
      </c>
      <c r="AB4084">
        <v>27</v>
      </c>
      <c r="AC4084">
        <v>-0.64479999999997495</v>
      </c>
      <c r="AD4084">
        <v>-7.4458999999999803E-2</v>
      </c>
      <c r="AE4084">
        <v>-3.2800000000008801E-2</v>
      </c>
      <c r="AF4084">
        <v>6.0127989665687498E-2</v>
      </c>
      <c r="AG4084">
        <v>-7.4458999999999803E-2</v>
      </c>
      <c r="AH4084">
        <v>0.63431583400317104</v>
      </c>
      <c r="AI4084">
        <v>96.665403462444999</v>
      </c>
      <c r="AJ4084">
        <v>84.5850055427657</v>
      </c>
      <c r="AK4084">
        <v>0.64149520270176297</v>
      </c>
      <c r="AL4084">
        <v>93.409702338774807</v>
      </c>
      <c r="AM4084">
        <v>82.708984828020604</v>
      </c>
      <c r="AN4084">
        <v>0.99999995934429298</v>
      </c>
    </row>
    <row r="4085" spans="1:40" x14ac:dyDescent="0.25">
      <c r="A4085" t="str">
        <f>"20190303154554650"</f>
        <v>20190303154554650</v>
      </c>
      <c r="B4085" t="str">
        <f>"1551599154645034"</f>
        <v>1551599154645034</v>
      </c>
      <c r="C4085" t="s">
        <v>40</v>
      </c>
      <c r="D4085">
        <v>5.0550069999999998</v>
      </c>
      <c r="E4085">
        <v>0.47608339999999999</v>
      </c>
      <c r="F4085" t="s">
        <v>42</v>
      </c>
      <c r="G4085">
        <v>-215.0479</v>
      </c>
      <c r="H4085">
        <v>1.048184</v>
      </c>
      <c r="I4085">
        <v>141.84270000000001</v>
      </c>
      <c r="J4085">
        <v>-214.42859999999999</v>
      </c>
      <c r="K4085">
        <v>1.1168199999999999</v>
      </c>
      <c r="L4085">
        <v>141.87899999999999</v>
      </c>
      <c r="M4085">
        <v>-0.99000659999999896</v>
      </c>
      <c r="N4085">
        <v>-2.2721170000000001E-3</v>
      </c>
      <c r="O4085">
        <v>-0.1410032</v>
      </c>
      <c r="P4085">
        <v>-0.99789760000000005</v>
      </c>
      <c r="Q4085">
        <v>-6.1338469999999999E-2</v>
      </c>
      <c r="R4085">
        <v>-2.0940170000000001E-2</v>
      </c>
      <c r="S4085">
        <v>-2.987762</v>
      </c>
      <c r="T4085">
        <v>-0.2292854</v>
      </c>
      <c r="U4085">
        <v>-0.24302670000000001</v>
      </c>
      <c r="V4085">
        <v>0.11956269999999999</v>
      </c>
      <c r="W4085">
        <v>-5.9919269999999997E-2</v>
      </c>
      <c r="X4085">
        <v>0.99101689999999998</v>
      </c>
      <c r="Y4085">
        <v>5.9712689999999999E-2</v>
      </c>
      <c r="Z4085">
        <v>1.277618E-2</v>
      </c>
      <c r="AA4085">
        <v>0.99813379999999996</v>
      </c>
      <c r="AB4085">
        <v>28</v>
      </c>
      <c r="AC4085">
        <v>-0.61930000000000895</v>
      </c>
      <c r="AD4085">
        <v>-6.86360000000001E-2</v>
      </c>
      <c r="AE4085">
        <v>-3.6299999999982901E-2</v>
      </c>
      <c r="AF4085">
        <v>5.0764766566122603E-2</v>
      </c>
      <c r="AG4085">
        <v>-6.86360000000001E-2</v>
      </c>
      <c r="AH4085">
        <v>0.61075488790421495</v>
      </c>
      <c r="AI4085">
        <v>96.390086194325207</v>
      </c>
      <c r="AJ4085">
        <v>85.248607237315895</v>
      </c>
      <c r="AK4085">
        <v>0.61669238289393802</v>
      </c>
      <c r="AL4085">
        <v>93.435178848802806</v>
      </c>
      <c r="AM4085">
        <v>83.120714656165802</v>
      </c>
      <c r="AN4085">
        <v>1.0000000271171099</v>
      </c>
    </row>
    <row r="4086" spans="1:40" x14ac:dyDescent="0.25">
      <c r="A4086" t="str">
        <f>"20190303154554672"</f>
        <v>20190303154554672</v>
      </c>
      <c r="B4086" t="str">
        <f>"1551599154665530"</f>
        <v>1551599154665530</v>
      </c>
      <c r="C4086" t="s">
        <v>40</v>
      </c>
      <c r="D4086">
        <v>5.0578379999999896</v>
      </c>
      <c r="E4086">
        <v>0.4761861</v>
      </c>
      <c r="F4086" t="s">
        <v>42</v>
      </c>
      <c r="G4086">
        <v>-215.29820000000001</v>
      </c>
      <c r="H4086">
        <v>1.0503659999999999</v>
      </c>
      <c r="I4086">
        <v>141.8057</v>
      </c>
      <c r="J4086">
        <v>-214.70679999999999</v>
      </c>
      <c r="K4086">
        <v>1.1168129999999901</v>
      </c>
      <c r="L4086">
        <v>141.8433</v>
      </c>
      <c r="M4086">
        <v>-0.99054299999999995</v>
      </c>
      <c r="N4086">
        <v>-2.304567E-3</v>
      </c>
      <c r="O4086">
        <v>-0.13718369999999999</v>
      </c>
      <c r="P4086">
        <v>-0.99778599999999995</v>
      </c>
      <c r="Q4086">
        <v>-6.2136480000000001E-2</v>
      </c>
      <c r="R4086">
        <v>-2.370711E-2</v>
      </c>
      <c r="S4086">
        <v>-2.987015</v>
      </c>
      <c r="T4086">
        <v>-0.22822729999999999</v>
      </c>
      <c r="U4086">
        <v>-0.25219730000000001</v>
      </c>
      <c r="V4086">
        <v>0.1129783</v>
      </c>
      <c r="W4086">
        <v>-6.063822E-2</v>
      </c>
      <c r="X4086">
        <v>0.9917454</v>
      </c>
      <c r="Y4086">
        <v>5.283376E-2</v>
      </c>
      <c r="Z4086">
        <v>1.216473E-2</v>
      </c>
      <c r="AA4086">
        <v>0.99852920000000001</v>
      </c>
      <c r="AB4086">
        <v>28</v>
      </c>
      <c r="AC4086">
        <v>-0.59140000000002102</v>
      </c>
      <c r="AD4086">
        <v>-6.6446999999999895E-2</v>
      </c>
      <c r="AE4086">
        <v>-3.7599999999997601E-2</v>
      </c>
      <c r="AF4086">
        <v>4.3341211823004003E-2</v>
      </c>
      <c r="AG4086">
        <v>-6.6446999999999895E-2</v>
      </c>
      <c r="AH4086">
        <v>0.58362885397332198</v>
      </c>
      <c r="AI4086">
        <v>96.477556285099595</v>
      </c>
      <c r="AJ4086">
        <v>85.752919603607197</v>
      </c>
      <c r="AK4086">
        <v>0.588996013264521</v>
      </c>
      <c r="AL4086">
        <v>93.476446736335504</v>
      </c>
      <c r="AM4086">
        <v>83.500959024691198</v>
      </c>
      <c r="AN4086">
        <v>1.0000000142084</v>
      </c>
    </row>
    <row r="4087" spans="1:40" x14ac:dyDescent="0.25">
      <c r="A4087" t="str">
        <f>"20190303154554694"</f>
        <v>20190303154554694</v>
      </c>
      <c r="B4087" t="str">
        <f>"1551599154685050"</f>
        <v>1551599154685050</v>
      </c>
      <c r="C4087" t="s">
        <v>40</v>
      </c>
      <c r="D4087">
        <v>5.1046959999999997</v>
      </c>
      <c r="E4087">
        <v>0.4761727</v>
      </c>
      <c r="F4087" t="s">
        <v>42</v>
      </c>
      <c r="G4087">
        <v>-215.55070000000001</v>
      </c>
      <c r="H4087">
        <v>1.052189</v>
      </c>
      <c r="I4087">
        <v>141.77010000000001</v>
      </c>
      <c r="J4087">
        <v>-214.98580000000001</v>
      </c>
      <c r="K4087">
        <v>1.1168039999999999</v>
      </c>
      <c r="L4087">
        <v>141.80850000000001</v>
      </c>
      <c r="M4087">
        <v>-0.99106079999999996</v>
      </c>
      <c r="N4087">
        <v>-2.3394589999999999E-3</v>
      </c>
      <c r="O4087">
        <v>-0.1333917</v>
      </c>
      <c r="P4087">
        <v>-0.99767090000000003</v>
      </c>
      <c r="Q4087">
        <v>-6.2950370000000005E-2</v>
      </c>
      <c r="R4087">
        <v>-2.627438E-2</v>
      </c>
      <c r="S4087">
        <v>-2.9862669999999998</v>
      </c>
      <c r="T4087">
        <v>-0.2285779</v>
      </c>
      <c r="U4087">
        <v>-0.25965880000000002</v>
      </c>
      <c r="V4087">
        <v>0.1066165</v>
      </c>
      <c r="W4087">
        <v>-6.13736E-2</v>
      </c>
      <c r="X4087">
        <v>0.99240419999999996</v>
      </c>
      <c r="Y4087">
        <v>4.6540659999999998E-2</v>
      </c>
      <c r="Z4087">
        <v>1.165632E-2</v>
      </c>
      <c r="AA4087">
        <v>0.99884839999999997</v>
      </c>
      <c r="AB4087">
        <v>28</v>
      </c>
      <c r="AC4087">
        <v>-0.56489999999999396</v>
      </c>
      <c r="AD4087">
        <v>-6.4615000000000006E-2</v>
      </c>
      <c r="AE4087">
        <v>-3.8399999999995701E-2</v>
      </c>
      <c r="AF4087">
        <v>3.6816855243919103E-2</v>
      </c>
      <c r="AG4087">
        <v>-6.4615000000000006E-2</v>
      </c>
      <c r="AH4087">
        <v>0.55771070136497602</v>
      </c>
      <c r="AI4087">
        <v>96.594458326097097</v>
      </c>
      <c r="AJ4087">
        <v>86.223141930863605</v>
      </c>
      <c r="AK4087">
        <v>0.56264714117470205</v>
      </c>
      <c r="AL4087">
        <v>93.518659770881598</v>
      </c>
      <c r="AM4087">
        <v>83.868087927180895</v>
      </c>
      <c r="AN4087">
        <v>0.99999994651342305</v>
      </c>
    </row>
    <row r="4088" spans="1:40" x14ac:dyDescent="0.25">
      <c r="A4088" t="str">
        <f>"20190303154554715"</f>
        <v>20190303154554715</v>
      </c>
      <c r="B4088" t="str">
        <f>"1551599154704570"</f>
        <v>1551599154704570</v>
      </c>
      <c r="C4088" t="s">
        <v>40</v>
      </c>
      <c r="D4088">
        <v>5.1094249999999999</v>
      </c>
      <c r="E4088">
        <v>0.47603839999999997</v>
      </c>
      <c r="F4088" t="s">
        <v>42</v>
      </c>
      <c r="G4088">
        <v>-215.80439999999999</v>
      </c>
      <c r="H4088">
        <v>1.0536890000000001</v>
      </c>
      <c r="I4088">
        <v>141.7353</v>
      </c>
      <c r="J4088">
        <v>-215.2388</v>
      </c>
      <c r="K4088">
        <v>1.116795</v>
      </c>
      <c r="L4088">
        <v>141.77789999999999</v>
      </c>
      <c r="M4088">
        <v>-0.99151409999999995</v>
      </c>
      <c r="N4088">
        <v>-2.3713639999999999E-3</v>
      </c>
      <c r="O4088">
        <v>-0.12997800000000001</v>
      </c>
      <c r="P4088">
        <v>-0.99760530000000003</v>
      </c>
      <c r="Q4088">
        <v>-6.284141E-2</v>
      </c>
      <c r="R4088">
        <v>-2.8892230000000001E-2</v>
      </c>
      <c r="S4088">
        <v>-2.9854280000000002</v>
      </c>
      <c r="T4088">
        <v>-0.23013810000000001</v>
      </c>
      <c r="U4088">
        <v>-0.26750180000000001</v>
      </c>
      <c r="V4088">
        <v>0.1005944</v>
      </c>
      <c r="W4088">
        <v>-6.1191860000000001E-2</v>
      </c>
      <c r="X4088">
        <v>0.99304400000000004</v>
      </c>
      <c r="Y4088">
        <v>4.049262E-2</v>
      </c>
      <c r="Z4088">
        <v>1.124436E-2</v>
      </c>
      <c r="AA4088">
        <v>0.99911649999999996</v>
      </c>
      <c r="AB4088">
        <v>28</v>
      </c>
      <c r="AC4088">
        <v>-0.565599999999989</v>
      </c>
      <c r="AD4088">
        <v>-6.3106000000000106E-2</v>
      </c>
      <c r="AE4088">
        <v>-4.2599999999992998E-2</v>
      </c>
      <c r="AF4088">
        <v>3.0894714045287298E-2</v>
      </c>
      <c r="AG4088">
        <v>-6.3106000000000106E-2</v>
      </c>
      <c r="AH4088">
        <v>0.55941432321553797</v>
      </c>
      <c r="AI4088">
        <v>96.426460306680895</v>
      </c>
      <c r="AJ4088">
        <v>86.838943351554605</v>
      </c>
      <c r="AK4088">
        <v>0.56380957389054498</v>
      </c>
      <c r="AL4088">
        <v>93.508226928335304</v>
      </c>
      <c r="AM4088">
        <v>84.215724017960895</v>
      </c>
      <c r="AN4088">
        <v>1.0000000314888</v>
      </c>
    </row>
    <row r="4089" spans="1:40" x14ac:dyDescent="0.25">
      <c r="A4089" t="str">
        <f>"20190303154554737"</f>
        <v>20190303154554737</v>
      </c>
      <c r="B4089" t="str">
        <f>"1551599154734826"</f>
        <v>1551599154734826</v>
      </c>
      <c r="C4089" t="s">
        <v>40</v>
      </c>
      <c r="D4089">
        <v>5.1133949999999997</v>
      </c>
      <c r="E4089">
        <v>0.47598800000000002</v>
      </c>
      <c r="F4089" t="s">
        <v>42</v>
      </c>
      <c r="G4089">
        <v>-216.0581</v>
      </c>
      <c r="H4089">
        <v>1.0534889999999999</v>
      </c>
      <c r="I4089">
        <v>141.7021</v>
      </c>
      <c r="J4089">
        <v>-215.5325</v>
      </c>
      <c r="K4089">
        <v>1.1167819999999999</v>
      </c>
      <c r="L4089">
        <v>141.74340000000001</v>
      </c>
      <c r="M4089">
        <v>-0.99202230000000002</v>
      </c>
      <c r="N4089">
        <v>-2.4077479999999999E-3</v>
      </c>
      <c r="O4089">
        <v>-0.12603879999999901</v>
      </c>
      <c r="P4089">
        <v>-0.99759379999999998</v>
      </c>
      <c r="Q4089">
        <v>-6.2236659999999999E-2</v>
      </c>
      <c r="R4089">
        <v>-3.0551399999999999E-2</v>
      </c>
      <c r="S4089">
        <v>-2.9846650000000001</v>
      </c>
      <c r="T4089">
        <v>-0.23056789999999999</v>
      </c>
      <c r="U4089">
        <v>-0.27636719999999998</v>
      </c>
      <c r="V4089">
        <v>9.500509E-2</v>
      </c>
      <c r="W4089">
        <v>-6.0513770000000001E-2</v>
      </c>
      <c r="X4089">
        <v>0.99363579999999996</v>
      </c>
      <c r="Y4089">
        <v>3.3587310000000002E-2</v>
      </c>
      <c r="Z4089">
        <v>1.0697740000000001E-2</v>
      </c>
      <c r="AA4089">
        <v>0.99937860000000001</v>
      </c>
      <c r="AB4089">
        <v>28</v>
      </c>
      <c r="AC4089">
        <v>-0.52559999999999696</v>
      </c>
      <c r="AD4089">
        <v>-6.3293000000000002E-2</v>
      </c>
      <c r="AE4089">
        <v>-4.1300000000006699E-2</v>
      </c>
      <c r="AF4089">
        <v>2.49164493434679E-2</v>
      </c>
      <c r="AG4089">
        <v>-6.3293000000000002E-2</v>
      </c>
      <c r="AH4089">
        <v>0.51913211065273401</v>
      </c>
      <c r="AI4089">
        <v>96.943325111482807</v>
      </c>
      <c r="AJ4089">
        <v>87.252120153444807</v>
      </c>
      <c r="AK4089">
        <v>0.52356946206558597</v>
      </c>
      <c r="AL4089">
        <v>93.469303230873805</v>
      </c>
      <c r="AM4089">
        <v>84.538347618025597</v>
      </c>
      <c r="AN4089">
        <v>0.99999999326358002</v>
      </c>
    </row>
    <row r="4090" spans="1:40" x14ac:dyDescent="0.25">
      <c r="A4090" t="str">
        <f>"20190303154554759"</f>
        <v>20190303154554759</v>
      </c>
      <c r="B4090" t="str">
        <f>"1551599154755321"</f>
        <v>1551599154755321</v>
      </c>
      <c r="C4090" t="s">
        <v>40</v>
      </c>
      <c r="D4090">
        <v>5.0501550000000002</v>
      </c>
      <c r="E4090">
        <v>0.47617229999999999</v>
      </c>
      <c r="F4090" t="s">
        <v>41</v>
      </c>
      <c r="G4090">
        <v>-230.05369999999999</v>
      </c>
      <c r="H4090" s="1">
        <v>-4.3919049999999998E-6</v>
      </c>
      <c r="I4090">
        <v>140.37260000000001</v>
      </c>
      <c r="J4090">
        <v>-215.81229999999999</v>
      </c>
      <c r="K4090">
        <v>1.116768</v>
      </c>
      <c r="L4090">
        <v>141.7115</v>
      </c>
      <c r="M4090">
        <v>-0.99248919999999996</v>
      </c>
      <c r="N4090">
        <v>-2.4413669999999998E-3</v>
      </c>
      <c r="O4090">
        <v>-0.1223076</v>
      </c>
      <c r="P4090">
        <v>-0.99758880000000005</v>
      </c>
      <c r="Q4090">
        <v>-6.196596E-2</v>
      </c>
      <c r="R4090">
        <v>-3.1254249999999997E-2</v>
      </c>
      <c r="S4090">
        <v>-2.9842680000000001</v>
      </c>
      <c r="T4090">
        <v>-0.22951289999999999</v>
      </c>
      <c r="U4090">
        <v>-0.28169250000000001</v>
      </c>
      <c r="V4090">
        <v>9.0570390000000001E-2</v>
      </c>
      <c r="W4090">
        <v>-6.0181039999999998E-2</v>
      </c>
      <c r="X4090">
        <v>0.99407009999999996</v>
      </c>
      <c r="Y4090">
        <v>2.8079690000000001E-2</v>
      </c>
      <c r="Z4090">
        <v>1.0152359999999999E-2</v>
      </c>
      <c r="AA4090">
        <v>0.99955419999999995</v>
      </c>
      <c r="AB4090">
        <v>28</v>
      </c>
      <c r="AC4090">
        <v>-14.241400000000001</v>
      </c>
      <c r="AD4090">
        <v>-1.1167723919050001</v>
      </c>
      <c r="AE4090">
        <v>-1.33889999999999</v>
      </c>
      <c r="AF4090">
        <v>0.41048683031626698</v>
      </c>
      <c r="AG4090">
        <v>-1.1167723919050001</v>
      </c>
      <c r="AH4090">
        <v>14.211611056685999</v>
      </c>
      <c r="AI4090">
        <v>94.491300276351197</v>
      </c>
      <c r="AJ4090">
        <v>88.345534114415997</v>
      </c>
      <c r="AK4090">
        <v>14.2613312436008</v>
      </c>
      <c r="AL4090">
        <v>93.4502041719972</v>
      </c>
      <c r="AM4090">
        <v>84.794116500797202</v>
      </c>
      <c r="AN4090">
        <v>1.00000005841712</v>
      </c>
    </row>
    <row r="4091" spans="1:40" x14ac:dyDescent="0.25">
      <c r="A4091" t="str">
        <f>"20190303154554782"</f>
        <v>20190303154554782</v>
      </c>
      <c r="B4091" t="str">
        <f>"1551599154774842"</f>
        <v>1551599154774842</v>
      </c>
      <c r="C4091" t="s">
        <v>40</v>
      </c>
      <c r="D4091">
        <v>5.1102100000000004</v>
      </c>
      <c r="E4091">
        <v>0.47627140000000001</v>
      </c>
      <c r="F4091" t="s">
        <v>41</v>
      </c>
      <c r="G4091">
        <v>-230.44139999999999</v>
      </c>
      <c r="H4091" s="1">
        <v>-4.2519029999999998E-6</v>
      </c>
      <c r="I4091">
        <v>140.3271</v>
      </c>
      <c r="J4091">
        <v>-216.1163</v>
      </c>
      <c r="K4091">
        <v>1.116744</v>
      </c>
      <c r="L4091">
        <v>141.6781</v>
      </c>
      <c r="M4091">
        <v>-0.99297760000000002</v>
      </c>
      <c r="N4091">
        <v>-2.4765719999999998E-3</v>
      </c>
      <c r="O4091">
        <v>-0.1182778</v>
      </c>
      <c r="P4091">
        <v>-0.99758930000000001</v>
      </c>
      <c r="Q4091">
        <v>-6.214853E-2</v>
      </c>
      <c r="R4091">
        <v>-3.0873479999999998E-2</v>
      </c>
      <c r="S4091">
        <v>-2.9842379999999999</v>
      </c>
      <c r="T4091">
        <v>-0.22781499999999999</v>
      </c>
      <c r="U4091">
        <v>-0.28239439999999999</v>
      </c>
      <c r="V4091">
        <v>8.6909139999999996E-2</v>
      </c>
      <c r="W4091">
        <v>-6.030605E-2</v>
      </c>
      <c r="X4091">
        <v>0.99438919999999997</v>
      </c>
      <c r="Y4091">
        <v>2.3817649999999999E-2</v>
      </c>
      <c r="Z4091">
        <v>9.6103560000000005E-3</v>
      </c>
      <c r="AA4091">
        <v>0.99967010000000001</v>
      </c>
      <c r="AB4091">
        <v>29</v>
      </c>
      <c r="AC4091">
        <v>-14.3250999999999</v>
      </c>
      <c r="AD4091">
        <v>-1.1167482519030001</v>
      </c>
      <c r="AE4091">
        <v>-1.35099999999999</v>
      </c>
      <c r="AF4091">
        <v>0.35071696289633297</v>
      </c>
      <c r="AG4091">
        <v>-1.1167482519030001</v>
      </c>
      <c r="AH4091">
        <v>14.2982094304986</v>
      </c>
      <c r="AI4091">
        <v>94.464629284188803</v>
      </c>
      <c r="AJ4091">
        <v>88.594888870632204</v>
      </c>
      <c r="AK4091">
        <v>14.346042031326601</v>
      </c>
      <c r="AL4091">
        <v>93.457380126327095</v>
      </c>
      <c r="AM4091">
        <v>85.005068719308497</v>
      </c>
      <c r="AN4091">
        <v>0.99999994967938899</v>
      </c>
    </row>
    <row r="4092" spans="1:40" x14ac:dyDescent="0.25">
      <c r="A4092" t="str">
        <f>"20190303154554805"</f>
        <v>20190303154554805</v>
      </c>
      <c r="B4092" t="str">
        <f>"1551599154795338"</f>
        <v>1551599154795338</v>
      </c>
      <c r="C4092" t="s">
        <v>40</v>
      </c>
      <c r="D4092">
        <v>5.1075949999999999</v>
      </c>
      <c r="E4092">
        <v>0.47651709999999903</v>
      </c>
      <c r="F4092" t="s">
        <v>42</v>
      </c>
      <c r="G4092">
        <v>-217.07990000000001</v>
      </c>
      <c r="H4092">
        <v>1.042756</v>
      </c>
      <c r="I4092">
        <v>141.58760000000001</v>
      </c>
      <c r="J4092">
        <v>-216.40379999999999</v>
      </c>
      <c r="K4092">
        <v>1.1167199999999999</v>
      </c>
      <c r="L4092">
        <v>141.64769999999999</v>
      </c>
      <c r="M4092">
        <v>-0.99342149999999996</v>
      </c>
      <c r="N4092">
        <v>-2.5083670000000001E-3</v>
      </c>
      <c r="O4092">
        <v>-0.1144886</v>
      </c>
      <c r="P4092">
        <v>-0.9975444</v>
      </c>
      <c r="Q4092">
        <v>-6.3075489999999998E-2</v>
      </c>
      <c r="R4092">
        <v>-3.0440760000000001E-2</v>
      </c>
      <c r="S4092">
        <v>-2.984283</v>
      </c>
      <c r="T4092">
        <v>-0.229072</v>
      </c>
      <c r="U4092">
        <v>-0.28050229999999998</v>
      </c>
      <c r="V4092">
        <v>8.3531140000000004E-2</v>
      </c>
      <c r="W4092">
        <v>-6.1180539999999999E-2</v>
      </c>
      <c r="X4092">
        <v>0.99462530000000005</v>
      </c>
      <c r="Y4092">
        <v>2.0648699999999999E-2</v>
      </c>
      <c r="Z4092">
        <v>9.2583800000000001E-3</v>
      </c>
      <c r="AA4092">
        <v>0.99974390000000002</v>
      </c>
      <c r="AB4092">
        <v>29</v>
      </c>
      <c r="AC4092">
        <v>-0.67610000000001902</v>
      </c>
      <c r="AD4092">
        <v>-7.3964000000000099E-2</v>
      </c>
      <c r="AE4092">
        <v>-6.0099999999977102E-2</v>
      </c>
      <c r="AF4092">
        <v>1.7493445248159802E-2</v>
      </c>
      <c r="AG4092">
        <v>-7.3964000000000099E-2</v>
      </c>
      <c r="AH4092">
        <v>0.67057265866840499</v>
      </c>
      <c r="AI4092">
        <v>96.292143795135104</v>
      </c>
      <c r="AJ4092">
        <v>88.5056454504155</v>
      </c>
      <c r="AK4092">
        <v>0.67486619746158905</v>
      </c>
      <c r="AL4092">
        <v>93.507577238097099</v>
      </c>
      <c r="AM4092">
        <v>85.199421115883098</v>
      </c>
      <c r="AN4092">
        <v>0.99999999861223998</v>
      </c>
    </row>
    <row r="4093" spans="1:40" x14ac:dyDescent="0.25">
      <c r="A4093" t="str">
        <f>"20190303154554829"</f>
        <v>20190303154554829</v>
      </c>
      <c r="B4093" t="str">
        <f>"1551599154824618"</f>
        <v>1551599154824618</v>
      </c>
      <c r="C4093" t="s">
        <v>40</v>
      </c>
      <c r="D4093">
        <v>5.1470789999999997</v>
      </c>
      <c r="E4093">
        <v>0.47687669999999999</v>
      </c>
      <c r="F4093" t="s">
        <v>42</v>
      </c>
      <c r="G4093">
        <v>-217.3425</v>
      </c>
      <c r="H4093">
        <v>1.043968</v>
      </c>
      <c r="I4093">
        <v>141.56049999999999</v>
      </c>
      <c r="J4093">
        <v>-216.7166</v>
      </c>
      <c r="K4093">
        <v>1.1166879999999999</v>
      </c>
      <c r="L4093">
        <v>141.61580000000001</v>
      </c>
      <c r="M4093">
        <v>-0.99388529999999997</v>
      </c>
      <c r="N4093">
        <v>-2.5415759999999998E-3</v>
      </c>
      <c r="O4093">
        <v>-0.1103893</v>
      </c>
      <c r="P4093">
        <v>-0.99756699999999998</v>
      </c>
      <c r="Q4093">
        <v>-6.3477199999999998E-2</v>
      </c>
      <c r="R4093">
        <v>-2.882974E-2</v>
      </c>
      <c r="S4093">
        <v>-2.984299</v>
      </c>
      <c r="T4093">
        <v>-0.23128699999999999</v>
      </c>
      <c r="U4093">
        <v>-0.2772522</v>
      </c>
      <c r="V4093">
        <v>8.1025970000000003E-2</v>
      </c>
      <c r="W4093">
        <v>-6.1534810000000002E-2</v>
      </c>
      <c r="X4093">
        <v>0.99481059999999999</v>
      </c>
      <c r="Y4093">
        <v>1.7617270000000001E-2</v>
      </c>
      <c r="Z4093">
        <v>8.9226169999999903E-3</v>
      </c>
      <c r="AA4093">
        <v>0.99980500000000005</v>
      </c>
      <c r="AB4093">
        <v>29</v>
      </c>
      <c r="AC4093">
        <v>-0.62590000000000101</v>
      </c>
      <c r="AD4093">
        <v>-7.2719999999999896E-2</v>
      </c>
      <c r="AE4093">
        <v>-5.5300000000016697E-2</v>
      </c>
      <c r="AF4093">
        <v>1.39440781731621E-2</v>
      </c>
      <c r="AG4093">
        <v>-7.2719999999999896E-2</v>
      </c>
      <c r="AH4093">
        <v>0.61987646266806096</v>
      </c>
      <c r="AI4093">
        <v>96.689319736424096</v>
      </c>
      <c r="AJ4093">
        <v>88.711352732870793</v>
      </c>
      <c r="AK4093">
        <v>0.62428316066186496</v>
      </c>
      <c r="AL4093">
        <v>93.527913954959502</v>
      </c>
      <c r="AM4093">
        <v>85.343615187536798</v>
      </c>
      <c r="AN4093">
        <v>0.999999935264266</v>
      </c>
    </row>
    <row r="4094" spans="1:40" x14ac:dyDescent="0.25">
      <c r="A4094" t="str">
        <f>"20190303154554852"</f>
        <v>20190303154554852</v>
      </c>
      <c r="B4094" t="str">
        <f>"1551599154845114"</f>
        <v>1551599154845114</v>
      </c>
      <c r="C4094" t="s">
        <v>40</v>
      </c>
      <c r="D4094">
        <v>5.1025780000000003</v>
      </c>
      <c r="E4094">
        <v>0.47722910000000002</v>
      </c>
      <c r="F4094" t="s">
        <v>42</v>
      </c>
      <c r="G4094">
        <v>-217.60849999999999</v>
      </c>
      <c r="H4094">
        <v>1.0473889999999999</v>
      </c>
      <c r="I4094">
        <v>141.53530000000001</v>
      </c>
      <c r="J4094">
        <v>-217.0119</v>
      </c>
      <c r="K4094">
        <v>1.1166700000000001</v>
      </c>
      <c r="L4094">
        <v>141.58680000000001</v>
      </c>
      <c r="M4094">
        <v>-0.99430410000000002</v>
      </c>
      <c r="N4094">
        <v>-2.5713939999999998E-3</v>
      </c>
      <c r="O4094">
        <v>-0.1065503</v>
      </c>
      <c r="P4094">
        <v>-0.99760479999999996</v>
      </c>
      <c r="Q4094">
        <v>-6.3815010000000005E-2</v>
      </c>
      <c r="R4094">
        <v>-2.6687720000000002E-2</v>
      </c>
      <c r="S4094">
        <v>-2.984756</v>
      </c>
      <c r="T4094">
        <v>-0.23185169999999999</v>
      </c>
      <c r="U4094">
        <v>-0.26954650000000002</v>
      </c>
      <c r="V4094">
        <v>7.9313499999999995E-2</v>
      </c>
      <c r="W4094">
        <v>-6.1833329999999999E-2</v>
      </c>
      <c r="X4094">
        <v>0.99493010000000004</v>
      </c>
      <c r="Y4094">
        <v>1.6342780000000001E-2</v>
      </c>
      <c r="Z4094">
        <v>8.6057149999999999E-3</v>
      </c>
      <c r="AA4094">
        <v>0.99982939999999998</v>
      </c>
      <c r="AB4094">
        <v>29</v>
      </c>
      <c r="AC4094">
        <v>-0.59659999999999502</v>
      </c>
      <c r="AD4094">
        <v>-6.9281000000000106E-2</v>
      </c>
      <c r="AE4094">
        <v>-5.1500000000004299E-2</v>
      </c>
      <c r="AF4094">
        <v>1.2198009731689601E-2</v>
      </c>
      <c r="AG4094">
        <v>-6.9281000000000106E-2</v>
      </c>
      <c r="AH4094">
        <v>0.59078309728775502</v>
      </c>
      <c r="AI4094">
        <v>96.687101814871298</v>
      </c>
      <c r="AJ4094">
        <v>88.817171326840096</v>
      </c>
      <c r="AK4094">
        <v>0.59495656685452902</v>
      </c>
      <c r="AL4094">
        <v>93.545050480013302</v>
      </c>
      <c r="AM4094">
        <v>85.442153084825406</v>
      </c>
      <c r="AN4094">
        <v>0.99999994793357305</v>
      </c>
    </row>
    <row r="4095" spans="1:40" x14ac:dyDescent="0.25">
      <c r="A4095" t="str">
        <f>"20190303154554875"</f>
        <v>20190303154554875</v>
      </c>
      <c r="B4095" t="str">
        <f>"1551599154864635"</f>
        <v>1551599154864635</v>
      </c>
      <c r="C4095" t="s">
        <v>40</v>
      </c>
      <c r="D4095">
        <v>5.0884099999999997</v>
      </c>
      <c r="E4095">
        <v>0.47756340000000003</v>
      </c>
      <c r="F4095" t="s">
        <v>42</v>
      </c>
      <c r="G4095">
        <v>-217.87520000000001</v>
      </c>
      <c r="H4095">
        <v>1.049847</v>
      </c>
      <c r="I4095">
        <v>141.51140000000001</v>
      </c>
      <c r="J4095">
        <v>-217.32419999999999</v>
      </c>
      <c r="K4095">
        <v>1.11666</v>
      </c>
      <c r="L4095">
        <v>141.5573</v>
      </c>
      <c r="M4095">
        <v>-0.99472579999999999</v>
      </c>
      <c r="N4095">
        <v>-2.6011250000000001E-3</v>
      </c>
      <c r="O4095">
        <v>-0.102537</v>
      </c>
      <c r="P4095">
        <v>-0.99765380000000004</v>
      </c>
      <c r="Q4095">
        <v>-6.4087169999999999E-2</v>
      </c>
      <c r="R4095">
        <v>-2.4070009999999999E-2</v>
      </c>
      <c r="S4095">
        <v>-2.9854579999999999</v>
      </c>
      <c r="T4095">
        <v>-0.23108629999999999</v>
      </c>
      <c r="U4095">
        <v>-0.26042179999999998</v>
      </c>
      <c r="V4095">
        <v>7.7904810000000005E-2</v>
      </c>
      <c r="W4095">
        <v>-6.2066679999999999E-2</v>
      </c>
      <c r="X4095">
        <v>0.99502690000000005</v>
      </c>
      <c r="Y4095">
        <v>1.537753E-2</v>
      </c>
      <c r="Z4095">
        <v>8.2374300000000004E-3</v>
      </c>
      <c r="AA4095">
        <v>0.99984779999999995</v>
      </c>
      <c r="AB4095">
        <v>29</v>
      </c>
      <c r="AC4095">
        <v>-0.55100000000001603</v>
      </c>
      <c r="AD4095">
        <v>-6.6812999999999997E-2</v>
      </c>
      <c r="AE4095">
        <v>-4.5899999999988901E-2</v>
      </c>
      <c r="AF4095">
        <v>1.0684000469157399E-2</v>
      </c>
      <c r="AG4095">
        <v>-6.6812999999999997E-2</v>
      </c>
      <c r="AH4095">
        <v>0.54484632657795795</v>
      </c>
      <c r="AI4095">
        <v>96.989789318296005</v>
      </c>
      <c r="AJ4095">
        <v>88.876619585697298</v>
      </c>
      <c r="AK4095">
        <v>0.54903155138891602</v>
      </c>
      <c r="AL4095">
        <v>93.558446059412205</v>
      </c>
      <c r="AM4095">
        <v>85.523206867957299</v>
      </c>
      <c r="AN4095">
        <v>0.99999998195548401</v>
      </c>
    </row>
    <row r="4096" spans="1:40" x14ac:dyDescent="0.25">
      <c r="A4096" t="str">
        <f>"20190303154554893"</f>
        <v>20190303154554893</v>
      </c>
      <c r="B4096" t="str">
        <f>"1551599154885130"</f>
        <v>1551599154885130</v>
      </c>
      <c r="C4096" t="s">
        <v>40</v>
      </c>
      <c r="D4096">
        <v>5.0960890000000001</v>
      </c>
      <c r="E4096">
        <v>0.47767749999999998</v>
      </c>
      <c r="F4096" t="s">
        <v>41</v>
      </c>
      <c r="G4096">
        <v>-231.82810000000001</v>
      </c>
      <c r="H4096" s="1">
        <v>-3.6812980000000002E-6</v>
      </c>
      <c r="I4096">
        <v>140.34270000000001</v>
      </c>
      <c r="J4096">
        <v>-217.5797</v>
      </c>
      <c r="K4096">
        <v>1.116663</v>
      </c>
      <c r="L4096">
        <v>141.53399999999999</v>
      </c>
      <c r="M4096">
        <v>-0.99505319999999997</v>
      </c>
      <c r="N4096">
        <v>-2.6257490000000001E-3</v>
      </c>
      <c r="O4096">
        <v>-9.9309759999999997E-2</v>
      </c>
      <c r="P4096">
        <v>-0.99770720000000002</v>
      </c>
      <c r="Q4096">
        <v>-6.4181799999999997E-2</v>
      </c>
      <c r="R4096">
        <v>-2.147541E-2</v>
      </c>
      <c r="S4096">
        <v>-2.9862519999999999</v>
      </c>
      <c r="T4096">
        <v>-0.22991410000000001</v>
      </c>
      <c r="U4096">
        <v>-0.25006099999999998</v>
      </c>
      <c r="V4096">
        <v>7.7264869999999999E-2</v>
      </c>
      <c r="W4096">
        <v>-6.2130810000000002E-2</v>
      </c>
      <c r="X4096">
        <v>0.99507279999999998</v>
      </c>
      <c r="Y4096">
        <v>1.5612549999999999E-2</v>
      </c>
      <c r="Z4096">
        <v>7.9631430000000007E-3</v>
      </c>
      <c r="AA4096">
        <v>0.99984640000000002</v>
      </c>
      <c r="AB4096">
        <v>30</v>
      </c>
      <c r="AC4096">
        <v>-14.2484</v>
      </c>
      <c r="AD4096">
        <v>-1.116666681298</v>
      </c>
      <c r="AE4096">
        <v>-1.19129999999998</v>
      </c>
      <c r="AF4096">
        <v>0.22820714207824999</v>
      </c>
      <c r="AG4096">
        <v>-1.116666681298</v>
      </c>
      <c r="AH4096">
        <v>14.209601106512</v>
      </c>
      <c r="AI4096">
        <v>94.492798051306906</v>
      </c>
      <c r="AJ4096">
        <v>89.079905057215896</v>
      </c>
      <c r="AK4096">
        <v>14.2552371633377</v>
      </c>
      <c r="AL4096">
        <v>93.562127523291394</v>
      </c>
      <c r="AM4096">
        <v>85.560037297302102</v>
      </c>
      <c r="AN4096">
        <v>0.99999998749360597</v>
      </c>
    </row>
    <row r="4097" spans="1:40" x14ac:dyDescent="0.25">
      <c r="A4097" t="str">
        <f>"20190303154554939"</f>
        <v>20190303154554939</v>
      </c>
      <c r="B4097" t="str">
        <f>"1551599154934905"</f>
        <v>1551599154934905</v>
      </c>
      <c r="C4097" t="s">
        <v>40</v>
      </c>
      <c r="D4097">
        <v>5.0434619999999999</v>
      </c>
      <c r="E4097">
        <v>0.52271299999999998</v>
      </c>
      <c r="F4097" t="s">
        <v>41</v>
      </c>
      <c r="G4097">
        <v>-232.1259</v>
      </c>
      <c r="H4097" s="1">
        <v>-3.5577339999999999E-6</v>
      </c>
      <c r="I4097">
        <v>140.35849999999999</v>
      </c>
      <c r="J4097">
        <v>-218.18379999999999</v>
      </c>
      <c r="K4097">
        <v>1.116709</v>
      </c>
      <c r="L4097">
        <v>141.4821</v>
      </c>
      <c r="M4097">
        <v>-0.99576339999999997</v>
      </c>
      <c r="N4097">
        <v>-2.6911539999999999E-3</v>
      </c>
      <c r="O4097">
        <v>-9.1913679999999998E-2</v>
      </c>
      <c r="P4097">
        <v>-0.99770029999999998</v>
      </c>
      <c r="Q4097">
        <v>-6.5965880000000005E-2</v>
      </c>
      <c r="R4097">
        <v>-1.558563E-2</v>
      </c>
      <c r="S4097">
        <v>-2.9869539999999999</v>
      </c>
      <c r="T4097">
        <v>-0.22929840000000001</v>
      </c>
      <c r="U4097">
        <v>-0.2413788</v>
      </c>
      <c r="V4097">
        <v>7.5730619999999998E-2</v>
      </c>
      <c r="W4097">
        <v>-6.3828789999999996E-2</v>
      </c>
      <c r="X4097">
        <v>0.9950833</v>
      </c>
      <c r="Y4097">
        <v>1.112517E-2</v>
      </c>
      <c r="Z4097">
        <v>7.2137779999999997E-3</v>
      </c>
      <c r="AA4097">
        <v>0.99991209999999997</v>
      </c>
      <c r="AB4097">
        <v>30</v>
      </c>
      <c r="AC4097">
        <v>-13.9421</v>
      </c>
      <c r="AD4097">
        <v>-1.116712557734</v>
      </c>
      <c r="AE4097">
        <v>-1.1236000000000099</v>
      </c>
      <c r="AF4097">
        <v>0.16160049298722801</v>
      </c>
      <c r="AG4097">
        <v>-1.116712557734</v>
      </c>
      <c r="AH4097">
        <v>13.897771976243099</v>
      </c>
      <c r="AI4097">
        <v>94.593646372301095</v>
      </c>
      <c r="AJ4097">
        <v>89.333806240738497</v>
      </c>
      <c r="AK4097">
        <v>13.943501266166299</v>
      </c>
      <c r="AL4097">
        <v>93.659608068785005</v>
      </c>
      <c r="AM4097">
        <v>85.647905322479104</v>
      </c>
      <c r="AN4097">
        <v>1.0000000075886599</v>
      </c>
    </row>
    <row r="4098" spans="1:40" x14ac:dyDescent="0.25">
      <c r="A4098" t="str">
        <f>"20190303154554960"</f>
        <v>20190303154554960</v>
      </c>
      <c r="B4098" t="str">
        <f>"1551599154955401"</f>
        <v>1551599154955401</v>
      </c>
      <c r="C4098" t="s">
        <v>40</v>
      </c>
      <c r="D4098">
        <v>5.0680399999999999</v>
      </c>
      <c r="E4098">
        <v>0.52428220000000003</v>
      </c>
      <c r="F4098" t="s">
        <v>41</v>
      </c>
      <c r="G4098">
        <v>-245.77019999999999</v>
      </c>
      <c r="H4098" s="1">
        <v>-2.6163190000000001E-6</v>
      </c>
      <c r="I4098">
        <v>142.69589999999999</v>
      </c>
      <c r="J4098">
        <v>-218.47059999999999</v>
      </c>
      <c r="K4098">
        <v>1.1167320000000001</v>
      </c>
      <c r="L4098">
        <v>141.4589</v>
      </c>
      <c r="M4098">
        <v>-0.99607080000000003</v>
      </c>
      <c r="N4098">
        <v>-2.7276710000000001E-3</v>
      </c>
      <c r="O4098">
        <v>-8.8521030000000001E-2</v>
      </c>
      <c r="P4098">
        <v>-0.99769140000000001</v>
      </c>
      <c r="Q4098">
        <v>-6.6695660000000004E-2</v>
      </c>
      <c r="R4098">
        <v>-1.280913E-2</v>
      </c>
      <c r="S4098">
        <v>-3.0009459999999999</v>
      </c>
      <c r="T4098">
        <v>-0.1214802</v>
      </c>
      <c r="U4098">
        <v>0.13204959999999999</v>
      </c>
      <c r="V4098">
        <v>7.5105580000000005E-2</v>
      </c>
      <c r="W4098">
        <v>-6.4512310000000003E-2</v>
      </c>
      <c r="X4098">
        <v>0.99508660000000004</v>
      </c>
      <c r="Y4098">
        <v>0.1320451</v>
      </c>
      <c r="Z4098">
        <v>6.1875489999999997E-3</v>
      </c>
      <c r="AA4098">
        <v>0.99122440000000001</v>
      </c>
      <c r="AB4098">
        <v>30</v>
      </c>
      <c r="AC4098">
        <v>-27.299600000000002</v>
      </c>
      <c r="AD4098">
        <v>-1.116734616319</v>
      </c>
      <c r="AE4098">
        <v>1.2369999999999901</v>
      </c>
      <c r="AF4098">
        <v>3.64265807913812</v>
      </c>
      <c r="AG4098">
        <v>-1.116734616319</v>
      </c>
      <c r="AH4098">
        <v>27.037777509559699</v>
      </c>
      <c r="AI4098">
        <v>92.343976199192994</v>
      </c>
      <c r="AJ4098">
        <v>82.327040633766401</v>
      </c>
      <c r="AK4098">
        <v>27.304898218840599</v>
      </c>
      <c r="AL4098">
        <v>93.698851740482496</v>
      </c>
      <c r="AM4098">
        <v>85.683703133859794</v>
      </c>
      <c r="AN4098">
        <v>1.0000000138941101</v>
      </c>
    </row>
    <row r="4099" spans="1:40" x14ac:dyDescent="0.25">
      <c r="A4099" t="str">
        <f>"20190303154554983"</f>
        <v>20190303154554983</v>
      </c>
      <c r="B4099" t="str">
        <f>"1551599154974922"</f>
        <v>1551599154974922</v>
      </c>
      <c r="C4099" t="s">
        <v>40</v>
      </c>
      <c r="D4099">
        <v>5.0775050000000004</v>
      </c>
      <c r="E4099">
        <v>0.52603699999999998</v>
      </c>
      <c r="F4099" t="s">
        <v>41</v>
      </c>
      <c r="G4099">
        <v>-245.11500000000001</v>
      </c>
      <c r="H4099" s="1">
        <v>-2.9295090000000001E-6</v>
      </c>
      <c r="I4099">
        <v>142.81659999999999</v>
      </c>
      <c r="J4099">
        <v>-218.7852</v>
      </c>
      <c r="K4099">
        <v>1.1167689999999999</v>
      </c>
      <c r="L4099">
        <v>141.43450000000001</v>
      </c>
      <c r="M4099">
        <v>-0.99638709999999997</v>
      </c>
      <c r="N4099">
        <v>-2.7733129999999999E-3</v>
      </c>
      <c r="O4099">
        <v>-8.4884109999999999E-2</v>
      </c>
      <c r="P4099">
        <v>-0.99773999999999996</v>
      </c>
      <c r="Q4099">
        <v>-6.6515539999999998E-2</v>
      </c>
      <c r="R4099">
        <v>-9.5351640000000005E-3</v>
      </c>
      <c r="S4099">
        <v>-3.0005039999999998</v>
      </c>
      <c r="T4099">
        <v>-0.1257586</v>
      </c>
      <c r="U4099">
        <v>0.1529083</v>
      </c>
      <c r="V4099">
        <v>7.4745710000000007E-2</v>
      </c>
      <c r="W4099">
        <v>-6.4278550000000004E-2</v>
      </c>
      <c r="X4099">
        <v>0.99512880000000004</v>
      </c>
      <c r="Y4099">
        <v>0.13529440000000001</v>
      </c>
      <c r="Z4099">
        <v>6.3373040000000002E-3</v>
      </c>
      <c r="AA4099">
        <v>0.99078520000000003</v>
      </c>
      <c r="AB4099">
        <v>30</v>
      </c>
      <c r="AC4099">
        <v>-26.329799999999999</v>
      </c>
      <c r="AD4099">
        <v>-1.1167719295089999</v>
      </c>
      <c r="AE4099">
        <v>1.3820999999999799</v>
      </c>
      <c r="AF4099">
        <v>3.60563292815517</v>
      </c>
      <c r="AG4099">
        <v>-1.1167719295089999</v>
      </c>
      <c r="AH4099">
        <v>26.0706792605244</v>
      </c>
      <c r="AI4099">
        <v>92.4297414693402</v>
      </c>
      <c r="AJ4099">
        <v>82.125817204700596</v>
      </c>
      <c r="AK4099">
        <v>26.342514789979202</v>
      </c>
      <c r="AL4099">
        <v>93.685430507708105</v>
      </c>
      <c r="AM4099">
        <v>85.704488646312598</v>
      </c>
      <c r="AN4099">
        <v>0.99999999087147295</v>
      </c>
    </row>
    <row r="4100" spans="1:40" x14ac:dyDescent="0.25">
      <c r="A4100" t="str">
        <f>"20190303154555006"</f>
        <v>20190303154555006</v>
      </c>
      <c r="B4100" t="str">
        <f>"1551599154995418"</f>
        <v>1551599154995418</v>
      </c>
      <c r="C4100" t="s">
        <v>40</v>
      </c>
      <c r="D4100">
        <v>5.0740410000000002</v>
      </c>
      <c r="E4100">
        <v>0.52637630000000002</v>
      </c>
      <c r="F4100" t="s">
        <v>41</v>
      </c>
      <c r="G4100">
        <v>-246.5763</v>
      </c>
      <c r="H4100" s="1">
        <v>-2.370284E-6</v>
      </c>
      <c r="I4100">
        <v>143.07089999999999</v>
      </c>
      <c r="J4100">
        <v>-219.08709999999999</v>
      </c>
      <c r="K4100">
        <v>1.1168020000000001</v>
      </c>
      <c r="L4100">
        <v>141.41210000000001</v>
      </c>
      <c r="M4100">
        <v>-0.99667159999999999</v>
      </c>
      <c r="N4100">
        <v>-2.8240829999999998E-3</v>
      </c>
      <c r="O4100">
        <v>-8.1472169999999997E-2</v>
      </c>
      <c r="P4100">
        <v>-0.99781850000000005</v>
      </c>
      <c r="Q4100">
        <v>-6.5718109999999996E-2</v>
      </c>
      <c r="R4100">
        <v>-6.3042979999999998E-3</v>
      </c>
      <c r="S4100">
        <v>-3.0004430000000002</v>
      </c>
      <c r="T4100">
        <v>-0.1205716</v>
      </c>
      <c r="U4100">
        <v>0.17668149999999999</v>
      </c>
      <c r="V4100">
        <v>7.4574920000000003E-2</v>
      </c>
      <c r="W4100">
        <v>-6.342486E-2</v>
      </c>
      <c r="X4100">
        <v>0.99519639999999998</v>
      </c>
      <c r="Y4100">
        <v>0.13974249999999999</v>
      </c>
      <c r="Z4100">
        <v>6.0409309999999898E-3</v>
      </c>
      <c r="AA4100">
        <v>0.99016950000000004</v>
      </c>
      <c r="AB4100">
        <v>30</v>
      </c>
      <c r="AC4100">
        <v>-27.4892</v>
      </c>
      <c r="AD4100">
        <v>-1.116804370284</v>
      </c>
      <c r="AE4100">
        <v>1.6587999999999801</v>
      </c>
      <c r="AF4100">
        <v>3.8865075909850599</v>
      </c>
      <c r="AG4100">
        <v>-1.116804370284</v>
      </c>
      <c r="AH4100">
        <v>27.217906402283699</v>
      </c>
      <c r="AI4100">
        <v>92.326072846758095</v>
      </c>
      <c r="AJ4100">
        <v>81.873538318777406</v>
      </c>
      <c r="AK4100">
        <v>27.516660810856798</v>
      </c>
      <c r="AL4100">
        <v>93.636417611603207</v>
      </c>
      <c r="AM4100">
        <v>85.714557081206806</v>
      </c>
      <c r="AN4100">
        <v>1.0000000030659899</v>
      </c>
    </row>
    <row r="4101" spans="1:40" x14ac:dyDescent="0.25">
      <c r="A4101" t="str">
        <f>"20190303154555028"</f>
        <v>20190303154555028</v>
      </c>
      <c r="B4101" t="str">
        <f>"1551599155024697"</f>
        <v>1551599155024697</v>
      </c>
      <c r="C4101" t="s">
        <v>40</v>
      </c>
      <c r="D4101">
        <v>4.9808700000000004</v>
      </c>
      <c r="E4101">
        <v>0.52558819999999995</v>
      </c>
      <c r="F4101" t="s">
        <v>41</v>
      </c>
      <c r="G4101">
        <v>-246.93889999999999</v>
      </c>
      <c r="H4101" s="1">
        <v>-2.2404219999999999E-6</v>
      </c>
      <c r="I4101">
        <v>143.16739999999999</v>
      </c>
      <c r="J4101">
        <v>-219.404</v>
      </c>
      <c r="K4101">
        <v>1.1168229999999999</v>
      </c>
      <c r="L4101">
        <v>141.3896</v>
      </c>
      <c r="M4101">
        <v>-0.99695319999999998</v>
      </c>
      <c r="N4101">
        <v>-2.8838010000000001E-3</v>
      </c>
      <c r="O4101">
        <v>-7.7949169999999998E-2</v>
      </c>
      <c r="P4101">
        <v>-0.99787859999999995</v>
      </c>
      <c r="Q4101">
        <v>-6.4993079999999995E-2</v>
      </c>
      <c r="R4101">
        <v>-3.8225820000000001E-3</v>
      </c>
      <c r="S4101">
        <v>-2.9998320000000001</v>
      </c>
      <c r="T4101">
        <v>-0.1202877</v>
      </c>
      <c r="U4101">
        <v>0.18907170000000001</v>
      </c>
      <c r="V4101">
        <v>7.3544239999999997E-2</v>
      </c>
      <c r="W4101">
        <v>-6.2630140000000001E-2</v>
      </c>
      <c r="X4101">
        <v>0.99532339999999997</v>
      </c>
      <c r="Y4101">
        <v>0.14033209999999999</v>
      </c>
      <c r="Z4101">
        <v>5.908534E-3</v>
      </c>
      <c r="AA4101">
        <v>0.99008689999999999</v>
      </c>
      <c r="AB4101">
        <v>31</v>
      </c>
      <c r="AC4101">
        <v>-27.534899999999901</v>
      </c>
      <c r="AD4101">
        <v>-1.1168252404219901</v>
      </c>
      <c r="AE4101">
        <v>1.7777999999999801</v>
      </c>
      <c r="AF4101">
        <v>3.9123125619981498</v>
      </c>
      <c r="AG4101">
        <v>-1.1168252404219901</v>
      </c>
      <c r="AH4101">
        <v>27.267867922941001</v>
      </c>
      <c r="AI4101">
        <v>92.321636176555103</v>
      </c>
      <c r="AJ4101">
        <v>81.835094384195898</v>
      </c>
      <c r="AK4101">
        <v>27.569731759002799</v>
      </c>
      <c r="AL4101">
        <v>93.590792879411794</v>
      </c>
      <c r="AM4101">
        <v>85.774106252673803</v>
      </c>
      <c r="AN4101">
        <v>0.999999980130578</v>
      </c>
    </row>
    <row r="4102" spans="1:40" x14ac:dyDescent="0.25">
      <c r="A4102" t="str">
        <f>"20190303154555052"</f>
        <v>20190303154555052</v>
      </c>
      <c r="B4102" t="str">
        <f>"1551599155045194"</f>
        <v>1551599155045194</v>
      </c>
      <c r="C4102" t="s">
        <v>40</v>
      </c>
      <c r="D4102">
        <v>5.0719599999999998</v>
      </c>
      <c r="E4102">
        <v>0.52588429999999997</v>
      </c>
      <c r="F4102" t="s">
        <v>41</v>
      </c>
      <c r="G4102">
        <v>-249.06979999999999</v>
      </c>
      <c r="H4102" s="1">
        <v>-1.353452E-6</v>
      </c>
      <c r="I4102">
        <v>143.2696</v>
      </c>
      <c r="J4102">
        <v>-219.7338</v>
      </c>
      <c r="K4102">
        <v>1.116832</v>
      </c>
      <c r="L4102">
        <v>141.3674</v>
      </c>
      <c r="M4102">
        <v>-0.99722920000000004</v>
      </c>
      <c r="N4102">
        <v>-2.9585029999999999E-3</v>
      </c>
      <c r="O4102">
        <v>-7.4332010000000004E-2</v>
      </c>
      <c r="P4102">
        <v>-0.99784759999999995</v>
      </c>
      <c r="Q4102">
        <v>-6.5556610000000001E-2</v>
      </c>
      <c r="R4102">
        <v>-1.672691E-3</v>
      </c>
      <c r="S4102">
        <v>-2.9997560000000001</v>
      </c>
      <c r="T4102">
        <v>-0.1129315</v>
      </c>
      <c r="U4102">
        <v>0.19010930000000001</v>
      </c>
      <c r="V4102">
        <v>7.2073150000000002E-2</v>
      </c>
      <c r="W4102">
        <v>-6.3107930000000007E-2</v>
      </c>
      <c r="X4102">
        <v>0.99540079999999997</v>
      </c>
      <c r="Y4102">
        <v>0.1371076</v>
      </c>
      <c r="Z4102">
        <v>5.3550830000000001E-3</v>
      </c>
      <c r="AA4102">
        <v>0.99054169999999997</v>
      </c>
      <c r="AB4102">
        <v>31</v>
      </c>
      <c r="AC4102">
        <v>-29.335999999999899</v>
      </c>
      <c r="AD4102">
        <v>-1.1168333534520001</v>
      </c>
      <c r="AE4102">
        <v>1.9021999999999899</v>
      </c>
      <c r="AF4102">
        <v>4.0716743198287801</v>
      </c>
      <c r="AG4102">
        <v>-1.1168333534520001</v>
      </c>
      <c r="AH4102">
        <v>29.0714892279296</v>
      </c>
      <c r="AI4102">
        <v>92.178793081459602</v>
      </c>
      <c r="AJ4102">
        <v>82.0271696325688</v>
      </c>
      <c r="AK4102">
        <v>29.376475868214101</v>
      </c>
      <c r="AL4102">
        <v>93.618222597152197</v>
      </c>
      <c r="AM4102">
        <v>85.858659709455097</v>
      </c>
      <c r="AN4102">
        <v>0.999999951210222</v>
      </c>
    </row>
    <row r="4103" spans="1:40" x14ac:dyDescent="0.25">
      <c r="A4103" t="str">
        <f>"20190303154555075"</f>
        <v>20190303154555075</v>
      </c>
      <c r="B4103" t="str">
        <f>"1551599155064714"</f>
        <v>1551599155064714</v>
      </c>
      <c r="C4103" t="s">
        <v>40</v>
      </c>
      <c r="D4103">
        <v>5.092886</v>
      </c>
      <c r="E4103">
        <v>0.52602450000000001</v>
      </c>
      <c r="F4103" t="s">
        <v>41</v>
      </c>
      <c r="G4103">
        <v>-248.63839999999999</v>
      </c>
      <c r="H4103" s="1">
        <v>-1.5427639999999999E-6</v>
      </c>
      <c r="I4103">
        <v>143.28550000000001</v>
      </c>
      <c r="J4103">
        <v>-220.0496</v>
      </c>
      <c r="K4103">
        <v>1.1168359999999999</v>
      </c>
      <c r="L4103">
        <v>141.34710000000001</v>
      </c>
      <c r="M4103">
        <v>-0.99747839999999999</v>
      </c>
      <c r="N4103">
        <v>-3.0511140000000002E-3</v>
      </c>
      <c r="O4103">
        <v>-7.090668E-2</v>
      </c>
      <c r="P4103">
        <v>-0.99779209999999996</v>
      </c>
      <c r="Q4103">
        <v>-6.6417980000000001E-2</v>
      </c>
      <c r="R4103" s="1">
        <v>1.4721179999999999E-5</v>
      </c>
      <c r="S4103">
        <v>-2.9991759999999998</v>
      </c>
      <c r="T4103">
        <v>-0.11588420000000001</v>
      </c>
      <c r="U4103">
        <v>0.19903560000000001</v>
      </c>
      <c r="V4103">
        <v>7.0328539999999995E-2</v>
      </c>
      <c r="W4103">
        <v>-6.3865179999999994E-2</v>
      </c>
      <c r="X4103">
        <v>0.99547730000000001</v>
      </c>
      <c r="Y4103">
        <v>0.13664809999999999</v>
      </c>
      <c r="Z4103">
        <v>5.3644019999999999E-3</v>
      </c>
      <c r="AA4103">
        <v>0.99060510000000002</v>
      </c>
      <c r="AB4103">
        <v>31</v>
      </c>
      <c r="AC4103">
        <v>-28.5887999999999</v>
      </c>
      <c r="AD4103">
        <v>-1.116837542764</v>
      </c>
      <c r="AE4103">
        <v>1.9383999999999999</v>
      </c>
      <c r="AF4103">
        <v>3.9546593547686699</v>
      </c>
      <c r="AG4103">
        <v>-1.116837542764</v>
      </c>
      <c r="AH4103">
        <v>28.3363471581876</v>
      </c>
      <c r="AI4103">
        <v>92.235422077634695</v>
      </c>
      <c r="AJ4103">
        <v>82.055039774818098</v>
      </c>
      <c r="AK4103">
        <v>28.632764920253699</v>
      </c>
      <c r="AL4103">
        <v>93.661697500176103</v>
      </c>
      <c r="AM4103">
        <v>85.958878685825496</v>
      </c>
      <c r="AN4103">
        <v>0.99999995978512601</v>
      </c>
    </row>
    <row r="4104" spans="1:40" x14ac:dyDescent="0.25">
      <c r="A4104" t="str">
        <f>"20190303154555097"</f>
        <v>20190303154555097</v>
      </c>
      <c r="B4104" t="str">
        <f>"1551599155094970"</f>
        <v>1551599155094970</v>
      </c>
      <c r="C4104" t="s">
        <v>40</v>
      </c>
      <c r="D4104">
        <v>5.0856209999999997</v>
      </c>
      <c r="E4104">
        <v>0.52611699999999995</v>
      </c>
      <c r="F4104" t="s">
        <v>41</v>
      </c>
      <c r="G4104">
        <v>-247.81620000000001</v>
      </c>
      <c r="H4104" s="1">
        <v>-1.8852800000000001E-6</v>
      </c>
      <c r="I4104">
        <v>143.24719999999999</v>
      </c>
      <c r="J4104">
        <v>-220.37309999999999</v>
      </c>
      <c r="K4104">
        <v>1.1168389999999999</v>
      </c>
      <c r="L4104">
        <v>141.32740000000001</v>
      </c>
      <c r="M4104">
        <v>-0.99771909999999997</v>
      </c>
      <c r="N4104">
        <v>-3.1809310000000001E-3</v>
      </c>
      <c r="O4104">
        <v>-6.7429329999999996E-2</v>
      </c>
      <c r="P4104">
        <v>-0.99775760000000002</v>
      </c>
      <c r="Q4104">
        <v>-6.6920060000000003E-2</v>
      </c>
      <c r="R4104">
        <v>1.360967E-3</v>
      </c>
      <c r="S4104">
        <v>-2.998596</v>
      </c>
      <c r="T4104">
        <v>-0.1206107</v>
      </c>
      <c r="U4104">
        <v>0.2052002</v>
      </c>
      <c r="V4104">
        <v>6.8196039999999999E-2</v>
      </c>
      <c r="W4104">
        <v>-6.4224149999999994E-2</v>
      </c>
      <c r="X4104">
        <v>0.9956026</v>
      </c>
      <c r="Y4104">
        <v>0.13522579999999901</v>
      </c>
      <c r="Z4104">
        <v>5.4244699999999998E-3</v>
      </c>
      <c r="AA4104">
        <v>0.99080000000000001</v>
      </c>
      <c r="AB4104">
        <v>31</v>
      </c>
      <c r="AC4104">
        <v>-27.443100000000001</v>
      </c>
      <c r="AD4104">
        <v>-1.11684088527999</v>
      </c>
      <c r="AE4104">
        <v>1.91979999999998</v>
      </c>
      <c r="AF4104">
        <v>3.7597130214224399</v>
      </c>
      <c r="AG4104">
        <v>-1.11684088527999</v>
      </c>
      <c r="AH4104">
        <v>27.2063487878271</v>
      </c>
      <c r="AI4104">
        <v>92.328609522754405</v>
      </c>
      <c r="AJ4104">
        <v>82.131986726575704</v>
      </c>
      <c r="AK4104">
        <v>27.4876006579583</v>
      </c>
      <c r="AL4104">
        <v>93.682307169742103</v>
      </c>
      <c r="AM4104">
        <v>86.081517370311602</v>
      </c>
      <c r="AN4104">
        <v>0.999999989220832</v>
      </c>
    </row>
    <row r="4105" spans="1:40" x14ac:dyDescent="0.25">
      <c r="A4105" t="str">
        <f>"20190303154555117"</f>
        <v>20190303154555117</v>
      </c>
      <c r="B4105" t="str">
        <f>"1551599155115466"</f>
        <v>1551599155115466</v>
      </c>
      <c r="C4105" t="s">
        <v>40</v>
      </c>
      <c r="D4105">
        <v>5.0735900000000003</v>
      </c>
      <c r="E4105">
        <v>0.5262097</v>
      </c>
      <c r="F4105" t="s">
        <v>41</v>
      </c>
      <c r="G4105">
        <v>-247.25739999999999</v>
      </c>
      <c r="H4105" s="1">
        <v>-2.115343E-6</v>
      </c>
      <c r="I4105">
        <v>143.21090000000001</v>
      </c>
      <c r="J4105">
        <v>-220.6489</v>
      </c>
      <c r="K4105">
        <v>1.116852</v>
      </c>
      <c r="L4105">
        <v>141.3116</v>
      </c>
      <c r="M4105">
        <v>-0.99791319999999994</v>
      </c>
      <c r="N4105">
        <v>-3.3233260000000001E-3</v>
      </c>
      <c r="O4105">
        <v>-6.4485539999999994E-2</v>
      </c>
      <c r="P4105">
        <v>-0.99763729999999995</v>
      </c>
      <c r="Q4105">
        <v>-6.8653580000000006E-2</v>
      </c>
      <c r="R4105">
        <v>2.5975960000000002E-3</v>
      </c>
      <c r="S4105">
        <v>-2.9981080000000002</v>
      </c>
      <c r="T4105">
        <v>-0.12454900000000001</v>
      </c>
      <c r="U4105">
        <v>0.2100525</v>
      </c>
      <c r="V4105">
        <v>6.6473370000000004E-2</v>
      </c>
      <c r="W4105">
        <v>-6.5805390000000005E-2</v>
      </c>
      <c r="X4105">
        <v>0.99561580000000005</v>
      </c>
      <c r="Y4105">
        <v>0.13390199999999999</v>
      </c>
      <c r="Z4105">
        <v>5.4602219999999998E-3</v>
      </c>
      <c r="AA4105">
        <v>0.99097959999999996</v>
      </c>
      <c r="AB4105">
        <v>31</v>
      </c>
      <c r="AC4105">
        <v>-26.6084999999999</v>
      </c>
      <c r="AD4105">
        <v>-1.1168541153430001</v>
      </c>
      <c r="AE4105">
        <v>1.89930000000001</v>
      </c>
      <c r="AF4105">
        <v>3.60490078776794</v>
      </c>
      <c r="AG4105">
        <v>-1.1168541153430001</v>
      </c>
      <c r="AH4105">
        <v>26.384391614149301</v>
      </c>
      <c r="AI4105">
        <v>92.401603269647893</v>
      </c>
      <c r="AJ4105">
        <v>82.219848709244403</v>
      </c>
      <c r="AK4105">
        <v>26.652932177405901</v>
      </c>
      <c r="AL4105">
        <v>93.773097830929601</v>
      </c>
      <c r="AM4105">
        <v>86.180254107056001</v>
      </c>
      <c r="AN4105">
        <v>0.99999993974092205</v>
      </c>
    </row>
    <row r="4106" spans="1:40" x14ac:dyDescent="0.25">
      <c r="A4106" t="str">
        <f>"20190303154555139"</f>
        <v>20190303154555139</v>
      </c>
      <c r="B4106" t="str">
        <f>"1551599155135664"</f>
        <v>1551599155135664</v>
      </c>
      <c r="C4106" t="s">
        <v>40</v>
      </c>
      <c r="D4106">
        <v>5.0657800000000002</v>
      </c>
      <c r="E4106">
        <v>0.52622400000000003</v>
      </c>
      <c r="F4106" t="s">
        <v>41</v>
      </c>
      <c r="G4106">
        <v>-246.23349999999999</v>
      </c>
      <c r="H4106" s="1">
        <v>-2.536455E-6</v>
      </c>
      <c r="I4106">
        <v>143.14279999999999</v>
      </c>
      <c r="J4106">
        <v>-220.95760000000001</v>
      </c>
      <c r="K4106">
        <v>1.116862</v>
      </c>
      <c r="L4106">
        <v>141.29480000000001</v>
      </c>
      <c r="M4106">
        <v>-0.99811899999999998</v>
      </c>
      <c r="N4106">
        <v>-3.5161120000000001E-3</v>
      </c>
      <c r="O4106">
        <v>-6.1206589999999998E-2</v>
      </c>
      <c r="P4106">
        <v>-0.99755519999999998</v>
      </c>
      <c r="Q4106">
        <v>-6.9761439999999994E-2</v>
      </c>
      <c r="R4106">
        <v>4.1163199999999997E-3</v>
      </c>
      <c r="S4106">
        <v>-2.997528</v>
      </c>
      <c r="T4106">
        <v>-0.13085250000000001</v>
      </c>
      <c r="U4106">
        <v>0.21455379999999999</v>
      </c>
      <c r="V4106">
        <v>6.4705440000000003E-2</v>
      </c>
      <c r="W4106">
        <v>-6.6710690000000003E-2</v>
      </c>
      <c r="X4106">
        <v>0.99567209999999995</v>
      </c>
      <c r="Y4106">
        <v>0.13212670000000001</v>
      </c>
      <c r="Z4106">
        <v>5.5641319999999899E-3</v>
      </c>
      <c r="AA4106">
        <v>0.99121720000000002</v>
      </c>
      <c r="AB4106">
        <v>31</v>
      </c>
      <c r="AC4106">
        <v>-25.275899999999901</v>
      </c>
      <c r="AD4106">
        <v>-1.1168645364550001</v>
      </c>
      <c r="AE4106">
        <v>1.8479999999999801</v>
      </c>
      <c r="AF4106">
        <v>3.38502221088347</v>
      </c>
      <c r="AG4106">
        <v>-1.1168645364550001</v>
      </c>
      <c r="AH4106">
        <v>25.066717486405199</v>
      </c>
      <c r="AI4106">
        <v>92.528246724881697</v>
      </c>
      <c r="AJ4106">
        <v>82.309272964452902</v>
      </c>
      <c r="AK4106">
        <v>25.3188879555208</v>
      </c>
      <c r="AL4106">
        <v>93.825081629947306</v>
      </c>
      <c r="AM4106">
        <v>86.281765088025907</v>
      </c>
      <c r="AN4106">
        <v>1.00000002042213</v>
      </c>
    </row>
    <row r="4107" spans="1:40" x14ac:dyDescent="0.25">
      <c r="A4107" t="str">
        <f>"20190303154555162"</f>
        <v>20190303154555162</v>
      </c>
      <c r="B4107" t="str">
        <f>"1551599155155184"</f>
        <v>1551599155155184</v>
      </c>
      <c r="C4107" t="s">
        <v>40</v>
      </c>
      <c r="D4107">
        <v>5.0554240000000004</v>
      </c>
      <c r="E4107">
        <v>0.52620250000000002</v>
      </c>
      <c r="F4107" t="s">
        <v>41</v>
      </c>
      <c r="G4107">
        <v>-245.6396</v>
      </c>
      <c r="H4107" s="1">
        <v>-2.779991E-6</v>
      </c>
      <c r="I4107">
        <v>143.10050000000001</v>
      </c>
      <c r="J4107">
        <v>-221.2791</v>
      </c>
      <c r="K4107">
        <v>1.116873</v>
      </c>
      <c r="L4107">
        <v>141.2783</v>
      </c>
      <c r="M4107">
        <v>-0.99832089999999996</v>
      </c>
      <c r="N4107">
        <v>-3.7465440000000001E-3</v>
      </c>
      <c r="O4107">
        <v>-5.7803630000000002E-2</v>
      </c>
      <c r="P4107">
        <v>-0.99747129999999995</v>
      </c>
      <c r="Q4107">
        <v>-7.0833409999999999E-2</v>
      </c>
      <c r="R4107">
        <v>5.8238659999999996E-3</v>
      </c>
      <c r="S4107">
        <v>-2.9969790000000001</v>
      </c>
      <c r="T4107">
        <v>-0.13561419999999999</v>
      </c>
      <c r="U4107">
        <v>0.21926880000000001</v>
      </c>
      <c r="V4107">
        <v>6.3003790000000004E-2</v>
      </c>
      <c r="W4107">
        <v>-6.7543279999999997E-2</v>
      </c>
      <c r="X4107">
        <v>0.99572510000000003</v>
      </c>
      <c r="Y4107">
        <v>0.1303029</v>
      </c>
      <c r="Z4107">
        <v>5.5821859999999899E-3</v>
      </c>
      <c r="AA4107">
        <v>0.99145850000000002</v>
      </c>
      <c r="AB4107">
        <v>31</v>
      </c>
      <c r="AC4107">
        <v>-24.360499999999998</v>
      </c>
      <c r="AD4107">
        <v>-1.1168757799910001</v>
      </c>
      <c r="AE4107">
        <v>1.8222</v>
      </c>
      <c r="AF4107">
        <v>3.2205564442859398</v>
      </c>
      <c r="AG4107">
        <v>-1.1168757799910001</v>
      </c>
      <c r="AH4107">
        <v>24.163926978250299</v>
      </c>
      <c r="AI4107">
        <v>92.623209485629701</v>
      </c>
      <c r="AJ4107">
        <v>82.408386410370795</v>
      </c>
      <c r="AK4107">
        <v>24.403171153130401</v>
      </c>
      <c r="AL4107">
        <v>93.872893353733303</v>
      </c>
      <c r="AM4107">
        <v>86.379477336348302</v>
      </c>
      <c r="AN4107">
        <v>1.00000002349876</v>
      </c>
    </row>
    <row r="4108" spans="1:40" x14ac:dyDescent="0.25">
      <c r="A4108" t="str">
        <f>"20190303154555183"</f>
        <v>20190303154555183</v>
      </c>
      <c r="B4108" t="str">
        <f>"1551599155175680"</f>
        <v>1551599155175680</v>
      </c>
      <c r="C4108" t="s">
        <v>40</v>
      </c>
      <c r="D4108">
        <v>5.0834489999999999</v>
      </c>
      <c r="E4108">
        <v>0.52618209999999999</v>
      </c>
      <c r="F4108" t="s">
        <v>41</v>
      </c>
      <c r="G4108">
        <v>-245.2705</v>
      </c>
      <c r="H4108" s="1">
        <v>-2.931391E-6</v>
      </c>
      <c r="I4108">
        <v>143.0745</v>
      </c>
      <c r="J4108">
        <v>-221.59010000000001</v>
      </c>
      <c r="K4108">
        <v>1.116892</v>
      </c>
      <c r="L4108">
        <v>141.2636</v>
      </c>
      <c r="M4108">
        <v>-0.99850490000000003</v>
      </c>
      <c r="N4108">
        <v>-3.9850379999999998E-3</v>
      </c>
      <c r="O4108">
        <v>-5.4517250000000003E-2</v>
      </c>
      <c r="P4108">
        <v>-0.99744460000000001</v>
      </c>
      <c r="Q4108">
        <v>-7.1039740000000004E-2</v>
      </c>
      <c r="R4108">
        <v>7.5891129999999998E-3</v>
      </c>
      <c r="S4108">
        <v>-2.9963679999999999</v>
      </c>
      <c r="T4108">
        <v>-0.13949059999999999</v>
      </c>
      <c r="U4108">
        <v>0.2243347</v>
      </c>
      <c r="V4108">
        <v>6.1485909999999998E-2</v>
      </c>
      <c r="W4108">
        <v>-6.7503309999999997E-2</v>
      </c>
      <c r="X4108">
        <v>0.99582269999999995</v>
      </c>
      <c r="Y4108">
        <v>0.12871459999999901</v>
      </c>
      <c r="Z4108">
        <v>5.563793E-3</v>
      </c>
      <c r="AA4108">
        <v>0.99166609999999999</v>
      </c>
      <c r="AB4108">
        <v>32</v>
      </c>
      <c r="AC4108">
        <v>-23.680399999999899</v>
      </c>
      <c r="AD4108">
        <v>-1.1168949313909999</v>
      </c>
      <c r="AE4108">
        <v>1.8109</v>
      </c>
      <c r="AF4108">
        <v>3.09236814574178</v>
      </c>
      <c r="AG4108">
        <v>-1.1168949313909999</v>
      </c>
      <c r="AH4108">
        <v>23.494495228900899</v>
      </c>
      <c r="AI4108">
        <v>92.698471873344502</v>
      </c>
      <c r="AJ4108">
        <v>82.501775883156398</v>
      </c>
      <c r="AK4108">
        <v>23.723437800989402</v>
      </c>
      <c r="AL4108">
        <v>93.870597970180398</v>
      </c>
      <c r="AM4108">
        <v>86.466824273727894</v>
      </c>
      <c r="AN4108">
        <v>1.0000000319123801</v>
      </c>
    </row>
    <row r="4109" spans="1:40" x14ac:dyDescent="0.25">
      <c r="A4109" t="str">
        <f>"20190303154555206"</f>
        <v>20190303154555206</v>
      </c>
      <c r="B4109" t="str">
        <f>"1551599155195200"</f>
        <v>1551599155195200</v>
      </c>
      <c r="C4109" t="s">
        <v>40</v>
      </c>
      <c r="D4109">
        <v>5.094525</v>
      </c>
      <c r="E4109">
        <v>0.52610480000000004</v>
      </c>
      <c r="F4109" t="s">
        <v>41</v>
      </c>
      <c r="G4109">
        <v>-245.39230000000001</v>
      </c>
      <c r="H4109" s="1">
        <v>-2.88232E-6</v>
      </c>
      <c r="I4109">
        <v>143.08629999999999</v>
      </c>
      <c r="J4109">
        <v>-221.91419999999999</v>
      </c>
      <c r="K4109">
        <v>1.1169089999999999</v>
      </c>
      <c r="L4109">
        <v>141.2492</v>
      </c>
      <c r="M4109">
        <v>-0.99868500000000004</v>
      </c>
      <c r="N4109">
        <v>-4.2333850000000001E-3</v>
      </c>
      <c r="O4109">
        <v>-5.1092609999999997E-2</v>
      </c>
      <c r="P4109">
        <v>-0.99745839999999997</v>
      </c>
      <c r="Q4109">
        <v>-7.0612540000000001E-2</v>
      </c>
      <c r="R4109">
        <v>9.5184410000000007E-3</v>
      </c>
      <c r="S4109">
        <v>-2.9959410000000002</v>
      </c>
      <c r="T4109">
        <v>-0.14058199999999901</v>
      </c>
      <c r="U4109">
        <v>0.2294312</v>
      </c>
      <c r="V4109">
        <v>6.0001159999999998E-2</v>
      </c>
      <c r="W4109">
        <v>-6.6820119999999997E-2</v>
      </c>
      <c r="X4109">
        <v>0.99595929999999999</v>
      </c>
      <c r="Y4109">
        <v>0.12700330000000001</v>
      </c>
      <c r="Z4109">
        <v>5.4203699999999999E-3</v>
      </c>
      <c r="AA4109">
        <v>0.99188750000000003</v>
      </c>
      <c r="AB4109">
        <v>32</v>
      </c>
      <c r="AC4109">
        <v>-23.478100000000001</v>
      </c>
      <c r="AD4109">
        <v>-1.1169118823199999</v>
      </c>
      <c r="AE4109">
        <v>1.83709999999999</v>
      </c>
      <c r="AF4109">
        <v>3.0274587731843399</v>
      </c>
      <c r="AG4109">
        <v>-1.1169118823199999</v>
      </c>
      <c r="AH4109">
        <v>23.301159158513101</v>
      </c>
      <c r="AI4109">
        <v>92.721461202997205</v>
      </c>
      <c r="AJ4109">
        <v>82.597179065299002</v>
      </c>
      <c r="AK4109">
        <v>23.5235417594068</v>
      </c>
      <c r="AL4109">
        <v>93.831365616386293</v>
      </c>
      <c r="AM4109">
        <v>86.552406118593893</v>
      </c>
      <c r="AN4109">
        <v>0.99999999744732504</v>
      </c>
    </row>
    <row r="4110" spans="1:40" x14ac:dyDescent="0.25">
      <c r="A4110" t="str">
        <f>"20190303154555227"</f>
        <v>20190303154555227</v>
      </c>
      <c r="B4110" t="str">
        <f>"1551599155215700"</f>
        <v>1551599155215700</v>
      </c>
      <c r="C4110" t="s">
        <v>40</v>
      </c>
      <c r="D4110">
        <v>5.109324</v>
      </c>
      <c r="E4110">
        <v>0.52603889999999998</v>
      </c>
      <c r="F4110" t="s">
        <v>41</v>
      </c>
      <c r="G4110">
        <v>-245.75800000000001</v>
      </c>
      <c r="H4110" s="1">
        <v>-2.7339140000000002E-6</v>
      </c>
      <c r="I4110">
        <v>143.1182</v>
      </c>
      <c r="J4110">
        <v>-222.20920000000001</v>
      </c>
      <c r="K4110">
        <v>1.11693</v>
      </c>
      <c r="L4110">
        <v>141.2371</v>
      </c>
      <c r="M4110">
        <v>-0.99883860000000002</v>
      </c>
      <c r="N4110">
        <v>-4.4564399999999999E-3</v>
      </c>
      <c r="O4110">
        <v>-4.79763E-2</v>
      </c>
      <c r="P4110">
        <v>-0.99741760000000002</v>
      </c>
      <c r="Q4110">
        <v>-7.0976800000000007E-2</v>
      </c>
      <c r="R4110">
        <v>1.099288E-2</v>
      </c>
      <c r="S4110">
        <v>-2.9954990000000001</v>
      </c>
      <c r="T4110">
        <v>-0.1403182</v>
      </c>
      <c r="U4110">
        <v>0.23480219999999999</v>
      </c>
      <c r="V4110">
        <v>5.8361950000000003E-2</v>
      </c>
      <c r="W4110">
        <v>-6.6952410000000004E-2</v>
      </c>
      <c r="X4110">
        <v>0.99604780000000004</v>
      </c>
      <c r="Y4110">
        <v>0.12569240000000001</v>
      </c>
      <c r="Z4110">
        <v>5.2482240000000001E-3</v>
      </c>
      <c r="AA4110">
        <v>0.99205540000000003</v>
      </c>
      <c r="AB4110">
        <v>32</v>
      </c>
      <c r="AC4110">
        <v>-23.5487999999999</v>
      </c>
      <c r="AD4110">
        <v>-1.1169327339140001</v>
      </c>
      <c r="AE4110">
        <v>1.8811</v>
      </c>
      <c r="AF4110">
        <v>3.0020185648187701</v>
      </c>
      <c r="AG4110">
        <v>-1.1169327339140001</v>
      </c>
      <c r="AH4110">
        <v>23.379171650798401</v>
      </c>
      <c r="AI4110">
        <v>92.712967933499797</v>
      </c>
      <c r="AJ4110">
        <v>82.682935479697505</v>
      </c>
      <c r="AK4110">
        <v>23.5975702408765</v>
      </c>
      <c r="AL4110">
        <v>93.838962349682703</v>
      </c>
      <c r="AM4110">
        <v>86.646672448887699</v>
      </c>
      <c r="AN4110">
        <v>0.99999998114872501</v>
      </c>
    </row>
    <row r="4111" spans="1:40" x14ac:dyDescent="0.25">
      <c r="A4111" t="str">
        <f>"20190303154555275"</f>
        <v>20190303154555275</v>
      </c>
      <c r="B4111" t="str">
        <f>"1551599155265137"</f>
        <v>1551599155265137</v>
      </c>
      <c r="C4111" t="s">
        <v>40</v>
      </c>
      <c r="D4111">
        <v>5.1859570000000001</v>
      </c>
      <c r="E4111">
        <v>0.52576519999999904</v>
      </c>
      <c r="F4111" t="s">
        <v>41</v>
      </c>
      <c r="G4111">
        <v>-245.6635</v>
      </c>
      <c r="H4111" s="1">
        <v>-2.7712799999999999E-6</v>
      </c>
      <c r="I4111">
        <v>143.1063</v>
      </c>
      <c r="J4111">
        <v>-222.89089999999999</v>
      </c>
      <c r="K4111">
        <v>1.1169450000000001</v>
      </c>
      <c r="L4111">
        <v>141.21260000000001</v>
      </c>
      <c r="M4111">
        <v>-0.99915620000000005</v>
      </c>
      <c r="N4111">
        <v>-4.9381099999999999E-3</v>
      </c>
      <c r="O4111">
        <v>-4.0772620000000002E-2</v>
      </c>
      <c r="P4111">
        <v>-0.99735309999999999</v>
      </c>
      <c r="Q4111">
        <v>-7.1379609999999996E-2</v>
      </c>
      <c r="R4111">
        <v>1.3852089999999999E-2</v>
      </c>
      <c r="S4111">
        <v>-2.9949949999999999</v>
      </c>
      <c r="T4111">
        <v>-0.142627</v>
      </c>
      <c r="U4111">
        <v>0.23869319999999999</v>
      </c>
      <c r="V4111">
        <v>5.4029889999999997E-2</v>
      </c>
      <c r="W4111">
        <v>-6.6848039999999997E-2</v>
      </c>
      <c r="X4111">
        <v>0.99629920000000005</v>
      </c>
      <c r="Y4111">
        <v>0.1198376</v>
      </c>
      <c r="Z4111">
        <v>4.8808590000000004E-3</v>
      </c>
      <c r="AA4111">
        <v>0.99278149999999998</v>
      </c>
      <c r="AB4111">
        <v>32</v>
      </c>
      <c r="AC4111">
        <v>-22.772600000000001</v>
      </c>
      <c r="AD4111">
        <v>-1.11694777128</v>
      </c>
      <c r="AE4111">
        <v>1.8936999999999899</v>
      </c>
      <c r="AF4111">
        <v>2.81391226496189</v>
      </c>
      <c r="AG4111">
        <v>-1.11694777128</v>
      </c>
      <c r="AH4111">
        <v>22.622402108673299</v>
      </c>
      <c r="AI4111">
        <v>92.805018071141703</v>
      </c>
      <c r="AJ4111">
        <v>82.909619270558395</v>
      </c>
      <c r="AK4111">
        <v>22.824082713773599</v>
      </c>
      <c r="AL4111">
        <v>93.832968917580203</v>
      </c>
      <c r="AM4111">
        <v>86.895856936962403</v>
      </c>
      <c r="AN4111">
        <v>0.99999999269294604</v>
      </c>
    </row>
    <row r="4112" spans="1:40" x14ac:dyDescent="0.25">
      <c r="A4112" t="str">
        <f>"20190303154555296"</f>
        <v>20190303154555296</v>
      </c>
      <c r="B4112" t="str">
        <f>"1551599155285633"</f>
        <v>1551599155285633</v>
      </c>
      <c r="C4112" t="s">
        <v>40</v>
      </c>
      <c r="D4112">
        <v>5.155322</v>
      </c>
      <c r="E4112">
        <v>0.48881799999999997</v>
      </c>
      <c r="F4112" t="s">
        <v>41</v>
      </c>
      <c r="G4112">
        <v>-245.7362</v>
      </c>
      <c r="H4112" s="1">
        <v>-2.7341869999999999E-6</v>
      </c>
      <c r="I4112">
        <v>143.08420000000001</v>
      </c>
      <c r="J4112">
        <v>-223.2062</v>
      </c>
      <c r="K4112">
        <v>1.116949</v>
      </c>
      <c r="L4112">
        <v>141.203</v>
      </c>
      <c r="M4112">
        <v>-0.9992858</v>
      </c>
      <c r="N4112">
        <v>-5.1376750000000004E-3</v>
      </c>
      <c r="O4112">
        <v>-3.7439319999999998E-2</v>
      </c>
      <c r="P4112">
        <v>-0.99728220000000001</v>
      </c>
      <c r="Q4112">
        <v>-7.2113949999999996E-2</v>
      </c>
      <c r="R4112">
        <v>1.5096999999999999E-2</v>
      </c>
      <c r="S4112">
        <v>-2.9940799999999999</v>
      </c>
      <c r="T4112">
        <v>-0.14638579999999901</v>
      </c>
      <c r="U4112">
        <v>0.245285</v>
      </c>
      <c r="V4112">
        <v>5.1942599999999901E-2</v>
      </c>
      <c r="W4112">
        <v>-6.7370159999999998E-2</v>
      </c>
      <c r="X4112">
        <v>0.99637500000000001</v>
      </c>
      <c r="Y4112">
        <v>0.1187159</v>
      </c>
      <c r="Z4112">
        <v>4.8360319999999997E-3</v>
      </c>
      <c r="AA4112">
        <v>0.99291649999999998</v>
      </c>
      <c r="AB4112">
        <v>32</v>
      </c>
      <c r="AC4112">
        <v>-22.53</v>
      </c>
      <c r="AD4112">
        <v>-1.1169517341869999</v>
      </c>
      <c r="AE4112">
        <v>1.8812</v>
      </c>
      <c r="AF4112">
        <v>2.7167689435146198</v>
      </c>
      <c r="AG4112">
        <v>-1.1169517341869999</v>
      </c>
      <c r="AH4112">
        <v>22.389125109724802</v>
      </c>
      <c r="AI4112">
        <v>92.835249100789795</v>
      </c>
      <c r="AJ4112">
        <v>83.081369318867999</v>
      </c>
      <c r="AK4112">
        <v>22.580995058851101</v>
      </c>
      <c r="AL4112">
        <v>93.862951923071094</v>
      </c>
      <c r="AM4112">
        <v>87.015782108328096</v>
      </c>
      <c r="AN4112">
        <v>0.999999956389091</v>
      </c>
    </row>
    <row r="4113" spans="1:40" x14ac:dyDescent="0.25">
      <c r="A4113" t="str">
        <f>"20190303154555317"</f>
        <v>20190303154555317</v>
      </c>
      <c r="B4113" t="str">
        <f>"1551599155305152"</f>
        <v>1551599155305152</v>
      </c>
      <c r="C4113" t="s">
        <v>40</v>
      </c>
      <c r="D4113">
        <v>5.1566219999999996</v>
      </c>
      <c r="E4113">
        <v>0.48592540000000001</v>
      </c>
      <c r="F4113" t="s">
        <v>41</v>
      </c>
      <c r="G4113">
        <v>-237.4348</v>
      </c>
      <c r="H4113" s="1">
        <v>-1.449926E-6</v>
      </c>
      <c r="I4113">
        <v>140.99610000000001</v>
      </c>
      <c r="J4113">
        <v>-223.5137</v>
      </c>
      <c r="K4113">
        <v>1.116943</v>
      </c>
      <c r="L4113">
        <v>141.19450000000001</v>
      </c>
      <c r="M4113">
        <v>-0.99940130000000005</v>
      </c>
      <c r="N4113">
        <v>-5.3152249999999998E-3</v>
      </c>
      <c r="O4113">
        <v>-3.4189619999999997E-2</v>
      </c>
      <c r="P4113">
        <v>-0.99720759999999997</v>
      </c>
      <c r="Q4113">
        <v>-7.2975849999999995E-2</v>
      </c>
      <c r="R4113">
        <v>1.5864909999999999E-2</v>
      </c>
      <c r="S4113">
        <v>-2.9918670000000001</v>
      </c>
      <c r="T4113">
        <v>-0.23486399999999999</v>
      </c>
      <c r="U4113">
        <v>-4.348755E-2</v>
      </c>
      <c r="V4113">
        <v>4.946126E-2</v>
      </c>
      <c r="W4113">
        <v>-6.8038689999999999E-2</v>
      </c>
      <c r="X4113">
        <v>0.99645589999999995</v>
      </c>
      <c r="Y4113">
        <v>1.9505850000000002E-2</v>
      </c>
      <c r="Z4113">
        <v>3.3139200000000001E-3</v>
      </c>
      <c r="AA4113">
        <v>0.99980429999999998</v>
      </c>
      <c r="AB4113">
        <v>32</v>
      </c>
      <c r="AC4113">
        <v>-13.9210999999999</v>
      </c>
      <c r="AD4113">
        <v>-1.1169444499259999</v>
      </c>
      <c r="AE4113">
        <v>-0.198399999999992</v>
      </c>
      <c r="AF4113">
        <v>0.27590403742387798</v>
      </c>
      <c r="AG4113">
        <v>-1.1169444499259999</v>
      </c>
      <c r="AH4113">
        <v>13.830727330612699</v>
      </c>
      <c r="AI4113">
        <v>94.616168818006997</v>
      </c>
      <c r="AJ4113">
        <v>88.857179374582202</v>
      </c>
      <c r="AK4113">
        <v>13.8784979891861</v>
      </c>
      <c r="AL4113">
        <v>93.901343717471093</v>
      </c>
      <c r="AM4113">
        <v>87.158331412337105</v>
      </c>
      <c r="AN4113">
        <v>1.00000002011125</v>
      </c>
    </row>
    <row r="4114" spans="1:40" x14ac:dyDescent="0.25">
      <c r="A4114" t="str">
        <f>"20190303154555339"</f>
        <v>20190303154555339</v>
      </c>
      <c r="B4114" t="str">
        <f>"1551599155335029"</f>
        <v>1551599155335029</v>
      </c>
      <c r="C4114" t="s">
        <v>40</v>
      </c>
      <c r="D4114">
        <v>5.1577129999999904</v>
      </c>
      <c r="E4114">
        <v>0.48379169999999999</v>
      </c>
      <c r="F4114" t="s">
        <v>41</v>
      </c>
      <c r="G4114">
        <v>-237.34229999999999</v>
      </c>
      <c r="H4114" s="1">
        <v>-1.463505E-6</v>
      </c>
      <c r="I4114">
        <v>140.898</v>
      </c>
      <c r="J4114">
        <v>-223.8372</v>
      </c>
      <c r="K4114">
        <v>1.1169359999999999</v>
      </c>
      <c r="L4114">
        <v>141.1867</v>
      </c>
      <c r="M4114">
        <v>-0.9995115</v>
      </c>
      <c r="N4114">
        <v>-5.4844480000000003E-3</v>
      </c>
      <c r="O4114">
        <v>-3.0771139999999999E-2</v>
      </c>
      <c r="P4114">
        <v>-0.99709080000000005</v>
      </c>
      <c r="Q4114">
        <v>-7.4256849999999999E-2</v>
      </c>
      <c r="R4114">
        <v>1.721029E-2</v>
      </c>
      <c r="S4114">
        <v>-2.9917449999999999</v>
      </c>
      <c r="T4114">
        <v>-0.2416459</v>
      </c>
      <c r="U4114">
        <v>-6.4147949999999995E-2</v>
      </c>
      <c r="V4114">
        <v>4.7384799999999998E-2</v>
      </c>
      <c r="W4114">
        <v>-6.913772E-2</v>
      </c>
      <c r="X4114">
        <v>0.99648110000000001</v>
      </c>
      <c r="Y4114">
        <v>9.2189230000000004E-3</v>
      </c>
      <c r="Z4114">
        <v>2.709057E-3</v>
      </c>
      <c r="AA4114">
        <v>0.9999538</v>
      </c>
      <c r="AB4114">
        <v>32</v>
      </c>
      <c r="AC4114">
        <v>-13.505100000000001</v>
      </c>
      <c r="AD4114">
        <v>-1.116937463505</v>
      </c>
      <c r="AE4114">
        <v>-0.28870000000000501</v>
      </c>
      <c r="AF4114">
        <v>0.12614778283925099</v>
      </c>
      <c r="AG4114">
        <v>-1.116937463505</v>
      </c>
      <c r="AH4114">
        <v>13.415864449561701</v>
      </c>
      <c r="AI4114">
        <v>94.758973631001197</v>
      </c>
      <c r="AJ4114">
        <v>89.461270454941001</v>
      </c>
      <c r="AK4114">
        <v>13.4628704773355</v>
      </c>
      <c r="AL4114">
        <v>93.964462366596706</v>
      </c>
      <c r="AM4114">
        <v>87.2775143726858</v>
      </c>
      <c r="AN4114">
        <v>0.99999996312752304</v>
      </c>
    </row>
    <row r="4115" spans="1:40" x14ac:dyDescent="0.25">
      <c r="A4115" t="str">
        <f>"20190303154555363"</f>
        <v>20190303154555363</v>
      </c>
      <c r="B4115" t="str">
        <f>"1551599155355526"</f>
        <v>1551599155355526</v>
      </c>
      <c r="C4115" t="s">
        <v>40</v>
      </c>
      <c r="D4115">
        <v>5.2333809999999996</v>
      </c>
      <c r="E4115">
        <v>0.48236210000000002</v>
      </c>
      <c r="F4115" t="s">
        <v>41</v>
      </c>
      <c r="G4115">
        <v>-236.98650000000001</v>
      </c>
      <c r="H4115" s="1">
        <v>-1.6028830000000001E-6</v>
      </c>
      <c r="I4115">
        <v>140.84809999999999</v>
      </c>
      <c r="J4115">
        <v>-224.1764</v>
      </c>
      <c r="K4115">
        <v>1.1169209999999901</v>
      </c>
      <c r="L4115">
        <v>141.1797</v>
      </c>
      <c r="M4115">
        <v>-0.99961440000000001</v>
      </c>
      <c r="N4115">
        <v>-5.6424149999999996E-3</v>
      </c>
      <c r="O4115">
        <v>-2.7188650000000002E-2</v>
      </c>
      <c r="P4115">
        <v>-0.9970485</v>
      </c>
      <c r="Q4115">
        <v>-7.4488449999999998E-2</v>
      </c>
      <c r="R4115">
        <v>1.859972E-2</v>
      </c>
      <c r="S4115">
        <v>-2.9911650000000001</v>
      </c>
      <c r="T4115">
        <v>-0.25407990000000003</v>
      </c>
      <c r="U4115">
        <v>-7.7011109999999994E-2</v>
      </c>
      <c r="V4115">
        <v>4.5199169999999997E-2</v>
      </c>
      <c r="W4115">
        <v>-6.919728E-2</v>
      </c>
      <c r="X4115">
        <v>0.99657850000000003</v>
      </c>
      <c r="Y4115">
        <v>1.361456E-3</v>
      </c>
      <c r="Z4115">
        <v>2.212955E-3</v>
      </c>
      <c r="AA4115">
        <v>0.99999660000000001</v>
      </c>
      <c r="AB4115">
        <v>32</v>
      </c>
      <c r="AC4115">
        <v>-12.8101</v>
      </c>
      <c r="AD4115">
        <v>-1.1169226028829999</v>
      </c>
      <c r="AE4115">
        <v>-0.331600000000008</v>
      </c>
      <c r="AF4115">
        <v>1.6690656687368001E-2</v>
      </c>
      <c r="AG4115">
        <v>-1.1169226028829999</v>
      </c>
      <c r="AH4115">
        <v>12.7177614838374</v>
      </c>
      <c r="AI4115">
        <v>95.019053254977194</v>
      </c>
      <c r="AJ4115">
        <v>89.924805663507001</v>
      </c>
      <c r="AK4115">
        <v>12.7667243973789</v>
      </c>
      <c r="AL4115">
        <v>93.967883078035101</v>
      </c>
      <c r="AM4115">
        <v>87.403166768786207</v>
      </c>
      <c r="AN4115">
        <v>0.99999996759516796</v>
      </c>
    </row>
    <row r="4116" spans="1:40" x14ac:dyDescent="0.25">
      <c r="A4116" t="str">
        <f>"20190303154555386"</f>
        <v>20190303154555386</v>
      </c>
      <c r="B4116" t="str">
        <f>"1551599155375046"</f>
        <v>1551599155375046</v>
      </c>
      <c r="C4116" t="s">
        <v>40</v>
      </c>
      <c r="D4116">
        <v>5.2520429999999996</v>
      </c>
      <c r="E4116">
        <v>0.48176530000000001</v>
      </c>
      <c r="F4116" t="s">
        <v>42</v>
      </c>
      <c r="G4116">
        <v>-225.16669999999999</v>
      </c>
      <c r="H4116">
        <v>1.03031299999999</v>
      </c>
      <c r="I4116">
        <v>141.15190000000001</v>
      </c>
      <c r="J4116">
        <v>-224.51609999999999</v>
      </c>
      <c r="K4116">
        <v>1.1169089999999999</v>
      </c>
      <c r="L4116">
        <v>141.17400000000001</v>
      </c>
      <c r="M4116">
        <v>-0.9997047</v>
      </c>
      <c r="N4116">
        <v>-5.78197E-3</v>
      </c>
      <c r="O4116">
        <v>-2.3602959999999999E-2</v>
      </c>
      <c r="P4116">
        <v>-0.99699040000000005</v>
      </c>
      <c r="Q4116">
        <v>-7.5015960000000007E-2</v>
      </c>
      <c r="R4116">
        <v>1.956316E-2</v>
      </c>
      <c r="S4116">
        <v>-2.9909059999999998</v>
      </c>
      <c r="T4116">
        <v>-0.26158710000000002</v>
      </c>
      <c r="U4116">
        <v>-8.4182740000000006E-2</v>
      </c>
      <c r="V4116">
        <v>4.2582290000000002E-2</v>
      </c>
      <c r="W4116">
        <v>-6.9567820000000002E-2</v>
      </c>
      <c r="X4116">
        <v>0.996668</v>
      </c>
      <c r="Y4116">
        <v>-4.5930579999999997E-3</v>
      </c>
      <c r="Z4116">
        <v>1.709716E-3</v>
      </c>
      <c r="AA4116">
        <v>0.99998799999999999</v>
      </c>
      <c r="AB4116">
        <v>33</v>
      </c>
      <c r="AC4116">
        <v>-0.65059999999999696</v>
      </c>
      <c r="AD4116">
        <v>-8.6596000000000103E-2</v>
      </c>
      <c r="AE4116">
        <v>-2.20999999999946E-2</v>
      </c>
      <c r="AF4116">
        <v>-6.6203492197568301E-3</v>
      </c>
      <c r="AG4116">
        <v>-8.6596000000000103E-2</v>
      </c>
      <c r="AH4116">
        <v>0.63962184881500606</v>
      </c>
      <c r="AI4116">
        <v>97.709772731614706</v>
      </c>
      <c r="AJ4116">
        <v>90.593013708320996</v>
      </c>
      <c r="AK4116">
        <v>0.645491135277099</v>
      </c>
      <c r="AL4116">
        <v>93.989164543247398</v>
      </c>
      <c r="AM4116">
        <v>87.553545816433399</v>
      </c>
      <c r="AN4116">
        <v>1.0000000176125901</v>
      </c>
    </row>
    <row r="4117" spans="1:40" x14ac:dyDescent="0.25">
      <c r="A4117" t="str">
        <f>"20190303154555408"</f>
        <v>20190303154555408</v>
      </c>
      <c r="B4117" t="str">
        <f>"1551599155405302"</f>
        <v>1551599155405302</v>
      </c>
      <c r="C4117" t="s">
        <v>40</v>
      </c>
      <c r="D4117">
        <v>5.255172</v>
      </c>
      <c r="E4117">
        <v>0.48061680000000001</v>
      </c>
      <c r="F4117" t="s">
        <v>42</v>
      </c>
      <c r="G4117">
        <v>-225.4632</v>
      </c>
      <c r="H4117">
        <v>1.0329200000000001</v>
      </c>
      <c r="I4117">
        <v>141.14689999999999</v>
      </c>
      <c r="J4117">
        <v>-224.83160000000001</v>
      </c>
      <c r="K4117">
        <v>1.116889</v>
      </c>
      <c r="L4117">
        <v>141.16970000000001</v>
      </c>
      <c r="M4117">
        <v>-0.99977700000000003</v>
      </c>
      <c r="N4117">
        <v>-5.897823E-3</v>
      </c>
      <c r="O4117">
        <v>-2.0275390000000001E-2</v>
      </c>
      <c r="P4117">
        <v>-0.99692800000000004</v>
      </c>
      <c r="Q4117">
        <v>-7.5730459999999999E-2</v>
      </c>
      <c r="R4117">
        <v>1.9990529999999999E-2</v>
      </c>
      <c r="S4117">
        <v>-2.990799</v>
      </c>
      <c r="T4117">
        <v>-0.26514660000000001</v>
      </c>
      <c r="U4117">
        <v>-8.5968020000000006E-2</v>
      </c>
      <c r="V4117">
        <v>3.9685310000000001E-2</v>
      </c>
      <c r="W4117">
        <v>-7.0146620000000007E-2</v>
      </c>
      <c r="X4117">
        <v>0.99674700000000005</v>
      </c>
      <c r="Y4117">
        <v>-8.4927359999999903E-3</v>
      </c>
      <c r="Z4117">
        <v>1.273288E-3</v>
      </c>
      <c r="AA4117">
        <v>0.99996309999999999</v>
      </c>
      <c r="AB4117">
        <v>33</v>
      </c>
      <c r="AC4117">
        <v>-0.63159999999999095</v>
      </c>
      <c r="AD4117">
        <v>-8.3968999999999905E-2</v>
      </c>
      <c r="AE4117">
        <v>-2.28000000000179E-2</v>
      </c>
      <c r="AF4117">
        <v>-9.8158856707904994E-3</v>
      </c>
      <c r="AG4117">
        <v>-8.3968999999999905E-2</v>
      </c>
      <c r="AH4117">
        <v>0.62097120826241703</v>
      </c>
      <c r="AI4117">
        <v>97.699991832374593</v>
      </c>
      <c r="AJ4117">
        <v>90.905616842485699</v>
      </c>
      <c r="AK4117">
        <v>0.62669959794417296</v>
      </c>
      <c r="AL4117">
        <v>94.022408517330405</v>
      </c>
      <c r="AM4117">
        <v>87.719982682377093</v>
      </c>
      <c r="AN4117">
        <v>1.0000000270681</v>
      </c>
    </row>
    <row r="4118" spans="1:40" x14ac:dyDescent="0.25">
      <c r="A4118" t="str">
        <f>"20190303154555429"</f>
        <v>20190303154555429</v>
      </c>
      <c r="B4118" t="str">
        <f>"1551599155424821"</f>
        <v>1551599155424821</v>
      </c>
      <c r="C4118" t="s">
        <v>40</v>
      </c>
      <c r="D4118">
        <v>5.2653829999999999</v>
      </c>
      <c r="E4118">
        <v>0.47990919999999998</v>
      </c>
      <c r="F4118" t="s">
        <v>42</v>
      </c>
      <c r="G4118">
        <v>-225.7578</v>
      </c>
      <c r="H4118">
        <v>1.031892</v>
      </c>
      <c r="I4118">
        <v>141.14070000000001</v>
      </c>
      <c r="J4118">
        <v>-225.15950000000001</v>
      </c>
      <c r="K4118">
        <v>1.116878</v>
      </c>
      <c r="L4118">
        <v>141.16630000000001</v>
      </c>
      <c r="M4118">
        <v>-0.99984059999999997</v>
      </c>
      <c r="N4118">
        <v>-6.0050590000000001E-3</v>
      </c>
      <c r="O4118">
        <v>-1.6823609999999999E-2</v>
      </c>
      <c r="P4118">
        <v>-0.99683080000000002</v>
      </c>
      <c r="Q4118">
        <v>-7.6898949999999994E-2</v>
      </c>
      <c r="R4118">
        <v>2.0367469999999999E-2</v>
      </c>
      <c r="S4118">
        <v>-2.990265</v>
      </c>
      <c r="T4118">
        <v>-0.27438269999999998</v>
      </c>
      <c r="U4118">
        <v>-9.3719479999999994E-2</v>
      </c>
      <c r="V4118">
        <v>3.6610530000000002E-2</v>
      </c>
      <c r="W4118">
        <v>-7.1186620000000006E-2</v>
      </c>
      <c r="X4118">
        <v>0.99679090000000004</v>
      </c>
      <c r="Y4118">
        <v>-1.4502849999999999E-2</v>
      </c>
      <c r="Z4118">
        <v>7.3165090000000001E-4</v>
      </c>
      <c r="AA4118">
        <v>0.99989459999999997</v>
      </c>
      <c r="AB4118">
        <v>33</v>
      </c>
      <c r="AC4118">
        <v>-0.59829999999999395</v>
      </c>
      <c r="AD4118">
        <v>-8.4986000000000006E-2</v>
      </c>
      <c r="AE4118">
        <v>-2.5599999999997101E-2</v>
      </c>
      <c r="AF4118">
        <v>-1.5224017264968E-2</v>
      </c>
      <c r="AG4118">
        <v>-8.4986000000000006E-2</v>
      </c>
      <c r="AH4118">
        <v>0.58682723344129395</v>
      </c>
      <c r="AI4118">
        <v>98.237713152808496</v>
      </c>
      <c r="AJ4118">
        <v>91.486087004477397</v>
      </c>
      <c r="AK4118">
        <v>0.59314466431558399</v>
      </c>
      <c r="AL4118">
        <v>94.082145656252706</v>
      </c>
      <c r="AM4118">
        <v>87.896563460673207</v>
      </c>
      <c r="AN4118">
        <v>0.99999998204835705</v>
      </c>
    </row>
    <row r="4119" spans="1:40" x14ac:dyDescent="0.25">
      <c r="A4119" t="str">
        <f>"20190303154555455"</f>
        <v>20190303154555455</v>
      </c>
      <c r="B4119" t="str">
        <f>"1551599155445491"</f>
        <v>1551599155445491</v>
      </c>
      <c r="C4119" t="s">
        <v>40</v>
      </c>
      <c r="D4119">
        <v>5.2759090000000004</v>
      </c>
      <c r="E4119">
        <v>0.47944520000000002</v>
      </c>
      <c r="F4119" t="s">
        <v>42</v>
      </c>
      <c r="G4119">
        <v>-226.05410000000001</v>
      </c>
      <c r="H4119">
        <v>1.032079</v>
      </c>
      <c r="I4119">
        <v>141.13720000000001</v>
      </c>
      <c r="J4119">
        <v>-225.52359999999999</v>
      </c>
      <c r="K4119">
        <v>1.116878</v>
      </c>
      <c r="L4119">
        <v>141.16390000000001</v>
      </c>
      <c r="M4119">
        <v>-0.99989660000000002</v>
      </c>
      <c r="N4119">
        <v>-6.1099240000000001E-3</v>
      </c>
      <c r="O4119">
        <v>-1.3015860000000001E-2</v>
      </c>
      <c r="P4119">
        <v>-0.99677850000000001</v>
      </c>
      <c r="Q4119">
        <v>-7.7467830000000001E-2</v>
      </c>
      <c r="R4119">
        <v>2.0767620000000001E-2</v>
      </c>
      <c r="S4119">
        <v>-2.9896850000000001</v>
      </c>
      <c r="T4119">
        <v>-0.28332760000000001</v>
      </c>
      <c r="U4119">
        <v>-9.8052979999999998E-2</v>
      </c>
      <c r="V4119">
        <v>3.3211289999999997E-2</v>
      </c>
      <c r="W4119">
        <v>-7.1625910000000001E-2</v>
      </c>
      <c r="X4119">
        <v>0.9968785</v>
      </c>
      <c r="Y4119">
        <v>-1.9724559999999999E-2</v>
      </c>
      <c r="Z4119">
        <v>1.58257099999999E-4</v>
      </c>
      <c r="AA4119">
        <v>0.99980550000000001</v>
      </c>
      <c r="AB4119">
        <v>33</v>
      </c>
      <c r="AC4119">
        <v>-0.53050000000001696</v>
      </c>
      <c r="AD4119">
        <v>-8.4798999999999805E-2</v>
      </c>
      <c r="AE4119">
        <v>-2.6700000000005199E-2</v>
      </c>
      <c r="AF4119">
        <v>-1.9300783954158601E-2</v>
      </c>
      <c r="AG4119">
        <v>-8.4798999999999805E-2</v>
      </c>
      <c r="AH4119">
        <v>0.51761045707848996</v>
      </c>
      <c r="AI4119">
        <v>99.297644035985797</v>
      </c>
      <c r="AJ4119">
        <v>92.135469527131505</v>
      </c>
      <c r="AK4119">
        <v>0.52486567418649899</v>
      </c>
      <c r="AL4119">
        <v>94.107379450870198</v>
      </c>
      <c r="AM4119">
        <v>88.091880590043303</v>
      </c>
      <c r="AN4119">
        <v>1.0000000022645199</v>
      </c>
    </row>
    <row r="4120" spans="1:40" x14ac:dyDescent="0.25">
      <c r="A4120" t="str">
        <f>"20190303154555488"</f>
        <v>20190303154555488</v>
      </c>
      <c r="B4120" t="str">
        <f>"1551599155485507"</f>
        <v>1551599155485507</v>
      </c>
      <c r="C4120" t="s">
        <v>40</v>
      </c>
      <c r="D4120">
        <v>5.2922269999999996</v>
      </c>
      <c r="E4120">
        <v>0.4790568</v>
      </c>
      <c r="F4120" t="s">
        <v>41</v>
      </c>
      <c r="G4120">
        <v>-237.08529999999999</v>
      </c>
      <c r="H4120" s="1">
        <v>-1.541216E-6</v>
      </c>
      <c r="I4120">
        <v>140.7758</v>
      </c>
      <c r="J4120">
        <v>-226.02109999999999</v>
      </c>
      <c r="K4120">
        <v>1.116906</v>
      </c>
      <c r="L4120">
        <v>141.1627</v>
      </c>
      <c r="M4120">
        <v>-0.99994930000000004</v>
      </c>
      <c r="N4120">
        <v>-6.2321900000000003E-3</v>
      </c>
      <c r="O4120">
        <v>-7.9074899999999997E-3</v>
      </c>
      <c r="P4120">
        <v>-0.99676399999999998</v>
      </c>
      <c r="Q4120">
        <v>-7.7654989999999993E-2</v>
      </c>
      <c r="R4120">
        <v>2.0770859999999999E-2</v>
      </c>
      <c r="S4120">
        <v>-2.9893489999999998</v>
      </c>
      <c r="T4120">
        <v>-0.28877619999999998</v>
      </c>
      <c r="U4120">
        <v>-0.10034179999999999</v>
      </c>
      <c r="V4120">
        <v>2.8127030000000001E-2</v>
      </c>
      <c r="W4120">
        <v>-7.1651140000000002E-2</v>
      </c>
      <c r="X4120">
        <v>0.99703310000000001</v>
      </c>
      <c r="Y4120">
        <v>-2.5548979999999999E-2</v>
      </c>
      <c r="Z4120">
        <v>-5.9796419999999897E-4</v>
      </c>
      <c r="AA4120">
        <v>0.99967340000000005</v>
      </c>
      <c r="AB4120">
        <v>33</v>
      </c>
      <c r="AC4120">
        <v>-11.0642</v>
      </c>
      <c r="AD4120">
        <v>-1.1169075412160001</v>
      </c>
      <c r="AE4120">
        <v>-0.38689999999999702</v>
      </c>
      <c r="AF4120">
        <v>-0.29637959194762697</v>
      </c>
      <c r="AG4120">
        <v>-1.1169075412160001</v>
      </c>
      <c r="AH4120">
        <v>10.955409065502501</v>
      </c>
      <c r="AI4120">
        <v>95.819096348021205</v>
      </c>
      <c r="AJ4120">
        <v>91.549659963939504</v>
      </c>
      <c r="AK4120">
        <v>11.016184053956399</v>
      </c>
      <c r="AL4120">
        <v>94.108828719035003</v>
      </c>
      <c r="AM4120">
        <v>88.384072910110206</v>
      </c>
      <c r="AN4120">
        <v>1.0000000090877601</v>
      </c>
    </row>
    <row r="4121" spans="1:40" x14ac:dyDescent="0.25">
      <c r="A4121" t="str">
        <f>"20190303154555510"</f>
        <v>20190303154555510</v>
      </c>
      <c r="B4121" t="str">
        <f>"1551599155505027"</f>
        <v>1551599155505027</v>
      </c>
      <c r="C4121" t="s">
        <v>40</v>
      </c>
      <c r="D4121">
        <v>5.3214139999999999</v>
      </c>
      <c r="E4121">
        <v>0.4789407</v>
      </c>
      <c r="F4121" t="s">
        <v>42</v>
      </c>
      <c r="G4121">
        <v>-226.94329999999999</v>
      </c>
      <c r="H4121">
        <v>1.0270950000000001</v>
      </c>
      <c r="I4121">
        <v>141.13079999999999</v>
      </c>
      <c r="J4121">
        <v>-226.34819999999999</v>
      </c>
      <c r="K4121">
        <v>1.1169439999999999</v>
      </c>
      <c r="L4121">
        <v>141.16319999999999</v>
      </c>
      <c r="M4121">
        <v>-0.99996929999999995</v>
      </c>
      <c r="N4121">
        <v>-6.3050210000000001E-3</v>
      </c>
      <c r="O4121">
        <v>-4.6398639999999996E-3</v>
      </c>
      <c r="P4121">
        <v>-0.99680480000000005</v>
      </c>
      <c r="Q4121">
        <v>-7.7153680000000002E-2</v>
      </c>
      <c r="R4121">
        <v>2.0677830000000001E-2</v>
      </c>
      <c r="S4121">
        <v>-2.9892430000000001</v>
      </c>
      <c r="T4121">
        <v>-0.29107739999999999</v>
      </c>
      <c r="U4121">
        <v>-0.1035156</v>
      </c>
      <c r="V4121">
        <v>2.4788439999999998E-2</v>
      </c>
      <c r="W4121">
        <v>-7.1049509999999996E-2</v>
      </c>
      <c r="X4121">
        <v>0.99716470000000001</v>
      </c>
      <c r="Y4121">
        <v>-2.9840120000000001E-2</v>
      </c>
      <c r="Z4121">
        <v>-1.121904E-3</v>
      </c>
      <c r="AA4121">
        <v>0.99955400000000005</v>
      </c>
      <c r="AB4121">
        <v>33</v>
      </c>
      <c r="AC4121">
        <v>-0.59510000000000196</v>
      </c>
      <c r="AD4121">
        <v>-8.9848999999999998E-2</v>
      </c>
      <c r="AE4121">
        <v>-3.2399999999995502E-2</v>
      </c>
      <c r="AF4121">
        <v>-2.8979761197611399E-2</v>
      </c>
      <c r="AG4121">
        <v>-8.9848999999999998E-2</v>
      </c>
      <c r="AH4121">
        <v>0.58201587373759001</v>
      </c>
      <c r="AI4121">
        <v>98.765098996210298</v>
      </c>
      <c r="AJ4121">
        <v>92.850519933314104</v>
      </c>
      <c r="AK4121">
        <v>0.58962288510759198</v>
      </c>
      <c r="AL4121">
        <v>94.074269941703406</v>
      </c>
      <c r="AM4121">
        <v>88.575981940608699</v>
      </c>
      <c r="AN4121">
        <v>0.99999996927748103</v>
      </c>
    </row>
    <row r="4122" spans="1:40" x14ac:dyDescent="0.25">
      <c r="A4122" t="str">
        <f>"20190303154555534"</f>
        <v>20190303154555534</v>
      </c>
      <c r="B4122" t="str">
        <f>"1551599155525523"</f>
        <v>1551599155525523</v>
      </c>
      <c r="C4122" t="s">
        <v>40</v>
      </c>
      <c r="D4122">
        <v>5.3390190000000004</v>
      </c>
      <c r="E4122">
        <v>0.478653</v>
      </c>
      <c r="F4122" t="s">
        <v>41</v>
      </c>
      <c r="G4122">
        <v>-237.84549999999999</v>
      </c>
      <c r="H4122" s="1">
        <v>-1.210934E-6</v>
      </c>
      <c r="I4122">
        <v>140.76</v>
      </c>
      <c r="J4122">
        <v>-226.69280000000001</v>
      </c>
      <c r="K4122">
        <v>1.1170009999999999</v>
      </c>
      <c r="L4122">
        <v>141.16480000000001</v>
      </c>
      <c r="M4122">
        <v>-0.9999787</v>
      </c>
      <c r="N4122">
        <v>-6.3938479999999997E-3</v>
      </c>
      <c r="O4122">
        <v>-1.29999E-3</v>
      </c>
      <c r="P4122">
        <v>-0.99684249999999996</v>
      </c>
      <c r="Q4122">
        <v>-7.6624040000000004E-2</v>
      </c>
      <c r="R4122">
        <v>2.0827310000000002E-2</v>
      </c>
      <c r="S4122">
        <v>-2.9893040000000002</v>
      </c>
      <c r="T4122">
        <v>-0.29040680000000002</v>
      </c>
      <c r="U4122">
        <v>-0.10481260000000001</v>
      </c>
      <c r="V4122">
        <v>2.1623079999999999E-2</v>
      </c>
      <c r="W4122">
        <v>-7.0404540000000002E-2</v>
      </c>
      <c r="X4122">
        <v>0.99728410000000001</v>
      </c>
      <c r="Y4122">
        <v>-3.3578759999999999E-2</v>
      </c>
      <c r="Z4122">
        <v>-1.6167250000000001E-3</v>
      </c>
      <c r="AA4122">
        <v>0.99943479999999996</v>
      </c>
      <c r="AB4122">
        <v>33</v>
      </c>
      <c r="AC4122">
        <v>-11.1526999999999</v>
      </c>
      <c r="AD4122">
        <v>-1.1170022109340001</v>
      </c>
      <c r="AE4122">
        <v>-0.40480000000002198</v>
      </c>
      <c r="AF4122">
        <v>-0.386429752149068</v>
      </c>
      <c r="AG4122">
        <v>-1.1170022109340001</v>
      </c>
      <c r="AH4122">
        <v>11.0425933372846</v>
      </c>
      <c r="AI4122">
        <v>95.772539299536604</v>
      </c>
      <c r="AJ4122">
        <v>92.004217837746197</v>
      </c>
      <c r="AK4122">
        <v>11.1056692506674</v>
      </c>
      <c r="AL4122">
        <v>94.037223116232497</v>
      </c>
      <c r="AM4122">
        <v>88.757909468057505</v>
      </c>
      <c r="AN4122">
        <v>0.99999996647705303</v>
      </c>
    </row>
    <row r="4123" spans="1:40" x14ac:dyDescent="0.25">
      <c r="A4123" t="str">
        <f>"20190303154555553"</f>
        <v>20190303154555553</v>
      </c>
      <c r="B4123" t="str">
        <f>"1551599155545043"</f>
        <v>1551599155545043</v>
      </c>
      <c r="C4123" t="s">
        <v>40</v>
      </c>
      <c r="D4123">
        <v>5.3373670000000004</v>
      </c>
      <c r="E4123">
        <v>0.4785065</v>
      </c>
      <c r="F4123" t="s">
        <v>41</v>
      </c>
      <c r="G4123">
        <v>-238.19319999999999</v>
      </c>
      <c r="H4123" s="1">
        <v>-1.0603299999999901E-6</v>
      </c>
      <c r="I4123">
        <v>140.75460000000001</v>
      </c>
      <c r="J4123">
        <v>-227.00229999999999</v>
      </c>
      <c r="K4123">
        <v>1.1171070000000001</v>
      </c>
      <c r="L4123">
        <v>141.1671</v>
      </c>
      <c r="M4123">
        <v>-0.99997749999999996</v>
      </c>
      <c r="N4123">
        <v>-6.5206049999999996E-3</v>
      </c>
      <c r="O4123">
        <v>1.56082799999999E-3</v>
      </c>
      <c r="P4123">
        <v>-0.99685849999999998</v>
      </c>
      <c r="Q4123">
        <v>-7.6348830000000006E-2</v>
      </c>
      <c r="R4123">
        <v>2.1072730000000001E-2</v>
      </c>
      <c r="S4123">
        <v>-2.9894259999999999</v>
      </c>
      <c r="T4123">
        <v>-0.29035680000000003</v>
      </c>
      <c r="U4123">
        <v>-0.10661320000000001</v>
      </c>
      <c r="V4123">
        <v>1.9032540000000001E-2</v>
      </c>
      <c r="W4123">
        <v>-6.9980390000000003E-2</v>
      </c>
      <c r="X4123">
        <v>0.9973668</v>
      </c>
      <c r="Y4123">
        <v>-3.7008529999999998E-2</v>
      </c>
      <c r="Z4123">
        <v>-2.0545419999999999E-3</v>
      </c>
      <c r="AA4123">
        <v>0.9993128</v>
      </c>
      <c r="AB4123">
        <v>33</v>
      </c>
      <c r="AC4123">
        <v>-11.190899999999999</v>
      </c>
      <c r="AD4123">
        <v>-1.1171080603299901</v>
      </c>
      <c r="AE4123">
        <v>-0.41249999999999398</v>
      </c>
      <c r="AF4123">
        <v>-0.42573045704066698</v>
      </c>
      <c r="AG4123">
        <v>-1.1171080603299901</v>
      </c>
      <c r="AH4123">
        <v>11.0799845839746</v>
      </c>
      <c r="AI4123">
        <v>95.753012974096706</v>
      </c>
      <c r="AJ4123">
        <v>92.200415063905893</v>
      </c>
      <c r="AK4123">
        <v>11.144291598016499</v>
      </c>
      <c r="AL4123">
        <v>94.012860832824998</v>
      </c>
      <c r="AM4123">
        <v>88.906769428568794</v>
      </c>
      <c r="AN4123">
        <v>1.0000000131528199</v>
      </c>
    </row>
    <row r="4124" spans="1:40" x14ac:dyDescent="0.25">
      <c r="A4124" t="str">
        <f>"20190303154555576"</f>
        <v>20190303154555576</v>
      </c>
      <c r="B4124" t="str">
        <f>"1551599155565539"</f>
        <v>1551599155565539</v>
      </c>
      <c r="C4124" t="s">
        <v>40</v>
      </c>
      <c r="D4124">
        <v>5.3311599999999997</v>
      </c>
      <c r="E4124">
        <v>0.47827190000000003</v>
      </c>
      <c r="F4124" t="s">
        <v>41</v>
      </c>
      <c r="G4124">
        <v>-238.45660000000001</v>
      </c>
      <c r="H4124" s="1">
        <v>-9.4781829999999995E-7</v>
      </c>
      <c r="I4124">
        <v>140.75649999999999</v>
      </c>
      <c r="J4124">
        <v>-227.3322</v>
      </c>
      <c r="K4124">
        <v>1.117265</v>
      </c>
      <c r="L4124">
        <v>141.1704</v>
      </c>
      <c r="M4124">
        <v>-0.99996750000000001</v>
      </c>
      <c r="N4124">
        <v>-6.7352530000000001E-3</v>
      </c>
      <c r="O4124">
        <v>4.4329729999999998E-3</v>
      </c>
      <c r="P4124">
        <v>-0.99690809999999996</v>
      </c>
      <c r="Q4124">
        <v>-7.5574820000000001E-2</v>
      </c>
      <c r="R4124">
        <v>2.1515800000000002E-2</v>
      </c>
      <c r="S4124">
        <v>-2.9894099999999999</v>
      </c>
      <c r="T4124">
        <v>-0.29155049999999999</v>
      </c>
      <c r="U4124">
        <v>-0.10716249999999999</v>
      </c>
      <c r="V4124">
        <v>1.663744E-2</v>
      </c>
      <c r="W4124">
        <v>-6.8970420000000005E-2</v>
      </c>
      <c r="X4124">
        <v>0.99748000000000003</v>
      </c>
      <c r="Y4124">
        <v>-4.0033140000000002E-2</v>
      </c>
      <c r="Z4124">
        <v>-2.4835360000000002E-3</v>
      </c>
      <c r="AA4124">
        <v>0.99919530000000001</v>
      </c>
      <c r="AB4124">
        <v>33</v>
      </c>
      <c r="AC4124">
        <v>-11.1244</v>
      </c>
      <c r="AD4124">
        <v>-1.1172659478183</v>
      </c>
      <c r="AE4124">
        <v>-0.41390000000001198</v>
      </c>
      <c r="AF4124">
        <v>-0.458591817319353</v>
      </c>
      <c r="AG4124">
        <v>-1.1172659478183</v>
      </c>
      <c r="AH4124">
        <v>11.0115365543585</v>
      </c>
      <c r="AI4124">
        <v>95.788603611969194</v>
      </c>
      <c r="AJ4124">
        <v>92.384789840961304</v>
      </c>
      <c r="AK4124">
        <v>11.077568638516301</v>
      </c>
      <c r="AL4124">
        <v>93.954853554081097</v>
      </c>
      <c r="AM4124">
        <v>89.044425243003204</v>
      </c>
      <c r="AN4124">
        <v>1.00000003682236</v>
      </c>
    </row>
    <row r="4125" spans="1:40" x14ac:dyDescent="0.25">
      <c r="A4125" t="str">
        <f>"20190303154555599"</f>
        <v>20190303154555599</v>
      </c>
      <c r="B4125" t="str">
        <f>"1551599155595794"</f>
        <v>1551599155595794</v>
      </c>
      <c r="C4125" t="s">
        <v>40</v>
      </c>
      <c r="D4125">
        <v>5.3525589999999896</v>
      </c>
      <c r="E4125">
        <v>0.47790729999999998</v>
      </c>
      <c r="F4125" t="s">
        <v>41</v>
      </c>
      <c r="G4125">
        <v>-238.79220000000001</v>
      </c>
      <c r="H4125" s="1">
        <v>-8.0415790000000003E-7</v>
      </c>
      <c r="I4125">
        <v>140.7576</v>
      </c>
      <c r="J4125">
        <v>-227.67920000000001</v>
      </c>
      <c r="K4125">
        <v>1.117486</v>
      </c>
      <c r="L4125">
        <v>141.1746</v>
      </c>
      <c r="M4125">
        <v>-0.99994899999999998</v>
      </c>
      <c r="N4125">
        <v>-7.0673269999999896E-3</v>
      </c>
      <c r="O4125">
        <v>7.2332759999999899E-3</v>
      </c>
      <c r="P4125">
        <v>-0.99691790000000002</v>
      </c>
      <c r="Q4125">
        <v>-7.5381920000000005E-2</v>
      </c>
      <c r="R4125">
        <v>2.174061E-2</v>
      </c>
      <c r="S4125">
        <v>-2.9895320000000001</v>
      </c>
      <c r="T4125">
        <v>-0.29145710000000002</v>
      </c>
      <c r="U4125">
        <v>-0.1076508</v>
      </c>
      <c r="V4125">
        <v>1.409798E-2</v>
      </c>
      <c r="W4125">
        <v>-6.8423769999999995E-2</v>
      </c>
      <c r="X4125">
        <v>0.99755669999999996</v>
      </c>
      <c r="Y4125">
        <v>-4.2965969999999999E-2</v>
      </c>
      <c r="Z4125">
        <v>-2.8933919999999998E-3</v>
      </c>
      <c r="AA4125">
        <v>0.99907239999999997</v>
      </c>
      <c r="AB4125">
        <v>33</v>
      </c>
      <c r="AC4125">
        <v>-11.113</v>
      </c>
      <c r="AD4125">
        <v>-1.1174868041579</v>
      </c>
      <c r="AE4125">
        <v>-0.41700000000000098</v>
      </c>
      <c r="AF4125">
        <v>-0.492402480836927</v>
      </c>
      <c r="AG4125">
        <v>-1.1174868041579</v>
      </c>
      <c r="AH4125">
        <v>10.9986349003568</v>
      </c>
      <c r="AI4125">
        <v>95.795710061532901</v>
      </c>
      <c r="AJ4125">
        <v>92.563387004788694</v>
      </c>
      <c r="AK4125">
        <v>11.0662191660904</v>
      </c>
      <c r="AL4125">
        <v>93.923458920816401</v>
      </c>
      <c r="AM4125">
        <v>89.190320727566998</v>
      </c>
      <c r="AN4125">
        <v>0.99999996752799103</v>
      </c>
    </row>
    <row r="4126" spans="1:40" x14ac:dyDescent="0.25">
      <c r="A4126" t="str">
        <f>"20190303154555619"</f>
        <v>20190303154555619</v>
      </c>
      <c r="B4126" t="str">
        <f>"1551599155615314"</f>
        <v>1551599155615314</v>
      </c>
      <c r="C4126" t="s">
        <v>40</v>
      </c>
      <c r="D4126">
        <v>5.3293809999999997</v>
      </c>
      <c r="E4126">
        <v>0.47795359999999998</v>
      </c>
      <c r="F4126" t="s">
        <v>41</v>
      </c>
      <c r="G4126">
        <v>-239.0395</v>
      </c>
      <c r="H4126" s="1">
        <v>-6.978901E-7</v>
      </c>
      <c r="I4126">
        <v>140.75700000000001</v>
      </c>
      <c r="J4126">
        <v>-227.9819</v>
      </c>
      <c r="K4126">
        <v>1.117721</v>
      </c>
      <c r="L4126">
        <v>141.179</v>
      </c>
      <c r="M4126">
        <v>-0.99992740000000002</v>
      </c>
      <c r="N4126">
        <v>-7.4472189999999997E-3</v>
      </c>
      <c r="O4126">
        <v>9.4653159999999997E-3</v>
      </c>
      <c r="P4126">
        <v>-0.99697369999999996</v>
      </c>
      <c r="Q4126">
        <v>-7.4735659999999995E-2</v>
      </c>
      <c r="R4126">
        <v>2.1404309999999999E-2</v>
      </c>
      <c r="S4126">
        <v>-2.9894259999999999</v>
      </c>
      <c r="T4126">
        <v>-0.29406209999999899</v>
      </c>
      <c r="U4126">
        <v>-0.1098785</v>
      </c>
      <c r="V4126">
        <v>1.1566430000000001E-2</v>
      </c>
      <c r="W4126">
        <v>-6.7377649999999997E-2</v>
      </c>
      <c r="X4126">
        <v>0.99766049999999995</v>
      </c>
      <c r="Y4126">
        <v>-4.5911340000000002E-2</v>
      </c>
      <c r="Z4126">
        <v>-3.2816049999999999E-3</v>
      </c>
      <c r="AA4126">
        <v>0.9989401</v>
      </c>
      <c r="AB4126">
        <v>33</v>
      </c>
      <c r="AC4126">
        <v>-11.057600000000001</v>
      </c>
      <c r="AD4126">
        <v>-1.1177216978900999</v>
      </c>
      <c r="AE4126">
        <v>-0.42199999999999599</v>
      </c>
      <c r="AF4126">
        <v>-0.52132874131990004</v>
      </c>
      <c r="AG4126">
        <v>-1.1177216978900999</v>
      </c>
      <c r="AH4126">
        <v>10.9414779396234</v>
      </c>
      <c r="AI4126">
        <v>95.826226800826305</v>
      </c>
      <c r="AJ4126">
        <v>92.727909663361402</v>
      </c>
      <c r="AK4126">
        <v>11.010768590508301</v>
      </c>
      <c r="AL4126">
        <v>93.863381870712402</v>
      </c>
      <c r="AM4126">
        <v>89.335768095647197</v>
      </c>
      <c r="AN4126">
        <v>1.0000000016413499</v>
      </c>
    </row>
    <row r="4127" spans="1:40" x14ac:dyDescent="0.25">
      <c r="A4127" t="str">
        <f>"20190303154555643"</f>
        <v>20190303154555643</v>
      </c>
      <c r="B4127" t="str">
        <f>"1551599155635811"</f>
        <v>1551599155635811</v>
      </c>
      <c r="C4127" t="s">
        <v>40</v>
      </c>
      <c r="D4127">
        <v>5.3274679999999996</v>
      </c>
      <c r="E4127">
        <v>0.4975617</v>
      </c>
      <c r="F4127" t="s">
        <v>41</v>
      </c>
      <c r="G4127">
        <v>-239.4385</v>
      </c>
      <c r="H4127" s="1">
        <v>-5.2629799999999999E-7</v>
      </c>
      <c r="I4127">
        <v>140.75530000000001</v>
      </c>
      <c r="J4127">
        <v>-228.33189999999999</v>
      </c>
      <c r="K4127">
        <v>1.1180270000000001</v>
      </c>
      <c r="L4127">
        <v>141.18459999999999</v>
      </c>
      <c r="M4127">
        <v>-0.99989890000000003</v>
      </c>
      <c r="N4127">
        <v>-7.9719100000000005E-3</v>
      </c>
      <c r="O4127">
        <v>1.1781929999999999E-2</v>
      </c>
      <c r="P4127">
        <v>-0.99719080000000004</v>
      </c>
      <c r="Q4127">
        <v>-7.2098640000000006E-2</v>
      </c>
      <c r="R4127">
        <v>2.0306009999999999E-2</v>
      </c>
      <c r="S4127">
        <v>-2.9896240000000001</v>
      </c>
      <c r="T4127">
        <v>-0.29167290000000001</v>
      </c>
      <c r="U4127">
        <v>-0.1105347</v>
      </c>
      <c r="V4127">
        <v>8.2046819999999996E-3</v>
      </c>
      <c r="W4127">
        <v>-6.4191269999999995E-2</v>
      </c>
      <c r="X4127">
        <v>0.99790389999999995</v>
      </c>
      <c r="Y4127">
        <v>-4.8423609999999999E-2</v>
      </c>
      <c r="Z4127">
        <v>-3.6020399999999999E-3</v>
      </c>
      <c r="AA4127">
        <v>0.99882040000000005</v>
      </c>
      <c r="AB4127">
        <v>33</v>
      </c>
      <c r="AC4127">
        <v>-11.1066</v>
      </c>
      <c r="AD4127">
        <v>-1.118027526298</v>
      </c>
      <c r="AE4127">
        <v>-0.42929999999998297</v>
      </c>
      <c r="AF4127">
        <v>-0.554520892823543</v>
      </c>
      <c r="AG4127">
        <v>-1.118027526298</v>
      </c>
      <c r="AH4127">
        <v>10.9895784313004</v>
      </c>
      <c r="AI4127">
        <v>95.8016836765525</v>
      </c>
      <c r="AJ4127">
        <v>92.888626127422299</v>
      </c>
      <c r="AK4127">
        <v>11.0602130661141</v>
      </c>
      <c r="AL4127">
        <v>93.680419294915694</v>
      </c>
      <c r="AM4127">
        <v>89.528929530674205</v>
      </c>
      <c r="AN4127">
        <v>1.0000000147930701</v>
      </c>
    </row>
    <row r="4128" spans="1:40" x14ac:dyDescent="0.25">
      <c r="A4128" t="str">
        <f>"20190303154555666"</f>
        <v>20190303154555666</v>
      </c>
      <c r="B4128" t="str">
        <f>"1551599155655331"</f>
        <v>1551599155655331</v>
      </c>
      <c r="C4128" t="s">
        <v>40</v>
      </c>
      <c r="D4128">
        <v>5.3499949999999998</v>
      </c>
      <c r="E4128">
        <v>0.4986989</v>
      </c>
      <c r="F4128" t="s">
        <v>41</v>
      </c>
      <c r="G4128">
        <v>-245.79470000000001</v>
      </c>
      <c r="H4128" s="1">
        <v>-2.26726E-6</v>
      </c>
      <c r="I4128">
        <v>141.42359999999999</v>
      </c>
      <c r="J4128">
        <v>-228.68190000000001</v>
      </c>
      <c r="K4128">
        <v>1.1183510000000001</v>
      </c>
      <c r="L4128">
        <v>141.1909</v>
      </c>
      <c r="M4128">
        <v>-0.99986819999999998</v>
      </c>
      <c r="N4128">
        <v>-8.5653320000000002E-3</v>
      </c>
      <c r="O4128">
        <v>1.3791589999999999E-2</v>
      </c>
      <c r="P4128">
        <v>-0.99737629999999999</v>
      </c>
      <c r="Q4128">
        <v>-7.0027599999999995E-2</v>
      </c>
      <c r="R4128">
        <v>1.8357060000000001E-2</v>
      </c>
      <c r="S4128">
        <v>-2.9937589999999998</v>
      </c>
      <c r="T4128">
        <v>-0.1916707</v>
      </c>
      <c r="U4128">
        <v>4.0985109999999998E-2</v>
      </c>
      <c r="V4128">
        <v>4.2949169999999997E-3</v>
      </c>
      <c r="W4128">
        <v>-6.1502859999999999E-2</v>
      </c>
      <c r="X4128">
        <v>0.99809769999999998</v>
      </c>
      <c r="Y4128" s="1">
        <v>-8.1836100000000001E-5</v>
      </c>
      <c r="Z4128">
        <v>-7.6693919999999997E-4</v>
      </c>
      <c r="AA4128">
        <v>0.99999970000000005</v>
      </c>
      <c r="AB4128">
        <v>33</v>
      </c>
      <c r="AC4128">
        <v>-17.112799999999901</v>
      </c>
      <c r="AD4128">
        <v>-1.1183532672600001</v>
      </c>
      <c r="AE4128">
        <v>0.23269999999999399</v>
      </c>
      <c r="AF4128">
        <v>-3.3292975263492699E-3</v>
      </c>
      <c r="AG4128">
        <v>-1.1183532672600001</v>
      </c>
      <c r="AH4128">
        <v>17.0416127517448</v>
      </c>
      <c r="AI4128">
        <v>93.754643054531201</v>
      </c>
      <c r="AJ4128">
        <v>90.011193464923494</v>
      </c>
      <c r="AK4128">
        <v>17.078269534558999</v>
      </c>
      <c r="AL4128">
        <v>93.526079534254507</v>
      </c>
      <c r="AM4128">
        <v>89.753451892926506</v>
      </c>
      <c r="AN4128">
        <v>1.0000000334227499</v>
      </c>
    </row>
    <row r="4129" spans="1:40" x14ac:dyDescent="0.25">
      <c r="A4129" t="str">
        <f>"20190303154555709"</f>
        <v>20190303154555709</v>
      </c>
      <c r="B4129" t="str">
        <f>"1551599155705106"</f>
        <v>1551599155705106</v>
      </c>
      <c r="C4129" t="s">
        <v>40</v>
      </c>
      <c r="D4129">
        <v>5.4524839999999903</v>
      </c>
      <c r="E4129">
        <v>0.49965720000000002</v>
      </c>
      <c r="F4129" t="s">
        <v>41</v>
      </c>
      <c r="G4129">
        <v>-247.5334</v>
      </c>
      <c r="H4129" s="1">
        <v>-1.533263E-6</v>
      </c>
      <c r="I4129">
        <v>141.4683</v>
      </c>
      <c r="J4129">
        <v>-229.3297</v>
      </c>
      <c r="K4129">
        <v>1.1188750000000001</v>
      </c>
      <c r="L4129">
        <v>141.20359999999999</v>
      </c>
      <c r="M4129">
        <v>-0.99981070000000005</v>
      </c>
      <c r="N4129">
        <v>-9.6796309999999993E-3</v>
      </c>
      <c r="O4129">
        <v>1.688607E-2</v>
      </c>
      <c r="P4129">
        <v>-0.99737290000000001</v>
      </c>
      <c r="Q4129">
        <v>-7.1086090000000005E-2</v>
      </c>
      <c r="R4129">
        <v>1.394916E-2</v>
      </c>
      <c r="S4129">
        <v>-2.9946139999999999</v>
      </c>
      <c r="T4129">
        <v>-0.17765329999999999</v>
      </c>
      <c r="U4129">
        <v>4.4082639999999999E-2</v>
      </c>
      <c r="V4129">
        <v>-3.1462399999999998E-3</v>
      </c>
      <c r="W4129">
        <v>-6.1415310000000001E-2</v>
      </c>
      <c r="X4129">
        <v>0.99810730000000003</v>
      </c>
      <c r="Y4129">
        <v>-2.14291E-3</v>
      </c>
      <c r="Z4129">
        <v>-9.1130330000000002E-4</v>
      </c>
      <c r="AA4129">
        <v>0.99999729999999998</v>
      </c>
      <c r="AB4129">
        <v>33</v>
      </c>
      <c r="AC4129">
        <v>-18.203700000000001</v>
      </c>
      <c r="AD4129">
        <v>-1.118876533263</v>
      </c>
      <c r="AE4129">
        <v>0.26470000000000399</v>
      </c>
      <c r="AF4129">
        <v>-4.25802289366412E-2</v>
      </c>
      <c r="AG4129">
        <v>-1.118876533263</v>
      </c>
      <c r="AH4129">
        <v>18.137069540471401</v>
      </c>
      <c r="AI4129">
        <v>93.530095595423205</v>
      </c>
      <c r="AJ4129">
        <v>90.134512519850105</v>
      </c>
      <c r="AK4129">
        <v>18.171598424147501</v>
      </c>
      <c r="AL4129">
        <v>93.521054044582698</v>
      </c>
      <c r="AM4129">
        <v>90.180607512110797</v>
      </c>
      <c r="AN4129">
        <v>0.99999996072091102</v>
      </c>
    </row>
    <row r="4130" spans="1:40" x14ac:dyDescent="0.25">
      <c r="A4130" t="str">
        <f>"20190303154555731"</f>
        <v>20190303154555731</v>
      </c>
      <c r="B4130" t="str">
        <f>"1551599155725603"</f>
        <v>1551599155725603</v>
      </c>
      <c r="C4130" t="s">
        <v>40</v>
      </c>
      <c r="D4130">
        <v>5.3289150000000003</v>
      </c>
      <c r="E4130">
        <v>0.50027809999999995</v>
      </c>
      <c r="F4130" t="s">
        <v>41</v>
      </c>
      <c r="G4130">
        <v>-247.76410000000001</v>
      </c>
      <c r="H4130" s="1">
        <v>-1.427174E-6</v>
      </c>
      <c r="I4130">
        <v>141.44159999999999</v>
      </c>
      <c r="J4130">
        <v>-229.66059999999999</v>
      </c>
      <c r="K4130">
        <v>1.1191279999999999</v>
      </c>
      <c r="L4130">
        <v>141.2106</v>
      </c>
      <c r="M4130">
        <v>-0.99978299999999998</v>
      </c>
      <c r="N4130">
        <v>-1.0228040000000001E-2</v>
      </c>
      <c r="O4130">
        <v>1.815365E-2</v>
      </c>
      <c r="P4130">
        <v>-0.99728609999999895</v>
      </c>
      <c r="Q4130">
        <v>-7.2676959999999999E-2</v>
      </c>
      <c r="R4130">
        <v>1.177958E-2</v>
      </c>
      <c r="S4130">
        <v>-2.994415</v>
      </c>
      <c r="T4130">
        <v>-0.18174660000000001</v>
      </c>
      <c r="U4130">
        <v>3.8665770000000002E-2</v>
      </c>
      <c r="V4130">
        <v>-6.5553900000000003E-3</v>
      </c>
      <c r="W4130">
        <v>-6.2448869999999997E-2</v>
      </c>
      <c r="X4130">
        <v>0.99802659999999999</v>
      </c>
      <c r="Y4130">
        <v>-5.2093670000000003E-3</v>
      </c>
      <c r="Z4130">
        <v>-1.099769E-3</v>
      </c>
      <c r="AA4130">
        <v>0.99998580000000004</v>
      </c>
      <c r="AB4130">
        <v>33</v>
      </c>
      <c r="AC4130">
        <v>-18.1035</v>
      </c>
      <c r="AD4130">
        <v>-1.119129427174</v>
      </c>
      <c r="AE4130">
        <v>0.23099999999999399</v>
      </c>
      <c r="AF4130">
        <v>-9.7327950089672793E-2</v>
      </c>
      <c r="AG4130">
        <v>-1.119129427174</v>
      </c>
      <c r="AH4130">
        <v>18.035797260386499</v>
      </c>
      <c r="AI4130">
        <v>93.550625286094302</v>
      </c>
      <c r="AJ4130">
        <v>90.309186589234898</v>
      </c>
      <c r="AK4130">
        <v>18.070747251356298</v>
      </c>
      <c r="AL4130">
        <v>93.580386559020496</v>
      </c>
      <c r="AM4130">
        <v>90.3763334351232</v>
      </c>
      <c r="AN4130">
        <v>0.99999996440494299</v>
      </c>
    </row>
    <row r="4131" spans="1:40" x14ac:dyDescent="0.25">
      <c r="A4131" t="str">
        <f>"20190303154555753"</f>
        <v>20190303154555753</v>
      </c>
      <c r="B4131" t="str">
        <f>"1551599155745123"</f>
        <v>1551599155745123</v>
      </c>
      <c r="C4131" t="s">
        <v>40</v>
      </c>
      <c r="D4131">
        <v>5.3211309999999896</v>
      </c>
      <c r="E4131">
        <v>0.50076229999999999</v>
      </c>
      <c r="F4131" t="s">
        <v>41</v>
      </c>
      <c r="G4131">
        <v>-247.8186</v>
      </c>
      <c r="H4131" s="1">
        <v>-1.402073E-6</v>
      </c>
      <c r="I4131">
        <v>141.43510000000001</v>
      </c>
      <c r="J4131">
        <v>-229.9906</v>
      </c>
      <c r="K4131">
        <v>1.119362</v>
      </c>
      <c r="L4131">
        <v>141.21789999999999</v>
      </c>
      <c r="M4131">
        <v>-0.99975760000000002</v>
      </c>
      <c r="N4131">
        <v>-1.073708E-2</v>
      </c>
      <c r="O4131">
        <v>1.9224350000000001E-2</v>
      </c>
      <c r="P4131">
        <v>-0.99724230000000003</v>
      </c>
      <c r="Q4131">
        <v>-7.3670949999999999E-2</v>
      </c>
      <c r="R4131">
        <v>8.98854199999999E-3</v>
      </c>
      <c r="S4131">
        <v>-2.994278</v>
      </c>
      <c r="T4131">
        <v>-0.1845464</v>
      </c>
      <c r="U4131">
        <v>3.701782E-2</v>
      </c>
      <c r="V4131">
        <v>-1.038789E-2</v>
      </c>
      <c r="W4131">
        <v>-6.2926289999999996E-2</v>
      </c>
      <c r="X4131">
        <v>0.99796410000000002</v>
      </c>
      <c r="Y4131">
        <v>-6.8242900000000002E-3</v>
      </c>
      <c r="Z4131">
        <v>-1.2241039999999999E-3</v>
      </c>
      <c r="AA4131">
        <v>0.99997599999999998</v>
      </c>
      <c r="AB4131">
        <v>33</v>
      </c>
      <c r="AC4131">
        <v>-17.827999999999999</v>
      </c>
      <c r="AD4131">
        <v>-1.1193634020729999</v>
      </c>
      <c r="AE4131">
        <v>0.21720000000001899</v>
      </c>
      <c r="AF4131">
        <v>-0.125098504993571</v>
      </c>
      <c r="AG4131">
        <v>-1.1193634020729999</v>
      </c>
      <c r="AH4131">
        <v>17.758882285732401</v>
      </c>
      <c r="AI4131">
        <v>93.606560384229496</v>
      </c>
      <c r="AJ4131">
        <v>90.403600727283006</v>
      </c>
      <c r="AK4131">
        <v>17.794564453797399</v>
      </c>
      <c r="AL4131">
        <v>93.607794541074796</v>
      </c>
      <c r="AM4131">
        <v>90.596374920345994</v>
      </c>
      <c r="AN4131">
        <v>0.999999985560313</v>
      </c>
    </row>
    <row r="4132" spans="1:40" x14ac:dyDescent="0.25">
      <c r="A4132" t="str">
        <f>"20190303154555776"</f>
        <v>20190303154555776</v>
      </c>
      <c r="B4132" t="str">
        <f>"1551599155765619"</f>
        <v>1551599155765619</v>
      </c>
      <c r="C4132" t="s">
        <v>40</v>
      </c>
      <c r="D4132">
        <v>5.3070539999999999</v>
      </c>
      <c r="E4132">
        <v>0.50108799999999998</v>
      </c>
      <c r="F4132" t="s">
        <v>41</v>
      </c>
      <c r="G4132">
        <v>-248.11150000000001</v>
      </c>
      <c r="H4132" s="1">
        <v>-1.2709180000000001E-6</v>
      </c>
      <c r="I4132">
        <v>141.4144</v>
      </c>
      <c r="J4132">
        <v>-230.31890000000001</v>
      </c>
      <c r="K4132">
        <v>1.119599</v>
      </c>
      <c r="L4132">
        <v>141.2253</v>
      </c>
      <c r="M4132">
        <v>-0.9997357</v>
      </c>
      <c r="N4132">
        <v>-1.119798E-2</v>
      </c>
      <c r="O4132">
        <v>2.0078809999999999E-2</v>
      </c>
      <c r="P4132">
        <v>-0.9972799</v>
      </c>
      <c r="Q4132">
        <v>-7.3397710000000005E-2</v>
      </c>
      <c r="R4132">
        <v>6.7450069999999999E-3</v>
      </c>
      <c r="S4132">
        <v>-2.9943240000000002</v>
      </c>
      <c r="T4132">
        <v>-0.18496480000000001</v>
      </c>
      <c r="U4132">
        <v>3.2485960000000001E-2</v>
      </c>
      <c r="V4132">
        <v>-1.3451609999999999E-2</v>
      </c>
      <c r="W4132">
        <v>-6.218978E-2</v>
      </c>
      <c r="X4132">
        <v>0.99797369999999996</v>
      </c>
      <c r="Y4132">
        <v>-9.1862049999999994E-3</v>
      </c>
      <c r="Z4132">
        <v>-1.3492459999999999E-3</v>
      </c>
      <c r="AA4132">
        <v>0.99995690000000004</v>
      </c>
      <c r="AB4132">
        <v>33</v>
      </c>
      <c r="AC4132">
        <v>-17.792599999999901</v>
      </c>
      <c r="AD4132">
        <v>-1.119600270918</v>
      </c>
      <c r="AE4132">
        <v>0.18909999999999599</v>
      </c>
      <c r="AF4132">
        <v>-0.16755140367844701</v>
      </c>
      <c r="AG4132">
        <v>-1.119600270918</v>
      </c>
      <c r="AH4132">
        <v>17.722643726782501</v>
      </c>
      <c r="AI4132">
        <v>93.614606466540593</v>
      </c>
      <c r="AJ4132">
        <v>90.541663107985002</v>
      </c>
      <c r="AK4132">
        <v>17.758763439664801</v>
      </c>
      <c r="AL4132">
        <v>93.565512720839493</v>
      </c>
      <c r="AM4132">
        <v>90.772238597635194</v>
      </c>
      <c r="AN4132">
        <v>1.0000000102198601</v>
      </c>
    </row>
    <row r="4133" spans="1:40" x14ac:dyDescent="0.25">
      <c r="A4133" t="str">
        <f>"20190303154555796"</f>
        <v>20190303154555796</v>
      </c>
      <c r="B4133" t="str">
        <f>"1551599155785139"</f>
        <v>1551599155785139</v>
      </c>
      <c r="C4133" t="s">
        <v>40</v>
      </c>
      <c r="D4133">
        <v>5.3022150000000003</v>
      </c>
      <c r="E4133">
        <v>0.50126850000000001</v>
      </c>
      <c r="F4133" t="s">
        <v>41</v>
      </c>
      <c r="G4133">
        <v>-248.37110000000001</v>
      </c>
      <c r="H4133" s="1">
        <v>-1.1546429999999901E-6</v>
      </c>
      <c r="I4133">
        <v>141.39590000000001</v>
      </c>
      <c r="J4133">
        <v>-230.63630000000001</v>
      </c>
      <c r="K4133">
        <v>1.119829</v>
      </c>
      <c r="L4133">
        <v>141.23249999999999</v>
      </c>
      <c r="M4133">
        <v>-0.99971840000000001</v>
      </c>
      <c r="N4133">
        <v>-1.15995E-2</v>
      </c>
      <c r="O4133">
        <v>2.0703429999999998E-2</v>
      </c>
      <c r="P4133">
        <v>-0.99731400000000003</v>
      </c>
      <c r="Q4133">
        <v>-7.3117660000000001E-2</v>
      </c>
      <c r="R4133">
        <v>4.3356130000000003E-3</v>
      </c>
      <c r="S4133">
        <v>-2.9943390000000001</v>
      </c>
      <c r="T4133">
        <v>-0.1857094</v>
      </c>
      <c r="U4133">
        <v>2.8320310000000001E-2</v>
      </c>
      <c r="V4133">
        <v>-1.6452129999999999E-2</v>
      </c>
      <c r="W4133">
        <v>-6.1509189999999998E-2</v>
      </c>
      <c r="X4133">
        <v>0.99797089999999999</v>
      </c>
      <c r="Y4133">
        <v>-1.1196579999999999E-2</v>
      </c>
      <c r="Z4133">
        <v>-1.454566E-3</v>
      </c>
      <c r="AA4133">
        <v>0.9999363</v>
      </c>
      <c r="AB4133">
        <v>33</v>
      </c>
      <c r="AC4133">
        <v>-17.7348</v>
      </c>
      <c r="AD4133">
        <v>-1.1198301546430001</v>
      </c>
      <c r="AE4133">
        <v>0.163400000000024</v>
      </c>
      <c r="AF4133">
        <v>-0.20302152240686799</v>
      </c>
      <c r="AG4133">
        <v>-1.1198301546430001</v>
      </c>
      <c r="AH4133">
        <v>17.663960275827201</v>
      </c>
      <c r="AI4133">
        <v>93.627248346007306</v>
      </c>
      <c r="AJ4133">
        <v>90.6585026250726</v>
      </c>
      <c r="AK4133">
        <v>17.700585581833401</v>
      </c>
      <c r="AL4133">
        <v>93.526443074967901</v>
      </c>
      <c r="AM4133">
        <v>90.944468653350398</v>
      </c>
      <c r="AN4133">
        <v>0.99999998514140098</v>
      </c>
    </row>
    <row r="4134" spans="1:40" x14ac:dyDescent="0.25">
      <c r="A4134" t="str">
        <f>"20190303154555823"</f>
        <v>20190303154555823</v>
      </c>
      <c r="B4134" t="str">
        <f>"1551599155815395"</f>
        <v>1551599155815395</v>
      </c>
      <c r="C4134" t="s">
        <v>40</v>
      </c>
      <c r="D4134">
        <v>5.2606840000000004</v>
      </c>
      <c r="E4134">
        <v>0.50155620000000001</v>
      </c>
      <c r="F4134" t="s">
        <v>41</v>
      </c>
      <c r="G4134">
        <v>-248.63570000000001</v>
      </c>
      <c r="H4134" s="1">
        <v>-1.0337139999999999E-6</v>
      </c>
      <c r="I4134">
        <v>141.3681</v>
      </c>
      <c r="J4134">
        <v>-231.00720000000001</v>
      </c>
      <c r="K4134">
        <v>1.120098</v>
      </c>
      <c r="L4134">
        <v>141.24090000000001</v>
      </c>
      <c r="M4134">
        <v>-0.99970320000000001</v>
      </c>
      <c r="N4134">
        <v>-1.2017460000000001E-2</v>
      </c>
      <c r="O4134">
        <v>2.1196130000000001E-2</v>
      </c>
      <c r="P4134">
        <v>-0.9973069</v>
      </c>
      <c r="Q4134">
        <v>-7.3326329999999995E-2</v>
      </c>
      <c r="R4134">
        <v>1.4704099999999999E-3</v>
      </c>
      <c r="S4134">
        <v>-2.9943390000000001</v>
      </c>
      <c r="T4134">
        <v>-0.18629229999999999</v>
      </c>
      <c r="U4134">
        <v>2.2567750000000001E-2</v>
      </c>
      <c r="V4134">
        <v>-1.9771469999999999E-2</v>
      </c>
      <c r="W4134">
        <v>-6.1305810000000002E-2</v>
      </c>
      <c r="X4134">
        <v>0.99792320000000001</v>
      </c>
      <c r="Y4134">
        <v>-1.3604099999999999E-2</v>
      </c>
      <c r="Z4134">
        <v>-1.567386E-3</v>
      </c>
      <c r="AA4134">
        <v>0.99990619999999997</v>
      </c>
      <c r="AB4134">
        <v>33</v>
      </c>
      <c r="AC4134">
        <v>-17.628499999999999</v>
      </c>
      <c r="AD4134">
        <v>-1.120099033714</v>
      </c>
      <c r="AE4134">
        <v>0.12719999999998699</v>
      </c>
      <c r="AF4134">
        <v>-0.245520341855125</v>
      </c>
      <c r="AG4134">
        <v>-1.120099033714</v>
      </c>
      <c r="AH4134">
        <v>17.5563601448398</v>
      </c>
      <c r="AI4134">
        <v>93.650177650878803</v>
      </c>
      <c r="AJ4134">
        <v>90.801211772290401</v>
      </c>
      <c r="AK4134">
        <v>17.593768317757</v>
      </c>
      <c r="AL4134">
        <v>93.514768127256602</v>
      </c>
      <c r="AM4134">
        <v>91.135030826817697</v>
      </c>
      <c r="AN4134">
        <v>1.00000001323197</v>
      </c>
    </row>
    <row r="4135" spans="1:40" x14ac:dyDescent="0.25">
      <c r="A4135" t="str">
        <f>"20190303154555842"</f>
        <v>20190303154555842</v>
      </c>
      <c r="B4135" t="str">
        <f>"1551599155834915"</f>
        <v>1551599155834915</v>
      </c>
      <c r="C4135" t="s">
        <v>40</v>
      </c>
      <c r="D4135">
        <v>5.2457770000000004</v>
      </c>
      <c r="E4135">
        <v>0.50175139999999996</v>
      </c>
      <c r="F4135" t="s">
        <v>41</v>
      </c>
      <c r="G4135">
        <v>-248.88640000000001</v>
      </c>
      <c r="H4135" s="1">
        <v>-9.1824789999999996E-7</v>
      </c>
      <c r="I4135">
        <v>141.3383</v>
      </c>
      <c r="J4135">
        <v>-231.30959999999999</v>
      </c>
      <c r="K4135">
        <v>1.1202939999999999</v>
      </c>
      <c r="L4135">
        <v>141.24770000000001</v>
      </c>
      <c r="M4135">
        <v>-0.99969479999999999</v>
      </c>
      <c r="N4135">
        <v>-1.231636E-2</v>
      </c>
      <c r="O4135">
        <v>2.141713E-2</v>
      </c>
      <c r="P4135">
        <v>-0.99727399999999999</v>
      </c>
      <c r="Q4135">
        <v>-7.3776899999999895E-2</v>
      </c>
      <c r="R4135">
        <v>-1.300629E-3</v>
      </c>
      <c r="S4135">
        <v>-2.9942929999999999</v>
      </c>
      <c r="T4135">
        <v>-0.18758749999999999</v>
      </c>
      <c r="U4135">
        <v>1.6326899999999998E-2</v>
      </c>
      <c r="V4135">
        <v>-2.2735200000000001E-2</v>
      </c>
      <c r="W4135">
        <v>-6.1464270000000001E-2</v>
      </c>
      <c r="X4135">
        <v>0.99785029999999997</v>
      </c>
      <c r="Y4135">
        <v>-1.5902690000000001E-2</v>
      </c>
      <c r="Z4135">
        <v>-1.672425E-3</v>
      </c>
      <c r="AA4135">
        <v>0.99987210000000004</v>
      </c>
      <c r="AB4135">
        <v>33</v>
      </c>
      <c r="AC4135">
        <v>-17.576799999999999</v>
      </c>
      <c r="AD4135">
        <v>-1.1202949182478901</v>
      </c>
      <c r="AE4135">
        <v>9.0599999999994907E-2</v>
      </c>
      <c r="AF4135">
        <v>-0.28473724289514402</v>
      </c>
      <c r="AG4135">
        <v>-1.1202949182478901</v>
      </c>
      <c r="AH4135">
        <v>17.503603138275899</v>
      </c>
      <c r="AI4135">
        <v>93.6616621148831</v>
      </c>
      <c r="AJ4135">
        <v>90.931968311117302</v>
      </c>
      <c r="AK4135">
        <v>17.541729071662399</v>
      </c>
      <c r="AL4135">
        <v>93.5238644753003</v>
      </c>
      <c r="AM4135">
        <v>91.305211482935604</v>
      </c>
      <c r="AN4135">
        <v>0.999999983507881</v>
      </c>
    </row>
    <row r="4136" spans="1:40" x14ac:dyDescent="0.25">
      <c r="A4136" t="str">
        <f>"20190303154555867"</f>
        <v>20190303154555867</v>
      </c>
      <c r="B4136" t="str">
        <f>"1551599155855411"</f>
        <v>1551599155855411</v>
      </c>
      <c r="C4136" t="s">
        <v>40</v>
      </c>
      <c r="D4136">
        <v>5.2507640000000002</v>
      </c>
      <c r="E4136">
        <v>0.50200440000000002</v>
      </c>
      <c r="F4136" t="s">
        <v>41</v>
      </c>
      <c r="G4136">
        <v>-249.0223</v>
      </c>
      <c r="H4136" s="1">
        <v>-8.5087769999999902E-7</v>
      </c>
      <c r="I4136">
        <v>141.30420000000001</v>
      </c>
      <c r="J4136">
        <v>-231.66829999999999</v>
      </c>
      <c r="K4136">
        <v>1.120493</v>
      </c>
      <c r="L4136">
        <v>141.25559999999999</v>
      </c>
      <c r="M4136">
        <v>-0.99968869999999999</v>
      </c>
      <c r="N4136">
        <v>-1.262609E-2</v>
      </c>
      <c r="O4136">
        <v>2.1516810000000001E-2</v>
      </c>
      <c r="P4136">
        <v>-0.99728309999999998</v>
      </c>
      <c r="Q4136">
        <v>-7.3570969999999999E-2</v>
      </c>
      <c r="R4136">
        <v>-3.6605610000000001E-3</v>
      </c>
      <c r="S4136">
        <v>-2.994202</v>
      </c>
      <c r="T4136">
        <v>-0.18937799999999999</v>
      </c>
      <c r="U4136">
        <v>9.5672610000000005E-3</v>
      </c>
      <c r="V4136">
        <v>-2.5167789999999999E-2</v>
      </c>
      <c r="W4136">
        <v>-6.095735E-2</v>
      </c>
      <c r="X4136">
        <v>0.99782300000000002</v>
      </c>
      <c r="Y4136">
        <v>-1.8252609999999999E-2</v>
      </c>
      <c r="Z4136">
        <v>-1.779982E-3</v>
      </c>
      <c r="AA4136">
        <v>0.99983180000000005</v>
      </c>
      <c r="AB4136">
        <v>33</v>
      </c>
      <c r="AC4136">
        <v>-17.353999999999999</v>
      </c>
      <c r="AD4136">
        <v>-1.1204938508777</v>
      </c>
      <c r="AE4136">
        <v>4.8600000000021702E-2</v>
      </c>
      <c r="AF4136">
        <v>-0.32349515902805598</v>
      </c>
      <c r="AG4136">
        <v>-1.1204938508777</v>
      </c>
      <c r="AH4136">
        <v>17.278993927117799</v>
      </c>
      <c r="AI4136">
        <v>93.709625939376295</v>
      </c>
      <c r="AJ4136">
        <v>91.072559102145405</v>
      </c>
      <c r="AK4136">
        <v>17.318307848087901</v>
      </c>
      <c r="AL4136">
        <v>93.494765553516501</v>
      </c>
      <c r="AM4136">
        <v>91.444847902775905</v>
      </c>
      <c r="AN4136">
        <v>0.999999977750753</v>
      </c>
    </row>
    <row r="4137" spans="1:40" x14ac:dyDescent="0.25">
      <c r="A4137" t="str">
        <f>"20190303154555888"</f>
        <v>20190303154555888</v>
      </c>
      <c r="B4137" t="str">
        <f>"1551599155874931"</f>
        <v>1551599155874931</v>
      </c>
      <c r="C4137" t="s">
        <v>40</v>
      </c>
      <c r="D4137">
        <v>5.228364</v>
      </c>
      <c r="E4137">
        <v>0.50219709999999995</v>
      </c>
      <c r="F4137" t="s">
        <v>41</v>
      </c>
      <c r="G4137">
        <v>-249.46950000000001</v>
      </c>
      <c r="H4137" s="1">
        <v>-6.5314709999999895E-7</v>
      </c>
      <c r="I4137">
        <v>141.28200000000001</v>
      </c>
      <c r="J4137">
        <v>-231.98259999999999</v>
      </c>
      <c r="K4137">
        <v>1.12064599999999</v>
      </c>
      <c r="L4137">
        <v>141.26240000000001</v>
      </c>
      <c r="M4137">
        <v>-0.99968679999999999</v>
      </c>
      <c r="N4137">
        <v>-1.2863869999999999E-2</v>
      </c>
      <c r="O4137">
        <v>2.146928E-2</v>
      </c>
      <c r="P4137">
        <v>-0.99740189999999995</v>
      </c>
      <c r="Q4137">
        <v>-7.1841150000000006E-2</v>
      </c>
      <c r="R4137">
        <v>-5.3553910000000001E-3</v>
      </c>
      <c r="S4137">
        <v>-2.9942630000000001</v>
      </c>
      <c r="T4137">
        <v>-0.1884739</v>
      </c>
      <c r="U4137">
        <v>4.4555659999999898E-3</v>
      </c>
      <c r="V4137">
        <v>-2.6798160000000001E-2</v>
      </c>
      <c r="W4137">
        <v>-5.8996350000000003E-2</v>
      </c>
      <c r="X4137">
        <v>0.99789850000000002</v>
      </c>
      <c r="Y4137">
        <v>-1.9908990000000001E-2</v>
      </c>
      <c r="Z4137">
        <v>-1.8281529999999999E-3</v>
      </c>
      <c r="AA4137">
        <v>0.99980009999999997</v>
      </c>
      <c r="AB4137">
        <v>33</v>
      </c>
      <c r="AC4137">
        <v>-17.486899999999999</v>
      </c>
      <c r="AD4137">
        <v>-1.12064665314709</v>
      </c>
      <c r="AE4137">
        <v>1.9599999999996901E-2</v>
      </c>
      <c r="AF4137">
        <v>-0.35441119602892401</v>
      </c>
      <c r="AG4137">
        <v>-1.12064665314709</v>
      </c>
      <c r="AH4137">
        <v>17.411781619677601</v>
      </c>
      <c r="AI4137">
        <v>93.681796833094793</v>
      </c>
      <c r="AJ4137">
        <v>91.166076080123204</v>
      </c>
      <c r="AK4137">
        <v>17.4514066879556</v>
      </c>
      <c r="AL4137">
        <v>93.382205585269801</v>
      </c>
      <c r="AM4137">
        <v>91.538285233169304</v>
      </c>
      <c r="AN4137">
        <v>1.0000000634974699</v>
      </c>
    </row>
    <row r="4138" spans="1:40" x14ac:dyDescent="0.25">
      <c r="A4138" t="str">
        <f>"20190303154555910"</f>
        <v>20190303154555910</v>
      </c>
      <c r="B4138" t="str">
        <f>"1551599155905187"</f>
        <v>1551599155905187</v>
      </c>
      <c r="C4138" t="s">
        <v>40</v>
      </c>
      <c r="D4138">
        <v>5.2494300000000003</v>
      </c>
      <c r="E4138">
        <v>0.50244809999999995</v>
      </c>
      <c r="F4138" t="s">
        <v>41</v>
      </c>
      <c r="G4138">
        <v>-250.28030000000001</v>
      </c>
      <c r="H4138" s="1">
        <v>-4.47354499999999E-6</v>
      </c>
      <c r="I4138">
        <v>141.26750000000001</v>
      </c>
      <c r="J4138">
        <v>-232.3048</v>
      </c>
      <c r="K4138">
        <v>1.1207860000000001</v>
      </c>
      <c r="L4138">
        <v>141.26929999999999</v>
      </c>
      <c r="M4138">
        <v>-0.99968780000000002</v>
      </c>
      <c r="N4138">
        <v>-1.307728E-2</v>
      </c>
      <c r="O4138">
        <v>2.1290529999999998E-2</v>
      </c>
      <c r="P4138">
        <v>-0.997556</v>
      </c>
      <c r="Q4138">
        <v>-6.9569530000000004E-2</v>
      </c>
      <c r="R4138">
        <v>-6.4938590000000003E-3</v>
      </c>
      <c r="S4138">
        <v>-2.9945979999999999</v>
      </c>
      <c r="T4138">
        <v>-0.18340590000000001</v>
      </c>
      <c r="U4138">
        <v>8.3923339999999905E-4</v>
      </c>
      <c r="V4138">
        <v>-2.7742860000000001E-2</v>
      </c>
      <c r="W4138">
        <v>-5.651809E-2</v>
      </c>
      <c r="X4138">
        <v>0.99801609999999996</v>
      </c>
      <c r="Y4138">
        <v>-2.0939860000000001E-2</v>
      </c>
      <c r="Z4138">
        <v>-1.802126E-3</v>
      </c>
      <c r="AA4138">
        <v>0.99977910000000003</v>
      </c>
      <c r="AB4138">
        <v>33</v>
      </c>
      <c r="AC4138">
        <v>-17.9755</v>
      </c>
      <c r="AD4138">
        <v>-1.1207904735450001</v>
      </c>
      <c r="AE4138">
        <v>-1.79999999997448E-3</v>
      </c>
      <c r="AF4138">
        <v>-0.38305107508266301</v>
      </c>
      <c r="AG4138">
        <v>-1.1207904735450001</v>
      </c>
      <c r="AH4138">
        <v>17.901790633119099</v>
      </c>
      <c r="AI4138">
        <v>93.581665088968606</v>
      </c>
      <c r="AJ4138">
        <v>91.225791420605006</v>
      </c>
      <c r="AK4138">
        <v>17.940931059556</v>
      </c>
      <c r="AL4138">
        <v>93.239974335564895</v>
      </c>
      <c r="AM4138">
        <v>91.592298510064396</v>
      </c>
      <c r="AN4138">
        <v>1.0000000483187099</v>
      </c>
    </row>
    <row r="4139" spans="1:40" x14ac:dyDescent="0.25">
      <c r="A4139" t="str">
        <f>"20190303154555933"</f>
        <v>20190303154555933</v>
      </c>
      <c r="B4139" t="str">
        <f>"1551599155925683"</f>
        <v>1551599155925683</v>
      </c>
      <c r="C4139" t="s">
        <v>40</v>
      </c>
      <c r="D4139">
        <v>5.2108220000000003</v>
      </c>
      <c r="E4139">
        <v>0.50254979999999905</v>
      </c>
      <c r="F4139" t="s">
        <v>41</v>
      </c>
      <c r="G4139">
        <v>-251.33090000000001</v>
      </c>
      <c r="H4139" s="1">
        <v>-4.115674E-6</v>
      </c>
      <c r="I4139">
        <v>141.26560000000001</v>
      </c>
      <c r="J4139">
        <v>-232.63509999999999</v>
      </c>
      <c r="K4139">
        <v>1.1209340000000001</v>
      </c>
      <c r="L4139">
        <v>141.27619999999999</v>
      </c>
      <c r="M4139">
        <v>-0.99969180000000002</v>
      </c>
      <c r="N4139">
        <v>-1.326804E-2</v>
      </c>
      <c r="O4139">
        <v>2.0980809999999999E-2</v>
      </c>
      <c r="P4139">
        <v>-0.99763329999999995</v>
      </c>
      <c r="Q4139">
        <v>-6.8322930000000004E-2</v>
      </c>
      <c r="R4139">
        <v>-7.7300469999999899E-3</v>
      </c>
      <c r="S4139">
        <v>-2.9950260000000002</v>
      </c>
      <c r="T4139">
        <v>-0.17643130000000001</v>
      </c>
      <c r="U4139">
        <v>-5.6457519999999995E-4</v>
      </c>
      <c r="V4139">
        <v>-2.865409E-2</v>
      </c>
      <c r="W4139">
        <v>-5.5089289999999999E-2</v>
      </c>
      <c r="X4139">
        <v>0.99807020000000002</v>
      </c>
      <c r="Y4139">
        <v>-2.110445E-2</v>
      </c>
      <c r="Z4139">
        <v>-1.7178229999999901E-3</v>
      </c>
      <c r="AA4139">
        <v>0.99977579999999999</v>
      </c>
      <c r="AB4139">
        <v>33</v>
      </c>
      <c r="AC4139">
        <v>-18.695799999999998</v>
      </c>
      <c r="AD4139">
        <v>-1.1209381156739999</v>
      </c>
      <c r="AE4139">
        <v>-1.05999999999824E-2</v>
      </c>
      <c r="AF4139">
        <v>-0.401442133267437</v>
      </c>
      <c r="AG4139">
        <v>-1.1209381156739999</v>
      </c>
      <c r="AH4139">
        <v>18.624510078627701</v>
      </c>
      <c r="AI4139">
        <v>93.443461414193905</v>
      </c>
      <c r="AJ4139">
        <v>91.234791078870003</v>
      </c>
      <c r="AK4139">
        <v>18.662530206658399</v>
      </c>
      <c r="AL4139">
        <v>93.157982495096306</v>
      </c>
      <c r="AM4139">
        <v>91.644481100424699</v>
      </c>
      <c r="AN4139">
        <v>1.00000000543723</v>
      </c>
    </row>
    <row r="4140" spans="1:40" x14ac:dyDescent="0.25">
      <c r="A4140" t="str">
        <f>"20190303154555954"</f>
        <v>20190303154555954</v>
      </c>
      <c r="B4140" t="str">
        <f>"1551599155945203"</f>
        <v>1551599155945203</v>
      </c>
      <c r="C4140" t="s">
        <v>40</v>
      </c>
      <c r="D4140">
        <v>5.2159579999999997</v>
      </c>
      <c r="E4140">
        <v>0.50251880000000004</v>
      </c>
      <c r="F4140" t="s">
        <v>41</v>
      </c>
      <c r="G4140">
        <v>-252.02</v>
      </c>
      <c r="H4140" s="1">
        <v>-3.8415950000000003E-6</v>
      </c>
      <c r="I4140">
        <v>141.25450000000001</v>
      </c>
      <c r="J4140">
        <v>-232.95419999999999</v>
      </c>
      <c r="K4140">
        <v>1.1210739999999999</v>
      </c>
      <c r="L4140">
        <v>141.2825</v>
      </c>
      <c r="M4140">
        <v>-0.99969850000000005</v>
      </c>
      <c r="N4140">
        <v>-1.342849E-2</v>
      </c>
      <c r="O4140">
        <v>2.0565159999999999E-2</v>
      </c>
      <c r="P4140">
        <v>-0.99758829999999998</v>
      </c>
      <c r="Q4140">
        <v>-6.8772899999999998E-2</v>
      </c>
      <c r="R4140">
        <v>-9.3726780000000006E-3</v>
      </c>
      <c r="S4140">
        <v>-2.9952390000000002</v>
      </c>
      <c r="T4140">
        <v>-0.17320079999999999</v>
      </c>
      <c r="U4140">
        <v>-3.3416750000000001E-3</v>
      </c>
      <c r="V4140">
        <v>-2.986335E-2</v>
      </c>
      <c r="W4140">
        <v>-5.5389569999999999E-2</v>
      </c>
      <c r="X4140">
        <v>0.99801810000000002</v>
      </c>
      <c r="Y4140">
        <v>-2.1617669999999999E-2</v>
      </c>
      <c r="Z4140">
        <v>-1.6819329999999901E-3</v>
      </c>
      <c r="AA4140">
        <v>0.99976489999999996</v>
      </c>
      <c r="AB4140">
        <v>33</v>
      </c>
      <c r="AC4140">
        <v>-19.065799999999999</v>
      </c>
      <c r="AD4140">
        <v>-1.121077841595</v>
      </c>
      <c r="AE4140">
        <v>-2.79999999999915E-2</v>
      </c>
      <c r="AF4140">
        <v>-0.41867303805696199</v>
      </c>
      <c r="AG4140">
        <v>-1.121077841595</v>
      </c>
      <c r="AH4140">
        <v>18.995514520656201</v>
      </c>
      <c r="AI4140">
        <v>93.376747962999801</v>
      </c>
      <c r="AJ4140">
        <v>91.262630437291406</v>
      </c>
      <c r="AK4140">
        <v>19.033173002528301</v>
      </c>
      <c r="AL4140">
        <v>93.175213674708502</v>
      </c>
      <c r="AM4140">
        <v>91.713930360139798</v>
      </c>
      <c r="AN4140">
        <v>0.99999997603280799</v>
      </c>
    </row>
    <row r="4141" spans="1:40" x14ac:dyDescent="0.25">
      <c r="A4141" t="str">
        <f>"20190303154555977"</f>
        <v>20190303154555977</v>
      </c>
      <c r="B4141" t="str">
        <f>"1551599155965703"</f>
        <v>1551599155965703</v>
      </c>
      <c r="C4141" t="s">
        <v>40</v>
      </c>
      <c r="D4141">
        <v>5.2152919999999998</v>
      </c>
      <c r="E4141">
        <v>0.50262050000000003</v>
      </c>
      <c r="F4141" t="s">
        <v>41</v>
      </c>
      <c r="G4141">
        <v>-252.4785</v>
      </c>
      <c r="H4141" s="1">
        <v>-3.6374920000000001E-6</v>
      </c>
      <c r="I4141">
        <v>141.22649999999999</v>
      </c>
      <c r="J4141">
        <v>-233.2782</v>
      </c>
      <c r="K4141">
        <v>1.121213</v>
      </c>
      <c r="L4141">
        <v>141.28870000000001</v>
      </c>
      <c r="M4141">
        <v>-0.99970760000000003</v>
      </c>
      <c r="N4141">
        <v>-1.3570219999999999E-2</v>
      </c>
      <c r="O4141">
        <v>2.0023079999999999E-2</v>
      </c>
      <c r="P4141">
        <v>-0.99751730000000005</v>
      </c>
      <c r="Q4141">
        <v>-6.9532919999999998E-2</v>
      </c>
      <c r="R4141">
        <v>-1.1177869999999999E-2</v>
      </c>
      <c r="S4141">
        <v>-2.9952999999999999</v>
      </c>
      <c r="T4141">
        <v>-0.17198939999999999</v>
      </c>
      <c r="U4141">
        <v>-8.5754390000000007E-3</v>
      </c>
      <c r="V4141">
        <v>-3.110717E-2</v>
      </c>
      <c r="W4141">
        <v>-5.601983E-2</v>
      </c>
      <c r="X4141">
        <v>0.99794499999999997</v>
      </c>
      <c r="Y4141">
        <v>-2.2821500000000002E-2</v>
      </c>
      <c r="Z4141">
        <v>-1.686826E-3</v>
      </c>
      <c r="AA4141">
        <v>0.99973820000000002</v>
      </c>
      <c r="AB4141">
        <v>33</v>
      </c>
      <c r="AC4141">
        <v>-19.200299999999999</v>
      </c>
      <c r="AD4141">
        <v>-1.1212166374920001</v>
      </c>
      <c r="AE4141">
        <v>-6.22000000000184E-2</v>
      </c>
      <c r="AF4141">
        <v>-0.44515401509900798</v>
      </c>
      <c r="AG4141">
        <v>-1.1212166374920001</v>
      </c>
      <c r="AH4141">
        <v>19.129970612619601</v>
      </c>
      <c r="AI4141">
        <v>93.353389685116298</v>
      </c>
      <c r="AJ4141">
        <v>91.333031014296694</v>
      </c>
      <c r="AK4141">
        <v>19.167969753863801</v>
      </c>
      <c r="AL4141">
        <v>93.211380833303807</v>
      </c>
      <c r="AM4141">
        <v>91.785401632634205</v>
      </c>
      <c r="AN4141">
        <v>1.00000005020181</v>
      </c>
    </row>
    <row r="4142" spans="1:40" x14ac:dyDescent="0.25">
      <c r="A4142" t="str">
        <f>"20190303154555997"</f>
        <v>20190303154555997</v>
      </c>
      <c r="B4142" t="str">
        <f>"1551599155994980"</f>
        <v>1551599155994980</v>
      </c>
      <c r="C4142" t="s">
        <v>40</v>
      </c>
      <c r="D4142">
        <v>5.2173879999999997</v>
      </c>
      <c r="E4142">
        <v>0.50277399999999905</v>
      </c>
      <c r="F4142" t="s">
        <v>41</v>
      </c>
      <c r="G4142">
        <v>-252.3817</v>
      </c>
      <c r="H4142" s="1">
        <v>-3.672946E-6</v>
      </c>
      <c r="I4142">
        <v>141.2038</v>
      </c>
      <c r="J4142">
        <v>-233.5857</v>
      </c>
      <c r="K4142">
        <v>1.121343</v>
      </c>
      <c r="L4142">
        <v>141.29429999999999</v>
      </c>
      <c r="M4142">
        <v>-0.99971840000000001</v>
      </c>
      <c r="N4142">
        <v>-1.3687049999999999E-2</v>
      </c>
      <c r="O4142">
        <v>1.9391430000000001E-2</v>
      </c>
      <c r="P4142">
        <v>-0.99749129999999997</v>
      </c>
      <c r="Q4142">
        <v>-6.9685460000000005E-2</v>
      </c>
      <c r="R4142">
        <v>-1.246447E-2</v>
      </c>
      <c r="S4142">
        <v>-2.9950709999999998</v>
      </c>
      <c r="T4142">
        <v>-0.17578650000000001</v>
      </c>
      <c r="U4142">
        <v>-1.330566E-2</v>
      </c>
      <c r="V4142">
        <v>-3.17471E-2</v>
      </c>
      <c r="W4142">
        <v>-5.6065900000000002E-2</v>
      </c>
      <c r="X4142">
        <v>0.99792219999999998</v>
      </c>
      <c r="Y4142">
        <v>-2.3764629999999998E-2</v>
      </c>
      <c r="Z4142">
        <v>-1.7314450000000001E-3</v>
      </c>
      <c r="AA4142">
        <v>0.9997161</v>
      </c>
      <c r="AB4142">
        <v>33</v>
      </c>
      <c r="AC4142">
        <v>-18.7959999999999</v>
      </c>
      <c r="AD4142">
        <v>-1.121346672946</v>
      </c>
      <c r="AE4142">
        <v>-9.0499999999991601E-2</v>
      </c>
      <c r="AF4142">
        <v>-0.453384762259326</v>
      </c>
      <c r="AG4142">
        <v>-1.121346672946</v>
      </c>
      <c r="AH4142">
        <v>18.7240693800284</v>
      </c>
      <c r="AI4142">
        <v>93.426233118867799</v>
      </c>
      <c r="AJ4142">
        <v>91.387089403245895</v>
      </c>
      <c r="AK4142">
        <v>18.763095433635002</v>
      </c>
      <c r="AL4142">
        <v>93.214024797260905</v>
      </c>
      <c r="AM4142">
        <v>91.822147623255404</v>
      </c>
      <c r="AN4142">
        <v>0.99999999037702902</v>
      </c>
    </row>
    <row r="4143" spans="1:40" x14ac:dyDescent="0.25">
      <c r="A4143" t="str">
        <f>"20190303154556021"</f>
        <v>20190303154556021</v>
      </c>
      <c r="B4143" t="str">
        <f>"1551599156015475"</f>
        <v>1551599156015475</v>
      </c>
      <c r="C4143" t="s">
        <v>40</v>
      </c>
      <c r="D4143">
        <v>5.1986140000000001</v>
      </c>
      <c r="E4143">
        <v>0.5028492</v>
      </c>
      <c r="F4143" t="s">
        <v>41</v>
      </c>
      <c r="G4143">
        <v>-252.47210000000001</v>
      </c>
      <c r="H4143" s="1">
        <v>-3.6315330000000001E-6</v>
      </c>
      <c r="I4143">
        <v>141.19390000000001</v>
      </c>
      <c r="J4143">
        <v>-233.92599999999999</v>
      </c>
      <c r="K4143">
        <v>1.1214789999999999</v>
      </c>
      <c r="L4143">
        <v>141.30009999999999</v>
      </c>
      <c r="M4143">
        <v>-0.99973259999999997</v>
      </c>
      <c r="N4143">
        <v>-1.379931E-2</v>
      </c>
      <c r="O4143">
        <v>1.85652E-2</v>
      </c>
      <c r="P4143">
        <v>-0.99754730000000003</v>
      </c>
      <c r="Q4143">
        <v>-6.8708320000000003E-2</v>
      </c>
      <c r="R4143">
        <v>-1.3371289999999999E-2</v>
      </c>
      <c r="S4143">
        <v>-2.994904</v>
      </c>
      <c r="T4143">
        <v>-0.17781729999999901</v>
      </c>
      <c r="U4143">
        <v>-1.5899659999999999E-2</v>
      </c>
      <c r="V4143">
        <v>-3.1815639999999999E-2</v>
      </c>
      <c r="W4143">
        <v>-5.4985430000000002E-2</v>
      </c>
      <c r="X4143">
        <v>0.99798010000000004</v>
      </c>
      <c r="Y4143">
        <v>-2.3803680000000001E-2</v>
      </c>
      <c r="Z4143">
        <v>-1.715683E-3</v>
      </c>
      <c r="AA4143">
        <v>0.99971520000000003</v>
      </c>
      <c r="AB4143">
        <v>33</v>
      </c>
      <c r="AC4143">
        <v>-18.546099999999999</v>
      </c>
      <c r="AD4143">
        <v>-1.121482631533</v>
      </c>
      <c r="AE4143">
        <v>-0.106199999999972</v>
      </c>
      <c r="AF4143">
        <v>-0.44888512501529498</v>
      </c>
      <c r="AG4143">
        <v>-1.121482631533</v>
      </c>
      <c r="AH4143">
        <v>18.4733832540363</v>
      </c>
      <c r="AI4143">
        <v>93.473027381761696</v>
      </c>
      <c r="AJ4143">
        <v>91.391957427707396</v>
      </c>
      <c r="AK4143">
        <v>18.512836357479099</v>
      </c>
      <c r="AL4143">
        <v>93.152022877476995</v>
      </c>
      <c r="AM4143">
        <v>91.825972993035705</v>
      </c>
      <c r="AN4143">
        <v>0.99999995622845095</v>
      </c>
    </row>
    <row r="4144" spans="1:40" x14ac:dyDescent="0.25">
      <c r="A4144" t="str">
        <f>"20190303154556046"</f>
        <v>20190303154556046</v>
      </c>
      <c r="B4144" t="str">
        <f>"1551599156034996"</f>
        <v>1551599156034996</v>
      </c>
      <c r="C4144" t="s">
        <v>40</v>
      </c>
      <c r="D4144">
        <v>5.2060199999999996</v>
      </c>
      <c r="E4144">
        <v>0.50293009999999905</v>
      </c>
      <c r="F4144" t="s">
        <v>41</v>
      </c>
      <c r="G4144">
        <v>-253.03469999999999</v>
      </c>
      <c r="H4144" s="1">
        <v>-3.3878730000000001E-6</v>
      </c>
      <c r="I4144">
        <v>141.18510000000001</v>
      </c>
      <c r="J4144">
        <v>-234.2833</v>
      </c>
      <c r="K4144">
        <v>1.1216090000000001</v>
      </c>
      <c r="L4144">
        <v>141.3057</v>
      </c>
      <c r="M4144">
        <v>-0.99974969999999996</v>
      </c>
      <c r="N4144">
        <v>-1.3898260000000001E-2</v>
      </c>
      <c r="O4144">
        <v>1.7542149999999999E-2</v>
      </c>
      <c r="P4144">
        <v>-0.99759869999999995</v>
      </c>
      <c r="Q4144">
        <v>-6.7777030000000002E-2</v>
      </c>
      <c r="R4144">
        <v>-1.426739E-2</v>
      </c>
      <c r="S4144">
        <v>-2.9950260000000002</v>
      </c>
      <c r="T4144">
        <v>-0.17577789999999999</v>
      </c>
      <c r="U4144">
        <v>-1.800537E-2</v>
      </c>
      <c r="V4144">
        <v>-3.1678449999999997E-2</v>
      </c>
      <c r="W4144">
        <v>-5.3963209999999998E-2</v>
      </c>
      <c r="X4144">
        <v>0.99804029999999999</v>
      </c>
      <c r="Y4144">
        <v>-2.3486670000000001E-2</v>
      </c>
      <c r="Z4144">
        <v>-1.6369780000000001E-3</v>
      </c>
      <c r="AA4144">
        <v>0.99972280000000002</v>
      </c>
      <c r="AB4144">
        <v>33</v>
      </c>
      <c r="AC4144">
        <v>-18.751399999999901</v>
      </c>
      <c r="AD4144">
        <v>-1.121612387873</v>
      </c>
      <c r="AE4144">
        <v>-0.120599999999996</v>
      </c>
      <c r="AF4144">
        <v>-0.44795040808104197</v>
      </c>
      <c r="AG4144">
        <v>-1.121612387873</v>
      </c>
      <c r="AH4144">
        <v>18.6795689514428</v>
      </c>
      <c r="AI4144">
        <v>93.435207049803793</v>
      </c>
      <c r="AJ4144">
        <v>91.373733498031399</v>
      </c>
      <c r="AK4144">
        <v>18.718572865697801</v>
      </c>
      <c r="AL4144">
        <v>93.0933667623692</v>
      </c>
      <c r="AM4144">
        <v>91.817995046919194</v>
      </c>
      <c r="AN4144">
        <v>0.99999999632599801</v>
      </c>
    </row>
    <row r="4145" spans="1:40" x14ac:dyDescent="0.25">
      <c r="A4145" t="str">
        <f>"20190303154556071"</f>
        <v>20190303154556071</v>
      </c>
      <c r="B4145" t="str">
        <f>"1551599156065251"</f>
        <v>1551599156065251</v>
      </c>
      <c r="C4145" t="s">
        <v>40</v>
      </c>
      <c r="D4145">
        <v>5.2327349999999999</v>
      </c>
      <c r="E4145">
        <v>0.50299300000000002</v>
      </c>
      <c r="F4145" t="s">
        <v>41</v>
      </c>
      <c r="G4145">
        <v>-253.60210000000001</v>
      </c>
      <c r="H4145" s="1">
        <v>-3.1421299999999902E-6</v>
      </c>
      <c r="I4145">
        <v>141.1764</v>
      </c>
      <c r="J4145">
        <v>-234.63419999999999</v>
      </c>
      <c r="K4145">
        <v>1.1217189999999999</v>
      </c>
      <c r="L4145">
        <v>141.3107</v>
      </c>
      <c r="M4145">
        <v>-0.99976739999999997</v>
      </c>
      <c r="N4145">
        <v>-1.398136E-2</v>
      </c>
      <c r="O4145">
        <v>1.6422119999999998E-2</v>
      </c>
      <c r="P4145">
        <v>-0.99760409999999999</v>
      </c>
      <c r="Q4145">
        <v>-6.738015E-2</v>
      </c>
      <c r="R4145">
        <v>-1.5689270000000002E-2</v>
      </c>
      <c r="S4145">
        <v>-2.995117</v>
      </c>
      <c r="T4145">
        <v>-0.17389180000000001</v>
      </c>
      <c r="U4145">
        <v>-2.003479E-2</v>
      </c>
      <c r="V4145">
        <v>-3.1970989999999998E-2</v>
      </c>
      <c r="W4145">
        <v>-5.3491419999999998E-2</v>
      </c>
      <c r="X4145">
        <v>0.99805639999999995</v>
      </c>
      <c r="Y4145">
        <v>-2.3047350000000001E-2</v>
      </c>
      <c r="Z4145">
        <v>-1.5529109999999999E-3</v>
      </c>
      <c r="AA4145">
        <v>0.99973319999999999</v>
      </c>
      <c r="AB4145">
        <v>33</v>
      </c>
      <c r="AC4145">
        <v>-18.9679</v>
      </c>
      <c r="AD4145">
        <v>-1.1217221421300001</v>
      </c>
      <c r="AE4145">
        <v>-0.13429999999999601</v>
      </c>
      <c r="AF4145">
        <v>-0.44425186116799498</v>
      </c>
      <c r="AG4145">
        <v>-1.1217221421300001</v>
      </c>
      <c r="AH4145">
        <v>18.8970507124255</v>
      </c>
      <c r="AI4145">
        <v>93.396134543135005</v>
      </c>
      <c r="AJ4145">
        <v>91.346721739927503</v>
      </c>
      <c r="AK4145">
        <v>18.935526026711699</v>
      </c>
      <c r="AL4145">
        <v>93.066295992693597</v>
      </c>
      <c r="AM4145">
        <v>91.834742629722996</v>
      </c>
      <c r="AN4145">
        <v>1.00000002689807</v>
      </c>
    </row>
    <row r="4146" spans="1:40" x14ac:dyDescent="0.25">
      <c r="A4146" t="str">
        <f>"20190303154556115"</f>
        <v>20190303154556115</v>
      </c>
      <c r="B4146" t="str">
        <f>"1551599156105268"</f>
        <v>1551599156105268</v>
      </c>
      <c r="C4146" t="s">
        <v>40</v>
      </c>
      <c r="D4146">
        <v>5.2624170000000001</v>
      </c>
      <c r="E4146">
        <v>0.50301430000000003</v>
      </c>
      <c r="F4146" t="s">
        <v>41</v>
      </c>
      <c r="G4146">
        <v>-253.92740000000001</v>
      </c>
      <c r="H4146" s="1">
        <v>-2.9974689999999999E-6</v>
      </c>
      <c r="I4146">
        <v>141.15729999999999</v>
      </c>
      <c r="J4146">
        <v>-235.26900000000001</v>
      </c>
      <c r="K4146">
        <v>1.1218779999999999</v>
      </c>
      <c r="L4146">
        <v>141.3185</v>
      </c>
      <c r="M4146">
        <v>-0.99980020000000003</v>
      </c>
      <c r="N4146">
        <v>-1.410133E-2</v>
      </c>
      <c r="O4146">
        <v>1.4171919999999999E-2</v>
      </c>
      <c r="P4146">
        <v>-0.99739310000000003</v>
      </c>
      <c r="Q4146">
        <v>-6.9502620000000001E-2</v>
      </c>
      <c r="R4146">
        <v>-1.940745E-2</v>
      </c>
      <c r="S4146">
        <v>-2.9950559999999999</v>
      </c>
      <c r="T4146">
        <v>-0.1741354</v>
      </c>
      <c r="U4146">
        <v>-2.3803709999999999E-2</v>
      </c>
      <c r="V4146">
        <v>-3.3417370000000002E-2</v>
      </c>
      <c r="W4146">
        <v>-5.5511199999999997E-2</v>
      </c>
      <c r="X4146">
        <v>0.99789870000000003</v>
      </c>
      <c r="Y4146">
        <v>-2.2059459999999999E-2</v>
      </c>
      <c r="Z4146">
        <v>-1.41996299999999E-3</v>
      </c>
      <c r="AA4146">
        <v>0.99975570000000002</v>
      </c>
      <c r="AB4146">
        <v>33</v>
      </c>
      <c r="AC4146">
        <v>-18.6584</v>
      </c>
      <c r="AD4146">
        <v>-1.1218809974690001</v>
      </c>
      <c r="AE4146">
        <v>-0.161200000000008</v>
      </c>
      <c r="AF4146">
        <v>-0.424102292766526</v>
      </c>
      <c r="AG4146">
        <v>-1.1218809974690001</v>
      </c>
      <c r="AH4146">
        <v>18.587048276487302</v>
      </c>
      <c r="AI4146">
        <v>93.453183724555402</v>
      </c>
      <c r="AJ4146">
        <v>91.307095969279402</v>
      </c>
      <c r="AK4146">
        <v>18.625703835283201</v>
      </c>
      <c r="AL4146">
        <v>93.182193175905894</v>
      </c>
      <c r="AM4146">
        <v>91.917989292039394</v>
      </c>
      <c r="AN4146">
        <v>1.0000000147024199</v>
      </c>
    </row>
    <row r="4147" spans="1:40" x14ac:dyDescent="0.25">
      <c r="A4147" t="str">
        <f>"20190303154556136"</f>
        <v>20190303154556136</v>
      </c>
      <c r="B4147" t="str">
        <f>"1551599156124788"</f>
        <v>1551599156124788</v>
      </c>
      <c r="C4147" t="s">
        <v>40</v>
      </c>
      <c r="D4147">
        <v>5.2713020000000004</v>
      </c>
      <c r="E4147">
        <v>0.50306320000000004</v>
      </c>
      <c r="F4147" t="s">
        <v>41</v>
      </c>
      <c r="G4147">
        <v>-253.6003</v>
      </c>
      <c r="H4147" s="1">
        <v>-3.1240099999999999E-6</v>
      </c>
      <c r="I4147">
        <v>141.10550000000001</v>
      </c>
      <c r="J4147">
        <v>-235.5849</v>
      </c>
      <c r="K4147">
        <v>1.1219490000000001</v>
      </c>
      <c r="L4147">
        <v>141.3218</v>
      </c>
      <c r="M4147">
        <v>-0.99981600000000004</v>
      </c>
      <c r="N4147">
        <v>-1.4148890000000001E-2</v>
      </c>
      <c r="O4147">
        <v>1.295983E-2</v>
      </c>
      <c r="P4147">
        <v>-0.99725949999999997</v>
      </c>
      <c r="Q4147">
        <v>-7.1217069999999993E-2</v>
      </c>
      <c r="R4147">
        <v>-2.0043950000000001E-2</v>
      </c>
      <c r="S4147">
        <v>-2.9944000000000002</v>
      </c>
      <c r="T4147">
        <v>-0.1832587</v>
      </c>
      <c r="U4147">
        <v>-3.4790040000000001E-2</v>
      </c>
      <c r="V4147">
        <v>-3.2831840000000001E-2</v>
      </c>
      <c r="W4147">
        <v>-5.7182910000000003E-2</v>
      </c>
      <c r="X4147">
        <v>0.99782369999999998</v>
      </c>
      <c r="Y4147">
        <v>-2.450606E-2</v>
      </c>
      <c r="Z4147">
        <v>-1.531885E-3</v>
      </c>
      <c r="AA4147">
        <v>0.99969850000000005</v>
      </c>
      <c r="AB4147">
        <v>33</v>
      </c>
      <c r="AC4147">
        <v>-18.0154</v>
      </c>
      <c r="AD4147">
        <v>-1.1219521240100001</v>
      </c>
      <c r="AE4147">
        <v>-0.216299999999989</v>
      </c>
      <c r="AF4147">
        <v>-0.44804422740278599</v>
      </c>
      <c r="AG4147">
        <v>-1.1219521240100001</v>
      </c>
      <c r="AH4147">
        <v>17.9415076014592</v>
      </c>
      <c r="AI4147">
        <v>93.577155796054399</v>
      </c>
      <c r="AJ4147">
        <v>91.4305213061497</v>
      </c>
      <c r="AK4147">
        <v>17.9821360024747</v>
      </c>
      <c r="AL4147">
        <v>93.278127658101099</v>
      </c>
      <c r="AM4147">
        <v>91.884548791073399</v>
      </c>
      <c r="AN4147">
        <v>0.99999997559777098</v>
      </c>
    </row>
    <row r="4148" spans="1:40" x14ac:dyDescent="0.25">
      <c r="A4148" t="str">
        <f>"20190303154556156"</f>
        <v>20190303154556156</v>
      </c>
      <c r="B4148" t="str">
        <f>"1551599156145284"</f>
        <v>1551599156145284</v>
      </c>
      <c r="C4148" t="s">
        <v>40</v>
      </c>
      <c r="D4148">
        <v>5.2611179999999997</v>
      </c>
      <c r="E4148">
        <v>0.50309459999999995</v>
      </c>
      <c r="F4148" t="s">
        <v>41</v>
      </c>
      <c r="G4148">
        <v>-253.33080000000001</v>
      </c>
      <c r="H4148" s="1">
        <v>-3.2400100000000002E-6</v>
      </c>
      <c r="I4148">
        <v>141.107</v>
      </c>
      <c r="J4148">
        <v>-235.89420000000001</v>
      </c>
      <c r="K4148">
        <v>1.12201</v>
      </c>
      <c r="L4148">
        <v>141.3245</v>
      </c>
      <c r="M4148">
        <v>-0.99983049999999996</v>
      </c>
      <c r="N4148">
        <v>-1.4188900000000001E-2</v>
      </c>
      <c r="O4148">
        <v>1.173167E-2</v>
      </c>
      <c r="P4148">
        <v>-0.99713609999999997</v>
      </c>
      <c r="Q4148">
        <v>-7.282872E-2</v>
      </c>
      <c r="R4148">
        <v>-2.0393720000000001E-2</v>
      </c>
      <c r="S4148">
        <v>-2.9939879999999999</v>
      </c>
      <c r="T4148">
        <v>-0.18928980000000001</v>
      </c>
      <c r="U4148">
        <v>-3.6224369999999999E-2</v>
      </c>
      <c r="V4148">
        <v>-3.1945330000000001E-2</v>
      </c>
      <c r="W4148">
        <v>-5.8757400000000001E-2</v>
      </c>
      <c r="X4148">
        <v>0.99776100000000001</v>
      </c>
      <c r="Y4148">
        <v>-2.375712E-2</v>
      </c>
      <c r="Z4148">
        <v>-1.4936050000000001E-3</v>
      </c>
      <c r="AA4148">
        <v>0.99971659999999996</v>
      </c>
      <c r="AB4148">
        <v>32</v>
      </c>
      <c r="AC4148">
        <v>-17.436599999999999</v>
      </c>
      <c r="AD4148">
        <v>-1.12201324001</v>
      </c>
      <c r="AE4148">
        <v>-0.217500000000001</v>
      </c>
      <c r="AF4148">
        <v>-0.42032589521763197</v>
      </c>
      <c r="AG4148">
        <v>-1.12201324001</v>
      </c>
      <c r="AH4148">
        <v>17.360972741530201</v>
      </c>
      <c r="AI4148">
        <v>93.696716073840193</v>
      </c>
      <c r="AJ4148">
        <v>91.386915138023994</v>
      </c>
      <c r="AK4148">
        <v>17.402268877968201</v>
      </c>
      <c r="AL4148">
        <v>93.368491267844803</v>
      </c>
      <c r="AM4148">
        <v>91.833813458742995</v>
      </c>
      <c r="AN4148">
        <v>0.99999997464228396</v>
      </c>
    </row>
    <row r="4149" spans="1:40" x14ac:dyDescent="0.25">
      <c r="A4149" t="str">
        <f>"20190303154556180"</f>
        <v>20190303154556180</v>
      </c>
      <c r="B4149" t="str">
        <f>"1551599156175540"</f>
        <v>1551599156175540</v>
      </c>
      <c r="C4149" t="s">
        <v>40</v>
      </c>
      <c r="D4149">
        <v>5.30471</v>
      </c>
      <c r="E4149">
        <v>0.5031639</v>
      </c>
      <c r="F4149" t="s">
        <v>41</v>
      </c>
      <c r="G4149">
        <v>-253.11619999999999</v>
      </c>
      <c r="H4149" s="1">
        <v>-3.3334499999999998E-6</v>
      </c>
      <c r="I4149">
        <v>141.11199999999999</v>
      </c>
      <c r="J4149">
        <v>-236.23070000000001</v>
      </c>
      <c r="K4149">
        <v>1.1220490000000001</v>
      </c>
      <c r="L4149">
        <v>141.3271</v>
      </c>
      <c r="M4149">
        <v>-0.99984510000000004</v>
      </c>
      <c r="N4149">
        <v>-1.422611E-2</v>
      </c>
      <c r="O4149">
        <v>1.036378E-2</v>
      </c>
      <c r="P4149">
        <v>-0.99710319999999997</v>
      </c>
      <c r="Q4149">
        <v>-7.3023450000000004E-2</v>
      </c>
      <c r="R4149">
        <v>-2.1284089999999999E-2</v>
      </c>
      <c r="S4149">
        <v>-2.9936219999999998</v>
      </c>
      <c r="T4149">
        <v>-0.19503570000000001</v>
      </c>
      <c r="U4149">
        <v>-3.6926269999999997E-2</v>
      </c>
      <c r="V4149">
        <v>-3.1464989999999998E-2</v>
      </c>
      <c r="W4149">
        <v>-5.8916990000000002E-2</v>
      </c>
      <c r="X4149">
        <v>0.99776690000000001</v>
      </c>
      <c r="Y4149">
        <v>-2.262554E-2</v>
      </c>
      <c r="Z4149">
        <v>-1.4245320000000001E-3</v>
      </c>
      <c r="AA4149">
        <v>0.99974300000000005</v>
      </c>
      <c r="AB4149">
        <v>32</v>
      </c>
      <c r="AC4149">
        <v>-16.885499999999901</v>
      </c>
      <c r="AD4149">
        <v>-1.1220523334499899</v>
      </c>
      <c r="AE4149">
        <v>-0.21510000000000601</v>
      </c>
      <c r="AF4149">
        <v>-0.38838903593691398</v>
      </c>
      <c r="AG4149">
        <v>-1.1220523334499899</v>
      </c>
      <c r="AH4149">
        <v>16.808155969125199</v>
      </c>
      <c r="AI4149">
        <v>93.818178394416293</v>
      </c>
      <c r="AJ4149">
        <v>91.323708160917107</v>
      </c>
      <c r="AK4149">
        <v>16.850043162101201</v>
      </c>
      <c r="AL4149">
        <v>93.377650809670001</v>
      </c>
      <c r="AM4149">
        <v>91.806247395633093</v>
      </c>
      <c r="AN4149">
        <v>1.0000000220209799</v>
      </c>
    </row>
    <row r="4150" spans="1:40" x14ac:dyDescent="0.25">
      <c r="A4150" t="str">
        <f>"20190303154556202"</f>
        <v>20190303154556202</v>
      </c>
      <c r="B4150" t="str">
        <f>"1551599156195059"</f>
        <v>1551599156195059</v>
      </c>
      <c r="C4150" t="s">
        <v>40</v>
      </c>
      <c r="D4150">
        <v>5.3586739999999997</v>
      </c>
      <c r="E4150">
        <v>0.503204599999999</v>
      </c>
      <c r="F4150" t="s">
        <v>41</v>
      </c>
      <c r="G4150">
        <v>-253.27109999999999</v>
      </c>
      <c r="H4150" s="1">
        <v>-3.2650660000000002E-6</v>
      </c>
      <c r="I4150">
        <v>141.10480000000001</v>
      </c>
      <c r="J4150">
        <v>-236.5506</v>
      </c>
      <c r="K4150">
        <v>1.1220760000000001</v>
      </c>
      <c r="L4150">
        <v>141.32900000000001</v>
      </c>
      <c r="M4150">
        <v>-0.99985749999999995</v>
      </c>
      <c r="N4150">
        <v>-1.4255790000000001E-2</v>
      </c>
      <c r="O4150">
        <v>9.0412319999999997E-3</v>
      </c>
      <c r="P4150">
        <v>-0.99713300000000005</v>
      </c>
      <c r="Q4150">
        <v>-7.1944240000000007E-2</v>
      </c>
      <c r="R4150">
        <v>-2.345647E-2</v>
      </c>
      <c r="S4150">
        <v>-2.9934690000000002</v>
      </c>
      <c r="T4150">
        <v>-0.1971097</v>
      </c>
      <c r="U4150">
        <v>-3.9031980000000001E-2</v>
      </c>
      <c r="V4150">
        <v>-3.2317749999999999E-2</v>
      </c>
      <c r="W4150">
        <v>-5.7811939999999999E-2</v>
      </c>
      <c r="X4150">
        <v>0.99780429999999998</v>
      </c>
      <c r="Y4150">
        <v>-2.200877E-2</v>
      </c>
      <c r="Z4150">
        <v>-1.3467710000000001E-3</v>
      </c>
      <c r="AA4150">
        <v>0.99975689999999995</v>
      </c>
      <c r="AB4150">
        <v>32</v>
      </c>
      <c r="AC4150">
        <v>-16.720499999999902</v>
      </c>
      <c r="AD4150">
        <v>-1.1220792650660001</v>
      </c>
      <c r="AE4150">
        <v>-0.22419999999999601</v>
      </c>
      <c r="AF4150">
        <v>-0.373697480610993</v>
      </c>
      <c r="AG4150">
        <v>-1.1220792650660001</v>
      </c>
      <c r="AH4150">
        <v>16.642851865880498</v>
      </c>
      <c r="AI4150">
        <v>93.856137822860006</v>
      </c>
      <c r="AJ4150">
        <v>91.286299447929906</v>
      </c>
      <c r="AK4150">
        <v>16.684820344065699</v>
      </c>
      <c r="AL4150">
        <v>93.314227935304501</v>
      </c>
      <c r="AM4150">
        <v>91.855096830337004</v>
      </c>
      <c r="AN4150">
        <v>1.0000000392350501</v>
      </c>
    </row>
    <row r="4151" spans="1:40" x14ac:dyDescent="0.25">
      <c r="A4151" t="str">
        <f>"20190303154556223"</f>
        <v>20190303154556223</v>
      </c>
      <c r="B4151" t="str">
        <f>"1551599156215556"</f>
        <v>1551599156215556</v>
      </c>
      <c r="C4151" t="s">
        <v>40</v>
      </c>
      <c r="D4151">
        <v>5.3350799999999996</v>
      </c>
      <c r="E4151">
        <v>0.50355740000000004</v>
      </c>
      <c r="F4151" t="s">
        <v>41</v>
      </c>
      <c r="G4151">
        <v>-253.85130000000001</v>
      </c>
      <c r="H4151" s="1">
        <v>-3.0060550000000001E-6</v>
      </c>
      <c r="I4151">
        <v>141.0669</v>
      </c>
      <c r="J4151">
        <v>-236.86269999999999</v>
      </c>
      <c r="K4151">
        <v>1.1220889999999999</v>
      </c>
      <c r="L4151">
        <v>141.3305</v>
      </c>
      <c r="M4151">
        <v>-0.99986819999999998</v>
      </c>
      <c r="N4151">
        <v>-1.4280259999999999E-2</v>
      </c>
      <c r="O4151">
        <v>7.739381E-3</v>
      </c>
      <c r="P4151">
        <v>-0.99703339999999996</v>
      </c>
      <c r="Q4151">
        <v>-7.2440130000000005E-2</v>
      </c>
      <c r="R4151">
        <v>-2.6022679999999999E-2</v>
      </c>
      <c r="S4151">
        <v>-2.9935610000000001</v>
      </c>
      <c r="T4151">
        <v>-0.1941544</v>
      </c>
      <c r="U4151">
        <v>-4.534912E-2</v>
      </c>
      <c r="V4151">
        <v>-3.3581439999999997E-2</v>
      </c>
      <c r="W4151">
        <v>-5.8289250000000001E-2</v>
      </c>
      <c r="X4151">
        <v>0.99773480000000003</v>
      </c>
      <c r="Y4151">
        <v>-2.2817589999999999E-2</v>
      </c>
      <c r="Z4151">
        <v>-1.2932480000000001E-3</v>
      </c>
      <c r="AA4151">
        <v>0.99973880000000004</v>
      </c>
      <c r="AB4151">
        <v>32</v>
      </c>
      <c r="AC4151">
        <v>-16.988600000000002</v>
      </c>
      <c r="AD4151">
        <v>-1.1220920060549999</v>
      </c>
      <c r="AE4151">
        <v>-0.263599999999996</v>
      </c>
      <c r="AF4151">
        <v>-0.39337105106875397</v>
      </c>
      <c r="AG4151">
        <v>-1.1220920060549999</v>
      </c>
      <c r="AH4151">
        <v>16.912287619650002</v>
      </c>
      <c r="AI4151">
        <v>93.794858587617597</v>
      </c>
      <c r="AJ4151">
        <v>91.332429909253804</v>
      </c>
      <c r="AK4151">
        <v>16.954035029562601</v>
      </c>
      <c r="AL4151">
        <v>93.341621975087193</v>
      </c>
      <c r="AM4151">
        <v>91.927715380313302</v>
      </c>
      <c r="AN4151">
        <v>1.0000000404545299</v>
      </c>
    </row>
    <row r="4152" spans="1:40" x14ac:dyDescent="0.25">
      <c r="A4152" t="str">
        <f>"20190303154556247"</f>
        <v>20190303154556247</v>
      </c>
      <c r="B4152" t="str">
        <f>"1551599156235075"</f>
        <v>1551599156235075</v>
      </c>
      <c r="C4152" t="s">
        <v>40</v>
      </c>
      <c r="D4152">
        <v>5.332287</v>
      </c>
      <c r="E4152">
        <v>0.50380839999999905</v>
      </c>
      <c r="F4152" t="s">
        <v>41</v>
      </c>
      <c r="G4152">
        <v>-254.25380000000001</v>
      </c>
      <c r="H4152" s="1">
        <v>-2.8257910000000001E-6</v>
      </c>
      <c r="I4152">
        <v>141.03829999999999</v>
      </c>
      <c r="J4152">
        <v>-237.19730000000001</v>
      </c>
      <c r="K4152">
        <v>1.1220870000000001</v>
      </c>
      <c r="L4152">
        <v>141.33160000000001</v>
      </c>
      <c r="M4152">
        <v>-0.99987760000000003</v>
      </c>
      <c r="N4152">
        <v>-1.430237E-2</v>
      </c>
      <c r="O4152">
        <v>6.3384940000000001E-3</v>
      </c>
      <c r="P4152">
        <v>-0.9967085</v>
      </c>
      <c r="Q4152">
        <v>-7.5905379999999995E-2</v>
      </c>
      <c r="R4152">
        <v>-2.8472480000000001E-2</v>
      </c>
      <c r="S4152">
        <v>-2.9935909999999999</v>
      </c>
      <c r="T4152">
        <v>-0.1931494</v>
      </c>
      <c r="U4152">
        <v>-5.0277710000000003E-2</v>
      </c>
      <c r="V4152">
        <v>-3.4621369999999999E-2</v>
      </c>
      <c r="W4152">
        <v>-6.1740110000000001E-2</v>
      </c>
      <c r="X4152">
        <v>0.99749160000000003</v>
      </c>
      <c r="Y4152">
        <v>-2.3064080000000001E-2</v>
      </c>
      <c r="Z4152">
        <v>-1.2263339999999999E-3</v>
      </c>
      <c r="AA4152">
        <v>0.99973319999999999</v>
      </c>
      <c r="AB4152">
        <v>32</v>
      </c>
      <c r="AC4152">
        <v>-17.0565</v>
      </c>
      <c r="AD4152">
        <v>-1.1220898257909999</v>
      </c>
      <c r="AE4152">
        <v>-0.29330000000001599</v>
      </c>
      <c r="AF4152">
        <v>-0.39968839894348601</v>
      </c>
      <c r="AG4152">
        <v>-1.1220898257909999</v>
      </c>
      <c r="AH4152">
        <v>16.980828722059901</v>
      </c>
      <c r="AI4152">
        <v>93.779553742180696</v>
      </c>
      <c r="AJ4152">
        <v>91.348357671877906</v>
      </c>
      <c r="AK4152">
        <v>17.022555051499399</v>
      </c>
      <c r="AL4152">
        <v>93.539699006942897</v>
      </c>
      <c r="AM4152">
        <v>91.9878487222052</v>
      </c>
      <c r="AN4152">
        <v>0.99999998625702402</v>
      </c>
    </row>
    <row r="4153" spans="1:40" x14ac:dyDescent="0.25">
      <c r="A4153" t="str">
        <f>"20190303154556279"</f>
        <v>20190303154556279</v>
      </c>
      <c r="B4153" t="str">
        <f>"1551599156275091"</f>
        <v>1551599156275091</v>
      </c>
      <c r="C4153" t="s">
        <v>40</v>
      </c>
      <c r="D4153">
        <v>5.2888129999999904</v>
      </c>
      <c r="E4153">
        <v>0.504382</v>
      </c>
      <c r="F4153" t="s">
        <v>41</v>
      </c>
      <c r="G4153">
        <v>-253.72980000000001</v>
      </c>
      <c r="H4153" s="1">
        <v>-3.0470120000000001E-6</v>
      </c>
      <c r="I4153">
        <v>141.0248</v>
      </c>
      <c r="J4153">
        <v>-237.66419999999999</v>
      </c>
      <c r="K4153">
        <v>1.122069</v>
      </c>
      <c r="L4153">
        <v>141.33240000000001</v>
      </c>
      <c r="M4153">
        <v>-0.99988779999999999</v>
      </c>
      <c r="N4153">
        <v>-1.432749E-2</v>
      </c>
      <c r="O4153">
        <v>4.3830420000000002E-3</v>
      </c>
      <c r="P4153">
        <v>-0.99616510000000003</v>
      </c>
      <c r="Q4153">
        <v>-8.2148730000000003E-2</v>
      </c>
      <c r="R4153">
        <v>-3.011751E-2</v>
      </c>
      <c r="S4153">
        <v>-2.992874</v>
      </c>
      <c r="T4153">
        <v>-0.20313200000000001</v>
      </c>
      <c r="U4153">
        <v>-5.5526730000000003E-2</v>
      </c>
      <c r="V4153">
        <v>-3.4296859999999998E-2</v>
      </c>
      <c r="W4153">
        <v>-6.7964549999999999E-2</v>
      </c>
      <c r="X4153">
        <v>0.99709809999999999</v>
      </c>
      <c r="Y4153">
        <v>-2.2862360000000002E-2</v>
      </c>
      <c r="Z4153">
        <v>-1.1733100000000001E-3</v>
      </c>
      <c r="AA4153">
        <v>0.99973789999999996</v>
      </c>
      <c r="AB4153">
        <v>32</v>
      </c>
      <c r="AC4153">
        <v>-16.0656</v>
      </c>
      <c r="AD4153">
        <v>-1.122072047012</v>
      </c>
      <c r="AE4153">
        <v>-0.30760000000000698</v>
      </c>
      <c r="AF4153">
        <v>-0.37618608154456301</v>
      </c>
      <c r="AG4153">
        <v>-1.122072047012</v>
      </c>
      <c r="AH4153">
        <v>15.9861444112641</v>
      </c>
      <c r="AI4153">
        <v>94.013914638875903</v>
      </c>
      <c r="AJ4153">
        <v>91.348035963275294</v>
      </c>
      <c r="AK4153">
        <v>16.0298900428051</v>
      </c>
      <c r="AL4153">
        <v>93.897085883425206</v>
      </c>
      <c r="AM4153">
        <v>91.970007666708398</v>
      </c>
      <c r="AN4153">
        <v>1.00000003784308</v>
      </c>
    </row>
    <row r="4154" spans="1:40" x14ac:dyDescent="0.25">
      <c r="A4154" t="str">
        <f>"20190303154556304"</f>
        <v>20190303154556304</v>
      </c>
      <c r="B4154" t="str">
        <f>"1551599156295588"</f>
        <v>1551599156295588</v>
      </c>
      <c r="C4154" t="s">
        <v>40</v>
      </c>
      <c r="D4154">
        <v>5.4189299999999996</v>
      </c>
      <c r="E4154">
        <v>0.50499659999999902</v>
      </c>
      <c r="F4154" t="s">
        <v>41</v>
      </c>
      <c r="G4154">
        <v>-253.00800000000001</v>
      </c>
      <c r="H4154" s="1">
        <v>-3.3621829999999999E-6</v>
      </c>
      <c r="I4154">
        <v>141.04560000000001</v>
      </c>
      <c r="J4154">
        <v>-238.00649999999999</v>
      </c>
      <c r="K4154">
        <v>1.1220699999999999</v>
      </c>
      <c r="L4154">
        <v>141.33240000000001</v>
      </c>
      <c r="M4154">
        <v>-0.99989289999999997</v>
      </c>
      <c r="N4154">
        <v>-1.434209E-2</v>
      </c>
      <c r="O4154">
        <v>2.952288E-3</v>
      </c>
      <c r="P4154">
        <v>-0.99609930000000002</v>
      </c>
      <c r="Q4154">
        <v>-8.2580909999999993E-2</v>
      </c>
      <c r="R4154">
        <v>-3.1095299999999999E-2</v>
      </c>
      <c r="S4154">
        <v>-2.991806</v>
      </c>
      <c r="T4154">
        <v>-0.2187878</v>
      </c>
      <c r="U4154">
        <v>-5.5908199999999998E-2</v>
      </c>
      <c r="V4154">
        <v>-3.3847540000000002E-2</v>
      </c>
      <c r="W4154">
        <v>-6.8381460000000005E-2</v>
      </c>
      <c r="X4154">
        <v>0.99708490000000005</v>
      </c>
      <c r="Y4154">
        <v>-2.1561859999999999E-2</v>
      </c>
      <c r="Z4154">
        <v>-1.1154660000000001E-3</v>
      </c>
      <c r="AA4154">
        <v>0.99976690000000001</v>
      </c>
      <c r="AB4154">
        <v>32</v>
      </c>
      <c r="AC4154">
        <v>-15.001499999999901</v>
      </c>
      <c r="AD4154">
        <v>-1.1220733621829999</v>
      </c>
      <c r="AE4154">
        <v>-0.286799999999999</v>
      </c>
      <c r="AF4154">
        <v>-0.32925067888179899</v>
      </c>
      <c r="AG4154">
        <v>-1.1220733621829999</v>
      </c>
      <c r="AH4154">
        <v>14.9171619584358</v>
      </c>
      <c r="AI4154">
        <v>94.300661125364797</v>
      </c>
      <c r="AJ4154">
        <v>91.264423608999607</v>
      </c>
      <c r="AK4154">
        <v>14.962926703485101</v>
      </c>
      <c r="AL4154">
        <v>93.921028961029194</v>
      </c>
      <c r="AM4154">
        <v>91.944244435406802</v>
      </c>
      <c r="AN4154">
        <v>0.99999998892189601</v>
      </c>
    </row>
    <row r="4155" spans="1:40" x14ac:dyDescent="0.25">
      <c r="A4155" t="str">
        <f>"20190303154556459"</f>
        <v>20190303154556459</v>
      </c>
      <c r="B4155" t="str">
        <f>"1551599156455651"</f>
        <v>1551599156455651</v>
      </c>
      <c r="C4155" t="s">
        <v>40</v>
      </c>
      <c r="D4155">
        <v>5.3752820000000003</v>
      </c>
      <c r="E4155">
        <v>0.50531130000000002</v>
      </c>
      <c r="F4155" t="s">
        <v>41</v>
      </c>
      <c r="G4155">
        <v>-253.52369999999999</v>
      </c>
      <c r="H4155" s="1">
        <v>-3.1428849999999998E-6</v>
      </c>
      <c r="I4155">
        <v>141.05289999999999</v>
      </c>
      <c r="J4155">
        <v>-240.21950000000001</v>
      </c>
      <c r="K4155">
        <v>1.1220429999999999</v>
      </c>
      <c r="L4155">
        <v>141.32060000000001</v>
      </c>
      <c r="M4155">
        <v>-0.99987859999999995</v>
      </c>
      <c r="N4155">
        <v>-1.4386339999999999E-2</v>
      </c>
      <c r="O4155">
        <v>-5.9971470000000004E-3</v>
      </c>
      <c r="P4155">
        <v>-0.99673710000000004</v>
      </c>
      <c r="Q4155">
        <v>-7.6952080000000006E-2</v>
      </c>
      <c r="R4155">
        <v>-2.4375600000000001E-2</v>
      </c>
      <c r="S4155">
        <v>-2.9921419999999999</v>
      </c>
      <c r="T4155">
        <v>-0.21636749999999999</v>
      </c>
      <c r="U4155">
        <v>-5.3878780000000001E-2</v>
      </c>
      <c r="V4155">
        <v>-1.8240079999999999E-2</v>
      </c>
      <c r="W4155">
        <v>-6.2648720000000005E-2</v>
      </c>
      <c r="X4155">
        <v>0.99786900000000001</v>
      </c>
      <c r="Y4155">
        <v>-1.197926E-2</v>
      </c>
      <c r="Z4155">
        <v>-1.719658E-4</v>
      </c>
      <c r="AA4155">
        <v>0.99992820000000004</v>
      </c>
      <c r="AB4155">
        <v>32</v>
      </c>
      <c r="AC4155">
        <v>-13.3041999999999</v>
      </c>
      <c r="AD4155">
        <v>-1.1220461428849999</v>
      </c>
      <c r="AE4155">
        <v>-0.26770000000001898</v>
      </c>
      <c r="AF4155">
        <v>-0.18657315917102599</v>
      </c>
      <c r="AG4155">
        <v>-1.1220461428849999</v>
      </c>
      <c r="AH4155">
        <v>13.2116319231187</v>
      </c>
      <c r="AI4155">
        <v>94.853922840318901</v>
      </c>
      <c r="AJ4155">
        <v>90.809070682605295</v>
      </c>
      <c r="AK4155">
        <v>13.2605058411229</v>
      </c>
      <c r="AL4155">
        <v>93.591859271561404</v>
      </c>
      <c r="AM4155">
        <v>91.047194802377803</v>
      </c>
      <c r="AN4155">
        <v>1.0000000518985199</v>
      </c>
    </row>
    <row r="4156" spans="1:40" x14ac:dyDescent="0.25">
      <c r="A4156" t="str">
        <f>"20190303154556482"</f>
        <v>20190303154556482</v>
      </c>
      <c r="B4156" t="str">
        <f>"1551599156475172"</f>
        <v>1551599156475172</v>
      </c>
      <c r="C4156" t="s">
        <v>40</v>
      </c>
      <c r="D4156">
        <v>5.3378959999999998</v>
      </c>
      <c r="E4156">
        <v>0.50588379999999999</v>
      </c>
      <c r="F4156" t="s">
        <v>41</v>
      </c>
      <c r="G4156">
        <v>-257.286</v>
      </c>
      <c r="H4156" s="1">
        <v>-1.5521370000000001E-6</v>
      </c>
      <c r="I4156">
        <v>141.1403</v>
      </c>
      <c r="J4156">
        <v>-240.54640000000001</v>
      </c>
      <c r="K4156">
        <v>1.121945</v>
      </c>
      <c r="L4156">
        <v>141.31739999999999</v>
      </c>
      <c r="M4156">
        <v>-0.99987150000000002</v>
      </c>
      <c r="N4156">
        <v>-1.4387469999999999E-2</v>
      </c>
      <c r="O4156">
        <v>-7.0697800000000003E-3</v>
      </c>
      <c r="P4156">
        <v>-0.99662050000000002</v>
      </c>
      <c r="Q4156">
        <v>-7.8299099999999996E-2</v>
      </c>
      <c r="R4156">
        <v>-2.4831470000000001E-2</v>
      </c>
      <c r="S4156">
        <v>-2.9938349999999998</v>
      </c>
      <c r="T4156">
        <v>-0.19683229999999999</v>
      </c>
      <c r="U4156">
        <v>-3.1616209999999999E-2</v>
      </c>
      <c r="V4156">
        <v>-1.763808E-2</v>
      </c>
      <c r="W4156">
        <v>-6.3990379999999999E-2</v>
      </c>
      <c r="X4156">
        <v>0.99779459999999998</v>
      </c>
      <c r="Y4156">
        <v>-3.4895939999999999E-3</v>
      </c>
      <c r="Z4156">
        <v>2.2292840000000001E-4</v>
      </c>
      <c r="AA4156">
        <v>0.99999389999999999</v>
      </c>
      <c r="AB4156">
        <v>32</v>
      </c>
      <c r="AC4156">
        <v>-16.7395999999999</v>
      </c>
      <c r="AD4156">
        <v>-1.121946552137</v>
      </c>
      <c r="AE4156">
        <v>-0.17709999999999501</v>
      </c>
      <c r="AF4156">
        <v>-5.8475382362114803E-2</v>
      </c>
      <c r="AG4156">
        <v>-1.121946552137</v>
      </c>
      <c r="AH4156">
        <v>16.665577872472301</v>
      </c>
      <c r="AI4156">
        <v>93.851385120467498</v>
      </c>
      <c r="AJ4156">
        <v>90.201035865136205</v>
      </c>
      <c r="AK4156">
        <v>16.703402924543099</v>
      </c>
      <c r="AL4156">
        <v>93.668885607979007</v>
      </c>
      <c r="AM4156">
        <v>91.012715743409601</v>
      </c>
      <c r="AN4156">
        <v>0.99999996719389495</v>
      </c>
    </row>
    <row r="4157" spans="1:40" x14ac:dyDescent="0.25">
      <c r="A4157" t="str">
        <f>"20190303154556507"</f>
        <v>20190303154556507</v>
      </c>
      <c r="B4157" t="str">
        <f>"1551599156495668"</f>
        <v>1551599156495668</v>
      </c>
      <c r="C4157" t="s">
        <v>40</v>
      </c>
      <c r="D4157">
        <v>5.4205379999999996</v>
      </c>
      <c r="E4157">
        <v>0.50618390000000002</v>
      </c>
      <c r="F4157" t="s">
        <v>41</v>
      </c>
      <c r="G4157">
        <v>-257.53960000000001</v>
      </c>
      <c r="H4157" s="1">
        <v>-1.447357E-6</v>
      </c>
      <c r="I4157">
        <v>141.15530000000001</v>
      </c>
      <c r="J4157">
        <v>-240.90620000000001</v>
      </c>
      <c r="K4157">
        <v>1.1217980000000001</v>
      </c>
      <c r="L4157">
        <v>141.31370000000001</v>
      </c>
      <c r="M4157">
        <v>-0.99986430000000004</v>
      </c>
      <c r="N4157">
        <v>-1.438764E-2</v>
      </c>
      <c r="O4157">
        <v>-8.0405839999999999E-3</v>
      </c>
      <c r="P4157">
        <v>-0.99655899999999997</v>
      </c>
      <c r="Q4157">
        <v>-7.880711E-2</v>
      </c>
      <c r="R4157">
        <v>-2.5689360000000001E-2</v>
      </c>
      <c r="S4157">
        <v>-2.9939269999999998</v>
      </c>
      <c r="T4157">
        <v>-0.19766990000000001</v>
      </c>
      <c r="U4157">
        <v>-2.8549189999999999E-2</v>
      </c>
      <c r="V4157">
        <v>-1.7549019999999999E-2</v>
      </c>
      <c r="W4157">
        <v>-6.4492659999999993E-2</v>
      </c>
      <c r="X4157">
        <v>0.99776390000000004</v>
      </c>
      <c r="Y4157">
        <v>-1.500634E-3</v>
      </c>
      <c r="Z4157">
        <v>3.5438350000000001E-4</v>
      </c>
      <c r="AA4157">
        <v>0.99999879999999997</v>
      </c>
      <c r="AB4157">
        <v>32</v>
      </c>
      <c r="AC4157">
        <v>-16.633399999999899</v>
      </c>
      <c r="AD4157">
        <v>-1.1217994473570001</v>
      </c>
      <c r="AE4157">
        <v>-0.15840000000000001</v>
      </c>
      <c r="AF4157">
        <v>-2.4527250016283E-2</v>
      </c>
      <c r="AG4157">
        <v>-1.1217994473570001</v>
      </c>
      <c r="AH4157">
        <v>16.558824940505701</v>
      </c>
      <c r="AI4157">
        <v>93.875652003207193</v>
      </c>
      <c r="AJ4157">
        <v>90.084867548651005</v>
      </c>
      <c r="AK4157">
        <v>16.596798456220299</v>
      </c>
      <c r="AL4157">
        <v>93.697723448164297</v>
      </c>
      <c r="AM4157">
        <v>91.007634288614099</v>
      </c>
      <c r="AN4157">
        <v>1.0000000357200201</v>
      </c>
    </row>
    <row r="4158" spans="1:40" x14ac:dyDescent="0.25">
      <c r="A4158" t="str">
        <f>"20190303154556546"</f>
        <v>20190303154556546</v>
      </c>
      <c r="B4158" t="str">
        <f>"1551599156534708"</f>
        <v>1551599156534708</v>
      </c>
      <c r="C4158" t="s">
        <v>40</v>
      </c>
      <c r="D4158">
        <v>5.4204169999999996</v>
      </c>
      <c r="E4158">
        <v>0.50649239999999995</v>
      </c>
      <c r="F4158" t="s">
        <v>41</v>
      </c>
      <c r="G4158">
        <v>-257.82319999999999</v>
      </c>
      <c r="H4158" s="1">
        <v>-1.3245730000000001E-6</v>
      </c>
      <c r="I4158">
        <v>141.15119999999999</v>
      </c>
      <c r="J4158">
        <v>-241.4623</v>
      </c>
      <c r="K4158">
        <v>1.1215520000000001</v>
      </c>
      <c r="L4158">
        <v>141.30779999999999</v>
      </c>
      <c r="M4158">
        <v>-0.99985449999999998</v>
      </c>
      <c r="N4158">
        <v>-1.4386650000000001E-2</v>
      </c>
      <c r="O4158">
        <v>-9.1754230000000003E-3</v>
      </c>
      <c r="P4158">
        <v>-0.99618799999999996</v>
      </c>
      <c r="Q4158">
        <v>-8.2985799999999998E-2</v>
      </c>
      <c r="R4158">
        <v>-2.6881619999999998E-2</v>
      </c>
      <c r="S4158">
        <v>-2.9939269999999998</v>
      </c>
      <c r="T4158">
        <v>-0.1985333</v>
      </c>
      <c r="U4158">
        <v>-2.8747559999999998E-2</v>
      </c>
      <c r="V4158">
        <v>-1.764162E-2</v>
      </c>
      <c r="W4158">
        <v>-6.8667580000000006E-2</v>
      </c>
      <c r="X4158">
        <v>0.99748360000000003</v>
      </c>
      <c r="Y4158">
        <v>-4.3634830000000002E-4</v>
      </c>
      <c r="Z4158">
        <v>4.5825480000000001E-4</v>
      </c>
      <c r="AA4158">
        <v>0.99999979999999999</v>
      </c>
      <c r="AB4158">
        <v>32</v>
      </c>
      <c r="AC4158">
        <v>-16.360899999999901</v>
      </c>
      <c r="AD4158">
        <v>-1.1215533245730001</v>
      </c>
      <c r="AE4158">
        <v>-0.15659999999999699</v>
      </c>
      <c r="AF4158">
        <v>-6.4294936601207702E-3</v>
      </c>
      <c r="AG4158">
        <v>-1.1215533245730001</v>
      </c>
      <c r="AH4158">
        <v>16.2851278295737</v>
      </c>
      <c r="AI4158">
        <v>93.939727051461901</v>
      </c>
      <c r="AJ4158">
        <v>90.022620813041499</v>
      </c>
      <c r="AK4158">
        <v>16.323703979912398</v>
      </c>
      <c r="AL4158">
        <v>93.937461019498002</v>
      </c>
      <c r="AM4158">
        <v>91.013234701936994</v>
      </c>
      <c r="AN4158">
        <v>0.99999999778411996</v>
      </c>
    </row>
    <row r="4159" spans="1:40" x14ac:dyDescent="0.25">
      <c r="A4159" t="str">
        <f>"20190303154556568"</f>
        <v>20190303154556568</v>
      </c>
      <c r="B4159" t="str">
        <f>"1551599156564964"</f>
        <v>1551599156564964</v>
      </c>
      <c r="C4159" t="s">
        <v>40</v>
      </c>
      <c r="D4159">
        <v>5.4460819999999996</v>
      </c>
      <c r="E4159">
        <v>0.50661029999999996</v>
      </c>
      <c r="F4159" t="s">
        <v>41</v>
      </c>
      <c r="G4159">
        <v>-257.38959999999997</v>
      </c>
      <c r="H4159" s="1">
        <v>-1.5098459999999999E-6</v>
      </c>
      <c r="I4159">
        <v>141.14850000000001</v>
      </c>
      <c r="J4159">
        <v>-241.77879999999999</v>
      </c>
      <c r="K4159">
        <v>1.1214139999999999</v>
      </c>
      <c r="L4159">
        <v>141.30439999999999</v>
      </c>
      <c r="M4159">
        <v>-0.99985069999999998</v>
      </c>
      <c r="N4159">
        <v>-1.4385399999999901E-2</v>
      </c>
      <c r="O4159">
        <v>-9.5894440000000008E-3</v>
      </c>
      <c r="P4159">
        <v>-0.99594870000000002</v>
      </c>
      <c r="Q4159">
        <v>-8.5647780000000007E-2</v>
      </c>
      <c r="R4159">
        <v>-2.7399860000000002E-2</v>
      </c>
      <c r="S4159">
        <v>-2.9931179999999999</v>
      </c>
      <c r="T4159">
        <v>-0.2107667</v>
      </c>
      <c r="U4159">
        <v>-2.992249E-2</v>
      </c>
      <c r="V4159">
        <v>-1.7767189999999999E-2</v>
      </c>
      <c r="W4159">
        <v>-7.1328619999999995E-2</v>
      </c>
      <c r="X4159">
        <v>0.99729460000000003</v>
      </c>
      <c r="Y4159">
        <v>-4.1995740000000002E-4</v>
      </c>
      <c r="Z4159">
        <v>5.1878109999999999E-4</v>
      </c>
      <c r="AA4159">
        <v>0.99999979999999999</v>
      </c>
      <c r="AB4159">
        <v>32</v>
      </c>
      <c r="AC4159">
        <v>-15.6107999999999</v>
      </c>
      <c r="AD4159">
        <v>-1.1214155098459999</v>
      </c>
      <c r="AE4159">
        <v>-0.155899999999974</v>
      </c>
      <c r="AF4159">
        <v>-6.1467535640297097E-3</v>
      </c>
      <c r="AG4159">
        <v>-1.1214155098459999</v>
      </c>
      <c r="AH4159">
        <v>15.5314368902054</v>
      </c>
      <c r="AI4159">
        <v>94.129757233719701</v>
      </c>
      <c r="AJ4159">
        <v>90.022675494935001</v>
      </c>
      <c r="AK4159">
        <v>15.5718702281626</v>
      </c>
      <c r="AL4159">
        <v>94.090302391633898</v>
      </c>
      <c r="AM4159">
        <v>91.020638558111898</v>
      </c>
      <c r="AN4159">
        <v>0.99999998213037999</v>
      </c>
    </row>
    <row r="4160" spans="1:40" x14ac:dyDescent="0.25">
      <c r="A4160" t="str">
        <f>"20190303154556590"</f>
        <v>20190303154556590</v>
      </c>
      <c r="B4160" t="str">
        <f>"1551599156585460"</f>
        <v>1551599156585460</v>
      </c>
      <c r="C4160" t="s">
        <v>40</v>
      </c>
      <c r="D4160">
        <v>5.4265860000000004</v>
      </c>
      <c r="E4160">
        <v>0.50666339999999999</v>
      </c>
      <c r="F4160" t="s">
        <v>41</v>
      </c>
      <c r="G4160">
        <v>-257.15969999999999</v>
      </c>
      <c r="H4160" s="1">
        <v>-1.6081899999999901E-6</v>
      </c>
      <c r="I4160">
        <v>141.1473</v>
      </c>
      <c r="J4160">
        <v>-242.07980000000001</v>
      </c>
      <c r="K4160">
        <v>1.1213089999999999</v>
      </c>
      <c r="L4160">
        <v>141.30109999999999</v>
      </c>
      <c r="M4160">
        <v>-0.99984799999999996</v>
      </c>
      <c r="N4160">
        <v>-1.438394E-2</v>
      </c>
      <c r="O4160">
        <v>-9.8542939999999996E-3</v>
      </c>
      <c r="P4160">
        <v>-0.99586649999999999</v>
      </c>
      <c r="Q4160">
        <v>-8.6450230000000003E-2</v>
      </c>
      <c r="R4160">
        <v>-2.786162E-2</v>
      </c>
      <c r="S4160">
        <v>-2.9926149999999998</v>
      </c>
      <c r="T4160">
        <v>-0.21819230000000001</v>
      </c>
      <c r="U4160">
        <v>-3.0548100000000002E-2</v>
      </c>
      <c r="V4160">
        <v>-1.7984429999999999E-2</v>
      </c>
      <c r="W4160">
        <v>-7.2128970000000001E-2</v>
      </c>
      <c r="X4160">
        <v>0.99723320000000004</v>
      </c>
      <c r="Y4160">
        <v>-3.6768150000000003E-4</v>
      </c>
      <c r="Z4160">
        <v>5.5985620000000003E-4</v>
      </c>
      <c r="AA4160">
        <v>0.99999979999999999</v>
      </c>
      <c r="AB4160">
        <v>32</v>
      </c>
      <c r="AC4160">
        <v>-15.079899999999901</v>
      </c>
      <c r="AD4160">
        <v>-1.1213106081899999</v>
      </c>
      <c r="AE4160">
        <v>-0.153799999999989</v>
      </c>
      <c r="AF4160">
        <v>-5.1469346640270397E-3</v>
      </c>
      <c r="AG4160">
        <v>-1.1213106081899999</v>
      </c>
      <c r="AH4160">
        <v>14.9977677679857</v>
      </c>
      <c r="AI4160">
        <v>94.275773151063802</v>
      </c>
      <c r="AJ4160">
        <v>90.019662767597296</v>
      </c>
      <c r="AK4160">
        <v>15.0396277212373</v>
      </c>
      <c r="AL4160">
        <v>94.136277248325101</v>
      </c>
      <c r="AM4160">
        <v>91.033178845454501</v>
      </c>
      <c r="AN4160">
        <v>1.0000000416089601</v>
      </c>
    </row>
    <row r="4161" spans="1:40" x14ac:dyDescent="0.25">
      <c r="A4161" t="str">
        <f>"20190303154556613"</f>
        <v>20190303154556613</v>
      </c>
      <c r="B4161" t="str">
        <f>"1551599156604980"</f>
        <v>1551599156604980</v>
      </c>
      <c r="C4161" t="s">
        <v>40</v>
      </c>
      <c r="D4161">
        <v>5.4671989999999999</v>
      </c>
      <c r="E4161">
        <v>0.50675950000000003</v>
      </c>
      <c r="F4161" t="s">
        <v>41</v>
      </c>
      <c r="G4161">
        <v>-257.28070000000002</v>
      </c>
      <c r="H4161" s="1">
        <v>-1.5546889999999901E-6</v>
      </c>
      <c r="I4161">
        <v>141.1414</v>
      </c>
      <c r="J4161">
        <v>-242.41329999999999</v>
      </c>
      <c r="K4161">
        <v>1.1211960000000001</v>
      </c>
      <c r="L4161">
        <v>141.29750000000001</v>
      </c>
      <c r="M4161">
        <v>-0.99984649999999997</v>
      </c>
      <c r="N4161">
        <v>-1.438206E-2</v>
      </c>
      <c r="O4161">
        <v>-1.001998E-2</v>
      </c>
      <c r="P4161">
        <v>-0.99586569999999996</v>
      </c>
      <c r="Q4161">
        <v>-8.6298379999999994E-2</v>
      </c>
      <c r="R4161">
        <v>-2.836472E-2</v>
      </c>
      <c r="S4161">
        <v>-2.9924010000000001</v>
      </c>
      <c r="T4161">
        <v>-0.22073770000000001</v>
      </c>
      <c r="U4161">
        <v>-3.1417849999999997E-2</v>
      </c>
      <c r="V4161">
        <v>-1.834127E-2</v>
      </c>
      <c r="W4161">
        <v>-7.197431E-2</v>
      </c>
      <c r="X4161">
        <v>0.99723790000000001</v>
      </c>
      <c r="Y4161">
        <v>-4.9367349999999998E-4</v>
      </c>
      <c r="Z4161">
        <v>5.7239599999999997E-4</v>
      </c>
      <c r="AA4161">
        <v>0.99999970000000005</v>
      </c>
      <c r="AB4161">
        <v>32</v>
      </c>
      <c r="AC4161">
        <v>-14.8674</v>
      </c>
      <c r="AD4161">
        <v>-1.1211975546889901</v>
      </c>
      <c r="AE4161">
        <v>-0.15610000000000901</v>
      </c>
      <c r="AF4161">
        <v>-7.0655436377714499E-3</v>
      </c>
      <c r="AG4161">
        <v>-1.1211975546889901</v>
      </c>
      <c r="AH4161">
        <v>14.7841474550531</v>
      </c>
      <c r="AI4161">
        <v>94.336885040764699</v>
      </c>
      <c r="AJ4161">
        <v>90.027382424371694</v>
      </c>
      <c r="AK4161">
        <v>14.826602775123501</v>
      </c>
      <c r="AL4161">
        <v>94.127392689607603</v>
      </c>
      <c r="AM4161">
        <v>91.053669232920697</v>
      </c>
      <c r="AN4161">
        <v>1.00000006634079</v>
      </c>
    </row>
    <row r="4162" spans="1:40" x14ac:dyDescent="0.25">
      <c r="A4162" t="str">
        <f>"20190303154556636"</f>
        <v>20190303154556636</v>
      </c>
      <c r="B4162" t="str">
        <f>"1551599156625476"</f>
        <v>1551599156625476</v>
      </c>
      <c r="C4162" t="s">
        <v>40</v>
      </c>
      <c r="D4162">
        <v>5.4913499999999997</v>
      </c>
      <c r="E4162">
        <v>0.50683599999999995</v>
      </c>
      <c r="F4162" t="s">
        <v>41</v>
      </c>
      <c r="G4162">
        <v>-257.66050000000001</v>
      </c>
      <c r="H4162" s="1">
        <v>-1.389814E-6</v>
      </c>
      <c r="I4162">
        <v>141.13399999999999</v>
      </c>
      <c r="J4162">
        <v>-242.72489999999999</v>
      </c>
      <c r="K4162">
        <v>1.121116</v>
      </c>
      <c r="L4162">
        <v>141.29429999999999</v>
      </c>
      <c r="M4162">
        <v>-0.99984589999999995</v>
      </c>
      <c r="N4162">
        <v>-1.4379970000000001E-2</v>
      </c>
      <c r="O4162">
        <v>-1.0089839999999999E-2</v>
      </c>
      <c r="P4162">
        <v>-0.9958804</v>
      </c>
      <c r="Q4162">
        <v>-8.5876640000000004E-2</v>
      </c>
      <c r="R4162">
        <v>-2.9120759999999999E-2</v>
      </c>
      <c r="S4162">
        <v>-2.9924770000000001</v>
      </c>
      <c r="T4162">
        <v>-0.22005140000000001</v>
      </c>
      <c r="U4162">
        <v>-3.207397E-2</v>
      </c>
      <c r="V4162">
        <v>-1.904229E-2</v>
      </c>
      <c r="W4162">
        <v>-7.1550820000000001E-2</v>
      </c>
      <c r="X4162">
        <v>0.99725509999999995</v>
      </c>
      <c r="Y4162">
        <v>-6.4228820000000004E-4</v>
      </c>
      <c r="Z4162">
        <v>5.6776400000000001E-4</v>
      </c>
      <c r="AA4162">
        <v>0.99999959999999999</v>
      </c>
      <c r="AB4162">
        <v>32</v>
      </c>
      <c r="AC4162">
        <v>-14.935600000000001</v>
      </c>
      <c r="AD4162">
        <v>-1.1211173898139899</v>
      </c>
      <c r="AE4162">
        <v>-0.16030000000000599</v>
      </c>
      <c r="AF4162">
        <v>-9.5248103369741099E-3</v>
      </c>
      <c r="AG4162">
        <v>-1.1211173898139899</v>
      </c>
      <c r="AH4162">
        <v>14.8527785133153</v>
      </c>
      <c r="AI4162">
        <v>94.316613401298198</v>
      </c>
      <c r="AJ4162">
        <v>90.036742711653105</v>
      </c>
      <c r="AK4162">
        <v>14.8950335511323</v>
      </c>
      <c r="AL4162">
        <v>94.103066334308096</v>
      </c>
      <c r="AM4162">
        <v>91.093912959077301</v>
      </c>
      <c r="AN4162">
        <v>0.99999993156356004</v>
      </c>
    </row>
    <row r="4163" spans="1:40" x14ac:dyDescent="0.25">
      <c r="A4163" t="str">
        <f>"20190303154556657"</f>
        <v>20190303154556657</v>
      </c>
      <c r="B4163" t="str">
        <f>"1551599156644996"</f>
        <v>1551599156644996</v>
      </c>
      <c r="C4163" t="s">
        <v>40</v>
      </c>
      <c r="D4163">
        <v>5.5059050000000003</v>
      </c>
      <c r="E4163">
        <v>0.50695109999999999</v>
      </c>
      <c r="F4163" t="s">
        <v>41</v>
      </c>
      <c r="G4163">
        <v>-258.08969999999999</v>
      </c>
      <c r="H4163" s="1">
        <v>-1.202126E-6</v>
      </c>
      <c r="I4163">
        <v>141.1207</v>
      </c>
      <c r="J4163">
        <v>-243.02590000000001</v>
      </c>
      <c r="K4163">
        <v>1.1210629999999999</v>
      </c>
      <c r="L4163">
        <v>141.2912</v>
      </c>
      <c r="M4163">
        <v>-0.9998456</v>
      </c>
      <c r="N4163">
        <v>-1.437766E-2</v>
      </c>
      <c r="O4163">
        <v>-1.01084E-2</v>
      </c>
      <c r="P4163">
        <v>-0.99588699999999997</v>
      </c>
      <c r="Q4163">
        <v>-8.5342390000000004E-2</v>
      </c>
      <c r="R4163">
        <v>-3.0430140000000001E-2</v>
      </c>
      <c r="S4163">
        <v>-2.9926149999999998</v>
      </c>
      <c r="T4163">
        <v>-0.21836169999999999</v>
      </c>
      <c r="U4163">
        <v>-3.3798219999999997E-2</v>
      </c>
      <c r="V4163">
        <v>-2.03441E-2</v>
      </c>
      <c r="W4163">
        <v>-7.1016129999999997E-2</v>
      </c>
      <c r="X4163">
        <v>0.99726769999999998</v>
      </c>
      <c r="Y4163">
        <v>-1.197285E-3</v>
      </c>
      <c r="Z4163">
        <v>5.3912589999999998E-4</v>
      </c>
      <c r="AA4163">
        <v>0.99999919999999998</v>
      </c>
      <c r="AB4163">
        <v>32</v>
      </c>
      <c r="AC4163">
        <v>-15.063799999999899</v>
      </c>
      <c r="AD4163">
        <v>-1.121064202126</v>
      </c>
      <c r="AE4163">
        <v>-0.17050000000000401</v>
      </c>
      <c r="AF4163">
        <v>-1.81043812748692E-2</v>
      </c>
      <c r="AG4163">
        <v>-1.121064202126</v>
      </c>
      <c r="AH4163">
        <v>14.981787922192</v>
      </c>
      <c r="AI4163">
        <v>94.279376867997001</v>
      </c>
      <c r="AJ4163">
        <v>90.069237672980705</v>
      </c>
      <c r="AK4163">
        <v>15.023684037527101</v>
      </c>
      <c r="AL4163">
        <v>94.072352361161293</v>
      </c>
      <c r="AM4163">
        <v>91.168662551261306</v>
      </c>
      <c r="AN4163">
        <v>1.0000000192941301</v>
      </c>
    </row>
    <row r="4164" spans="1:40" x14ac:dyDescent="0.25">
      <c r="A4164" t="str">
        <f>"20190303154556681"</f>
        <v>20190303154556681</v>
      </c>
      <c r="B4164" t="str">
        <f>"1551599156675252"</f>
        <v>1551599156675252</v>
      </c>
      <c r="C4164" t="s">
        <v>40</v>
      </c>
      <c r="D4164">
        <v>5.5135740000000002</v>
      </c>
      <c r="E4164">
        <v>0.5070344</v>
      </c>
      <c r="F4164" t="s">
        <v>41</v>
      </c>
      <c r="G4164">
        <v>-258.51569999999998</v>
      </c>
      <c r="H4164" s="1">
        <v>-1.0141439999999999E-6</v>
      </c>
      <c r="I4164">
        <v>141.101</v>
      </c>
      <c r="J4164">
        <v>-243.3655</v>
      </c>
      <c r="K4164">
        <v>1.1210230000000001</v>
      </c>
      <c r="L4164">
        <v>141.2877</v>
      </c>
      <c r="M4164">
        <v>-0.99984569999999995</v>
      </c>
      <c r="N4164">
        <v>-1.437479E-2</v>
      </c>
      <c r="O4164">
        <v>-1.009695E-2</v>
      </c>
      <c r="P4164">
        <v>-0.99589090000000002</v>
      </c>
      <c r="Q4164">
        <v>-8.4989930000000005E-2</v>
      </c>
      <c r="R4164">
        <v>-3.1282690000000002E-2</v>
      </c>
      <c r="S4164">
        <v>-2.9926910000000002</v>
      </c>
      <c r="T4164">
        <v>-0.21659510000000001</v>
      </c>
      <c r="U4164">
        <v>-3.6727910000000002E-2</v>
      </c>
      <c r="V4164">
        <v>-2.1215810000000002E-2</v>
      </c>
      <c r="W4164">
        <v>-7.0664199999999996E-2</v>
      </c>
      <c r="X4164">
        <v>0.99727449999999995</v>
      </c>
      <c r="Y4164">
        <v>-2.1838560000000001E-3</v>
      </c>
      <c r="Z4164">
        <v>4.9012169999999996E-4</v>
      </c>
      <c r="AA4164">
        <v>0.99999749999999998</v>
      </c>
      <c r="AB4164">
        <v>32</v>
      </c>
      <c r="AC4164">
        <v>-15.1501999999999</v>
      </c>
      <c r="AD4164">
        <v>-1.121024014144</v>
      </c>
      <c r="AE4164">
        <v>-0.186700000000001</v>
      </c>
      <c r="AF4164">
        <v>-3.3520362645353498E-2</v>
      </c>
      <c r="AG4164">
        <v>-1.121024014144</v>
      </c>
      <c r="AH4164">
        <v>15.068821869098899</v>
      </c>
      <c r="AI4164">
        <v>94.254591871186904</v>
      </c>
      <c r="AJ4164">
        <v>90.127453370683995</v>
      </c>
      <c r="AK4164">
        <v>15.110500024077099</v>
      </c>
      <c r="AL4164">
        <v>94.0521376145239</v>
      </c>
      <c r="AM4164">
        <v>91.218714648999807</v>
      </c>
      <c r="AN4164">
        <v>0.99999998405292201</v>
      </c>
    </row>
    <row r="4165" spans="1:40" x14ac:dyDescent="0.25">
      <c r="A4165" t="str">
        <f>"20190303154556704"</f>
        <v>20190303154556704</v>
      </c>
      <c r="B4165" t="str">
        <f>"1551599156694772"</f>
        <v>1551599156694772</v>
      </c>
      <c r="C4165" t="s">
        <v>40</v>
      </c>
      <c r="D4165">
        <v>5.489503</v>
      </c>
      <c r="E4165">
        <v>0.50706459999999998</v>
      </c>
      <c r="F4165" t="s">
        <v>41</v>
      </c>
      <c r="G4165">
        <v>-258.94540000000001</v>
      </c>
      <c r="H4165" s="1">
        <v>-8.2598649999999996E-7</v>
      </c>
      <c r="I4165">
        <v>141.0866</v>
      </c>
      <c r="J4165">
        <v>-243.6917</v>
      </c>
      <c r="K4165">
        <v>1.1210070000000001</v>
      </c>
      <c r="L4165">
        <v>141.2843</v>
      </c>
      <c r="M4165">
        <v>-0.99984600000000001</v>
      </c>
      <c r="N4165">
        <v>-1.437184E-2</v>
      </c>
      <c r="O4165">
        <v>-1.0075189999999999E-2</v>
      </c>
      <c r="P4165">
        <v>-0.99587320000000001</v>
      </c>
      <c r="Q4165">
        <v>-8.4812540000000006E-2</v>
      </c>
      <c r="R4165">
        <v>-3.230127E-2</v>
      </c>
      <c r="S4165">
        <v>-2.9927830000000002</v>
      </c>
      <c r="T4165">
        <v>-0.2153409</v>
      </c>
      <c r="U4165">
        <v>-3.8604739999999999E-2</v>
      </c>
      <c r="V4165">
        <v>-2.2260350000000002E-2</v>
      </c>
      <c r="W4165">
        <v>-7.0488759999999998E-2</v>
      </c>
      <c r="X4165">
        <v>0.99726409999999999</v>
      </c>
      <c r="Y4165">
        <v>-2.830057E-3</v>
      </c>
      <c r="Z4165">
        <v>4.5725140000000002E-4</v>
      </c>
      <c r="AA4165">
        <v>0.99999590000000005</v>
      </c>
      <c r="AB4165">
        <v>31</v>
      </c>
      <c r="AC4165">
        <v>-15.2537</v>
      </c>
      <c r="AD4165">
        <v>-1.1210078259865</v>
      </c>
      <c r="AE4165">
        <v>-0.19769999999999699</v>
      </c>
      <c r="AF4165">
        <v>-4.3753898835163701E-2</v>
      </c>
      <c r="AG4165">
        <v>-1.1210078259865</v>
      </c>
      <c r="AH4165">
        <v>15.1729835486508</v>
      </c>
      <c r="AI4165">
        <v>94.225422604051801</v>
      </c>
      <c r="AJ4165">
        <v>90.165221743218495</v>
      </c>
      <c r="AK4165">
        <v>15.2144011619654</v>
      </c>
      <c r="AL4165">
        <v>94.0420607055256</v>
      </c>
      <c r="AM4165">
        <v>91.278710768696399</v>
      </c>
      <c r="AN4165">
        <v>0.99999993680863297</v>
      </c>
    </row>
    <row r="4166" spans="1:40" x14ac:dyDescent="0.25">
      <c r="A4166" t="str">
        <f>"20190303154556727"</f>
        <v>20190303154556727</v>
      </c>
      <c r="B4166" t="str">
        <f>"1551599156716244"</f>
        <v>1551599156716244</v>
      </c>
      <c r="C4166" t="s">
        <v>40</v>
      </c>
      <c r="D4166">
        <v>5.5324980000000004</v>
      </c>
      <c r="E4166">
        <v>0.50712349999999995</v>
      </c>
      <c r="F4166" t="s">
        <v>41</v>
      </c>
      <c r="G4166">
        <v>-259.32819999999998</v>
      </c>
      <c r="H4166" s="1">
        <v>-6.5669420000000003E-7</v>
      </c>
      <c r="I4166">
        <v>141.0675</v>
      </c>
      <c r="J4166">
        <v>-244.01249999999999</v>
      </c>
      <c r="K4166">
        <v>1.1210150000000001</v>
      </c>
      <c r="L4166">
        <v>141.28110000000001</v>
      </c>
      <c r="M4166">
        <v>-0.99984600000000001</v>
      </c>
      <c r="N4166">
        <v>-1.4368860000000001E-2</v>
      </c>
      <c r="O4166">
        <v>-1.0078810000000001E-2</v>
      </c>
      <c r="P4166">
        <v>-0.99592570000000002</v>
      </c>
      <c r="Q4166">
        <v>-8.3628679999999997E-2</v>
      </c>
      <c r="R4166">
        <v>-3.3737169999999997E-2</v>
      </c>
      <c r="S4166">
        <v>-2.9928129999999999</v>
      </c>
      <c r="T4166">
        <v>-0.2145609</v>
      </c>
      <c r="U4166">
        <v>-4.1488650000000002E-2</v>
      </c>
      <c r="V4166">
        <v>-2.3692700000000001E-2</v>
      </c>
      <c r="W4166">
        <v>-6.9306980000000004E-2</v>
      </c>
      <c r="X4166">
        <v>0.99731400000000003</v>
      </c>
      <c r="Y4166">
        <v>-3.7867040000000001E-3</v>
      </c>
      <c r="Z4166">
        <v>4.1410280000000002E-4</v>
      </c>
      <c r="AA4166">
        <v>0.99999269999999996</v>
      </c>
      <c r="AB4166">
        <v>31</v>
      </c>
      <c r="AC4166">
        <v>-15.3156999999999</v>
      </c>
      <c r="AD4166">
        <v>-1.12101565669419</v>
      </c>
      <c r="AE4166">
        <v>-0.213600000000013</v>
      </c>
      <c r="AF4166">
        <v>-5.8893733086336303E-2</v>
      </c>
      <c r="AG4166">
        <v>-1.12101565669419</v>
      </c>
      <c r="AH4166">
        <v>15.2354691733753</v>
      </c>
      <c r="AI4166">
        <v>94.208170547495698</v>
      </c>
      <c r="AJ4166">
        <v>90.221479594760496</v>
      </c>
      <c r="AK4166">
        <v>15.2767688176269</v>
      </c>
      <c r="AL4166">
        <v>93.974183390454499</v>
      </c>
      <c r="AM4166">
        <v>91.360891780367297</v>
      </c>
      <c r="AN4166">
        <v>1.000000008053</v>
      </c>
    </row>
    <row r="4167" spans="1:40" x14ac:dyDescent="0.25">
      <c r="A4167" t="str">
        <f>"20190303154556750"</f>
        <v>20190303154556750</v>
      </c>
      <c r="B4167" t="str">
        <f>"1551599156745523"</f>
        <v>1551599156745523</v>
      </c>
      <c r="C4167" t="s">
        <v>40</v>
      </c>
      <c r="D4167">
        <v>5.5433029999999999</v>
      </c>
      <c r="E4167">
        <v>0.50720080000000001</v>
      </c>
      <c r="F4167" t="s">
        <v>41</v>
      </c>
      <c r="G4167">
        <v>-259.93869999999998</v>
      </c>
      <c r="H4167" s="1">
        <v>-3.8745790000000001E-7</v>
      </c>
      <c r="I4167">
        <v>141.04</v>
      </c>
      <c r="J4167">
        <v>-244.32570000000001</v>
      </c>
      <c r="K4167">
        <v>1.121032</v>
      </c>
      <c r="L4167">
        <v>141.27789999999999</v>
      </c>
      <c r="M4167">
        <v>-0.99984569999999995</v>
      </c>
      <c r="N4167">
        <v>-1.4365889999999999E-2</v>
      </c>
      <c r="O4167">
        <v>-1.011857E-2</v>
      </c>
      <c r="P4167">
        <v>-0.99600880000000003</v>
      </c>
      <c r="Q4167">
        <v>-8.2198629999999995E-2</v>
      </c>
      <c r="R4167">
        <v>-3.4786400000000002E-2</v>
      </c>
      <c r="S4167">
        <v>-2.993042</v>
      </c>
      <c r="T4167">
        <v>-0.21067549999999999</v>
      </c>
      <c r="U4167">
        <v>-4.5303339999999998E-2</v>
      </c>
      <c r="V4167">
        <v>-2.4699490000000001E-2</v>
      </c>
      <c r="W4167">
        <v>-6.7879430000000004E-2</v>
      </c>
      <c r="X4167">
        <v>0.99738780000000005</v>
      </c>
      <c r="Y4167">
        <v>-5.0161590000000001E-3</v>
      </c>
      <c r="Z4167">
        <v>3.5366379999999999E-4</v>
      </c>
      <c r="AA4167">
        <v>0.99998739999999997</v>
      </c>
      <c r="AB4167">
        <v>31</v>
      </c>
      <c r="AC4167">
        <v>-15.6129999999999</v>
      </c>
      <c r="AD4167">
        <v>-1.12103238745789</v>
      </c>
      <c r="AE4167">
        <v>-0.237899999999996</v>
      </c>
      <c r="AF4167">
        <v>-7.9480634848625303E-2</v>
      </c>
      <c r="AG4167">
        <v>-1.12103238745789</v>
      </c>
      <c r="AH4167">
        <v>15.534539595710999</v>
      </c>
      <c r="AI4167">
        <v>94.1274759977656</v>
      </c>
      <c r="AJ4167">
        <v>90.2931445226302</v>
      </c>
      <c r="AK4167">
        <v>15.5751388833537</v>
      </c>
      <c r="AL4167">
        <v>93.892197520036802</v>
      </c>
      <c r="AM4167">
        <v>91.418592995611405</v>
      </c>
      <c r="AN4167">
        <v>1.0000000527061099</v>
      </c>
    </row>
    <row r="4168" spans="1:40" x14ac:dyDescent="0.25">
      <c r="A4168" t="str">
        <f>"20190303154556768"</f>
        <v>20190303154556768</v>
      </c>
      <c r="B4168" t="str">
        <f>"1551599156765044"</f>
        <v>1551599156765044</v>
      </c>
      <c r="C4168" t="s">
        <v>40</v>
      </c>
      <c r="D4168">
        <v>5.5798160000000001</v>
      </c>
      <c r="E4168">
        <v>0.50722029999999996</v>
      </c>
      <c r="F4168" t="s">
        <v>41</v>
      </c>
      <c r="G4168">
        <v>-260.58179999999999</v>
      </c>
      <c r="H4168" s="1">
        <v>-4.326737E-6</v>
      </c>
      <c r="I4168">
        <v>141.01820000000001</v>
      </c>
      <c r="J4168">
        <v>-244.5976</v>
      </c>
      <c r="K4168">
        <v>1.121068</v>
      </c>
      <c r="L4168">
        <v>141.27500000000001</v>
      </c>
      <c r="M4168">
        <v>-0.99984499999999998</v>
      </c>
      <c r="N4168">
        <v>-1.4363310000000001E-2</v>
      </c>
      <c r="O4168">
        <v>-1.0198479999999999E-2</v>
      </c>
      <c r="P4168">
        <v>-0.9961449</v>
      </c>
      <c r="Q4168">
        <v>-8.0542559999999999E-2</v>
      </c>
      <c r="R4168">
        <v>-3.4763870000000002E-2</v>
      </c>
      <c r="S4168">
        <v>-2.9933320000000001</v>
      </c>
      <c r="T4168">
        <v>-0.20642340000000001</v>
      </c>
      <c r="U4168">
        <v>-4.7805790000000001E-2</v>
      </c>
      <c r="V4168">
        <v>-2.4591890000000002E-2</v>
      </c>
      <c r="W4168">
        <v>-6.6225519999999996E-2</v>
      </c>
      <c r="X4168">
        <v>0.99750159999999999</v>
      </c>
      <c r="Y4168">
        <v>-5.7682829999999999E-3</v>
      </c>
      <c r="Z4168">
        <v>3.1591140000000002E-4</v>
      </c>
      <c r="AA4168">
        <v>0.99998330000000002</v>
      </c>
      <c r="AB4168">
        <v>31</v>
      </c>
      <c r="AC4168">
        <v>-15.9841999999999</v>
      </c>
      <c r="AD4168">
        <v>-1.121072326737</v>
      </c>
      <c r="AE4168">
        <v>-0.25679999999999797</v>
      </c>
      <c r="AF4168">
        <v>-9.3296491592087305E-2</v>
      </c>
      <c r="AG4168">
        <v>-1.121072326737</v>
      </c>
      <c r="AH4168">
        <v>15.907756180798501</v>
      </c>
      <c r="AI4168">
        <v>94.031089719483504</v>
      </c>
      <c r="AJ4168">
        <v>90.336026895531305</v>
      </c>
      <c r="AK4168">
        <v>15.947483002181</v>
      </c>
      <c r="AL4168">
        <v>93.797221861112007</v>
      </c>
      <c r="AM4168">
        <v>91.412254524963799</v>
      </c>
      <c r="AN4168">
        <v>1.0000000112778</v>
      </c>
    </row>
    <row r="4169" spans="1:40" x14ac:dyDescent="0.25">
      <c r="A4169" t="str">
        <f>"20190303154556792"</f>
        <v>20190303154556792</v>
      </c>
      <c r="B4169" t="str">
        <f>"1551599156785540"</f>
        <v>1551599156785540</v>
      </c>
      <c r="C4169" t="s">
        <v>40</v>
      </c>
      <c r="D4169">
        <v>5.5593769999999996</v>
      </c>
      <c r="E4169">
        <v>0.50723609999999997</v>
      </c>
      <c r="F4169" t="s">
        <v>41</v>
      </c>
      <c r="G4169">
        <v>-261.19389999999999</v>
      </c>
      <c r="H4169" s="1">
        <v>-4.1172780000000002E-6</v>
      </c>
      <c r="I4169">
        <v>141.01169999999999</v>
      </c>
      <c r="J4169">
        <v>-244.91579999999999</v>
      </c>
      <c r="K4169">
        <v>1.121116</v>
      </c>
      <c r="L4169">
        <v>141.27160000000001</v>
      </c>
      <c r="M4169">
        <v>-0.99984320000000004</v>
      </c>
      <c r="N4169">
        <v>-1.4360309999999999E-2</v>
      </c>
      <c r="O4169">
        <v>-1.036482E-2</v>
      </c>
      <c r="P4169">
        <v>-0.99623320000000004</v>
      </c>
      <c r="Q4169">
        <v>-7.9421969999999995E-2</v>
      </c>
      <c r="R4169">
        <v>-3.4808369999999998E-2</v>
      </c>
      <c r="S4169">
        <v>-2.9935909999999999</v>
      </c>
      <c r="T4169">
        <v>-0.2022158</v>
      </c>
      <c r="U4169">
        <v>-4.7485350000000003E-2</v>
      </c>
      <c r="V4169">
        <v>-2.446336E-2</v>
      </c>
      <c r="W4169">
        <v>-6.5109360000000005E-2</v>
      </c>
      <c r="X4169">
        <v>0.99757819999999997</v>
      </c>
      <c r="Y4169">
        <v>-5.4943569999999897E-3</v>
      </c>
      <c r="Z4169">
        <v>3.257054E-4</v>
      </c>
      <c r="AA4169">
        <v>0.99998489999999995</v>
      </c>
      <c r="AB4169">
        <v>31</v>
      </c>
      <c r="AC4169">
        <v>-16.278099999999899</v>
      </c>
      <c r="AD4169">
        <v>-1.1211201172779901</v>
      </c>
      <c r="AE4169">
        <v>-0.25990000000001601</v>
      </c>
      <c r="AF4169">
        <v>-9.07188535342488E-2</v>
      </c>
      <c r="AG4169">
        <v>-1.1211201172779901</v>
      </c>
      <c r="AH4169">
        <v>16.203080154526901</v>
      </c>
      <c r="AI4169">
        <v>93.958027285691799</v>
      </c>
      <c r="AJ4169">
        <v>90.320787965549997</v>
      </c>
      <c r="AK4169">
        <v>16.242073350461698</v>
      </c>
      <c r="AL4169">
        <v>93.733132403816398</v>
      </c>
      <c r="AM4169">
        <v>91.404768483043995</v>
      </c>
      <c r="AN4169">
        <v>0.99999997492866899</v>
      </c>
    </row>
    <row r="4170" spans="1:40" x14ac:dyDescent="0.25">
      <c r="A4170" t="str">
        <f>"20190303154556814"</f>
        <v>20190303154556814</v>
      </c>
      <c r="B4170" t="str">
        <f>"1551599156805060"</f>
        <v>1551599156805060</v>
      </c>
      <c r="C4170" t="s">
        <v>40</v>
      </c>
      <c r="D4170">
        <v>5.5515869999999996</v>
      </c>
      <c r="E4170">
        <v>0.50725849999999995</v>
      </c>
      <c r="F4170" t="s">
        <v>41</v>
      </c>
      <c r="G4170">
        <v>-261.7484</v>
      </c>
      <c r="H4170" s="1">
        <v>-3.8918039999999998E-6</v>
      </c>
      <c r="I4170">
        <v>141.00530000000001</v>
      </c>
      <c r="J4170">
        <v>-245.233</v>
      </c>
      <c r="K4170">
        <v>1.1211789999999999</v>
      </c>
      <c r="L4170">
        <v>141.2681</v>
      </c>
      <c r="M4170">
        <v>-0.99984059999999997</v>
      </c>
      <c r="N4170">
        <v>-1.4357389999999999E-2</v>
      </c>
      <c r="O4170">
        <v>-1.0617130000000001E-2</v>
      </c>
      <c r="P4170">
        <v>-0.99629319999999999</v>
      </c>
      <c r="Q4170">
        <v>-7.8910569999999999E-2</v>
      </c>
      <c r="R4170">
        <v>-3.4250870000000003E-2</v>
      </c>
      <c r="S4170">
        <v>-2.9937740000000002</v>
      </c>
      <c r="T4170">
        <v>-0.1993974</v>
      </c>
      <c r="U4170">
        <v>-4.7363280000000001E-2</v>
      </c>
      <c r="V4170">
        <v>-2.364453E-2</v>
      </c>
      <c r="W4170">
        <v>-6.4603240000000006E-2</v>
      </c>
      <c r="X4170">
        <v>0.99763089999999999</v>
      </c>
      <c r="Y4170">
        <v>-5.2012780000000002E-3</v>
      </c>
      <c r="Z4170">
        <v>3.4358320000000002E-4</v>
      </c>
      <c r="AA4170">
        <v>0.99998640000000005</v>
      </c>
      <c r="AB4170">
        <v>31</v>
      </c>
      <c r="AC4170">
        <v>-16.5154</v>
      </c>
      <c r="AD4170">
        <v>-1.1211828918039899</v>
      </c>
      <c r="AE4170">
        <v>-0.26279999999999798</v>
      </c>
      <c r="AF4170">
        <v>-8.7020023699124593E-2</v>
      </c>
      <c r="AG4170">
        <v>-1.1211828918039899</v>
      </c>
      <c r="AH4170">
        <v>16.4415052776591</v>
      </c>
      <c r="AI4170">
        <v>93.9010330034464</v>
      </c>
      <c r="AJ4170">
        <v>90.303246780124695</v>
      </c>
      <c r="AK4170">
        <v>16.479918669601801</v>
      </c>
      <c r="AL4170">
        <v>93.704072485809604</v>
      </c>
      <c r="AM4170">
        <v>91.357694716610695</v>
      </c>
      <c r="AN4170">
        <v>1.0000000275261101</v>
      </c>
    </row>
    <row r="4171" spans="1:40" x14ac:dyDescent="0.25">
      <c r="A4171" t="str">
        <f>"20190303154556836"</f>
        <v>20190303154556836</v>
      </c>
      <c r="B4171" t="str">
        <f>"1551599156825556"</f>
        <v>1551599156825556</v>
      </c>
      <c r="C4171" t="s">
        <v>40</v>
      </c>
      <c r="D4171">
        <v>5.566916</v>
      </c>
      <c r="E4171">
        <v>0.50724349999999996</v>
      </c>
      <c r="F4171" t="s">
        <v>41</v>
      </c>
      <c r="G4171">
        <v>-262.14440000000002</v>
      </c>
      <c r="H4171" s="1">
        <v>-3.7234760000000002E-6</v>
      </c>
      <c r="I4171">
        <v>141.011</v>
      </c>
      <c r="J4171">
        <v>-245.5351</v>
      </c>
      <c r="K4171">
        <v>1.1212420000000001</v>
      </c>
      <c r="L4171">
        <v>141.2646</v>
      </c>
      <c r="M4171">
        <v>-0.99983730000000004</v>
      </c>
      <c r="N4171">
        <v>-1.435468E-2</v>
      </c>
      <c r="O4171">
        <v>-1.093853E-2</v>
      </c>
      <c r="P4171">
        <v>-0.99629979999999996</v>
      </c>
      <c r="Q4171">
        <v>-7.9019399999999906E-2</v>
      </c>
      <c r="R4171">
        <v>-3.3806410000000002E-2</v>
      </c>
      <c r="S4171">
        <v>-2.993881</v>
      </c>
      <c r="T4171">
        <v>-0.1984872</v>
      </c>
      <c r="U4171">
        <v>-4.5501710000000001E-2</v>
      </c>
      <c r="V4171">
        <v>-2.286991E-2</v>
      </c>
      <c r="W4171">
        <v>-6.4717810000000001E-2</v>
      </c>
      <c r="X4171">
        <v>0.99764149999999996</v>
      </c>
      <c r="Y4171">
        <v>-4.2605270000000001E-3</v>
      </c>
      <c r="Z4171">
        <v>3.957551E-4</v>
      </c>
      <c r="AA4171">
        <v>0.99999079999999996</v>
      </c>
      <c r="AB4171">
        <v>31</v>
      </c>
      <c r="AC4171">
        <v>-16.609300000000001</v>
      </c>
      <c r="AD4171">
        <v>-1.121245723476</v>
      </c>
      <c r="AE4171">
        <v>-0.25360000000000499</v>
      </c>
      <c r="AF4171">
        <v>-7.1558775195474295E-2</v>
      </c>
      <c r="AG4171">
        <v>-1.121245723476</v>
      </c>
      <c r="AH4171">
        <v>16.535741135553302</v>
      </c>
      <c r="AI4171">
        <v>93.879104053236006</v>
      </c>
      <c r="AJ4171">
        <v>90.247947169602696</v>
      </c>
      <c r="AK4171">
        <v>16.573866402645699</v>
      </c>
      <c r="AL4171">
        <v>93.710650749470602</v>
      </c>
      <c r="AM4171">
        <v>91.313217082362598</v>
      </c>
      <c r="AN4171">
        <v>0.99999999511842697</v>
      </c>
    </row>
    <row r="4172" spans="1:40" x14ac:dyDescent="0.25">
      <c r="A4172" t="str">
        <f>"20190303154556858"</f>
        <v>20190303154556858</v>
      </c>
      <c r="B4172" t="str">
        <f>"1551599156855433"</f>
        <v>1551599156855433</v>
      </c>
      <c r="C4172" t="s">
        <v>40</v>
      </c>
      <c r="D4172">
        <v>5.5850210000000002</v>
      </c>
      <c r="E4172">
        <v>0.50726530000000003</v>
      </c>
      <c r="F4172" t="s">
        <v>41</v>
      </c>
      <c r="G4172">
        <v>-262.36290000000002</v>
      </c>
      <c r="H4172" s="1">
        <v>-3.63115E-6</v>
      </c>
      <c r="I4172">
        <v>141.0164</v>
      </c>
      <c r="J4172">
        <v>-245.84520000000001</v>
      </c>
      <c r="K4172">
        <v>1.121308</v>
      </c>
      <c r="L4172">
        <v>141.26079999999999</v>
      </c>
      <c r="M4172">
        <v>-0.99983279999999997</v>
      </c>
      <c r="N4172">
        <v>-1.4351910000000001E-2</v>
      </c>
      <c r="O4172">
        <v>-1.1340370000000001E-2</v>
      </c>
      <c r="P4172">
        <v>-0.99638389999999999</v>
      </c>
      <c r="Q4172">
        <v>-7.8434649999999995E-2</v>
      </c>
      <c r="R4172">
        <v>-3.2667309999999998E-2</v>
      </c>
      <c r="S4172">
        <v>-2.9938199999999999</v>
      </c>
      <c r="T4172">
        <v>-0.1994803</v>
      </c>
      <c r="U4172">
        <v>-4.4143679999999998E-2</v>
      </c>
      <c r="V4172">
        <v>-2.131986E-2</v>
      </c>
      <c r="W4172">
        <v>-6.4137E-2</v>
      </c>
      <c r="X4172">
        <v>0.99771330000000003</v>
      </c>
      <c r="Y4172">
        <v>-3.4083590000000001E-3</v>
      </c>
      <c r="Z4172">
        <v>4.5417869999999998E-4</v>
      </c>
      <c r="AA4172">
        <v>0.9999941</v>
      </c>
      <c r="AB4172">
        <v>31</v>
      </c>
      <c r="AC4172">
        <v>-16.517700000000001</v>
      </c>
      <c r="AD4172">
        <v>-1.12131163115</v>
      </c>
      <c r="AE4172">
        <v>-0.24439999999998399</v>
      </c>
      <c r="AF4172">
        <v>-5.6786536612823402E-2</v>
      </c>
      <c r="AG4172">
        <v>-1.12131163115</v>
      </c>
      <c r="AH4172">
        <v>16.443646601041099</v>
      </c>
      <c r="AI4172">
        <v>93.901004344718501</v>
      </c>
      <c r="AJ4172">
        <v>90.197864623697001</v>
      </c>
      <c r="AK4172">
        <v>16.4819318656772</v>
      </c>
      <c r="AL4172">
        <v>93.677303633738802</v>
      </c>
      <c r="AM4172">
        <v>91.224151388524803</v>
      </c>
      <c r="AN4172">
        <v>0.99999996009815395</v>
      </c>
    </row>
    <row r="4173" spans="1:40" x14ac:dyDescent="0.25">
      <c r="A4173" t="str">
        <f>"20190303154556883"</f>
        <v>20190303154556883</v>
      </c>
      <c r="B4173" t="str">
        <f>"1551599156874954"</f>
        <v>1551599156874954</v>
      </c>
      <c r="C4173" t="s">
        <v>40</v>
      </c>
      <c r="D4173">
        <v>5.5514839999999896</v>
      </c>
      <c r="E4173">
        <v>0.50729199999999997</v>
      </c>
      <c r="F4173" t="s">
        <v>41</v>
      </c>
      <c r="G4173">
        <v>-262.8184</v>
      </c>
      <c r="H4173" s="1">
        <v>-3.43943E-6</v>
      </c>
      <c r="I4173">
        <v>141.03020000000001</v>
      </c>
      <c r="J4173">
        <v>-246.1799</v>
      </c>
      <c r="K4173">
        <v>1.1213610000000001</v>
      </c>
      <c r="L4173">
        <v>141.25649999999999</v>
      </c>
      <c r="M4173">
        <v>-0.99982689999999996</v>
      </c>
      <c r="N4173">
        <v>-1.434881E-2</v>
      </c>
      <c r="O4173">
        <v>-1.1838359999999999E-2</v>
      </c>
      <c r="P4173">
        <v>-0.99645660000000003</v>
      </c>
      <c r="Q4173">
        <v>-7.8369079999999994E-2</v>
      </c>
      <c r="R4173">
        <v>-3.05372E-2</v>
      </c>
      <c r="S4173">
        <v>-2.9939879999999999</v>
      </c>
      <c r="T4173">
        <v>-0.19779369999999999</v>
      </c>
      <c r="U4173">
        <v>-4.066467E-2</v>
      </c>
      <c r="V4173">
        <v>-1.8685170000000001E-2</v>
      </c>
      <c r="W4173">
        <v>-6.4074190000000003E-2</v>
      </c>
      <c r="X4173">
        <v>0.99777020000000005</v>
      </c>
      <c r="Y4173">
        <v>-1.75257E-3</v>
      </c>
      <c r="Z4173">
        <v>5.4102320000000003E-4</v>
      </c>
      <c r="AA4173">
        <v>0.99999830000000001</v>
      </c>
      <c r="AB4173">
        <v>31</v>
      </c>
      <c r="AC4173">
        <v>-16.638499999999901</v>
      </c>
      <c r="AD4173">
        <v>-1.12136443943</v>
      </c>
      <c r="AE4173">
        <v>-0.22629999999997999</v>
      </c>
      <c r="AF4173">
        <v>-2.9158871495090801E-2</v>
      </c>
      <c r="AG4173">
        <v>-1.12136443943</v>
      </c>
      <c r="AH4173">
        <v>16.5647866213037</v>
      </c>
      <c r="AI4173">
        <v>93.872761878510701</v>
      </c>
      <c r="AJ4173">
        <v>90.100857233155097</v>
      </c>
      <c r="AK4173">
        <v>16.602724603363299</v>
      </c>
      <c r="AL4173">
        <v>93.673697304139395</v>
      </c>
      <c r="AM4173">
        <v>91.072848494203598</v>
      </c>
      <c r="AN4173">
        <v>1.0000000047050599</v>
      </c>
    </row>
    <row r="4174" spans="1:40" x14ac:dyDescent="0.25">
      <c r="A4174" t="str">
        <f>"20190303154556904"</f>
        <v>20190303154556904</v>
      </c>
      <c r="B4174" t="str">
        <f>"1551599156895449"</f>
        <v>1551599156895449</v>
      </c>
      <c r="C4174" t="s">
        <v>40</v>
      </c>
      <c r="D4174">
        <v>5.5201880000000001</v>
      </c>
      <c r="E4174">
        <v>0.50726919999999998</v>
      </c>
      <c r="F4174" t="s">
        <v>41</v>
      </c>
      <c r="G4174">
        <v>-263.17790000000002</v>
      </c>
      <c r="H4174" s="1">
        <v>-3.2939279999999998E-6</v>
      </c>
      <c r="I4174">
        <v>141.06290000000001</v>
      </c>
      <c r="J4174">
        <v>-246.48070000000001</v>
      </c>
      <c r="K4174">
        <v>1.1213879999999901</v>
      </c>
      <c r="L4174">
        <v>141.25239999999999</v>
      </c>
      <c r="M4174">
        <v>-0.99982119999999997</v>
      </c>
      <c r="N4174">
        <v>-1.434593E-2</v>
      </c>
      <c r="O4174">
        <v>-1.232607E-2</v>
      </c>
      <c r="P4174">
        <v>-0.99649779999999999</v>
      </c>
      <c r="Q4174">
        <v>-7.8934840000000006E-2</v>
      </c>
      <c r="R4174">
        <v>-2.7592970000000001E-2</v>
      </c>
      <c r="S4174">
        <v>-2.9940950000000002</v>
      </c>
      <c r="T4174">
        <v>-0.197523</v>
      </c>
      <c r="U4174">
        <v>-3.4088130000000001E-2</v>
      </c>
      <c r="V4174">
        <v>-1.524943E-2</v>
      </c>
      <c r="W4174">
        <v>-6.4640840000000005E-2</v>
      </c>
      <c r="X4174">
        <v>0.99779209999999996</v>
      </c>
      <c r="Y4174">
        <v>9.241745E-4</v>
      </c>
      <c r="Z4174">
        <v>6.7262279999999995E-4</v>
      </c>
      <c r="AA4174">
        <v>0.99999930000000004</v>
      </c>
      <c r="AB4174">
        <v>31</v>
      </c>
      <c r="AC4174">
        <v>-16.697199999999999</v>
      </c>
      <c r="AD4174">
        <v>-1.12139129392799</v>
      </c>
      <c r="AE4174">
        <v>-0.18949999999998099</v>
      </c>
      <c r="AF4174">
        <v>1.6273028951427099E-2</v>
      </c>
      <c r="AG4174">
        <v>-1.12139129392799</v>
      </c>
      <c r="AH4174">
        <v>16.623297166524701</v>
      </c>
      <c r="AI4174">
        <v>93.859268083648203</v>
      </c>
      <c r="AJ4174">
        <v>89.943911513363503</v>
      </c>
      <c r="AK4174">
        <v>16.661086157035399</v>
      </c>
      <c r="AL4174">
        <v>93.706231313710802</v>
      </c>
      <c r="AM4174">
        <v>90.875593183581799</v>
      </c>
      <c r="AN4174">
        <v>1.0000000290668101</v>
      </c>
    </row>
    <row r="4175" spans="1:40" x14ac:dyDescent="0.25">
      <c r="A4175" t="str">
        <f>"20190303154556948"</f>
        <v>20190303154556948</v>
      </c>
      <c r="B4175" t="str">
        <f>"1551599156945330"</f>
        <v>1551599156945330</v>
      </c>
      <c r="C4175" t="s">
        <v>40</v>
      </c>
      <c r="D4175">
        <v>5.5146369999999996</v>
      </c>
      <c r="E4175">
        <v>0.50729539999999995</v>
      </c>
      <c r="F4175" t="s">
        <v>41</v>
      </c>
      <c r="G4175">
        <v>-263.31220000000002</v>
      </c>
      <c r="H4175" s="1">
        <v>-3.2486749999999999E-6</v>
      </c>
      <c r="I4175">
        <v>141.10939999999999</v>
      </c>
      <c r="J4175">
        <v>-247.0821</v>
      </c>
      <c r="K4175">
        <v>1.121413</v>
      </c>
      <c r="L4175">
        <v>141.24379999999999</v>
      </c>
      <c r="M4175">
        <v>-0.99980829999999998</v>
      </c>
      <c r="N4175">
        <v>-1.43398E-2</v>
      </c>
      <c r="O4175">
        <v>-1.333983E-2</v>
      </c>
      <c r="P4175">
        <v>-0.99650419999999995</v>
      </c>
      <c r="Q4175">
        <v>-8.0120189999999994E-2</v>
      </c>
      <c r="R4175">
        <v>-2.3674339999999999E-2</v>
      </c>
      <c r="S4175">
        <v>-2.994049</v>
      </c>
      <c r="T4175">
        <v>-0.19947870000000001</v>
      </c>
      <c r="U4175">
        <v>-2.5436400000000001E-2</v>
      </c>
      <c r="V4175">
        <v>-1.031552E-2</v>
      </c>
      <c r="W4175">
        <v>-6.5828849999999994E-2</v>
      </c>
      <c r="X4175">
        <v>0.99777760000000004</v>
      </c>
      <c r="Y4175">
        <v>4.8149409999999997E-3</v>
      </c>
      <c r="Z4175">
        <v>8.9138580000000002E-4</v>
      </c>
      <c r="AA4175">
        <v>0.99998799999999999</v>
      </c>
      <c r="AB4175">
        <v>31</v>
      </c>
      <c r="AC4175">
        <v>-16.2301</v>
      </c>
      <c r="AD4175">
        <v>-1.1214162486749999</v>
      </c>
      <c r="AE4175">
        <v>-0.13439999999999899</v>
      </c>
      <c r="AF4175">
        <v>8.1750717030670703E-2</v>
      </c>
      <c r="AG4175">
        <v>-1.1214162486749999</v>
      </c>
      <c r="AH4175">
        <v>16.1533362976181</v>
      </c>
      <c r="AI4175">
        <v>93.971233700847904</v>
      </c>
      <c r="AJ4175">
        <v>89.710033210333705</v>
      </c>
      <c r="AK4175">
        <v>16.192422027802799</v>
      </c>
      <c r="AL4175">
        <v>93.774444708595396</v>
      </c>
      <c r="AM4175">
        <v>90.592331099947998</v>
      </c>
      <c r="AN4175">
        <v>0.99999999325347599</v>
      </c>
    </row>
    <row r="4176" spans="1:40" x14ac:dyDescent="0.25">
      <c r="A4176" t="str">
        <f>"20190303154556969"</f>
        <v>20190303154556969</v>
      </c>
      <c r="B4176" t="str">
        <f>"1551599156964849"</f>
        <v>1551599156964849</v>
      </c>
      <c r="C4176" t="s">
        <v>40</v>
      </c>
      <c r="D4176">
        <v>5.5035040000000004</v>
      </c>
      <c r="E4176">
        <v>0.50727250000000002</v>
      </c>
      <c r="F4176" t="s">
        <v>41</v>
      </c>
      <c r="G4176">
        <v>-263.60160000000002</v>
      </c>
      <c r="H4176" s="1">
        <v>-3.14046E-6</v>
      </c>
      <c r="I4176">
        <v>141.16929999999999</v>
      </c>
      <c r="J4176">
        <v>-247.38130000000001</v>
      </c>
      <c r="K4176">
        <v>1.1214150000000001</v>
      </c>
      <c r="L4176">
        <v>141.23929999999999</v>
      </c>
      <c r="M4176">
        <v>-0.99980159999999996</v>
      </c>
      <c r="N4176">
        <v>-1.433662E-2</v>
      </c>
      <c r="O4176">
        <v>-1.3829569999999999E-2</v>
      </c>
      <c r="P4176">
        <v>-0.99656750000000005</v>
      </c>
      <c r="Q4176">
        <v>-7.9682970000000006E-2</v>
      </c>
      <c r="R4176">
        <v>-2.2458530000000001E-2</v>
      </c>
      <c r="S4176">
        <v>-2.9938660000000001</v>
      </c>
      <c r="T4176">
        <v>-0.20323769999999999</v>
      </c>
      <c r="U4176">
        <v>-1.3488770000000001E-2</v>
      </c>
      <c r="V4176">
        <v>-8.6110479999999996E-3</v>
      </c>
      <c r="W4176">
        <v>-6.5392450000000005E-2</v>
      </c>
      <c r="X4176">
        <v>0.99782249999999995</v>
      </c>
      <c r="Y4176">
        <v>9.280178E-3</v>
      </c>
      <c r="Z4176">
        <v>1.120844E-3</v>
      </c>
      <c r="AA4176">
        <v>0.99995630000000002</v>
      </c>
      <c r="AB4176">
        <v>31</v>
      </c>
      <c r="AC4176">
        <v>-16.220300000000002</v>
      </c>
      <c r="AD4176">
        <v>-1.1214181404600001</v>
      </c>
      <c r="AE4176">
        <v>-6.9999999999993096E-2</v>
      </c>
      <c r="AF4176">
        <v>0.15361527321309801</v>
      </c>
      <c r="AG4176">
        <v>-1.1214181404600001</v>
      </c>
      <c r="AH4176">
        <v>16.142558527380299</v>
      </c>
      <c r="AI4176">
        <v>93.973754714258405</v>
      </c>
      <c r="AJ4176">
        <v>89.454780285121799</v>
      </c>
      <c r="AK4176">
        <v>16.1821930561904</v>
      </c>
      <c r="AL4176">
        <v>93.749386692044695</v>
      </c>
      <c r="AM4176">
        <v>90.494441105705903</v>
      </c>
      <c r="AN4176">
        <v>1.0000000320854501</v>
      </c>
    </row>
    <row r="4177" spans="1:40" x14ac:dyDescent="0.25">
      <c r="A4177" t="str">
        <f>"20190303154556993"</f>
        <v>20190303154556993</v>
      </c>
      <c r="B4177" t="str">
        <f>"1551599156985345"</f>
        <v>1551599156985345</v>
      </c>
      <c r="C4177" t="s">
        <v>40</v>
      </c>
      <c r="D4177">
        <v>5.4556699999999996</v>
      </c>
      <c r="E4177">
        <v>0.50722829999999997</v>
      </c>
      <c r="F4177" t="s">
        <v>41</v>
      </c>
      <c r="G4177">
        <v>-263.99939999999998</v>
      </c>
      <c r="H4177" s="1">
        <v>-2.973746E-6</v>
      </c>
      <c r="I4177">
        <v>141.1842</v>
      </c>
      <c r="J4177">
        <v>-247.69890000000001</v>
      </c>
      <c r="K4177">
        <v>1.12141</v>
      </c>
      <c r="L4177">
        <v>141.23439999999999</v>
      </c>
      <c r="M4177">
        <v>-0.99979479999999998</v>
      </c>
      <c r="N4177">
        <v>-1.4333220000000001E-2</v>
      </c>
      <c r="O4177">
        <v>-1.4320319999999999E-2</v>
      </c>
      <c r="P4177">
        <v>-0.996699</v>
      </c>
      <c r="Q4177">
        <v>-7.8264829999999994E-2</v>
      </c>
      <c r="R4177">
        <v>-2.159521E-2</v>
      </c>
      <c r="S4177">
        <v>-2.9939580000000001</v>
      </c>
      <c r="T4177">
        <v>-0.2020383</v>
      </c>
      <c r="U4177">
        <v>-9.9182130000000004E-3</v>
      </c>
      <c r="V4177">
        <v>-7.2599630000000004E-3</v>
      </c>
      <c r="W4177">
        <v>-6.3974569999999994E-2</v>
      </c>
      <c r="X4177">
        <v>0.99792510000000001</v>
      </c>
      <c r="Y4177">
        <v>1.0958900000000001E-2</v>
      </c>
      <c r="Z4177">
        <v>1.2081380000000001E-3</v>
      </c>
      <c r="AA4177">
        <v>0.99993920000000003</v>
      </c>
      <c r="AB4177">
        <v>31</v>
      </c>
      <c r="AC4177">
        <v>-16.3004999999999</v>
      </c>
      <c r="AD4177">
        <v>-1.1214129737459999</v>
      </c>
      <c r="AE4177">
        <v>-5.0199999999989503E-2</v>
      </c>
      <c r="AF4177">
        <v>0.18239423886897799</v>
      </c>
      <c r="AG4177">
        <v>-1.1214129737459999</v>
      </c>
      <c r="AH4177">
        <v>16.222766787129299</v>
      </c>
      <c r="AI4177">
        <v>93.954081433310606</v>
      </c>
      <c r="AJ4177">
        <v>89.355844787235398</v>
      </c>
      <c r="AK4177">
        <v>16.26250278849</v>
      </c>
      <c r="AL4177">
        <v>93.667977858662994</v>
      </c>
      <c r="AM4177">
        <v>90.416822766588695</v>
      </c>
      <c r="AN4177">
        <v>0.99999997893972803</v>
      </c>
    </row>
    <row r="4178" spans="1:40" x14ac:dyDescent="0.25">
      <c r="A4178" t="str">
        <f>"20190303154557014"</f>
        <v>20190303154557014</v>
      </c>
      <c r="B4178" t="str">
        <f>"1551599157005842"</f>
        <v>1551599157005842</v>
      </c>
      <c r="C4178" t="s">
        <v>40</v>
      </c>
      <c r="D4178">
        <v>5.4564890000000004</v>
      </c>
      <c r="E4178">
        <v>0.50723390000000002</v>
      </c>
      <c r="F4178" t="s">
        <v>41</v>
      </c>
      <c r="G4178">
        <v>-264.65710000000001</v>
      </c>
      <c r="H4178" s="1">
        <v>-2.6934669999999999E-6</v>
      </c>
      <c r="I4178">
        <v>141.19110000000001</v>
      </c>
      <c r="J4178">
        <v>-248.0042</v>
      </c>
      <c r="K4178">
        <v>1.1213869999999999</v>
      </c>
      <c r="L4178">
        <v>141.2295</v>
      </c>
      <c r="M4178">
        <v>-0.99978869999999997</v>
      </c>
      <c r="N4178">
        <v>-1.432983E-2</v>
      </c>
      <c r="O4178">
        <v>-1.4745629999999999E-2</v>
      </c>
      <c r="P4178">
        <v>-0.99676189999999998</v>
      </c>
      <c r="Q4178">
        <v>-7.7611760000000002E-2</v>
      </c>
      <c r="R4178">
        <v>-2.1030650000000001E-2</v>
      </c>
      <c r="S4178">
        <v>-2.9942470000000001</v>
      </c>
      <c r="T4178">
        <v>-0.1980045</v>
      </c>
      <c r="U4178">
        <v>-7.6293949999999998E-3</v>
      </c>
      <c r="V4178">
        <v>-6.2747410000000003E-3</v>
      </c>
      <c r="W4178">
        <v>-6.3322890000000007E-2</v>
      </c>
      <c r="X4178">
        <v>0.99797340000000001</v>
      </c>
      <c r="Y4178">
        <v>1.214732E-2</v>
      </c>
      <c r="Z4178">
        <v>1.2512249999999999E-3</v>
      </c>
      <c r="AA4178">
        <v>0.99992539999999996</v>
      </c>
      <c r="AB4178">
        <v>31</v>
      </c>
      <c r="AC4178">
        <v>-16.652899999999999</v>
      </c>
      <c r="AD4178">
        <v>-1.121389693467</v>
      </c>
      <c r="AE4178">
        <v>-3.8399999999995701E-2</v>
      </c>
      <c r="AF4178">
        <v>0.20625161458872501</v>
      </c>
      <c r="AG4178">
        <v>-1.121389693467</v>
      </c>
      <c r="AH4178">
        <v>16.576488994248901</v>
      </c>
      <c r="AI4178">
        <v>93.869830405995003</v>
      </c>
      <c r="AJ4178">
        <v>89.287138714051906</v>
      </c>
      <c r="AK4178">
        <v>16.615656530802202</v>
      </c>
      <c r="AL4178">
        <v>93.630563280917002</v>
      </c>
      <c r="AM4178">
        <v>90.360241504865897</v>
      </c>
      <c r="AN4178">
        <v>1.0000000339400601</v>
      </c>
    </row>
    <row r="4179" spans="1:40" x14ac:dyDescent="0.25">
      <c r="A4179" t="str">
        <f>"20190303154557037"</f>
        <v>20190303154557037</v>
      </c>
      <c r="B4179" t="str">
        <f>"1551599157025362"</f>
        <v>1551599157025362</v>
      </c>
      <c r="C4179" t="s">
        <v>40</v>
      </c>
      <c r="D4179">
        <v>5.4944259999999998</v>
      </c>
      <c r="E4179">
        <v>0.50715370000000004</v>
      </c>
      <c r="F4179" t="s">
        <v>41</v>
      </c>
      <c r="G4179">
        <v>-265.1112</v>
      </c>
      <c r="H4179" s="1">
        <v>-2.4998749999999999E-6</v>
      </c>
      <c r="I4179">
        <v>141.19579999999999</v>
      </c>
      <c r="J4179">
        <v>-248.30670000000001</v>
      </c>
      <c r="K4179">
        <v>1.121346</v>
      </c>
      <c r="L4179">
        <v>141.22460000000001</v>
      </c>
      <c r="M4179">
        <v>-0.99978330000000004</v>
      </c>
      <c r="N4179">
        <v>-1.4326439999999999E-2</v>
      </c>
      <c r="O4179">
        <v>-1.511087E-2</v>
      </c>
      <c r="P4179">
        <v>-0.99671489999999996</v>
      </c>
      <c r="Q4179">
        <v>-7.824383E-2</v>
      </c>
      <c r="R4179">
        <v>-2.092078E-2</v>
      </c>
      <c r="S4179">
        <v>-2.9943390000000001</v>
      </c>
      <c r="T4179">
        <v>-0.19628380000000001</v>
      </c>
      <c r="U4179">
        <v>-5.8898930000000002E-3</v>
      </c>
      <c r="V4179">
        <v>-5.8067229999999997E-3</v>
      </c>
      <c r="W4179">
        <v>-6.3958000000000001E-2</v>
      </c>
      <c r="X4179">
        <v>0.99793569999999998</v>
      </c>
      <c r="Y4179">
        <v>1.309156E-2</v>
      </c>
      <c r="Z4179">
        <v>1.295657E-3</v>
      </c>
      <c r="AA4179">
        <v>0.99991350000000001</v>
      </c>
      <c r="AB4179">
        <v>31</v>
      </c>
      <c r="AC4179">
        <v>-16.804499999999901</v>
      </c>
      <c r="AD4179">
        <v>-1.1213484998749901</v>
      </c>
      <c r="AE4179">
        <v>-2.8800000000018099E-2</v>
      </c>
      <c r="AF4179">
        <v>0.22416180014592599</v>
      </c>
      <c r="AG4179">
        <v>-1.1213484998749901</v>
      </c>
      <c r="AH4179">
        <v>16.7285281501306</v>
      </c>
      <c r="AI4179">
        <v>93.834576682863499</v>
      </c>
      <c r="AJ4179">
        <v>89.232284136449294</v>
      </c>
      <c r="AK4179">
        <v>16.767567654270199</v>
      </c>
      <c r="AL4179">
        <v>93.667026432536701</v>
      </c>
      <c r="AM4179">
        <v>90.333385172966302</v>
      </c>
      <c r="AN4179">
        <v>1.00000000256524</v>
      </c>
    </row>
    <row r="4180" spans="1:40" x14ac:dyDescent="0.25">
      <c r="A4180" t="str">
        <f>"20190303154557060"</f>
        <v>20190303154557060</v>
      </c>
      <c r="B4180" t="str">
        <f>"1551599157055618"</f>
        <v>1551599157055618</v>
      </c>
      <c r="C4180" t="s">
        <v>40</v>
      </c>
      <c r="D4180">
        <v>5.4888500000000002</v>
      </c>
      <c r="E4180">
        <v>0.50704740000000004</v>
      </c>
      <c r="F4180" t="s">
        <v>41</v>
      </c>
      <c r="G4180">
        <v>-265.11680000000001</v>
      </c>
      <c r="H4180" s="1">
        <v>-2.4958779999999999E-6</v>
      </c>
      <c r="I4180">
        <v>141.18979999999999</v>
      </c>
      <c r="J4180">
        <v>-248.6207</v>
      </c>
      <c r="K4180">
        <v>1.1212930000000001</v>
      </c>
      <c r="L4180">
        <v>141.21950000000001</v>
      </c>
      <c r="M4180">
        <v>-0.99977850000000001</v>
      </c>
      <c r="N4180">
        <v>-1.4322929999999999E-2</v>
      </c>
      <c r="O4180">
        <v>-1.542428E-2</v>
      </c>
      <c r="P4180">
        <v>-0.99667779999999995</v>
      </c>
      <c r="Q4180">
        <v>-7.8754439999999995E-2</v>
      </c>
      <c r="R4180">
        <v>-2.0769820000000001E-2</v>
      </c>
      <c r="S4180">
        <v>-2.9940639999999998</v>
      </c>
      <c r="T4180">
        <v>-0.19972500000000001</v>
      </c>
      <c r="U4180">
        <v>-6.1950679999999998E-3</v>
      </c>
      <c r="V4180">
        <v>-5.3516309999999999E-3</v>
      </c>
      <c r="W4180">
        <v>-6.4471609999999999E-2</v>
      </c>
      <c r="X4180">
        <v>0.99790520000000005</v>
      </c>
      <c r="Y4180">
        <v>1.329991E-2</v>
      </c>
      <c r="Z4180">
        <v>1.345469E-3</v>
      </c>
      <c r="AA4180">
        <v>0.99991070000000004</v>
      </c>
      <c r="AB4180">
        <v>31</v>
      </c>
      <c r="AC4180">
        <v>-16.496099999999998</v>
      </c>
      <c r="AD4180">
        <v>-1.1212954958779999</v>
      </c>
      <c r="AE4180">
        <v>-2.97000000000196E-2</v>
      </c>
      <c r="AF4180">
        <v>0.22373634540897699</v>
      </c>
      <c r="AG4180">
        <v>-1.1212954958779999</v>
      </c>
      <c r="AH4180">
        <v>16.4187348180143</v>
      </c>
      <c r="AI4180">
        <v>93.906510551033506</v>
      </c>
      <c r="AJ4180">
        <v>89.219284855132699</v>
      </c>
      <c r="AK4180">
        <v>16.458499766552499</v>
      </c>
      <c r="AL4180">
        <v>93.696514958232996</v>
      </c>
      <c r="AM4180">
        <v>90.307266592366801</v>
      </c>
      <c r="AN4180">
        <v>1.00000000831869</v>
      </c>
    </row>
    <row r="4181" spans="1:40" x14ac:dyDescent="0.25">
      <c r="A4181" t="str">
        <f>"20190303154557082"</f>
        <v>20190303154557082</v>
      </c>
      <c r="B4181" t="str">
        <f>"1551599157075138"</f>
        <v>1551599157075138</v>
      </c>
      <c r="C4181" t="s">
        <v>40</v>
      </c>
      <c r="D4181">
        <v>5.4591909999999997</v>
      </c>
      <c r="E4181">
        <v>0.50695610000000002</v>
      </c>
      <c r="F4181" t="s">
        <v>41</v>
      </c>
      <c r="G4181">
        <v>-265.1404</v>
      </c>
      <c r="H4181" s="1">
        <v>-2.483861E-6</v>
      </c>
      <c r="I4181">
        <v>141.18270000000001</v>
      </c>
      <c r="J4181">
        <v>-248.93260000000001</v>
      </c>
      <c r="K4181">
        <v>1.121238</v>
      </c>
      <c r="L4181">
        <v>141.21440000000001</v>
      </c>
      <c r="M4181">
        <v>-0.99977479999999996</v>
      </c>
      <c r="N4181">
        <v>-1.431925E-2</v>
      </c>
      <c r="O4181">
        <v>-1.565952E-2</v>
      </c>
      <c r="P4181">
        <v>-0.99676019999999999</v>
      </c>
      <c r="Q4181">
        <v>-7.7558169999999996E-2</v>
      </c>
      <c r="R4181">
        <v>-2.129928E-2</v>
      </c>
      <c r="S4181">
        <v>-2.9938199999999999</v>
      </c>
      <c r="T4181">
        <v>-0.20320940000000001</v>
      </c>
      <c r="U4181">
        <v>-6.6680910000000001E-3</v>
      </c>
      <c r="V4181">
        <v>-5.653745E-3</v>
      </c>
      <c r="W4181">
        <v>-6.3277260000000002E-2</v>
      </c>
      <c r="X4181">
        <v>0.99797999999999998</v>
      </c>
      <c r="Y4181">
        <v>1.337437E-2</v>
      </c>
      <c r="Z4181">
        <v>1.3868750000000001E-3</v>
      </c>
      <c r="AA4181">
        <v>0.99990959999999995</v>
      </c>
      <c r="AB4181">
        <v>31</v>
      </c>
      <c r="AC4181">
        <v>-16.207799999999899</v>
      </c>
      <c r="AD4181">
        <v>-1.1212404838609999</v>
      </c>
      <c r="AE4181">
        <v>-3.17000000000007E-2</v>
      </c>
      <c r="AF4181">
        <v>0.221078271714826</v>
      </c>
      <c r="AG4181">
        <v>-1.1212404838609999</v>
      </c>
      <c r="AH4181">
        <v>16.1291191560619</v>
      </c>
      <c r="AI4181">
        <v>93.976234304365903</v>
      </c>
      <c r="AJ4181">
        <v>89.214708589277393</v>
      </c>
      <c r="AK4181">
        <v>16.169555979535001</v>
      </c>
      <c r="AL4181">
        <v>93.627943640968297</v>
      </c>
      <c r="AM4181">
        <v>90.324587929123098</v>
      </c>
      <c r="AN4181">
        <v>1.0000000284328101</v>
      </c>
    </row>
    <row r="4182" spans="1:40" x14ac:dyDescent="0.25">
      <c r="A4182" t="str">
        <f>"20190303154557106"</f>
        <v>20190303154557106</v>
      </c>
      <c r="B4182" t="str">
        <f>"1551599157095633"</f>
        <v>1551599157095633</v>
      </c>
      <c r="C4182" t="s">
        <v>40</v>
      </c>
      <c r="D4182">
        <v>5.4595919999999998</v>
      </c>
      <c r="E4182">
        <v>0.50685199999999997</v>
      </c>
      <c r="F4182" t="s">
        <v>41</v>
      </c>
      <c r="G4182">
        <v>-265.64229999999998</v>
      </c>
      <c r="H4182" s="1">
        <v>-2.2635730000000001E-6</v>
      </c>
      <c r="I4182">
        <v>141.16390000000001</v>
      </c>
      <c r="J4182">
        <v>-249.25069999999999</v>
      </c>
      <c r="K4182">
        <v>1.121183</v>
      </c>
      <c r="L4182">
        <v>141.20920000000001</v>
      </c>
      <c r="M4182">
        <v>-0.99977240000000001</v>
      </c>
      <c r="N4182">
        <v>-1.431574E-2</v>
      </c>
      <c r="O4182">
        <v>-1.58183E-2</v>
      </c>
      <c r="P4182">
        <v>-0.99671949999999998</v>
      </c>
      <c r="Q4182">
        <v>-7.7743099999999996E-2</v>
      </c>
      <c r="R4182">
        <v>-2.249686E-2</v>
      </c>
      <c r="S4182">
        <v>-2.9939420000000001</v>
      </c>
      <c r="T4182">
        <v>-0.2008981</v>
      </c>
      <c r="U4182">
        <v>-9.0332030000000001E-3</v>
      </c>
      <c r="V4182">
        <v>-6.7024869999999896E-3</v>
      </c>
      <c r="W4182">
        <v>-6.3465549999999996E-2</v>
      </c>
      <c r="X4182">
        <v>0.99796149999999995</v>
      </c>
      <c r="Y4182">
        <v>1.274628E-2</v>
      </c>
      <c r="Z4182">
        <v>1.3524590000000001E-3</v>
      </c>
      <c r="AA4182">
        <v>0.99991790000000003</v>
      </c>
      <c r="AB4182">
        <v>31</v>
      </c>
      <c r="AC4182">
        <v>-16.391599999999901</v>
      </c>
      <c r="AD4182">
        <v>-1.121185263573</v>
      </c>
      <c r="AE4182">
        <v>-4.5299999999997398E-2</v>
      </c>
      <c r="AF4182">
        <v>0.21302285486341099</v>
      </c>
      <c r="AG4182">
        <v>-1.121185263573</v>
      </c>
      <c r="AH4182">
        <v>16.313940210849101</v>
      </c>
      <c r="AI4182">
        <v>93.9311705246337</v>
      </c>
      <c r="AJ4182">
        <v>89.251890300453994</v>
      </c>
      <c r="AK4182">
        <v>16.3538093524141</v>
      </c>
      <c r="AL4182">
        <v>93.638753776718303</v>
      </c>
      <c r="AM4182">
        <v>90.384802864069897</v>
      </c>
      <c r="AN4182">
        <v>0.99999997742551805</v>
      </c>
    </row>
    <row r="4183" spans="1:40" x14ac:dyDescent="0.25">
      <c r="A4183" t="str">
        <f>"20190303154557128"</f>
        <v>20190303154557128</v>
      </c>
      <c r="B4183" t="str">
        <f>"1551599157124914"</f>
        <v>1551599157124914</v>
      </c>
      <c r="C4183" t="s">
        <v>40</v>
      </c>
      <c r="D4183">
        <v>5.3136210000000004</v>
      </c>
      <c r="E4183">
        <v>0.50697230000000004</v>
      </c>
      <c r="F4183" t="s">
        <v>41</v>
      </c>
      <c r="G4183">
        <v>-265.8021</v>
      </c>
      <c r="H4183" s="1">
        <v>-2.1872099999999999E-6</v>
      </c>
      <c r="I4183">
        <v>141.13460000000001</v>
      </c>
      <c r="J4183">
        <v>-249.56630000000001</v>
      </c>
      <c r="K4183">
        <v>1.12114</v>
      </c>
      <c r="L4183">
        <v>141.20410000000001</v>
      </c>
      <c r="M4183">
        <v>-0.99977099999999997</v>
      </c>
      <c r="N4183">
        <v>-1.4312490000000001E-2</v>
      </c>
      <c r="O4183">
        <v>-1.591441E-2</v>
      </c>
      <c r="P4183">
        <v>-0.99672590000000005</v>
      </c>
      <c r="Q4183">
        <v>-7.7444949999999999E-2</v>
      </c>
      <c r="R4183">
        <v>-2.323689E-2</v>
      </c>
      <c r="S4183">
        <v>-2.9937589999999998</v>
      </c>
      <c r="T4183">
        <v>-0.2027959</v>
      </c>
      <c r="U4183">
        <v>-1.3473509999999999E-2</v>
      </c>
      <c r="V4183">
        <v>-7.3545590000000001E-3</v>
      </c>
      <c r="W4183">
        <v>-6.3169719999999999E-2</v>
      </c>
      <c r="X4183">
        <v>0.99797570000000002</v>
      </c>
      <c r="Y4183">
        <v>1.136172E-2</v>
      </c>
      <c r="Z4183">
        <v>1.3149639999999901E-3</v>
      </c>
      <c r="AA4183">
        <v>0.99993460000000001</v>
      </c>
      <c r="AB4183">
        <v>31</v>
      </c>
      <c r="AC4183">
        <v>-16.235799999999902</v>
      </c>
      <c r="AD4183">
        <v>-1.12114218721</v>
      </c>
      <c r="AE4183">
        <v>-6.9500000000005002E-2</v>
      </c>
      <c r="AF4183">
        <v>0.18802187836450099</v>
      </c>
      <c r="AG4183">
        <v>-1.12114218721</v>
      </c>
      <c r="AH4183">
        <v>16.157803910245001</v>
      </c>
      <c r="AI4183">
        <v>93.968954833191503</v>
      </c>
      <c r="AJ4183">
        <v>89.333302103848894</v>
      </c>
      <c r="AK4183">
        <v>16.1977448810818</v>
      </c>
      <c r="AL4183">
        <v>93.621769802958397</v>
      </c>
      <c r="AM4183">
        <v>90.422232287585203</v>
      </c>
      <c r="AN4183">
        <v>1.00000000042672</v>
      </c>
    </row>
    <row r="4184" spans="1:40" x14ac:dyDescent="0.25">
      <c r="A4184" t="str">
        <f>"20190303154557149"</f>
        <v>20190303154557149</v>
      </c>
      <c r="B4184" t="str">
        <f>"1551599157145410"</f>
        <v>1551599157145410</v>
      </c>
      <c r="C4184" t="s">
        <v>40</v>
      </c>
      <c r="D4184">
        <v>5.340821</v>
      </c>
      <c r="E4184">
        <v>0.50728039999999996</v>
      </c>
      <c r="F4184" t="s">
        <v>41</v>
      </c>
      <c r="G4184">
        <v>-266.17689999999999</v>
      </c>
      <c r="H4184" s="1">
        <v>-2.0232750000000001E-6</v>
      </c>
      <c r="I4184">
        <v>141.12270000000001</v>
      </c>
      <c r="J4184">
        <v>-249.84030000000001</v>
      </c>
      <c r="K4184">
        <v>1.121103</v>
      </c>
      <c r="L4184">
        <v>141.1996</v>
      </c>
      <c r="M4184">
        <v>-0.9997703</v>
      </c>
      <c r="N4184">
        <v>-1.430966E-2</v>
      </c>
      <c r="O4184">
        <v>-1.5957369999999998E-2</v>
      </c>
      <c r="P4184">
        <v>-0.99664010000000003</v>
      </c>
      <c r="Q4184">
        <v>-7.835723E-2</v>
      </c>
      <c r="R4184">
        <v>-2.3847E-2</v>
      </c>
      <c r="S4184">
        <v>-2.9938349999999998</v>
      </c>
      <c r="T4184">
        <v>-0.20207120000000001</v>
      </c>
      <c r="U4184">
        <v>-1.464844E-2</v>
      </c>
      <c r="V4184">
        <v>-7.9284730000000001E-3</v>
      </c>
      <c r="W4184">
        <v>-6.4085249999999996E-2</v>
      </c>
      <c r="X4184">
        <v>0.99791289999999999</v>
      </c>
      <c r="Y4184">
        <v>1.10137E-2</v>
      </c>
      <c r="Z4184">
        <v>1.2977990000000001E-3</v>
      </c>
      <c r="AA4184">
        <v>0.99993849999999995</v>
      </c>
      <c r="AB4184">
        <v>31</v>
      </c>
      <c r="AC4184">
        <v>-16.336599999999901</v>
      </c>
      <c r="AD4184">
        <v>-1.1211050232749999</v>
      </c>
      <c r="AE4184">
        <v>-7.6899999999994806E-2</v>
      </c>
      <c r="AF4184">
        <v>0.18296401216980901</v>
      </c>
      <c r="AG4184">
        <v>-1.1211050232749999</v>
      </c>
      <c r="AH4184">
        <v>16.259176815137799</v>
      </c>
      <c r="AI4184">
        <v>93.944174424386603</v>
      </c>
      <c r="AJ4184">
        <v>89.3552795836396</v>
      </c>
      <c r="AK4184">
        <v>16.298809251257499</v>
      </c>
      <c r="AL4184">
        <v>93.674332435679005</v>
      </c>
      <c r="AM4184">
        <v>90.455208548616895</v>
      </c>
      <c r="AN4184">
        <v>0.999999967969041</v>
      </c>
    </row>
    <row r="4185" spans="1:40" x14ac:dyDescent="0.25">
      <c r="A4185" t="str">
        <f>"20190303154557170"</f>
        <v>20190303154557170</v>
      </c>
      <c r="B4185" t="str">
        <f>"1551599157164930"</f>
        <v>1551599157164930</v>
      </c>
      <c r="C4185" t="s">
        <v>40</v>
      </c>
      <c r="D4185">
        <v>5.4098860000000002</v>
      </c>
      <c r="E4185">
        <v>0.50758080000000005</v>
      </c>
      <c r="F4185" t="s">
        <v>41</v>
      </c>
      <c r="G4185">
        <v>-266.19029999999998</v>
      </c>
      <c r="H4185" s="1">
        <v>-2.01751E-6</v>
      </c>
      <c r="I4185">
        <v>141.12270000000001</v>
      </c>
      <c r="J4185">
        <v>-250.14940000000001</v>
      </c>
      <c r="K4185">
        <v>1.121076</v>
      </c>
      <c r="L4185">
        <v>141.19460000000001</v>
      </c>
      <c r="M4185">
        <v>-0.99977009999999999</v>
      </c>
      <c r="N4185">
        <v>-1.430644E-2</v>
      </c>
      <c r="O4185">
        <v>-1.5972409999999999E-2</v>
      </c>
      <c r="P4185">
        <v>-0.99658939999999996</v>
      </c>
      <c r="Q4185">
        <v>-7.9002920000000004E-2</v>
      </c>
      <c r="R4185">
        <v>-2.383801E-2</v>
      </c>
      <c r="S4185">
        <v>-2.9936370000000001</v>
      </c>
      <c r="T4185">
        <v>-0.2052718</v>
      </c>
      <c r="U4185">
        <v>-1.4068600000000001E-2</v>
      </c>
      <c r="V4185">
        <v>-7.9100590000000005E-3</v>
      </c>
      <c r="W4185">
        <v>-6.4734239999999998E-2</v>
      </c>
      <c r="X4185">
        <v>0.99787119999999996</v>
      </c>
      <c r="Y4185">
        <v>1.1219689999999999E-2</v>
      </c>
      <c r="Z4185">
        <v>1.3301529999999999E-3</v>
      </c>
      <c r="AA4185">
        <v>0.99993620000000005</v>
      </c>
      <c r="AB4185">
        <v>31</v>
      </c>
      <c r="AC4185">
        <v>-16.040899999999901</v>
      </c>
      <c r="AD4185">
        <v>-1.1210780175099999</v>
      </c>
      <c r="AE4185">
        <v>-7.1899999999999395E-2</v>
      </c>
      <c r="AF4185">
        <v>0.183451186623105</v>
      </c>
      <c r="AG4185">
        <v>-1.1210780175099999</v>
      </c>
      <c r="AH4185">
        <v>15.9620378763211</v>
      </c>
      <c r="AI4185">
        <v>94.017251012436702</v>
      </c>
      <c r="AJ4185">
        <v>89.341530444557307</v>
      </c>
      <c r="AK4185">
        <v>16.0024099255183</v>
      </c>
      <c r="AL4185">
        <v>93.711594037026103</v>
      </c>
      <c r="AM4185">
        <v>90.454170341841404</v>
      </c>
      <c r="AN4185">
        <v>1.0000000113256</v>
      </c>
    </row>
    <row r="4186" spans="1:40" x14ac:dyDescent="0.25">
      <c r="A4186" t="str">
        <f>"20190303154557193"</f>
        <v>20190303154557193</v>
      </c>
      <c r="B4186" t="str">
        <f>"1551599157185426"</f>
        <v>1551599157185426</v>
      </c>
      <c r="C4186" t="s">
        <v>40</v>
      </c>
      <c r="D4186">
        <v>5.4182240000000004</v>
      </c>
      <c r="E4186">
        <v>0.50781899999999902</v>
      </c>
      <c r="F4186" t="s">
        <v>41</v>
      </c>
      <c r="G4186">
        <v>-266.30239999999998</v>
      </c>
      <c r="H4186" s="1">
        <v>-1.9719530000000001E-6</v>
      </c>
      <c r="I4186">
        <v>141.13220000000001</v>
      </c>
      <c r="J4186">
        <v>-250.44759999999999</v>
      </c>
      <c r="K4186">
        <v>1.121054</v>
      </c>
      <c r="L4186">
        <v>141.18979999999999</v>
      </c>
      <c r="M4186">
        <v>-0.9997703</v>
      </c>
      <c r="N4186">
        <v>-1.430331E-2</v>
      </c>
      <c r="O4186">
        <v>-1.5962580000000001E-2</v>
      </c>
      <c r="P4186">
        <v>-0.99660669999999996</v>
      </c>
      <c r="Q4186">
        <v>-7.8801960000000004E-2</v>
      </c>
      <c r="R4186">
        <v>-2.3778259999999999E-2</v>
      </c>
      <c r="S4186">
        <v>-2.993484</v>
      </c>
      <c r="T4186">
        <v>-0.20776059999999999</v>
      </c>
      <c r="U4186">
        <v>-1.1566160000000001E-2</v>
      </c>
      <c r="V4186">
        <v>-7.8635270000000004E-3</v>
      </c>
      <c r="W4186">
        <v>-6.4535739999999994E-2</v>
      </c>
      <c r="X4186">
        <v>0.9978844</v>
      </c>
      <c r="Y4186">
        <v>1.2041690000000001E-2</v>
      </c>
      <c r="Z4186">
        <v>1.38198799999999E-3</v>
      </c>
      <c r="AA4186">
        <v>0.9999266</v>
      </c>
      <c r="AB4186">
        <v>31</v>
      </c>
      <c r="AC4186">
        <v>-15.8547999999999</v>
      </c>
      <c r="AD4186">
        <v>-1.121055971953</v>
      </c>
      <c r="AE4186">
        <v>-5.7599999999979397E-2</v>
      </c>
      <c r="AF4186">
        <v>0.194544115951444</v>
      </c>
      <c r="AG4186">
        <v>-1.121055971953</v>
      </c>
      <c r="AH4186">
        <v>15.7748326512818</v>
      </c>
      <c r="AI4186">
        <v>94.064646030942797</v>
      </c>
      <c r="AJ4186">
        <v>89.293432014781203</v>
      </c>
      <c r="AK4186">
        <v>15.8158135763308</v>
      </c>
      <c r="AL4186">
        <v>93.700197086182399</v>
      </c>
      <c r="AM4186">
        <v>90.451492761671702</v>
      </c>
      <c r="AN4186">
        <v>0.99999998627879305</v>
      </c>
    </row>
    <row r="4187" spans="1:40" x14ac:dyDescent="0.25">
      <c r="A4187" t="str">
        <f>"20190303154557214"</f>
        <v>20190303154557214</v>
      </c>
      <c r="B4187" t="str">
        <f>"1551599157204946"</f>
        <v>1551599157204946</v>
      </c>
      <c r="C4187" t="s">
        <v>40</v>
      </c>
      <c r="D4187">
        <v>5.2886170000000003</v>
      </c>
      <c r="E4187">
        <v>0.50802199999999997</v>
      </c>
      <c r="F4187" t="s">
        <v>41</v>
      </c>
      <c r="G4187">
        <v>-266.55739999999997</v>
      </c>
      <c r="H4187" s="1">
        <v>-1.8643169999999999E-6</v>
      </c>
      <c r="I4187">
        <v>141.13890000000001</v>
      </c>
      <c r="J4187">
        <v>-250.74539999999999</v>
      </c>
      <c r="K4187">
        <v>1.1210310000000001</v>
      </c>
      <c r="L4187">
        <v>141.18510000000001</v>
      </c>
      <c r="M4187">
        <v>-0.99977090000000002</v>
      </c>
      <c r="N4187">
        <v>-1.4300169999999999E-2</v>
      </c>
      <c r="O4187">
        <v>-1.5927609999999998E-2</v>
      </c>
      <c r="P4187">
        <v>-0.99665490000000001</v>
      </c>
      <c r="Q4187">
        <v>-7.8266230000000006E-2</v>
      </c>
      <c r="R4187">
        <v>-2.3527840000000001E-2</v>
      </c>
      <c r="S4187">
        <v>-2.9935149999999999</v>
      </c>
      <c r="T4187">
        <v>-0.20831430000000001</v>
      </c>
      <c r="U4187">
        <v>-9.4604489999999992E-3</v>
      </c>
      <c r="V4187">
        <v>-7.6506219999999897E-3</v>
      </c>
      <c r="W4187">
        <v>-6.4002160000000002E-2</v>
      </c>
      <c r="X4187">
        <v>0.99792049999999999</v>
      </c>
      <c r="Y4187">
        <v>1.2707889999999999E-2</v>
      </c>
      <c r="Z4187">
        <v>1.4120529999999999E-3</v>
      </c>
      <c r="AA4187">
        <v>0.99991830000000004</v>
      </c>
      <c r="AB4187">
        <v>31</v>
      </c>
      <c r="AC4187">
        <v>-15.8119999999999</v>
      </c>
      <c r="AD4187">
        <v>-1.121032864317</v>
      </c>
      <c r="AE4187">
        <v>-4.6199999999998902E-2</v>
      </c>
      <c r="AF4187">
        <v>0.20465032137002101</v>
      </c>
      <c r="AG4187">
        <v>-1.121032864317</v>
      </c>
      <c r="AH4187">
        <v>15.731655712715</v>
      </c>
      <c r="AI4187">
        <v>94.075645743389899</v>
      </c>
      <c r="AJ4187">
        <v>89.254691398492398</v>
      </c>
      <c r="AK4187">
        <v>15.772875067669601</v>
      </c>
      <c r="AL4187">
        <v>93.669561574086998</v>
      </c>
      <c r="AM4187">
        <v>90.439253190410199</v>
      </c>
      <c r="AN4187">
        <v>1.0000000664109401</v>
      </c>
    </row>
    <row r="4188" spans="1:40" x14ac:dyDescent="0.25">
      <c r="A4188" t="str">
        <f>"20190303154557238"</f>
        <v>20190303154557238</v>
      </c>
      <c r="B4188" t="str">
        <f>"1551599157225441"</f>
        <v>1551599157225441</v>
      </c>
      <c r="C4188" t="s">
        <v>40</v>
      </c>
      <c r="D4188">
        <v>5.2949099999999998</v>
      </c>
      <c r="E4188">
        <v>0.50830259999999905</v>
      </c>
      <c r="F4188" t="s">
        <v>41</v>
      </c>
      <c r="G4188">
        <v>-266.94319999999999</v>
      </c>
      <c r="H4188" s="1">
        <v>-1.700798E-6</v>
      </c>
      <c r="I4188">
        <v>141.14619999999999</v>
      </c>
      <c r="J4188">
        <v>-251.05260000000001</v>
      </c>
      <c r="K4188">
        <v>1.1210020000000001</v>
      </c>
      <c r="L4188">
        <v>141.18020000000001</v>
      </c>
      <c r="M4188">
        <v>-0.99977199999999999</v>
      </c>
      <c r="N4188">
        <v>-1.4296949999999999E-2</v>
      </c>
      <c r="O4188">
        <v>-1.5861070000000001E-2</v>
      </c>
      <c r="P4188">
        <v>-0.99665389999999998</v>
      </c>
      <c r="Q4188">
        <v>-7.8486260000000002E-2</v>
      </c>
      <c r="R4188">
        <v>-2.2822720000000001E-2</v>
      </c>
      <c r="S4188">
        <v>-2.993652</v>
      </c>
      <c r="T4188">
        <v>-0.2071885</v>
      </c>
      <c r="U4188">
        <v>-7.1716310000000004E-3</v>
      </c>
      <c r="V4188">
        <v>-7.0162150000000001E-3</v>
      </c>
      <c r="W4188">
        <v>-6.4225110000000002E-2</v>
      </c>
      <c r="X4188">
        <v>0.99791079999999999</v>
      </c>
      <c r="Y4188">
        <v>1.340476E-2</v>
      </c>
      <c r="Z4188">
        <v>1.42909E-3</v>
      </c>
      <c r="AA4188">
        <v>0.9999091</v>
      </c>
      <c r="AB4188">
        <v>30</v>
      </c>
      <c r="AC4188">
        <v>-15.8905999999999</v>
      </c>
      <c r="AD4188">
        <v>-1.121003700798</v>
      </c>
      <c r="AE4188">
        <v>-3.4000000000020202E-2</v>
      </c>
      <c r="AF4188">
        <v>0.21699207652215799</v>
      </c>
      <c r="AG4188">
        <v>-1.121003700798</v>
      </c>
      <c r="AH4188">
        <v>15.8104578666549</v>
      </c>
      <c r="AI4188">
        <v>94.055256130298801</v>
      </c>
      <c r="AJ4188">
        <v>89.213688196914404</v>
      </c>
      <c r="AK4188">
        <v>15.851634389290799</v>
      </c>
      <c r="AL4188">
        <v>93.6823621430419</v>
      </c>
      <c r="AM4188">
        <v>90.402834485564398</v>
      </c>
      <c r="AN4188">
        <v>1.0000000283920301</v>
      </c>
    </row>
    <row r="4189" spans="1:40" x14ac:dyDescent="0.25">
      <c r="A4189" t="str">
        <f>"20190303154557259"</f>
        <v>20190303154557259</v>
      </c>
      <c r="B4189" t="str">
        <f>"1551599157254722"</f>
        <v>1551599157254722</v>
      </c>
      <c r="C4189" t="s">
        <v>40</v>
      </c>
      <c r="D4189">
        <v>5.2841269999999998</v>
      </c>
      <c r="E4189">
        <v>0.50871060000000001</v>
      </c>
      <c r="F4189" t="s">
        <v>41</v>
      </c>
      <c r="G4189">
        <v>-267.24040000000002</v>
      </c>
      <c r="H4189" s="1">
        <v>-1.578355E-6</v>
      </c>
      <c r="I4189">
        <v>141.1653</v>
      </c>
      <c r="J4189">
        <v>-251.35849999999999</v>
      </c>
      <c r="K4189">
        <v>1.120968</v>
      </c>
      <c r="L4189">
        <v>141.1755</v>
      </c>
      <c r="M4189">
        <v>-0.99977369999999999</v>
      </c>
      <c r="N4189">
        <v>-1.429367E-2</v>
      </c>
      <c r="O4189">
        <v>-1.5757110000000001E-2</v>
      </c>
      <c r="P4189">
        <v>-0.9966547</v>
      </c>
      <c r="Q4189">
        <v>-7.8778829999999994E-2</v>
      </c>
      <c r="R4189">
        <v>-2.1751199999999998E-2</v>
      </c>
      <c r="S4189">
        <v>-2.9936829999999999</v>
      </c>
      <c r="T4189">
        <v>-0.2073123</v>
      </c>
      <c r="U4189">
        <v>-2.746582E-3</v>
      </c>
      <c r="V4189">
        <v>-6.0539469999999996E-3</v>
      </c>
      <c r="W4189">
        <v>-6.4520739999999993E-2</v>
      </c>
      <c r="X4189">
        <v>0.99789799999999995</v>
      </c>
      <c r="Y4189">
        <v>1.4774900000000001E-2</v>
      </c>
      <c r="Z4189">
        <v>1.4815259999999999E-3</v>
      </c>
      <c r="AA4189">
        <v>0.99988969999999999</v>
      </c>
      <c r="AB4189">
        <v>30</v>
      </c>
      <c r="AC4189">
        <v>-15.8819</v>
      </c>
      <c r="AD4189">
        <v>-1.120969578355</v>
      </c>
      <c r="AE4189">
        <v>-1.0199999999997499E-2</v>
      </c>
      <c r="AF4189">
        <v>0.23888958451662601</v>
      </c>
      <c r="AG4189">
        <v>-1.120969578355</v>
      </c>
      <c r="AH4189">
        <v>15.801369993680799</v>
      </c>
      <c r="AI4189">
        <v>94.057376291960495</v>
      </c>
      <c r="AJ4189">
        <v>89.133852172004495</v>
      </c>
      <c r="AK4189">
        <v>15.8428827776508</v>
      </c>
      <c r="AL4189">
        <v>93.699335813799607</v>
      </c>
      <c r="AM4189">
        <v>90.347591995520006</v>
      </c>
      <c r="AN4189">
        <v>0.99999999728421296</v>
      </c>
    </row>
    <row r="4190" spans="1:40" x14ac:dyDescent="0.25">
      <c r="A4190" t="str">
        <f>"20190303154557284"</f>
        <v>20190303154557284</v>
      </c>
      <c r="B4190" t="str">
        <f>"1551599157275218"</f>
        <v>1551599157275218</v>
      </c>
      <c r="C4190" t="s">
        <v>40</v>
      </c>
      <c r="D4190">
        <v>5.265752</v>
      </c>
      <c r="E4190">
        <v>0.50898399999999999</v>
      </c>
      <c r="F4190" t="s">
        <v>41</v>
      </c>
      <c r="G4190">
        <v>-267.51799999999997</v>
      </c>
      <c r="H4190" s="1">
        <v>-1.467296E-6</v>
      </c>
      <c r="I4190">
        <v>141.19550000000001</v>
      </c>
      <c r="J4190">
        <v>-251.6661</v>
      </c>
      <c r="K4190">
        <v>1.1209279999999999</v>
      </c>
      <c r="L4190">
        <v>141.17070000000001</v>
      </c>
      <c r="M4190">
        <v>-0.99977629999999995</v>
      </c>
      <c r="N4190">
        <v>-1.429032E-2</v>
      </c>
      <c r="O4190">
        <v>-1.5599E-2</v>
      </c>
      <c r="P4190">
        <v>-0.99668190000000001</v>
      </c>
      <c r="Q4190">
        <v>-7.8661809999999999E-2</v>
      </c>
      <c r="R4190">
        <v>-2.092254E-2</v>
      </c>
      <c r="S4190">
        <v>-2.9937130000000001</v>
      </c>
      <c r="T4190">
        <v>-0.20767099999999999</v>
      </c>
      <c r="U4190">
        <v>3.7231450000000002E-3</v>
      </c>
      <c r="V4190">
        <v>-5.3892439999999996E-3</v>
      </c>
      <c r="W4190">
        <v>-6.4406450000000004E-2</v>
      </c>
      <c r="X4190">
        <v>0.99790919999999905</v>
      </c>
      <c r="Y4190">
        <v>1.677182E-2</v>
      </c>
      <c r="Z4190">
        <v>1.55908E-3</v>
      </c>
      <c r="AA4190">
        <v>0.99985809999999997</v>
      </c>
      <c r="AB4190">
        <v>30</v>
      </c>
      <c r="AC4190">
        <v>-15.851899999999899</v>
      </c>
      <c r="AD4190">
        <v>-1.120929467296</v>
      </c>
      <c r="AE4190">
        <v>2.4799999999999E-2</v>
      </c>
      <c r="AF4190">
        <v>0.27074221609746801</v>
      </c>
      <c r="AG4190">
        <v>-1.120929467296</v>
      </c>
      <c r="AH4190">
        <v>15.770726201268101</v>
      </c>
      <c r="AI4190">
        <v>94.064954739442996</v>
      </c>
      <c r="AJ4190">
        <v>89.016477589131298</v>
      </c>
      <c r="AK4190">
        <v>15.8128298901112</v>
      </c>
      <c r="AL4190">
        <v>93.692773809101297</v>
      </c>
      <c r="AM4190">
        <v>90.3094248796111</v>
      </c>
      <c r="AN4190">
        <v>1.0000000030985601</v>
      </c>
    </row>
    <row r="4191" spans="1:40" x14ac:dyDescent="0.25">
      <c r="A4191" t="str">
        <f>"20190303154557307"</f>
        <v>20190303154557307</v>
      </c>
      <c r="B4191" t="str">
        <f>"1551599157294737"</f>
        <v>1551599157294737</v>
      </c>
      <c r="C4191" t="s">
        <v>40</v>
      </c>
      <c r="D4191">
        <v>5.2216069999999997</v>
      </c>
      <c r="E4191">
        <v>0.50923409999999902</v>
      </c>
      <c r="F4191" t="s">
        <v>41</v>
      </c>
      <c r="G4191">
        <v>-267.88819999999998</v>
      </c>
      <c r="H4191" s="1">
        <v>-1.3139719999999999E-6</v>
      </c>
      <c r="I4191">
        <v>141.21610000000001</v>
      </c>
      <c r="J4191">
        <v>-251.9967</v>
      </c>
      <c r="K4191">
        <v>1.120878</v>
      </c>
      <c r="L4191">
        <v>141.16579999999999</v>
      </c>
      <c r="M4191">
        <v>-0.99978</v>
      </c>
      <c r="N4191">
        <v>-1.428687E-2</v>
      </c>
      <c r="O4191">
        <v>-1.5357880000000001E-2</v>
      </c>
      <c r="P4191">
        <v>-0.99671829999999995</v>
      </c>
      <c r="Q4191">
        <v>-7.8421309999999994E-2</v>
      </c>
      <c r="R4191">
        <v>-2.0071160000000001E-2</v>
      </c>
      <c r="S4191">
        <v>-2.9938349999999998</v>
      </c>
      <c r="T4191">
        <v>-0.206871</v>
      </c>
      <c r="U4191">
        <v>8.3923339999999996E-3</v>
      </c>
      <c r="V4191">
        <v>-4.7859499999999998E-3</v>
      </c>
      <c r="W4191">
        <v>-6.4168649999999994E-2</v>
      </c>
      <c r="X4191">
        <v>0.99792760000000003</v>
      </c>
      <c r="Y4191">
        <v>1.808715E-2</v>
      </c>
      <c r="Z4191">
        <v>1.594252E-3</v>
      </c>
      <c r="AA4191">
        <v>0.99983509999999998</v>
      </c>
      <c r="AB4191">
        <v>30</v>
      </c>
      <c r="AC4191">
        <v>-15.891499999999899</v>
      </c>
      <c r="AD4191">
        <v>-1.1208793139719999</v>
      </c>
      <c r="AE4191">
        <v>5.03000000000213E-2</v>
      </c>
      <c r="AF4191">
        <v>0.292921472597507</v>
      </c>
      <c r="AG4191">
        <v>-1.1208793139719999</v>
      </c>
      <c r="AH4191">
        <v>15.8101987902267</v>
      </c>
      <c r="AI4191">
        <v>94.054560976678502</v>
      </c>
      <c r="AJ4191">
        <v>88.9385810781462</v>
      </c>
      <c r="AK4191">
        <v>15.8525884073259</v>
      </c>
      <c r="AL4191">
        <v>93.679120612301105</v>
      </c>
      <c r="AM4191">
        <v>90.274782092033803</v>
      </c>
      <c r="AN4191">
        <v>1.0000000079009901</v>
      </c>
    </row>
    <row r="4192" spans="1:40" x14ac:dyDescent="0.25">
      <c r="A4192" t="str">
        <f>"20190303154557330"</f>
        <v>20190303154557330</v>
      </c>
      <c r="B4192" t="str">
        <f>"1551599157324994"</f>
        <v>1551599157324994</v>
      </c>
      <c r="C4192" t="s">
        <v>40</v>
      </c>
      <c r="D4192">
        <v>5.2139490000000004</v>
      </c>
      <c r="E4192">
        <v>0.50960139999999998</v>
      </c>
      <c r="F4192" t="s">
        <v>41</v>
      </c>
      <c r="G4192">
        <v>-268.30160000000001</v>
      </c>
      <c r="H4192" s="1">
        <v>-1.141815E-6</v>
      </c>
      <c r="I4192">
        <v>141.2355</v>
      </c>
      <c r="J4192">
        <v>-252.30609999999999</v>
      </c>
      <c r="K4192">
        <v>1.1208279999999999</v>
      </c>
      <c r="L4192">
        <v>141.16130000000001</v>
      </c>
      <c r="M4192">
        <v>-0.99978449999999996</v>
      </c>
      <c r="N4192">
        <v>-1.42837E-2</v>
      </c>
      <c r="O4192">
        <v>-1.507443E-2</v>
      </c>
      <c r="P4192">
        <v>-0.99671989999999999</v>
      </c>
      <c r="Q4192">
        <v>-7.8461420000000004E-2</v>
      </c>
      <c r="R4192">
        <v>-1.98412E-2</v>
      </c>
      <c r="S4192">
        <v>-2.9939580000000001</v>
      </c>
      <c r="T4192">
        <v>-0.2058208</v>
      </c>
      <c r="U4192">
        <v>1.281738E-2</v>
      </c>
      <c r="V4192">
        <v>-4.8458950000000002E-3</v>
      </c>
      <c r="W4192">
        <v>-6.4211379999999998E-2</v>
      </c>
      <c r="X4192">
        <v>0.99792460000000005</v>
      </c>
      <c r="Y4192">
        <v>1.9279080000000001E-2</v>
      </c>
      <c r="Z4192">
        <v>1.6197010000000001E-3</v>
      </c>
      <c r="AA4192">
        <v>0.99981279999999995</v>
      </c>
      <c r="AB4192">
        <v>30</v>
      </c>
      <c r="AC4192">
        <v>-15.9955</v>
      </c>
      <c r="AD4192">
        <v>-1.120829141815</v>
      </c>
      <c r="AE4192">
        <v>7.4199999999990496E-2</v>
      </c>
      <c r="AF4192">
        <v>0.31379845301311499</v>
      </c>
      <c r="AG4192">
        <v>-1.120829141815</v>
      </c>
      <c r="AH4192">
        <v>15.914425042832301</v>
      </c>
      <c r="AI4192">
        <v>94.027823600339801</v>
      </c>
      <c r="AJ4192">
        <v>88.870396047305704</v>
      </c>
      <c r="AK4192">
        <v>15.9569311547735</v>
      </c>
      <c r="AL4192">
        <v>93.681573781234903</v>
      </c>
      <c r="AM4192">
        <v>90.278224576412597</v>
      </c>
      <c r="AN4192">
        <v>1.0000000456525</v>
      </c>
    </row>
    <row r="4193" spans="1:40" x14ac:dyDescent="0.25">
      <c r="A4193" t="str">
        <f>"20190303154557349"</f>
        <v>20190303154557349</v>
      </c>
      <c r="B4193" t="str">
        <f>"1551599157345490"</f>
        <v>1551599157345490</v>
      </c>
      <c r="C4193" t="s">
        <v>40</v>
      </c>
      <c r="D4193">
        <v>5.2383850000000001</v>
      </c>
      <c r="E4193">
        <v>0.50982150000000004</v>
      </c>
      <c r="F4193" t="s">
        <v>41</v>
      </c>
      <c r="G4193">
        <v>-268.66419999999999</v>
      </c>
      <c r="H4193" s="1">
        <v>-9.9032720000000006E-7</v>
      </c>
      <c r="I4193">
        <v>141.2508</v>
      </c>
      <c r="J4193">
        <v>-252.56950000000001</v>
      </c>
      <c r="K4193">
        <v>1.1207879999999999</v>
      </c>
      <c r="L4193">
        <v>141.15770000000001</v>
      </c>
      <c r="M4193">
        <v>-0.99978889999999998</v>
      </c>
      <c r="N4193">
        <v>-1.428099E-2</v>
      </c>
      <c r="O4193">
        <v>-1.477906E-2</v>
      </c>
      <c r="P4193">
        <v>-0.99669649999999999</v>
      </c>
      <c r="Q4193">
        <v>-7.8716300000000003E-2</v>
      </c>
      <c r="R4193">
        <v>-2.0001870000000001E-2</v>
      </c>
      <c r="S4193">
        <v>-2.994049</v>
      </c>
      <c r="T4193">
        <v>-0.2051482</v>
      </c>
      <c r="U4193">
        <v>1.638794E-2</v>
      </c>
      <c r="V4193">
        <v>-5.30833E-3</v>
      </c>
      <c r="W4193">
        <v>-6.4468490000000003E-2</v>
      </c>
      <c r="X4193">
        <v>0.99790559999999995</v>
      </c>
      <c r="Y4193">
        <v>2.0174279999999999E-2</v>
      </c>
      <c r="Z4193">
        <v>1.63516299999999E-3</v>
      </c>
      <c r="AA4193">
        <v>0.99979510000000005</v>
      </c>
      <c r="AB4193">
        <v>30</v>
      </c>
      <c r="AC4193">
        <v>-16.0946999999999</v>
      </c>
      <c r="AD4193">
        <v>-1.1207889903271999</v>
      </c>
      <c r="AE4193">
        <v>9.3099999999992605E-2</v>
      </c>
      <c r="AF4193">
        <v>0.32938137494385999</v>
      </c>
      <c r="AG4193">
        <v>-1.1207889903271999</v>
      </c>
      <c r="AH4193">
        <v>16.0139115884826</v>
      </c>
      <c r="AI4193">
        <v>94.002671053299906</v>
      </c>
      <c r="AJ4193">
        <v>88.821680646511595</v>
      </c>
      <c r="AK4193">
        <v>16.056463633525802</v>
      </c>
      <c r="AL4193">
        <v>93.696335944062994</v>
      </c>
      <c r="AM4193">
        <v>90.304780368542097</v>
      </c>
      <c r="AN4193">
        <v>0.99999997554081399</v>
      </c>
    </row>
    <row r="4194" spans="1:40" x14ac:dyDescent="0.25">
      <c r="A4194" t="str">
        <f>"20190303154557372"</f>
        <v>20190303154557372</v>
      </c>
      <c r="B4194" t="str">
        <f>"1551599157365011"</f>
        <v>1551599157365011</v>
      </c>
      <c r="C4194" t="s">
        <v>40</v>
      </c>
      <c r="D4194">
        <v>5.2279730000000004</v>
      </c>
      <c r="E4194">
        <v>0.51002170000000002</v>
      </c>
      <c r="F4194" t="s">
        <v>41</v>
      </c>
      <c r="G4194">
        <v>-268.91809999999998</v>
      </c>
      <c r="H4194" s="1">
        <v>-8.8228759999999896E-7</v>
      </c>
      <c r="I4194">
        <v>141.2542</v>
      </c>
      <c r="J4194">
        <v>-252.88290000000001</v>
      </c>
      <c r="K4194">
        <v>1.1207339999999999</v>
      </c>
      <c r="L4194">
        <v>141.15350000000001</v>
      </c>
      <c r="M4194">
        <v>-0.99979510000000005</v>
      </c>
      <c r="N4194">
        <v>-1.427782E-2</v>
      </c>
      <c r="O4194">
        <v>-1.4348400000000001E-2</v>
      </c>
      <c r="P4194">
        <v>-0.99674680000000004</v>
      </c>
      <c r="Q4194">
        <v>-7.8082440000000003E-2</v>
      </c>
      <c r="R4194">
        <v>-1.9977390000000001E-2</v>
      </c>
      <c r="S4194">
        <v>-2.9940950000000002</v>
      </c>
      <c r="T4194">
        <v>-0.20526179999999999</v>
      </c>
      <c r="U4194">
        <v>1.7700199999999999E-2</v>
      </c>
      <c r="V4194">
        <v>-5.7206380000000001E-3</v>
      </c>
      <c r="W4194">
        <v>-6.3836149999999994E-2</v>
      </c>
      <c r="X4194">
        <v>0.99794400000000005</v>
      </c>
      <c r="Y4194">
        <v>2.0182229999999999E-2</v>
      </c>
      <c r="Z4194">
        <v>1.6130770000000001E-3</v>
      </c>
      <c r="AA4194">
        <v>0.99979499999999999</v>
      </c>
      <c r="AB4194">
        <v>30</v>
      </c>
      <c r="AC4194">
        <v>-16.0351999999999</v>
      </c>
      <c r="AD4194">
        <v>-1.1207348822876</v>
      </c>
      <c r="AE4194">
        <v>0.10069999999998901</v>
      </c>
      <c r="AF4194">
        <v>0.32918457791127598</v>
      </c>
      <c r="AG4194">
        <v>-1.1207348822876</v>
      </c>
      <c r="AH4194">
        <v>15.9541722084545</v>
      </c>
      <c r="AI4194">
        <v>94.017411154933896</v>
      </c>
      <c r="AJ4194">
        <v>88.817976206636899</v>
      </c>
      <c r="AK4194">
        <v>15.9968753205035</v>
      </c>
      <c r="AL4194">
        <v>93.660030642674599</v>
      </c>
      <c r="AM4194">
        <v>90.328440096199301</v>
      </c>
      <c r="AN4194">
        <v>1.00000000344097</v>
      </c>
    </row>
    <row r="4195" spans="1:40" x14ac:dyDescent="0.25">
      <c r="A4195" t="str">
        <f>"20190303154557394"</f>
        <v>20190303154557394</v>
      </c>
      <c r="B4195" t="str">
        <f>"1551599157385506"</f>
        <v>1551599157385506</v>
      </c>
      <c r="C4195" t="s">
        <v>40</v>
      </c>
      <c r="D4195">
        <v>5.2488400000000004</v>
      </c>
      <c r="E4195">
        <v>0.5102314</v>
      </c>
      <c r="F4195" t="s">
        <v>41</v>
      </c>
      <c r="G4195">
        <v>-269.43560000000002</v>
      </c>
      <c r="H4195" s="1">
        <v>-6.6198149999999999E-7</v>
      </c>
      <c r="I4195">
        <v>141.26060000000001</v>
      </c>
      <c r="J4195">
        <v>-253.16909999999999</v>
      </c>
      <c r="K4195">
        <v>1.120682</v>
      </c>
      <c r="L4195">
        <v>141.1498</v>
      </c>
      <c r="M4195">
        <v>-0.99980190000000002</v>
      </c>
      <c r="N4195">
        <v>-1.4275039999999999E-2</v>
      </c>
      <c r="O4195">
        <v>-1.3876319999999999E-2</v>
      </c>
      <c r="P4195">
        <v>-0.99677139999999997</v>
      </c>
      <c r="Q4195">
        <v>-7.7848810000000004E-2</v>
      </c>
      <c r="R4195">
        <v>-1.966646E-2</v>
      </c>
      <c r="S4195">
        <v>-2.9943080000000002</v>
      </c>
      <c r="T4195">
        <v>-0.20273669999999999</v>
      </c>
      <c r="U4195">
        <v>1.9393919999999999E-2</v>
      </c>
      <c r="V4195">
        <v>-5.8891789999999996E-3</v>
      </c>
      <c r="W4195">
        <v>-6.3604099999999997E-2</v>
      </c>
      <c r="X4195">
        <v>0.99795780000000001</v>
      </c>
      <c r="Y4195">
        <v>2.0277590000000002E-2</v>
      </c>
      <c r="Z4195">
        <v>1.5711360000000001E-3</v>
      </c>
      <c r="AA4195">
        <v>0.99979320000000005</v>
      </c>
      <c r="AB4195">
        <v>30</v>
      </c>
      <c r="AC4195">
        <v>-16.266500000000001</v>
      </c>
      <c r="AD4195">
        <v>-1.1206826619815</v>
      </c>
      <c r="AE4195">
        <v>0.110800000000011</v>
      </c>
      <c r="AF4195">
        <v>0.33494173158209201</v>
      </c>
      <c r="AG4195">
        <v>-1.1206826619815</v>
      </c>
      <c r="AH4195">
        <v>16.186569256398801</v>
      </c>
      <c r="AI4195">
        <v>93.959727639115002</v>
      </c>
      <c r="AJ4195">
        <v>88.814572195341299</v>
      </c>
      <c r="AK4195">
        <v>16.2287750580448</v>
      </c>
      <c r="AL4195">
        <v>93.646708215125003</v>
      </c>
      <c r="AM4195">
        <v>90.338111676355098</v>
      </c>
      <c r="AN4195">
        <v>0.99999996727347096</v>
      </c>
    </row>
    <row r="4196" spans="1:40" x14ac:dyDescent="0.25">
      <c r="A4196" t="str">
        <f>"20190303154557416"</f>
        <v>20190303154557416</v>
      </c>
      <c r="B4196" t="str">
        <f>"1551599157405026"</f>
        <v>1551599157405026</v>
      </c>
      <c r="C4196" t="s">
        <v>40</v>
      </c>
      <c r="D4196">
        <v>5.2227540000000001</v>
      </c>
      <c r="E4196">
        <v>0.5104225</v>
      </c>
      <c r="F4196" t="s">
        <v>41</v>
      </c>
      <c r="G4196">
        <v>-269.82819999999998</v>
      </c>
      <c r="H4196" s="1">
        <v>-4.9669939999999999E-7</v>
      </c>
      <c r="I4196">
        <v>141.2724</v>
      </c>
      <c r="J4196">
        <v>-253.4716</v>
      </c>
      <c r="K4196">
        <v>1.1206130000000001</v>
      </c>
      <c r="L4196">
        <v>141.14619999999999</v>
      </c>
      <c r="M4196">
        <v>-0.99980979999999997</v>
      </c>
      <c r="N4196">
        <v>-1.427231E-2</v>
      </c>
      <c r="O4196">
        <v>-1.329046E-2</v>
      </c>
      <c r="P4196">
        <v>-0.99677179999999999</v>
      </c>
      <c r="Q4196">
        <v>-7.8256049999999994E-2</v>
      </c>
      <c r="R4196">
        <v>-1.7944209999999999E-2</v>
      </c>
      <c r="S4196">
        <v>-2.994415</v>
      </c>
      <c r="T4196">
        <v>-0.20143929999999999</v>
      </c>
      <c r="U4196">
        <v>2.2048950000000001E-2</v>
      </c>
      <c r="V4196">
        <v>-4.7626819999999999E-3</v>
      </c>
      <c r="W4196">
        <v>-6.401461E-2</v>
      </c>
      <c r="X4196">
        <v>0.99793759999999998</v>
      </c>
      <c r="Y4196">
        <v>2.0578920000000001E-2</v>
      </c>
      <c r="Z4196">
        <v>1.5419779999999901E-3</v>
      </c>
      <c r="AA4196">
        <v>0.99978699999999998</v>
      </c>
      <c r="AB4196">
        <v>30</v>
      </c>
      <c r="AC4196">
        <v>-16.356599999999901</v>
      </c>
      <c r="AD4196">
        <v>-1.1206134966993999</v>
      </c>
      <c r="AE4196">
        <v>0.126200000000011</v>
      </c>
      <c r="AF4196">
        <v>0.34199258361374002</v>
      </c>
      <c r="AG4196">
        <v>-1.1206134966993999</v>
      </c>
      <c r="AH4196">
        <v>16.277080631982201</v>
      </c>
      <c r="AI4196">
        <v>93.937510098942496</v>
      </c>
      <c r="AJ4196">
        <v>88.796353626592406</v>
      </c>
      <c r="AK4196">
        <v>16.319193835367098</v>
      </c>
      <c r="AL4196">
        <v>93.670276603638499</v>
      </c>
      <c r="AM4196">
        <v>90.273443455767094</v>
      </c>
      <c r="AN4196">
        <v>1.0000000034635199</v>
      </c>
    </row>
    <row r="4197" spans="1:40" x14ac:dyDescent="0.25">
      <c r="A4197" t="str">
        <f>"20190303154557439"</f>
        <v>20190303154557439</v>
      </c>
      <c r="B4197" t="str">
        <f>"1551599157435282"</f>
        <v>1551599157435282</v>
      </c>
      <c r="C4197" t="s">
        <v>40</v>
      </c>
      <c r="D4197">
        <v>5.2285409999999999</v>
      </c>
      <c r="E4197">
        <v>0.5106986</v>
      </c>
      <c r="F4197" t="s">
        <v>41</v>
      </c>
      <c r="G4197">
        <v>-270.07350000000002</v>
      </c>
      <c r="H4197" s="1">
        <v>-4.5505260000000002E-6</v>
      </c>
      <c r="I4197">
        <v>141.3047</v>
      </c>
      <c r="J4197">
        <v>-253.7704</v>
      </c>
      <c r="K4197">
        <v>1.1205400000000001</v>
      </c>
      <c r="L4197">
        <v>141.1429</v>
      </c>
      <c r="M4197">
        <v>-0.9998186</v>
      </c>
      <c r="N4197">
        <v>-1.426988E-2</v>
      </c>
      <c r="O4197">
        <v>-1.261667E-2</v>
      </c>
      <c r="P4197">
        <v>-0.99678230000000001</v>
      </c>
      <c r="Q4197">
        <v>-7.8443120000000005E-2</v>
      </c>
      <c r="R4197">
        <v>-1.6490520000000002E-2</v>
      </c>
      <c r="S4197">
        <v>-2.9943849999999999</v>
      </c>
      <c r="T4197">
        <v>-0.20211989999999999</v>
      </c>
      <c r="U4197">
        <v>2.8594970000000001E-2</v>
      </c>
      <c r="V4197">
        <v>-3.9927010000000004E-3</v>
      </c>
      <c r="W4197">
        <v>-6.4204319999999995E-2</v>
      </c>
      <c r="X4197">
        <v>0.99792879999999995</v>
      </c>
      <c r="Y4197">
        <v>2.2086959999999999E-2</v>
      </c>
      <c r="Z4197">
        <v>1.573131E-3</v>
      </c>
      <c r="AA4197">
        <v>0.99975480000000005</v>
      </c>
      <c r="AB4197">
        <v>30</v>
      </c>
      <c r="AC4197">
        <v>-16.303100000000001</v>
      </c>
      <c r="AD4197">
        <v>-1.1205445505260001</v>
      </c>
      <c r="AE4197">
        <v>0.161799999999999</v>
      </c>
      <c r="AF4197">
        <v>0.36577112861857802</v>
      </c>
      <c r="AG4197">
        <v>-1.1205445505260001</v>
      </c>
      <c r="AH4197">
        <v>16.223128612194699</v>
      </c>
      <c r="AI4197">
        <v>93.950189463192402</v>
      </c>
      <c r="AJ4197">
        <v>88.708412388175404</v>
      </c>
      <c r="AK4197">
        <v>16.2658940908901</v>
      </c>
      <c r="AL4197">
        <v>93.681168556568096</v>
      </c>
      <c r="AM4197">
        <v>90.229238494256407</v>
      </c>
      <c r="AN4197">
        <v>1.0000000131186799</v>
      </c>
    </row>
    <row r="4198" spans="1:40" x14ac:dyDescent="0.25">
      <c r="A4198" t="str">
        <f>"20190303154557463"</f>
        <v>20190303154557463</v>
      </c>
      <c r="B4198" t="str">
        <f>"1551599157455778"</f>
        <v>1551599157455778</v>
      </c>
      <c r="C4198" t="s">
        <v>40</v>
      </c>
      <c r="D4198">
        <v>5.231122</v>
      </c>
      <c r="E4198">
        <v>0.51088630000000002</v>
      </c>
      <c r="F4198" t="s">
        <v>41</v>
      </c>
      <c r="G4198">
        <v>-270.3963</v>
      </c>
      <c r="H4198" s="1">
        <v>-4.4465410000000002E-6</v>
      </c>
      <c r="I4198">
        <v>141.33779999999999</v>
      </c>
      <c r="J4198">
        <v>-254.0977</v>
      </c>
      <c r="K4198">
        <v>1.1204480000000001</v>
      </c>
      <c r="L4198">
        <v>141.1397</v>
      </c>
      <c r="M4198">
        <v>-0.99982930000000003</v>
      </c>
      <c r="N4198">
        <v>-1.426736E-2</v>
      </c>
      <c r="O4198">
        <v>-1.175555E-2</v>
      </c>
      <c r="P4198">
        <v>-0.9968089</v>
      </c>
      <c r="Q4198">
        <v>-7.8442189999999995E-2</v>
      </c>
      <c r="R4198">
        <v>-1.480453E-2</v>
      </c>
      <c r="S4198">
        <v>-2.9943849999999999</v>
      </c>
      <c r="T4198">
        <v>-0.20181499999999999</v>
      </c>
      <c r="U4198">
        <v>3.5110469999999998E-2</v>
      </c>
      <c r="V4198">
        <v>-3.179472E-3</v>
      </c>
      <c r="W4198">
        <v>-6.4206230000000003E-2</v>
      </c>
      <c r="X4198">
        <v>0.99793160000000003</v>
      </c>
      <c r="Y4198">
        <v>2.3398849999999999E-2</v>
      </c>
      <c r="Z4198">
        <v>1.578559E-3</v>
      </c>
      <c r="AA4198">
        <v>0.99972499999999997</v>
      </c>
      <c r="AB4198">
        <v>30</v>
      </c>
      <c r="AC4198">
        <v>-16.298599999999901</v>
      </c>
      <c r="AD4198">
        <v>-1.120452446541</v>
      </c>
      <c r="AE4198">
        <v>0.19809999999998201</v>
      </c>
      <c r="AF4198">
        <v>0.38787200243919001</v>
      </c>
      <c r="AG4198">
        <v>-1.120452446541</v>
      </c>
      <c r="AH4198">
        <v>16.2185085123951</v>
      </c>
      <c r="AI4198">
        <v>93.950862224725995</v>
      </c>
      <c r="AJ4198">
        <v>88.630010071501502</v>
      </c>
      <c r="AK4198">
        <v>16.261791928993201</v>
      </c>
      <c r="AL4198">
        <v>93.681278215825003</v>
      </c>
      <c r="AM4198">
        <v>90.182547291097507</v>
      </c>
      <c r="AN4198">
        <v>1.0000000136457801</v>
      </c>
    </row>
    <row r="4199" spans="1:40" x14ac:dyDescent="0.25">
      <c r="A4199" t="str">
        <f>"20190303154557486"</f>
        <v>20190303154557486</v>
      </c>
      <c r="B4199" t="str">
        <f>"1551599157475298"</f>
        <v>1551599157475298</v>
      </c>
      <c r="C4199" t="s">
        <v>40</v>
      </c>
      <c r="D4199">
        <v>5.2341030000000002</v>
      </c>
      <c r="E4199">
        <v>0.51106609999999997</v>
      </c>
      <c r="F4199" t="s">
        <v>41</v>
      </c>
      <c r="G4199">
        <v>-270.76490000000001</v>
      </c>
      <c r="H4199" s="1">
        <v>-4.3271819999999998E-6</v>
      </c>
      <c r="I4199">
        <v>141.37200000000001</v>
      </c>
      <c r="J4199">
        <v>-254.39099999999999</v>
      </c>
      <c r="K4199">
        <v>1.120366</v>
      </c>
      <c r="L4199">
        <v>141.1371</v>
      </c>
      <c r="M4199">
        <v>-0.99983920000000004</v>
      </c>
      <c r="N4199">
        <v>-1.426527E-2</v>
      </c>
      <c r="O4199">
        <v>-1.0869190000000001E-2</v>
      </c>
      <c r="P4199">
        <v>-0.99682440000000005</v>
      </c>
      <c r="Q4199">
        <v>-7.8379270000000001E-2</v>
      </c>
      <c r="R4199">
        <v>-1.406668E-2</v>
      </c>
      <c r="S4199">
        <v>-2.9943849999999999</v>
      </c>
      <c r="T4199">
        <v>-0.2012988</v>
      </c>
      <c r="U4199">
        <v>4.1748050000000002E-2</v>
      </c>
      <c r="V4199">
        <v>-3.3379429999999999E-3</v>
      </c>
      <c r="W4199">
        <v>-6.4144450000000006E-2</v>
      </c>
      <c r="X4199">
        <v>0.99793509999999996</v>
      </c>
      <c r="Y4199">
        <v>2.472628E-2</v>
      </c>
      <c r="Z4199">
        <v>1.5816789999999999E-3</v>
      </c>
      <c r="AA4199">
        <v>0.99969300000000005</v>
      </c>
      <c r="AB4199">
        <v>30</v>
      </c>
      <c r="AC4199">
        <v>-16.373899999999999</v>
      </c>
      <c r="AD4199">
        <v>-1.120370327182</v>
      </c>
      <c r="AE4199">
        <v>0.23490000000000999</v>
      </c>
      <c r="AF4199">
        <v>0.41095163261105599</v>
      </c>
      <c r="AG4199">
        <v>-1.120370327182</v>
      </c>
      <c r="AH4199">
        <v>16.294108017460498</v>
      </c>
      <c r="AI4199">
        <v>93.932176155887504</v>
      </c>
      <c r="AJ4199">
        <v>88.555256686773305</v>
      </c>
      <c r="AK4199">
        <v>16.337749753226301</v>
      </c>
      <c r="AL4199">
        <v>93.677731007264398</v>
      </c>
      <c r="AM4199">
        <v>90.191645060809606</v>
      </c>
      <c r="AN4199">
        <v>1.0000000580706401</v>
      </c>
    </row>
    <row r="4200" spans="1:40" x14ac:dyDescent="0.25">
      <c r="A4200" t="str">
        <f>"20190303154557510"</f>
        <v>20190303154557510</v>
      </c>
      <c r="B4200" t="str">
        <f>"1551599157505556"</f>
        <v>1551599157505556</v>
      </c>
      <c r="C4200" t="s">
        <v>40</v>
      </c>
      <c r="D4200">
        <v>5.2479969999999998</v>
      </c>
      <c r="E4200">
        <v>0.51129939999999996</v>
      </c>
      <c r="F4200" t="s">
        <v>41</v>
      </c>
      <c r="G4200">
        <v>-271.13240000000002</v>
      </c>
      <c r="H4200" s="1">
        <v>-4.2054779999999996E-6</v>
      </c>
      <c r="I4200">
        <v>141.39099999999999</v>
      </c>
      <c r="J4200">
        <v>-254.71809999999999</v>
      </c>
      <c r="K4200">
        <v>1.1202829999999999</v>
      </c>
      <c r="L4200">
        <v>141.13470000000001</v>
      </c>
      <c r="M4200">
        <v>-0.99985060000000003</v>
      </c>
      <c r="N4200">
        <v>-1.426301E-2</v>
      </c>
      <c r="O4200">
        <v>-9.7762539999999998E-3</v>
      </c>
      <c r="P4200">
        <v>-0.99685230000000002</v>
      </c>
      <c r="Q4200">
        <v>-7.8168929999999998E-2</v>
      </c>
      <c r="R4200">
        <v>-1.325142E-2</v>
      </c>
      <c r="S4200">
        <v>-2.994415</v>
      </c>
      <c r="T4200">
        <v>-0.2003926</v>
      </c>
      <c r="U4200">
        <v>4.5410159999999998E-2</v>
      </c>
      <c r="V4200">
        <v>-3.624932E-3</v>
      </c>
      <c r="W4200">
        <v>-6.3934959999999999E-2</v>
      </c>
      <c r="X4200">
        <v>0.99794749999999999</v>
      </c>
      <c r="Y4200">
        <v>2.4857600000000001E-2</v>
      </c>
      <c r="Z4200">
        <v>1.5224850000000001E-3</v>
      </c>
      <c r="AA4200">
        <v>0.99968979999999996</v>
      </c>
      <c r="AB4200">
        <v>30</v>
      </c>
      <c r="AC4200">
        <v>-16.414300000000001</v>
      </c>
      <c r="AD4200">
        <v>-1.120287205478</v>
      </c>
      <c r="AE4200">
        <v>0.25629999999998099</v>
      </c>
      <c r="AF4200">
        <v>0.41484249180091698</v>
      </c>
      <c r="AG4200">
        <v>-1.120287205478</v>
      </c>
      <c r="AH4200">
        <v>16.334937376180399</v>
      </c>
      <c r="AI4200">
        <v>93.922070936399294</v>
      </c>
      <c r="AJ4200">
        <v>88.545227604597997</v>
      </c>
      <c r="AK4200">
        <v>16.3785627208097</v>
      </c>
      <c r="AL4200">
        <v>93.665703581127602</v>
      </c>
      <c r="AM4200">
        <v>90.208119556567297</v>
      </c>
      <c r="AN4200">
        <v>1.0000000159992199</v>
      </c>
    </row>
    <row r="4201" spans="1:40" x14ac:dyDescent="0.25">
      <c r="A4201" t="str">
        <f>"20190303154557531"</f>
        <v>20190303154557531</v>
      </c>
      <c r="B4201" t="str">
        <f>"1551599157525076"</f>
        <v>1551599157525076</v>
      </c>
      <c r="C4201" t="s">
        <v>40</v>
      </c>
      <c r="D4201">
        <v>5.2297039999999999</v>
      </c>
      <c r="E4201">
        <v>0.5114476</v>
      </c>
      <c r="F4201" t="s">
        <v>41</v>
      </c>
      <c r="G4201">
        <v>-271.59980000000002</v>
      </c>
      <c r="H4201" s="1">
        <v>-4.0506169999999996E-6</v>
      </c>
      <c r="I4201">
        <v>141.41460000000001</v>
      </c>
      <c r="J4201">
        <v>-255.01390000000001</v>
      </c>
      <c r="K4201">
        <v>1.1202129999999999</v>
      </c>
      <c r="L4201">
        <v>141.13299999999899</v>
      </c>
      <c r="M4201">
        <v>-0.99986059999999999</v>
      </c>
      <c r="N4201">
        <v>-1.4260979999999999E-2</v>
      </c>
      <c r="O4201">
        <v>-8.6915069999999994E-3</v>
      </c>
      <c r="P4201">
        <v>-0.99684360000000005</v>
      </c>
      <c r="Q4201">
        <v>-7.827336E-2</v>
      </c>
      <c r="R4201">
        <v>-1.3281299999999999E-2</v>
      </c>
      <c r="S4201">
        <v>-2.9945369999999998</v>
      </c>
      <c r="T4201">
        <v>-0.1987216</v>
      </c>
      <c r="U4201">
        <v>4.9652099999999998E-2</v>
      </c>
      <c r="V4201">
        <v>-4.7479230000000002E-3</v>
      </c>
      <c r="W4201">
        <v>-6.4038659999999997E-2</v>
      </c>
      <c r="X4201">
        <v>0.99793609999999999</v>
      </c>
      <c r="Y4201">
        <v>2.519008E-2</v>
      </c>
      <c r="Z4201">
        <v>1.4670009999999999E-3</v>
      </c>
      <c r="AA4201">
        <v>0.99968159999999895</v>
      </c>
      <c r="AB4201">
        <v>30</v>
      </c>
      <c r="AC4201">
        <v>-16.585899999999999</v>
      </c>
      <c r="AD4201">
        <v>-1.1202170506169999</v>
      </c>
      <c r="AE4201">
        <v>0.281600000000025</v>
      </c>
      <c r="AF4201">
        <v>0.42382766302460401</v>
      </c>
      <c r="AG4201">
        <v>-1.1202170506169999</v>
      </c>
      <c r="AH4201">
        <v>16.5075449258233</v>
      </c>
      <c r="AI4201">
        <v>93.880916824924896</v>
      </c>
      <c r="AJ4201">
        <v>88.529266302634795</v>
      </c>
      <c r="AK4201">
        <v>16.550938209253001</v>
      </c>
      <c r="AL4201">
        <v>93.671657500446599</v>
      </c>
      <c r="AM4201">
        <v>90.272596508703003</v>
      </c>
      <c r="AN4201">
        <v>0.99999997621530901</v>
      </c>
    </row>
    <row r="4202" spans="1:40" x14ac:dyDescent="0.25">
      <c r="A4202" t="str">
        <f>"20190303154557555"</f>
        <v>20190303154557555</v>
      </c>
      <c r="B4202" t="str">
        <f>"1551599157545571"</f>
        <v>1551599157545571</v>
      </c>
      <c r="C4202" t="s">
        <v>40</v>
      </c>
      <c r="D4202">
        <v>5.2552440000000002</v>
      </c>
      <c r="E4202">
        <v>0.51159650000000001</v>
      </c>
      <c r="F4202" t="s">
        <v>41</v>
      </c>
      <c r="G4202">
        <v>-271.90890000000002</v>
      </c>
      <c r="H4202" s="1">
        <v>-3.9330439999999998E-6</v>
      </c>
      <c r="I4202">
        <v>141.41899999999899</v>
      </c>
      <c r="J4202">
        <v>-255.32859999999999</v>
      </c>
      <c r="K4202">
        <v>1.120134</v>
      </c>
      <c r="L4202">
        <v>141.13159999999999</v>
      </c>
      <c r="M4202">
        <v>-0.9998707</v>
      </c>
      <c r="N4202">
        <v>-1.425885E-2</v>
      </c>
      <c r="O4202">
        <v>-7.4271440000000001E-3</v>
      </c>
      <c r="P4202">
        <v>-0.99684099999999998</v>
      </c>
      <c r="Q4202">
        <v>-7.8338000000000005E-2</v>
      </c>
      <c r="R4202">
        <v>-1.3090650000000001E-2</v>
      </c>
      <c r="S4202">
        <v>-2.9945979999999999</v>
      </c>
      <c r="T4202">
        <v>-0.1985556</v>
      </c>
      <c r="U4202">
        <v>5.070496E-2</v>
      </c>
      <c r="V4202">
        <v>-5.8299859999999997E-3</v>
      </c>
      <c r="W4202">
        <v>-6.4102290000000006E-2</v>
      </c>
      <c r="X4202">
        <v>0.99792630000000004</v>
      </c>
      <c r="Y4202">
        <v>2.4281239999999999E-2</v>
      </c>
      <c r="Z4202">
        <v>1.363476E-3</v>
      </c>
      <c r="AA4202">
        <v>0.99970420000000004</v>
      </c>
      <c r="AB4202">
        <v>30</v>
      </c>
      <c r="AC4202">
        <v>-16.580300000000001</v>
      </c>
      <c r="AD4202">
        <v>-1.120137933044</v>
      </c>
      <c r="AE4202">
        <v>0.287399999999991</v>
      </c>
      <c r="AF4202">
        <v>0.40868414575999501</v>
      </c>
      <c r="AG4202">
        <v>-1.120137933044</v>
      </c>
      <c r="AH4202">
        <v>16.502411249912299</v>
      </c>
      <c r="AI4202">
        <v>93.881935818867305</v>
      </c>
      <c r="AJ4202">
        <v>88.581353291923406</v>
      </c>
      <c r="AK4202">
        <v>16.545431658958599</v>
      </c>
      <c r="AL4202">
        <v>93.675310663180895</v>
      </c>
      <c r="AM4202">
        <v>90.334723909264198</v>
      </c>
      <c r="AN4202">
        <v>0.99999999627584701</v>
      </c>
    </row>
    <row r="4203" spans="1:40" x14ac:dyDescent="0.25">
      <c r="A4203" t="str">
        <f>"20190303154557574"</f>
        <v>20190303154557574</v>
      </c>
      <c r="B4203" t="str">
        <f>"1551599157565091"</f>
        <v>1551599157565091</v>
      </c>
      <c r="C4203" t="s">
        <v>40</v>
      </c>
      <c r="D4203">
        <v>5.2927790000000003</v>
      </c>
      <c r="E4203">
        <v>0.51176630000000001</v>
      </c>
      <c r="F4203" t="s">
        <v>41</v>
      </c>
      <c r="G4203">
        <v>-272.24380000000002</v>
      </c>
      <c r="H4203" s="1">
        <v>-3.7918470000000001E-6</v>
      </c>
      <c r="I4203">
        <v>141.4282</v>
      </c>
      <c r="J4203">
        <v>-255.59059999999999</v>
      </c>
      <c r="K4203">
        <v>1.120061</v>
      </c>
      <c r="L4203">
        <v>141.13079999999999</v>
      </c>
      <c r="M4203">
        <v>-0.99987859999999995</v>
      </c>
      <c r="N4203">
        <v>-1.425735E-2</v>
      </c>
      <c r="O4203">
        <v>-6.2823419999999998E-3</v>
      </c>
      <c r="P4203">
        <v>-0.99682040000000005</v>
      </c>
      <c r="Q4203">
        <v>-7.8609509999999994E-2</v>
      </c>
      <c r="R4203">
        <v>-1.300755E-2</v>
      </c>
      <c r="S4203">
        <v>-2.9946290000000002</v>
      </c>
      <c r="T4203">
        <v>-0.19830729999999999</v>
      </c>
      <c r="U4203">
        <v>5.2536010000000001E-2</v>
      </c>
      <c r="V4203">
        <v>-6.9005209999999997E-3</v>
      </c>
      <c r="W4203">
        <v>-6.4372090000000007E-2</v>
      </c>
      <c r="X4203">
        <v>0.99790210000000001</v>
      </c>
      <c r="Y4203">
        <v>2.375068E-2</v>
      </c>
      <c r="Z4203">
        <v>1.281084E-3</v>
      </c>
      <c r="AA4203">
        <v>0.99971710000000003</v>
      </c>
      <c r="AB4203">
        <v>30</v>
      </c>
      <c r="AC4203">
        <v>-16.653199999999998</v>
      </c>
      <c r="AD4203">
        <v>-1.1200647918469999</v>
      </c>
      <c r="AE4203">
        <v>0.29740000000000999</v>
      </c>
      <c r="AF4203">
        <v>0.40021599713924499</v>
      </c>
      <c r="AG4203">
        <v>-1.1200647918469999</v>
      </c>
      <c r="AH4203">
        <v>16.576042104434499</v>
      </c>
      <c r="AI4203">
        <v>93.864551487713697</v>
      </c>
      <c r="AJ4203">
        <v>88.616905460881398</v>
      </c>
      <c r="AK4203">
        <v>16.618660891608801</v>
      </c>
      <c r="AL4203">
        <v>93.690801072712006</v>
      </c>
      <c r="AM4203">
        <v>90.396195606790798</v>
      </c>
      <c r="AN4203">
        <v>0.99999999217272395</v>
      </c>
    </row>
    <row r="4204" spans="1:40" x14ac:dyDescent="0.25">
      <c r="A4204" t="str">
        <f>"20190303154557596"</f>
        <v>20190303154557596</v>
      </c>
      <c r="B4204" t="str">
        <f>"1551599157585586"</f>
        <v>1551599157585586</v>
      </c>
      <c r="C4204" t="s">
        <v>40</v>
      </c>
      <c r="D4204">
        <v>5.275493</v>
      </c>
      <c r="E4204">
        <v>0.51191319999999996</v>
      </c>
      <c r="F4204" t="s">
        <v>41</v>
      </c>
      <c r="G4204">
        <v>-272.47309999999999</v>
      </c>
      <c r="H4204" s="1">
        <v>-3.6954229999999998E-6</v>
      </c>
      <c r="I4204">
        <v>141.43559999999999</v>
      </c>
      <c r="J4204">
        <v>-255.8717</v>
      </c>
      <c r="K4204">
        <v>1.11998</v>
      </c>
      <c r="L4204">
        <v>141.13040000000001</v>
      </c>
      <c r="M4204">
        <v>-0.9998861</v>
      </c>
      <c r="N4204">
        <v>-1.4256029999999999E-2</v>
      </c>
      <c r="O4204">
        <v>-4.9624159999999999E-3</v>
      </c>
      <c r="P4204">
        <v>-0.99681430000000004</v>
      </c>
      <c r="Q4204">
        <v>-7.8724730000000007E-2</v>
      </c>
      <c r="R4204">
        <v>-1.2800489999999999E-2</v>
      </c>
      <c r="S4204">
        <v>-2.994583</v>
      </c>
      <c r="T4204">
        <v>-0.19867470000000001</v>
      </c>
      <c r="U4204">
        <v>5.4077149999999997E-2</v>
      </c>
      <c r="V4204">
        <v>-8.0224819999999992E-3</v>
      </c>
      <c r="W4204">
        <v>-6.4484570000000005E-2</v>
      </c>
      <c r="X4204">
        <v>0.99788650000000001</v>
      </c>
      <c r="Y4204">
        <v>2.2949239999999999E-2</v>
      </c>
      <c r="Z4204">
        <v>1.182368E-3</v>
      </c>
      <c r="AA4204">
        <v>0.99973599999999996</v>
      </c>
      <c r="AB4204">
        <v>30</v>
      </c>
      <c r="AC4204">
        <v>-16.601399999999899</v>
      </c>
      <c r="AD4204">
        <v>-1.119983695423</v>
      </c>
      <c r="AE4204">
        <v>0.30519999999998498</v>
      </c>
      <c r="AF4204">
        <v>0.385832225244372</v>
      </c>
      <c r="AG4204">
        <v>-1.119983695423</v>
      </c>
      <c r="AH4204">
        <v>16.524498581543401</v>
      </c>
      <c r="AI4204">
        <v>93.876362278676993</v>
      </c>
      <c r="AJ4204">
        <v>88.662437958075699</v>
      </c>
      <c r="AK4204">
        <v>16.566903251829501</v>
      </c>
      <c r="AL4204">
        <v>93.697258929903001</v>
      </c>
      <c r="AM4204">
        <v>90.460617973323096</v>
      </c>
      <c r="AN4204">
        <v>1.00000004343388</v>
      </c>
    </row>
    <row r="4205" spans="1:40" x14ac:dyDescent="0.25">
      <c r="A4205" t="str">
        <f>"20190303154557628"</f>
        <v>20190303154557628</v>
      </c>
      <c r="B4205" t="str">
        <f>"1551599157625602"</f>
        <v>1551599157625602</v>
      </c>
      <c r="C4205" t="s">
        <v>40</v>
      </c>
      <c r="D4205">
        <v>5.4367140000000003</v>
      </c>
      <c r="E4205">
        <v>0.51183869999999998</v>
      </c>
      <c r="F4205" t="s">
        <v>41</v>
      </c>
      <c r="G4205">
        <v>-272.75400000000002</v>
      </c>
      <c r="H4205" s="1">
        <v>-3.577629E-6</v>
      </c>
      <c r="I4205">
        <v>141.44579999999999</v>
      </c>
      <c r="J4205">
        <v>-256.30630000000002</v>
      </c>
      <c r="K4205">
        <v>1.119853</v>
      </c>
      <c r="L4205">
        <v>141.13069999999999</v>
      </c>
      <c r="M4205">
        <v>-0.99989470000000003</v>
      </c>
      <c r="N4205">
        <v>-1.4254299999999999E-2</v>
      </c>
      <c r="O4205">
        <v>-2.7362969999999999E-3</v>
      </c>
      <c r="P4205">
        <v>-0.99691810000000003</v>
      </c>
      <c r="Q4205">
        <v>-7.7442230000000001E-2</v>
      </c>
      <c r="R4205">
        <v>-1.2531759999999999E-2</v>
      </c>
      <c r="S4205">
        <v>-2.9946290000000002</v>
      </c>
      <c r="T4205">
        <v>-0.19866619999999999</v>
      </c>
      <c r="U4205">
        <v>5.595398E-2</v>
      </c>
      <c r="V4205">
        <v>-9.9884659999999997E-3</v>
      </c>
      <c r="W4205">
        <v>-6.3194550000000002E-2</v>
      </c>
      <c r="X4205">
        <v>0.99795129999999999</v>
      </c>
      <c r="Y4205">
        <v>2.1356799999999999E-2</v>
      </c>
      <c r="Z4205">
        <v>1.0023569999999999E-3</v>
      </c>
      <c r="AA4205">
        <v>0.99977139999999998</v>
      </c>
      <c r="AB4205">
        <v>30</v>
      </c>
      <c r="AC4205">
        <v>-16.447699999999902</v>
      </c>
      <c r="AD4205">
        <v>-1.1198565776289999</v>
      </c>
      <c r="AE4205">
        <v>0.31510000000000099</v>
      </c>
      <c r="AF4205">
        <v>0.35844813827252903</v>
      </c>
      <c r="AG4205">
        <v>-1.1198565776289999</v>
      </c>
      <c r="AH4205">
        <v>16.370913468386401</v>
      </c>
      <c r="AI4205">
        <v>93.912301759468605</v>
      </c>
      <c r="AJ4205">
        <v>88.745684869006993</v>
      </c>
      <c r="AK4205">
        <v>16.4130853775786</v>
      </c>
      <c r="AL4205">
        <v>93.6231950932019</v>
      </c>
      <c r="AM4205">
        <v>90.5734526684315</v>
      </c>
      <c r="AN4205">
        <v>1.00000005888721</v>
      </c>
    </row>
    <row r="4206" spans="1:40" x14ac:dyDescent="0.25">
      <c r="A4206" t="str">
        <f>"20190303154557650"</f>
        <v>20190303154557650</v>
      </c>
      <c r="B4206" t="str">
        <f>"1551599157645123"</f>
        <v>1551599157645123</v>
      </c>
      <c r="C4206" t="s">
        <v>40</v>
      </c>
      <c r="D4206">
        <v>5.3226430000000002</v>
      </c>
      <c r="E4206">
        <v>0.51171199999999994</v>
      </c>
      <c r="F4206" t="s">
        <v>41</v>
      </c>
      <c r="G4206">
        <v>-273.5831</v>
      </c>
      <c r="H4206" s="1">
        <v>-3.224271E-6</v>
      </c>
      <c r="I4206">
        <v>141.4545</v>
      </c>
      <c r="J4206">
        <v>-256.61189999999999</v>
      </c>
      <c r="K4206">
        <v>1.119769</v>
      </c>
      <c r="L4206">
        <v>141.1317</v>
      </c>
      <c r="M4206">
        <v>-0.99989799999999995</v>
      </c>
      <c r="N4206">
        <v>-1.425308E-2</v>
      </c>
      <c r="O4206">
        <v>-1.048839E-3</v>
      </c>
      <c r="P4206">
        <v>-0.99691669999999999</v>
      </c>
      <c r="Q4206">
        <v>-7.7500520000000003E-2</v>
      </c>
      <c r="R4206">
        <v>-1.229659E-2</v>
      </c>
      <c r="S4206">
        <v>-2.994904</v>
      </c>
      <c r="T4206">
        <v>-0.19412570000000001</v>
      </c>
      <c r="U4206">
        <v>5.6137079999999999E-2</v>
      </c>
      <c r="V4206">
        <v>-1.144883E-2</v>
      </c>
      <c r="W4206">
        <v>-6.3247869999999998E-2</v>
      </c>
      <c r="X4206">
        <v>0.99793220000000005</v>
      </c>
      <c r="Y4206">
        <v>1.9737790000000002E-2</v>
      </c>
      <c r="Z4206">
        <v>8.3279479999999895E-4</v>
      </c>
      <c r="AA4206">
        <v>0.9998049</v>
      </c>
      <c r="AB4206">
        <v>30</v>
      </c>
      <c r="AC4206">
        <v>-16.9712</v>
      </c>
      <c r="AD4206">
        <v>-1.119772224271</v>
      </c>
      <c r="AE4206">
        <v>0.32279999999999998</v>
      </c>
      <c r="AF4206">
        <v>0.33912584890657499</v>
      </c>
      <c r="AG4206">
        <v>-1.119772224271</v>
      </c>
      <c r="AH4206">
        <v>16.897316921327398</v>
      </c>
      <c r="AI4206">
        <v>93.790642570234496</v>
      </c>
      <c r="AJ4206">
        <v>88.850239257497904</v>
      </c>
      <c r="AK4206">
        <v>16.937774804130001</v>
      </c>
      <c r="AL4206">
        <v>93.626256360583298</v>
      </c>
      <c r="AM4206">
        <v>90.657300027172496</v>
      </c>
      <c r="AN4206">
        <v>1.0000000222823699</v>
      </c>
    </row>
    <row r="4207" spans="1:40" x14ac:dyDescent="0.25">
      <c r="A4207" t="str">
        <f>"20190303154557672"</f>
        <v>20190303154557672</v>
      </c>
      <c r="B4207" t="str">
        <f>"1551599157665618"</f>
        <v>1551599157665618</v>
      </c>
      <c r="C4207" t="s">
        <v>40</v>
      </c>
      <c r="D4207">
        <v>5.3306659999999999</v>
      </c>
      <c r="E4207">
        <v>0.51158990000000004</v>
      </c>
      <c r="F4207" t="s">
        <v>41</v>
      </c>
      <c r="G4207">
        <v>-273.91370000000001</v>
      </c>
      <c r="H4207" s="1">
        <v>-3.0823900000000001E-6</v>
      </c>
      <c r="I4207">
        <v>141.45429999999999</v>
      </c>
      <c r="J4207">
        <v>-256.89780000000002</v>
      </c>
      <c r="K4207">
        <v>1.1197060000000001</v>
      </c>
      <c r="L4207">
        <v>141.13319999999999</v>
      </c>
      <c r="M4207">
        <v>-0.99989830000000002</v>
      </c>
      <c r="N4207">
        <v>-1.4251720000000001E-2</v>
      </c>
      <c r="O4207">
        <v>6.0587629999999998E-4</v>
      </c>
      <c r="P4207">
        <v>-0.99688980000000005</v>
      </c>
      <c r="Q4207">
        <v>-7.7993480000000004E-2</v>
      </c>
      <c r="R4207">
        <v>-1.1319930000000001E-2</v>
      </c>
      <c r="S4207">
        <v>-2.9948730000000001</v>
      </c>
      <c r="T4207">
        <v>-0.19382849999999999</v>
      </c>
      <c r="U4207">
        <v>5.5847170000000002E-2</v>
      </c>
      <c r="V4207">
        <v>-1.2132250000000001E-2</v>
      </c>
      <c r="W4207">
        <v>-6.3738909999999996E-2</v>
      </c>
      <c r="X4207">
        <v>0.99789289999999997</v>
      </c>
      <c r="Y4207">
        <v>1.7993350000000002E-2</v>
      </c>
      <c r="Z4207">
        <v>6.7946550000000004E-4</v>
      </c>
      <c r="AA4207">
        <v>0.99983789999999995</v>
      </c>
      <c r="AB4207">
        <v>30</v>
      </c>
      <c r="AC4207">
        <v>-17.015899999999899</v>
      </c>
      <c r="AD4207">
        <v>-1.11970908238999</v>
      </c>
      <c r="AE4207">
        <v>0.321100000000001</v>
      </c>
      <c r="AF4207">
        <v>0.309449883768115</v>
      </c>
      <c r="AG4207">
        <v>-1.11970908238999</v>
      </c>
      <c r="AH4207">
        <v>16.942753298735202</v>
      </c>
      <c r="AI4207">
        <v>93.780424329364706</v>
      </c>
      <c r="AJ4207">
        <v>88.953641072487599</v>
      </c>
      <c r="AK4207">
        <v>16.9825321139562</v>
      </c>
      <c r="AL4207">
        <v>93.654447697907599</v>
      </c>
      <c r="AM4207">
        <v>90.6965601962618</v>
      </c>
      <c r="AN4207">
        <v>1.0000000400042199</v>
      </c>
    </row>
    <row r="4208" spans="1:40" x14ac:dyDescent="0.25">
      <c r="A4208" t="str">
        <f>"20190303154557695"</f>
        <v>20190303154557695</v>
      </c>
      <c r="B4208" t="str">
        <f>"1551599157685138"</f>
        <v>1551599157685138</v>
      </c>
      <c r="C4208" t="s">
        <v>40</v>
      </c>
      <c r="D4208">
        <v>5.3323410000000004</v>
      </c>
      <c r="E4208">
        <v>0.51145940000000001</v>
      </c>
      <c r="F4208" t="s">
        <v>41</v>
      </c>
      <c r="G4208">
        <v>-274.09769999999997</v>
      </c>
      <c r="H4208" s="1">
        <v>-3.0062780000000002E-6</v>
      </c>
      <c r="I4208">
        <v>141.4648</v>
      </c>
      <c r="J4208">
        <v>-257.19490000000002</v>
      </c>
      <c r="K4208">
        <v>1.119656</v>
      </c>
      <c r="L4208">
        <v>141.1353</v>
      </c>
      <c r="M4208">
        <v>-0.99989570000000005</v>
      </c>
      <c r="N4208">
        <v>-1.425008E-2</v>
      </c>
      <c r="O4208">
        <v>2.3927760000000001E-3</v>
      </c>
      <c r="P4208">
        <v>-0.99682950000000003</v>
      </c>
      <c r="Q4208">
        <v>-7.8885209999999997E-2</v>
      </c>
      <c r="R4208">
        <v>-1.040057E-2</v>
      </c>
      <c r="S4208">
        <v>-2.9947509999999999</v>
      </c>
      <c r="T4208">
        <v>-0.19495870000000001</v>
      </c>
      <c r="U4208">
        <v>5.7754519999999997E-2</v>
      </c>
      <c r="V4208">
        <v>-1.300608E-2</v>
      </c>
      <c r="W4208">
        <v>-6.462888E-2</v>
      </c>
      <c r="X4208">
        <v>0.99782459999999995</v>
      </c>
      <c r="Y4208">
        <v>1.684865E-2</v>
      </c>
      <c r="Z4208">
        <v>5.464914E-4</v>
      </c>
      <c r="AA4208">
        <v>0.99985789999999997</v>
      </c>
      <c r="AB4208">
        <v>30</v>
      </c>
      <c r="AC4208">
        <v>-16.9027999999999</v>
      </c>
      <c r="AD4208">
        <v>-1.1196590062780001</v>
      </c>
      <c r="AE4208">
        <v>0.32949999999999502</v>
      </c>
      <c r="AF4208">
        <v>0.28778804110607198</v>
      </c>
      <c r="AG4208">
        <v>-1.1196590062780001</v>
      </c>
      <c r="AH4208">
        <v>16.829721439596</v>
      </c>
      <c r="AI4208">
        <v>93.805648468624099</v>
      </c>
      <c r="AJ4208">
        <v>89.020338315981803</v>
      </c>
      <c r="AK4208">
        <v>16.869380011765099</v>
      </c>
      <c r="AL4208">
        <v>93.705544760438599</v>
      </c>
      <c r="AM4208">
        <v>90.746775830531007</v>
      </c>
      <c r="AN4208">
        <v>0.99999999130608996</v>
      </c>
    </row>
    <row r="4209" spans="1:40" x14ac:dyDescent="0.25">
      <c r="A4209" t="str">
        <f>"20190303154557721"</f>
        <v>20190303154557721</v>
      </c>
      <c r="B4209" t="str">
        <f>"1551599157715394"</f>
        <v>1551599157715394</v>
      </c>
      <c r="C4209" t="s">
        <v>40</v>
      </c>
      <c r="D4209">
        <v>5.3415350000000004</v>
      </c>
      <c r="E4209">
        <v>0.51126099999999997</v>
      </c>
      <c r="F4209" t="s">
        <v>41</v>
      </c>
      <c r="G4209">
        <v>-274.1816</v>
      </c>
      <c r="H4209" s="1">
        <v>-2.972228E-6</v>
      </c>
      <c r="I4209">
        <v>141.47219999999999</v>
      </c>
      <c r="J4209">
        <v>-257.52629999999999</v>
      </c>
      <c r="K4209">
        <v>1.1196029999999999</v>
      </c>
      <c r="L4209">
        <v>141.13820000000001</v>
      </c>
      <c r="M4209">
        <v>-0.99988869999999996</v>
      </c>
      <c r="N4209">
        <v>-1.424809E-2</v>
      </c>
      <c r="O4209">
        <v>4.4431360000000003E-3</v>
      </c>
      <c r="P4209">
        <v>-0.99683980000000005</v>
      </c>
      <c r="Q4209">
        <v>-7.8979099999999997E-2</v>
      </c>
      <c r="R4209">
        <v>-8.5378309999999992E-3</v>
      </c>
      <c r="S4209">
        <v>-2.9945680000000001</v>
      </c>
      <c r="T4209">
        <v>-0.19738320000000001</v>
      </c>
      <c r="U4209">
        <v>5.941772E-2</v>
      </c>
      <c r="V4209">
        <v>-1.319441E-2</v>
      </c>
      <c r="W4209">
        <v>-6.4722840000000004E-2</v>
      </c>
      <c r="X4209">
        <v>0.99781600000000004</v>
      </c>
      <c r="Y4209">
        <v>1.5360399999999899E-2</v>
      </c>
      <c r="Z4209">
        <v>3.8595790000000001E-4</v>
      </c>
      <c r="AA4209">
        <v>0.99988189999999999</v>
      </c>
      <c r="AB4209">
        <v>30</v>
      </c>
      <c r="AC4209">
        <v>-16.6553</v>
      </c>
      <c r="AD4209">
        <v>-1.1196059722280001</v>
      </c>
      <c r="AE4209">
        <v>0.33399999999997398</v>
      </c>
      <c r="AF4209">
        <v>0.25881834824601302</v>
      </c>
      <c r="AG4209">
        <v>-1.1196059722280001</v>
      </c>
      <c r="AH4209">
        <v>16.5817199591595</v>
      </c>
      <c r="AI4209">
        <v>93.862307436908196</v>
      </c>
      <c r="AJ4209">
        <v>89.105762553718506</v>
      </c>
      <c r="AK4209">
        <v>16.621490344563799</v>
      </c>
      <c r="AL4209">
        <v>93.710939704926403</v>
      </c>
      <c r="AM4209">
        <v>90.757594534624999</v>
      </c>
      <c r="AN4209">
        <v>0.99999995416445497</v>
      </c>
    </row>
    <row r="4210" spans="1:40" x14ac:dyDescent="0.25">
      <c r="A4210" t="str">
        <f>"20190303154557742"</f>
        <v>20190303154557742</v>
      </c>
      <c r="B4210" t="str">
        <f>"1551599157734915"</f>
        <v>1551599157734915</v>
      </c>
      <c r="C4210" t="s">
        <v>40</v>
      </c>
      <c r="D4210">
        <v>5.3915050000000004</v>
      </c>
      <c r="E4210">
        <v>0.51113019999999998</v>
      </c>
      <c r="F4210" t="s">
        <v>41</v>
      </c>
      <c r="G4210">
        <v>-274.50639999999999</v>
      </c>
      <c r="H4210" s="1">
        <v>-2.83971E-6</v>
      </c>
      <c r="I4210">
        <v>141.49780000000001</v>
      </c>
      <c r="J4210">
        <v>-257.81560000000002</v>
      </c>
      <c r="K4210">
        <v>1.1195759999999999</v>
      </c>
      <c r="L4210">
        <v>141.14150000000001</v>
      </c>
      <c r="M4210">
        <v>-0.99987910000000002</v>
      </c>
      <c r="N4210">
        <v>-1.4246099999999999E-2</v>
      </c>
      <c r="O4210">
        <v>6.2632540000000002E-3</v>
      </c>
      <c r="P4210">
        <v>-0.99687389999999998</v>
      </c>
      <c r="Q4210">
        <v>-7.8753950000000003E-2</v>
      </c>
      <c r="R4210">
        <v>-6.3709150000000004E-3</v>
      </c>
      <c r="S4210">
        <v>-2.9944459999999999</v>
      </c>
      <c r="T4210">
        <v>-0.19744349999999999</v>
      </c>
      <c r="U4210">
        <v>6.3415529999999998E-2</v>
      </c>
      <c r="V4210">
        <v>-1.284536E-2</v>
      </c>
      <c r="W4210">
        <v>-6.4499790000000001E-2</v>
      </c>
      <c r="X4210">
        <v>0.99783500000000003</v>
      </c>
      <c r="Y4210">
        <v>1.4879130000000001E-2</v>
      </c>
      <c r="Z4210">
        <v>2.7276759999999997E-4</v>
      </c>
      <c r="AA4210">
        <v>0.99988929999999998</v>
      </c>
      <c r="AB4210">
        <v>30</v>
      </c>
      <c r="AC4210">
        <v>-16.6907999999999</v>
      </c>
      <c r="AD4210">
        <v>-1.1195788397099999</v>
      </c>
      <c r="AE4210">
        <v>0.356300000000004</v>
      </c>
      <c r="AF4210">
        <v>0.25061658915228102</v>
      </c>
      <c r="AG4210">
        <v>-1.1195788397099999</v>
      </c>
      <c r="AH4210">
        <v>16.617967474279801</v>
      </c>
      <c r="AI4210">
        <v>93.853846277626403</v>
      </c>
      <c r="AJ4210">
        <v>89.135984326098097</v>
      </c>
      <c r="AK4210">
        <v>16.657524078605</v>
      </c>
      <c r="AL4210">
        <v>93.698133112005706</v>
      </c>
      <c r="AM4210">
        <v>90.737541038894804</v>
      </c>
      <c r="AN4210">
        <v>0.99999995670428599</v>
      </c>
    </row>
    <row r="4211" spans="1:40" x14ac:dyDescent="0.25">
      <c r="A4211" t="str">
        <f>"20190303154557763"</f>
        <v>20190303154557763</v>
      </c>
      <c r="B4211" t="str">
        <f>"1551599157755410"</f>
        <v>1551599157755410</v>
      </c>
      <c r="C4211" t="s">
        <v>40</v>
      </c>
      <c r="D4211">
        <v>5.3775849999999998</v>
      </c>
      <c r="E4211">
        <v>0.51095379999999901</v>
      </c>
      <c r="F4211" t="s">
        <v>41</v>
      </c>
      <c r="G4211">
        <v>-274.851</v>
      </c>
      <c r="H4211" s="1">
        <v>-2.7014710000000001E-6</v>
      </c>
      <c r="I4211">
        <v>141.53380000000001</v>
      </c>
      <c r="J4211">
        <v>-258.09339999999997</v>
      </c>
      <c r="K4211">
        <v>1.1195569999999999</v>
      </c>
      <c r="L4211">
        <v>141.14510000000001</v>
      </c>
      <c r="M4211">
        <v>-0.99986640000000004</v>
      </c>
      <c r="N4211">
        <v>-1.4243799999999999E-2</v>
      </c>
      <c r="O4211">
        <v>8.0228490000000003E-3</v>
      </c>
      <c r="P4211">
        <v>-0.99688359999999998</v>
      </c>
      <c r="Q4211">
        <v>-7.8800190000000006E-2</v>
      </c>
      <c r="R4211">
        <v>-3.684143E-3</v>
      </c>
      <c r="S4211">
        <v>-2.9943240000000002</v>
      </c>
      <c r="T4211">
        <v>-0.19678989999999999</v>
      </c>
      <c r="U4211">
        <v>6.8969730000000007E-2</v>
      </c>
      <c r="V4211">
        <v>-1.1916070000000001E-2</v>
      </c>
      <c r="W4211">
        <v>-6.4551120000000003E-2</v>
      </c>
      <c r="X4211">
        <v>0.99784329999999999</v>
      </c>
      <c r="Y4211">
        <v>1.4976410000000001E-2</v>
      </c>
      <c r="Z4211">
        <v>1.8591509999999999E-4</v>
      </c>
      <c r="AA4211">
        <v>0.99988779999999999</v>
      </c>
      <c r="AB4211">
        <v>30</v>
      </c>
      <c r="AC4211">
        <v>-16.7576</v>
      </c>
      <c r="AD4211">
        <v>-1.1195597014709999</v>
      </c>
      <c r="AE4211">
        <v>0.38869999999999999</v>
      </c>
      <c r="AF4211">
        <v>0.25310106059524601</v>
      </c>
      <c r="AG4211">
        <v>-1.1195597014709999</v>
      </c>
      <c r="AH4211">
        <v>16.6857434015769</v>
      </c>
      <c r="AI4211">
        <v>93.838168714247402</v>
      </c>
      <c r="AJ4211">
        <v>89.130964072549006</v>
      </c>
      <c r="AK4211">
        <v>16.725175841685498</v>
      </c>
      <c r="AL4211">
        <v>93.701079916725405</v>
      </c>
      <c r="AM4211">
        <v>90.684183646462103</v>
      </c>
      <c r="AN4211">
        <v>1.0000000455861899</v>
      </c>
    </row>
    <row r="4212" spans="1:40" x14ac:dyDescent="0.25">
      <c r="A4212" t="str">
        <f>"20190303154557785"</f>
        <v>20190303154557785</v>
      </c>
      <c r="B4212" t="str">
        <f>"1551599157775906"</f>
        <v>1551599157775906</v>
      </c>
      <c r="C4212" t="s">
        <v>40</v>
      </c>
      <c r="D4212">
        <v>5.3845369999999999</v>
      </c>
      <c r="E4212">
        <v>0.51078670000000004</v>
      </c>
      <c r="F4212" t="s">
        <v>41</v>
      </c>
      <c r="G4212">
        <v>-275.09480000000002</v>
      </c>
      <c r="H4212" s="1">
        <v>-2.6077379999999998E-6</v>
      </c>
      <c r="I4212">
        <v>141.5746</v>
      </c>
      <c r="J4212">
        <v>-258.39030000000002</v>
      </c>
      <c r="K4212">
        <v>1.119556</v>
      </c>
      <c r="L4212">
        <v>141.14959999999999</v>
      </c>
      <c r="M4212">
        <v>-0.99984949999999995</v>
      </c>
      <c r="N4212">
        <v>-1.424126E-2</v>
      </c>
      <c r="O4212">
        <v>9.9062500000000001E-3</v>
      </c>
      <c r="P4212">
        <v>-0.99683889999999997</v>
      </c>
      <c r="Q4212">
        <v>-7.9440979999999994E-2</v>
      </c>
      <c r="R4212">
        <v>-1.2295780000000001E-3</v>
      </c>
      <c r="S4212">
        <v>-2.9940799999999999</v>
      </c>
      <c r="T4212">
        <v>-0.19716410000000001</v>
      </c>
      <c r="U4212">
        <v>7.5637819999999995E-2</v>
      </c>
      <c r="V4212">
        <v>-1.134129E-2</v>
      </c>
      <c r="W4212">
        <v>-6.5196889999999993E-2</v>
      </c>
      <c r="X4212">
        <v>0.99780800000000003</v>
      </c>
      <c r="Y4212">
        <v>1.532188E-2</v>
      </c>
      <c r="Z4212">
        <v>1.025719E-4</v>
      </c>
      <c r="AA4212">
        <v>0.99988259999999995</v>
      </c>
      <c r="AB4212">
        <v>29</v>
      </c>
      <c r="AC4212">
        <v>-16.7044999999999</v>
      </c>
      <c r="AD4212">
        <v>-1.119558607738</v>
      </c>
      <c r="AE4212">
        <v>0.42500000000001098</v>
      </c>
      <c r="AF4212">
        <v>0.258323797947275</v>
      </c>
      <c r="AG4212">
        <v>-1.119558607738</v>
      </c>
      <c r="AH4212">
        <v>16.633224888389201</v>
      </c>
      <c r="AI4212">
        <v>93.850226063373995</v>
      </c>
      <c r="AJ4212">
        <v>89.110234265691105</v>
      </c>
      <c r="AK4212">
        <v>16.6728615674837</v>
      </c>
      <c r="AL4212">
        <v>93.738157967908904</v>
      </c>
      <c r="AM4212">
        <v>90.651207517247798</v>
      </c>
      <c r="AN4212">
        <v>1.0000000320942599</v>
      </c>
    </row>
    <row r="4213" spans="1:40" x14ac:dyDescent="0.25">
      <c r="A4213" t="str">
        <f>"20190303154557808"</f>
        <v>20190303154557808</v>
      </c>
      <c r="B4213" t="str">
        <f>"1551599157795426"</f>
        <v>1551599157795426</v>
      </c>
      <c r="C4213" t="s">
        <v>40</v>
      </c>
      <c r="D4213">
        <v>5.3629870000000004</v>
      </c>
      <c r="E4213">
        <v>0.51058230000000004</v>
      </c>
      <c r="F4213" t="s">
        <v>41</v>
      </c>
      <c r="G4213">
        <v>-275.21100000000001</v>
      </c>
      <c r="H4213" s="1">
        <v>-2.5669910000000001E-6</v>
      </c>
      <c r="I4213">
        <v>141.6088</v>
      </c>
      <c r="J4213">
        <v>-258.68209999999999</v>
      </c>
      <c r="K4213">
        <v>1.119556</v>
      </c>
      <c r="L4213">
        <v>141.15450000000001</v>
      </c>
      <c r="M4213">
        <v>-0.99982959999999999</v>
      </c>
      <c r="N4213">
        <v>-1.423846E-2</v>
      </c>
      <c r="O4213">
        <v>1.174512E-2</v>
      </c>
      <c r="P4213">
        <v>-0.99688180000000004</v>
      </c>
      <c r="Q4213">
        <v>-7.89049E-2</v>
      </c>
      <c r="R4213">
        <v>9.3376169999999999E-4</v>
      </c>
      <c r="S4213">
        <v>-2.9937740000000002</v>
      </c>
      <c r="T4213">
        <v>-0.19926189999999999</v>
      </c>
      <c r="U4213">
        <v>8.1741330000000001E-2</v>
      </c>
      <c r="V4213">
        <v>-1.100957E-2</v>
      </c>
      <c r="W4213">
        <v>-6.4664280000000005E-2</v>
      </c>
      <c r="X4213">
        <v>0.99784640000000002</v>
      </c>
      <c r="Y4213">
        <v>1.5524140000000001E-2</v>
      </c>
      <c r="Z4213" s="1">
        <v>1.3048500000000001E-5</v>
      </c>
      <c r="AA4213">
        <v>0.99987950000000003</v>
      </c>
      <c r="AB4213">
        <v>29</v>
      </c>
      <c r="AC4213">
        <v>-16.5289</v>
      </c>
      <c r="AD4213">
        <v>-1.119558566991</v>
      </c>
      <c r="AE4213">
        <v>0.45429999999998899</v>
      </c>
      <c r="AF4213">
        <v>0.25892803656263402</v>
      </c>
      <c r="AG4213">
        <v>-1.119558566991</v>
      </c>
      <c r="AH4213">
        <v>16.457648394108698</v>
      </c>
      <c r="AI4213">
        <v>93.891163814817205</v>
      </c>
      <c r="AJ4213">
        <v>89.098640373265994</v>
      </c>
      <c r="AK4213">
        <v>16.497716380673801</v>
      </c>
      <c r="AL4213">
        <v>93.707577031801605</v>
      </c>
      <c r="AM4213">
        <v>90.632137672050106</v>
      </c>
      <c r="AN4213">
        <v>1.0000000588662299</v>
      </c>
    </row>
    <row r="4214" spans="1:40" x14ac:dyDescent="0.25">
      <c r="A4214" t="str">
        <f>"20190303154557831"</f>
        <v>20190303154557831</v>
      </c>
      <c r="B4214" t="str">
        <f>"1551599157825683"</f>
        <v>1551599157825683</v>
      </c>
      <c r="C4214" t="s">
        <v>40</v>
      </c>
      <c r="D4214">
        <v>5.307302</v>
      </c>
      <c r="E4214">
        <v>0.51033679999999904</v>
      </c>
      <c r="F4214" t="s">
        <v>41</v>
      </c>
      <c r="G4214">
        <v>-275.61950000000002</v>
      </c>
      <c r="H4214" s="1">
        <v>-2.401101E-6</v>
      </c>
      <c r="I4214">
        <v>141.64400000000001</v>
      </c>
      <c r="J4214">
        <v>-258.99009999999998</v>
      </c>
      <c r="K4214">
        <v>1.1195759999999999</v>
      </c>
      <c r="L4214">
        <v>141.16030000000001</v>
      </c>
      <c r="M4214">
        <v>-0.99980550000000001</v>
      </c>
      <c r="N4214">
        <v>-1.423523E-2</v>
      </c>
      <c r="O4214">
        <v>1.365882E-2</v>
      </c>
      <c r="P4214">
        <v>-0.9967954</v>
      </c>
      <c r="Q4214">
        <v>-7.9960980000000001E-2</v>
      </c>
      <c r="R4214">
        <v>2.309246E-3</v>
      </c>
      <c r="S4214">
        <v>-2.9936219999999998</v>
      </c>
      <c r="T4214">
        <v>-0.19787840000000001</v>
      </c>
      <c r="U4214">
        <v>8.6532590000000006E-2</v>
      </c>
      <c r="V4214">
        <v>-1.1543100000000001E-2</v>
      </c>
      <c r="W4214">
        <v>-6.5723229999999994E-2</v>
      </c>
      <c r="X4214">
        <v>0.99777110000000002</v>
      </c>
      <c r="Y4214">
        <v>1.521439E-2</v>
      </c>
      <c r="Z4214" s="1">
        <v>-9.6712380000000005E-5</v>
      </c>
      <c r="AA4214">
        <v>0.9998842</v>
      </c>
      <c r="AB4214">
        <v>29</v>
      </c>
      <c r="AC4214">
        <v>-16.6294</v>
      </c>
      <c r="AD4214">
        <v>-1.1195784011009999</v>
      </c>
      <c r="AE4214">
        <v>0.48369999999999802</v>
      </c>
      <c r="AF4214">
        <v>0.255337510384752</v>
      </c>
      <c r="AG4214">
        <v>-1.1195784011009999</v>
      </c>
      <c r="AH4214">
        <v>16.559460411537199</v>
      </c>
      <c r="AI4214">
        <v>93.867399845348501</v>
      </c>
      <c r="AJ4214">
        <v>89.116601504760396</v>
      </c>
      <c r="AK4214">
        <v>16.5992283604295</v>
      </c>
      <c r="AL4214">
        <v>93.768380055765704</v>
      </c>
      <c r="AM4214">
        <v>90.662818765846694</v>
      </c>
      <c r="AN4214">
        <v>0.99999997705722599</v>
      </c>
    </row>
    <row r="4215" spans="1:40" x14ac:dyDescent="0.25">
      <c r="A4215" t="str">
        <f>"20190303154557852"</f>
        <v>20190303154557852</v>
      </c>
      <c r="B4215" t="str">
        <f>"1551599157845202"</f>
        <v>1551599157845202</v>
      </c>
      <c r="C4215" t="s">
        <v>40</v>
      </c>
      <c r="D4215">
        <v>5.3723210000000003</v>
      </c>
      <c r="E4215">
        <v>0.51013710000000001</v>
      </c>
      <c r="F4215" t="s">
        <v>41</v>
      </c>
      <c r="G4215">
        <v>-275.65820000000002</v>
      </c>
      <c r="H4215" s="1">
        <v>-2.387291E-6</v>
      </c>
      <c r="I4215">
        <v>141.65450000000001</v>
      </c>
      <c r="J4215">
        <v>-259.27809999999999</v>
      </c>
      <c r="K4215">
        <v>1.119597</v>
      </c>
      <c r="L4215">
        <v>141.1662</v>
      </c>
      <c r="M4215">
        <v>-0.99978</v>
      </c>
      <c r="N4215">
        <v>-1.423204E-2</v>
      </c>
      <c r="O4215">
        <v>1.540827E-2</v>
      </c>
      <c r="P4215">
        <v>-0.99670369999999997</v>
      </c>
      <c r="Q4215">
        <v>-8.1063709999999997E-2</v>
      </c>
      <c r="R4215">
        <v>3.2706440000000001E-3</v>
      </c>
      <c r="S4215">
        <v>-2.9933169999999998</v>
      </c>
      <c r="T4215">
        <v>-0.20105809999999999</v>
      </c>
      <c r="U4215">
        <v>8.876038E-2</v>
      </c>
      <c r="V4215">
        <v>-1.2323890000000001E-2</v>
      </c>
      <c r="W4215">
        <v>-6.6828460000000006E-2</v>
      </c>
      <c r="X4215">
        <v>0.99768840000000003</v>
      </c>
      <c r="Y4215">
        <v>1.421598E-2</v>
      </c>
      <c r="Z4215">
        <v>-2.362779E-4</v>
      </c>
      <c r="AA4215">
        <v>0.99989890000000003</v>
      </c>
      <c r="AB4215">
        <v>29</v>
      </c>
      <c r="AC4215">
        <v>-16.380099999999999</v>
      </c>
      <c r="AD4215">
        <v>-1.1195993872909999</v>
      </c>
      <c r="AE4215">
        <v>0.488300000000009</v>
      </c>
      <c r="AF4215">
        <v>0.234731787264222</v>
      </c>
      <c r="AG4215">
        <v>-1.1195993872909999</v>
      </c>
      <c r="AH4215">
        <v>16.3095509676996</v>
      </c>
      <c r="AI4215">
        <v>93.926608901536994</v>
      </c>
      <c r="AJ4215">
        <v>89.175439455052498</v>
      </c>
      <c r="AK4215">
        <v>16.3496194013184</v>
      </c>
      <c r="AL4215">
        <v>93.831844399502501</v>
      </c>
      <c r="AM4215">
        <v>90.707706909491193</v>
      </c>
      <c r="AN4215">
        <v>1.0000000324126299</v>
      </c>
    </row>
    <row r="4216" spans="1:40" x14ac:dyDescent="0.25">
      <c r="A4216" t="str">
        <f>"20190303154557874"</f>
        <v>20190303154557874</v>
      </c>
      <c r="B4216" t="str">
        <f>"1551599157865219"</f>
        <v>1551599157865219</v>
      </c>
      <c r="C4216" t="s">
        <v>40</v>
      </c>
      <c r="D4216">
        <v>5.363327</v>
      </c>
      <c r="E4216">
        <v>0.50991260000000005</v>
      </c>
      <c r="F4216" t="s">
        <v>41</v>
      </c>
      <c r="G4216">
        <v>-275.6463</v>
      </c>
      <c r="H4216" s="1">
        <v>-2.393599E-6</v>
      </c>
      <c r="I4216">
        <v>141.65899999999999</v>
      </c>
      <c r="J4216">
        <v>-259.5532</v>
      </c>
      <c r="K4216">
        <v>1.1196349999999999</v>
      </c>
      <c r="L4216">
        <v>141.1722</v>
      </c>
      <c r="M4216">
        <v>-0.99975380000000003</v>
      </c>
      <c r="N4216">
        <v>-1.4228930000000001E-2</v>
      </c>
      <c r="O4216">
        <v>1.7026989999999999E-2</v>
      </c>
      <c r="P4216">
        <v>-0.9966005</v>
      </c>
      <c r="Q4216">
        <v>-8.2291989999999995E-2</v>
      </c>
      <c r="R4216">
        <v>3.9766910000000001E-3</v>
      </c>
      <c r="S4216">
        <v>-2.9929809999999999</v>
      </c>
      <c r="T4216">
        <v>-0.2047234</v>
      </c>
      <c r="U4216">
        <v>9.0133669999999999E-2</v>
      </c>
      <c r="V4216">
        <v>-1.3227630000000001E-2</v>
      </c>
      <c r="W4216">
        <v>-6.8059320000000006E-2</v>
      </c>
      <c r="X4216">
        <v>0.99759359999999997</v>
      </c>
      <c r="Y4216">
        <v>1.3064070000000001E-2</v>
      </c>
      <c r="Z4216">
        <v>-3.8161679999999999E-4</v>
      </c>
      <c r="AA4216">
        <v>0.99991459999999999</v>
      </c>
      <c r="AB4216">
        <v>29</v>
      </c>
      <c r="AC4216">
        <v>-16.0930999999999</v>
      </c>
      <c r="AD4216">
        <v>-1.1196373935989901</v>
      </c>
      <c r="AE4216">
        <v>0.48679999999998802</v>
      </c>
      <c r="AF4216">
        <v>0.21166105037841501</v>
      </c>
      <c r="AG4216">
        <v>-1.1196373935989901</v>
      </c>
      <c r="AH4216">
        <v>16.021577195006699</v>
      </c>
      <c r="AI4216">
        <v>93.997159690203404</v>
      </c>
      <c r="AJ4216">
        <v>89.243109509557797</v>
      </c>
      <c r="AK4216">
        <v>16.062046074798499</v>
      </c>
      <c r="AL4216">
        <v>93.902528491750502</v>
      </c>
      <c r="AM4216">
        <v>90.759671032943402</v>
      </c>
      <c r="AN4216">
        <v>1.0000000159976099</v>
      </c>
    </row>
    <row r="4217" spans="1:40" x14ac:dyDescent="0.25">
      <c r="A4217" t="str">
        <f>"20190303154557896"</f>
        <v>20190303154557896</v>
      </c>
      <c r="B4217" t="str">
        <f>"1551599157885715"</f>
        <v>1551599157885715</v>
      </c>
      <c r="C4217" t="s">
        <v>40</v>
      </c>
      <c r="D4217">
        <v>5.3606720000000001</v>
      </c>
      <c r="E4217">
        <v>0.48731079999999999</v>
      </c>
      <c r="F4217" t="s">
        <v>41</v>
      </c>
      <c r="G4217">
        <v>-275.57679999999999</v>
      </c>
      <c r="H4217" s="1">
        <v>-2.4228790000000002E-6</v>
      </c>
      <c r="I4217">
        <v>141.65690000000001</v>
      </c>
      <c r="J4217">
        <v>-259.84690000000001</v>
      </c>
      <c r="K4217">
        <v>1.1196820000000001</v>
      </c>
      <c r="L4217">
        <v>141.179</v>
      </c>
      <c r="M4217">
        <v>-0.99972430000000001</v>
      </c>
      <c r="N4217">
        <v>-1.422531E-2</v>
      </c>
      <c r="O4217">
        <v>1.8684059999999999E-2</v>
      </c>
      <c r="P4217">
        <v>-0.99656529999999999</v>
      </c>
      <c r="Q4217">
        <v>-8.2662239999999998E-2</v>
      </c>
      <c r="R4217">
        <v>5.0055350000000002E-3</v>
      </c>
      <c r="S4217">
        <v>-2.9926149999999998</v>
      </c>
      <c r="T4217">
        <v>-0.20910780000000001</v>
      </c>
      <c r="U4217">
        <v>9.0545650000000005E-2</v>
      </c>
      <c r="V4217">
        <v>-1.384234E-2</v>
      </c>
      <c r="W4217">
        <v>-6.8433380000000002E-2</v>
      </c>
      <c r="X4217">
        <v>0.99755970000000005</v>
      </c>
      <c r="Y4217">
        <v>1.155481E-2</v>
      </c>
      <c r="Z4217">
        <v>-5.5255370000000003E-4</v>
      </c>
      <c r="AA4217">
        <v>0.99993310000000002</v>
      </c>
      <c r="AB4217">
        <v>29</v>
      </c>
      <c r="AC4217">
        <v>-15.729899999999899</v>
      </c>
      <c r="AD4217">
        <v>-1.1196844228789999</v>
      </c>
      <c r="AE4217">
        <v>0.47790000000000499</v>
      </c>
      <c r="AF4217">
        <v>0.18296225223338</v>
      </c>
      <c r="AG4217">
        <v>-1.1196844228789999</v>
      </c>
      <c r="AH4217">
        <v>15.6568257456799</v>
      </c>
      <c r="AI4217">
        <v>94.090216244161795</v>
      </c>
      <c r="AJ4217">
        <v>89.330484486656502</v>
      </c>
      <c r="AK4217">
        <v>15.697877589762401</v>
      </c>
      <c r="AL4217">
        <v>93.924010516680994</v>
      </c>
      <c r="AM4217">
        <v>90.794996793114507</v>
      </c>
      <c r="AN4217">
        <v>1.00000004646949</v>
      </c>
    </row>
    <row r="4218" spans="1:40" x14ac:dyDescent="0.25">
      <c r="A4218" t="str">
        <f>"20190303154557920"</f>
        <v>20190303154557920</v>
      </c>
      <c r="B4218" t="str">
        <f>"1551599157914996"</f>
        <v>1551599157914996</v>
      </c>
      <c r="C4218" t="s">
        <v>40</v>
      </c>
      <c r="D4218">
        <v>5.3832760000000004</v>
      </c>
      <c r="E4218">
        <v>0.48837530000000001</v>
      </c>
      <c r="F4218" t="s">
        <v>41</v>
      </c>
      <c r="G4218">
        <v>-272.60629999999998</v>
      </c>
      <c r="H4218" s="1">
        <v>-3.472232E-6</v>
      </c>
      <c r="I4218">
        <v>140.8115</v>
      </c>
      <c r="J4218">
        <v>-260.16730000000001</v>
      </c>
      <c r="K4218">
        <v>1.1197509999999999</v>
      </c>
      <c r="L4218">
        <v>141.18700000000001</v>
      </c>
      <c r="M4218">
        <v>-0.99969110000000005</v>
      </c>
      <c r="N4218">
        <v>-1.422087E-2</v>
      </c>
      <c r="O4218">
        <v>2.0389049999999999E-2</v>
      </c>
      <c r="P4218">
        <v>-0.99655780000000005</v>
      </c>
      <c r="Q4218">
        <v>-8.2699679999999998E-2</v>
      </c>
      <c r="R4218">
        <v>5.7884399999999997E-3</v>
      </c>
      <c r="S4218">
        <v>-2.9890750000000001</v>
      </c>
      <c r="T4218">
        <v>-0.26230379999999998</v>
      </c>
      <c r="U4218">
        <v>-8.6090089999999994E-2</v>
      </c>
      <c r="V4218">
        <v>-1.4746550000000001E-2</v>
      </c>
      <c r="W4218">
        <v>-6.8475159999999993E-2</v>
      </c>
      <c r="X4218">
        <v>0.99754379999999998</v>
      </c>
      <c r="Y4218">
        <v>-4.8893020000000002E-2</v>
      </c>
      <c r="Z4218">
        <v>-3.9852719999999998E-3</v>
      </c>
      <c r="AA4218">
        <v>0.99879600000000002</v>
      </c>
      <c r="AB4218">
        <v>29</v>
      </c>
      <c r="AC4218">
        <v>-12.438999999999901</v>
      </c>
      <c r="AD4218">
        <v>-1.1197544722320001</v>
      </c>
      <c r="AE4218">
        <v>-0.37550000000001599</v>
      </c>
      <c r="AF4218">
        <v>-0.62401481329335895</v>
      </c>
      <c r="AG4218">
        <v>-1.1197544722320001</v>
      </c>
      <c r="AH4218">
        <v>12.328939746243501</v>
      </c>
      <c r="AI4218">
        <v>95.182953011978498</v>
      </c>
      <c r="AJ4218">
        <v>92.897486092311198</v>
      </c>
      <c r="AK4218">
        <v>12.395402366676</v>
      </c>
      <c r="AL4218">
        <v>93.926410261102504</v>
      </c>
      <c r="AM4218">
        <v>90.846933776931806</v>
      </c>
      <c r="AN4218">
        <v>0.99999997059618295</v>
      </c>
    </row>
    <row r="4219" spans="1:40" x14ac:dyDescent="0.25">
      <c r="A4219" t="str">
        <f>"20190303154557944"</f>
        <v>20190303154557944</v>
      </c>
      <c r="B4219" t="str">
        <f>"1551599157935491"</f>
        <v>1551599157935491</v>
      </c>
      <c r="C4219" t="s">
        <v>40</v>
      </c>
      <c r="D4219">
        <v>5.2972060000000001</v>
      </c>
      <c r="E4219">
        <v>0.4889809</v>
      </c>
      <c r="F4219" t="s">
        <v>41</v>
      </c>
      <c r="G4219">
        <v>-274.3098</v>
      </c>
      <c r="H4219" s="1">
        <v>-2.7464390000000001E-6</v>
      </c>
      <c r="I4219">
        <v>140.83019999999999</v>
      </c>
      <c r="J4219">
        <v>-260.4667</v>
      </c>
      <c r="K4219">
        <v>1.1198349999999999</v>
      </c>
      <c r="L4219">
        <v>141.19479999999999</v>
      </c>
      <c r="M4219">
        <v>-0.99966010000000005</v>
      </c>
      <c r="N4219">
        <v>-1.4216680000000001E-2</v>
      </c>
      <c r="O4219">
        <v>2.1848599999999999E-2</v>
      </c>
      <c r="P4219">
        <v>-0.99653760000000002</v>
      </c>
      <c r="Q4219">
        <v>-8.2805229999999994E-2</v>
      </c>
      <c r="R4219">
        <v>7.496193E-3</v>
      </c>
      <c r="S4219">
        <v>-2.9910890000000001</v>
      </c>
      <c r="T4219">
        <v>-0.23682520000000001</v>
      </c>
      <c r="U4219">
        <v>-7.5439450000000005E-2</v>
      </c>
      <c r="V4219">
        <v>-1.4479580000000001E-2</v>
      </c>
      <c r="W4219">
        <v>-6.8588819999999995E-2</v>
      </c>
      <c r="X4219">
        <v>0.99753990000000003</v>
      </c>
      <c r="Y4219">
        <v>-4.6832329999999998E-2</v>
      </c>
      <c r="Z4219">
        <v>-3.601178E-3</v>
      </c>
      <c r="AA4219">
        <v>0.99889629999999996</v>
      </c>
      <c r="AB4219">
        <v>29</v>
      </c>
      <c r="AC4219">
        <v>-13.8430999999999</v>
      </c>
      <c r="AD4219">
        <v>-1.1198377464389999</v>
      </c>
      <c r="AE4219">
        <v>-0.36459999999999498</v>
      </c>
      <c r="AF4219">
        <v>-0.66266244591657597</v>
      </c>
      <c r="AG4219">
        <v>-1.1198377464389999</v>
      </c>
      <c r="AH4219">
        <v>13.741962942516301</v>
      </c>
      <c r="AI4219">
        <v>94.653377024949194</v>
      </c>
      <c r="AJ4219">
        <v>92.760768106950806</v>
      </c>
      <c r="AK4219">
        <v>13.803430863704399</v>
      </c>
      <c r="AL4219">
        <v>93.932937855605104</v>
      </c>
      <c r="AM4219">
        <v>90.831606400261705</v>
      </c>
      <c r="AN4219">
        <v>0.99999996827898796</v>
      </c>
    </row>
    <row r="4220" spans="1:40" x14ac:dyDescent="0.25">
      <c r="A4220" t="str">
        <f>"20190303154557966"</f>
        <v>20190303154557966</v>
      </c>
      <c r="B4220" t="str">
        <f>"1551599157955988"</f>
        <v>1551599157955988</v>
      </c>
      <c r="C4220" t="s">
        <v>40</v>
      </c>
      <c r="D4220">
        <v>5.2992999999999997</v>
      </c>
      <c r="E4220">
        <v>0.48884939999999999</v>
      </c>
      <c r="F4220" t="s">
        <v>41</v>
      </c>
      <c r="G4220">
        <v>-275.53620000000001</v>
      </c>
      <c r="H4220" s="1">
        <v>-2.2294129999999999E-6</v>
      </c>
      <c r="I4220">
        <v>140.86439999999999</v>
      </c>
      <c r="J4220">
        <v>-260.76100000000002</v>
      </c>
      <c r="K4220">
        <v>1.119934</v>
      </c>
      <c r="L4220">
        <v>141.20269999999999</v>
      </c>
      <c r="M4220">
        <v>-0.99963089999999999</v>
      </c>
      <c r="N4220">
        <v>-1.4212229999999999E-2</v>
      </c>
      <c r="O4220">
        <v>2.3152120000000002E-2</v>
      </c>
      <c r="P4220">
        <v>-0.99648400000000004</v>
      </c>
      <c r="Q4220">
        <v>-8.3305450000000003E-2</v>
      </c>
      <c r="R4220">
        <v>8.9423460000000003E-3</v>
      </c>
      <c r="S4220">
        <v>-2.9924620000000002</v>
      </c>
      <c r="T4220">
        <v>-0.2223752</v>
      </c>
      <c r="U4220">
        <v>-6.5597530000000001E-2</v>
      </c>
      <c r="V4220">
        <v>-1.4316880000000001E-2</v>
      </c>
      <c r="W4220">
        <v>-6.9097800000000001E-2</v>
      </c>
      <c r="X4220">
        <v>0.99750720000000004</v>
      </c>
      <c r="Y4220">
        <v>-4.4869550000000001E-2</v>
      </c>
      <c r="Z4220">
        <v>-3.373338E-3</v>
      </c>
      <c r="AA4220">
        <v>0.99898710000000002</v>
      </c>
      <c r="AB4220">
        <v>29</v>
      </c>
      <c r="AC4220">
        <v>-14.7752</v>
      </c>
      <c r="AD4220">
        <v>-1.119936229413</v>
      </c>
      <c r="AE4220">
        <v>-0.33830000000000299</v>
      </c>
      <c r="AF4220">
        <v>-0.67643670810774703</v>
      </c>
      <c r="AG4220">
        <v>-1.119936229413</v>
      </c>
      <c r="AH4220">
        <v>14.679112507771499</v>
      </c>
      <c r="AI4220">
        <v>94.358296180030706</v>
      </c>
      <c r="AJ4220">
        <v>92.638413577929995</v>
      </c>
      <c r="AK4220">
        <v>14.7373053097858</v>
      </c>
      <c r="AL4220">
        <v>93.962169304945107</v>
      </c>
      <c r="AM4220">
        <v>90.822290285260294</v>
      </c>
      <c r="AN4220">
        <v>1.0000000465348</v>
      </c>
    </row>
    <row r="4221" spans="1:40" x14ac:dyDescent="0.25">
      <c r="A4221" t="str">
        <f>"20190303154557986"</f>
        <v>20190303154557986</v>
      </c>
      <c r="B4221" t="str">
        <f>"1551599157975508"</f>
        <v>1551599157975508</v>
      </c>
      <c r="C4221" t="s">
        <v>40</v>
      </c>
      <c r="D4221">
        <v>5.4083589999999999</v>
      </c>
      <c r="E4221">
        <v>0.48860399999999998</v>
      </c>
      <c r="F4221" t="s">
        <v>41</v>
      </c>
      <c r="G4221">
        <v>-275.80450000000002</v>
      </c>
      <c r="H4221" s="1">
        <v>-2.120973E-6</v>
      </c>
      <c r="I4221">
        <v>140.8895</v>
      </c>
      <c r="J4221">
        <v>-261.01729999999998</v>
      </c>
      <c r="K4221">
        <v>1.120017</v>
      </c>
      <c r="L4221">
        <v>141.2099</v>
      </c>
      <c r="M4221">
        <v>-0.99960640000000001</v>
      </c>
      <c r="N4221">
        <v>-1.420832E-2</v>
      </c>
      <c r="O4221">
        <v>2.4195299999999999E-2</v>
      </c>
      <c r="P4221">
        <v>-0.99641769999999996</v>
      </c>
      <c r="Q4221">
        <v>-8.4028099999999994E-2</v>
      </c>
      <c r="R4221">
        <v>9.5438999999999993E-3</v>
      </c>
      <c r="S4221">
        <v>-2.9925229999999998</v>
      </c>
      <c r="T4221">
        <v>-0.22278329999999999</v>
      </c>
      <c r="U4221">
        <v>-6.2301639999999998E-2</v>
      </c>
      <c r="V4221">
        <v>-1.4741829999999999E-2</v>
      </c>
      <c r="W4221">
        <v>-6.9827059999999996E-2</v>
      </c>
      <c r="X4221">
        <v>0.99745019999999995</v>
      </c>
      <c r="Y4221">
        <v>-4.4809479999999999E-2</v>
      </c>
      <c r="Z4221">
        <v>-3.4395649999999999E-3</v>
      </c>
      <c r="AA4221">
        <v>0.99898960000000003</v>
      </c>
      <c r="AB4221">
        <v>29</v>
      </c>
      <c r="AC4221">
        <v>-14.7872</v>
      </c>
      <c r="AD4221">
        <v>-1.1200191209729999</v>
      </c>
      <c r="AE4221">
        <v>-0.32040000000000601</v>
      </c>
      <c r="AF4221">
        <v>-0.67425665698886195</v>
      </c>
      <c r="AG4221">
        <v>-1.1200191209729999</v>
      </c>
      <c r="AH4221">
        <v>14.6908763616609</v>
      </c>
      <c r="AI4221">
        <v>94.355177636665104</v>
      </c>
      <c r="AJ4221">
        <v>92.627819354638106</v>
      </c>
      <c r="AK4221">
        <v>14.748929220267099</v>
      </c>
      <c r="AL4221">
        <v>94.004054097442705</v>
      </c>
      <c r="AM4221">
        <v>90.846742172831696</v>
      </c>
      <c r="AN4221">
        <v>1.0000000206700099</v>
      </c>
    </row>
    <row r="4222" spans="1:40" x14ac:dyDescent="0.25">
      <c r="A4222" t="str">
        <f>"20190303154558008"</f>
        <v>20190303154558008</v>
      </c>
      <c r="B4222" t="str">
        <f>"1551599158005763"</f>
        <v>1551599158005763</v>
      </c>
      <c r="C4222" t="s">
        <v>40</v>
      </c>
      <c r="D4222">
        <v>5.3083929999999997</v>
      </c>
      <c r="E4222">
        <v>0.48806300000000002</v>
      </c>
      <c r="F4222" t="s">
        <v>41</v>
      </c>
      <c r="G4222">
        <v>-276.02390000000003</v>
      </c>
      <c r="H4222" s="1">
        <v>-2.0286930000000002E-6</v>
      </c>
      <c r="I4222">
        <v>140.8964</v>
      </c>
      <c r="J4222">
        <v>-261.31200000000001</v>
      </c>
      <c r="K4222">
        <v>1.1201139999999901</v>
      </c>
      <c r="L4222">
        <v>141.2183</v>
      </c>
      <c r="M4222">
        <v>-0.99957989999999997</v>
      </c>
      <c r="N4222">
        <v>-1.4203800000000001E-2</v>
      </c>
      <c r="O4222">
        <v>2.5269070000000001E-2</v>
      </c>
      <c r="P4222">
        <v>-0.99638590000000005</v>
      </c>
      <c r="Q4222">
        <v>-8.4336820000000007E-2</v>
      </c>
      <c r="R4222">
        <v>1.014408E-2</v>
      </c>
      <c r="S4222">
        <v>-2.9925839999999999</v>
      </c>
      <c r="T4222">
        <v>-0.22335179999999999</v>
      </c>
      <c r="U4222">
        <v>-6.25E-2</v>
      </c>
      <c r="V4222">
        <v>-1.5195230000000001E-2</v>
      </c>
      <c r="W4222">
        <v>-7.0143159999999996E-2</v>
      </c>
      <c r="X4222">
        <v>0.99742120000000001</v>
      </c>
      <c r="Y4222">
        <v>-4.5941660000000002E-2</v>
      </c>
      <c r="Z4222">
        <v>-3.5633399999999999E-3</v>
      </c>
      <c r="AA4222">
        <v>0.99893779999999999</v>
      </c>
      <c r="AB4222">
        <v>29</v>
      </c>
      <c r="AC4222">
        <v>-14.7119</v>
      </c>
      <c r="AD4222">
        <v>-1.1201160286930001</v>
      </c>
      <c r="AE4222">
        <v>-0.32189999999999902</v>
      </c>
      <c r="AF4222">
        <v>-0.68959514873758998</v>
      </c>
      <c r="AG4222">
        <v>-1.1201160286930001</v>
      </c>
      <c r="AH4222">
        <v>14.6143902114877</v>
      </c>
      <c r="AI4222">
        <v>94.3779986941923</v>
      </c>
      <c r="AJ4222">
        <v>92.701556902422197</v>
      </c>
      <c r="AK4222">
        <v>14.673465938234401</v>
      </c>
      <c r="AL4222">
        <v>94.022209877120304</v>
      </c>
      <c r="AM4222">
        <v>90.872805994799904</v>
      </c>
      <c r="AN4222">
        <v>1.0000000040594801</v>
      </c>
    </row>
    <row r="4223" spans="1:40" x14ac:dyDescent="0.25">
      <c r="A4223" t="str">
        <f>"20190303154558031"</f>
        <v>20190303154558031</v>
      </c>
      <c r="B4223" t="str">
        <f>"1551599158025284"</f>
        <v>1551599158025284</v>
      </c>
      <c r="C4223" t="s">
        <v>40</v>
      </c>
      <c r="D4223">
        <v>5.2607980000000003</v>
      </c>
      <c r="E4223">
        <v>0.48767909999999998</v>
      </c>
      <c r="F4223" t="s">
        <v>41</v>
      </c>
      <c r="G4223">
        <v>-276.08199999999999</v>
      </c>
      <c r="H4223" s="1">
        <v>-2.0039910000000002E-6</v>
      </c>
      <c r="I4223">
        <v>140.8973</v>
      </c>
      <c r="J4223">
        <v>-261.6046</v>
      </c>
      <c r="K4223">
        <v>1.1202209999999999</v>
      </c>
      <c r="L4223">
        <v>141.2268</v>
      </c>
      <c r="M4223">
        <v>-0.99955609999999995</v>
      </c>
      <c r="N4223">
        <v>-1.4199089999999999E-2</v>
      </c>
      <c r="O4223">
        <v>2.6190680000000001E-2</v>
      </c>
      <c r="P4223">
        <v>-0.99638459999999995</v>
      </c>
      <c r="Q4223">
        <v>-8.4304149999999994E-2</v>
      </c>
      <c r="R4223">
        <v>1.0521020000000001E-2</v>
      </c>
      <c r="S4223">
        <v>-2.9923099999999998</v>
      </c>
      <c r="T4223">
        <v>-0.22692870000000001</v>
      </c>
      <c r="U4223">
        <v>-6.5017699999999998E-2</v>
      </c>
      <c r="V4223">
        <v>-1.5718909999999999E-2</v>
      </c>
      <c r="W4223">
        <v>-7.0118020000000003E-2</v>
      </c>
      <c r="X4223">
        <v>0.99741480000000005</v>
      </c>
      <c r="Y4223">
        <v>-4.769056E-2</v>
      </c>
      <c r="Z4223">
        <v>-3.7564619999999999E-3</v>
      </c>
      <c r="AA4223">
        <v>0.9988551</v>
      </c>
      <c r="AB4223">
        <v>29</v>
      </c>
      <c r="AC4223">
        <v>-14.4773999999999</v>
      </c>
      <c r="AD4223">
        <v>-1.1202230039909999</v>
      </c>
      <c r="AE4223">
        <v>-0.32949999999999502</v>
      </c>
      <c r="AF4223">
        <v>-0.70438299616857503</v>
      </c>
      <c r="AG4223">
        <v>-1.1202230039909999</v>
      </c>
      <c r="AH4223">
        <v>14.377763267460001</v>
      </c>
      <c r="AI4223">
        <v>94.449803474135294</v>
      </c>
      <c r="AJ4223">
        <v>92.804743004837803</v>
      </c>
      <c r="AK4223">
        <v>14.438529411234599</v>
      </c>
      <c r="AL4223">
        <v>94.0207661153337</v>
      </c>
      <c r="AM4223">
        <v>90.902886793680906</v>
      </c>
      <c r="AN4223">
        <v>0.99999995205967296</v>
      </c>
    </row>
    <row r="4224" spans="1:40" x14ac:dyDescent="0.25">
      <c r="A4224" t="str">
        <f>"20190303154558053"</f>
        <v>20190303154558053</v>
      </c>
      <c r="B4224" t="str">
        <f>"1551599158045780"</f>
        <v>1551599158045780</v>
      </c>
      <c r="C4224" t="s">
        <v>40</v>
      </c>
      <c r="D4224">
        <v>5.2181230000000003</v>
      </c>
      <c r="E4224">
        <v>0.48735610000000001</v>
      </c>
      <c r="F4224" t="s">
        <v>41</v>
      </c>
      <c r="G4224">
        <v>-276.3297</v>
      </c>
      <c r="H4224" s="1">
        <v>-1.897891E-6</v>
      </c>
      <c r="I4224">
        <v>140.89779999999999</v>
      </c>
      <c r="J4224">
        <v>-261.89010000000002</v>
      </c>
      <c r="K4224">
        <v>1.1203289999999999</v>
      </c>
      <c r="L4224">
        <v>141.23519999999999</v>
      </c>
      <c r="M4224">
        <v>-0.99953619999999999</v>
      </c>
      <c r="N4224">
        <v>-1.419429E-2</v>
      </c>
      <c r="O4224">
        <v>2.6944139999999998E-2</v>
      </c>
      <c r="P4224">
        <v>-0.99641550000000001</v>
      </c>
      <c r="Q4224">
        <v>-8.3933649999999999E-2</v>
      </c>
      <c r="R4224">
        <v>1.054926E-2</v>
      </c>
      <c r="S4224">
        <v>-2.9924010000000001</v>
      </c>
      <c r="T4224">
        <v>-0.2276495</v>
      </c>
      <c r="U4224">
        <v>-6.6848749999999998E-2</v>
      </c>
      <c r="V4224">
        <v>-1.6423210000000001E-2</v>
      </c>
      <c r="W4224">
        <v>-6.9755079999999997E-2</v>
      </c>
      <c r="X4224">
        <v>0.99742900000000001</v>
      </c>
      <c r="Y4224">
        <v>-4.9046270000000003E-2</v>
      </c>
      <c r="Z4224">
        <v>-3.8760130000000002E-3</v>
      </c>
      <c r="AA4224">
        <v>0.99878900000000004</v>
      </c>
      <c r="AB4224">
        <v>29</v>
      </c>
      <c r="AC4224">
        <v>-14.439599999999899</v>
      </c>
      <c r="AD4224">
        <v>-1.120330897891</v>
      </c>
      <c r="AE4224">
        <v>-0.33740000000000198</v>
      </c>
      <c r="AF4224">
        <v>-0.72203512961119998</v>
      </c>
      <c r="AG4224">
        <v>-1.120330897891</v>
      </c>
      <c r="AH4224">
        <v>14.3389938249751</v>
      </c>
      <c r="AI4224">
        <v>94.461913980835803</v>
      </c>
      <c r="AJ4224">
        <v>92.882674596936795</v>
      </c>
      <c r="AK4224">
        <v>14.4008062261054</v>
      </c>
      <c r="AL4224">
        <v>93.999919742909995</v>
      </c>
      <c r="AM4224">
        <v>90.943320873146504</v>
      </c>
      <c r="AN4224">
        <v>1.00000005152675</v>
      </c>
    </row>
    <row r="4225" spans="1:40" x14ac:dyDescent="0.25">
      <c r="A4225" t="str">
        <f>"20190303154558074"</f>
        <v>20190303154558074</v>
      </c>
      <c r="B4225" t="str">
        <f>"1551599158064964"</f>
        <v>1551599158064964</v>
      </c>
      <c r="C4225" t="s">
        <v>40</v>
      </c>
      <c r="D4225">
        <v>5.1038350000000001</v>
      </c>
      <c r="E4225">
        <v>0.4875794</v>
      </c>
      <c r="F4225" t="s">
        <v>41</v>
      </c>
      <c r="G4225">
        <v>-276.58780000000002</v>
      </c>
      <c r="H4225" s="1">
        <v>-1.7862590000000001E-6</v>
      </c>
      <c r="I4225">
        <v>140.89439999999999</v>
      </c>
      <c r="J4225">
        <v>-262.17070000000001</v>
      </c>
      <c r="K4225">
        <v>1.1204510000000001</v>
      </c>
      <c r="L4225">
        <v>141.24359999999999</v>
      </c>
      <c r="M4225">
        <v>-0.99951999999999996</v>
      </c>
      <c r="N4225">
        <v>-1.418987E-2</v>
      </c>
      <c r="O4225">
        <v>2.7537760000000001E-2</v>
      </c>
      <c r="P4225">
        <v>-0.99640890000000004</v>
      </c>
      <c r="Q4225">
        <v>-8.4027190000000002E-2</v>
      </c>
      <c r="R4225">
        <v>1.043174E-2</v>
      </c>
      <c r="S4225">
        <v>-2.9923099999999998</v>
      </c>
      <c r="T4225">
        <v>-0.22808909999999999</v>
      </c>
      <c r="U4225">
        <v>-6.9366460000000005E-2</v>
      </c>
      <c r="V4225">
        <v>-1.7112249999999999E-2</v>
      </c>
      <c r="W4225">
        <v>-6.9857039999999995E-2</v>
      </c>
      <c r="X4225">
        <v>0.99741020000000002</v>
      </c>
      <c r="Y4225">
        <v>-5.0473120000000003E-2</v>
      </c>
      <c r="Z4225">
        <v>-3.9848469999999997E-3</v>
      </c>
      <c r="AA4225">
        <v>0.99871750000000004</v>
      </c>
      <c r="AB4225">
        <v>29</v>
      </c>
      <c r="AC4225">
        <v>-14.4171</v>
      </c>
      <c r="AD4225">
        <v>-1.1204527862589999</v>
      </c>
      <c r="AE4225">
        <v>-0.34919999999999601</v>
      </c>
      <c r="AF4225">
        <v>-0.74164532424622098</v>
      </c>
      <c r="AG4225">
        <v>-1.1204527862589999</v>
      </c>
      <c r="AH4225">
        <v>14.3155998560842</v>
      </c>
      <c r="AI4225">
        <v>94.469330877359099</v>
      </c>
      <c r="AJ4225">
        <v>92.965659287644996</v>
      </c>
      <c r="AK4225">
        <v>14.3785204897002</v>
      </c>
      <c r="AL4225">
        <v>94.005776228615204</v>
      </c>
      <c r="AM4225">
        <v>90.9829090578272</v>
      </c>
      <c r="AN4225">
        <v>0.99999997110083105</v>
      </c>
    </row>
    <row r="4226" spans="1:40" x14ac:dyDescent="0.25">
      <c r="A4226" t="str">
        <f>"20190303154558098"</f>
        <v>20190303154558098</v>
      </c>
      <c r="B4226" t="str">
        <f>"1551599158085456"</f>
        <v>1551599158085456</v>
      </c>
      <c r="C4226" t="s">
        <v>40</v>
      </c>
      <c r="D4226">
        <v>5.0399370000000001</v>
      </c>
      <c r="E4226">
        <v>0.48771759999999997</v>
      </c>
      <c r="F4226" t="s">
        <v>41</v>
      </c>
      <c r="G4226">
        <v>-277.21260000000001</v>
      </c>
      <c r="H4226" s="1">
        <v>-1.520266E-6</v>
      </c>
      <c r="I4226">
        <v>140.90209999999999</v>
      </c>
      <c r="J4226">
        <v>-262.46449999999999</v>
      </c>
      <c r="K4226">
        <v>1.1205879999999999</v>
      </c>
      <c r="L4226">
        <v>141.25229999999999</v>
      </c>
      <c r="M4226">
        <v>-0.99950740000000005</v>
      </c>
      <c r="N4226">
        <v>-1.4185390000000001E-2</v>
      </c>
      <c r="O4226">
        <v>2.799946E-2</v>
      </c>
      <c r="P4226">
        <v>-0.99640859999999998</v>
      </c>
      <c r="Q4226">
        <v>-8.4055679999999994E-2</v>
      </c>
      <c r="R4226">
        <v>1.025033E-2</v>
      </c>
      <c r="S4226">
        <v>-2.9927670000000002</v>
      </c>
      <c r="T4226">
        <v>-0.2229286</v>
      </c>
      <c r="U4226">
        <v>-6.7932129999999993E-2</v>
      </c>
      <c r="V4226">
        <v>-1.773191E-2</v>
      </c>
      <c r="W4226">
        <v>-6.9894979999999995E-2</v>
      </c>
      <c r="X4226">
        <v>0.99739679999999997</v>
      </c>
      <c r="Y4226">
        <v>-5.0461840000000001E-2</v>
      </c>
      <c r="Z4226">
        <v>-3.9209020000000004E-3</v>
      </c>
      <c r="AA4226">
        <v>0.99871829999999995</v>
      </c>
      <c r="AB4226">
        <v>29</v>
      </c>
      <c r="AC4226">
        <v>-14.748100000000001</v>
      </c>
      <c r="AD4226">
        <v>-1.1205895202659999</v>
      </c>
      <c r="AE4226">
        <v>-0.35020000000000001</v>
      </c>
      <c r="AF4226">
        <v>-0.75866550896379004</v>
      </c>
      <c r="AG4226">
        <v>-1.1205895202659999</v>
      </c>
      <c r="AH4226">
        <v>14.6479912980079</v>
      </c>
      <c r="AI4226">
        <v>94.368844231017604</v>
      </c>
      <c r="AJ4226">
        <v>92.964879273802296</v>
      </c>
      <c r="AK4226">
        <v>14.710368564177401</v>
      </c>
      <c r="AL4226">
        <v>94.007955029226594</v>
      </c>
      <c r="AM4226">
        <v>91.018507969422799</v>
      </c>
      <c r="AN4226">
        <v>1.0000000527558399</v>
      </c>
    </row>
    <row r="4227" spans="1:40" x14ac:dyDescent="0.25">
      <c r="A4227" t="str">
        <f>"20190303154558123"</f>
        <v>20190303154558123</v>
      </c>
      <c r="B4227" t="str">
        <f>"1551599158115712"</f>
        <v>1551599158115712</v>
      </c>
      <c r="C4227" t="s">
        <v>40</v>
      </c>
      <c r="D4227">
        <v>5.0130619999999997</v>
      </c>
      <c r="E4227">
        <v>0.48764970000000002</v>
      </c>
      <c r="F4227" t="s">
        <v>41</v>
      </c>
      <c r="G4227">
        <v>-277.88959999999997</v>
      </c>
      <c r="H4227" s="1">
        <v>-1.230541E-6</v>
      </c>
      <c r="I4227">
        <v>140.90479999999999</v>
      </c>
      <c r="J4227">
        <v>-262.77850000000001</v>
      </c>
      <c r="K4227">
        <v>1.1207260000000001</v>
      </c>
      <c r="L4227">
        <v>141.26159999999999</v>
      </c>
      <c r="M4227">
        <v>-0.99949849999999996</v>
      </c>
      <c r="N4227">
        <v>-1.4180699999999999E-2</v>
      </c>
      <c r="O4227">
        <v>2.831262E-2</v>
      </c>
      <c r="P4227">
        <v>-0.99639940000000005</v>
      </c>
      <c r="Q4227">
        <v>-8.4182240000000005E-2</v>
      </c>
      <c r="R4227">
        <v>1.008183E-2</v>
      </c>
      <c r="S4227">
        <v>-2.9931640000000002</v>
      </c>
      <c r="T4227">
        <v>-0.21744530000000001</v>
      </c>
      <c r="U4227">
        <v>-6.7413329999999994E-2</v>
      </c>
      <c r="V4227">
        <v>-1.818782E-2</v>
      </c>
      <c r="W4227">
        <v>-7.0032250000000004E-2</v>
      </c>
      <c r="X4227">
        <v>0.99737889999999996</v>
      </c>
      <c r="Y4227">
        <v>-5.0608269999999997E-2</v>
      </c>
      <c r="Z4227">
        <v>-3.8478660000000001E-3</v>
      </c>
      <c r="AA4227">
        <v>0.99871120000000002</v>
      </c>
      <c r="AB4227">
        <v>29</v>
      </c>
      <c r="AC4227">
        <v>-15.111099999999899</v>
      </c>
      <c r="AD4227">
        <v>-1.1207272305410001</v>
      </c>
      <c r="AE4227">
        <v>-0.35679999999999201</v>
      </c>
      <c r="AF4227">
        <v>-0.780245400139432</v>
      </c>
      <c r="AG4227">
        <v>-1.1207272305410001</v>
      </c>
      <c r="AH4227">
        <v>15.012407261846899</v>
      </c>
      <c r="AI4227">
        <v>94.263671696409403</v>
      </c>
      <c r="AJ4227">
        <v>92.975177805151006</v>
      </c>
      <c r="AK4227">
        <v>15.0743883526088</v>
      </c>
      <c r="AL4227">
        <v>94.015839587022398</v>
      </c>
      <c r="AM4227">
        <v>91.044708121141497</v>
      </c>
      <c r="AN4227">
        <v>0.99999999150081198</v>
      </c>
    </row>
    <row r="4228" spans="1:40" x14ac:dyDescent="0.25">
      <c r="A4228" t="str">
        <f>"20190303154558145"</f>
        <v>20190303154558145</v>
      </c>
      <c r="B4228" t="str">
        <f>"1551599158135232"</f>
        <v>1551599158135232</v>
      </c>
      <c r="C4228" t="s">
        <v>40</v>
      </c>
      <c r="D4228">
        <v>4.9500989999999998</v>
      </c>
      <c r="E4228">
        <v>0.48769509999999999</v>
      </c>
      <c r="F4228" t="s">
        <v>41</v>
      </c>
      <c r="G4228">
        <v>-278.47430000000003</v>
      </c>
      <c r="H4228" s="1">
        <v>-9.7920409999999992E-7</v>
      </c>
      <c r="I4228">
        <v>140.90280000000001</v>
      </c>
      <c r="J4228">
        <v>-263.08440000000002</v>
      </c>
      <c r="K4228">
        <v>1.1208400000000001</v>
      </c>
      <c r="L4228">
        <v>141.2705</v>
      </c>
      <c r="M4228">
        <v>-0.99949469999999996</v>
      </c>
      <c r="N4228">
        <v>-1.4176350000000001E-2</v>
      </c>
      <c r="O4228">
        <v>2.8452600000000002E-2</v>
      </c>
      <c r="P4228">
        <v>-0.99637260000000005</v>
      </c>
      <c r="Q4228">
        <v>-8.4560709999999997E-2</v>
      </c>
      <c r="R4228">
        <v>9.5425509999999998E-3</v>
      </c>
      <c r="S4228">
        <v>-2.9935</v>
      </c>
      <c r="T4228">
        <v>-0.21374560000000001</v>
      </c>
      <c r="U4228">
        <v>-6.8405149999999998E-2</v>
      </c>
      <c r="V4228">
        <v>-1.8845520000000001E-2</v>
      </c>
      <c r="W4228">
        <v>-7.0420579999999997E-2</v>
      </c>
      <c r="X4228">
        <v>0.99733939999999999</v>
      </c>
      <c r="Y4228">
        <v>-5.1081670000000003E-2</v>
      </c>
      <c r="Z4228">
        <v>-3.8096380000000002E-3</v>
      </c>
      <c r="AA4228">
        <v>0.9986872</v>
      </c>
      <c r="AB4228">
        <v>29</v>
      </c>
      <c r="AC4228">
        <v>-15.389900000000001</v>
      </c>
      <c r="AD4228">
        <v>-1.1208409792041001</v>
      </c>
      <c r="AE4228">
        <v>-0.36769999999998398</v>
      </c>
      <c r="AF4228">
        <v>-0.801230314509216</v>
      </c>
      <c r="AG4228">
        <v>-1.1208409792041001</v>
      </c>
      <c r="AH4228">
        <v>15.2921393265493</v>
      </c>
      <c r="AI4228">
        <v>94.186289946697201</v>
      </c>
      <c r="AJ4228">
        <v>92.999264853323197</v>
      </c>
      <c r="AK4228">
        <v>15.354080229702699</v>
      </c>
      <c r="AL4228">
        <v>94.038144108669798</v>
      </c>
      <c r="AM4228">
        <v>91.082520429255794</v>
      </c>
      <c r="AN4228">
        <v>1.0000000452519799</v>
      </c>
    </row>
    <row r="4229" spans="1:40" x14ac:dyDescent="0.25">
      <c r="A4229" t="str">
        <f>"20190303154558165"</f>
        <v>20190303154558165</v>
      </c>
      <c r="B4229" t="str">
        <f>"1551599158155728"</f>
        <v>1551599158155728</v>
      </c>
      <c r="C4229" t="s">
        <v>40</v>
      </c>
      <c r="D4229">
        <v>4.928242</v>
      </c>
      <c r="E4229">
        <v>0.48775039999999997</v>
      </c>
      <c r="F4229" t="s">
        <v>41</v>
      </c>
      <c r="G4229">
        <v>-279.0206</v>
      </c>
      <c r="H4229" s="1">
        <v>-7.4374380000000003E-7</v>
      </c>
      <c r="I4229">
        <v>140.89869999999999</v>
      </c>
      <c r="J4229">
        <v>-263.33670000000001</v>
      </c>
      <c r="K4229">
        <v>1.120916</v>
      </c>
      <c r="L4229">
        <v>141.27780000000001</v>
      </c>
      <c r="M4229">
        <v>-0.99949379999999999</v>
      </c>
      <c r="N4229">
        <v>-1.417293E-2</v>
      </c>
      <c r="O4229">
        <v>2.8487490000000001E-2</v>
      </c>
      <c r="P4229">
        <v>-0.99633240000000001</v>
      </c>
      <c r="Q4229">
        <v>-8.5065810000000006E-2</v>
      </c>
      <c r="R4229">
        <v>9.2613739999999993E-3</v>
      </c>
      <c r="S4229">
        <v>-2.9936829999999999</v>
      </c>
      <c r="T4229">
        <v>-0.21055579999999999</v>
      </c>
      <c r="U4229">
        <v>-6.9824220000000006E-2</v>
      </c>
      <c r="V4229">
        <v>-1.9147279999999999E-2</v>
      </c>
      <c r="W4229">
        <v>-7.093323E-2</v>
      </c>
      <c r="X4229">
        <v>0.99729730000000005</v>
      </c>
      <c r="Y4229">
        <v>-5.1592659999999999E-2</v>
      </c>
      <c r="Z4229">
        <v>-3.7755919999999999E-3</v>
      </c>
      <c r="AA4229">
        <v>0.99866109999999997</v>
      </c>
      <c r="AB4229">
        <v>29</v>
      </c>
      <c r="AC4229">
        <v>-15.6838999999999</v>
      </c>
      <c r="AD4229">
        <v>-1.1209167437437999</v>
      </c>
      <c r="AE4229">
        <v>-0.37910000000002197</v>
      </c>
      <c r="AF4229">
        <v>-0.82159175585769995</v>
      </c>
      <c r="AG4229">
        <v>-1.1209167437437999</v>
      </c>
      <c r="AH4229">
        <v>15.5871622270313</v>
      </c>
      <c r="AI4229">
        <v>94.107537756325698</v>
      </c>
      <c r="AJ4229">
        <v>93.017240537837196</v>
      </c>
      <c r="AK4229">
        <v>15.6489965701156</v>
      </c>
      <c r="AL4229">
        <v>94.067590517183007</v>
      </c>
      <c r="AM4229">
        <v>91.099896257707599</v>
      </c>
      <c r="AN4229">
        <v>1.00000002301846</v>
      </c>
    </row>
    <row r="4230" spans="1:40" x14ac:dyDescent="0.25">
      <c r="A4230" t="str">
        <f>"20190303154558186"</f>
        <v>20190303154558186</v>
      </c>
      <c r="B4230" t="str">
        <f>"1551599158175249"</f>
        <v>1551599158175249</v>
      </c>
      <c r="C4230" t="s">
        <v>40</v>
      </c>
      <c r="D4230">
        <v>5.1549630000000004</v>
      </c>
      <c r="E4230">
        <v>0.48752869999999998</v>
      </c>
      <c r="F4230" t="s">
        <v>41</v>
      </c>
      <c r="G4230">
        <v>-279.42869999999999</v>
      </c>
      <c r="H4230" s="1">
        <v>-5.6908769999999898E-7</v>
      </c>
      <c r="I4230">
        <v>140.90029999999999</v>
      </c>
      <c r="J4230">
        <v>-263.61540000000002</v>
      </c>
      <c r="K4230">
        <v>1.120989</v>
      </c>
      <c r="L4230">
        <v>141.28579999999999</v>
      </c>
      <c r="M4230">
        <v>-0.99949529999999998</v>
      </c>
      <c r="N4230">
        <v>-1.4169019999999999E-2</v>
      </c>
      <c r="O4230">
        <v>2.843364E-2</v>
      </c>
      <c r="P4230">
        <v>-0.99635200000000002</v>
      </c>
      <c r="Q4230">
        <v>-8.4809659999999995E-2</v>
      </c>
      <c r="R4230">
        <v>9.4994699999999994E-3</v>
      </c>
      <c r="S4230">
        <v>-2.9938349999999998</v>
      </c>
      <c r="T4230">
        <v>-0.208541</v>
      </c>
      <c r="U4230">
        <v>-7.0220950000000004E-2</v>
      </c>
      <c r="V4230">
        <v>-1.8843260000000001E-2</v>
      </c>
      <c r="W4230">
        <v>-7.0684049999999998E-2</v>
      </c>
      <c r="X4230">
        <v>0.99732080000000001</v>
      </c>
      <c r="Y4230">
        <v>-5.1673539999999997E-2</v>
      </c>
      <c r="Z4230">
        <v>-3.739399E-3</v>
      </c>
      <c r="AA4230">
        <v>0.99865700000000002</v>
      </c>
      <c r="AB4230">
        <v>29</v>
      </c>
      <c r="AC4230">
        <v>-15.8132999999999</v>
      </c>
      <c r="AD4230">
        <v>-1.1209895690876901</v>
      </c>
      <c r="AE4230">
        <v>-0.385500000000007</v>
      </c>
      <c r="AF4230">
        <v>-0.83084617060103905</v>
      </c>
      <c r="AG4230">
        <v>-1.1209895690876901</v>
      </c>
      <c r="AH4230">
        <v>15.717007787137799</v>
      </c>
      <c r="AI4230">
        <v>94.073949183211496</v>
      </c>
      <c r="AJ4230">
        <v>93.026002850216699</v>
      </c>
      <c r="AK4230">
        <v>15.778823047177999</v>
      </c>
      <c r="AL4230">
        <v>94.053277556653001</v>
      </c>
      <c r="AM4230">
        <v>91.082410823440497</v>
      </c>
      <c r="AN4230">
        <v>1.00000004074223</v>
      </c>
    </row>
    <row r="4231" spans="1:40" x14ac:dyDescent="0.25">
      <c r="A4231" t="str">
        <f>"20190303154558210"</f>
        <v>20190303154558210</v>
      </c>
      <c r="B4231" t="str">
        <f>"1551599158205504"</f>
        <v>1551599158205504</v>
      </c>
      <c r="C4231" t="s">
        <v>40</v>
      </c>
      <c r="D4231">
        <v>4.9193740000000004</v>
      </c>
      <c r="E4231">
        <v>0.48709829999999998</v>
      </c>
      <c r="F4231" t="s">
        <v>41</v>
      </c>
      <c r="G4231">
        <v>-279.81099999999998</v>
      </c>
      <c r="H4231" s="1">
        <v>-4.0509479999999998E-7</v>
      </c>
      <c r="I4231">
        <v>140.90029999999999</v>
      </c>
      <c r="J4231">
        <v>-263.91609999999997</v>
      </c>
      <c r="K4231">
        <v>1.121067</v>
      </c>
      <c r="L4231">
        <v>141.29429999999999</v>
      </c>
      <c r="M4231">
        <v>-0.99950000000000006</v>
      </c>
      <c r="N4231">
        <v>-1.4165000000000001E-2</v>
      </c>
      <c r="O4231">
        <v>2.8268959999999999E-2</v>
      </c>
      <c r="P4231">
        <v>-0.99633550000000004</v>
      </c>
      <c r="Q4231">
        <v>-8.4933969999999998E-2</v>
      </c>
      <c r="R4231">
        <v>1.009549E-2</v>
      </c>
      <c r="S4231">
        <v>-2.9940190000000002</v>
      </c>
      <c r="T4231">
        <v>-0.207233</v>
      </c>
      <c r="U4231">
        <v>-7.1243290000000001E-2</v>
      </c>
      <c r="V4231">
        <v>-1.8069350000000001E-2</v>
      </c>
      <c r="W4231">
        <v>-7.0815799999999998E-2</v>
      </c>
      <c r="X4231">
        <v>0.99732569999999998</v>
      </c>
      <c r="Y4231">
        <v>-5.1850550000000002E-2</v>
      </c>
      <c r="Z4231">
        <v>-3.7138589999999999E-3</v>
      </c>
      <c r="AA4231">
        <v>0.99864790000000003</v>
      </c>
      <c r="AB4231">
        <v>29</v>
      </c>
      <c r="AC4231">
        <v>-15.8949</v>
      </c>
      <c r="AD4231">
        <v>-1.1210674050948</v>
      </c>
      <c r="AE4231">
        <v>-0.39400000000000501</v>
      </c>
      <c r="AF4231">
        <v>-0.83904860909814305</v>
      </c>
      <c r="AG4231">
        <v>-1.1210674050948</v>
      </c>
      <c r="AH4231">
        <v>15.798864385153401</v>
      </c>
      <c r="AI4231">
        <v>94.053140005100602</v>
      </c>
      <c r="AJ4231">
        <v>93.040017442056495</v>
      </c>
      <c r="AK4231">
        <v>15.860797916739999</v>
      </c>
      <c r="AL4231">
        <v>94.060845545702094</v>
      </c>
      <c r="AM4231">
        <v>91.037960051972107</v>
      </c>
      <c r="AN4231">
        <v>0.99999996540977498</v>
      </c>
    </row>
    <row r="4232" spans="1:40" x14ac:dyDescent="0.25">
      <c r="A4232" t="str">
        <f>"20190303154558231"</f>
        <v>20190303154558231</v>
      </c>
      <c r="B4232" t="str">
        <f>"1551599158225024"</f>
        <v>1551599158225024</v>
      </c>
      <c r="C4232" t="s">
        <v>40</v>
      </c>
      <c r="D4232">
        <v>5.0072809999999999</v>
      </c>
      <c r="E4232">
        <v>0.48691259999999997</v>
      </c>
      <c r="F4232" t="s">
        <v>61</v>
      </c>
      <c r="G4232">
        <v>-280.10559999999998</v>
      </c>
      <c r="H4232" s="1">
        <v>-4.0798739999999901E-6</v>
      </c>
      <c r="I4232">
        <v>140.90039999999999</v>
      </c>
      <c r="J4232">
        <v>-264.1918</v>
      </c>
      <c r="K4232">
        <v>1.1211420000000001</v>
      </c>
      <c r="L4232">
        <v>141.30189999999999</v>
      </c>
      <c r="M4232">
        <v>-0.99950669999999997</v>
      </c>
      <c r="N4232">
        <v>-1.416155E-2</v>
      </c>
      <c r="O4232">
        <v>2.8031170000000001E-2</v>
      </c>
      <c r="P4232">
        <v>-0.99628159999999999</v>
      </c>
      <c r="Q4232">
        <v>-8.5524870000000003E-2</v>
      </c>
      <c r="R4232">
        <v>1.041858E-2</v>
      </c>
      <c r="S4232">
        <v>-2.9940799999999999</v>
      </c>
      <c r="T4232">
        <v>-0.2073303</v>
      </c>
      <c r="U4232">
        <v>-7.2845460000000001E-2</v>
      </c>
      <c r="V4232">
        <v>-1.7495070000000001E-2</v>
      </c>
      <c r="W4232">
        <v>-7.14138E-2</v>
      </c>
      <c r="X4232">
        <v>0.9972934</v>
      </c>
      <c r="Y4232">
        <v>-5.214589E-2</v>
      </c>
      <c r="Z4232">
        <v>-3.7147619999999999E-3</v>
      </c>
      <c r="AA4232">
        <v>0.99863259999999998</v>
      </c>
      <c r="AB4232">
        <v>29</v>
      </c>
      <c r="AC4232">
        <v>-15.913799999999901</v>
      </c>
      <c r="AD4232">
        <v>-1.1211460798740001</v>
      </c>
      <c r="AE4232">
        <v>-0.40149999999999803</v>
      </c>
      <c r="AF4232">
        <v>-0.84328650293010698</v>
      </c>
      <c r="AG4232">
        <v>-1.1211460798740001</v>
      </c>
      <c r="AH4232">
        <v>15.8178299728276</v>
      </c>
      <c r="AI4232">
        <v>94.048535885139898</v>
      </c>
      <c r="AJ4232">
        <v>93.051686611459004</v>
      </c>
      <c r="AK4232">
        <v>15.879919574976601</v>
      </c>
      <c r="AL4232">
        <v>94.095194975936593</v>
      </c>
      <c r="AM4232">
        <v>91.005011029214501</v>
      </c>
      <c r="AN4232">
        <v>1.00000006699415</v>
      </c>
    </row>
    <row r="4233" spans="1:40" x14ac:dyDescent="0.25">
      <c r="A4233" t="str">
        <f>"20190303154558254"</f>
        <v>20190303154558254</v>
      </c>
      <c r="B4233" t="str">
        <f>"1551599158245521"</f>
        <v>1551599158245521</v>
      </c>
      <c r="C4233" t="s">
        <v>40</v>
      </c>
      <c r="D4233">
        <v>4.8838019999999904</v>
      </c>
      <c r="E4233">
        <v>0.48690640000000002</v>
      </c>
      <c r="F4233" t="s">
        <v>61</v>
      </c>
      <c r="G4233">
        <v>-280.29199999999997</v>
      </c>
      <c r="H4233" s="1">
        <v>-4.1649520000000003E-6</v>
      </c>
      <c r="I4233">
        <v>140.90790000000001</v>
      </c>
      <c r="J4233">
        <v>-264.47609999999997</v>
      </c>
      <c r="K4233">
        <v>1.1212230000000001</v>
      </c>
      <c r="L4233">
        <v>141.30959999999999</v>
      </c>
      <c r="M4233">
        <v>-0.99951610000000002</v>
      </c>
      <c r="N4233">
        <v>-1.415813E-2</v>
      </c>
      <c r="O4233">
        <v>2.7703040000000002E-2</v>
      </c>
      <c r="P4233">
        <v>-0.99630059999999998</v>
      </c>
      <c r="Q4233">
        <v>-8.5346069999999996E-2</v>
      </c>
      <c r="R4233">
        <v>1.008006E-2</v>
      </c>
      <c r="S4233">
        <v>-2.9940799999999999</v>
      </c>
      <c r="T4233">
        <v>-0.20849470000000001</v>
      </c>
      <c r="U4233">
        <v>-7.3272710000000005E-2</v>
      </c>
      <c r="V4233">
        <v>-1.7492440000000001E-2</v>
      </c>
      <c r="W4233">
        <v>-7.1241650000000004E-2</v>
      </c>
      <c r="X4233">
        <v>0.99730569999999996</v>
      </c>
      <c r="Y4233">
        <v>-5.1959360000000003E-2</v>
      </c>
      <c r="Z4233">
        <v>-3.7097520000000002E-3</v>
      </c>
      <c r="AA4233">
        <v>0.99864229999999998</v>
      </c>
      <c r="AB4233">
        <v>29</v>
      </c>
      <c r="AC4233">
        <v>-15.815899999999999</v>
      </c>
      <c r="AD4233">
        <v>-1.12122716495199</v>
      </c>
      <c r="AE4233">
        <v>-0.40169999999997602</v>
      </c>
      <c r="AF4233">
        <v>-0.83554164878364601</v>
      </c>
      <c r="AG4233">
        <v>-1.12122716495199</v>
      </c>
      <c r="AH4233">
        <v>15.7197468545658</v>
      </c>
      <c r="AI4233">
        <v>94.074040005222301</v>
      </c>
      <c r="AJ4233">
        <v>93.0425428352642</v>
      </c>
      <c r="AK4233">
        <v>15.7818161620869</v>
      </c>
      <c r="AL4233">
        <v>94.085306559634006</v>
      </c>
      <c r="AM4233">
        <v>91.004847588205493</v>
      </c>
      <c r="AN4233">
        <v>1.0000000087021801</v>
      </c>
    </row>
    <row r="4234" spans="1:40" x14ac:dyDescent="0.25">
      <c r="A4234" t="str">
        <f>"20190303154558276"</f>
        <v>20190303154558276</v>
      </c>
      <c r="B4234" t="str">
        <f>"1551599158265040"</f>
        <v>1551599158265040</v>
      </c>
      <c r="C4234" t="s">
        <v>40</v>
      </c>
      <c r="D4234">
        <v>4.8406409999999997</v>
      </c>
      <c r="E4234">
        <v>0.44733460000000003</v>
      </c>
      <c r="F4234" t="s">
        <v>61</v>
      </c>
      <c r="G4234">
        <v>-280.75459999999998</v>
      </c>
      <c r="H4234" s="1">
        <v>-4.3692359999999998E-6</v>
      </c>
      <c r="I4234">
        <v>140.90520000000001</v>
      </c>
      <c r="J4234">
        <v>-264.76589999999999</v>
      </c>
      <c r="K4234">
        <v>1.1213040000000001</v>
      </c>
      <c r="L4234">
        <v>141.31720000000001</v>
      </c>
      <c r="M4234">
        <v>-0.99952750000000001</v>
      </c>
      <c r="N4234">
        <v>-1.415486E-2</v>
      </c>
      <c r="O4234">
        <v>2.728336E-2</v>
      </c>
      <c r="P4234">
        <v>-0.99638590000000005</v>
      </c>
      <c r="Q4234">
        <v>-8.4435999999999997E-2</v>
      </c>
      <c r="R4234">
        <v>9.2591840000000002E-3</v>
      </c>
      <c r="S4234">
        <v>-2.9942319999999998</v>
      </c>
      <c r="T4234">
        <v>-0.2062358</v>
      </c>
      <c r="U4234">
        <v>-7.4386599999999997E-2</v>
      </c>
      <c r="V4234">
        <v>-1.788402E-2</v>
      </c>
      <c r="W4234">
        <v>-7.03376E-2</v>
      </c>
      <c r="X4234">
        <v>0.99736290000000005</v>
      </c>
      <c r="Y4234">
        <v>-5.1915019999999999E-2</v>
      </c>
      <c r="Z4234">
        <v>-3.6444210000000001E-3</v>
      </c>
      <c r="AA4234">
        <v>0.9986448</v>
      </c>
      <c r="AB4234">
        <v>29</v>
      </c>
      <c r="AC4234">
        <v>-15.9886999999999</v>
      </c>
      <c r="AD4234">
        <v>-1.121308369236</v>
      </c>
      <c r="AE4234">
        <v>-0.41200000000000597</v>
      </c>
      <c r="AF4234">
        <v>-0.84396755601200701</v>
      </c>
      <c r="AG4234">
        <v>-1.121308369236</v>
      </c>
      <c r="AH4234">
        <v>15.893386821492699</v>
      </c>
      <c r="AI4234">
        <v>94.029978991464404</v>
      </c>
      <c r="AJ4234">
        <v>93.039654483510105</v>
      </c>
      <c r="AK4234">
        <v>15.955229811949399</v>
      </c>
      <c r="AL4234">
        <v>94.033378128911593</v>
      </c>
      <c r="AM4234">
        <v>91.027278100722995</v>
      </c>
      <c r="AN4234">
        <v>0.99999998522076505</v>
      </c>
    </row>
    <row r="4235" spans="1:40" x14ac:dyDescent="0.25">
      <c r="A4235" t="str">
        <f>"20190303154558298"</f>
        <v>20190303154558298</v>
      </c>
      <c r="B4235" t="str">
        <f>"1551599158295297"</f>
        <v>1551599158295297</v>
      </c>
      <c r="C4235" t="s">
        <v>40</v>
      </c>
      <c r="D4235">
        <v>4.740462</v>
      </c>
      <c r="E4235">
        <v>0.38950879999999999</v>
      </c>
      <c r="F4235" t="s">
        <v>61</v>
      </c>
      <c r="G4235">
        <v>-284.108</v>
      </c>
      <c r="H4235" s="1">
        <v>-5.1235979999999999E-6</v>
      </c>
      <c r="I4235">
        <v>138.78440000000001</v>
      </c>
      <c r="J4235">
        <v>-265.03539999999998</v>
      </c>
      <c r="K4235">
        <v>1.12137</v>
      </c>
      <c r="L4235">
        <v>141.32409999999999</v>
      </c>
      <c r="M4235">
        <v>-0.99954030000000005</v>
      </c>
      <c r="N4235">
        <v>-1.415194E-2</v>
      </c>
      <c r="O4235">
        <v>2.6815459999999999E-2</v>
      </c>
      <c r="P4235">
        <v>-0.99640470000000003</v>
      </c>
      <c r="Q4235">
        <v>-8.43087E-2</v>
      </c>
      <c r="R4235">
        <v>8.3532339999999993E-3</v>
      </c>
      <c r="S4235">
        <v>-2.9997859999999998</v>
      </c>
      <c r="T4235">
        <v>-0.17390439999999999</v>
      </c>
      <c r="U4235">
        <v>-0.39280700000000002</v>
      </c>
      <c r="V4235">
        <v>-1.831315E-2</v>
      </c>
      <c r="W4235">
        <v>-7.021637E-2</v>
      </c>
      <c r="X4235">
        <v>0.99736369999999996</v>
      </c>
      <c r="Y4235">
        <v>-0.15603410000000001</v>
      </c>
      <c r="Z4235">
        <v>-6.7795219999999996E-3</v>
      </c>
      <c r="AA4235">
        <v>0.98772839999999995</v>
      </c>
      <c r="AB4235">
        <v>29</v>
      </c>
      <c r="AC4235">
        <v>-19.072600000000001</v>
      </c>
      <c r="AD4235">
        <v>-1.1213751235980001</v>
      </c>
      <c r="AE4235">
        <v>-2.5396999999999799</v>
      </c>
      <c r="AF4235">
        <v>-3.0399526598047699</v>
      </c>
      <c r="AG4235">
        <v>-1.1213751235980001</v>
      </c>
      <c r="AH4235">
        <v>18.933320526974398</v>
      </c>
      <c r="AI4235">
        <v>93.346766072676203</v>
      </c>
      <c r="AJ4235">
        <v>99.121614146503205</v>
      </c>
      <c r="AK4235">
        <v>19.208576743705599</v>
      </c>
      <c r="AL4235">
        <v>94.026414764180899</v>
      </c>
      <c r="AM4235">
        <v>91.051921490162002</v>
      </c>
      <c r="AN4235">
        <v>1.0000000300782901</v>
      </c>
    </row>
    <row r="4236" spans="1:40" x14ac:dyDescent="0.25">
      <c r="A4236" t="str">
        <f>"20190303154558323"</f>
        <v>20190303154558323</v>
      </c>
      <c r="B4236" t="str">
        <f>"1551599158315792"</f>
        <v>1551599158315792</v>
      </c>
      <c r="C4236" t="s">
        <v>40</v>
      </c>
      <c r="D4236">
        <v>4.7523920000000004</v>
      </c>
      <c r="E4236">
        <v>0.38726169999999999</v>
      </c>
      <c r="F4236" t="s">
        <v>61</v>
      </c>
      <c r="G4236">
        <v>-281.15969999999999</v>
      </c>
      <c r="H4236" s="1">
        <v>-3.0025189999999999E-6</v>
      </c>
      <c r="I4236">
        <v>136.72219999999999</v>
      </c>
      <c r="J4236">
        <v>-265.34570000000002</v>
      </c>
      <c r="K4236">
        <v>1.1214360000000001</v>
      </c>
      <c r="L4236">
        <v>141.33170000000001</v>
      </c>
      <c r="M4236">
        <v>-0.99955680000000002</v>
      </c>
      <c r="N4236">
        <v>-1.4148630000000001E-2</v>
      </c>
      <c r="O4236">
        <v>2.6197959999999999E-2</v>
      </c>
      <c r="P4236">
        <v>-0.99638850000000001</v>
      </c>
      <c r="Q4236">
        <v>-8.4588449999999996E-2</v>
      </c>
      <c r="R4236">
        <v>7.4126519999999996E-3</v>
      </c>
      <c r="S4236">
        <v>-3.0003359999999999</v>
      </c>
      <c r="T4236">
        <v>-0.2086606</v>
      </c>
      <c r="U4236">
        <v>-0.85629270000000002</v>
      </c>
      <c r="V4236">
        <v>-1.8626650000000002E-2</v>
      </c>
      <c r="W4236">
        <v>-7.0502869999999995E-2</v>
      </c>
      <c r="X4236">
        <v>0.99733760000000005</v>
      </c>
      <c r="Y4236">
        <v>-0.29869069999999998</v>
      </c>
      <c r="Z4236">
        <v>-1.375179E-2</v>
      </c>
      <c r="AA4236">
        <v>0.95425090000000001</v>
      </c>
      <c r="AB4236">
        <v>29</v>
      </c>
      <c r="AC4236">
        <v>-15.813999999999901</v>
      </c>
      <c r="AD4236">
        <v>-1.121439002519</v>
      </c>
      <c r="AE4236">
        <v>-4.6095000000000201</v>
      </c>
      <c r="AF4236">
        <v>-4.9990825931691498</v>
      </c>
      <c r="AG4236">
        <v>-1.121439002519</v>
      </c>
      <c r="AH4236">
        <v>15.615421498663601</v>
      </c>
      <c r="AI4236">
        <v>93.912747089892804</v>
      </c>
      <c r="AJ4236">
        <v>107.75181969416001</v>
      </c>
      <c r="AK4236">
        <v>16.434410265982301</v>
      </c>
      <c r="AL4236">
        <v>94.042871121805405</v>
      </c>
      <c r="AM4236">
        <v>91.069953014773603</v>
      </c>
      <c r="AN4236">
        <v>0.99999994757110799</v>
      </c>
    </row>
    <row r="4237" spans="1:40" x14ac:dyDescent="0.25">
      <c r="A4237" t="str">
        <f>"20190303154558345"</f>
        <v>20190303154558345</v>
      </c>
      <c r="B4237" t="str">
        <f>"1551599158335312"</f>
        <v>1551599158335312</v>
      </c>
      <c r="C4237" t="s">
        <v>40</v>
      </c>
      <c r="D4237">
        <v>4.6969089999999998</v>
      </c>
      <c r="E4237">
        <v>0.38615929999999998</v>
      </c>
      <c r="F4237" t="s">
        <v>61</v>
      </c>
      <c r="G4237">
        <v>-281.18430000000001</v>
      </c>
      <c r="H4237" s="1">
        <v>-3.0066620000000002E-6</v>
      </c>
      <c r="I4237">
        <v>136.69980000000001</v>
      </c>
      <c r="J4237">
        <v>-265.62279999999998</v>
      </c>
      <c r="K4237">
        <v>1.1214740000000001</v>
      </c>
      <c r="L4237">
        <v>141.3383</v>
      </c>
      <c r="M4237">
        <v>-0.99957260000000003</v>
      </c>
      <c r="N4237">
        <v>-1.4145629999999999E-2</v>
      </c>
      <c r="O4237">
        <v>2.558597E-2</v>
      </c>
      <c r="P4237">
        <v>-0.99638119999999997</v>
      </c>
      <c r="Q4237">
        <v>-8.4776889999999994E-2</v>
      </c>
      <c r="R4237">
        <v>6.1300080000000002E-3</v>
      </c>
      <c r="S4237">
        <v>-2.9993590000000001</v>
      </c>
      <c r="T4237">
        <v>-0.21236630000000001</v>
      </c>
      <c r="U4237">
        <v>-0.87713619999999903</v>
      </c>
      <c r="V4237">
        <v>-1.9291699999999998E-2</v>
      </c>
      <c r="W4237">
        <v>-7.0697259999999998E-2</v>
      </c>
      <c r="X4237">
        <v>0.99731119999999995</v>
      </c>
      <c r="Y4237">
        <v>-0.30426199999999998</v>
      </c>
      <c r="Z4237">
        <v>-1.4157309999999999E-2</v>
      </c>
      <c r="AA4237">
        <v>0.95248319999999997</v>
      </c>
      <c r="AB4237">
        <v>29</v>
      </c>
      <c r="AC4237">
        <v>-15.561500000000001</v>
      </c>
      <c r="AD4237">
        <v>-1.1214770066619999</v>
      </c>
      <c r="AE4237">
        <v>-4.6384999999999899</v>
      </c>
      <c r="AF4237">
        <v>-5.0112737326061501</v>
      </c>
      <c r="AG4237">
        <v>-1.1214770066619999</v>
      </c>
      <c r="AH4237">
        <v>15.364425223274299</v>
      </c>
      <c r="AI4237">
        <v>93.969617736934396</v>
      </c>
      <c r="AJ4237">
        <v>108.06429784699399</v>
      </c>
      <c r="AK4237">
        <v>16.199880787868999</v>
      </c>
      <c r="AL4237">
        <v>94.054036696726101</v>
      </c>
      <c r="AM4237">
        <v>91.108174816829802</v>
      </c>
      <c r="AN4237">
        <v>0.99999995095291705</v>
      </c>
    </row>
    <row r="4238" spans="1:40" x14ac:dyDescent="0.25">
      <c r="A4238" t="str">
        <f>"20190303154558366"</f>
        <v>20190303154558366</v>
      </c>
      <c r="B4238" t="str">
        <f>"1551599158355096"</f>
        <v>1551599158355096</v>
      </c>
      <c r="C4238" t="s">
        <v>40</v>
      </c>
      <c r="D4238">
        <v>4.7040470000000001</v>
      </c>
      <c r="E4238">
        <v>0.3853586</v>
      </c>
      <c r="F4238" t="s">
        <v>61</v>
      </c>
      <c r="G4238">
        <v>-281.3535</v>
      </c>
      <c r="H4238" s="1">
        <v>-3.0898239999999999E-6</v>
      </c>
      <c r="I4238">
        <v>136.66990000000001</v>
      </c>
      <c r="J4238">
        <v>-265.90660000000003</v>
      </c>
      <c r="K4238">
        <v>1.1215010000000001</v>
      </c>
      <c r="L4238">
        <v>141.3449</v>
      </c>
      <c r="M4238">
        <v>-0.99958930000000001</v>
      </c>
      <c r="N4238">
        <v>-1.4142480000000001E-2</v>
      </c>
      <c r="O4238">
        <v>2.492544E-2</v>
      </c>
      <c r="P4238">
        <v>-0.99638249999999995</v>
      </c>
      <c r="Q4238">
        <v>-8.484071E-2</v>
      </c>
      <c r="R4238">
        <v>4.8925369999999998E-3</v>
      </c>
      <c r="S4238">
        <v>-2.9981689999999999</v>
      </c>
      <c r="T4238">
        <v>-0.21374650000000001</v>
      </c>
      <c r="U4238">
        <v>-0.88978579999999996</v>
      </c>
      <c r="V4238">
        <v>-1.9865589999999999E-2</v>
      </c>
      <c r="W4238">
        <v>-7.0766460000000003E-2</v>
      </c>
      <c r="X4238">
        <v>0.99729509999999999</v>
      </c>
      <c r="Y4238">
        <v>-0.30741230000000003</v>
      </c>
      <c r="Z4238">
        <v>-1.433135E-2</v>
      </c>
      <c r="AA4238">
        <v>0.95146850000000005</v>
      </c>
      <c r="AB4238">
        <v>28</v>
      </c>
      <c r="AC4238">
        <v>-15.4468999999999</v>
      </c>
      <c r="AD4238">
        <v>-1.1215040898240001</v>
      </c>
      <c r="AE4238">
        <v>-4.6749999999999803</v>
      </c>
      <c r="AF4238">
        <v>-5.0342959345062797</v>
      </c>
      <c r="AG4238">
        <v>-1.1215040898240001</v>
      </c>
      <c r="AH4238">
        <v>15.251910401871701</v>
      </c>
      <c r="AI4238">
        <v>93.994282983118893</v>
      </c>
      <c r="AJ4238">
        <v>108.26683823277899</v>
      </c>
      <c r="AK4238">
        <v>16.100393718366099</v>
      </c>
      <c r="AL4238">
        <v>94.058011219335796</v>
      </c>
      <c r="AM4238">
        <v>91.1411506565248</v>
      </c>
      <c r="AN4238">
        <v>1.0000000250054899</v>
      </c>
    </row>
    <row r="4239" spans="1:40" x14ac:dyDescent="0.25">
      <c r="A4239" t="str">
        <f>"20190303154558388"</f>
        <v>20190303154558388</v>
      </c>
      <c r="B4239" t="str">
        <f>"1551599158385352"</f>
        <v>1551599158385352</v>
      </c>
      <c r="C4239" t="s">
        <v>40</v>
      </c>
      <c r="D4239">
        <v>4.7058910000000003</v>
      </c>
      <c r="E4239">
        <v>0.3846233</v>
      </c>
      <c r="F4239" t="s">
        <v>61</v>
      </c>
      <c r="G4239">
        <v>-281.6635</v>
      </c>
      <c r="H4239" s="1">
        <v>-3.2156120000000001E-6</v>
      </c>
      <c r="I4239">
        <v>136.61320000000001</v>
      </c>
      <c r="J4239">
        <v>-266.17750000000001</v>
      </c>
      <c r="K4239">
        <v>1.1215170000000001</v>
      </c>
      <c r="L4239">
        <v>141.3509</v>
      </c>
      <c r="M4239">
        <v>-0.99960539999999998</v>
      </c>
      <c r="N4239">
        <v>-1.413942E-2</v>
      </c>
      <c r="O4239">
        <v>2.4276140000000002E-2</v>
      </c>
      <c r="P4239">
        <v>-0.99639140000000004</v>
      </c>
      <c r="Q4239">
        <v>-8.4795419999999996E-2</v>
      </c>
      <c r="R4239">
        <v>3.7628370000000002E-3</v>
      </c>
      <c r="S4239">
        <v>-2.9971619999999999</v>
      </c>
      <c r="T4239">
        <v>-0.21332419999999999</v>
      </c>
      <c r="U4239">
        <v>-0.90002439999999995</v>
      </c>
      <c r="V4239">
        <v>-2.0345479999999999E-2</v>
      </c>
      <c r="W4239">
        <v>-7.0725709999999997E-2</v>
      </c>
      <c r="X4239">
        <v>0.99728830000000002</v>
      </c>
      <c r="Y4239">
        <v>-0.30986259999999999</v>
      </c>
      <c r="Z4239">
        <v>-1.4372350000000001E-2</v>
      </c>
      <c r="AA4239">
        <v>0.95067270000000004</v>
      </c>
      <c r="AB4239">
        <v>28</v>
      </c>
      <c r="AC4239">
        <v>-15.485999999999899</v>
      </c>
      <c r="AD4239">
        <v>-1.1215202156119899</v>
      </c>
      <c r="AE4239">
        <v>-4.7376999999999896</v>
      </c>
      <c r="AF4239">
        <v>-5.0878798748953997</v>
      </c>
      <c r="AG4239">
        <v>-1.1215202156119899</v>
      </c>
      <c r="AH4239">
        <v>15.2930651854427</v>
      </c>
      <c r="AI4239">
        <v>93.980525878088002</v>
      </c>
      <c r="AJ4239">
        <v>108.401869423337</v>
      </c>
      <c r="AK4239">
        <v>16.156180612434099</v>
      </c>
      <c r="AL4239">
        <v>94.055670616667499</v>
      </c>
      <c r="AM4239">
        <v>91.168717668233995</v>
      </c>
      <c r="AN4239">
        <v>1.0000000089641601</v>
      </c>
    </row>
    <row r="4240" spans="1:40" x14ac:dyDescent="0.25">
      <c r="A4240" t="str">
        <f>"20190303154558410"</f>
        <v>20190303154558410</v>
      </c>
      <c r="B4240" t="str">
        <f>"1551599158405848"</f>
        <v>1551599158405848</v>
      </c>
      <c r="C4240" t="s">
        <v>40</v>
      </c>
      <c r="D4240">
        <v>4.7196790000000002</v>
      </c>
      <c r="E4240">
        <v>0.38429580000000002</v>
      </c>
      <c r="F4240" t="s">
        <v>61</v>
      </c>
      <c r="G4240">
        <v>-282.09649999999999</v>
      </c>
      <c r="H4240" s="1">
        <v>-3.372396E-6</v>
      </c>
      <c r="I4240">
        <v>136.52029999999999</v>
      </c>
      <c r="J4240">
        <v>-266.45510000000002</v>
      </c>
      <c r="K4240">
        <v>1.1215250000000001</v>
      </c>
      <c r="L4240">
        <v>141.357</v>
      </c>
      <c r="M4240">
        <v>-0.9996216</v>
      </c>
      <c r="N4240">
        <v>-1.413652E-2</v>
      </c>
      <c r="O4240">
        <v>2.3603659999999999E-2</v>
      </c>
      <c r="P4240">
        <v>-0.99641040000000003</v>
      </c>
      <c r="Q4240">
        <v>-8.4610640000000001E-2</v>
      </c>
      <c r="R4240">
        <v>2.7837119999999998E-3</v>
      </c>
      <c r="S4240">
        <v>-2.9963069999999998</v>
      </c>
      <c r="T4240">
        <v>-0.21109430000000001</v>
      </c>
      <c r="U4240">
        <v>-0.90922550000000002</v>
      </c>
      <c r="V4240">
        <v>-2.0652460000000001E-2</v>
      </c>
      <c r="W4240">
        <v>-7.0544560000000006E-2</v>
      </c>
      <c r="X4240">
        <v>0.99729480000000004</v>
      </c>
      <c r="Y4240">
        <v>-0.31198550000000003</v>
      </c>
      <c r="Z4240">
        <v>-1.429236E-2</v>
      </c>
      <c r="AA4240">
        <v>0.94997940000000003</v>
      </c>
      <c r="AB4240">
        <v>28</v>
      </c>
      <c r="AC4240">
        <v>-15.6413999999999</v>
      </c>
      <c r="AD4240">
        <v>-1.1215283723959999</v>
      </c>
      <c r="AE4240">
        <v>-4.8367000000000004</v>
      </c>
      <c r="AF4240">
        <v>-5.1802745963766901</v>
      </c>
      <c r="AG4240">
        <v>-1.1215283723959999</v>
      </c>
      <c r="AH4240">
        <v>15.450364438691601</v>
      </c>
      <c r="AI4240">
        <v>93.937098251815101</v>
      </c>
      <c r="AJ4240">
        <v>108.535527050976</v>
      </c>
      <c r="AK4240">
        <v>16.334222726298901</v>
      </c>
      <c r="AL4240">
        <v>94.045265579184004</v>
      </c>
      <c r="AM4240">
        <v>91.186338973183496</v>
      </c>
      <c r="AN4240">
        <v>0.99999998857834205</v>
      </c>
    </row>
    <row r="4241" spans="1:40" x14ac:dyDescent="0.25">
      <c r="A4241" t="str">
        <f>"20190303154558433"</f>
        <v>20190303154558433</v>
      </c>
      <c r="B4241" t="str">
        <f>"1551599158425368"</f>
        <v>1551599158425368</v>
      </c>
      <c r="C4241" t="s">
        <v>40</v>
      </c>
      <c r="D4241">
        <v>4.7624500000000003</v>
      </c>
      <c r="E4241">
        <v>0.38385859999999999</v>
      </c>
      <c r="F4241" t="s">
        <v>61</v>
      </c>
      <c r="G4241">
        <v>-282.41300000000001</v>
      </c>
      <c r="H4241" s="1">
        <v>-3.4986139999999998E-6</v>
      </c>
      <c r="I4241">
        <v>136.48310000000001</v>
      </c>
      <c r="J4241">
        <v>-266.75139999999999</v>
      </c>
      <c r="K4241">
        <v>1.1215310000000001</v>
      </c>
      <c r="L4241">
        <v>141.36320000000001</v>
      </c>
      <c r="M4241">
        <v>-0.99963829999999998</v>
      </c>
      <c r="N4241">
        <v>-1.4133339999999999E-2</v>
      </c>
      <c r="O4241">
        <v>2.2885340000000001E-2</v>
      </c>
      <c r="P4241">
        <v>-0.99648769999999998</v>
      </c>
      <c r="Q4241">
        <v>-8.3723430000000001E-2</v>
      </c>
      <c r="R4241">
        <v>1.6398750000000001E-3</v>
      </c>
      <c r="S4241">
        <v>-2.9954529999999999</v>
      </c>
      <c r="T4241">
        <v>-0.21052119999999999</v>
      </c>
      <c r="U4241">
        <v>-0.9148712</v>
      </c>
      <c r="V4241">
        <v>-2.1082719999999999E-2</v>
      </c>
      <c r="W4241">
        <v>-6.9660449999999999E-2</v>
      </c>
      <c r="X4241">
        <v>0.99734800000000001</v>
      </c>
      <c r="Y4241">
        <v>-0.31301950000000001</v>
      </c>
      <c r="Z4241">
        <v>-1.426268E-2</v>
      </c>
      <c r="AA4241">
        <v>0.94963960000000003</v>
      </c>
      <c r="AB4241">
        <v>28</v>
      </c>
      <c r="AC4241">
        <v>-15.6616</v>
      </c>
      <c r="AD4241">
        <v>-1.1215344986139999</v>
      </c>
      <c r="AE4241">
        <v>-4.8800999999999899</v>
      </c>
      <c r="AF4241">
        <v>-5.2129120975236196</v>
      </c>
      <c r="AG4241">
        <v>-1.1215344986139999</v>
      </c>
      <c r="AH4241">
        <v>15.473476912655199</v>
      </c>
      <c r="AI4241">
        <v>93.929354303655401</v>
      </c>
      <c r="AJ4241">
        <v>108.61833095822099</v>
      </c>
      <c r="AK4241">
        <v>16.366452881872799</v>
      </c>
      <c r="AL4241">
        <v>93.994484643549299</v>
      </c>
      <c r="AM4241">
        <v>91.210982527054895</v>
      </c>
      <c r="AN4241">
        <v>1.00000004624039</v>
      </c>
    </row>
    <row r="4242" spans="1:40" x14ac:dyDescent="0.25">
      <c r="A4242" t="str">
        <f>"20190303154558454"</f>
        <v>20190303154558454</v>
      </c>
      <c r="B4242" t="str">
        <f>"1551599158445865"</f>
        <v>1551599158445865</v>
      </c>
      <c r="C4242" t="s">
        <v>40</v>
      </c>
      <c r="D4242">
        <v>4.7676449999999999</v>
      </c>
      <c r="E4242">
        <v>0.38348870000000002</v>
      </c>
      <c r="F4242" t="s">
        <v>61</v>
      </c>
      <c r="G4242">
        <v>-282.86470000000003</v>
      </c>
      <c r="H4242" s="1">
        <v>-3.6686159999999999E-6</v>
      </c>
      <c r="I4242">
        <v>136.4033</v>
      </c>
      <c r="J4242">
        <v>-267.02460000000002</v>
      </c>
      <c r="K4242">
        <v>1.121537</v>
      </c>
      <c r="L4242">
        <v>141.36869999999999</v>
      </c>
      <c r="M4242">
        <v>-0.99965320000000002</v>
      </c>
      <c r="N4242">
        <v>-1.413035E-2</v>
      </c>
      <c r="O4242">
        <v>2.22264E-2</v>
      </c>
      <c r="P4242">
        <v>-0.99656180000000005</v>
      </c>
      <c r="Q4242">
        <v>-8.2853750000000004E-2</v>
      </c>
      <c r="R4242">
        <v>2.4764310000000001E-4</v>
      </c>
      <c r="S4242">
        <v>-2.9945680000000001</v>
      </c>
      <c r="T4242">
        <v>-0.2084309</v>
      </c>
      <c r="U4242">
        <v>-0.92176820000000004</v>
      </c>
      <c r="V4242">
        <v>-2.1820220000000001E-2</v>
      </c>
      <c r="W4242">
        <v>-6.8793980000000005E-2</v>
      </c>
      <c r="X4242">
        <v>0.99739219999999895</v>
      </c>
      <c r="Y4242">
        <v>-0.31448429999999999</v>
      </c>
      <c r="Z4242">
        <v>-1.41651E-2</v>
      </c>
      <c r="AA4242">
        <v>0.94915700000000003</v>
      </c>
      <c r="AB4242">
        <v>28</v>
      </c>
      <c r="AC4242">
        <v>-15.8401</v>
      </c>
      <c r="AD4242">
        <v>-1.1215406686159901</v>
      </c>
      <c r="AE4242">
        <v>-4.9653999999999803</v>
      </c>
      <c r="AF4242">
        <v>-5.2921199515406396</v>
      </c>
      <c r="AG4242">
        <v>-1.1215406686159901</v>
      </c>
      <c r="AH4242">
        <v>15.654355476805801</v>
      </c>
      <c r="AI4242">
        <v>93.8827445450178</v>
      </c>
      <c r="AJ4242">
        <v>108.678366524295</v>
      </c>
      <c r="AK4242">
        <v>16.5627060725913</v>
      </c>
      <c r="AL4242">
        <v>93.944720493671696</v>
      </c>
      <c r="AM4242">
        <v>91.253275407043404</v>
      </c>
      <c r="AN4242">
        <v>0.99999996715296302</v>
      </c>
    </row>
    <row r="4243" spans="1:40" x14ac:dyDescent="0.25">
      <c r="A4243" t="str">
        <f>"20190303154558479"</f>
        <v>20190303154558479</v>
      </c>
      <c r="B4243" t="str">
        <f>"1551599158475353"</f>
        <v>1551599158475353</v>
      </c>
      <c r="C4243" t="s">
        <v>40</v>
      </c>
      <c r="D4243">
        <v>4.7888409999999997</v>
      </c>
      <c r="E4243">
        <v>0.38296799999999998</v>
      </c>
      <c r="F4243" t="s">
        <v>61</v>
      </c>
      <c r="G4243">
        <v>-283.25459999999998</v>
      </c>
      <c r="H4243" s="1">
        <v>-3.8147120000000004E-6</v>
      </c>
      <c r="I4243">
        <v>136.33260000000001</v>
      </c>
      <c r="J4243">
        <v>-267.32330000000002</v>
      </c>
      <c r="K4243">
        <v>1.1215329999999999</v>
      </c>
      <c r="L4243">
        <v>141.37450000000001</v>
      </c>
      <c r="M4243">
        <v>-0.99966900000000003</v>
      </c>
      <c r="N4243">
        <v>-1.4126949999999999E-2</v>
      </c>
      <c r="O4243">
        <v>2.1510870000000001E-2</v>
      </c>
      <c r="P4243">
        <v>-0.99652929999999995</v>
      </c>
      <c r="Q4243">
        <v>-8.3244879999999993E-2</v>
      </c>
      <c r="R4243">
        <v>-5.6947659999999995E-4</v>
      </c>
      <c r="S4243">
        <v>-2.9933779999999999</v>
      </c>
      <c r="T4243">
        <v>-0.20685039999999999</v>
      </c>
      <c r="U4243">
        <v>-0.92883300000000002</v>
      </c>
      <c r="V4243">
        <v>-2.1923290000000002E-2</v>
      </c>
      <c r="W4243">
        <v>-6.9189000000000001E-2</v>
      </c>
      <c r="X4243">
        <v>0.99736270000000005</v>
      </c>
      <c r="Y4243">
        <v>-0.31596479999999999</v>
      </c>
      <c r="Z4243">
        <v>-1.409585E-2</v>
      </c>
      <c r="AA4243">
        <v>0.94866620000000002</v>
      </c>
      <c r="AB4243">
        <v>28</v>
      </c>
      <c r="AC4243">
        <v>-15.931299999999901</v>
      </c>
      <c r="AD4243">
        <v>-1.121536814712</v>
      </c>
      <c r="AE4243">
        <v>-5.0418999999999903</v>
      </c>
      <c r="AF4243">
        <v>-5.3593210636249404</v>
      </c>
      <c r="AG4243">
        <v>-1.121536814712</v>
      </c>
      <c r="AH4243">
        <v>15.748204997380199</v>
      </c>
      <c r="AI4243">
        <v>93.857026906726801</v>
      </c>
      <c r="AJ4243">
        <v>108.79411406193201</v>
      </c>
      <c r="AK4243">
        <v>16.6729159935891</v>
      </c>
      <c r="AL4243">
        <v>93.967407194367397</v>
      </c>
      <c r="AM4243">
        <v>91.259230710166506</v>
      </c>
      <c r="AN4243">
        <v>1.0000000518583501</v>
      </c>
    </row>
    <row r="4244" spans="1:40" x14ac:dyDescent="0.25">
      <c r="A4244" t="str">
        <f>"20190303154558500"</f>
        <v>20190303154558500</v>
      </c>
      <c r="B4244" t="str">
        <f>"1551599158495848"</f>
        <v>1551599158495848</v>
      </c>
      <c r="C4244" t="s">
        <v>40</v>
      </c>
      <c r="D4244">
        <v>5.0168720000000002</v>
      </c>
      <c r="E4244">
        <v>0.38550659999999998</v>
      </c>
      <c r="F4244" t="s">
        <v>61</v>
      </c>
      <c r="G4244">
        <v>-283.3528</v>
      </c>
      <c r="H4244" s="1">
        <v>-3.8700649999999997E-6</v>
      </c>
      <c r="I4244">
        <v>136.36369999999999</v>
      </c>
      <c r="J4244">
        <v>-267.59339999999997</v>
      </c>
      <c r="K4244">
        <v>1.1215379999999999</v>
      </c>
      <c r="L4244">
        <v>141.37970000000001</v>
      </c>
      <c r="M4244">
        <v>-0.99968250000000003</v>
      </c>
      <c r="N4244">
        <v>-1.412398E-2</v>
      </c>
      <c r="O4244">
        <v>2.0868669999999999E-2</v>
      </c>
      <c r="P4244">
        <v>-0.99645850000000002</v>
      </c>
      <c r="Q4244">
        <v>-8.4084480000000003E-2</v>
      </c>
      <c r="R4244">
        <v>-6.9143929999999996E-4</v>
      </c>
      <c r="S4244">
        <v>-2.992432</v>
      </c>
      <c r="T4244">
        <v>-0.2093719</v>
      </c>
      <c r="U4244">
        <v>-0.9354401</v>
      </c>
      <c r="V4244">
        <v>-2.14027E-2</v>
      </c>
      <c r="W4244">
        <v>-7.0031540000000003E-2</v>
      </c>
      <c r="X4244">
        <v>0.99731519999999996</v>
      </c>
      <c r="Y4244">
        <v>-0.31732709999999997</v>
      </c>
      <c r="Z4244">
        <v>-1.426465E-2</v>
      </c>
      <c r="AA4244">
        <v>0.94820890000000002</v>
      </c>
      <c r="AB4244">
        <v>28</v>
      </c>
      <c r="AC4244">
        <v>-15.759399999999999</v>
      </c>
      <c r="AD4244">
        <v>-1.1215418700649999</v>
      </c>
      <c r="AE4244">
        <v>-5.0160000000000204</v>
      </c>
      <c r="AF4244">
        <v>-5.3193553395891602</v>
      </c>
      <c r="AG4244">
        <v>-1.1215418700649999</v>
      </c>
      <c r="AH4244">
        <v>15.5796321794438</v>
      </c>
      <c r="AI4244">
        <v>93.897324215740298</v>
      </c>
      <c r="AJ4244">
        <v>108.851449168415</v>
      </c>
      <c r="AK4244">
        <v>16.500858651654699</v>
      </c>
      <c r="AL4244">
        <v>94.015798570957202</v>
      </c>
      <c r="AM4244">
        <v>91.229396863762005</v>
      </c>
      <c r="AN4244">
        <v>1.00000005015654</v>
      </c>
    </row>
    <row r="4245" spans="1:40" x14ac:dyDescent="0.25">
      <c r="A4245" t="str">
        <f>"20190303154558524"</f>
        <v>20190303154558524</v>
      </c>
      <c r="B4245" t="str">
        <f>"1551599158515368"</f>
        <v>1551599158515368</v>
      </c>
      <c r="C4245" t="s">
        <v>40</v>
      </c>
      <c r="D4245">
        <v>4.9913439999999998</v>
      </c>
      <c r="E4245">
        <v>0.47426790000000002</v>
      </c>
      <c r="F4245" t="s">
        <v>61</v>
      </c>
      <c r="G4245">
        <v>-283.63380000000001</v>
      </c>
      <c r="H4245" s="1">
        <v>-4.0357470000000004E-6</v>
      </c>
      <c r="I4245">
        <v>136.47200000000001</v>
      </c>
      <c r="J4245">
        <v>-267.88549999999998</v>
      </c>
      <c r="K4245">
        <v>1.1215310000000001</v>
      </c>
      <c r="L4245">
        <v>141.38499999999999</v>
      </c>
      <c r="M4245">
        <v>-0.99969680000000005</v>
      </c>
      <c r="N4245">
        <v>-1.4120829999999999E-2</v>
      </c>
      <c r="O4245">
        <v>2.0177549999999999E-2</v>
      </c>
      <c r="P4245">
        <v>-0.99645050000000002</v>
      </c>
      <c r="Q4245">
        <v>-8.4182430000000003E-2</v>
      </c>
      <c r="R4245">
        <v>-2.7297680000000003E-4</v>
      </c>
      <c r="S4245">
        <v>-2.9923709999999999</v>
      </c>
      <c r="T4245">
        <v>-0.209227</v>
      </c>
      <c r="U4245">
        <v>-0.91554259999999998</v>
      </c>
      <c r="V4245">
        <v>-2.0295440000000001E-2</v>
      </c>
      <c r="W4245">
        <v>-7.0130899999999996E-2</v>
      </c>
      <c r="X4245">
        <v>0.99733130000000003</v>
      </c>
      <c r="Y4245">
        <v>-0.31093340000000003</v>
      </c>
      <c r="Z4245">
        <v>-1.3963069999999999E-2</v>
      </c>
      <c r="AA4245">
        <v>0.95032910000000004</v>
      </c>
      <c r="AB4245">
        <v>28</v>
      </c>
      <c r="AC4245">
        <v>-15.7483</v>
      </c>
      <c r="AD4245">
        <v>-1.121535035747</v>
      </c>
      <c r="AE4245">
        <v>-4.9129999999999798</v>
      </c>
      <c r="AF4245">
        <v>-5.2057328287086397</v>
      </c>
      <c r="AG4245">
        <v>-1.121535035747</v>
      </c>
      <c r="AH4245">
        <v>15.5739693080544</v>
      </c>
      <c r="AI4245">
        <v>93.907174475093498</v>
      </c>
      <c r="AJ4245">
        <v>108.482646905238</v>
      </c>
      <c r="AK4245">
        <v>16.4592227984351</v>
      </c>
      <c r="AL4245">
        <v>94.021505773543595</v>
      </c>
      <c r="AM4245">
        <v>91.165793733128694</v>
      </c>
      <c r="AN4245">
        <v>0.99999998498964604</v>
      </c>
    </row>
    <row r="4246" spans="1:40" x14ac:dyDescent="0.25">
      <c r="A4246" t="str">
        <f>"20190303154558545"</f>
        <v>20190303154558545</v>
      </c>
      <c r="B4246" t="str">
        <f>"1551599158535864"</f>
        <v>1551599158535864</v>
      </c>
      <c r="C4246" t="s">
        <v>40</v>
      </c>
      <c r="D4246">
        <v>4.9860239999999996</v>
      </c>
      <c r="E4246">
        <v>0.48103679999999899</v>
      </c>
      <c r="F4246" t="s">
        <v>61</v>
      </c>
      <c r="G4246">
        <v>-296.62369999999999</v>
      </c>
      <c r="H4246" s="1">
        <v>-8.2679249999999993E-6</v>
      </c>
      <c r="I4246">
        <v>139.40090000000001</v>
      </c>
      <c r="J4246">
        <v>-268.15940000000001</v>
      </c>
      <c r="K4246">
        <v>1.1215299999999999</v>
      </c>
      <c r="L4246">
        <v>141.38980000000001</v>
      </c>
      <c r="M4246">
        <v>-0.99970970000000003</v>
      </c>
      <c r="N4246">
        <v>-1.4117950000000001E-2</v>
      </c>
      <c r="O4246">
        <v>1.9531429999999999E-2</v>
      </c>
      <c r="P4246">
        <v>-0.99645320000000004</v>
      </c>
      <c r="Q4246">
        <v>-8.4149260000000004E-2</v>
      </c>
      <c r="R4246">
        <v>-3.3468259999999998E-4</v>
      </c>
      <c r="S4246">
        <v>-3.0007630000000001</v>
      </c>
      <c r="T4246">
        <v>-0.11710810000000001</v>
      </c>
      <c r="U4246">
        <v>-0.20716860000000001</v>
      </c>
      <c r="V4246">
        <v>-1.9714349999999999E-2</v>
      </c>
      <c r="W4246">
        <v>-7.0099590000000003E-2</v>
      </c>
      <c r="X4246">
        <v>0.99734509999999998</v>
      </c>
      <c r="Y4246">
        <v>-8.8251319999999994E-2</v>
      </c>
      <c r="Z4246">
        <v>-2.829214E-3</v>
      </c>
      <c r="AA4246">
        <v>0.99609420000000004</v>
      </c>
      <c r="AB4246">
        <v>28</v>
      </c>
      <c r="AC4246">
        <v>-28.464299999999898</v>
      </c>
      <c r="AD4246">
        <v>-1.1215382679250001</v>
      </c>
      <c r="AE4246">
        <v>-1.9888999999999999</v>
      </c>
      <c r="AF4246">
        <v>-2.5405992709300702</v>
      </c>
      <c r="AG4246">
        <v>-1.1215382679250001</v>
      </c>
      <c r="AH4246">
        <v>28.376179707459301</v>
      </c>
      <c r="AI4246">
        <v>92.254368301546805</v>
      </c>
      <c r="AJ4246">
        <v>95.1162108456124</v>
      </c>
      <c r="AK4246">
        <v>28.511753147288101</v>
      </c>
      <c r="AL4246">
        <v>94.019707644953897</v>
      </c>
      <c r="AM4246">
        <v>91.132408401084902</v>
      </c>
      <c r="AN4246">
        <v>0.99999992830404705</v>
      </c>
    </row>
    <row r="4247" spans="1:40" x14ac:dyDescent="0.25">
      <c r="A4247" t="str">
        <f>"20190303154558568"</f>
        <v>20190303154558568</v>
      </c>
      <c r="B4247" t="str">
        <f>"1551599158555384"</f>
        <v>1551599158555384</v>
      </c>
      <c r="C4247" t="s">
        <v>40</v>
      </c>
      <c r="D4247">
        <v>4.9558460000000002</v>
      </c>
      <c r="E4247">
        <v>0.48357159999999899</v>
      </c>
      <c r="F4247" t="s">
        <v>61</v>
      </c>
      <c r="G4247">
        <v>-298.06509999999997</v>
      </c>
      <c r="H4247" s="1">
        <v>-8.2810439999999995E-6</v>
      </c>
      <c r="I4247">
        <v>139.86060000000001</v>
      </c>
      <c r="J4247">
        <v>-268.44200000000001</v>
      </c>
      <c r="K4247">
        <v>1.121532</v>
      </c>
      <c r="L4247">
        <v>141.39449999999999</v>
      </c>
      <c r="M4247">
        <v>-0.99972240000000001</v>
      </c>
      <c r="N4247">
        <v>-1.4115040000000001E-2</v>
      </c>
      <c r="O4247">
        <v>1.886587E-2</v>
      </c>
      <c r="P4247">
        <v>-0.99652240000000003</v>
      </c>
      <c r="Q4247">
        <v>-8.3323540000000001E-2</v>
      </c>
      <c r="R4247">
        <v>-6.9348770000000003E-4</v>
      </c>
      <c r="S4247">
        <v>-3.0011290000000002</v>
      </c>
      <c r="T4247">
        <v>-0.11255</v>
      </c>
      <c r="U4247">
        <v>-0.1534576</v>
      </c>
      <c r="V4247">
        <v>-1.9413E-2</v>
      </c>
      <c r="W4247">
        <v>-6.927527E-2</v>
      </c>
      <c r="X4247">
        <v>0.99740870000000004</v>
      </c>
      <c r="Y4247">
        <v>-6.9828039999999994E-2</v>
      </c>
      <c r="Z4247">
        <v>-2.2422570000000001E-3</v>
      </c>
      <c r="AA4247">
        <v>0.99755649999999996</v>
      </c>
      <c r="AB4247">
        <v>28</v>
      </c>
      <c r="AC4247">
        <v>-29.623099999999901</v>
      </c>
      <c r="AD4247">
        <v>-1.1215402810439901</v>
      </c>
      <c r="AE4247">
        <v>-1.5338999999999801</v>
      </c>
      <c r="AF4247">
        <v>-2.0895609964048498</v>
      </c>
      <c r="AG4247">
        <v>-1.1215402810439901</v>
      </c>
      <c r="AH4247">
        <v>29.5466464554694</v>
      </c>
      <c r="AI4247">
        <v>92.168395810095205</v>
      </c>
      <c r="AJ4247">
        <v>94.0452654384884</v>
      </c>
      <c r="AK4247">
        <v>29.641667202170101</v>
      </c>
      <c r="AL4247">
        <v>93.972362111564607</v>
      </c>
      <c r="AM4247">
        <v>91.115031928186397</v>
      </c>
      <c r="AN4247">
        <v>1.00000002121913</v>
      </c>
    </row>
    <row r="4248" spans="1:40" x14ac:dyDescent="0.25">
      <c r="A4248" t="str">
        <f>"20190303154558588"</f>
        <v>20190303154558588</v>
      </c>
      <c r="B4248" t="str">
        <f>"1551599158585640"</f>
        <v>1551599158585640</v>
      </c>
      <c r="C4248" t="s">
        <v>40</v>
      </c>
      <c r="D4248">
        <v>4.9740190000000002</v>
      </c>
      <c r="E4248">
        <v>0.4861569</v>
      </c>
      <c r="F4248" t="s">
        <v>61</v>
      </c>
      <c r="G4248">
        <v>-300.74829999999997</v>
      </c>
      <c r="H4248" s="1">
        <v>-8.2626229999999906E-6</v>
      </c>
      <c r="I4248">
        <v>139.94820000000001</v>
      </c>
      <c r="J4248">
        <v>-268.70150000000001</v>
      </c>
      <c r="K4248">
        <v>1.1215379999999999</v>
      </c>
      <c r="L4248">
        <v>141.39869999999999</v>
      </c>
      <c r="M4248">
        <v>-0.99973380000000001</v>
      </c>
      <c r="N4248">
        <v>-1.4112100000000001E-2</v>
      </c>
      <c r="O4248">
        <v>1.8254900000000001E-2</v>
      </c>
      <c r="P4248">
        <v>-0.99649100000000002</v>
      </c>
      <c r="Q4248">
        <v>-8.3697450000000007E-2</v>
      </c>
      <c r="R4248">
        <v>-8.3811009999999904E-4</v>
      </c>
      <c r="S4248">
        <v>-3.0016780000000001</v>
      </c>
      <c r="T4248">
        <v>-0.10420599999999999</v>
      </c>
      <c r="U4248">
        <v>-0.13438420000000001</v>
      </c>
      <c r="V4248">
        <v>-1.8947370000000002E-2</v>
      </c>
      <c r="W4248">
        <v>-6.9651749999999998E-2</v>
      </c>
      <c r="X4248">
        <v>0.99739140000000004</v>
      </c>
      <c r="Y4248">
        <v>-6.2898780000000001E-2</v>
      </c>
      <c r="Z4248">
        <v>-1.910997E-3</v>
      </c>
      <c r="AA4248">
        <v>0.99801810000000002</v>
      </c>
      <c r="AB4248">
        <v>28</v>
      </c>
      <c r="AC4248">
        <v>-32.046799999999898</v>
      </c>
      <c r="AD4248">
        <v>-1.1215462626229999</v>
      </c>
      <c r="AE4248">
        <v>-1.4504999999999699</v>
      </c>
      <c r="AF4248">
        <v>-2.0328428858441199</v>
      </c>
      <c r="AG4248">
        <v>-1.1215462626229999</v>
      </c>
      <c r="AH4248">
        <v>31.975893469920599</v>
      </c>
      <c r="AI4248">
        <v>92.004767350833106</v>
      </c>
      <c r="AJ4248">
        <v>93.637639749826207</v>
      </c>
      <c r="AK4248">
        <v>32.060069859834101</v>
      </c>
      <c r="AL4248">
        <v>93.993985193768395</v>
      </c>
      <c r="AM4248">
        <v>91.088312742650501</v>
      </c>
      <c r="AN4248">
        <v>0.99999998695096903</v>
      </c>
    </row>
    <row r="4249" spans="1:40" x14ac:dyDescent="0.25">
      <c r="A4249" t="str">
        <f>"20190303154558611"</f>
        <v>20190303154558611</v>
      </c>
      <c r="B4249" t="str">
        <f>"1551599158605160"</f>
        <v>1551599158605160</v>
      </c>
      <c r="C4249" t="s">
        <v>40</v>
      </c>
      <c r="D4249">
        <v>4.97133</v>
      </c>
      <c r="E4249">
        <v>0.48670550000000001</v>
      </c>
      <c r="F4249" t="s">
        <v>61</v>
      </c>
      <c r="G4249">
        <v>-301.3818</v>
      </c>
      <c r="H4249" s="1">
        <v>-8.4158679999999993E-6</v>
      </c>
      <c r="I4249">
        <v>140.1575</v>
      </c>
      <c r="J4249">
        <v>-268.98989999999998</v>
      </c>
      <c r="K4249">
        <v>1.1215329999999999</v>
      </c>
      <c r="L4249">
        <v>141.4032</v>
      </c>
      <c r="M4249">
        <v>-0.99974600000000002</v>
      </c>
      <c r="N4249">
        <v>-1.4108839999999999E-2</v>
      </c>
      <c r="O4249">
        <v>1.7575569999999999E-2</v>
      </c>
      <c r="P4249">
        <v>-0.99639460000000002</v>
      </c>
      <c r="Q4249">
        <v>-8.4838650000000002E-2</v>
      </c>
      <c r="R4249">
        <v>-1.1399769999999999E-4</v>
      </c>
      <c r="S4249">
        <v>-3.0018310000000001</v>
      </c>
      <c r="T4249">
        <v>-0.103018899999999</v>
      </c>
      <c r="U4249">
        <v>-0.1140137</v>
      </c>
      <c r="V4249">
        <v>-1.7544359999999998E-2</v>
      </c>
      <c r="W4249">
        <v>-7.079531E-2</v>
      </c>
      <c r="X4249">
        <v>0.99733660000000002</v>
      </c>
      <c r="Y4249">
        <v>-5.5463180000000001E-2</v>
      </c>
      <c r="Z4249">
        <v>-1.6976350000000001E-3</v>
      </c>
      <c r="AA4249">
        <v>0.99845930000000005</v>
      </c>
      <c r="AB4249">
        <v>28</v>
      </c>
      <c r="AC4249">
        <v>-32.3919</v>
      </c>
      <c r="AD4249">
        <v>-1.1215414158679999</v>
      </c>
      <c r="AE4249">
        <v>-1.24569999999999</v>
      </c>
      <c r="AF4249">
        <v>-1.81270040691769</v>
      </c>
      <c r="AG4249">
        <v>-1.1215414158679999</v>
      </c>
      <c r="AH4249">
        <v>32.326303083176597</v>
      </c>
      <c r="AI4249">
        <v>91.983930986417107</v>
      </c>
      <c r="AJ4249">
        <v>93.209504895313003</v>
      </c>
      <c r="AK4249">
        <v>32.396506122391401</v>
      </c>
      <c r="AL4249">
        <v>94.059668309672702</v>
      </c>
      <c r="AM4249">
        <v>91.007798282985405</v>
      </c>
      <c r="AN4249">
        <v>1.00000003709268</v>
      </c>
    </row>
    <row r="4250" spans="1:40" x14ac:dyDescent="0.25">
      <c r="A4250" t="str">
        <f>"20190303154558633"</f>
        <v>20190303154558633</v>
      </c>
      <c r="B4250" t="str">
        <f>"1551599158625657"</f>
        <v>1551599158625657</v>
      </c>
      <c r="C4250" t="s">
        <v>40</v>
      </c>
      <c r="D4250">
        <v>5.005617</v>
      </c>
      <c r="E4250">
        <v>0.48708050000000003</v>
      </c>
      <c r="F4250" t="s">
        <v>61</v>
      </c>
      <c r="G4250">
        <v>-300.11020000000002</v>
      </c>
      <c r="H4250" s="1">
        <v>-8.2547249999999907E-6</v>
      </c>
      <c r="I4250">
        <v>140.28870000000001</v>
      </c>
      <c r="J4250">
        <v>-269.26589999999999</v>
      </c>
      <c r="K4250">
        <v>1.121532</v>
      </c>
      <c r="L4250">
        <v>141.40729999999999</v>
      </c>
      <c r="M4250">
        <v>-0.99975740000000002</v>
      </c>
      <c r="N4250">
        <v>-1.4105940000000001E-2</v>
      </c>
      <c r="O4250">
        <v>1.6925550000000001E-2</v>
      </c>
      <c r="P4250">
        <v>-0.9963206</v>
      </c>
      <c r="Q4250">
        <v>-8.5706439999999995E-2</v>
      </c>
      <c r="R4250">
        <v>2.220806E-4</v>
      </c>
      <c r="S4250">
        <v>-3.0015869999999998</v>
      </c>
      <c r="T4250">
        <v>-0.1081741</v>
      </c>
      <c r="U4250">
        <v>-0.1074982</v>
      </c>
      <c r="V4250">
        <v>-1.6558420000000001E-2</v>
      </c>
      <c r="W4250">
        <v>-7.1665480000000004E-2</v>
      </c>
      <c r="X4250">
        <v>0.99729129999999999</v>
      </c>
      <c r="Y4250">
        <v>-5.2650500000000003E-2</v>
      </c>
      <c r="Z4250">
        <v>-1.6907510000000001E-3</v>
      </c>
      <c r="AA4250">
        <v>0.99861160000000004</v>
      </c>
      <c r="AB4250">
        <v>28</v>
      </c>
      <c r="AC4250">
        <v>-30.8443</v>
      </c>
      <c r="AD4250">
        <v>-1.121540254725</v>
      </c>
      <c r="AE4250">
        <v>-1.1185999999999801</v>
      </c>
      <c r="AF4250">
        <v>-1.6383849976435301</v>
      </c>
      <c r="AG4250">
        <v>-1.121540254725</v>
      </c>
      <c r="AH4250">
        <v>30.780303309944198</v>
      </c>
      <c r="AI4250">
        <v>92.083812768503094</v>
      </c>
      <c r="AJ4250">
        <v>93.046884885902202</v>
      </c>
      <c r="AK4250">
        <v>30.844273857486701</v>
      </c>
      <c r="AL4250">
        <v>94.109652373385799</v>
      </c>
      <c r="AM4250">
        <v>90.951216977824998</v>
      </c>
      <c r="AN4250">
        <v>1.0000000296761</v>
      </c>
    </row>
    <row r="4251" spans="1:40" x14ac:dyDescent="0.25">
      <c r="A4251" t="str">
        <f>"20190303154558654"</f>
        <v>20190303154558654</v>
      </c>
      <c r="B4251" t="str">
        <f>"1551599158645176"</f>
        <v>1551599158645176</v>
      </c>
      <c r="C4251" t="s">
        <v>40</v>
      </c>
      <c r="D4251">
        <v>4.9926139999999997</v>
      </c>
      <c r="E4251">
        <v>0.48753249999999998</v>
      </c>
      <c r="F4251" t="s">
        <v>61</v>
      </c>
      <c r="G4251">
        <v>-299.35610000000003</v>
      </c>
      <c r="H4251" s="1">
        <v>-8.3017110000000006E-6</v>
      </c>
      <c r="I4251">
        <v>140.369</v>
      </c>
      <c r="J4251">
        <v>-269.5333</v>
      </c>
      <c r="K4251">
        <v>1.1215280000000001</v>
      </c>
      <c r="L4251">
        <v>141.41120000000001</v>
      </c>
      <c r="M4251">
        <v>-0.99976779999999998</v>
      </c>
      <c r="N4251">
        <v>-1.4103330000000001E-2</v>
      </c>
      <c r="O4251">
        <v>1.6295540000000001E-2</v>
      </c>
      <c r="P4251">
        <v>-0.99634250000000002</v>
      </c>
      <c r="Q4251">
        <v>-8.5449170000000005E-2</v>
      </c>
      <c r="R4251">
        <v>2.196403E-4</v>
      </c>
      <c r="S4251">
        <v>-3.001465</v>
      </c>
      <c r="T4251">
        <v>-0.1118724</v>
      </c>
      <c r="U4251">
        <v>-0.10357669999999999</v>
      </c>
      <c r="V4251">
        <v>-1.5933840000000001E-2</v>
      </c>
      <c r="W4251">
        <v>-7.1409589999999995E-2</v>
      </c>
      <c r="X4251">
        <v>0.99731979999999998</v>
      </c>
      <c r="Y4251">
        <v>-5.0718180000000002E-2</v>
      </c>
      <c r="Z4251">
        <v>-1.6798360000000001E-3</v>
      </c>
      <c r="AA4251">
        <v>0.99871160000000003</v>
      </c>
      <c r="AB4251">
        <v>28</v>
      </c>
      <c r="AC4251">
        <v>-29.822800000000001</v>
      </c>
      <c r="AD4251">
        <v>-1.121536301711</v>
      </c>
      <c r="AE4251">
        <v>-1.0422</v>
      </c>
      <c r="AF4251">
        <v>-1.5259330954450601</v>
      </c>
      <c r="AG4251">
        <v>-1.121536301711</v>
      </c>
      <c r="AH4251">
        <v>29.759817569105699</v>
      </c>
      <c r="AI4251">
        <v>92.155413546939997</v>
      </c>
      <c r="AJ4251">
        <v>92.935267520131902</v>
      </c>
      <c r="AK4251">
        <v>29.8200110200228</v>
      </c>
      <c r="AL4251">
        <v>94.094953417550201</v>
      </c>
      <c r="AM4251">
        <v>90.915317351645299</v>
      </c>
      <c r="AN4251">
        <v>1.0000000001365701</v>
      </c>
    </row>
    <row r="4252" spans="1:40" x14ac:dyDescent="0.25">
      <c r="A4252" t="str">
        <f>"20190303154558677"</f>
        <v>20190303154558677</v>
      </c>
      <c r="B4252" t="str">
        <f>"1551599158675433"</f>
        <v>1551599158675433</v>
      </c>
      <c r="C4252" t="s">
        <v>40</v>
      </c>
      <c r="D4252">
        <v>4.9913189999999998</v>
      </c>
      <c r="E4252">
        <v>0.4876954</v>
      </c>
      <c r="F4252" t="s">
        <v>61</v>
      </c>
      <c r="G4252">
        <v>-299.76440000000002</v>
      </c>
      <c r="H4252" s="1">
        <v>-8.2755829999999993E-6</v>
      </c>
      <c r="I4252">
        <v>140.4059</v>
      </c>
      <c r="J4252">
        <v>-269.8202</v>
      </c>
      <c r="K4252">
        <v>1.1215250000000001</v>
      </c>
      <c r="L4252">
        <v>141.4151</v>
      </c>
      <c r="M4252">
        <v>-0.99977859999999996</v>
      </c>
      <c r="N4252">
        <v>-1.410059E-2</v>
      </c>
      <c r="O4252">
        <v>1.562085E-2</v>
      </c>
      <c r="P4252">
        <v>-0.99644750000000004</v>
      </c>
      <c r="Q4252">
        <v>-8.421294E-2</v>
      </c>
      <c r="R4252">
        <v>-7.473569E-4</v>
      </c>
      <c r="S4252">
        <v>-3.001465</v>
      </c>
      <c r="T4252">
        <v>-0.1113508</v>
      </c>
      <c r="U4252">
        <v>-9.9807740000000006E-2</v>
      </c>
      <c r="V4252">
        <v>-1.6231539999999999E-2</v>
      </c>
      <c r="W4252">
        <v>-7.0175109999999999E-2</v>
      </c>
      <c r="X4252">
        <v>0.99740260000000003</v>
      </c>
      <c r="Y4252">
        <v>-4.8793940000000001E-2</v>
      </c>
      <c r="Z4252">
        <v>-1.607842E-3</v>
      </c>
      <c r="AA4252">
        <v>0.99880749999999996</v>
      </c>
      <c r="AB4252">
        <v>28</v>
      </c>
      <c r="AC4252">
        <v>-29.944199999999999</v>
      </c>
      <c r="AD4252">
        <v>-1.1215332755830001</v>
      </c>
      <c r="AE4252">
        <v>-1.0091999999999901</v>
      </c>
      <c r="AF4252">
        <v>-1.47481065226027</v>
      </c>
      <c r="AG4252">
        <v>-1.1215332755830001</v>
      </c>
      <c r="AH4252">
        <v>29.8829070823984</v>
      </c>
      <c r="AI4252">
        <v>92.146744668863505</v>
      </c>
      <c r="AJ4252">
        <v>92.825425231717404</v>
      </c>
      <c r="AK4252">
        <v>29.940291231775301</v>
      </c>
      <c r="AL4252">
        <v>94.024045105518795</v>
      </c>
      <c r="AM4252">
        <v>90.932338306236801</v>
      </c>
      <c r="AN4252">
        <v>0.99999997772052096</v>
      </c>
    </row>
    <row r="4253" spans="1:40" x14ac:dyDescent="0.25">
      <c r="A4253" t="str">
        <f>"20190303154558699"</f>
        <v>20190303154558699</v>
      </c>
      <c r="B4253" t="str">
        <f>"1551599158694952"</f>
        <v>1551599158694952</v>
      </c>
      <c r="C4253" t="s">
        <v>40</v>
      </c>
      <c r="D4253">
        <v>4.9937880000000003</v>
      </c>
      <c r="E4253">
        <v>0.48769240000000003</v>
      </c>
      <c r="F4253" t="s">
        <v>61</v>
      </c>
      <c r="G4253">
        <v>-300.5487</v>
      </c>
      <c r="H4253" s="1">
        <v>-8.3558099999999995E-6</v>
      </c>
      <c r="I4253">
        <v>140.37700000000001</v>
      </c>
      <c r="J4253">
        <v>-270.09570000000002</v>
      </c>
      <c r="K4253">
        <v>1.121523</v>
      </c>
      <c r="L4253">
        <v>141.4187</v>
      </c>
      <c r="M4253">
        <v>-0.99978849999999997</v>
      </c>
      <c r="N4253">
        <v>-1.409761E-2</v>
      </c>
      <c r="O4253">
        <v>1.4976039999999999E-2</v>
      </c>
      <c r="P4253">
        <v>-0.99650870000000003</v>
      </c>
      <c r="Q4253">
        <v>-8.3456870000000002E-2</v>
      </c>
      <c r="R4253">
        <v>-2.3766579999999998E-3</v>
      </c>
      <c r="S4253">
        <v>-3.001404</v>
      </c>
      <c r="T4253">
        <v>-0.1095455</v>
      </c>
      <c r="U4253">
        <v>-0.1013947</v>
      </c>
      <c r="V4253">
        <v>-1.7220739999999998E-2</v>
      </c>
      <c r="W4253">
        <v>-6.9422399999999995E-2</v>
      </c>
      <c r="X4253">
        <v>0.99743870000000001</v>
      </c>
      <c r="Y4253">
        <v>-4.8679710000000001E-2</v>
      </c>
      <c r="Z4253">
        <v>-1.566469E-3</v>
      </c>
      <c r="AA4253">
        <v>0.99881319999999996</v>
      </c>
      <c r="AB4253">
        <v>28</v>
      </c>
      <c r="AC4253">
        <v>-30.4529999999999</v>
      </c>
      <c r="AD4253">
        <v>-1.12153135581</v>
      </c>
      <c r="AE4253">
        <v>-1.0416999999999901</v>
      </c>
      <c r="AF4253">
        <v>-1.49566757467652</v>
      </c>
      <c r="AG4253">
        <v>-1.12153135581</v>
      </c>
      <c r="AH4253">
        <v>30.392807769409199</v>
      </c>
      <c r="AI4253">
        <v>92.110772636242999</v>
      </c>
      <c r="AJ4253">
        <v>92.817323199005799</v>
      </c>
      <c r="AK4253">
        <v>30.450248245035102</v>
      </c>
      <c r="AL4253">
        <v>93.980812500674602</v>
      </c>
      <c r="AM4253">
        <v>90.989111114190607</v>
      </c>
      <c r="AN4253">
        <v>0.99999999188279798</v>
      </c>
    </row>
    <row r="4254" spans="1:40" x14ac:dyDescent="0.25">
      <c r="A4254" t="str">
        <f>"20190303154558724"</f>
        <v>20190303154558724</v>
      </c>
      <c r="B4254" t="str">
        <f>"1551599158715449"</f>
        <v>1551599158715449</v>
      </c>
      <c r="C4254" t="s">
        <v>40</v>
      </c>
      <c r="D4254">
        <v>4.9982059999999997</v>
      </c>
      <c r="E4254">
        <v>0.4878711</v>
      </c>
      <c r="F4254" t="s">
        <v>61</v>
      </c>
      <c r="G4254">
        <v>-301.20670000000001</v>
      </c>
      <c r="H4254" s="1">
        <v>-8.4369959999999997E-6</v>
      </c>
      <c r="I4254">
        <v>140.31299999999999</v>
      </c>
      <c r="J4254">
        <v>-270.38420000000002</v>
      </c>
      <c r="K4254">
        <v>1.121516</v>
      </c>
      <c r="L4254">
        <v>141.42230000000001</v>
      </c>
      <c r="M4254">
        <v>-0.99979839999999998</v>
      </c>
      <c r="N4254">
        <v>-1.4094590000000001E-2</v>
      </c>
      <c r="O4254">
        <v>1.4308710000000001E-2</v>
      </c>
      <c r="P4254">
        <v>-0.99647229999999998</v>
      </c>
      <c r="Q4254">
        <v>-8.3813730000000003E-2</v>
      </c>
      <c r="R4254">
        <v>-4.2995450000000001E-3</v>
      </c>
      <c r="S4254">
        <v>-3.0011899999999998</v>
      </c>
      <c r="T4254">
        <v>-0.10819090000000001</v>
      </c>
      <c r="U4254">
        <v>-0.1066589</v>
      </c>
      <c r="V4254">
        <v>-1.847826E-2</v>
      </c>
      <c r="W4254">
        <v>-6.9784150000000003E-2</v>
      </c>
      <c r="X4254">
        <v>0.99739100000000003</v>
      </c>
      <c r="Y4254">
        <v>-4.9765549999999999E-2</v>
      </c>
      <c r="Z4254">
        <v>-1.5613669999999999E-3</v>
      </c>
      <c r="AA4254">
        <v>0.99875970000000003</v>
      </c>
      <c r="AB4254">
        <v>28</v>
      </c>
      <c r="AC4254">
        <v>-30.822499999999899</v>
      </c>
      <c r="AD4254">
        <v>-1.121524436996</v>
      </c>
      <c r="AE4254">
        <v>-1.1093000000000099</v>
      </c>
      <c r="AF4254">
        <v>-1.5482132348848501</v>
      </c>
      <c r="AG4254">
        <v>-1.121524436996</v>
      </c>
      <c r="AH4254">
        <v>30.7627930319501</v>
      </c>
      <c r="AI4254">
        <v>92.085280531698402</v>
      </c>
      <c r="AJ4254">
        <v>92.881120205822697</v>
      </c>
      <c r="AK4254">
        <v>30.822138413971999</v>
      </c>
      <c r="AL4254">
        <v>94.001589444937693</v>
      </c>
      <c r="AM4254">
        <v>91.061374330758596</v>
      </c>
      <c r="AN4254">
        <v>1.0000000402824201</v>
      </c>
    </row>
    <row r="4255" spans="1:40" x14ac:dyDescent="0.25">
      <c r="A4255" t="str">
        <f>"20190303154558746"</f>
        <v>20190303154558746</v>
      </c>
      <c r="B4255" t="str">
        <f>"1551599158734968"</f>
        <v>1551599158734968</v>
      </c>
      <c r="C4255" t="s">
        <v>40</v>
      </c>
      <c r="D4255">
        <v>4.9612160000000003</v>
      </c>
      <c r="E4255">
        <v>0.48801739999999999</v>
      </c>
      <c r="F4255" t="s">
        <v>61</v>
      </c>
      <c r="G4255">
        <v>-301.04160000000002</v>
      </c>
      <c r="H4255" s="1">
        <v>-8.4058059999999998E-6</v>
      </c>
      <c r="I4255">
        <v>140.28790000000001</v>
      </c>
      <c r="J4255">
        <v>-270.67090000000002</v>
      </c>
      <c r="K4255">
        <v>1.1215029999999999</v>
      </c>
      <c r="L4255">
        <v>141.4256</v>
      </c>
      <c r="M4255">
        <v>-0.99980749999999996</v>
      </c>
      <c r="N4255">
        <v>-1.409154E-2</v>
      </c>
      <c r="O4255">
        <v>1.365776E-2</v>
      </c>
      <c r="P4255">
        <v>-0.99634710000000004</v>
      </c>
      <c r="Q4255">
        <v>-8.5265859999999999E-2</v>
      </c>
      <c r="R4255">
        <v>-4.7241230000000002E-3</v>
      </c>
      <c r="S4255">
        <v>-3.0009160000000001</v>
      </c>
      <c r="T4255">
        <v>-0.109781</v>
      </c>
      <c r="U4255">
        <v>-0.1110382</v>
      </c>
      <c r="V4255">
        <v>-1.8252839999999999E-2</v>
      </c>
      <c r="W4255">
        <v>-7.1240189999999995E-2</v>
      </c>
      <c r="X4255">
        <v>0.99729219999999996</v>
      </c>
      <c r="Y4255">
        <v>-5.0572199999999998E-2</v>
      </c>
      <c r="Z4255">
        <v>-1.5879900000000001E-3</v>
      </c>
      <c r="AA4255">
        <v>0.99871920000000003</v>
      </c>
      <c r="AB4255">
        <v>28</v>
      </c>
      <c r="AC4255">
        <v>-30.370699999999999</v>
      </c>
      <c r="AD4255">
        <v>-1.1215114058059901</v>
      </c>
      <c r="AE4255">
        <v>-1.1376999999999899</v>
      </c>
      <c r="AF4255">
        <v>-1.55031964937522</v>
      </c>
      <c r="AG4255">
        <v>-1.1215114058059901</v>
      </c>
      <c r="AH4255">
        <v>30.311051483915399</v>
      </c>
      <c r="AI4255">
        <v>92.116218252579401</v>
      </c>
      <c r="AJ4255">
        <v>92.927956384680499</v>
      </c>
      <c r="AK4255">
        <v>30.371386549006399</v>
      </c>
      <c r="AL4255">
        <v>94.0852226013739</v>
      </c>
      <c r="AM4255">
        <v>91.048533163229806</v>
      </c>
      <c r="AN4255">
        <v>1.0000000315100701</v>
      </c>
    </row>
    <row r="4256" spans="1:40" x14ac:dyDescent="0.25">
      <c r="A4256" t="str">
        <f>"20190303154558770"</f>
        <v>20190303154558770</v>
      </c>
      <c r="B4256" t="str">
        <f>"1551599158765225"</f>
        <v>1551599158765225</v>
      </c>
      <c r="C4256" t="s">
        <v>40</v>
      </c>
      <c r="D4256">
        <v>5.0311690000000002</v>
      </c>
      <c r="E4256">
        <v>0.48822539999999998</v>
      </c>
      <c r="F4256" t="s">
        <v>61</v>
      </c>
      <c r="G4256">
        <v>-300.06619999999998</v>
      </c>
      <c r="H4256" s="1">
        <v>-8.2600819999999998E-6</v>
      </c>
      <c r="I4256">
        <v>140.33860000000001</v>
      </c>
      <c r="J4256">
        <v>-270.95920000000001</v>
      </c>
      <c r="K4256">
        <v>1.121489</v>
      </c>
      <c r="L4256">
        <v>141.4288</v>
      </c>
      <c r="M4256">
        <v>-0.99981609999999999</v>
      </c>
      <c r="N4256">
        <v>-1.408848E-2</v>
      </c>
      <c r="O4256">
        <v>1.301531E-2</v>
      </c>
      <c r="P4256">
        <v>-0.99626700000000001</v>
      </c>
      <c r="Q4256">
        <v>-8.6163009999999998E-2</v>
      </c>
      <c r="R4256">
        <v>-5.337751E-3</v>
      </c>
      <c r="S4256">
        <v>-3.0006710000000001</v>
      </c>
      <c r="T4256">
        <v>-0.1144836</v>
      </c>
      <c r="U4256">
        <v>-0.1109619</v>
      </c>
      <c r="V4256">
        <v>-1.8225979999999999E-2</v>
      </c>
      <c r="W4256">
        <v>-7.2140850000000006E-2</v>
      </c>
      <c r="X4256">
        <v>0.99722789999999994</v>
      </c>
      <c r="Y4256">
        <v>-4.9904900000000002E-2</v>
      </c>
      <c r="Z4256">
        <v>-1.6161610000000001E-3</v>
      </c>
      <c r="AA4256">
        <v>0.99875270000000005</v>
      </c>
      <c r="AB4256">
        <v>28</v>
      </c>
      <c r="AC4256">
        <v>-29.1069999999999</v>
      </c>
      <c r="AD4256">
        <v>-1.1214972600819999</v>
      </c>
      <c r="AE4256">
        <v>-1.0901999999999801</v>
      </c>
      <c r="AF4256">
        <v>-1.4668073151566301</v>
      </c>
      <c r="AG4256">
        <v>-1.1214972600819999</v>
      </c>
      <c r="AH4256">
        <v>29.047280973258299</v>
      </c>
      <c r="AI4256">
        <v>92.208244911038307</v>
      </c>
      <c r="AJ4256">
        <v>92.890822825275606</v>
      </c>
      <c r="AK4256">
        <v>29.1059068187813</v>
      </c>
      <c r="AL4256">
        <v>94.136959928146496</v>
      </c>
      <c r="AM4256">
        <v>91.047058029658302</v>
      </c>
      <c r="AN4256">
        <v>0.99999998656204603</v>
      </c>
    </row>
    <row r="4257" spans="1:40" x14ac:dyDescent="0.25">
      <c r="A4257" t="str">
        <f>"20190303154558813"</f>
        <v>20190303154558813</v>
      </c>
      <c r="B4257" t="str">
        <f>"1551599158805240"</f>
        <v>1551599158805240</v>
      </c>
      <c r="C4257" t="s">
        <v>40</v>
      </c>
      <c r="D4257">
        <v>4.9836559999999999</v>
      </c>
      <c r="E4257">
        <v>0.48833409999999999</v>
      </c>
      <c r="F4257" t="s">
        <v>61</v>
      </c>
      <c r="G4257">
        <v>-299.20960000000002</v>
      </c>
      <c r="H4257" s="1">
        <v>-8.3185759999999996E-6</v>
      </c>
      <c r="I4257">
        <v>140.38409999999999</v>
      </c>
      <c r="J4257">
        <v>-271.48919999999998</v>
      </c>
      <c r="K4257">
        <v>1.121464</v>
      </c>
      <c r="L4257">
        <v>141.4342</v>
      </c>
      <c r="M4257">
        <v>-0.9998302</v>
      </c>
      <c r="N4257">
        <v>-1.408275E-2</v>
      </c>
      <c r="O4257">
        <v>1.18891E-2</v>
      </c>
      <c r="P4257">
        <v>-0.99635309999999999</v>
      </c>
      <c r="Q4257">
        <v>-8.5080920000000004E-2</v>
      </c>
      <c r="R4257">
        <v>-6.4767080000000003E-3</v>
      </c>
      <c r="S4257">
        <v>-3.0003359999999999</v>
      </c>
      <c r="T4257">
        <v>-0.11910900000000001</v>
      </c>
      <c r="U4257">
        <v>-0.110946699999999</v>
      </c>
      <c r="V4257">
        <v>-1.8249749999999999E-2</v>
      </c>
      <c r="W4257">
        <v>-7.1062020000000004E-2</v>
      </c>
      <c r="X4257">
        <v>0.99730490000000005</v>
      </c>
      <c r="Y4257">
        <v>-4.8776470000000002E-2</v>
      </c>
      <c r="Z4257">
        <v>-1.6155550000000001E-3</v>
      </c>
      <c r="AA4257">
        <v>0.99880840000000004</v>
      </c>
      <c r="AB4257">
        <v>28</v>
      </c>
      <c r="AC4257">
        <v>-27.720400000000001</v>
      </c>
      <c r="AD4257">
        <v>-1.121472318576</v>
      </c>
      <c r="AE4257">
        <v>-1.05010000000001</v>
      </c>
      <c r="AF4257">
        <v>-1.37737787196863</v>
      </c>
      <c r="AG4257">
        <v>-1.121472318576</v>
      </c>
      <c r="AH4257">
        <v>27.660746001272699</v>
      </c>
      <c r="AI4257">
        <v>92.318848239936599</v>
      </c>
      <c r="AJ4257">
        <v>92.850711542624595</v>
      </c>
      <c r="AK4257">
        <v>27.717715261371101</v>
      </c>
      <c r="AL4257">
        <v>94.074988550572698</v>
      </c>
      <c r="AM4257">
        <v>91.048342350888902</v>
      </c>
      <c r="AN4257">
        <v>0.99999996381277501</v>
      </c>
    </row>
    <row r="4258" spans="1:40" x14ac:dyDescent="0.25">
      <c r="A4258" t="str">
        <f>"20190303154558835"</f>
        <v>20190303154558835</v>
      </c>
      <c r="B4258" t="str">
        <f>"1551599158825736"</f>
        <v>1551599158825736</v>
      </c>
      <c r="C4258" t="s">
        <v>40</v>
      </c>
      <c r="D4258">
        <v>4.9684140000000001</v>
      </c>
      <c r="E4258">
        <v>0.48837130000000001</v>
      </c>
      <c r="F4258" t="s">
        <v>61</v>
      </c>
      <c r="G4258">
        <v>-299.93529999999998</v>
      </c>
      <c r="H4258" s="1">
        <v>-8.2473600000000006E-6</v>
      </c>
      <c r="I4258">
        <v>140.35579999999999</v>
      </c>
      <c r="J4258">
        <v>-271.76740000000001</v>
      </c>
      <c r="K4258">
        <v>1.121453</v>
      </c>
      <c r="L4258">
        <v>141.43690000000001</v>
      </c>
      <c r="M4258">
        <v>-0.99983659999999996</v>
      </c>
      <c r="N4258">
        <v>-1.4079599999999999E-2</v>
      </c>
      <c r="O4258">
        <v>1.1335960000000001E-2</v>
      </c>
      <c r="P4258">
        <v>-0.99637350000000002</v>
      </c>
      <c r="Q4258">
        <v>-8.4831249999999997E-2</v>
      </c>
      <c r="R4258">
        <v>-6.5884489999999997E-3</v>
      </c>
      <c r="S4258">
        <v>-3.0001829999999998</v>
      </c>
      <c r="T4258">
        <v>-0.11828080000000001</v>
      </c>
      <c r="U4258">
        <v>-0.11373900000000001</v>
      </c>
      <c r="V4258">
        <v>-1.7814460000000001E-2</v>
      </c>
      <c r="W4258">
        <v>-7.0813799999999996E-2</v>
      </c>
      <c r="X4258">
        <v>0.99733050000000001</v>
      </c>
      <c r="Y4258">
        <v>-4.9154580000000003E-2</v>
      </c>
      <c r="Z4258">
        <v>-1.601674E-3</v>
      </c>
      <c r="AA4258">
        <v>0.99878990000000001</v>
      </c>
      <c r="AB4258">
        <v>28</v>
      </c>
      <c r="AC4258">
        <v>-28.1678999999999</v>
      </c>
      <c r="AD4258">
        <v>-1.1214612473600001</v>
      </c>
      <c r="AE4258">
        <v>-1.0811000000000199</v>
      </c>
      <c r="AF4258">
        <v>-1.39815939069538</v>
      </c>
      <c r="AG4258">
        <v>-1.1214612473600001</v>
      </c>
      <c r="AH4258">
        <v>28.109342336108099</v>
      </c>
      <c r="AI4258">
        <v>92.281864994294494</v>
      </c>
      <c r="AJ4258">
        <v>92.847546709649606</v>
      </c>
      <c r="AK4258">
        <v>28.166427739059099</v>
      </c>
      <c r="AL4258">
        <v>94.060730371512705</v>
      </c>
      <c r="AM4258">
        <v>91.023316583867796</v>
      </c>
      <c r="AN4258">
        <v>1.0000000377428899</v>
      </c>
    </row>
    <row r="4259" spans="1:40" x14ac:dyDescent="0.25">
      <c r="A4259" t="str">
        <f>"20190303154558856"</f>
        <v>20190303154558856</v>
      </c>
      <c r="B4259" t="str">
        <f>"1551599158845256"</f>
        <v>1551599158845256</v>
      </c>
      <c r="C4259" t="s">
        <v>40</v>
      </c>
      <c r="D4259">
        <v>4.9850409999999998</v>
      </c>
      <c r="E4259">
        <v>0.48825619999999997</v>
      </c>
      <c r="F4259" t="s">
        <v>61</v>
      </c>
      <c r="G4259">
        <v>-300.1465</v>
      </c>
      <c r="H4259" s="1">
        <v>-8.2802269999999996E-6</v>
      </c>
      <c r="I4259">
        <v>140.36099999999999</v>
      </c>
      <c r="J4259">
        <v>-272.03899999999999</v>
      </c>
      <c r="K4259">
        <v>1.121424</v>
      </c>
      <c r="L4259">
        <v>141.43940000000001</v>
      </c>
      <c r="M4259">
        <v>-0.99984240000000002</v>
      </c>
      <c r="N4259">
        <v>-1.407654E-2</v>
      </c>
      <c r="O4259">
        <v>1.082694E-2</v>
      </c>
      <c r="P4259">
        <v>-0.99628669999999997</v>
      </c>
      <c r="Q4259">
        <v>-8.5860500000000006E-2</v>
      </c>
      <c r="R4259">
        <v>-6.407935E-3</v>
      </c>
      <c r="S4259">
        <v>-3.0000610000000001</v>
      </c>
      <c r="T4259">
        <v>-0.1185538</v>
      </c>
      <c r="U4259">
        <v>-0.11373900000000001</v>
      </c>
      <c r="V4259">
        <v>-1.7128850000000001E-2</v>
      </c>
      <c r="W4259">
        <v>-7.1845409999999998E-2</v>
      </c>
      <c r="X4259">
        <v>0.99726870000000001</v>
      </c>
      <c r="Y4259">
        <v>-4.8648089999999998E-2</v>
      </c>
      <c r="Z4259">
        <v>-1.5784460000000001E-3</v>
      </c>
      <c r="AA4259">
        <v>0.9988148</v>
      </c>
      <c r="AB4259">
        <v>28</v>
      </c>
      <c r="AC4259">
        <v>-28.107500000000002</v>
      </c>
      <c r="AD4259">
        <v>-1.121432280227</v>
      </c>
      <c r="AE4259">
        <v>-1.07840000000001</v>
      </c>
      <c r="AF4259">
        <v>-1.3804908181534801</v>
      </c>
      <c r="AG4259">
        <v>-1.121432280227</v>
      </c>
      <c r="AH4259">
        <v>28.049590219025699</v>
      </c>
      <c r="AI4259">
        <v>92.286720809449093</v>
      </c>
      <c r="AJ4259">
        <v>92.817600065961699</v>
      </c>
      <c r="AK4259">
        <v>28.105922449074701</v>
      </c>
      <c r="AL4259">
        <v>94.119988326234306</v>
      </c>
      <c r="AM4259">
        <v>90.984001926830999</v>
      </c>
      <c r="AN4259">
        <v>1.0000000102200399</v>
      </c>
    </row>
    <row r="4260" spans="1:40" x14ac:dyDescent="0.25">
      <c r="A4260" t="str">
        <f>"20190303154558879"</f>
        <v>20190303154558879</v>
      </c>
      <c r="B4260" t="str">
        <f>"1551599158875513"</f>
        <v>1551599158875513</v>
      </c>
      <c r="C4260" t="s">
        <v>40</v>
      </c>
      <c r="D4260">
        <v>4.986472</v>
      </c>
      <c r="E4260">
        <v>0.48836200000000002</v>
      </c>
      <c r="F4260" t="s">
        <v>61</v>
      </c>
      <c r="G4260">
        <v>-299.71089999999998</v>
      </c>
      <c r="H4260" s="1">
        <v>-8.274857E-6</v>
      </c>
      <c r="I4260">
        <v>140.3853</v>
      </c>
      <c r="J4260">
        <v>-272.3175</v>
      </c>
      <c r="K4260">
        <v>1.121394</v>
      </c>
      <c r="L4260">
        <v>141.4418</v>
      </c>
      <c r="M4260">
        <v>-0.9998475</v>
      </c>
      <c r="N4260">
        <v>-1.4073260000000001E-2</v>
      </c>
      <c r="O4260">
        <v>1.03461E-2</v>
      </c>
      <c r="P4260">
        <v>-0.99620299999999995</v>
      </c>
      <c r="Q4260">
        <v>-8.6888850000000004E-2</v>
      </c>
      <c r="R4260">
        <v>-5.4974749999999999E-3</v>
      </c>
      <c r="S4260">
        <v>-3</v>
      </c>
      <c r="T4260">
        <v>-0.1215782</v>
      </c>
      <c r="U4260">
        <v>-0.1142731</v>
      </c>
      <c r="V4260">
        <v>-1.574242E-2</v>
      </c>
      <c r="W4260">
        <v>-7.287544E-2</v>
      </c>
      <c r="X4260">
        <v>0.99721680000000001</v>
      </c>
      <c r="Y4260">
        <v>-4.8343990000000003E-2</v>
      </c>
      <c r="Z4260">
        <v>-1.592811E-3</v>
      </c>
      <c r="AA4260">
        <v>0.99882950000000004</v>
      </c>
      <c r="AB4260">
        <v>28</v>
      </c>
      <c r="AC4260">
        <v>-27.3933999999999</v>
      </c>
      <c r="AD4260">
        <v>-1.1214022748570001</v>
      </c>
      <c r="AE4260">
        <v>-1.05649999999999</v>
      </c>
      <c r="AF4260">
        <v>-1.3376480047376</v>
      </c>
      <c r="AG4260">
        <v>-1.1214022748570001</v>
      </c>
      <c r="AH4260">
        <v>27.335260495478799</v>
      </c>
      <c r="AI4260">
        <v>92.346381402293403</v>
      </c>
      <c r="AJ4260">
        <v>92.801527974755004</v>
      </c>
      <c r="AK4260">
        <v>27.390934843526502</v>
      </c>
      <c r="AL4260">
        <v>94.179159858577094</v>
      </c>
      <c r="AM4260">
        <v>90.904416481761203</v>
      </c>
      <c r="AN4260">
        <v>0.99999999987244403</v>
      </c>
    </row>
    <row r="4261" spans="1:40" x14ac:dyDescent="0.25">
      <c r="A4261" t="str">
        <f>"20190303154558902"</f>
        <v>20190303154558902</v>
      </c>
      <c r="B4261" t="str">
        <f>"1551599158895033"</f>
        <v>1551599158895033</v>
      </c>
      <c r="C4261" t="s">
        <v>40</v>
      </c>
      <c r="D4261">
        <v>4.9798850000000003</v>
      </c>
      <c r="E4261">
        <v>0.48842000000000002</v>
      </c>
      <c r="F4261" t="s">
        <v>61</v>
      </c>
      <c r="G4261">
        <v>-298.95359999999999</v>
      </c>
      <c r="H4261" s="1">
        <v>-8.3612829999999992E-6</v>
      </c>
      <c r="I4261">
        <v>140.46080000000001</v>
      </c>
      <c r="J4261">
        <v>-272.5949</v>
      </c>
      <c r="K4261">
        <v>1.121362</v>
      </c>
      <c r="L4261">
        <v>141.4442</v>
      </c>
      <c r="M4261">
        <v>-0.99985199999999996</v>
      </c>
      <c r="N4261">
        <v>-1.40701E-2</v>
      </c>
      <c r="O4261">
        <v>9.9117029999999991E-3</v>
      </c>
      <c r="P4261">
        <v>-0.99623249999999997</v>
      </c>
      <c r="Q4261">
        <v>-8.6573910000000004E-2</v>
      </c>
      <c r="R4261">
        <v>-5.0744739999999998E-3</v>
      </c>
      <c r="S4261">
        <v>-2.9998170000000002</v>
      </c>
      <c r="T4261">
        <v>-0.12629489999999999</v>
      </c>
      <c r="U4261">
        <v>-0.1104889</v>
      </c>
      <c r="V4261">
        <v>-1.4893490000000001E-2</v>
      </c>
      <c r="W4261">
        <v>-7.2561169999999994E-2</v>
      </c>
      <c r="X4261">
        <v>0.99725280000000005</v>
      </c>
      <c r="Y4261">
        <v>-4.6652100000000002E-2</v>
      </c>
      <c r="Z4261">
        <v>-1.5874070000000001E-3</v>
      </c>
      <c r="AA4261">
        <v>0.99890999999999996</v>
      </c>
      <c r="AB4261">
        <v>28</v>
      </c>
      <c r="AC4261">
        <v>-26.358699999999999</v>
      </c>
      <c r="AD4261">
        <v>-1.1213703612829999</v>
      </c>
      <c r="AE4261">
        <v>-0.98339999999998895</v>
      </c>
      <c r="AF4261">
        <v>-1.24239166730941</v>
      </c>
      <c r="AG4261">
        <v>-1.1213703612829999</v>
      </c>
      <c r="AH4261">
        <v>26.300122869686401</v>
      </c>
      <c r="AI4261">
        <v>92.4387513078469</v>
      </c>
      <c r="AJ4261">
        <v>92.704585097507803</v>
      </c>
      <c r="AK4261">
        <v>26.353319933222199</v>
      </c>
      <c r="AL4261">
        <v>94.161105534972194</v>
      </c>
      <c r="AM4261">
        <v>90.855621247901993</v>
      </c>
      <c r="AN4261">
        <v>1.00000004327199</v>
      </c>
    </row>
    <row r="4262" spans="1:40" x14ac:dyDescent="0.25">
      <c r="A4262" t="str">
        <f>"20190303154558923"</f>
        <v>20190303154558923</v>
      </c>
      <c r="B4262" t="str">
        <f>"1551599158915530"</f>
        <v>1551599158915530</v>
      </c>
      <c r="C4262" t="s">
        <v>40</v>
      </c>
      <c r="D4262">
        <v>5.0620010000000004</v>
      </c>
      <c r="E4262">
        <v>0.48847879999999999</v>
      </c>
      <c r="F4262" t="s">
        <v>61</v>
      </c>
      <c r="G4262">
        <v>-299.25369999999998</v>
      </c>
      <c r="H4262" s="1">
        <v>-8.339785E-6</v>
      </c>
      <c r="I4262">
        <v>140.47919999999999</v>
      </c>
      <c r="J4262">
        <v>-272.8562</v>
      </c>
      <c r="K4262">
        <v>1.121337</v>
      </c>
      <c r="L4262">
        <v>141.44640000000001</v>
      </c>
      <c r="M4262">
        <v>-0.99985559999999996</v>
      </c>
      <c r="N4262">
        <v>-1.4067079999999999E-2</v>
      </c>
      <c r="O4262">
        <v>9.5420509999999993E-3</v>
      </c>
      <c r="P4262">
        <v>-0.99629290000000004</v>
      </c>
      <c r="Q4262">
        <v>-8.5896280000000005E-2</v>
      </c>
      <c r="R4262">
        <v>-4.7541620000000001E-3</v>
      </c>
      <c r="S4262">
        <v>-2.9998170000000002</v>
      </c>
      <c r="T4262">
        <v>-0.12618360000000001</v>
      </c>
      <c r="U4262">
        <v>-0.1085815</v>
      </c>
      <c r="V4262">
        <v>-1.421181E-2</v>
      </c>
      <c r="W4262">
        <v>-7.1884009999999998E-2</v>
      </c>
      <c r="X4262">
        <v>0.99731179999999997</v>
      </c>
      <c r="Y4262">
        <v>-4.5649910000000002E-2</v>
      </c>
      <c r="Z4262">
        <v>-1.5476870000000001E-3</v>
      </c>
      <c r="AA4262">
        <v>0.99895630000000002</v>
      </c>
      <c r="AB4262">
        <v>28</v>
      </c>
      <c r="AC4262">
        <v>-26.397499999999901</v>
      </c>
      <c r="AD4262">
        <v>-1.121345339785</v>
      </c>
      <c r="AE4262">
        <v>-0.96720000000001904</v>
      </c>
      <c r="AF4262">
        <v>-1.2168742687410301</v>
      </c>
      <c r="AG4262">
        <v>-1.121345339785</v>
      </c>
      <c r="AH4262">
        <v>26.339602310950699</v>
      </c>
      <c r="AI4262">
        <v>92.435163959174801</v>
      </c>
      <c r="AJ4262">
        <v>92.645150751219603</v>
      </c>
      <c r="AK4262">
        <v>26.391529858195401</v>
      </c>
      <c r="AL4262">
        <v>94.122205485697293</v>
      </c>
      <c r="AM4262">
        <v>90.816416312023605</v>
      </c>
      <c r="AN4262">
        <v>1.0000000564281899</v>
      </c>
    </row>
    <row r="4263" spans="1:40" x14ac:dyDescent="0.25">
      <c r="A4263" t="str">
        <f>"20190303154558969"</f>
        <v>20190303154558969</v>
      </c>
      <c r="B4263" t="str">
        <f>"1551599158965305"</f>
        <v>1551599158965305</v>
      </c>
      <c r="C4263" t="s">
        <v>40</v>
      </c>
      <c r="D4263">
        <v>4.9922740000000001</v>
      </c>
      <c r="E4263">
        <v>0.51191809999999904</v>
      </c>
      <c r="F4263" t="s">
        <v>61</v>
      </c>
      <c r="G4263">
        <v>-299.8</v>
      </c>
      <c r="H4263" s="1">
        <v>-8.2932269999999993E-6</v>
      </c>
      <c r="I4263">
        <v>140.4847</v>
      </c>
      <c r="J4263">
        <v>-273.4067</v>
      </c>
      <c r="K4263">
        <v>1.121294</v>
      </c>
      <c r="L4263">
        <v>141.45070000000001</v>
      </c>
      <c r="M4263">
        <v>-0.99986209999999998</v>
      </c>
      <c r="N4263">
        <v>-1.4060639999999999E-2</v>
      </c>
      <c r="O4263">
        <v>8.8549930000000002E-3</v>
      </c>
      <c r="P4263">
        <v>-0.99633720000000003</v>
      </c>
      <c r="Q4263">
        <v>-8.5337369999999996E-2</v>
      </c>
      <c r="R4263">
        <v>-5.5067780000000004E-3</v>
      </c>
      <c r="S4263">
        <v>-2.9998779999999998</v>
      </c>
      <c r="T4263">
        <v>-0.1248485</v>
      </c>
      <c r="U4263">
        <v>-0.107070899999999</v>
      </c>
      <c r="V4263">
        <v>-1.428894E-2</v>
      </c>
      <c r="W4263">
        <v>-7.1329249999999997E-2</v>
      </c>
      <c r="X4263">
        <v>0.99735050000000003</v>
      </c>
      <c r="Y4263">
        <v>-4.4463059999999999E-2</v>
      </c>
      <c r="Z4263">
        <v>-1.4812460000000001E-3</v>
      </c>
      <c r="AA4263">
        <v>0.99900990000000001</v>
      </c>
      <c r="AB4263">
        <v>28</v>
      </c>
      <c r="AC4263">
        <v>-26.3933</v>
      </c>
      <c r="AD4263">
        <v>-1.121302293227</v>
      </c>
      <c r="AE4263">
        <v>-0.96600000000000796</v>
      </c>
      <c r="AF4263">
        <v>-1.1975391023206701</v>
      </c>
      <c r="AG4263">
        <v>-1.121302293227</v>
      </c>
      <c r="AH4263">
        <v>26.336239025200101</v>
      </c>
      <c r="AI4263">
        <v>92.4354622145853</v>
      </c>
      <c r="AJ4263">
        <v>92.603511669559097</v>
      </c>
      <c r="AK4263">
        <v>26.387286801163501</v>
      </c>
      <c r="AL4263">
        <v>94.090338393108695</v>
      </c>
      <c r="AM4263">
        <v>90.820814695962397</v>
      </c>
      <c r="AN4263">
        <v>1.0000000277810599</v>
      </c>
    </row>
    <row r="4264" spans="1:40" x14ac:dyDescent="0.25">
      <c r="A4264" t="str">
        <f>"20190303154558990"</f>
        <v>20190303154558990</v>
      </c>
      <c r="B4264" t="str">
        <f>"1551599158985801"</f>
        <v>1551599158985801</v>
      </c>
      <c r="C4264" t="s">
        <v>40</v>
      </c>
      <c r="D4264">
        <v>5.0112949999999996</v>
      </c>
      <c r="E4264">
        <v>0.5113297</v>
      </c>
      <c r="F4264" t="s">
        <v>61</v>
      </c>
      <c r="G4264">
        <v>-296.13470000000001</v>
      </c>
      <c r="H4264" s="1">
        <v>-9.025927E-6</v>
      </c>
      <c r="I4264">
        <v>142.0421</v>
      </c>
      <c r="J4264">
        <v>-273.67989999999998</v>
      </c>
      <c r="K4264">
        <v>1.1212789999999999</v>
      </c>
      <c r="L4264">
        <v>141.4528</v>
      </c>
      <c r="M4264">
        <v>-0.9998648</v>
      </c>
      <c r="N4264">
        <v>-1.4057460000000001E-2</v>
      </c>
      <c r="O4264">
        <v>8.546774E-3</v>
      </c>
      <c r="P4264">
        <v>-0.99629970000000001</v>
      </c>
      <c r="Q4264">
        <v>-8.5766629999999996E-2</v>
      </c>
      <c r="R4264">
        <v>-5.5942669999999896E-3</v>
      </c>
      <c r="S4264">
        <v>-2.9987490000000001</v>
      </c>
      <c r="T4264">
        <v>-0.14794560000000001</v>
      </c>
      <c r="U4264">
        <v>7.8033450000000004E-2</v>
      </c>
      <c r="V4264">
        <v>-1.407164E-2</v>
      </c>
      <c r="W4264">
        <v>-7.1761500000000006E-2</v>
      </c>
      <c r="X4264">
        <v>0.99732259999999995</v>
      </c>
      <c r="Y4264">
        <v>1.7445570000000001E-2</v>
      </c>
      <c r="Z4264">
        <v>2.515191E-4</v>
      </c>
      <c r="AA4264">
        <v>0.99984779999999995</v>
      </c>
      <c r="AB4264">
        <v>27</v>
      </c>
      <c r="AC4264">
        <v>-22.454799999999999</v>
      </c>
      <c r="AD4264">
        <v>-1.1212880259269999</v>
      </c>
      <c r="AE4264">
        <v>0.58930000000000804</v>
      </c>
      <c r="AF4264">
        <v>0.396355784549829</v>
      </c>
      <c r="AG4264">
        <v>-1.1212880259269999</v>
      </c>
      <c r="AH4264">
        <v>22.403192040914298</v>
      </c>
      <c r="AI4264">
        <v>92.864836375531695</v>
      </c>
      <c r="AJ4264">
        <v>88.986432618606401</v>
      </c>
      <c r="AK4264">
        <v>22.434736422947399</v>
      </c>
      <c r="AL4264">
        <v>94.115168047375803</v>
      </c>
      <c r="AM4264">
        <v>90.8083563813084</v>
      </c>
      <c r="AN4264">
        <v>1.0000000462026399</v>
      </c>
    </row>
    <row r="4265" spans="1:40" x14ac:dyDescent="0.25">
      <c r="A4265" t="str">
        <f>"20190303154559014"</f>
        <v>20190303154559014</v>
      </c>
      <c r="B4265" t="str">
        <f>"1551599159005321"</f>
        <v>1551599159005321</v>
      </c>
      <c r="C4265" t="s">
        <v>40</v>
      </c>
      <c r="D4265">
        <v>5.0382300000000004</v>
      </c>
      <c r="E4265">
        <v>0.51090309999999906</v>
      </c>
      <c r="F4265" t="s">
        <v>61</v>
      </c>
      <c r="G4265">
        <v>-295.62580000000003</v>
      </c>
      <c r="H4265" s="1">
        <v>-9.0563169999999998E-6</v>
      </c>
      <c r="I4265">
        <v>141.98779999999999</v>
      </c>
      <c r="J4265">
        <v>-273.96179999999998</v>
      </c>
      <c r="K4265">
        <v>1.1212740000000001</v>
      </c>
      <c r="L4265">
        <v>141.45480000000001</v>
      </c>
      <c r="M4265">
        <v>-0.99986730000000001</v>
      </c>
      <c r="N4265">
        <v>-1.4054219999999999E-2</v>
      </c>
      <c r="O4265">
        <v>8.2391169999999903E-3</v>
      </c>
      <c r="P4265">
        <v>-0.99628839999999996</v>
      </c>
      <c r="Q4265">
        <v>-8.5912820000000001E-2</v>
      </c>
      <c r="R4265">
        <v>-5.3468980000000001E-3</v>
      </c>
      <c r="S4265">
        <v>-2.9983520000000001</v>
      </c>
      <c r="T4265">
        <v>-0.1531962</v>
      </c>
      <c r="U4265">
        <v>7.3104859999999994E-2</v>
      </c>
      <c r="V4265">
        <v>-1.351889E-2</v>
      </c>
      <c r="W4265">
        <v>-7.1910379999999996E-2</v>
      </c>
      <c r="X4265">
        <v>0.99731950000000003</v>
      </c>
      <c r="Y4265">
        <v>1.6114969999999999E-2</v>
      </c>
      <c r="Z4265">
        <v>2.198317E-4</v>
      </c>
      <c r="AA4265">
        <v>0.99987009999999998</v>
      </c>
      <c r="AB4265">
        <v>27</v>
      </c>
      <c r="AC4265">
        <v>-21.664000000000001</v>
      </c>
      <c r="AD4265">
        <v>-1.121283056317</v>
      </c>
      <c r="AE4265">
        <v>0.53299999999998704</v>
      </c>
      <c r="AF4265">
        <v>0.35352556635747001</v>
      </c>
      <c r="AG4265">
        <v>-1.121283056317</v>
      </c>
      <c r="AH4265">
        <v>21.609801376251301</v>
      </c>
      <c r="AI4265">
        <v>92.969886221657305</v>
      </c>
      <c r="AJ4265">
        <v>89.062753246897401</v>
      </c>
      <c r="AK4265">
        <v>21.641759899312401</v>
      </c>
      <c r="AL4265">
        <v>94.123720429076997</v>
      </c>
      <c r="AM4265">
        <v>90.7766096067609</v>
      </c>
      <c r="AN4265">
        <v>1.00000002410941</v>
      </c>
    </row>
    <row r="4266" spans="1:40" x14ac:dyDescent="0.25">
      <c r="A4266" t="str">
        <f>"20190303154559036"</f>
        <v>20190303154559036</v>
      </c>
      <c r="B4266" t="str">
        <f>"1551599159024841"</f>
        <v>1551599159024841</v>
      </c>
      <c r="C4266" t="s">
        <v>40</v>
      </c>
      <c r="D4266">
        <v>5.03125</v>
      </c>
      <c r="E4266">
        <v>0.51051150000000001</v>
      </c>
      <c r="F4266" t="s">
        <v>61</v>
      </c>
      <c r="G4266">
        <v>-295.63760000000002</v>
      </c>
      <c r="H4266" s="1">
        <v>-9.0492219999999999E-6</v>
      </c>
      <c r="I4266">
        <v>141.9649</v>
      </c>
      <c r="J4266">
        <v>-274.2346</v>
      </c>
      <c r="K4266">
        <v>1.1212719999999901</v>
      </c>
      <c r="L4266">
        <v>141.45670000000001</v>
      </c>
      <c r="M4266">
        <v>-0.99986980000000003</v>
      </c>
      <c r="N4266">
        <v>-1.405111E-2</v>
      </c>
      <c r="O4266">
        <v>7.9437209999999904E-3</v>
      </c>
      <c r="P4266">
        <v>-0.99627719999999997</v>
      </c>
      <c r="Q4266">
        <v>-8.6060960000000006E-2</v>
      </c>
      <c r="R4266">
        <v>-5.0553689999999997E-3</v>
      </c>
      <c r="S4266">
        <v>-2.9981990000000001</v>
      </c>
      <c r="T4266">
        <v>-0.15509609999999999</v>
      </c>
      <c r="U4266">
        <v>7.0556640000000004E-2</v>
      </c>
      <c r="V4266">
        <v>-1.293381E-2</v>
      </c>
      <c r="W4266">
        <v>-7.2061219999999995E-2</v>
      </c>
      <c r="X4266">
        <v>0.99731639999999999</v>
      </c>
      <c r="Y4266">
        <v>1.5562619999999999E-2</v>
      </c>
      <c r="Z4266">
        <v>2.126249E-4</v>
      </c>
      <c r="AA4266">
        <v>0.99987890000000001</v>
      </c>
      <c r="AB4266">
        <v>27</v>
      </c>
      <c r="AC4266">
        <v>-21.402999999999999</v>
      </c>
      <c r="AD4266">
        <v>-1.12128104922199</v>
      </c>
      <c r="AE4266">
        <v>0.50819999999998799</v>
      </c>
      <c r="AF4266">
        <v>0.33722270718730601</v>
      </c>
      <c r="AG4266">
        <v>-1.12128104922199</v>
      </c>
      <c r="AH4266">
        <v>21.3478037112123</v>
      </c>
      <c r="AI4266">
        <v>93.006290412634996</v>
      </c>
      <c r="AJ4266">
        <v>89.094996784190997</v>
      </c>
      <c r="AK4266">
        <v>21.3798904028537</v>
      </c>
      <c r="AL4266">
        <v>94.132385287524002</v>
      </c>
      <c r="AM4266">
        <v>90.7430051141109</v>
      </c>
      <c r="AN4266">
        <v>1.00000005228898</v>
      </c>
    </row>
    <row r="4267" spans="1:40" x14ac:dyDescent="0.25">
      <c r="A4267" t="str">
        <f>"20190303154559058"</f>
        <v>20190303154559058</v>
      </c>
      <c r="B4267" t="str">
        <f>"1551599159055097"</f>
        <v>1551599159055097</v>
      </c>
      <c r="C4267" t="s">
        <v>40</v>
      </c>
      <c r="D4267">
        <v>5.0391539999999999</v>
      </c>
      <c r="E4267">
        <v>0.51015699999999997</v>
      </c>
      <c r="F4267" t="s">
        <v>61</v>
      </c>
      <c r="G4267">
        <v>-295.53789999999998</v>
      </c>
      <c r="H4267" s="1">
        <v>-9.0520060000000005E-6</v>
      </c>
      <c r="I4267">
        <v>141.94220000000001</v>
      </c>
      <c r="J4267">
        <v>-274.50670000000002</v>
      </c>
      <c r="K4267">
        <v>1.121264</v>
      </c>
      <c r="L4267">
        <v>141.45849999999999</v>
      </c>
      <c r="M4267">
        <v>-0.99987210000000004</v>
      </c>
      <c r="N4267">
        <v>-1.4048039999999999E-2</v>
      </c>
      <c r="O4267">
        <v>7.6475619999999897E-3</v>
      </c>
      <c r="P4267">
        <v>-0.9962664</v>
      </c>
      <c r="Q4267">
        <v>-8.6227449999999997E-2</v>
      </c>
      <c r="R4267">
        <v>-4.2835750000000004E-3</v>
      </c>
      <c r="S4267">
        <v>-2.997925</v>
      </c>
      <c r="T4267">
        <v>-0.1577933</v>
      </c>
      <c r="U4267">
        <v>6.8328860000000005E-2</v>
      </c>
      <c r="V4267">
        <v>-1.1866979999999999E-2</v>
      </c>
      <c r="W4267">
        <v>-7.2230160000000002E-2</v>
      </c>
      <c r="X4267">
        <v>0.99731740000000002</v>
      </c>
      <c r="Y4267">
        <v>1.5118309999999999E-2</v>
      </c>
      <c r="Z4267">
        <v>2.09039E-4</v>
      </c>
      <c r="AA4267">
        <v>0.99988569999999999</v>
      </c>
      <c r="AB4267">
        <v>27</v>
      </c>
      <c r="AC4267">
        <v>-21.031199999999899</v>
      </c>
      <c r="AD4267">
        <v>-1.1212730520059999</v>
      </c>
      <c r="AE4267">
        <v>0.483700000000027</v>
      </c>
      <c r="AF4267">
        <v>0.32191802161965899</v>
      </c>
      <c r="AG4267">
        <v>-1.1212730520059999</v>
      </c>
      <c r="AH4267">
        <v>20.974696097272599</v>
      </c>
      <c r="AI4267">
        <v>93.059666526619196</v>
      </c>
      <c r="AJ4267">
        <v>89.120697823259306</v>
      </c>
      <c r="AK4267">
        <v>21.007112149049501</v>
      </c>
      <c r="AL4267">
        <v>94.142090306324206</v>
      </c>
      <c r="AM4267">
        <v>90.6817245777154</v>
      </c>
      <c r="AN4267">
        <v>1.00000000878535</v>
      </c>
    </row>
    <row r="4268" spans="1:40" x14ac:dyDescent="0.25">
      <c r="A4268" t="str">
        <f>"20190303154559081"</f>
        <v>20190303154559081</v>
      </c>
      <c r="B4268" t="str">
        <f>"1551599159075593"</f>
        <v>1551599159075593</v>
      </c>
      <c r="C4268" t="s">
        <v>40</v>
      </c>
      <c r="D4268">
        <v>5.0963419999999999</v>
      </c>
      <c r="E4268">
        <v>0.50989810000000002</v>
      </c>
      <c r="F4268" t="s">
        <v>61</v>
      </c>
      <c r="G4268">
        <v>-295.40170000000001</v>
      </c>
      <c r="H4268" s="1">
        <v>-9.0611470000000006E-6</v>
      </c>
      <c r="I4268">
        <v>141.9315</v>
      </c>
      <c r="J4268">
        <v>-274.78300000000002</v>
      </c>
      <c r="K4268">
        <v>1.1212610000000001</v>
      </c>
      <c r="L4268">
        <v>141.46029999999999</v>
      </c>
      <c r="M4268">
        <v>-0.9998745</v>
      </c>
      <c r="N4268">
        <v>-1.4044940000000001E-2</v>
      </c>
      <c r="O4268">
        <v>7.3433259999999998E-3</v>
      </c>
      <c r="P4268">
        <v>-0.99625180000000002</v>
      </c>
      <c r="Q4268">
        <v>-8.6402729999999997E-2</v>
      </c>
      <c r="R4268">
        <v>-4.1895689999999998E-3</v>
      </c>
      <c r="S4268">
        <v>-2.99762</v>
      </c>
      <c r="T4268">
        <v>-0.16085859999999999</v>
      </c>
      <c r="U4268">
        <v>6.7855830000000006E-2</v>
      </c>
      <c r="V4268">
        <v>-1.1469740000000001E-2</v>
      </c>
      <c r="W4268">
        <v>-7.2408449999999999E-2</v>
      </c>
      <c r="X4268">
        <v>0.99730909999999995</v>
      </c>
      <c r="Y4268">
        <v>1.526604E-2</v>
      </c>
      <c r="Z4268">
        <v>2.2594140000000001E-4</v>
      </c>
      <c r="AA4268">
        <v>0.99988339999999998</v>
      </c>
      <c r="AB4268">
        <v>27</v>
      </c>
      <c r="AC4268">
        <v>-20.618699999999901</v>
      </c>
      <c r="AD4268">
        <v>-1.1212700611469999</v>
      </c>
      <c r="AE4268">
        <v>0.47120000000001</v>
      </c>
      <c r="AF4268">
        <v>0.31882017613170899</v>
      </c>
      <c r="AG4268">
        <v>-1.1212700611469999</v>
      </c>
      <c r="AH4268">
        <v>20.5608313148695</v>
      </c>
      <c r="AI4268">
        <v>93.121117450630706</v>
      </c>
      <c r="AJ4268">
        <v>89.111631898910403</v>
      </c>
      <c r="AK4268">
        <v>20.593850470789899</v>
      </c>
      <c r="AL4268">
        <v>94.1523324685147</v>
      </c>
      <c r="AM4268">
        <v>90.658911788538305</v>
      </c>
      <c r="AN4268">
        <v>0.99999998975493998</v>
      </c>
    </row>
    <row r="4269" spans="1:40" x14ac:dyDescent="0.25">
      <c r="A4269" t="str">
        <f>"20190303154559104"</f>
        <v>20190303154559104</v>
      </c>
      <c r="B4269" t="str">
        <f>"1551599159095114"</f>
        <v>1551599159095114</v>
      </c>
      <c r="C4269" t="s">
        <v>40</v>
      </c>
      <c r="D4269">
        <v>5.1141300000000003</v>
      </c>
      <c r="E4269">
        <v>0.50979819999999998</v>
      </c>
      <c r="F4269" t="s">
        <v>61</v>
      </c>
      <c r="G4269">
        <v>-295.36340000000001</v>
      </c>
      <c r="H4269" s="1">
        <v>-9.0598999999999994E-6</v>
      </c>
      <c r="I4269">
        <v>141.91399999999999</v>
      </c>
      <c r="J4269">
        <v>-275.05959999999999</v>
      </c>
      <c r="K4269">
        <v>1.1212599999999999</v>
      </c>
      <c r="L4269">
        <v>141.46199999999999</v>
      </c>
      <c r="M4269">
        <v>-0.99987680000000001</v>
      </c>
      <c r="N4269">
        <v>-1.404188E-2</v>
      </c>
      <c r="O4269">
        <v>7.0346039999999999E-3</v>
      </c>
      <c r="P4269">
        <v>-0.99623439999999996</v>
      </c>
      <c r="Q4269">
        <v>-8.6590159999999999E-2</v>
      </c>
      <c r="R4269">
        <v>-4.4475340000000004E-3</v>
      </c>
      <c r="S4269">
        <v>-2.9974370000000001</v>
      </c>
      <c r="T4269">
        <v>-0.1633077</v>
      </c>
      <c r="U4269">
        <v>6.6085820000000003E-2</v>
      </c>
      <c r="V4269">
        <v>-1.1420130000000001E-2</v>
      </c>
      <c r="W4269">
        <v>-7.2599129999999998E-2</v>
      </c>
      <c r="X4269">
        <v>0.99729579999999995</v>
      </c>
      <c r="Y4269">
        <v>1.4985750000000001E-2</v>
      </c>
      <c r="Z4269">
        <v>2.290061E-4</v>
      </c>
      <c r="AA4269">
        <v>0.99988770000000005</v>
      </c>
      <c r="AB4269">
        <v>27</v>
      </c>
      <c r="AC4269">
        <v>-20.303799999999999</v>
      </c>
      <c r="AD4269">
        <v>-1.1212690598999999</v>
      </c>
      <c r="AE4269">
        <v>0.45199999999996898</v>
      </c>
      <c r="AF4269">
        <v>0.30820607009728501</v>
      </c>
      <c r="AG4269">
        <v>-1.1212690598999999</v>
      </c>
      <c r="AH4269">
        <v>20.2447664709542</v>
      </c>
      <c r="AI4269">
        <v>93.169757171178404</v>
      </c>
      <c r="AJ4269">
        <v>89.127797152669899</v>
      </c>
      <c r="AK4269">
        <v>20.278136126128601</v>
      </c>
      <c r="AL4269">
        <v>94.163286485987896</v>
      </c>
      <c r="AM4269">
        <v>90.656070799362894</v>
      </c>
      <c r="AN4269">
        <v>0.99999998287180603</v>
      </c>
    </row>
    <row r="4270" spans="1:40" x14ac:dyDescent="0.25">
      <c r="A4270" t="str">
        <f>"20190303154559126"</f>
        <v>20190303154559126</v>
      </c>
      <c r="B4270" t="str">
        <f>"1551599159115609"</f>
        <v>1551599159115609</v>
      </c>
      <c r="C4270" t="s">
        <v>40</v>
      </c>
      <c r="D4270">
        <v>5.1025219999999996</v>
      </c>
      <c r="E4270">
        <v>0.5096446</v>
      </c>
      <c r="F4270" t="s">
        <v>61</v>
      </c>
      <c r="G4270">
        <v>-295.30169999999998</v>
      </c>
      <c r="H4270" s="1">
        <v>-9.0609289999999993E-6</v>
      </c>
      <c r="I4270">
        <v>141.8974</v>
      </c>
      <c r="J4270">
        <v>-275.33030000000002</v>
      </c>
      <c r="K4270">
        <v>1.1212610000000001</v>
      </c>
      <c r="L4270">
        <v>141.46350000000001</v>
      </c>
      <c r="M4270">
        <v>-0.99987879999999996</v>
      </c>
      <c r="N4270">
        <v>-1.403889E-2</v>
      </c>
      <c r="O4270">
        <v>6.7298690000000003E-3</v>
      </c>
      <c r="P4270">
        <v>-0.99617199999999995</v>
      </c>
      <c r="Q4270">
        <v>-8.7295200000000003E-2</v>
      </c>
      <c r="R4270">
        <v>-4.5973109999999998E-3</v>
      </c>
      <c r="S4270">
        <v>-2.9971619999999999</v>
      </c>
      <c r="T4270">
        <v>-0.16602149999999999</v>
      </c>
      <c r="U4270">
        <v>6.4468380000000006E-2</v>
      </c>
      <c r="V4270">
        <v>-1.1264990000000001E-2</v>
      </c>
      <c r="W4270">
        <v>-7.3307899999999995E-2</v>
      </c>
      <c r="X4270">
        <v>0.99724570000000001</v>
      </c>
      <c r="Y4270">
        <v>1.475277E-2</v>
      </c>
      <c r="Z4270">
        <v>2.3388449999999999E-4</v>
      </c>
      <c r="AA4270">
        <v>0.99989119999999998</v>
      </c>
      <c r="AB4270">
        <v>27</v>
      </c>
      <c r="AC4270">
        <v>-19.9713999999999</v>
      </c>
      <c r="AD4270">
        <v>-1.1212700609289901</v>
      </c>
      <c r="AE4270">
        <v>0.43389999999999401</v>
      </c>
      <c r="AF4270">
        <v>0.29853145462689001</v>
      </c>
      <c r="AG4270">
        <v>-1.1212700609289901</v>
      </c>
      <c r="AH4270">
        <v>19.9111352439458</v>
      </c>
      <c r="AI4270">
        <v>93.222772709094201</v>
      </c>
      <c r="AJ4270">
        <v>89.141017793045506</v>
      </c>
      <c r="AK4270">
        <v>19.9449160008669</v>
      </c>
      <c r="AL4270">
        <v>94.204004582887194</v>
      </c>
      <c r="AM4270">
        <v>90.647191491906696</v>
      </c>
      <c r="AN4270">
        <v>0.99999996718529904</v>
      </c>
    </row>
    <row r="4271" spans="1:40" x14ac:dyDescent="0.25">
      <c r="A4271" t="str">
        <f>"20190303154559149"</f>
        <v>20190303154559149</v>
      </c>
      <c r="B4271" t="str">
        <f>"1551599159145865"</f>
        <v>1551599159145865</v>
      </c>
      <c r="C4271" t="s">
        <v>40</v>
      </c>
      <c r="D4271">
        <v>5.1152199999999999</v>
      </c>
      <c r="E4271">
        <v>0.50946950000000002</v>
      </c>
      <c r="F4271" t="s">
        <v>61</v>
      </c>
      <c r="G4271">
        <v>-295.08730000000003</v>
      </c>
      <c r="H4271" s="1">
        <v>-9.0748059999999997E-6</v>
      </c>
      <c r="I4271">
        <v>141.87860000000001</v>
      </c>
      <c r="J4271">
        <v>-275.60950000000003</v>
      </c>
      <c r="K4271">
        <v>1.1212629999999999</v>
      </c>
      <c r="L4271">
        <v>141.46510000000001</v>
      </c>
      <c r="M4271">
        <v>-0.99988109999999997</v>
      </c>
      <c r="N4271">
        <v>-1.4025930000000001E-2</v>
      </c>
      <c r="O4271">
        <v>6.4130439999999997E-3</v>
      </c>
      <c r="P4271">
        <v>-0.99613779999999996</v>
      </c>
      <c r="Q4271">
        <v>-8.7689230000000007E-2</v>
      </c>
      <c r="R4271">
        <v>-4.4995299999999998E-3</v>
      </c>
      <c r="S4271">
        <v>-2.9968870000000001</v>
      </c>
      <c r="T4271">
        <v>-0.17008219999999999</v>
      </c>
      <c r="U4271">
        <v>6.2957760000000001E-2</v>
      </c>
      <c r="V4271">
        <v>-1.085143E-2</v>
      </c>
      <c r="W4271">
        <v>-7.3715030000000001E-2</v>
      </c>
      <c r="X4271">
        <v>0.99722029999999995</v>
      </c>
      <c r="Y4271">
        <v>1.456701E-2</v>
      </c>
      <c r="Z4271">
        <v>2.4153170000000001E-4</v>
      </c>
      <c r="AA4271">
        <v>0.99989380000000005</v>
      </c>
      <c r="AB4271">
        <v>27</v>
      </c>
      <c r="AC4271">
        <v>-19.477799999999998</v>
      </c>
      <c r="AD4271">
        <v>-1.1212720748060001</v>
      </c>
      <c r="AE4271">
        <v>0.41349999999999898</v>
      </c>
      <c r="AF4271">
        <v>0.28761451989799403</v>
      </c>
      <c r="AG4271">
        <v>-1.1212720748060001</v>
      </c>
      <c r="AH4271">
        <v>19.415738192455098</v>
      </c>
      <c r="AI4271">
        <v>93.304837248841494</v>
      </c>
      <c r="AJ4271">
        <v>89.151312572994996</v>
      </c>
      <c r="AK4271">
        <v>19.450214979165501</v>
      </c>
      <c r="AL4271">
        <v>94.227394590344701</v>
      </c>
      <c r="AM4271">
        <v>90.623449604980095</v>
      </c>
      <c r="AN4271">
        <v>0.99999999295651798</v>
      </c>
    </row>
    <row r="4272" spans="1:40" x14ac:dyDescent="0.25">
      <c r="A4272" t="str">
        <f>"20190303154559172"</f>
        <v>20190303154559172</v>
      </c>
      <c r="B4272" t="str">
        <f>"1551599159165385"</f>
        <v>1551599159165385</v>
      </c>
      <c r="C4272" t="s">
        <v>40</v>
      </c>
      <c r="D4272">
        <v>5.1158140000000003</v>
      </c>
      <c r="E4272">
        <v>0.50941369999999997</v>
      </c>
      <c r="F4272" t="s">
        <v>61</v>
      </c>
      <c r="G4272">
        <v>-294.92599999999999</v>
      </c>
      <c r="H4272" s="1">
        <v>-9.0851310000000003E-6</v>
      </c>
      <c r="I4272">
        <v>141.864</v>
      </c>
      <c r="J4272">
        <v>-275.87650000000002</v>
      </c>
      <c r="K4272">
        <v>1.1212530000000001</v>
      </c>
      <c r="L4272">
        <v>141.46639999999999</v>
      </c>
      <c r="M4272">
        <v>-0.99988379999999999</v>
      </c>
      <c r="N4272">
        <v>-1.3972500000000001E-2</v>
      </c>
      <c r="O4272">
        <v>6.1075829999999998E-3</v>
      </c>
      <c r="P4272">
        <v>-0.99618859999999998</v>
      </c>
      <c r="Q4272">
        <v>-8.7117819999999999E-2</v>
      </c>
      <c r="R4272">
        <v>-4.3602939999999998E-3</v>
      </c>
      <c r="S4272">
        <v>-2.996613</v>
      </c>
      <c r="T4272">
        <v>-0.17394479999999901</v>
      </c>
      <c r="U4272">
        <v>6.1889649999999997E-2</v>
      </c>
      <c r="V4272">
        <v>-1.0407700000000001E-2</v>
      </c>
      <c r="W4272">
        <v>-7.3196029999999995E-2</v>
      </c>
      <c r="X4272">
        <v>0.99726329999999996</v>
      </c>
      <c r="Y4272">
        <v>1.451714E-2</v>
      </c>
      <c r="Z4272">
        <v>2.535781E-4</v>
      </c>
      <c r="AA4272">
        <v>0.99989459999999997</v>
      </c>
      <c r="AB4272">
        <v>27</v>
      </c>
      <c r="AC4272">
        <v>-19.049499999999899</v>
      </c>
      <c r="AD4272">
        <v>-1.121262085131</v>
      </c>
      <c r="AE4272">
        <v>0.397600000000011</v>
      </c>
      <c r="AF4272">
        <v>0.28026426269916999</v>
      </c>
      <c r="AG4272">
        <v>-1.121262085131</v>
      </c>
      <c r="AH4272">
        <v>18.985824503792401</v>
      </c>
      <c r="AI4272">
        <v>93.379472757885694</v>
      </c>
      <c r="AJ4272">
        <v>89.154274645520402</v>
      </c>
      <c r="AK4272">
        <v>19.0209702383791</v>
      </c>
      <c r="AL4272">
        <v>94.197577355484299</v>
      </c>
      <c r="AM4272">
        <v>90.597931996942293</v>
      </c>
      <c r="AN4272">
        <v>1.0000000342769599</v>
      </c>
    </row>
    <row r="4273" spans="1:40" x14ac:dyDescent="0.25">
      <c r="A4273" t="str">
        <f>"20190303154559194"</f>
        <v>20190303154559194</v>
      </c>
      <c r="B4273" t="str">
        <f>"1551599159184906"</f>
        <v>1551599159184906</v>
      </c>
      <c r="C4273" t="s">
        <v>40</v>
      </c>
      <c r="D4273">
        <v>5.1514110000000004</v>
      </c>
      <c r="E4273">
        <v>0.50934330000000005</v>
      </c>
      <c r="F4273" t="s">
        <v>61</v>
      </c>
      <c r="G4273">
        <v>-295.20069999999998</v>
      </c>
      <c r="H4273" s="1">
        <v>-9.0614779999999994E-6</v>
      </c>
      <c r="I4273">
        <v>141.86580000000001</v>
      </c>
      <c r="J4273">
        <v>-276.15199999999999</v>
      </c>
      <c r="K4273">
        <v>1.1212299999999999</v>
      </c>
      <c r="L4273">
        <v>141.46780000000001</v>
      </c>
      <c r="M4273">
        <v>-0.99988710000000003</v>
      </c>
      <c r="N4273">
        <v>-1.3868699999999999E-2</v>
      </c>
      <c r="O4273">
        <v>5.7929280000000001E-3</v>
      </c>
      <c r="P4273">
        <v>-0.99622230000000001</v>
      </c>
      <c r="Q4273">
        <v>-8.6724060000000006E-2</v>
      </c>
      <c r="R4273">
        <v>-4.4873379999999996E-3</v>
      </c>
      <c r="S4273">
        <v>-2.9965820000000001</v>
      </c>
      <c r="T4273">
        <v>-0.17387259999999999</v>
      </c>
      <c r="U4273">
        <v>6.1935419999999998E-2</v>
      </c>
      <c r="V4273">
        <v>-1.022056E-2</v>
      </c>
      <c r="W4273">
        <v>-7.2905399999999995E-2</v>
      </c>
      <c r="X4273">
        <v>0.99728649999999996</v>
      </c>
      <c r="Y4273">
        <v>1.4846379999999999E-2</v>
      </c>
      <c r="Z4273">
        <v>2.778697E-4</v>
      </c>
      <c r="AA4273">
        <v>0.99988969999999999</v>
      </c>
      <c r="AB4273">
        <v>27</v>
      </c>
      <c r="AC4273">
        <v>-19.0487</v>
      </c>
      <c r="AD4273">
        <v>-1.1212390614779999</v>
      </c>
      <c r="AE4273">
        <v>0.39799999999999602</v>
      </c>
      <c r="AF4273">
        <v>0.28664226908356899</v>
      </c>
      <c r="AG4273">
        <v>-1.1212390614779999</v>
      </c>
      <c r="AH4273">
        <v>18.984937695610999</v>
      </c>
      <c r="AI4273">
        <v>93.379544072867702</v>
      </c>
      <c r="AJ4273">
        <v>89.134990869408298</v>
      </c>
      <c r="AK4273">
        <v>19.020178761768801</v>
      </c>
      <c r="AL4273">
        <v>94.180880975493807</v>
      </c>
      <c r="AM4273">
        <v>90.587167731695004</v>
      </c>
      <c r="AN4273">
        <v>1.00000001013906</v>
      </c>
    </row>
    <row r="4274" spans="1:40" x14ac:dyDescent="0.25">
      <c r="A4274" t="str">
        <f>"20190303154559215"</f>
        <v>20190303154559215</v>
      </c>
      <c r="B4274" t="str">
        <f>"1551599159205402"</f>
        <v>1551599159205402</v>
      </c>
      <c r="C4274" t="s">
        <v>40</v>
      </c>
      <c r="D4274">
        <v>5.1151499999999999</v>
      </c>
      <c r="E4274">
        <v>0.50927319999999998</v>
      </c>
      <c r="F4274" t="s">
        <v>61</v>
      </c>
      <c r="G4274">
        <v>-295.39760000000001</v>
      </c>
      <c r="H4274" s="1">
        <v>-9.0425649999999997E-6</v>
      </c>
      <c r="I4274">
        <v>141.8597</v>
      </c>
      <c r="J4274">
        <v>-276.40940000000001</v>
      </c>
      <c r="K4274">
        <v>1.12121</v>
      </c>
      <c r="L4274">
        <v>141.46889999999999</v>
      </c>
      <c r="M4274">
        <v>-0.99989039999999996</v>
      </c>
      <c r="N4274">
        <v>-1.3752540000000001E-2</v>
      </c>
      <c r="O4274">
        <v>5.4991090000000003E-3</v>
      </c>
      <c r="P4274">
        <v>-0.99619009999999997</v>
      </c>
      <c r="Q4274">
        <v>-8.7108550000000007E-2</v>
      </c>
      <c r="R4274">
        <v>-4.2081169999999999E-3</v>
      </c>
      <c r="S4274">
        <v>-2.9964599999999999</v>
      </c>
      <c r="T4274">
        <v>-0.1745727</v>
      </c>
      <c r="U4274">
        <v>6.1019900000000002E-2</v>
      </c>
      <c r="V4274">
        <v>-9.6471730000000002E-3</v>
      </c>
      <c r="W4274">
        <v>-7.3405940000000003E-2</v>
      </c>
      <c r="X4274">
        <v>0.99725549999999996</v>
      </c>
      <c r="Y4274">
        <v>1.4835330000000001E-2</v>
      </c>
      <c r="Z4274">
        <v>2.8938260000000002E-4</v>
      </c>
      <c r="AA4274">
        <v>0.9998899</v>
      </c>
      <c r="AB4274">
        <v>27</v>
      </c>
      <c r="AC4274">
        <v>-18.988199999999999</v>
      </c>
      <c r="AD4274">
        <v>-1.1212190425649999</v>
      </c>
      <c r="AE4274">
        <v>0.39080000000001203</v>
      </c>
      <c r="AF4274">
        <v>0.28537146166983302</v>
      </c>
      <c r="AG4274">
        <v>-1.1212190425649999</v>
      </c>
      <c r="AH4274">
        <v>18.924107535982699</v>
      </c>
      <c r="AI4274">
        <v>93.390322628374705</v>
      </c>
      <c r="AJ4274">
        <v>89.136057480559401</v>
      </c>
      <c r="AK4274">
        <v>18.959441316821099</v>
      </c>
      <c r="AL4274">
        <v>94.209636830128005</v>
      </c>
      <c r="AM4274">
        <v>90.554246184712596</v>
      </c>
      <c r="AN4274">
        <v>1.00000001612721</v>
      </c>
    </row>
    <row r="4275" spans="1:40" x14ac:dyDescent="0.25">
      <c r="A4275" t="str">
        <f>"20190303154559236"</f>
        <v>20190303154559236</v>
      </c>
      <c r="B4275" t="str">
        <f>"1551599159224921"</f>
        <v>1551599159224921</v>
      </c>
      <c r="C4275" t="s">
        <v>40</v>
      </c>
      <c r="D4275">
        <v>5.1286019999999999</v>
      </c>
      <c r="E4275">
        <v>0.50897749999999997</v>
      </c>
      <c r="F4275" t="s">
        <v>61</v>
      </c>
      <c r="G4275">
        <v>-295.41680000000002</v>
      </c>
      <c r="H4275" s="1">
        <v>-9.0403360000000006E-6</v>
      </c>
      <c r="I4275">
        <v>141.85759999999999</v>
      </c>
      <c r="J4275">
        <v>-276.67099999999999</v>
      </c>
      <c r="K4275">
        <v>1.121194</v>
      </c>
      <c r="L4275">
        <v>141.47</v>
      </c>
      <c r="M4275">
        <v>-0.9998937</v>
      </c>
      <c r="N4275">
        <v>-1.362996E-2</v>
      </c>
      <c r="O4275">
        <v>5.1941409999999898E-3</v>
      </c>
      <c r="P4275">
        <v>-0.9961449</v>
      </c>
      <c r="Q4275">
        <v>-8.7635500000000005E-2</v>
      </c>
      <c r="R4275">
        <v>-3.9719530000000003E-3</v>
      </c>
      <c r="S4275">
        <v>-2.9962460000000002</v>
      </c>
      <c r="T4275">
        <v>-0.17674419999999999</v>
      </c>
      <c r="U4275">
        <v>6.1279300000000002E-2</v>
      </c>
      <c r="V4275">
        <v>-9.106533E-3</v>
      </c>
      <c r="W4275">
        <v>-7.4055380000000004E-2</v>
      </c>
      <c r="X4275">
        <v>0.99721249999999995</v>
      </c>
      <c r="Y4275">
        <v>1.5226689999999999E-2</v>
      </c>
      <c r="Z4275">
        <v>3.1721339999999997E-4</v>
      </c>
      <c r="AA4275">
        <v>0.999884</v>
      </c>
      <c r="AB4275">
        <v>27</v>
      </c>
      <c r="AC4275">
        <v>-18.745799999999999</v>
      </c>
      <c r="AD4275">
        <v>-1.121203040336</v>
      </c>
      <c r="AE4275">
        <v>0.38759999999999201</v>
      </c>
      <c r="AF4275">
        <v>0.28918333869327401</v>
      </c>
      <c r="AG4275">
        <v>-1.121203040336</v>
      </c>
      <c r="AH4275">
        <v>18.680761582446301</v>
      </c>
      <c r="AI4275">
        <v>93.434311956298004</v>
      </c>
      <c r="AJ4275">
        <v>89.113116378839507</v>
      </c>
      <c r="AK4275">
        <v>18.716612315300001</v>
      </c>
      <c r="AL4275">
        <v>94.246948841386001</v>
      </c>
      <c r="AM4275">
        <v>90.523209851170705</v>
      </c>
      <c r="AN4275">
        <v>0.99999994920323598</v>
      </c>
    </row>
    <row r="4276" spans="1:40" x14ac:dyDescent="0.25">
      <c r="A4276" t="str">
        <f>"20190303154559393"</f>
        <v>20190303154559393</v>
      </c>
      <c r="B4276" t="str">
        <f>"1551599159384989"</f>
        <v>1551599159384989</v>
      </c>
      <c r="C4276" t="s">
        <v>40</v>
      </c>
      <c r="D4276">
        <v>5.2313159999999996</v>
      </c>
      <c r="E4276">
        <v>0.50941950000000003</v>
      </c>
      <c r="F4276" t="s">
        <v>61</v>
      </c>
      <c r="G4276">
        <v>-295.51850000000002</v>
      </c>
      <c r="H4276" s="1">
        <v>-9.0280950000000005E-6</v>
      </c>
      <c r="I4276">
        <v>141.8451</v>
      </c>
      <c r="J4276">
        <v>-278.5831</v>
      </c>
      <c r="K4276">
        <v>1.120752</v>
      </c>
      <c r="L4276">
        <v>141.47559999999999</v>
      </c>
      <c r="M4276">
        <v>-0.99993350000000003</v>
      </c>
      <c r="N4276">
        <v>-1.1155470000000001E-2</v>
      </c>
      <c r="O4276">
        <v>2.966425E-3</v>
      </c>
      <c r="P4276">
        <v>-0.99621959999999998</v>
      </c>
      <c r="Q4276">
        <v>-8.6764960000000002E-2</v>
      </c>
      <c r="R4276">
        <v>-4.3246179999999997E-3</v>
      </c>
      <c r="S4276">
        <v>-2.9961850000000001</v>
      </c>
      <c r="T4276">
        <v>-0.1782378</v>
      </c>
      <c r="U4276">
        <v>5.963135E-2</v>
      </c>
      <c r="V4276">
        <v>-7.2421330000000004E-3</v>
      </c>
      <c r="W4276">
        <v>-7.5650099999999998E-2</v>
      </c>
      <c r="X4276">
        <v>0.99710810000000005</v>
      </c>
      <c r="Y4276">
        <v>1.6900350000000001E-2</v>
      </c>
      <c r="Z4276">
        <v>4.5334310000000002E-4</v>
      </c>
      <c r="AA4276">
        <v>0.99985710000000005</v>
      </c>
      <c r="AB4276">
        <v>27</v>
      </c>
      <c r="AC4276">
        <v>-16.935400000000001</v>
      </c>
      <c r="AD4276">
        <v>-1.120761028095</v>
      </c>
      <c r="AE4276">
        <v>0.36950000000001598</v>
      </c>
      <c r="AF4276">
        <v>0.31786619359991902</v>
      </c>
      <c r="AG4276">
        <v>-1.120761028095</v>
      </c>
      <c r="AH4276">
        <v>16.862605197909399</v>
      </c>
      <c r="AI4276">
        <v>93.801857047599</v>
      </c>
      <c r="AJ4276">
        <v>88.920081777647695</v>
      </c>
      <c r="AK4276">
        <v>16.9027985333699</v>
      </c>
      <c r="AL4276">
        <v>94.338576523795496</v>
      </c>
      <c r="AM4276">
        <v>90.416139793943302</v>
      </c>
      <c r="AN4276">
        <v>0.99999997460300405</v>
      </c>
    </row>
    <row r="4277" spans="1:40" x14ac:dyDescent="0.25">
      <c r="A4277" t="str">
        <f>"20190303154559415"</f>
        <v>20190303154559415</v>
      </c>
      <c r="B4277" t="str">
        <f>"1551599159405488"</f>
        <v>1551599159405488</v>
      </c>
      <c r="C4277" t="s">
        <v>40</v>
      </c>
      <c r="D4277">
        <v>5.1137800000000002</v>
      </c>
      <c r="E4277">
        <v>0.50972759999999995</v>
      </c>
      <c r="F4277" t="s">
        <v>61</v>
      </c>
      <c r="G4277">
        <v>-299.28469999999999</v>
      </c>
      <c r="H4277" s="1">
        <v>-8.7130939999999999E-6</v>
      </c>
      <c r="I4277">
        <v>141.90520000000001</v>
      </c>
      <c r="J4277">
        <v>-278.84840000000003</v>
      </c>
      <c r="K4277">
        <v>1.1206940000000001</v>
      </c>
      <c r="L4277">
        <v>141.4761</v>
      </c>
      <c r="M4277">
        <v>-0.99993909999999997</v>
      </c>
      <c r="N4277">
        <v>-1.071912E-2</v>
      </c>
      <c r="O4277">
        <v>2.6631810000000001E-3</v>
      </c>
      <c r="P4277">
        <v>-0.99616309999999997</v>
      </c>
      <c r="Q4277">
        <v>-8.7386899999999906E-2</v>
      </c>
      <c r="R4277">
        <v>-4.7902379999999996E-3</v>
      </c>
      <c r="S4277">
        <v>-2.997528</v>
      </c>
      <c r="T4277">
        <v>-0.1622827</v>
      </c>
      <c r="U4277">
        <v>6.2194819999999998E-2</v>
      </c>
      <c r="V4277">
        <v>-7.40414E-3</v>
      </c>
      <c r="W4277">
        <v>-7.6707849999999994E-2</v>
      </c>
      <c r="X4277">
        <v>0.99702610000000003</v>
      </c>
      <c r="Y4277">
        <v>1.8052249999999999E-2</v>
      </c>
      <c r="Z4277">
        <v>4.6957280000000002E-4</v>
      </c>
      <c r="AA4277">
        <v>0.99983690000000003</v>
      </c>
      <c r="AB4277">
        <v>27</v>
      </c>
      <c r="AC4277">
        <v>-20.4362999999999</v>
      </c>
      <c r="AD4277">
        <v>-1.1207027130939999</v>
      </c>
      <c r="AE4277">
        <v>0.42910000000000498</v>
      </c>
      <c r="AF4277">
        <v>0.37354691911995802</v>
      </c>
      <c r="AG4277">
        <v>-1.1207027130939999</v>
      </c>
      <c r="AH4277">
        <v>20.376120315298699</v>
      </c>
      <c r="AI4277">
        <v>93.147613400388195</v>
      </c>
      <c r="AJ4277">
        <v>88.949738008347893</v>
      </c>
      <c r="AK4277">
        <v>20.4103353959568</v>
      </c>
      <c r="AL4277">
        <v>94.399357736608593</v>
      </c>
      <c r="AM4277">
        <v>90.425483520102503</v>
      </c>
      <c r="AN4277">
        <v>0.99999997981098498</v>
      </c>
    </row>
    <row r="4278" spans="1:40" x14ac:dyDescent="0.25">
      <c r="A4278" t="str">
        <f>"20190303154559437"</f>
        <v>20190303154559437</v>
      </c>
      <c r="B4278" t="str">
        <f>"1551599159435741"</f>
        <v>1551599159435741</v>
      </c>
      <c r="C4278" t="s">
        <v>40</v>
      </c>
      <c r="D4278">
        <v>5.1869310000000004</v>
      </c>
      <c r="E4278">
        <v>0.50973029999999997</v>
      </c>
      <c r="F4278" t="s">
        <v>61</v>
      </c>
      <c r="G4278">
        <v>-300.4966</v>
      </c>
      <c r="H4278" s="1">
        <v>-8.7567289999999997E-6</v>
      </c>
      <c r="I4278">
        <v>141.9323</v>
      </c>
      <c r="J4278">
        <v>-279.12520000000001</v>
      </c>
      <c r="K4278">
        <v>1.12064599999999</v>
      </c>
      <c r="L4278">
        <v>141.47649999999999</v>
      </c>
      <c r="M4278">
        <v>-0.99994430000000001</v>
      </c>
      <c r="N4278">
        <v>-1.0298440000000001E-2</v>
      </c>
      <c r="O4278">
        <v>2.345401E-3</v>
      </c>
      <c r="P4278">
        <v>-0.99618079999999998</v>
      </c>
      <c r="Q4278">
        <v>-8.7136749999999999E-2</v>
      </c>
      <c r="R4278">
        <v>-5.5875400000000002E-3</v>
      </c>
      <c r="S4278">
        <v>-2.99823</v>
      </c>
      <c r="T4278">
        <v>-0.15521489999999999</v>
      </c>
      <c r="U4278">
        <v>6.3186649999999997E-2</v>
      </c>
      <c r="V4278">
        <v>-7.884683E-3</v>
      </c>
      <c r="W4278">
        <v>-7.6877269999999998E-2</v>
      </c>
      <c r="X4278">
        <v>0.99700940000000005</v>
      </c>
      <c r="Y4278">
        <v>1.8696910000000001E-2</v>
      </c>
      <c r="Z4278">
        <v>4.8276230000000002E-4</v>
      </c>
      <c r="AA4278">
        <v>0.99982510000000002</v>
      </c>
      <c r="AB4278">
        <v>28</v>
      </c>
      <c r="AC4278">
        <v>-21.371399999999898</v>
      </c>
      <c r="AD4278">
        <v>-1.12065475672899</v>
      </c>
      <c r="AE4278">
        <v>0.45580000000000997</v>
      </c>
      <c r="AF4278">
        <v>0.40455969645873202</v>
      </c>
      <c r="AG4278">
        <v>-1.12065475672899</v>
      </c>
      <c r="AH4278">
        <v>21.3138313296969</v>
      </c>
      <c r="AI4278">
        <v>93.009228337990393</v>
      </c>
      <c r="AJ4278">
        <v>88.912594376521497</v>
      </c>
      <c r="AK4278">
        <v>21.347106164127901</v>
      </c>
      <c r="AL4278">
        <v>94.409093388855894</v>
      </c>
      <c r="AM4278">
        <v>90.453104696023104</v>
      </c>
      <c r="AN4278">
        <v>1.0000000132785101</v>
      </c>
    </row>
    <row r="4279" spans="1:40" x14ac:dyDescent="0.25">
      <c r="A4279" t="str">
        <f>"20190303154559461"</f>
        <v>20190303154559461</v>
      </c>
      <c r="B4279" t="str">
        <f>"1551599159455261"</f>
        <v>1551599159455261</v>
      </c>
      <c r="C4279" t="s">
        <v>40</v>
      </c>
      <c r="D4279">
        <v>5.1893799999999999</v>
      </c>
      <c r="E4279">
        <v>0.50935580000000003</v>
      </c>
      <c r="F4279" t="s">
        <v>61</v>
      </c>
      <c r="G4279">
        <v>-301.7122</v>
      </c>
      <c r="H4279" s="1">
        <v>-8.972758E-6</v>
      </c>
      <c r="I4279">
        <v>141.93389999999999</v>
      </c>
      <c r="J4279">
        <v>-279.41000000000003</v>
      </c>
      <c r="K4279">
        <v>1.1206100000000001</v>
      </c>
      <c r="L4279">
        <v>141.4768</v>
      </c>
      <c r="M4279">
        <v>-0.99994899999999998</v>
      </c>
      <c r="N4279">
        <v>-9.9048650000000005E-3</v>
      </c>
      <c r="O4279">
        <v>2.0177379999999998E-3</v>
      </c>
      <c r="P4279">
        <v>-0.99621340000000003</v>
      </c>
      <c r="Q4279">
        <v>-8.6721969999999995E-2</v>
      </c>
      <c r="R4279">
        <v>-6.1831919999999997E-3</v>
      </c>
      <c r="S4279">
        <v>-2.99884</v>
      </c>
      <c r="T4279">
        <v>-0.14878769999999999</v>
      </c>
      <c r="U4279">
        <v>6.0729980000000003E-2</v>
      </c>
      <c r="V4279">
        <v>-8.1533049999999996E-3</v>
      </c>
      <c r="W4279">
        <v>-7.6854809999999996E-2</v>
      </c>
      <c r="X4279">
        <v>0.99700900000000003</v>
      </c>
      <c r="Y4279">
        <v>1.8204270000000002E-2</v>
      </c>
      <c r="Z4279">
        <v>4.6144900000000001E-4</v>
      </c>
      <c r="AA4279">
        <v>0.99983420000000001</v>
      </c>
      <c r="AB4279">
        <v>28</v>
      </c>
      <c r="AC4279">
        <v>-22.3021999999999</v>
      </c>
      <c r="AD4279">
        <v>-1.120618972758</v>
      </c>
      <c r="AE4279">
        <v>0.45709999999999701</v>
      </c>
      <c r="AF4279">
        <v>0.41105947772743801</v>
      </c>
      <c r="AG4279">
        <v>-1.120618972758</v>
      </c>
      <c r="AH4279">
        <v>22.246932314283001</v>
      </c>
      <c r="AI4279">
        <v>92.883165422570997</v>
      </c>
      <c r="AJ4279">
        <v>88.941458841603193</v>
      </c>
      <c r="AK4279">
        <v>22.278930723278101</v>
      </c>
      <c r="AL4279">
        <v>94.407802579616899</v>
      </c>
      <c r="AM4279">
        <v>90.468540958325704</v>
      </c>
      <c r="AN4279">
        <v>1.0000000421417701</v>
      </c>
    </row>
    <row r="4280" spans="1:40" x14ac:dyDescent="0.25">
      <c r="A4280" t="str">
        <f>"20190303154559483"</f>
        <v>20190303154559483</v>
      </c>
      <c r="B4280" t="str">
        <f>"1551599159474781"</f>
        <v>1551599159474781</v>
      </c>
      <c r="C4280" t="s">
        <v>40</v>
      </c>
      <c r="D4280">
        <v>5.2049699999999897</v>
      </c>
      <c r="E4280">
        <v>0.50894899999999998</v>
      </c>
      <c r="F4280" t="s">
        <v>61</v>
      </c>
      <c r="G4280">
        <v>-302.39269999999999</v>
      </c>
      <c r="H4280" s="1">
        <v>-9.0808400000000006E-6</v>
      </c>
      <c r="I4280">
        <v>141.90479999999999</v>
      </c>
      <c r="J4280">
        <v>-279.69580000000002</v>
      </c>
      <c r="K4280">
        <v>1.1205849999999999</v>
      </c>
      <c r="L4280">
        <v>141.477</v>
      </c>
      <c r="M4280">
        <v>-0.99995299999999998</v>
      </c>
      <c r="N4280">
        <v>-9.5534680000000007E-3</v>
      </c>
      <c r="O4280">
        <v>1.6880619999999999E-3</v>
      </c>
      <c r="P4280">
        <v>-0.99621950000000004</v>
      </c>
      <c r="Q4280">
        <v>-8.6584910000000001E-2</v>
      </c>
      <c r="R4280">
        <v>-7.0647339999999996E-3</v>
      </c>
      <c r="S4280">
        <v>-2.9990230000000002</v>
      </c>
      <c r="T4280">
        <v>-0.1462302</v>
      </c>
      <c r="U4280">
        <v>5.5847170000000002E-2</v>
      </c>
      <c r="V4280">
        <v>-8.7060639999999995E-3</v>
      </c>
      <c r="W4280">
        <v>-7.7068339999999999E-2</v>
      </c>
      <c r="X4280">
        <v>0.99698779999999998</v>
      </c>
      <c r="Y4280">
        <v>1.690796E-2</v>
      </c>
      <c r="Z4280">
        <v>4.2662640000000002E-4</v>
      </c>
      <c r="AA4280">
        <v>0.99985690000000005</v>
      </c>
      <c r="AB4280">
        <v>28</v>
      </c>
      <c r="AC4280">
        <v>-22.6968999999999</v>
      </c>
      <c r="AD4280">
        <v>-1.1205940808399999</v>
      </c>
      <c r="AE4280">
        <v>0.42779999999999002</v>
      </c>
      <c r="AF4280">
        <v>0.38853710564177901</v>
      </c>
      <c r="AG4280">
        <v>-1.1205940808399999</v>
      </c>
      <c r="AH4280">
        <v>22.642416150187099</v>
      </c>
      <c r="AI4280">
        <v>92.832892911030399</v>
      </c>
      <c r="AJ4280">
        <v>89.016918001760999</v>
      </c>
      <c r="AK4280">
        <v>22.673458079762099</v>
      </c>
      <c r="AL4280">
        <v>94.420073532494399</v>
      </c>
      <c r="AM4280">
        <v>90.500315094011199</v>
      </c>
      <c r="AN4280">
        <v>0.99999999896478298</v>
      </c>
    </row>
    <row r="4281" spans="1:40" x14ac:dyDescent="0.25">
      <c r="A4281" t="str">
        <f>"20190303154559506"</f>
        <v>20190303154559506</v>
      </c>
      <c r="B4281" t="str">
        <f>"1551599159495277"</f>
        <v>1551599159495277</v>
      </c>
      <c r="C4281" t="s">
        <v>40</v>
      </c>
      <c r="D4281">
        <v>5.20817</v>
      </c>
      <c r="E4281">
        <v>0.50857759999999996</v>
      </c>
      <c r="F4281" t="s">
        <v>61</v>
      </c>
      <c r="G4281">
        <v>-302.9948</v>
      </c>
      <c r="H4281" s="1">
        <v>-9.1555120000000002E-6</v>
      </c>
      <c r="I4281">
        <v>141.86510000000001</v>
      </c>
      <c r="J4281">
        <v>-279.96800000000002</v>
      </c>
      <c r="K4281">
        <v>1.120565</v>
      </c>
      <c r="L4281">
        <v>141.47720000000001</v>
      </c>
      <c r="M4281">
        <v>-0.99995630000000002</v>
      </c>
      <c r="N4281">
        <v>-9.2571489999999992E-3</v>
      </c>
      <c r="O4281">
        <v>1.37397E-3</v>
      </c>
      <c r="P4281">
        <v>-0.99619849999999999</v>
      </c>
      <c r="Q4281">
        <v>-8.679415E-2</v>
      </c>
      <c r="R4281">
        <v>-7.4515110000000001E-3</v>
      </c>
      <c r="S4281">
        <v>-2.9991759999999998</v>
      </c>
      <c r="T4281">
        <v>-0.14424919999999999</v>
      </c>
      <c r="U4281">
        <v>4.995728E-2</v>
      </c>
      <c r="V4281">
        <v>-8.7789300000000008E-3</v>
      </c>
      <c r="W4281">
        <v>-7.7573279999999994E-2</v>
      </c>
      <c r="X4281">
        <v>0.99694799999999995</v>
      </c>
      <c r="Y4281">
        <v>1.5260839999999999E-2</v>
      </c>
      <c r="Z4281">
        <v>3.8412100000000002E-4</v>
      </c>
      <c r="AA4281">
        <v>0.99988350000000004</v>
      </c>
      <c r="AB4281">
        <v>28</v>
      </c>
      <c r="AC4281">
        <v>-23.026799999999898</v>
      </c>
      <c r="AD4281">
        <v>-1.1205741555119999</v>
      </c>
      <c r="AE4281">
        <v>0.38790000000000102</v>
      </c>
      <c r="AF4281">
        <v>0.35541869332103398</v>
      </c>
      <c r="AG4281">
        <v>-1.1205741555119999</v>
      </c>
      <c r="AH4281">
        <v>22.972922752368302</v>
      </c>
      <c r="AI4281">
        <v>92.792228853751396</v>
      </c>
      <c r="AJ4281">
        <v>89.1136362238949</v>
      </c>
      <c r="AK4281">
        <v>23.0029821690981</v>
      </c>
      <c r="AL4281">
        <v>94.449091335011801</v>
      </c>
      <c r="AM4281">
        <v>90.504522439600606</v>
      </c>
      <c r="AN4281">
        <v>0.999999999042951</v>
      </c>
    </row>
    <row r="4282" spans="1:40" x14ac:dyDescent="0.25">
      <c r="A4282" t="str">
        <f>"20190303154559527"</f>
        <v>20190303154559527</v>
      </c>
      <c r="B4282" t="str">
        <f>"1551599159514797"</f>
        <v>1551599159514797</v>
      </c>
      <c r="C4282" t="s">
        <v>40</v>
      </c>
      <c r="D4282">
        <v>5.1763849999999998</v>
      </c>
      <c r="E4282">
        <v>0.50821530000000004</v>
      </c>
      <c r="F4282" t="s">
        <v>61</v>
      </c>
      <c r="G4282">
        <v>-303.35140000000001</v>
      </c>
      <c r="H4282" s="1">
        <v>-9.1976199999999995E-6</v>
      </c>
      <c r="I4282">
        <v>141.83449999999999</v>
      </c>
      <c r="J4282">
        <v>-280.24200000000002</v>
      </c>
      <c r="K4282">
        <v>1.120552</v>
      </c>
      <c r="L4282">
        <v>141.47720000000001</v>
      </c>
      <c r="M4282">
        <v>-0.99995909999999999</v>
      </c>
      <c r="N4282">
        <v>-8.9937160000000006E-3</v>
      </c>
      <c r="O4282">
        <v>1.058308E-3</v>
      </c>
      <c r="P4282">
        <v>-0.99623159999999999</v>
      </c>
      <c r="Q4282">
        <v>-8.6372539999999998E-2</v>
      </c>
      <c r="R4282">
        <v>-7.9030209999999997E-3</v>
      </c>
      <c r="S4282">
        <v>-2.9992679999999998</v>
      </c>
      <c r="T4282">
        <v>-0.14373050000000001</v>
      </c>
      <c r="U4282">
        <v>4.58374E-2</v>
      </c>
      <c r="V4282">
        <v>-8.9154750000000008E-3</v>
      </c>
      <c r="W4282">
        <v>-7.7414129999999998E-2</v>
      </c>
      <c r="X4282">
        <v>0.99695909999999999</v>
      </c>
      <c r="Y4282">
        <v>1.420429E-2</v>
      </c>
      <c r="Z4282">
        <v>3.6288560000000001E-4</v>
      </c>
      <c r="AA4282">
        <v>0.99989899999999998</v>
      </c>
      <c r="AB4282">
        <v>28</v>
      </c>
      <c r="AC4282">
        <v>-23.109399999999901</v>
      </c>
      <c r="AD4282">
        <v>-1.1205611976200001</v>
      </c>
      <c r="AE4282">
        <v>0.35729999999998002</v>
      </c>
      <c r="AF4282">
        <v>0.33206138659569601</v>
      </c>
      <c r="AG4282">
        <v>-1.1205611976200001</v>
      </c>
      <c r="AH4282">
        <v>23.055569376908</v>
      </c>
      <c r="AI4282">
        <v>92.782247592690894</v>
      </c>
      <c r="AJ4282">
        <v>89.174845769296098</v>
      </c>
      <c r="AK4282">
        <v>23.085172762089002</v>
      </c>
      <c r="AL4282">
        <v>94.439945469854393</v>
      </c>
      <c r="AM4282">
        <v>90.512363519775207</v>
      </c>
      <c r="AN4282">
        <v>0.999999940145469</v>
      </c>
    </row>
    <row r="4283" spans="1:40" x14ac:dyDescent="0.25">
      <c r="A4283" t="str">
        <f>"20190303154559549"</f>
        <v>20190303154559549</v>
      </c>
      <c r="B4283" t="str">
        <f>"1551599159545053"</f>
        <v>1551599159545053</v>
      </c>
      <c r="C4283" t="s">
        <v>40</v>
      </c>
      <c r="D4283">
        <v>5.2193009999999997</v>
      </c>
      <c r="E4283">
        <v>0.50764379999999998</v>
      </c>
      <c r="F4283" t="s">
        <v>61</v>
      </c>
      <c r="G4283">
        <v>-303.99110000000002</v>
      </c>
      <c r="H4283" s="1">
        <v>-9.2814090000000002E-6</v>
      </c>
      <c r="I4283">
        <v>141.8074</v>
      </c>
      <c r="J4283">
        <v>-280.52109999999999</v>
      </c>
      <c r="K4283">
        <v>1.1205430000000001</v>
      </c>
      <c r="L4283">
        <v>141.47720000000001</v>
      </c>
      <c r="M4283">
        <v>-0.9999614</v>
      </c>
      <c r="N4283">
        <v>-8.7581109999999903E-3</v>
      </c>
      <c r="O4283">
        <v>7.3688080000000003E-4</v>
      </c>
      <c r="P4283">
        <v>-0.99623759999999995</v>
      </c>
      <c r="Q4283">
        <v>-8.6310049999999999E-2</v>
      </c>
      <c r="R4283">
        <v>-7.8279209999999998E-3</v>
      </c>
      <c r="S4283">
        <v>-2.9994200000000002</v>
      </c>
      <c r="T4283">
        <v>-0.1415226</v>
      </c>
      <c r="U4283">
        <v>4.170227E-2</v>
      </c>
      <c r="V4283">
        <v>-8.5198369999999902E-3</v>
      </c>
      <c r="W4283">
        <v>-7.7586290000000002E-2</v>
      </c>
      <c r="X4283">
        <v>0.99694930000000004</v>
      </c>
      <c r="Y4283">
        <v>1.3148460000000001E-2</v>
      </c>
      <c r="Z4283">
        <v>3.393294E-4</v>
      </c>
      <c r="AA4283">
        <v>0.99991350000000001</v>
      </c>
      <c r="AB4283">
        <v>28</v>
      </c>
      <c r="AC4283">
        <v>-23.47</v>
      </c>
      <c r="AD4283">
        <v>-1.1205522814090001</v>
      </c>
      <c r="AE4283">
        <v>0.33019999999999</v>
      </c>
      <c r="AF4283">
        <v>0.31219315410863302</v>
      </c>
      <c r="AG4283">
        <v>-1.1205522814090001</v>
      </c>
      <c r="AH4283">
        <v>23.416868953334099</v>
      </c>
      <c r="AI4283">
        <v>92.739404950180401</v>
      </c>
      <c r="AJ4283">
        <v>89.236179247682202</v>
      </c>
      <c r="AK4283">
        <v>23.445742759794701</v>
      </c>
      <c r="AL4283">
        <v>94.449838719544999</v>
      </c>
      <c r="AM4283">
        <v>90.489632541124095</v>
      </c>
      <c r="AN4283">
        <v>1.0000000633944699</v>
      </c>
    </row>
    <row r="4284" spans="1:40" x14ac:dyDescent="0.25">
      <c r="A4284" t="str">
        <f>"20190303154559574"</f>
        <v>20190303154559574</v>
      </c>
      <c r="B4284" t="str">
        <f>"1551599159565549"</f>
        <v>1551599159565549</v>
      </c>
      <c r="C4284" t="s">
        <v>40</v>
      </c>
      <c r="D4284">
        <v>5.2079370000000003</v>
      </c>
      <c r="E4284">
        <v>0.50728609999999996</v>
      </c>
      <c r="F4284" t="s">
        <v>61</v>
      </c>
      <c r="G4284">
        <v>-304.38400000000001</v>
      </c>
      <c r="H4284" s="1">
        <v>-9.3279019999999997E-6</v>
      </c>
      <c r="I4284">
        <v>141.774</v>
      </c>
      <c r="J4284">
        <v>-280.82709999999997</v>
      </c>
      <c r="K4284">
        <v>1.120541</v>
      </c>
      <c r="L4284">
        <v>141.477</v>
      </c>
      <c r="M4284">
        <v>-0.99996370000000001</v>
      </c>
      <c r="N4284">
        <v>-8.5340889999999999E-3</v>
      </c>
      <c r="O4284">
        <v>3.847945E-4</v>
      </c>
      <c r="P4284">
        <v>-0.99627330000000003</v>
      </c>
      <c r="Q4284">
        <v>-8.5881479999999996E-2</v>
      </c>
      <c r="R4284">
        <v>-8.0262839999999998E-3</v>
      </c>
      <c r="S4284">
        <v>-2.99939</v>
      </c>
      <c r="T4284">
        <v>-0.1408451</v>
      </c>
      <c r="U4284">
        <v>3.7307739999999999E-2</v>
      </c>
      <c r="V4284">
        <v>-8.3668990000000006E-3</v>
      </c>
      <c r="W4284">
        <v>-7.7380690000000002E-2</v>
      </c>
      <c r="X4284">
        <v>0.99696649999999998</v>
      </c>
      <c r="Y4284">
        <v>1.2037310000000001E-2</v>
      </c>
      <c r="Z4284">
        <v>3.190809E-4</v>
      </c>
      <c r="AA4284">
        <v>0.99992749999999997</v>
      </c>
      <c r="AB4284">
        <v>28</v>
      </c>
      <c r="AC4284">
        <v>-23.556899999999999</v>
      </c>
      <c r="AD4284">
        <v>-1.1205503279019999</v>
      </c>
      <c r="AE4284">
        <v>0.29699999999999699</v>
      </c>
      <c r="AF4284">
        <v>0.28728514805314598</v>
      </c>
      <c r="AG4284">
        <v>-1.1205503279019999</v>
      </c>
      <c r="AH4284">
        <v>23.503838923526999</v>
      </c>
      <c r="AI4284">
        <v>92.729317696506101</v>
      </c>
      <c r="AJ4284">
        <v>89.299714105790201</v>
      </c>
      <c r="AK4284">
        <v>23.532288667631899</v>
      </c>
      <c r="AL4284">
        <v>94.438023516350398</v>
      </c>
      <c r="AM4284">
        <v>90.480835360155297</v>
      </c>
      <c r="AN4284">
        <v>0.99999998915300103</v>
      </c>
    </row>
    <row r="4285" spans="1:40" x14ac:dyDescent="0.25">
      <c r="A4285" t="str">
        <f>"20190303154559593"</f>
        <v>20190303154559593</v>
      </c>
      <c r="B4285" t="str">
        <f>"1551599159585069"</f>
        <v>1551599159585069</v>
      </c>
      <c r="C4285" t="s">
        <v>40</v>
      </c>
      <c r="D4285">
        <v>5.2108530000000002</v>
      </c>
      <c r="E4285">
        <v>0.50697269999999905</v>
      </c>
      <c r="F4285" t="s">
        <v>61</v>
      </c>
      <c r="G4285">
        <v>-305.03809999999999</v>
      </c>
      <c r="H4285" s="1">
        <v>-9.4147259999999993E-6</v>
      </c>
      <c r="I4285">
        <v>141.7501</v>
      </c>
      <c r="J4285">
        <v>-281.07769999999999</v>
      </c>
      <c r="K4285">
        <v>1.1205369999999999</v>
      </c>
      <c r="L4285">
        <v>141.4768</v>
      </c>
      <c r="M4285">
        <v>-0.99996510000000005</v>
      </c>
      <c r="N4285">
        <v>-8.3774869999999994E-3</v>
      </c>
      <c r="O4285" s="1">
        <v>9.676191E-5</v>
      </c>
      <c r="P4285">
        <v>-0.99631700000000001</v>
      </c>
      <c r="Q4285">
        <v>-8.5310209999999997E-2</v>
      </c>
      <c r="R4285">
        <v>-8.657405E-3</v>
      </c>
      <c r="S4285">
        <v>-2.9995419999999999</v>
      </c>
      <c r="T4285">
        <v>-0.138826799999999</v>
      </c>
      <c r="U4285">
        <v>3.3828740000000003E-2</v>
      </c>
      <c r="V4285">
        <v>-8.7113599999999996E-3</v>
      </c>
      <c r="W4285">
        <v>-7.6965409999999998E-2</v>
      </c>
      <c r="X4285">
        <v>0.99699570000000004</v>
      </c>
      <c r="Y4285">
        <v>1.116644E-2</v>
      </c>
      <c r="Z4285">
        <v>3.0139959999999998E-4</v>
      </c>
      <c r="AA4285">
        <v>0.99993759999999998</v>
      </c>
      <c r="AB4285">
        <v>28</v>
      </c>
      <c r="AC4285">
        <v>-23.9604</v>
      </c>
      <c r="AD4285">
        <v>-1.120546414726</v>
      </c>
      <c r="AE4285">
        <v>0.27330000000000598</v>
      </c>
      <c r="AF4285">
        <v>0.27039016635077501</v>
      </c>
      <c r="AG4285">
        <v>-1.120546414726</v>
      </c>
      <c r="AH4285">
        <v>23.908143282802001</v>
      </c>
      <c r="AI4285">
        <v>92.683250384522395</v>
      </c>
      <c r="AJ4285">
        <v>89.352038562481397</v>
      </c>
      <c r="AK4285">
        <v>23.935915489920198</v>
      </c>
      <c r="AL4285">
        <v>94.414158531108697</v>
      </c>
      <c r="AM4285">
        <v>90.500615459408493</v>
      </c>
      <c r="AN4285">
        <v>0.99999999397400297</v>
      </c>
    </row>
    <row r="4286" spans="1:40" x14ac:dyDescent="0.25">
      <c r="A4286" t="str">
        <f>"20190303154559638"</f>
        <v>20190303154559638</v>
      </c>
      <c r="B4286" t="str">
        <f>"1551599159635822"</f>
        <v>1551599159635822</v>
      </c>
      <c r="C4286" t="s">
        <v>40</v>
      </c>
      <c r="D4286">
        <v>5.2081470000000003</v>
      </c>
      <c r="E4286">
        <v>0.50630679999999995</v>
      </c>
      <c r="F4286" t="s">
        <v>61</v>
      </c>
      <c r="G4286">
        <v>-305.72579999999999</v>
      </c>
      <c r="H4286" s="1">
        <v>-9.5036569999999992E-6</v>
      </c>
      <c r="I4286">
        <v>141.71700000000001</v>
      </c>
      <c r="J4286">
        <v>-281.64670000000001</v>
      </c>
      <c r="K4286">
        <v>1.1205320000000001</v>
      </c>
      <c r="L4286">
        <v>141.4761</v>
      </c>
      <c r="M4286">
        <v>-0.99996700000000005</v>
      </c>
      <c r="N4286">
        <v>-8.1113480000000009E-3</v>
      </c>
      <c r="O4286">
        <v>-5.5678900000000003E-4</v>
      </c>
      <c r="P4286">
        <v>-0.99633400000000005</v>
      </c>
      <c r="Q4286">
        <v>-8.5003389999999998E-2</v>
      </c>
      <c r="R4286">
        <v>-9.6424409999999999E-3</v>
      </c>
      <c r="S4286">
        <v>-2.9996339999999999</v>
      </c>
      <c r="T4286">
        <v>-0.1363685</v>
      </c>
      <c r="U4286">
        <v>2.9235839999999999E-2</v>
      </c>
      <c r="V4286">
        <v>-9.0441740000000003E-3</v>
      </c>
      <c r="W4286">
        <v>-7.6924039999999999E-2</v>
      </c>
      <c r="X4286">
        <v>0.99699590000000005</v>
      </c>
      <c r="Y4286">
        <v>1.028987E-2</v>
      </c>
      <c r="Z4286">
        <v>2.9631539999999999E-4</v>
      </c>
      <c r="AA4286">
        <v>0.99994700000000003</v>
      </c>
      <c r="AB4286">
        <v>28</v>
      </c>
      <c r="AC4286">
        <v>-24.079099999999901</v>
      </c>
      <c r="AD4286">
        <v>-1.1205415036569999</v>
      </c>
      <c r="AE4286">
        <v>0.24090000000001</v>
      </c>
      <c r="AF4286">
        <v>0.253757901524572</v>
      </c>
      <c r="AG4286">
        <v>-1.1205415036569999</v>
      </c>
      <c r="AH4286">
        <v>24.026934950947702</v>
      </c>
      <c r="AI4286">
        <v>92.670013485470804</v>
      </c>
      <c r="AJ4286">
        <v>89.394899255477</v>
      </c>
      <c r="AK4286">
        <v>24.054388569886299</v>
      </c>
      <c r="AL4286">
        <v>94.411781285534403</v>
      </c>
      <c r="AM4286">
        <v>90.519740137264805</v>
      </c>
      <c r="AN4286">
        <v>0.99999996481503595</v>
      </c>
    </row>
    <row r="4287" spans="1:40" x14ac:dyDescent="0.25">
      <c r="A4287" t="str">
        <f>"20190303154559660"</f>
        <v>20190303154559660</v>
      </c>
      <c r="B4287" t="str">
        <f>"1551599159655341"</f>
        <v>1551599159655341</v>
      </c>
      <c r="C4287" t="s">
        <v>40</v>
      </c>
      <c r="D4287">
        <v>5.2167810000000001</v>
      </c>
      <c r="E4287">
        <v>0.50608980000000003</v>
      </c>
      <c r="F4287" t="s">
        <v>61</v>
      </c>
      <c r="G4287">
        <v>-306.58760000000001</v>
      </c>
      <c r="H4287" s="1">
        <v>-9.6078460000000006E-6</v>
      </c>
      <c r="I4287">
        <v>141.65129999999999</v>
      </c>
      <c r="J4287">
        <v>-281.93079999999998</v>
      </c>
      <c r="K4287">
        <v>1.1205270000000001</v>
      </c>
      <c r="L4287">
        <v>141.47559999999999</v>
      </c>
      <c r="M4287">
        <v>-0.99996759999999996</v>
      </c>
      <c r="N4287">
        <v>-8.0133719999999995E-3</v>
      </c>
      <c r="O4287">
        <v>-8.8336809999999997E-4</v>
      </c>
      <c r="P4287">
        <v>-0.99632419999999999</v>
      </c>
      <c r="Q4287">
        <v>-8.5015709999999994E-2</v>
      </c>
      <c r="R4287">
        <v>-1.050573E-2</v>
      </c>
      <c r="S4287">
        <v>-2.9997560000000001</v>
      </c>
      <c r="T4287">
        <v>-0.13477249999999999</v>
      </c>
      <c r="U4287">
        <v>2.107239E-2</v>
      </c>
      <c r="V4287">
        <v>-9.5822489999999993E-3</v>
      </c>
      <c r="W4287">
        <v>-7.7034409999999998E-2</v>
      </c>
      <c r="X4287">
        <v>0.99698240000000005</v>
      </c>
      <c r="Y4287">
        <v>7.8979080000000004E-3</v>
      </c>
      <c r="Z4287">
        <v>2.4158200000000001E-4</v>
      </c>
      <c r="AA4287">
        <v>0.99996879999999999</v>
      </c>
      <c r="AB4287">
        <v>28</v>
      </c>
      <c r="AC4287">
        <v>-24.6568</v>
      </c>
      <c r="AD4287">
        <v>-1.120536607846</v>
      </c>
      <c r="AE4287">
        <v>0.17570000000000599</v>
      </c>
      <c r="AF4287">
        <v>0.197074665789023</v>
      </c>
      <c r="AG4287">
        <v>-1.120536607846</v>
      </c>
      <c r="AH4287">
        <v>24.6058198699629</v>
      </c>
      <c r="AI4287">
        <v>92.607335879964197</v>
      </c>
      <c r="AJ4287">
        <v>89.541112418822195</v>
      </c>
      <c r="AK4287">
        <v>24.632109373467799</v>
      </c>
      <c r="AL4287">
        <v>94.418123628518998</v>
      </c>
      <c r="AM4287">
        <v>90.550667214739093</v>
      </c>
      <c r="AN4287">
        <v>1.0000000128648501</v>
      </c>
    </row>
    <row r="4288" spans="1:40" x14ac:dyDescent="0.25">
      <c r="A4288" t="str">
        <f>"20190303154559684"</f>
        <v>20190303154559684</v>
      </c>
      <c r="B4288" t="str">
        <f>"1551599159675416"</f>
        <v>1551599159675416</v>
      </c>
      <c r="C4288" t="s">
        <v>40</v>
      </c>
      <c r="D4288">
        <v>5.2061390000000003</v>
      </c>
      <c r="E4288">
        <v>0.50587669999999996</v>
      </c>
      <c r="F4288" t="s">
        <v>61</v>
      </c>
      <c r="G4288">
        <v>-306.90750000000003</v>
      </c>
      <c r="H4288" s="1">
        <v>-9.6430319999999999E-6</v>
      </c>
      <c r="I4288">
        <v>141.61510000000001</v>
      </c>
      <c r="J4288">
        <v>-282.22039999999998</v>
      </c>
      <c r="K4288">
        <v>1.1205229999999999</v>
      </c>
      <c r="L4288">
        <v>141.47499999999999</v>
      </c>
      <c r="M4288">
        <v>-0.99996779999999996</v>
      </c>
      <c r="N4288">
        <v>-7.9304579999999996E-3</v>
      </c>
      <c r="O4288">
        <v>-1.215502E-3</v>
      </c>
      <c r="P4288">
        <v>-0.99629869999999998</v>
      </c>
      <c r="Q4288">
        <v>-8.5253949999999995E-2</v>
      </c>
      <c r="R4288">
        <v>-1.0986920000000001E-2</v>
      </c>
      <c r="S4288">
        <v>-2.9997560000000001</v>
      </c>
      <c r="T4288">
        <v>-0.13457859999999999</v>
      </c>
      <c r="U4288">
        <v>1.6754149999999999E-2</v>
      </c>
      <c r="V4288">
        <v>-9.7317559999999994E-3</v>
      </c>
      <c r="W4288">
        <v>-7.7355640000000003E-2</v>
      </c>
      <c r="X4288">
        <v>0.99695610000000001</v>
      </c>
      <c r="Y4288">
        <v>6.7917330000000003E-3</v>
      </c>
      <c r="Z4288">
        <v>2.240869E-4</v>
      </c>
      <c r="AA4288">
        <v>0.99997689999999995</v>
      </c>
      <c r="AB4288">
        <v>29</v>
      </c>
      <c r="AC4288">
        <v>-24.687100000000001</v>
      </c>
      <c r="AD4288">
        <v>-1.120532643032</v>
      </c>
      <c r="AE4288">
        <v>0.14010000000001799</v>
      </c>
      <c r="AF4288">
        <v>0.169758335567844</v>
      </c>
      <c r="AG4288">
        <v>-1.120532643032</v>
      </c>
      <c r="AH4288">
        <v>24.636157746693499</v>
      </c>
      <c r="AI4288">
        <v>92.604142002650704</v>
      </c>
      <c r="AJ4288">
        <v>89.605202956948006</v>
      </c>
      <c r="AK4288">
        <v>24.662211575942699</v>
      </c>
      <c r="AL4288">
        <v>94.436583743939906</v>
      </c>
      <c r="AM4288">
        <v>90.559273208604495</v>
      </c>
      <c r="AN4288">
        <v>1.00000003372093</v>
      </c>
    </row>
    <row r="4289" spans="1:40" x14ac:dyDescent="0.25">
      <c r="A4289" t="str">
        <f>"20190303154559705"</f>
        <v>20190303154559705</v>
      </c>
      <c r="B4289" t="str">
        <f>"1551599159694936"</f>
        <v>1551599159694936</v>
      </c>
      <c r="C4289" t="s">
        <v>40</v>
      </c>
      <c r="D4289">
        <v>5.2280680000000004</v>
      </c>
      <c r="E4289">
        <v>0.50573250000000003</v>
      </c>
      <c r="F4289" t="s">
        <v>61</v>
      </c>
      <c r="G4289">
        <v>-307.06670000000003</v>
      </c>
      <c r="H4289" s="1">
        <v>-9.6576959999999998E-6</v>
      </c>
      <c r="I4289">
        <v>141.58760000000001</v>
      </c>
      <c r="J4289">
        <v>-282.5034</v>
      </c>
      <c r="K4289">
        <v>1.120519</v>
      </c>
      <c r="L4289">
        <v>141.4743</v>
      </c>
      <c r="M4289">
        <v>-0.99996790000000002</v>
      </c>
      <c r="N4289">
        <v>-7.8635570000000002E-3</v>
      </c>
      <c r="O4289">
        <v>-1.540313E-3</v>
      </c>
      <c r="P4289">
        <v>-0.9962645</v>
      </c>
      <c r="Q4289">
        <v>-8.5641819999999994E-2</v>
      </c>
      <c r="R4289">
        <v>-1.108109E-2</v>
      </c>
      <c r="S4289">
        <v>-2.9997250000000002</v>
      </c>
      <c r="T4289">
        <v>-0.1352835</v>
      </c>
      <c r="U4289">
        <v>1.3595579999999999E-2</v>
      </c>
      <c r="V4289">
        <v>-9.5018080000000005E-3</v>
      </c>
      <c r="W4289">
        <v>-7.7810329999999997E-2</v>
      </c>
      <c r="X4289">
        <v>0.99692289999999995</v>
      </c>
      <c r="Y4289">
        <v>6.0642609999999996E-3</v>
      </c>
      <c r="Z4289">
        <v>2.1785580000000001E-4</v>
      </c>
      <c r="AA4289">
        <v>0.99998160000000003</v>
      </c>
      <c r="AB4289">
        <v>29</v>
      </c>
      <c r="AC4289">
        <v>-24.563300000000002</v>
      </c>
      <c r="AD4289">
        <v>-1.1205286576960001</v>
      </c>
      <c r="AE4289">
        <v>0.113300000000009</v>
      </c>
      <c r="AF4289">
        <v>0.15082235061354801</v>
      </c>
      <c r="AG4289">
        <v>-1.1205286576960001</v>
      </c>
      <c r="AH4289">
        <v>24.512087716385299</v>
      </c>
      <c r="AI4289">
        <v>92.617308084445597</v>
      </c>
      <c r="AJ4289">
        <v>89.647464744913094</v>
      </c>
      <c r="AK4289">
        <v>24.5381494018993</v>
      </c>
      <c r="AL4289">
        <v>94.462714471503304</v>
      </c>
      <c r="AM4289">
        <v>90.546077346339601</v>
      </c>
      <c r="AN4289">
        <v>1.00000000017719</v>
      </c>
    </row>
    <row r="4290" spans="1:40" x14ac:dyDescent="0.25">
      <c r="A4290" t="str">
        <f>"20190303154559727"</f>
        <v>20190303154559727</v>
      </c>
      <c r="B4290" t="str">
        <f>"1551599159715432"</f>
        <v>1551599159715432</v>
      </c>
      <c r="C4290" t="s">
        <v>40</v>
      </c>
      <c r="D4290">
        <v>5.2182079999999997</v>
      </c>
      <c r="E4290">
        <v>0.50555430000000001</v>
      </c>
      <c r="F4290" t="s">
        <v>61</v>
      </c>
      <c r="G4290">
        <v>-307.18720000000002</v>
      </c>
      <c r="H4290" s="1">
        <v>-9.6710010000000005E-6</v>
      </c>
      <c r="I4290">
        <v>141.57409999999999</v>
      </c>
      <c r="J4290">
        <v>-282.7826</v>
      </c>
      <c r="K4290">
        <v>1.1205069999999999</v>
      </c>
      <c r="L4290">
        <v>141.4735</v>
      </c>
      <c r="M4290">
        <v>-0.99996790000000002</v>
      </c>
      <c r="N4290">
        <v>-7.8083400000000004E-3</v>
      </c>
      <c r="O4290">
        <v>-1.860525E-3</v>
      </c>
      <c r="P4290">
        <v>-0.99622569999999999</v>
      </c>
      <c r="Q4290">
        <v>-8.611452E-2</v>
      </c>
      <c r="R4290">
        <v>-1.090756E-2</v>
      </c>
      <c r="S4290">
        <v>-2.9996640000000001</v>
      </c>
      <c r="T4290">
        <v>-0.13617089999999901</v>
      </c>
      <c r="U4290">
        <v>1.2130739999999999E-2</v>
      </c>
      <c r="V4290">
        <v>-9.0089490000000005E-3</v>
      </c>
      <c r="W4290">
        <v>-7.8338089999999999E-2</v>
      </c>
      <c r="X4290">
        <v>0.9968861</v>
      </c>
      <c r="Y4290">
        <v>5.8961259999999998E-3</v>
      </c>
      <c r="Z4290">
        <v>2.2668659999999999E-4</v>
      </c>
      <c r="AA4290">
        <v>0.99998260000000005</v>
      </c>
      <c r="AB4290">
        <v>29</v>
      </c>
      <c r="AC4290">
        <v>-24.404599999999999</v>
      </c>
      <c r="AD4290">
        <v>-1.1205166710009999</v>
      </c>
      <c r="AE4290">
        <v>0.10059999999998499</v>
      </c>
      <c r="AF4290">
        <v>0.145699428059161</v>
      </c>
      <c r="AG4290">
        <v>-1.1205166710009999</v>
      </c>
      <c r="AH4290">
        <v>24.353032586152299</v>
      </c>
      <c r="AI4290">
        <v>92.634352883351895</v>
      </c>
      <c r="AJ4290">
        <v>89.657214653834401</v>
      </c>
      <c r="AK4290">
        <v>24.379232598166901</v>
      </c>
      <c r="AL4290">
        <v>94.493045670990298</v>
      </c>
      <c r="AM4290">
        <v>90.517772997751393</v>
      </c>
      <c r="AN4290">
        <v>0.99999995694007004</v>
      </c>
    </row>
    <row r="4291" spans="1:40" x14ac:dyDescent="0.25">
      <c r="A4291" t="str">
        <f>"20190303154559749"</f>
        <v>20190303154559749</v>
      </c>
      <c r="B4291" t="str">
        <f>"1551599159745688"</f>
        <v>1551599159745688</v>
      </c>
      <c r="C4291" t="s">
        <v>40</v>
      </c>
      <c r="D4291">
        <v>5.2109709999999998</v>
      </c>
      <c r="E4291">
        <v>0.50533260000000002</v>
      </c>
      <c r="F4291" t="s">
        <v>61</v>
      </c>
      <c r="G4291">
        <v>-307.19589999999999</v>
      </c>
      <c r="H4291" s="1">
        <v>-9.6694799999999998E-6</v>
      </c>
      <c r="I4291">
        <v>141.56479999999999</v>
      </c>
      <c r="J4291">
        <v>-283.07130000000001</v>
      </c>
      <c r="K4291">
        <v>1.1204970000000001</v>
      </c>
      <c r="L4291">
        <v>141.4726</v>
      </c>
      <c r="M4291">
        <v>-0.99996770000000001</v>
      </c>
      <c r="N4291">
        <v>-7.7607450000000003E-3</v>
      </c>
      <c r="O4291">
        <v>-2.191737E-3</v>
      </c>
      <c r="P4291">
        <v>-0.99625220000000003</v>
      </c>
      <c r="Q4291">
        <v>-8.5888989999999998E-2</v>
      </c>
      <c r="R4291">
        <v>-1.026411E-2</v>
      </c>
      <c r="S4291">
        <v>-2.9995729999999998</v>
      </c>
      <c r="T4291">
        <v>-0.13767360000000001</v>
      </c>
      <c r="U4291">
        <v>1.121521E-2</v>
      </c>
      <c r="V4291">
        <v>-8.0350619999999904E-3</v>
      </c>
      <c r="W4291">
        <v>-7.8159259999999994E-2</v>
      </c>
      <c r="X4291">
        <v>0.99690849999999998</v>
      </c>
      <c r="Y4291">
        <v>5.9218059999999999E-3</v>
      </c>
      <c r="Z4291">
        <v>2.423604E-4</v>
      </c>
      <c r="AA4291">
        <v>0.99998240000000005</v>
      </c>
      <c r="AB4291">
        <v>29</v>
      </c>
      <c r="AC4291">
        <v>-24.124599999999901</v>
      </c>
      <c r="AD4291">
        <v>-1.1205066694800001</v>
      </c>
      <c r="AE4291">
        <v>9.2199999999991095E-2</v>
      </c>
      <c r="AF4291">
        <v>0.14476384474793</v>
      </c>
      <c r="AG4291">
        <v>-1.1205066694800001</v>
      </c>
      <c r="AH4291">
        <v>24.072409544365399</v>
      </c>
      <c r="AI4291">
        <v>92.664994468678799</v>
      </c>
      <c r="AJ4291">
        <v>89.655445487073095</v>
      </c>
      <c r="AK4291">
        <v>24.098908544553399</v>
      </c>
      <c r="AL4291">
        <v>94.482767783604402</v>
      </c>
      <c r="AM4291">
        <v>90.461792804411402</v>
      </c>
      <c r="AN4291">
        <v>0.99999999475866996</v>
      </c>
    </row>
    <row r="4292" spans="1:40" x14ac:dyDescent="0.25">
      <c r="A4292" t="str">
        <f>"20190303154559774"</f>
        <v>20190303154559774</v>
      </c>
      <c r="B4292" t="str">
        <f>"1551599159764783"</f>
        <v>1551599159764783</v>
      </c>
      <c r="C4292" t="s">
        <v>40</v>
      </c>
      <c r="D4292">
        <v>5.2291639999999999</v>
      </c>
      <c r="E4292">
        <v>0.50523469999999904</v>
      </c>
      <c r="F4292" t="s">
        <v>61</v>
      </c>
      <c r="G4292">
        <v>-307.62009999999998</v>
      </c>
      <c r="H4292" s="1">
        <v>-9.7309500000000004E-6</v>
      </c>
      <c r="I4292">
        <v>141.5667</v>
      </c>
      <c r="J4292">
        <v>-283.3947</v>
      </c>
      <c r="K4292">
        <v>1.1204909999999999</v>
      </c>
      <c r="L4292">
        <v>141.47149999999999</v>
      </c>
      <c r="M4292">
        <v>-0.99996700000000005</v>
      </c>
      <c r="N4292">
        <v>-7.7171640000000003E-3</v>
      </c>
      <c r="O4292">
        <v>-2.5625449999999998E-3</v>
      </c>
      <c r="P4292">
        <v>-0.99626210000000004</v>
      </c>
      <c r="Q4292">
        <v>-8.5806300000000002E-2</v>
      </c>
      <c r="R4292">
        <v>-9.9729129999999999E-3</v>
      </c>
      <c r="S4292">
        <v>-2.9995729999999998</v>
      </c>
      <c r="T4292">
        <v>-0.13691249999999999</v>
      </c>
      <c r="U4292">
        <v>1.1489869999999999E-2</v>
      </c>
      <c r="V4292">
        <v>-7.3738519999999898E-3</v>
      </c>
      <c r="W4292">
        <v>-7.8119569999999999E-2</v>
      </c>
      <c r="X4292">
        <v>0.99691669999999999</v>
      </c>
      <c r="Y4292">
        <v>6.3834499999999997E-3</v>
      </c>
      <c r="Z4292">
        <v>2.6738949999999999E-4</v>
      </c>
      <c r="AA4292">
        <v>0.99997959999999997</v>
      </c>
      <c r="AB4292">
        <v>29</v>
      </c>
      <c r="AC4292">
        <v>-24.225399999999901</v>
      </c>
      <c r="AD4292">
        <v>-1.1205007309499999</v>
      </c>
      <c r="AE4292">
        <v>9.5200000000005502E-2</v>
      </c>
      <c r="AF4292">
        <v>0.15694445552434499</v>
      </c>
      <c r="AG4292">
        <v>-1.1205007309499999</v>
      </c>
      <c r="AH4292">
        <v>24.173361947115499</v>
      </c>
      <c r="AI4292">
        <v>92.653858928359995</v>
      </c>
      <c r="AJ4292">
        <v>89.628014978002895</v>
      </c>
      <c r="AK4292">
        <v>24.1998260588053</v>
      </c>
      <c r="AL4292">
        <v>94.480486833664798</v>
      </c>
      <c r="AM4292">
        <v>90.423789564071996</v>
      </c>
      <c r="AN4292">
        <v>0.99999997382459604</v>
      </c>
    </row>
    <row r="4293" spans="1:40" x14ac:dyDescent="0.25">
      <c r="A4293" t="str">
        <f>"20190303154559796"</f>
        <v>20190303154559796</v>
      </c>
      <c r="B4293" t="str">
        <f>"1551599159785279"</f>
        <v>1551599159785279</v>
      </c>
      <c r="C4293" t="s">
        <v>40</v>
      </c>
      <c r="D4293">
        <v>5.1993939999999998</v>
      </c>
      <c r="E4293">
        <v>0.50516070000000002</v>
      </c>
      <c r="F4293" t="s">
        <v>61</v>
      </c>
      <c r="G4293">
        <v>-308.0385</v>
      </c>
      <c r="H4293" s="1">
        <v>-9.7909199999999994E-6</v>
      </c>
      <c r="I4293">
        <v>141.56630000000001</v>
      </c>
      <c r="J4293">
        <v>-283.66820000000001</v>
      </c>
      <c r="K4293">
        <v>1.120487</v>
      </c>
      <c r="L4293">
        <v>141.47049999999999</v>
      </c>
      <c r="M4293">
        <v>-0.99996629999999997</v>
      </c>
      <c r="N4293">
        <v>-7.6872260000000001E-3</v>
      </c>
      <c r="O4293">
        <v>-2.8759499999999999E-3</v>
      </c>
      <c r="P4293">
        <v>-0.99628260000000002</v>
      </c>
      <c r="Q4293">
        <v>-8.5563910000000007E-2</v>
      </c>
      <c r="R4293">
        <v>-9.9985209999999998E-3</v>
      </c>
      <c r="S4293">
        <v>-2.9996640000000001</v>
      </c>
      <c r="T4293">
        <v>-0.1363885</v>
      </c>
      <c r="U4293">
        <v>1.153564E-2</v>
      </c>
      <c r="V4293">
        <v>-7.0873230000000004E-3</v>
      </c>
      <c r="W4293">
        <v>-7.7906729999999993E-2</v>
      </c>
      <c r="X4293">
        <v>0.99693549999999997</v>
      </c>
      <c r="Y4293">
        <v>6.7114560000000002E-3</v>
      </c>
      <c r="Z4293">
        <v>2.8690760000000002E-4</v>
      </c>
      <c r="AA4293">
        <v>0.99997740000000002</v>
      </c>
      <c r="AB4293">
        <v>29</v>
      </c>
      <c r="AC4293">
        <v>-24.370299999999901</v>
      </c>
      <c r="AD4293">
        <v>-1.1204967909200001</v>
      </c>
      <c r="AE4293">
        <v>9.5800000000025406E-2</v>
      </c>
      <c r="AF4293">
        <v>0.16553949957139699</v>
      </c>
      <c r="AG4293">
        <v>-1.1204967909200001</v>
      </c>
      <c r="AH4293">
        <v>24.318515788262701</v>
      </c>
      <c r="AI4293">
        <v>92.638026082446601</v>
      </c>
      <c r="AJ4293">
        <v>89.609985730352705</v>
      </c>
      <c r="AK4293">
        <v>24.344878856308998</v>
      </c>
      <c r="AL4293">
        <v>94.468254424127807</v>
      </c>
      <c r="AM4293">
        <v>90.407315072281506</v>
      </c>
      <c r="AN4293">
        <v>1.0000000399434199</v>
      </c>
    </row>
    <row r="4294" spans="1:40" x14ac:dyDescent="0.25">
      <c r="A4294" t="str">
        <f>"20190303154559820"</f>
        <v>20190303154559820</v>
      </c>
      <c r="B4294" t="str">
        <f>"1551599159815536"</f>
        <v>1551599159815536</v>
      </c>
      <c r="C4294" t="s">
        <v>40</v>
      </c>
      <c r="D4294">
        <v>5.1642049999999999</v>
      </c>
      <c r="E4294">
        <v>0.50490179999999996</v>
      </c>
      <c r="F4294" t="s">
        <v>61</v>
      </c>
      <c r="G4294">
        <v>-308.54649999999998</v>
      </c>
      <c r="H4294" s="1">
        <v>-9.8618450000000008E-6</v>
      </c>
      <c r="I4294">
        <v>141.55950000000001</v>
      </c>
      <c r="J4294">
        <v>-283.98559999999998</v>
      </c>
      <c r="K4294">
        <v>1.1204799999999999</v>
      </c>
      <c r="L4294">
        <v>141.4692</v>
      </c>
      <c r="M4294">
        <v>-0.99996549999999995</v>
      </c>
      <c r="N4294">
        <v>-7.6625900000000004E-3</v>
      </c>
      <c r="O4294">
        <v>-3.2392100000000002E-3</v>
      </c>
      <c r="P4294">
        <v>-0.99630589999999997</v>
      </c>
      <c r="Q4294">
        <v>-8.5233030000000001E-2</v>
      </c>
      <c r="R4294">
        <v>-1.050191E-2</v>
      </c>
      <c r="S4294">
        <v>-2.999695</v>
      </c>
      <c r="T4294">
        <v>-0.13510369999999999</v>
      </c>
      <c r="U4294">
        <v>1.0726930000000001E-2</v>
      </c>
      <c r="V4294">
        <v>-7.228684E-3</v>
      </c>
      <c r="W4294">
        <v>-7.7600340000000004E-2</v>
      </c>
      <c r="X4294">
        <v>0.99695829999999996</v>
      </c>
      <c r="Y4294">
        <v>6.8049139999999996E-3</v>
      </c>
      <c r="Z4294">
        <v>3.0025949999999999E-4</v>
      </c>
      <c r="AA4294">
        <v>0.9999768</v>
      </c>
      <c r="AB4294">
        <v>29</v>
      </c>
      <c r="AC4294">
        <v>-24.5609</v>
      </c>
      <c r="AD4294">
        <v>-1.1204898618450001</v>
      </c>
      <c r="AE4294">
        <v>9.03000000000133E-2</v>
      </c>
      <c r="AF4294">
        <v>0.169506982424559</v>
      </c>
      <c r="AG4294">
        <v>-1.1204898618450001</v>
      </c>
      <c r="AH4294">
        <v>24.509468629232501</v>
      </c>
      <c r="AI4294">
        <v>92.617483847776199</v>
      </c>
      <c r="AJ4294">
        <v>89.6037498814201</v>
      </c>
      <c r="AK4294">
        <v>24.535653295458001</v>
      </c>
      <c r="AL4294">
        <v>94.450646623819296</v>
      </c>
      <c r="AM4294">
        <v>90.415429438449394</v>
      </c>
      <c r="AN4294">
        <v>0.99999995928968799</v>
      </c>
    </row>
    <row r="4295" spans="1:40" x14ac:dyDescent="0.25">
      <c r="A4295" t="str">
        <f>"20190303154559839"</f>
        <v>20190303154559839</v>
      </c>
      <c r="B4295" t="str">
        <f>"1551599159835056"</f>
        <v>1551599159835056</v>
      </c>
      <c r="C4295" t="s">
        <v>40</v>
      </c>
      <c r="D4295">
        <v>5.1783409999999996</v>
      </c>
      <c r="E4295">
        <v>0.50473029999999997</v>
      </c>
      <c r="F4295" t="s">
        <v>61</v>
      </c>
      <c r="G4295">
        <v>-309.00740000000002</v>
      </c>
      <c r="H4295" s="1">
        <v>-9.9189560000000007E-6</v>
      </c>
      <c r="I4295">
        <v>141.52889999999999</v>
      </c>
      <c r="J4295">
        <v>-284.24770000000001</v>
      </c>
      <c r="K4295">
        <v>1.1204769999999999</v>
      </c>
      <c r="L4295">
        <v>141.46799999999999</v>
      </c>
      <c r="M4295">
        <v>-0.99996459999999998</v>
      </c>
      <c r="N4295">
        <v>-7.6511569999999996E-3</v>
      </c>
      <c r="O4295">
        <v>-3.5391020000000001E-3</v>
      </c>
      <c r="P4295">
        <v>-0.99633000000000005</v>
      </c>
      <c r="Q4295">
        <v>-8.4823969999999999E-2</v>
      </c>
      <c r="R4295">
        <v>-1.147081E-2</v>
      </c>
      <c r="S4295">
        <v>-2.9996640000000001</v>
      </c>
      <c r="T4295">
        <v>-0.13432669999999999</v>
      </c>
      <c r="U4295">
        <v>7.1563719999999898E-3</v>
      </c>
      <c r="V4295">
        <v>-7.8987459999999999E-3</v>
      </c>
      <c r="W4295">
        <v>-7.720283E-2</v>
      </c>
      <c r="X4295">
        <v>0.99698410000000004</v>
      </c>
      <c r="Y4295">
        <v>5.9155179999999998E-3</v>
      </c>
      <c r="Z4295">
        <v>2.8636349999999999E-4</v>
      </c>
      <c r="AA4295">
        <v>0.9999825</v>
      </c>
      <c r="AB4295">
        <v>29</v>
      </c>
      <c r="AC4295">
        <v>-24.759699999999999</v>
      </c>
      <c r="AD4295">
        <v>-1.1204869189560001</v>
      </c>
      <c r="AE4295">
        <v>6.0900000000003701E-2</v>
      </c>
      <c r="AF4295">
        <v>0.14822571620467201</v>
      </c>
      <c r="AG4295">
        <v>-1.1204869189560001</v>
      </c>
      <c r="AH4295">
        <v>24.708727055841901</v>
      </c>
      <c r="AI4295">
        <v>92.596413236427097</v>
      </c>
      <c r="AJ4295">
        <v>89.656291234227695</v>
      </c>
      <c r="AK4295">
        <v>24.734563964593899</v>
      </c>
      <c r="AL4295">
        <v>94.427802346722203</v>
      </c>
      <c r="AM4295">
        <v>90.453924331096303</v>
      </c>
      <c r="AN4295">
        <v>0.99999998140059498</v>
      </c>
    </row>
    <row r="4296" spans="1:40" x14ac:dyDescent="0.25">
      <c r="A4296" t="str">
        <f>"20190303154559863"</f>
        <v>20190303154559863</v>
      </c>
      <c r="B4296" t="str">
        <f>"1551599159855551"</f>
        <v>1551599159855551</v>
      </c>
      <c r="C4296" t="s">
        <v>40</v>
      </c>
      <c r="D4296">
        <v>5.1399920000000003</v>
      </c>
      <c r="E4296">
        <v>0.50458069999999999</v>
      </c>
      <c r="F4296" t="s">
        <v>61</v>
      </c>
      <c r="G4296">
        <v>-309.4948</v>
      </c>
      <c r="H4296" s="1">
        <v>-9.9780580000000003E-6</v>
      </c>
      <c r="I4296">
        <v>141.4923</v>
      </c>
      <c r="J4296">
        <v>-284.55020000000002</v>
      </c>
      <c r="K4296">
        <v>1.120471</v>
      </c>
      <c r="L4296">
        <v>141.4666</v>
      </c>
      <c r="M4296">
        <v>-0.99996320000000005</v>
      </c>
      <c r="N4296">
        <v>-7.6534130000000004E-3</v>
      </c>
      <c r="O4296">
        <v>-3.885066E-3</v>
      </c>
      <c r="P4296">
        <v>-0.99632069999999995</v>
      </c>
      <c r="Q4296">
        <v>-8.4897100000000003E-2</v>
      </c>
      <c r="R4296">
        <v>-1.172783E-2</v>
      </c>
      <c r="S4296">
        <v>-2.9997250000000002</v>
      </c>
      <c r="T4296">
        <v>-0.1331301</v>
      </c>
      <c r="U4296">
        <v>2.8839109999999999E-3</v>
      </c>
      <c r="V4296">
        <v>-7.8112299999999997E-3</v>
      </c>
      <c r="W4296">
        <v>-7.7273759999999997E-2</v>
      </c>
      <c r="X4296">
        <v>0.99697930000000001</v>
      </c>
      <c r="Y4296">
        <v>4.8383590000000004E-3</v>
      </c>
      <c r="Z4296">
        <v>2.6845280000000003E-4</v>
      </c>
      <c r="AA4296">
        <v>0.99998830000000005</v>
      </c>
      <c r="AB4296">
        <v>29</v>
      </c>
      <c r="AC4296">
        <v>-24.944599999999902</v>
      </c>
      <c r="AD4296">
        <v>-1.1204809780580001</v>
      </c>
      <c r="AE4296">
        <v>2.57000000000005E-2</v>
      </c>
      <c r="AF4296">
        <v>0.12236715884530699</v>
      </c>
      <c r="AG4296">
        <v>-1.1204809780580001</v>
      </c>
      <c r="AH4296">
        <v>24.8940832287917</v>
      </c>
      <c r="AI4296">
        <v>92.577108614382198</v>
      </c>
      <c r="AJ4296">
        <v>89.7183641903558</v>
      </c>
      <c r="AK4296">
        <v>24.9195872988651</v>
      </c>
      <c r="AL4296">
        <v>94.431878488628598</v>
      </c>
      <c r="AM4296">
        <v>90.448897338613705</v>
      </c>
      <c r="AN4296">
        <v>0.99999998696356995</v>
      </c>
    </row>
    <row r="4297" spans="1:40" x14ac:dyDescent="0.25">
      <c r="A4297" t="str">
        <f>"20190303154559883"</f>
        <v>20190303154559883</v>
      </c>
      <c r="B4297" t="str">
        <f>"1551599159875934"</f>
        <v>1551599159875934</v>
      </c>
      <c r="C4297" t="s">
        <v>40</v>
      </c>
      <c r="D4297">
        <v>5.1341739999999998</v>
      </c>
      <c r="E4297">
        <v>0.50444739999999999</v>
      </c>
      <c r="F4297" t="s">
        <v>61</v>
      </c>
      <c r="G4297">
        <v>-309.74759999999998</v>
      </c>
      <c r="H4297" s="1">
        <v>-1.000881E-5</v>
      </c>
      <c r="I4297">
        <v>141.47370000000001</v>
      </c>
      <c r="J4297">
        <v>-284.82190000000003</v>
      </c>
      <c r="K4297">
        <v>1.120468</v>
      </c>
      <c r="L4297">
        <v>141.46530000000001</v>
      </c>
      <c r="M4297">
        <v>-0.99996189999999996</v>
      </c>
      <c r="N4297">
        <v>-7.675299E-3</v>
      </c>
      <c r="O4297">
        <v>-4.1954669999999996E-3</v>
      </c>
      <c r="P4297">
        <v>-0.99631020000000003</v>
      </c>
      <c r="Q4297">
        <v>-8.4935839999999999E-2</v>
      </c>
      <c r="R4297">
        <v>-1.234126E-2</v>
      </c>
      <c r="S4297">
        <v>-2.999695</v>
      </c>
      <c r="T4297">
        <v>-0.13339100000000001</v>
      </c>
      <c r="U4297">
        <v>8.3923339999999905E-4</v>
      </c>
      <c r="V4297">
        <v>-8.1149969999999901E-3</v>
      </c>
      <c r="W4297">
        <v>-7.7290929999999994E-2</v>
      </c>
      <c r="X4297">
        <v>0.99697550000000001</v>
      </c>
      <c r="Y4297">
        <v>4.4673450000000002E-3</v>
      </c>
      <c r="Z4297">
        <v>2.7071609999999998E-4</v>
      </c>
      <c r="AA4297">
        <v>0.99999000000000005</v>
      </c>
      <c r="AB4297">
        <v>29</v>
      </c>
      <c r="AC4297">
        <v>-24.9256999999999</v>
      </c>
      <c r="AD4297">
        <v>-1.1204780088099999</v>
      </c>
      <c r="AE4297">
        <v>8.3999999999946305E-3</v>
      </c>
      <c r="AF4297">
        <v>0.112750102464549</v>
      </c>
      <c r="AG4297">
        <v>-1.1204780088099999</v>
      </c>
      <c r="AH4297">
        <v>24.8751789348328</v>
      </c>
      <c r="AI4297">
        <v>92.579062319435096</v>
      </c>
      <c r="AJ4297">
        <v>89.740300932593101</v>
      </c>
      <c r="AK4297">
        <v>24.9006568305694</v>
      </c>
      <c r="AL4297">
        <v>94.432865397628404</v>
      </c>
      <c r="AM4297">
        <v>90.466355302607099</v>
      </c>
      <c r="AN4297">
        <v>0.99999994431840999</v>
      </c>
    </row>
    <row r="4298" spans="1:40" x14ac:dyDescent="0.25">
      <c r="A4298" t="str">
        <f>"20190303154559907"</f>
        <v>20190303154559907</v>
      </c>
      <c r="B4298" t="str">
        <f>"1551599159895454"</f>
        <v>1551599159895454</v>
      </c>
      <c r="C4298" t="s">
        <v>40</v>
      </c>
      <c r="D4298">
        <v>5.0998979999999996</v>
      </c>
      <c r="E4298">
        <v>0.50431300000000001</v>
      </c>
      <c r="F4298" t="s">
        <v>61</v>
      </c>
      <c r="G4298">
        <v>-309.99290000000002</v>
      </c>
      <c r="H4298" s="1">
        <v>-1.001612E-5</v>
      </c>
      <c r="I4298">
        <v>141.44909999999999</v>
      </c>
      <c r="J4298">
        <v>-285.12740000000002</v>
      </c>
      <c r="K4298">
        <v>1.1204730000000001</v>
      </c>
      <c r="L4298">
        <v>141.46360000000001</v>
      </c>
      <c r="M4298">
        <v>-0.99995990000000001</v>
      </c>
      <c r="N4298">
        <v>-7.7150480000000004E-3</v>
      </c>
      <c r="O4298">
        <v>-4.5438529999999996E-3</v>
      </c>
      <c r="P4298">
        <v>-0.99627209999999999</v>
      </c>
      <c r="Q4298">
        <v>-8.5371669999999997E-2</v>
      </c>
      <c r="R4298">
        <v>-1.23976E-2</v>
      </c>
      <c r="S4298">
        <v>-2.9996640000000001</v>
      </c>
      <c r="T4298">
        <v>-0.13352910000000001</v>
      </c>
      <c r="U4298">
        <v>-1.922607E-3</v>
      </c>
      <c r="V4298">
        <v>-7.8233380000000009E-3</v>
      </c>
      <c r="W4298">
        <v>-7.7687229999999996E-2</v>
      </c>
      <c r="X4298">
        <v>0.99694709999999997</v>
      </c>
      <c r="Y4298">
        <v>3.8954520000000002E-3</v>
      </c>
      <c r="Z4298">
        <v>2.6882030000000001E-4</v>
      </c>
      <c r="AA4298">
        <v>0.9999924</v>
      </c>
      <c r="AB4298">
        <v>29</v>
      </c>
      <c r="AC4298">
        <v>-24.865500000000001</v>
      </c>
      <c r="AD4298">
        <v>-1.1204830161199999</v>
      </c>
      <c r="AE4298">
        <v>-1.4500000000026599E-2</v>
      </c>
      <c r="AF4298">
        <v>9.8289108834649294E-2</v>
      </c>
      <c r="AG4298">
        <v>-1.1204830161199999</v>
      </c>
      <c r="AH4298">
        <v>24.814920969397502</v>
      </c>
      <c r="AI4298">
        <v>92.585334364971004</v>
      </c>
      <c r="AJ4298">
        <v>89.773059053256304</v>
      </c>
      <c r="AK4298">
        <v>24.840399466509702</v>
      </c>
      <c r="AL4298">
        <v>94.455639878986801</v>
      </c>
      <c r="AM4298">
        <v>90.449607655690201</v>
      </c>
      <c r="AN4298">
        <v>1.00000001526047</v>
      </c>
    </row>
    <row r="4299" spans="1:40" x14ac:dyDescent="0.25">
      <c r="A4299" t="str">
        <f>"20190303154559928"</f>
        <v>20190303154559928</v>
      </c>
      <c r="B4299" t="str">
        <f>"1551599159925710"</f>
        <v>1551599159925710</v>
      </c>
      <c r="C4299" t="s">
        <v>40</v>
      </c>
      <c r="D4299">
        <v>5.0726630000000004</v>
      </c>
      <c r="E4299">
        <v>0.50412889999999999</v>
      </c>
      <c r="F4299" t="s">
        <v>61</v>
      </c>
      <c r="G4299">
        <v>-310.04270000000002</v>
      </c>
      <c r="H4299" s="1">
        <v>-9.9905250000000004E-6</v>
      </c>
      <c r="I4299">
        <v>141.4374</v>
      </c>
      <c r="J4299">
        <v>-285.416</v>
      </c>
      <c r="K4299">
        <v>1.12049</v>
      </c>
      <c r="L4299">
        <v>141.46199999999999</v>
      </c>
      <c r="M4299">
        <v>-0.99995789999999996</v>
      </c>
      <c r="N4299">
        <v>-7.7804889999999998E-3</v>
      </c>
      <c r="O4299">
        <v>-4.8729139999999999E-3</v>
      </c>
      <c r="P4299">
        <v>-0.99630209999999997</v>
      </c>
      <c r="Q4299">
        <v>-8.5039480000000001E-2</v>
      </c>
      <c r="R4299">
        <v>-1.228391E-2</v>
      </c>
      <c r="S4299">
        <v>-2.999603</v>
      </c>
      <c r="T4299">
        <v>-0.1348974</v>
      </c>
      <c r="U4299">
        <v>-3.158569E-3</v>
      </c>
      <c r="V4299">
        <v>-7.3814619999999897E-3</v>
      </c>
      <c r="W4299">
        <v>-7.728931E-2</v>
      </c>
      <c r="X4299">
        <v>0.99698140000000002</v>
      </c>
      <c r="Y4299">
        <v>3.8121880000000002E-3</v>
      </c>
      <c r="Z4299">
        <v>2.8164969999999999E-4</v>
      </c>
      <c r="AA4299">
        <v>0.99999269999999996</v>
      </c>
      <c r="AB4299">
        <v>29</v>
      </c>
      <c r="AC4299">
        <v>-24.6267</v>
      </c>
      <c r="AD4299">
        <v>-1.1204999905249999</v>
      </c>
      <c r="AE4299">
        <v>-2.46000000000208E-2</v>
      </c>
      <c r="AF4299">
        <v>9.5210606412093904E-2</v>
      </c>
      <c r="AG4299">
        <v>-1.1204999905249999</v>
      </c>
      <c r="AH4299">
        <v>24.575651132228199</v>
      </c>
      <c r="AI4299">
        <v>92.610511042285097</v>
      </c>
      <c r="AJ4299">
        <v>89.778026690302497</v>
      </c>
      <c r="AK4299">
        <v>24.601366097461501</v>
      </c>
      <c r="AL4299">
        <v>94.432771974109897</v>
      </c>
      <c r="AM4299">
        <v>90.424199379964406</v>
      </c>
      <c r="AN4299">
        <v>1.00000001768374</v>
      </c>
    </row>
    <row r="4300" spans="1:40" x14ac:dyDescent="0.25">
      <c r="A4300" t="str">
        <f>"20190303154559951"</f>
        <v>20190303154559951</v>
      </c>
      <c r="B4300" t="str">
        <f>"1551599159945230"</f>
        <v>1551599159945230</v>
      </c>
      <c r="C4300" t="s">
        <v>40</v>
      </c>
      <c r="D4300">
        <v>5.1563910000000002</v>
      </c>
      <c r="E4300">
        <v>0.50404159999999998</v>
      </c>
      <c r="F4300" t="s">
        <v>61</v>
      </c>
      <c r="G4300">
        <v>-310.45429999999999</v>
      </c>
      <c r="H4300" s="1">
        <v>-9.8047339999999992E-6</v>
      </c>
      <c r="I4300">
        <v>141.4264</v>
      </c>
      <c r="J4300">
        <v>-285.71890000000002</v>
      </c>
      <c r="K4300">
        <v>1.120517</v>
      </c>
      <c r="L4300">
        <v>141.46010000000001</v>
      </c>
      <c r="M4300">
        <v>-0.99995509999999999</v>
      </c>
      <c r="N4300">
        <v>-7.916803E-3</v>
      </c>
      <c r="O4300">
        <v>-5.2177760000000004E-3</v>
      </c>
      <c r="P4300">
        <v>-0.996255</v>
      </c>
      <c r="Q4300">
        <v>-8.5559319999999994E-2</v>
      </c>
      <c r="R4300">
        <v>-1.248555E-2</v>
      </c>
      <c r="S4300">
        <v>-2.999603</v>
      </c>
      <c r="T4300">
        <v>-0.1342362</v>
      </c>
      <c r="U4300">
        <v>-4.2572019999999999E-3</v>
      </c>
      <c r="V4300">
        <v>-7.2395760000000002E-3</v>
      </c>
      <c r="W4300">
        <v>-7.7673519999999996E-2</v>
      </c>
      <c r="X4300">
        <v>0.99695250000000002</v>
      </c>
      <c r="Y4300">
        <v>3.790697E-3</v>
      </c>
      <c r="Z4300">
        <v>2.9188359999999998E-4</v>
      </c>
      <c r="AA4300">
        <v>0.99999280000000002</v>
      </c>
      <c r="AB4300">
        <v>30</v>
      </c>
      <c r="AC4300">
        <v>-24.735399999999899</v>
      </c>
      <c r="AD4300">
        <v>-1.120526804734</v>
      </c>
      <c r="AE4300">
        <v>-3.3700000000010201E-2</v>
      </c>
      <c r="AF4300">
        <v>9.5172965652165195E-2</v>
      </c>
      <c r="AG4300">
        <v>-1.120526804734</v>
      </c>
      <c r="AH4300">
        <v>24.684583024211801</v>
      </c>
      <c r="AI4300">
        <v>92.599069109526894</v>
      </c>
      <c r="AJ4300">
        <v>89.779093605503505</v>
      </c>
      <c r="AK4300">
        <v>24.710185699276401</v>
      </c>
      <c r="AL4300">
        <v>94.454852321449707</v>
      </c>
      <c r="AM4300">
        <v>90.416057795547204</v>
      </c>
      <c r="AN4300">
        <v>0.99999993721304803</v>
      </c>
    </row>
    <row r="4301" spans="1:40" x14ac:dyDescent="0.25">
      <c r="A4301" t="str">
        <f>"20190303154559975"</f>
        <v>20190303154559975</v>
      </c>
      <c r="B4301" t="str">
        <f>"1551599159965730"</f>
        <v>1551599159965730</v>
      </c>
      <c r="C4301" t="s">
        <v>40</v>
      </c>
      <c r="D4301">
        <v>5.0892989999999996</v>
      </c>
      <c r="E4301">
        <v>0.50393100000000002</v>
      </c>
      <c r="F4301" t="s">
        <v>61</v>
      </c>
      <c r="G4301">
        <v>-310.43790000000001</v>
      </c>
      <c r="H4301" s="1">
        <v>-9.8082509999999999E-6</v>
      </c>
      <c r="I4301">
        <v>141.41370000000001</v>
      </c>
      <c r="J4301">
        <v>-286.02499999999998</v>
      </c>
      <c r="K4301">
        <v>1.120563</v>
      </c>
      <c r="L4301">
        <v>141.45820000000001</v>
      </c>
      <c r="M4301">
        <v>-0.99995120000000004</v>
      </c>
      <c r="N4301">
        <v>-8.1656209999999996E-3</v>
      </c>
      <c r="O4301">
        <v>-5.5670800000000003E-3</v>
      </c>
      <c r="P4301">
        <v>-0.99619590000000002</v>
      </c>
      <c r="Q4301">
        <v>-8.6163240000000002E-2</v>
      </c>
      <c r="R4301">
        <v>-1.3039459999999999E-2</v>
      </c>
      <c r="S4301">
        <v>-2.9995419999999999</v>
      </c>
      <c r="T4301">
        <v>-0.13597129999999999</v>
      </c>
      <c r="U4301">
        <v>-5.6304930000000003E-3</v>
      </c>
      <c r="V4301">
        <v>-7.4447350000000001E-3</v>
      </c>
      <c r="W4301">
        <v>-7.8029979999999999E-2</v>
      </c>
      <c r="X4301">
        <v>0.99692320000000001</v>
      </c>
      <c r="Y4301">
        <v>3.6818649999999999E-3</v>
      </c>
      <c r="Z4301">
        <v>3.0523760000000002E-4</v>
      </c>
      <c r="AA4301">
        <v>0.99999320000000003</v>
      </c>
      <c r="AB4301">
        <v>30</v>
      </c>
      <c r="AC4301">
        <v>-24.4129</v>
      </c>
      <c r="AD4301">
        <v>-1.120572808251</v>
      </c>
      <c r="AE4301">
        <v>-4.4499999999999297E-2</v>
      </c>
      <c r="AF4301">
        <v>9.1221590281090101E-2</v>
      </c>
      <c r="AG4301">
        <v>-1.120572808251</v>
      </c>
      <c r="AH4301">
        <v>24.361442751470701</v>
      </c>
      <c r="AI4301">
        <v>92.633605098206303</v>
      </c>
      <c r="AJ4301">
        <v>89.785456561457195</v>
      </c>
      <c r="AK4301">
        <v>24.387371685573399</v>
      </c>
      <c r="AL4301">
        <v>94.475337940941202</v>
      </c>
      <c r="AM4301">
        <v>90.427860407126204</v>
      </c>
      <c r="AN4301">
        <v>0.99999998427812997</v>
      </c>
    </row>
    <row r="4302" spans="1:40" x14ac:dyDescent="0.25">
      <c r="A4302" t="str">
        <f>"20190303154559998"</f>
        <v>20190303154559998</v>
      </c>
      <c r="B4302" t="str">
        <f>"1551599159985250"</f>
        <v>1551599159985250</v>
      </c>
      <c r="C4302" t="s">
        <v>40</v>
      </c>
      <c r="D4302">
        <v>5.0553790000000003</v>
      </c>
      <c r="E4302">
        <v>0.50384910000000005</v>
      </c>
      <c r="F4302" t="s">
        <v>61</v>
      </c>
      <c r="G4302">
        <v>-310.40839999999997</v>
      </c>
      <c r="H4302" s="1">
        <v>-9.8142289999999993E-6</v>
      </c>
      <c r="I4302">
        <v>141.38990000000001</v>
      </c>
      <c r="J4302">
        <v>-286.33960000000002</v>
      </c>
      <c r="K4302">
        <v>1.1206449999999999</v>
      </c>
      <c r="L4302">
        <v>141.45599999999999</v>
      </c>
      <c r="M4302">
        <v>-0.99994590000000005</v>
      </c>
      <c r="N4302">
        <v>-8.5718999999999899E-3</v>
      </c>
      <c r="O4302">
        <v>-5.9197719999999898E-3</v>
      </c>
      <c r="P4302">
        <v>-0.99605589999999999</v>
      </c>
      <c r="Q4302">
        <v>-8.767585E-2</v>
      </c>
      <c r="R4302">
        <v>-1.362844E-2</v>
      </c>
      <c r="S4302">
        <v>-2.9994200000000002</v>
      </c>
      <c r="T4302">
        <v>-0.1378421</v>
      </c>
      <c r="U4302">
        <v>-8.3923339999999996E-3</v>
      </c>
      <c r="V4302">
        <v>-7.6817469999999896E-3</v>
      </c>
      <c r="W4302">
        <v>-7.9138860000000005E-2</v>
      </c>
      <c r="X4302">
        <v>0.996834</v>
      </c>
      <c r="Y4302">
        <v>3.114005E-3</v>
      </c>
      <c r="Z4302">
        <v>3.0605269999999998E-4</v>
      </c>
      <c r="AA4302">
        <v>0.99999510000000003</v>
      </c>
      <c r="AB4302">
        <v>30</v>
      </c>
      <c r="AC4302">
        <v>-24.0687999999999</v>
      </c>
      <c r="AD4302">
        <v>-1.120654814229</v>
      </c>
      <c r="AE4302">
        <v>-6.6100000000005807E-2</v>
      </c>
      <c r="AF4302">
        <v>7.6222937614847899E-2</v>
      </c>
      <c r="AG4302">
        <v>-1.120654814229</v>
      </c>
      <c r="AH4302">
        <v>24.016704652868398</v>
      </c>
      <c r="AI4302">
        <v>92.671554225829695</v>
      </c>
      <c r="AJ4302">
        <v>89.818158318248194</v>
      </c>
      <c r="AK4302">
        <v>24.042956963152101</v>
      </c>
      <c r="AL4302">
        <v>94.539069127296997</v>
      </c>
      <c r="AM4302">
        <v>90.441520825272903</v>
      </c>
      <c r="AN4302">
        <v>0.99999999597753497</v>
      </c>
    </row>
    <row r="4303" spans="1:40" x14ac:dyDescent="0.25">
      <c r="A4303" t="str">
        <f>"20190303154600021"</f>
        <v>20190303154600021</v>
      </c>
      <c r="B4303" t="str">
        <f>"1551599160015506"</f>
        <v>1551599160015506</v>
      </c>
      <c r="C4303" t="s">
        <v>40</v>
      </c>
      <c r="D4303">
        <v>5.0449590000000004</v>
      </c>
      <c r="E4303">
        <v>0.50404910000000003</v>
      </c>
      <c r="F4303" t="s">
        <v>61</v>
      </c>
      <c r="G4303">
        <v>-309.92720000000003</v>
      </c>
      <c r="H4303" s="1">
        <v>-1.000437E-5</v>
      </c>
      <c r="I4303">
        <v>141.37200000000001</v>
      </c>
      <c r="J4303">
        <v>-286.63990000000001</v>
      </c>
      <c r="K4303">
        <v>1.120743</v>
      </c>
      <c r="L4303">
        <v>141.4539</v>
      </c>
      <c r="M4303">
        <v>-0.99993929999999998</v>
      </c>
      <c r="N4303">
        <v>-9.0803159999999997E-3</v>
      </c>
      <c r="O4303">
        <v>-6.2521360000000002E-3</v>
      </c>
      <c r="P4303">
        <v>-0.99596039999999997</v>
      </c>
      <c r="Q4303">
        <v>-8.8796739999999999E-2</v>
      </c>
      <c r="R4303">
        <v>-1.334568E-2</v>
      </c>
      <c r="S4303">
        <v>-2.9991759999999998</v>
      </c>
      <c r="T4303">
        <v>-0.14249189999999901</v>
      </c>
      <c r="U4303">
        <v>-1.068115E-2</v>
      </c>
      <c r="V4303">
        <v>-7.0677489999999999E-3</v>
      </c>
      <c r="W4303">
        <v>-7.9753340000000006E-2</v>
      </c>
      <c r="X4303">
        <v>0.99678960000000005</v>
      </c>
      <c r="Y4303">
        <v>2.682865E-3</v>
      </c>
      <c r="Z4303">
        <v>3.1600859999999999E-4</v>
      </c>
      <c r="AA4303">
        <v>0.99999640000000001</v>
      </c>
      <c r="AB4303">
        <v>30</v>
      </c>
      <c r="AC4303">
        <v>-23.287299999999998</v>
      </c>
      <c r="AD4303">
        <v>-1.12075300437</v>
      </c>
      <c r="AE4303">
        <v>-8.18999999999903E-2</v>
      </c>
      <c r="AF4303">
        <v>6.3555751787605405E-2</v>
      </c>
      <c r="AG4303">
        <v>-1.12075300437</v>
      </c>
      <c r="AH4303">
        <v>23.233543340322498</v>
      </c>
      <c r="AI4303">
        <v>92.761715580114299</v>
      </c>
      <c r="AJ4303">
        <v>89.843266814502101</v>
      </c>
      <c r="AK4303">
        <v>23.260646224407299</v>
      </c>
      <c r="AL4303">
        <v>94.574387730933907</v>
      </c>
      <c r="AM4303">
        <v>90.406249625988593</v>
      </c>
      <c r="AN4303">
        <v>1.00000002749262</v>
      </c>
    </row>
    <row r="4304" spans="1:40" x14ac:dyDescent="0.25">
      <c r="A4304" t="str">
        <f>"20190303154600042"</f>
        <v>20190303154600042</v>
      </c>
      <c r="B4304" t="str">
        <f>"1551599160036002"</f>
        <v>1551599160036002</v>
      </c>
      <c r="C4304" t="s">
        <v>40</v>
      </c>
      <c r="D4304">
        <v>5.024527</v>
      </c>
      <c r="E4304">
        <v>0.50417460000000003</v>
      </c>
      <c r="F4304" t="s">
        <v>61</v>
      </c>
      <c r="G4304">
        <v>-309.76769999999999</v>
      </c>
      <c r="H4304" s="1">
        <v>-9.9875760000000001E-6</v>
      </c>
      <c r="I4304">
        <v>141.39259999999999</v>
      </c>
      <c r="J4304">
        <v>-286.92059999999998</v>
      </c>
      <c r="K4304">
        <v>1.1208260000000001</v>
      </c>
      <c r="L4304">
        <v>141.45179999999999</v>
      </c>
      <c r="M4304">
        <v>-0.9999325</v>
      </c>
      <c r="N4304">
        <v>-9.5851530000000008E-3</v>
      </c>
      <c r="O4304">
        <v>-6.567636E-3</v>
      </c>
      <c r="P4304">
        <v>-0.99589229999999995</v>
      </c>
      <c r="Q4304">
        <v>-8.9629990000000007E-2</v>
      </c>
      <c r="R4304">
        <v>-1.284034E-2</v>
      </c>
      <c r="S4304">
        <v>-2.9991150000000002</v>
      </c>
      <c r="T4304">
        <v>-0.14533450000000001</v>
      </c>
      <c r="U4304">
        <v>-7.9498290000000003E-3</v>
      </c>
      <c r="V4304">
        <v>-6.2491029999999998E-3</v>
      </c>
      <c r="W4304">
        <v>-8.0083399999999999E-2</v>
      </c>
      <c r="X4304">
        <v>0.9967686</v>
      </c>
      <c r="Y4304">
        <v>3.9068039999999998E-3</v>
      </c>
      <c r="Z4304">
        <v>3.684901E-4</v>
      </c>
      <c r="AA4304">
        <v>0.99999229999999995</v>
      </c>
      <c r="AB4304">
        <v>30</v>
      </c>
      <c r="AC4304">
        <v>-22.847100000000001</v>
      </c>
      <c r="AD4304">
        <v>-1.1208359875759999</v>
      </c>
      <c r="AE4304">
        <v>-5.9200000000004097E-2</v>
      </c>
      <c r="AF4304">
        <v>9.0641460462396295E-2</v>
      </c>
      <c r="AG4304">
        <v>-1.1208359875759999</v>
      </c>
      <c r="AH4304">
        <v>22.7921425472274</v>
      </c>
      <c r="AI4304">
        <v>92.815311125663101</v>
      </c>
      <c r="AJ4304">
        <v>89.772143152217296</v>
      </c>
      <c r="AK4304">
        <v>22.8198652730145</v>
      </c>
      <c r="AL4304">
        <v>94.5933594830788</v>
      </c>
      <c r="AM4304">
        <v>90.359203266184295</v>
      </c>
      <c r="AN4304">
        <v>1.0000000220949099</v>
      </c>
    </row>
    <row r="4305" spans="1:40" x14ac:dyDescent="0.25">
      <c r="A4305" t="str">
        <f>"20190303154600063"</f>
        <v>20190303154600063</v>
      </c>
      <c r="B4305" t="str">
        <f>"1551599160055522"</f>
        <v>1551599160055522</v>
      </c>
      <c r="C4305" t="s">
        <v>40</v>
      </c>
      <c r="D4305">
        <v>5.0170669999999999</v>
      </c>
      <c r="E4305">
        <v>0.50430410000000003</v>
      </c>
      <c r="F4305" t="s">
        <v>61</v>
      </c>
      <c r="G4305">
        <v>-309.68130000000002</v>
      </c>
      <c r="H4305" s="1">
        <v>-9.9809260000000007E-6</v>
      </c>
      <c r="I4305">
        <v>141.4119</v>
      </c>
      <c r="J4305">
        <v>-287.20190000000002</v>
      </c>
      <c r="K4305">
        <v>1.1208880000000001</v>
      </c>
      <c r="L4305">
        <v>141.4496</v>
      </c>
      <c r="M4305">
        <v>-0.99992559999999997</v>
      </c>
      <c r="N4305">
        <v>-1.006846E-2</v>
      </c>
      <c r="O4305">
        <v>-6.8874339999999996E-3</v>
      </c>
      <c r="P4305">
        <v>-0.99586609999999998</v>
      </c>
      <c r="Q4305">
        <v>-9.0016799999999994E-2</v>
      </c>
      <c r="R4305">
        <v>-1.214909E-2</v>
      </c>
      <c r="S4305">
        <v>-2.9990540000000001</v>
      </c>
      <c r="T4305">
        <v>-0.14768619999999999</v>
      </c>
      <c r="U4305">
        <v>-5.2490230000000002E-3</v>
      </c>
      <c r="V4305">
        <v>-5.2400859999999997E-3</v>
      </c>
      <c r="W4305">
        <v>-7.9988050000000005E-2</v>
      </c>
      <c r="X4305">
        <v>0.9967821</v>
      </c>
      <c r="Y4305">
        <v>5.1248270000000002E-3</v>
      </c>
      <c r="Z4305">
        <v>4.2157069999999999E-4</v>
      </c>
      <c r="AA4305">
        <v>0.99998679999999995</v>
      </c>
      <c r="AB4305">
        <v>29</v>
      </c>
      <c r="AC4305">
        <v>-22.479399999999998</v>
      </c>
      <c r="AD4305">
        <v>-1.12089798092599</v>
      </c>
      <c r="AE4305">
        <v>-3.7700000000000899E-2</v>
      </c>
      <c r="AF4305">
        <v>0.116843611496652</v>
      </c>
      <c r="AG4305">
        <v>-1.12089798092599</v>
      </c>
      <c r="AH4305">
        <v>22.423374173110801</v>
      </c>
      <c r="AI4305">
        <v>92.861676406600395</v>
      </c>
      <c r="AJ4305">
        <v>89.701446126739995</v>
      </c>
      <c r="AK4305">
        <v>22.451676418934099</v>
      </c>
      <c r="AL4305">
        <v>94.587878616597195</v>
      </c>
      <c r="AM4305">
        <v>90.301201281966001</v>
      </c>
      <c r="AN4305">
        <v>1.00000005076224</v>
      </c>
    </row>
    <row r="4306" spans="1:40" x14ac:dyDescent="0.25">
      <c r="A4306" t="str">
        <f>"20190303154600084"</f>
        <v>20190303154600084</v>
      </c>
      <c r="B4306" t="str">
        <f>"1551599160076018"</f>
        <v>1551599160076018</v>
      </c>
      <c r="C4306" t="s">
        <v>40</v>
      </c>
      <c r="D4306">
        <v>4.9835240000000001</v>
      </c>
      <c r="E4306">
        <v>0.50437330000000002</v>
      </c>
      <c r="F4306" t="s">
        <v>61</v>
      </c>
      <c r="G4306">
        <v>-309.82499999999999</v>
      </c>
      <c r="H4306" s="1">
        <v>-1.000738E-5</v>
      </c>
      <c r="I4306">
        <v>141.4315</v>
      </c>
      <c r="J4306">
        <v>-287.4821</v>
      </c>
      <c r="K4306">
        <v>1.120943</v>
      </c>
      <c r="L4306">
        <v>141.44730000000001</v>
      </c>
      <c r="M4306">
        <v>-0.99991890000000005</v>
      </c>
      <c r="N4306">
        <v>-1.051908E-2</v>
      </c>
      <c r="O4306">
        <v>-7.2046790000000003E-3</v>
      </c>
      <c r="P4306">
        <v>-0.99590060000000002</v>
      </c>
      <c r="Q4306">
        <v>-8.9697609999999997E-2</v>
      </c>
      <c r="R4306">
        <v>-1.168721E-2</v>
      </c>
      <c r="S4306">
        <v>-2.9989620000000001</v>
      </c>
      <c r="T4306">
        <v>-0.14858869999999999</v>
      </c>
      <c r="U4306">
        <v>-2.3956300000000002E-3</v>
      </c>
      <c r="V4306">
        <v>-4.4627640000000001E-3</v>
      </c>
      <c r="W4306">
        <v>-7.9218819999999995E-2</v>
      </c>
      <c r="X4306">
        <v>0.99684729999999999</v>
      </c>
      <c r="Y4306">
        <v>6.3912860000000004E-3</v>
      </c>
      <c r="Z4306">
        <v>4.7287149999999999E-4</v>
      </c>
      <c r="AA4306">
        <v>0.99997939999999996</v>
      </c>
      <c r="AB4306">
        <v>29</v>
      </c>
      <c r="AC4306">
        <v>-22.342899999999901</v>
      </c>
      <c r="AD4306">
        <v>-1.12095300737999</v>
      </c>
      <c r="AE4306">
        <v>-1.5800000000012901E-2</v>
      </c>
      <c r="AF4306">
        <v>0.144818192131209</v>
      </c>
      <c r="AG4306">
        <v>-1.12095300737999</v>
      </c>
      <c r="AH4306">
        <v>22.2863375877923</v>
      </c>
      <c r="AI4306">
        <v>92.879362511908298</v>
      </c>
      <c r="AJ4306">
        <v>89.627693227322695</v>
      </c>
      <c r="AK4306">
        <v>22.314980417436399</v>
      </c>
      <c r="AL4306">
        <v>94.5436647325742</v>
      </c>
      <c r="AM4306">
        <v>90.256504515702602</v>
      </c>
      <c r="AN4306">
        <v>1.000000038611</v>
      </c>
    </row>
    <row r="4307" spans="1:40" x14ac:dyDescent="0.25">
      <c r="A4307" t="str">
        <f>"20190303154600107"</f>
        <v>20190303154600107</v>
      </c>
      <c r="B4307" t="str">
        <f>"1551599160095539"</f>
        <v>1551599160095539</v>
      </c>
      <c r="C4307" t="s">
        <v>40</v>
      </c>
      <c r="D4307">
        <v>5.0398149999999999</v>
      </c>
      <c r="E4307">
        <v>0.50446780000000002</v>
      </c>
      <c r="F4307" t="s">
        <v>61</v>
      </c>
      <c r="G4307">
        <v>-310.24279999999999</v>
      </c>
      <c r="H4307" s="1">
        <v>-9.9038320000000008E-6</v>
      </c>
      <c r="I4307">
        <v>141.4443</v>
      </c>
      <c r="J4307">
        <v>-287.76960000000003</v>
      </c>
      <c r="K4307">
        <v>1.120986</v>
      </c>
      <c r="L4307">
        <v>141.44489999999999</v>
      </c>
      <c r="M4307">
        <v>-0.99991180000000002</v>
      </c>
      <c r="N4307">
        <v>-1.094849E-2</v>
      </c>
      <c r="O4307">
        <v>-7.5268069999999999E-3</v>
      </c>
      <c r="P4307">
        <v>-0.99590109999999998</v>
      </c>
      <c r="Q4307">
        <v>-8.9727150000000006E-2</v>
      </c>
      <c r="R4307">
        <v>-1.141528E-2</v>
      </c>
      <c r="S4307">
        <v>-2.9990540000000001</v>
      </c>
      <c r="T4307">
        <v>-0.14770169999999999</v>
      </c>
      <c r="U4307">
        <v>-3.9672850000000001E-4</v>
      </c>
      <c r="V4307">
        <v>-3.8701460000000001E-3</v>
      </c>
      <c r="W4307">
        <v>-7.8819899999999998E-2</v>
      </c>
      <c r="X4307">
        <v>0.99688140000000003</v>
      </c>
      <c r="Y4307">
        <v>7.3785259999999998E-3</v>
      </c>
      <c r="Z4307">
        <v>5.1009949999999895E-4</v>
      </c>
      <c r="AA4307">
        <v>0.99997259999999999</v>
      </c>
      <c r="AB4307">
        <v>29</v>
      </c>
      <c r="AC4307">
        <v>-22.473199999999899</v>
      </c>
      <c r="AD4307">
        <v>-1.1209959038320001</v>
      </c>
      <c r="AE4307">
        <v>-5.9999999999149601E-4</v>
      </c>
      <c r="AF4307">
        <v>0.16814321688266701</v>
      </c>
      <c r="AG4307">
        <v>-1.1209959038320001</v>
      </c>
      <c r="AH4307">
        <v>22.416791293683598</v>
      </c>
      <c r="AI4307">
        <v>92.862723426056206</v>
      </c>
      <c r="AJ4307">
        <v>89.570245541017997</v>
      </c>
      <c r="AK4307">
        <v>22.445432405332699</v>
      </c>
      <c r="AL4307">
        <v>94.520736599519196</v>
      </c>
      <c r="AM4307">
        <v>90.222435605560094</v>
      </c>
      <c r="AN4307">
        <v>1.0000000401660101</v>
      </c>
    </row>
    <row r="4308" spans="1:40" x14ac:dyDescent="0.25">
      <c r="A4308" t="str">
        <f>"20190303154600141"</f>
        <v>20190303154600141</v>
      </c>
      <c r="B4308" t="str">
        <f>"1551599160135554"</f>
        <v>1551599160135554</v>
      </c>
      <c r="C4308" t="s">
        <v>40</v>
      </c>
      <c r="D4308">
        <v>5.0373640000000002</v>
      </c>
      <c r="E4308">
        <v>0.50463239999999998</v>
      </c>
      <c r="F4308" t="s">
        <v>61</v>
      </c>
      <c r="G4308">
        <v>-310.54930000000002</v>
      </c>
      <c r="H4308" s="1">
        <v>-9.7706379999999999E-6</v>
      </c>
      <c r="I4308">
        <v>141.45339999999999</v>
      </c>
      <c r="J4308">
        <v>-288.21719999999999</v>
      </c>
      <c r="K4308">
        <v>1.12104</v>
      </c>
      <c r="L4308">
        <v>141.4409</v>
      </c>
      <c r="M4308">
        <v>-0.99990120000000005</v>
      </c>
      <c r="N4308">
        <v>-1.154758E-2</v>
      </c>
      <c r="O4308">
        <v>-8.0252699999999993E-3</v>
      </c>
      <c r="P4308">
        <v>-0.99583969999999999</v>
      </c>
      <c r="Q4308">
        <v>-9.0407210000000002E-2</v>
      </c>
      <c r="R4308">
        <v>-1.141179E-2</v>
      </c>
      <c r="S4308">
        <v>-2.9990839999999999</v>
      </c>
      <c r="T4308">
        <v>-0.14758569999999999</v>
      </c>
      <c r="U4308">
        <v>1.12915E-3</v>
      </c>
      <c r="V4308">
        <v>-3.3705300000000001E-3</v>
      </c>
      <c r="W4308">
        <v>-7.8903029999999999E-2</v>
      </c>
      <c r="X4308">
        <v>0.9968766</v>
      </c>
      <c r="Y4308">
        <v>8.3840700000000004E-3</v>
      </c>
      <c r="Z4308">
        <v>5.5666250000000004E-4</v>
      </c>
      <c r="AA4308">
        <v>0.99996470000000004</v>
      </c>
      <c r="AB4308">
        <v>29</v>
      </c>
      <c r="AC4308">
        <v>-22.332100000000001</v>
      </c>
      <c r="AD4308">
        <v>-1.121049770638</v>
      </c>
      <c r="AE4308">
        <v>1.24999999999886E-2</v>
      </c>
      <c r="AF4308">
        <v>0.19125072486518199</v>
      </c>
      <c r="AG4308">
        <v>-1.121049770638</v>
      </c>
      <c r="AH4308">
        <v>22.2751483418715</v>
      </c>
      <c r="AI4308">
        <v>92.881009410432</v>
      </c>
      <c r="AJ4308">
        <v>89.508080038398901</v>
      </c>
      <c r="AK4308">
        <v>22.3041602191248</v>
      </c>
      <c r="AL4308">
        <v>94.5255146503047</v>
      </c>
      <c r="AM4308">
        <v>90.193721477499594</v>
      </c>
      <c r="AN4308">
        <v>1.00000000212161</v>
      </c>
    </row>
    <row r="4309" spans="1:40" x14ac:dyDescent="0.25">
      <c r="A4309" t="str">
        <f>"20190303154600162"</f>
        <v>20190303154600162</v>
      </c>
      <c r="B4309" t="str">
        <f>"1551599160155074"</f>
        <v>1551599160155074</v>
      </c>
      <c r="C4309" t="s">
        <v>40</v>
      </c>
      <c r="D4309">
        <v>5.100098</v>
      </c>
      <c r="E4309">
        <v>0.50471840000000001</v>
      </c>
      <c r="F4309" t="s">
        <v>61</v>
      </c>
      <c r="G4309">
        <v>-310.7242</v>
      </c>
      <c r="H4309" s="1">
        <v>-9.6946610000000005E-6</v>
      </c>
      <c r="I4309">
        <v>141.45859999999999</v>
      </c>
      <c r="J4309">
        <v>-288.50139999999999</v>
      </c>
      <c r="K4309">
        <v>1.121065</v>
      </c>
      <c r="L4309">
        <v>141.43819999999999</v>
      </c>
      <c r="M4309">
        <v>-0.99989470000000003</v>
      </c>
      <c r="N4309">
        <v>-1.1876360000000001E-2</v>
      </c>
      <c r="O4309">
        <v>-8.3425589999999994E-3</v>
      </c>
      <c r="P4309">
        <v>-0.99580849999999999</v>
      </c>
      <c r="Q4309">
        <v>-9.0750600000000001E-2</v>
      </c>
      <c r="R4309">
        <v>-1.1401980000000001E-2</v>
      </c>
      <c r="S4309">
        <v>-2.9989620000000001</v>
      </c>
      <c r="T4309">
        <v>-0.1493757</v>
      </c>
      <c r="U4309">
        <v>2.3651119999999999E-3</v>
      </c>
      <c r="V4309">
        <v>-3.045388E-3</v>
      </c>
      <c r="W4309">
        <v>-7.8918790000000003E-2</v>
      </c>
      <c r="X4309">
        <v>0.9968764</v>
      </c>
      <c r="Y4309">
        <v>9.1117690000000005E-3</v>
      </c>
      <c r="Z4309">
        <v>5.9717280000000004E-4</v>
      </c>
      <c r="AA4309">
        <v>0.99995829999999997</v>
      </c>
      <c r="AB4309">
        <v>29</v>
      </c>
      <c r="AC4309">
        <v>-22.222799999999999</v>
      </c>
      <c r="AD4309">
        <v>-1.121074694661</v>
      </c>
      <c r="AE4309">
        <v>2.0399999999994999E-2</v>
      </c>
      <c r="AF4309">
        <v>0.20528495077202999</v>
      </c>
      <c r="AG4309">
        <v>-1.121074694661</v>
      </c>
      <c r="AH4309">
        <v>22.165447436424699</v>
      </c>
      <c r="AI4309">
        <v>92.895290693553406</v>
      </c>
      <c r="AJ4309">
        <v>89.469371189849795</v>
      </c>
      <c r="AK4309">
        <v>22.194729339168099</v>
      </c>
      <c r="AL4309">
        <v>94.526420450861593</v>
      </c>
      <c r="AM4309">
        <v>90.175034073004696</v>
      </c>
      <c r="AN4309">
        <v>1.00000000334004</v>
      </c>
    </row>
    <row r="4310" spans="1:40" x14ac:dyDescent="0.25">
      <c r="A4310" t="str">
        <f>"20190303154600187"</f>
        <v>20190303154600187</v>
      </c>
      <c r="B4310" t="str">
        <f>"1551599160175570"</f>
        <v>1551599160175570</v>
      </c>
      <c r="C4310" t="s">
        <v>40</v>
      </c>
      <c r="D4310">
        <v>4.9859049999999998</v>
      </c>
      <c r="E4310">
        <v>0.50479629999999998</v>
      </c>
      <c r="F4310" t="s">
        <v>61</v>
      </c>
      <c r="G4310">
        <v>-310.88819999999998</v>
      </c>
      <c r="H4310" s="1">
        <v>-9.6230769999999998E-6</v>
      </c>
      <c r="I4310">
        <v>141.4607</v>
      </c>
      <c r="J4310">
        <v>-288.81180000000001</v>
      </c>
      <c r="K4310">
        <v>1.121081</v>
      </c>
      <c r="L4310">
        <v>141.43530000000001</v>
      </c>
      <c r="M4310">
        <v>-0.999888</v>
      </c>
      <c r="N4310">
        <v>-1.2192639999999999E-2</v>
      </c>
      <c r="O4310">
        <v>-8.6910389999999994E-3</v>
      </c>
      <c r="P4310">
        <v>-0.99578920000000004</v>
      </c>
      <c r="Q4310">
        <v>-9.0966749999999999E-2</v>
      </c>
      <c r="R4310">
        <v>-1.136E-2</v>
      </c>
      <c r="S4310">
        <v>-2.9989620000000001</v>
      </c>
      <c r="T4310">
        <v>-0.15018029999999999</v>
      </c>
      <c r="U4310">
        <v>3.005981E-3</v>
      </c>
      <c r="V4310">
        <v>-2.6570500000000002E-3</v>
      </c>
      <c r="W4310">
        <v>-7.881958E-2</v>
      </c>
      <c r="X4310">
        <v>0.99688540000000003</v>
      </c>
      <c r="Y4310">
        <v>9.6726729999999997E-3</v>
      </c>
      <c r="Z4310">
        <v>6.300829E-4</v>
      </c>
      <c r="AA4310">
        <v>0.99995299999999998</v>
      </c>
      <c r="AB4310">
        <v>29</v>
      </c>
      <c r="AC4310">
        <v>-22.0763999999999</v>
      </c>
      <c r="AD4310">
        <v>-1.1210906230769999</v>
      </c>
      <c r="AE4310">
        <v>2.53999999999905E-2</v>
      </c>
      <c r="AF4310">
        <v>0.21672124778518301</v>
      </c>
      <c r="AG4310">
        <v>-1.1210906230769999</v>
      </c>
      <c r="AH4310">
        <v>22.018562984968099</v>
      </c>
      <c r="AI4310">
        <v>92.914596992736705</v>
      </c>
      <c r="AJ4310">
        <v>89.4360752844823</v>
      </c>
      <c r="AK4310">
        <v>22.0481502218984</v>
      </c>
      <c r="AL4310">
        <v>94.520718192912</v>
      </c>
      <c r="AM4310">
        <v>90.152713030457406</v>
      </c>
      <c r="AN4310">
        <v>1.0000000434196099</v>
      </c>
    </row>
    <row r="4311" spans="1:40" x14ac:dyDescent="0.25">
      <c r="A4311" t="str">
        <f>"20190303154600209"</f>
        <v>20190303154600209</v>
      </c>
      <c r="B4311" t="str">
        <f>"1551599160205826"</f>
        <v>1551599160205826</v>
      </c>
      <c r="C4311" t="s">
        <v>40</v>
      </c>
      <c r="D4311">
        <v>4.9830949999999996</v>
      </c>
      <c r="E4311">
        <v>0.50490889999999999</v>
      </c>
      <c r="F4311" t="s">
        <v>61</v>
      </c>
      <c r="G4311">
        <v>-311.11559999999997</v>
      </c>
      <c r="H4311" s="1">
        <v>-9.5382740000000004E-6</v>
      </c>
      <c r="I4311">
        <v>141.46369999999999</v>
      </c>
      <c r="J4311">
        <v>-289.10079999999999</v>
      </c>
      <c r="K4311">
        <v>1.121092</v>
      </c>
      <c r="L4311">
        <v>141.4324</v>
      </c>
      <c r="M4311">
        <v>-0.99988180000000004</v>
      </c>
      <c r="N4311">
        <v>-1.245222E-2</v>
      </c>
      <c r="O4311">
        <v>-9.0157180000000007E-3</v>
      </c>
      <c r="P4311">
        <v>-0.99576229999999999</v>
      </c>
      <c r="Q4311">
        <v>-9.1307570000000005E-2</v>
      </c>
      <c r="R4311">
        <v>-1.097881E-2</v>
      </c>
      <c r="S4311">
        <v>-2.998993</v>
      </c>
      <c r="T4311">
        <v>-0.15074270000000001</v>
      </c>
      <c r="U4311">
        <v>3.8299559999999998E-3</v>
      </c>
      <c r="V4311">
        <v>-1.9525650000000001E-3</v>
      </c>
      <c r="W4311">
        <v>-7.8901520000000003E-2</v>
      </c>
      <c r="X4311">
        <v>0.99688049999999995</v>
      </c>
      <c r="Y4311">
        <v>1.027082E-2</v>
      </c>
      <c r="Z4311">
        <v>6.6262759999999895E-4</v>
      </c>
      <c r="AA4311">
        <v>0.99994700000000003</v>
      </c>
      <c r="AB4311">
        <v>29</v>
      </c>
      <c r="AC4311">
        <v>-22.014799999999902</v>
      </c>
      <c r="AD4311">
        <v>-1.1211015382739999</v>
      </c>
      <c r="AE4311">
        <v>3.12999999999874E-2</v>
      </c>
      <c r="AF4311">
        <v>0.22919895953232899</v>
      </c>
      <c r="AG4311">
        <v>-1.1211015382739999</v>
      </c>
      <c r="AH4311">
        <v>21.9566817623028</v>
      </c>
      <c r="AI4311">
        <v>92.922807846317298</v>
      </c>
      <c r="AJ4311">
        <v>89.401928932747893</v>
      </c>
      <c r="AK4311">
        <v>21.986479364218599</v>
      </c>
      <c r="AL4311">
        <v>94.5254278871287</v>
      </c>
      <c r="AM4311">
        <v>90.112223672406898</v>
      </c>
      <c r="AN4311">
        <v>0.99999999682431895</v>
      </c>
    </row>
    <row r="4312" spans="1:40" x14ac:dyDescent="0.25">
      <c r="A4312" t="str">
        <f>"20190303154600230"</f>
        <v>20190303154600230</v>
      </c>
      <c r="B4312" t="str">
        <f>"1551599160225346"</f>
        <v>1551599160225346</v>
      </c>
      <c r="C4312" t="s">
        <v>40</v>
      </c>
      <c r="D4312">
        <v>4.9717969999999996</v>
      </c>
      <c r="E4312">
        <v>0.50499780000000005</v>
      </c>
      <c r="F4312" t="s">
        <v>61</v>
      </c>
      <c r="G4312">
        <v>-311.28300000000002</v>
      </c>
      <c r="H4312" s="1">
        <v>-9.4784269999999994E-6</v>
      </c>
      <c r="I4312">
        <v>141.47569999999999</v>
      </c>
      <c r="J4312">
        <v>-289.38249999999999</v>
      </c>
      <c r="K4312">
        <v>1.1210929999999999</v>
      </c>
      <c r="L4312">
        <v>141.42949999999999</v>
      </c>
      <c r="M4312">
        <v>-0.99987619999999999</v>
      </c>
      <c r="N4312">
        <v>-1.267479E-2</v>
      </c>
      <c r="O4312">
        <v>-9.3325630000000003E-3</v>
      </c>
      <c r="P4312">
        <v>-0.99579209999999996</v>
      </c>
      <c r="Q4312">
        <v>-9.0980220000000001E-2</v>
      </c>
      <c r="R4312">
        <v>-1.099E-2</v>
      </c>
      <c r="S4312">
        <v>-2.9989319999999999</v>
      </c>
      <c r="T4312">
        <v>-0.15156789999999901</v>
      </c>
      <c r="U4312">
        <v>5.859375E-3</v>
      </c>
      <c r="V4312">
        <v>-1.6488879999999901E-3</v>
      </c>
      <c r="W4312">
        <v>-7.835172E-2</v>
      </c>
      <c r="X4312">
        <v>0.99692440000000004</v>
      </c>
      <c r="Y4312">
        <v>1.1262350000000001E-2</v>
      </c>
      <c r="Z4312">
        <v>7.0898640000000002E-4</v>
      </c>
      <c r="AA4312">
        <v>0.9999363</v>
      </c>
      <c r="AB4312">
        <v>29</v>
      </c>
      <c r="AC4312">
        <v>-21.900500000000001</v>
      </c>
      <c r="AD4312">
        <v>-1.1211024784270001</v>
      </c>
      <c r="AE4312">
        <v>4.6199999999998902E-2</v>
      </c>
      <c r="AF4312">
        <v>0.24994720521788599</v>
      </c>
      <c r="AG4312">
        <v>-1.1211024784270001</v>
      </c>
      <c r="AH4312">
        <v>21.841878718392799</v>
      </c>
      <c r="AI4312">
        <v>92.938113780905198</v>
      </c>
      <c r="AJ4312">
        <v>89.344365241208905</v>
      </c>
      <c r="AK4312">
        <v>21.8720600383574</v>
      </c>
      <c r="AL4312">
        <v>94.493828893521098</v>
      </c>
      <c r="AM4312">
        <v>90.094765698523204</v>
      </c>
      <c r="AN4312">
        <v>0.99999998508697696</v>
      </c>
    </row>
    <row r="4313" spans="1:40" x14ac:dyDescent="0.25">
      <c r="A4313" t="str">
        <f>"20190303154600252"</f>
        <v>20190303154600252</v>
      </c>
      <c r="B4313" t="str">
        <f>"1551599160245842"</f>
        <v>1551599160245842</v>
      </c>
      <c r="C4313" t="s">
        <v>40</v>
      </c>
      <c r="D4313">
        <v>4.9656880000000001</v>
      </c>
      <c r="E4313">
        <v>0.50507460000000004</v>
      </c>
      <c r="F4313" t="s">
        <v>61</v>
      </c>
      <c r="G4313">
        <v>-311.72710000000001</v>
      </c>
      <c r="H4313" s="1">
        <v>-9.3118120000000007E-6</v>
      </c>
      <c r="I4313">
        <v>141.4778</v>
      </c>
      <c r="J4313">
        <v>-289.67009999999999</v>
      </c>
      <c r="K4313">
        <v>1.1211070000000001</v>
      </c>
      <c r="L4313">
        <v>141.4265</v>
      </c>
      <c r="M4313">
        <v>-0.9998707</v>
      </c>
      <c r="N4313">
        <v>-1.287395E-2</v>
      </c>
      <c r="O4313">
        <v>-9.655594E-3</v>
      </c>
      <c r="P4313">
        <v>-0.99585440000000003</v>
      </c>
      <c r="Q4313">
        <v>-9.027019E-2</v>
      </c>
      <c r="R4313">
        <v>-1.120753E-2</v>
      </c>
      <c r="S4313">
        <v>-2.9990230000000002</v>
      </c>
      <c r="T4313">
        <v>-0.15047099999999999</v>
      </c>
      <c r="U4313">
        <v>6.4849850000000004E-3</v>
      </c>
      <c r="V4313">
        <v>-1.544892E-3</v>
      </c>
      <c r="W4313">
        <v>-7.7442269999999994E-2</v>
      </c>
      <c r="X4313">
        <v>0.99699559999999998</v>
      </c>
      <c r="Y4313">
        <v>1.179327E-2</v>
      </c>
      <c r="Z4313">
        <v>7.3153390000000001E-4</v>
      </c>
      <c r="AA4313">
        <v>0.99993019999999999</v>
      </c>
      <c r="AB4313">
        <v>29</v>
      </c>
      <c r="AC4313">
        <v>-22.056999999999999</v>
      </c>
      <c r="AD4313">
        <v>-1.121116311812</v>
      </c>
      <c r="AE4313">
        <v>5.1299999999997598E-2</v>
      </c>
      <c r="AF4313">
        <v>0.26360762849444203</v>
      </c>
      <c r="AG4313">
        <v>-1.121116311812</v>
      </c>
      <c r="AH4313">
        <v>21.998643054859599</v>
      </c>
      <c r="AI4313">
        <v>92.917230344979401</v>
      </c>
      <c r="AJ4313">
        <v>89.313463031515496</v>
      </c>
      <c r="AK4313">
        <v>22.028769530355799</v>
      </c>
      <c r="AL4313">
        <v>94.441562543443197</v>
      </c>
      <c r="AM4313">
        <v>90.0887824585771</v>
      </c>
      <c r="AN4313">
        <v>0.99999995914670103</v>
      </c>
    </row>
    <row r="4314" spans="1:40" x14ac:dyDescent="0.25">
      <c r="A4314" t="str">
        <f>"20190303154600274"</f>
        <v>20190303154600274</v>
      </c>
      <c r="B4314" t="str">
        <f>"1551599160265362"</f>
        <v>1551599160265362</v>
      </c>
      <c r="C4314" t="s">
        <v>40</v>
      </c>
      <c r="D4314">
        <v>5.1107180000000003</v>
      </c>
      <c r="E4314">
        <v>0.50520109999999996</v>
      </c>
      <c r="F4314" t="s">
        <v>61</v>
      </c>
      <c r="G4314">
        <v>-312.36619999999999</v>
      </c>
      <c r="H4314" s="1">
        <v>-9.0706639999999993E-6</v>
      </c>
      <c r="I4314">
        <v>141.47579999999999</v>
      </c>
      <c r="J4314">
        <v>-289.95620000000002</v>
      </c>
      <c r="K4314">
        <v>1.1211169999999999</v>
      </c>
      <c r="L4314">
        <v>141.42330000000001</v>
      </c>
      <c r="M4314">
        <v>-0.99986520000000001</v>
      </c>
      <c r="N4314">
        <v>-1.3046810000000001E-2</v>
      </c>
      <c r="O4314">
        <v>-9.9764450000000005E-3</v>
      </c>
      <c r="P4314">
        <v>-0.9959384</v>
      </c>
      <c r="Q4314">
        <v>-8.9333659999999995E-2</v>
      </c>
      <c r="R4314">
        <v>-1.1250909999999999E-2</v>
      </c>
      <c r="S4314">
        <v>-2.9991460000000001</v>
      </c>
      <c r="T4314">
        <v>-0.14814820000000001</v>
      </c>
      <c r="U4314">
        <v>6.5155029999999997E-3</v>
      </c>
      <c r="V4314">
        <v>-1.2683149999999999E-3</v>
      </c>
      <c r="W4314">
        <v>-7.6332179999999999E-2</v>
      </c>
      <c r="X4314">
        <v>0.99708160000000001</v>
      </c>
      <c r="Y4314">
        <v>1.2124329999999999E-2</v>
      </c>
      <c r="Z4314">
        <v>7.4081470000000003E-4</v>
      </c>
      <c r="AA4314">
        <v>0.99992619999999999</v>
      </c>
      <c r="AB4314">
        <v>29</v>
      </c>
      <c r="AC4314">
        <v>-22.409999999999901</v>
      </c>
      <c r="AD4314">
        <v>-1.1211260706639901</v>
      </c>
      <c r="AE4314">
        <v>5.2499999999980597E-2</v>
      </c>
      <c r="AF4314">
        <v>0.27539926721702601</v>
      </c>
      <c r="AG4314">
        <v>-1.1211260706639901</v>
      </c>
      <c r="AH4314">
        <v>22.352417546638101</v>
      </c>
      <c r="AI4314">
        <v>92.871150035149597</v>
      </c>
      <c r="AJ4314">
        <v>89.294106899389604</v>
      </c>
      <c r="AK4314">
        <v>22.3822103153813</v>
      </c>
      <c r="AL4314">
        <v>94.377770207391507</v>
      </c>
      <c r="AM4314">
        <v>90.072881755514302</v>
      </c>
      <c r="AN4314">
        <v>0.99999996369252497</v>
      </c>
    </row>
    <row r="4315" spans="1:40" x14ac:dyDescent="0.25">
      <c r="A4315" t="str">
        <f>"20190303154600295"</f>
        <v>20190303154600295</v>
      </c>
      <c r="B4315" t="str">
        <f>"1551599160285859"</f>
        <v>1551599160285859</v>
      </c>
      <c r="C4315" t="s">
        <v>40</v>
      </c>
      <c r="D4315">
        <v>4.9899259999999996</v>
      </c>
      <c r="E4315">
        <v>0.50517109999999998</v>
      </c>
      <c r="F4315" t="s">
        <v>61</v>
      </c>
      <c r="G4315">
        <v>-313.1429</v>
      </c>
      <c r="H4315" s="1">
        <v>-8.7796990000000006E-6</v>
      </c>
      <c r="I4315">
        <v>141.48099999999999</v>
      </c>
      <c r="J4315">
        <v>-290.23070000000001</v>
      </c>
      <c r="K4315">
        <v>1.121124</v>
      </c>
      <c r="L4315">
        <v>141.4203</v>
      </c>
      <c r="M4315">
        <v>-0.99986010000000003</v>
      </c>
      <c r="N4315">
        <v>-1.319156E-2</v>
      </c>
      <c r="O4315">
        <v>-1.028425E-2</v>
      </c>
      <c r="P4315">
        <v>-0.99596709999999999</v>
      </c>
      <c r="Q4315">
        <v>-8.906683E-2</v>
      </c>
      <c r="R4315">
        <v>-1.0791780000000001E-2</v>
      </c>
      <c r="S4315">
        <v>-2.999298</v>
      </c>
      <c r="T4315">
        <v>-0.14502290000000001</v>
      </c>
      <c r="U4315">
        <v>7.4615480000000001E-3</v>
      </c>
      <c r="V4315">
        <v>-5.0286329999999998E-4</v>
      </c>
      <c r="W4315">
        <v>-7.5920280000000007E-2</v>
      </c>
      <c r="X4315">
        <v>0.99711380000000005</v>
      </c>
      <c r="Y4315">
        <v>1.2747420000000001E-2</v>
      </c>
      <c r="Z4315">
        <v>7.5350440000000003E-4</v>
      </c>
      <c r="AA4315">
        <v>0.99991850000000004</v>
      </c>
      <c r="AB4315">
        <v>29</v>
      </c>
      <c r="AC4315">
        <v>-22.912199999999899</v>
      </c>
      <c r="AD4315">
        <v>-1.121132779699</v>
      </c>
      <c r="AE4315">
        <v>6.0699999999996999E-2</v>
      </c>
      <c r="AF4315">
        <v>0.29564422765241799</v>
      </c>
      <c r="AG4315">
        <v>-1.121132779699</v>
      </c>
      <c r="AH4315">
        <v>22.855640662803399</v>
      </c>
      <c r="AI4315">
        <v>92.808031947171003</v>
      </c>
      <c r="AJ4315">
        <v>89.258904090075305</v>
      </c>
      <c r="AK4315">
        <v>22.885031228430801</v>
      </c>
      <c r="AL4315">
        <v>94.354101077028403</v>
      </c>
      <c r="AM4315">
        <v>90.0288953400498</v>
      </c>
      <c r="AN4315">
        <v>1.0000000359686001</v>
      </c>
    </row>
    <row r="4316" spans="1:40" x14ac:dyDescent="0.25">
      <c r="A4316" t="str">
        <f>"20190303154600432"</f>
        <v>20190303154600432</v>
      </c>
      <c r="B4316" t="str">
        <f>"1551599160425426"</f>
        <v>1551599160425426</v>
      </c>
      <c r="C4316" t="s">
        <v>40</v>
      </c>
      <c r="D4316">
        <v>4.4546219999999996</v>
      </c>
      <c r="E4316">
        <v>0.5053725</v>
      </c>
      <c r="F4316" t="s">
        <v>61</v>
      </c>
      <c r="G4316">
        <v>-313.38099999999997</v>
      </c>
      <c r="H4316" s="1">
        <v>-8.6916059999999997E-6</v>
      </c>
      <c r="I4316">
        <v>141.48689999999999</v>
      </c>
      <c r="J4316">
        <v>-291.98829999999998</v>
      </c>
      <c r="K4316">
        <v>1.121138</v>
      </c>
      <c r="L4316">
        <v>141.39840000000001</v>
      </c>
      <c r="M4316">
        <v>-0.99982959999999999</v>
      </c>
      <c r="N4316">
        <v>-1.376147E-2</v>
      </c>
      <c r="O4316">
        <v>-1.230736E-2</v>
      </c>
      <c r="P4316">
        <v>-0.99579669999999998</v>
      </c>
      <c r="Q4316">
        <v>-9.1414819999999994E-2</v>
      </c>
      <c r="R4316">
        <v>-5.6888190000000003E-3</v>
      </c>
      <c r="S4316">
        <v>-2.9992369999999999</v>
      </c>
      <c r="T4316">
        <v>-0.1452484</v>
      </c>
      <c r="U4316">
        <v>8.6364749999999994E-3</v>
      </c>
      <c r="V4316">
        <v>6.6147580000000001E-3</v>
      </c>
      <c r="W4316">
        <v>-7.7698690000000001E-2</v>
      </c>
      <c r="X4316">
        <v>0.99695489999999998</v>
      </c>
      <c r="Y4316">
        <v>1.515759E-2</v>
      </c>
      <c r="Z4316">
        <v>8.9755339999999996E-4</v>
      </c>
      <c r="AA4316">
        <v>0.99988469999999996</v>
      </c>
      <c r="AB4316">
        <v>29</v>
      </c>
      <c r="AC4316">
        <v>-21.392699999999898</v>
      </c>
      <c r="AD4316">
        <v>-1.121146691606</v>
      </c>
      <c r="AE4316">
        <v>8.8499999999981996E-2</v>
      </c>
      <c r="AF4316">
        <v>0.35084227679909102</v>
      </c>
      <c r="AG4316">
        <v>-1.121146691606</v>
      </c>
      <c r="AH4316">
        <v>21.331402546305601</v>
      </c>
      <c r="AI4316">
        <v>93.008206295636896</v>
      </c>
      <c r="AJ4316">
        <v>89.057728651403707</v>
      </c>
      <c r="AK4316">
        <v>21.363726145029599</v>
      </c>
      <c r="AL4316">
        <v>94.456298739299797</v>
      </c>
      <c r="AM4316">
        <v>89.619850251457095</v>
      </c>
      <c r="AN4316">
        <v>0.99999995704256095</v>
      </c>
    </row>
    <row r="4317" spans="1:40" x14ac:dyDescent="0.25">
      <c r="A4317" t="str">
        <f>"20190303154600454"</f>
        <v>20190303154600454</v>
      </c>
      <c r="B4317" t="str">
        <f>"1551599160445923"</f>
        <v>1551599160445923</v>
      </c>
      <c r="C4317" t="s">
        <v>40</v>
      </c>
      <c r="D4317">
        <v>5.0115619999999996</v>
      </c>
      <c r="E4317">
        <v>0.50543090000000002</v>
      </c>
      <c r="F4317" t="s">
        <v>61</v>
      </c>
      <c r="G4317">
        <v>-314.23820000000001</v>
      </c>
      <c r="H4317" s="1">
        <v>-8.3947779999999995E-6</v>
      </c>
      <c r="I4317">
        <v>141.5848</v>
      </c>
      <c r="J4317">
        <v>-292.2749</v>
      </c>
      <c r="K4317">
        <v>1.121148</v>
      </c>
      <c r="L4317">
        <v>141.39449999999999</v>
      </c>
      <c r="M4317">
        <v>-0.99982479999999996</v>
      </c>
      <c r="N4317">
        <v>-1.3813999999999899E-2</v>
      </c>
      <c r="O4317">
        <v>-1.263427E-2</v>
      </c>
      <c r="P4317">
        <v>-0.99589839999999996</v>
      </c>
      <c r="Q4317">
        <v>-9.0235040000000002E-2</v>
      </c>
      <c r="R4317">
        <v>-6.6645580000000001E-3</v>
      </c>
      <c r="S4317">
        <v>-2.9989319999999999</v>
      </c>
      <c r="T4317">
        <v>-0.15111260000000001</v>
      </c>
      <c r="U4317">
        <v>2.5131230000000001E-2</v>
      </c>
      <c r="V4317">
        <v>5.9646609999999996E-3</v>
      </c>
      <c r="W4317">
        <v>-7.6465539999999999E-2</v>
      </c>
      <c r="X4317">
        <v>0.99705440000000001</v>
      </c>
      <c r="Y4317">
        <v>2.0971779999999999E-2</v>
      </c>
      <c r="Z4317">
        <v>1.134756E-3</v>
      </c>
      <c r="AA4317">
        <v>0.99977939999999998</v>
      </c>
      <c r="AB4317">
        <v>29</v>
      </c>
      <c r="AC4317">
        <v>-21.9633</v>
      </c>
      <c r="AD4317">
        <v>-1.1211563947779899</v>
      </c>
      <c r="AE4317">
        <v>0.19030000000000699</v>
      </c>
      <c r="AF4317">
        <v>0.46658581194491799</v>
      </c>
      <c r="AG4317">
        <v>-1.1211563947779899</v>
      </c>
      <c r="AH4317">
        <v>21.902074488369699</v>
      </c>
      <c r="AI4317">
        <v>92.929721368214004</v>
      </c>
      <c r="AJ4317">
        <v>88.779597120496803</v>
      </c>
      <c r="AK4317">
        <v>21.935714277760699</v>
      </c>
      <c r="AL4317">
        <v>94.385433339222899</v>
      </c>
      <c r="AM4317">
        <v>89.657244554761306</v>
      </c>
      <c r="AN4317">
        <v>1.0000000162738401</v>
      </c>
    </row>
    <row r="4318" spans="1:40" x14ac:dyDescent="0.25">
      <c r="A4318" t="str">
        <f>"20190303154600477"</f>
        <v>20190303154600477</v>
      </c>
      <c r="B4318" t="str">
        <f>"1551599160465442"</f>
        <v>1551599160465442</v>
      </c>
      <c r="C4318" t="s">
        <v>40</v>
      </c>
      <c r="D4318">
        <v>5.0154500000000004</v>
      </c>
      <c r="E4318">
        <v>0.50547209999999998</v>
      </c>
      <c r="F4318" t="s">
        <v>61</v>
      </c>
      <c r="G4318">
        <v>-315.2765</v>
      </c>
      <c r="H4318" s="1">
        <v>-7.9780200000000002E-6</v>
      </c>
      <c r="I4318">
        <v>141.5677</v>
      </c>
      <c r="J4318">
        <v>-292.5625</v>
      </c>
      <c r="K4318">
        <v>1.121156</v>
      </c>
      <c r="L4318">
        <v>141.3905</v>
      </c>
      <c r="M4318">
        <v>-0.99982020000000005</v>
      </c>
      <c r="N4318">
        <v>-1.3859170000000001E-2</v>
      </c>
      <c r="O4318">
        <v>-1.2947810000000001E-2</v>
      </c>
      <c r="P4318">
        <v>-0.99608209999999997</v>
      </c>
      <c r="Q4318">
        <v>-8.806282E-2</v>
      </c>
      <c r="R4318">
        <v>-8.1089149999999995E-3</v>
      </c>
      <c r="S4318">
        <v>-2.999298</v>
      </c>
      <c r="T4318">
        <v>-0.1461935</v>
      </c>
      <c r="U4318">
        <v>2.2583010000000001E-2</v>
      </c>
      <c r="V4318">
        <v>4.8320610000000003E-3</v>
      </c>
      <c r="W4318">
        <v>-7.4246469999999995E-2</v>
      </c>
      <c r="X4318">
        <v>0.99722820000000001</v>
      </c>
      <c r="Y4318">
        <v>2.0438230000000002E-2</v>
      </c>
      <c r="Z4318">
        <v>1.090892E-3</v>
      </c>
      <c r="AA4318">
        <v>0.99979050000000003</v>
      </c>
      <c r="AB4318">
        <v>29</v>
      </c>
      <c r="AC4318">
        <v>-22.713999999999999</v>
      </c>
      <c r="AD4318">
        <v>-1.12116397802</v>
      </c>
      <c r="AE4318">
        <v>0.177199999999999</v>
      </c>
      <c r="AF4318">
        <v>0.47016447983970999</v>
      </c>
      <c r="AG4318">
        <v>-1.12116397802</v>
      </c>
      <c r="AH4318">
        <v>22.654608390747399</v>
      </c>
      <c r="AI4318">
        <v>92.832615782110096</v>
      </c>
      <c r="AJ4318">
        <v>88.811077492904303</v>
      </c>
      <c r="AK4318">
        <v>22.687206629328202</v>
      </c>
      <c r="AL4318">
        <v>94.257927564283307</v>
      </c>
      <c r="AM4318">
        <v>89.722375946722295</v>
      </c>
      <c r="AN4318">
        <v>0.99999998499810405</v>
      </c>
    </row>
    <row r="4319" spans="1:40" x14ac:dyDescent="0.25">
      <c r="A4319" t="str">
        <f>"20190303154600499"</f>
        <v>20190303154600499</v>
      </c>
      <c r="B4319" t="str">
        <f>"1551599160495699"</f>
        <v>1551599160495699</v>
      </c>
      <c r="C4319" t="s">
        <v>40</v>
      </c>
      <c r="D4319">
        <v>4.9244890000000003</v>
      </c>
      <c r="E4319">
        <v>0.50566940000000005</v>
      </c>
      <c r="F4319" t="s">
        <v>61</v>
      </c>
      <c r="G4319">
        <v>-317.20389999999998</v>
      </c>
      <c r="H4319" s="1">
        <v>-7.1163209999999999E-6</v>
      </c>
      <c r="I4319">
        <v>141.5411</v>
      </c>
      <c r="J4319">
        <v>-292.84769999999997</v>
      </c>
      <c r="K4319">
        <v>1.1211519999999999</v>
      </c>
      <c r="L4319">
        <v>141.38640000000001</v>
      </c>
      <c r="M4319">
        <v>-0.99981580000000003</v>
      </c>
      <c r="N4319">
        <v>-1.389746E-2</v>
      </c>
      <c r="O4319">
        <v>-1.323964E-2</v>
      </c>
      <c r="P4319">
        <v>-0.99616340000000003</v>
      </c>
      <c r="Q4319">
        <v>-8.6958320000000006E-2</v>
      </c>
      <c r="R4319">
        <v>-9.8401259999999994E-3</v>
      </c>
      <c r="S4319">
        <v>-2.9998779999999998</v>
      </c>
      <c r="T4319">
        <v>-0.13649210000000001</v>
      </c>
      <c r="U4319">
        <v>1.8341059999999999E-2</v>
      </c>
      <c r="V4319">
        <v>3.389563E-3</v>
      </c>
      <c r="W4319">
        <v>-7.3103409999999994E-2</v>
      </c>
      <c r="X4319">
        <v>0.99731860000000006</v>
      </c>
      <c r="Y4319">
        <v>1.932126E-2</v>
      </c>
      <c r="Z4319">
        <v>9.9180509999999993E-4</v>
      </c>
      <c r="AA4319">
        <v>0.99981279999999995</v>
      </c>
      <c r="AB4319">
        <v>29</v>
      </c>
      <c r="AC4319">
        <v>-24.356200000000001</v>
      </c>
      <c r="AD4319">
        <v>-1.121159116321</v>
      </c>
      <c r="AE4319">
        <v>0.15469999999999101</v>
      </c>
      <c r="AF4319">
        <v>0.47617595310877903</v>
      </c>
      <c r="AG4319">
        <v>-1.121159116321</v>
      </c>
      <c r="AH4319">
        <v>24.300527547298799</v>
      </c>
      <c r="AI4319">
        <v>92.641089197992599</v>
      </c>
      <c r="AJ4319">
        <v>88.877416089627303</v>
      </c>
      <c r="AK4319">
        <v>24.331037388065798</v>
      </c>
      <c r="AL4319">
        <v>94.192256535477995</v>
      </c>
      <c r="AM4319">
        <v>89.805270946982503</v>
      </c>
      <c r="AN4319">
        <v>0.99999999379845905</v>
      </c>
    </row>
    <row r="4320" spans="1:40" x14ac:dyDescent="0.25">
      <c r="A4320" t="str">
        <f>"20190303154600523"</f>
        <v>20190303154600523</v>
      </c>
      <c r="B4320" t="str">
        <f>"1551599160515218"</f>
        <v>1551599160515218</v>
      </c>
      <c r="C4320" t="s">
        <v>40</v>
      </c>
      <c r="D4320">
        <v>5.0432699999999997</v>
      </c>
      <c r="E4320">
        <v>0.50566909999999998</v>
      </c>
      <c r="F4320" t="s">
        <v>61</v>
      </c>
      <c r="G4320">
        <v>-318.45139999999998</v>
      </c>
      <c r="H4320" s="1">
        <v>-6.5551939999999998E-6</v>
      </c>
      <c r="I4320">
        <v>141.5112</v>
      </c>
      <c r="J4320">
        <v>-293.14350000000002</v>
      </c>
      <c r="K4320">
        <v>1.121146</v>
      </c>
      <c r="L4320">
        <v>141.38220000000001</v>
      </c>
      <c r="M4320">
        <v>-0.99981160000000002</v>
      </c>
      <c r="N4320">
        <v>-1.393116E-2</v>
      </c>
      <c r="O4320">
        <v>-1.35233E-2</v>
      </c>
      <c r="P4320">
        <v>-0.99618200000000001</v>
      </c>
      <c r="Q4320">
        <v>-8.654481E-2</v>
      </c>
      <c r="R4320">
        <v>-1.148734E-2</v>
      </c>
      <c r="S4320">
        <v>-3.0002439999999999</v>
      </c>
      <c r="T4320">
        <v>-0.13137760000000001</v>
      </c>
      <c r="U4320">
        <v>1.461792E-2</v>
      </c>
      <c r="V4320">
        <v>2.0223139999999999E-3</v>
      </c>
      <c r="W4320">
        <v>-7.2656559999999995E-2</v>
      </c>
      <c r="X4320">
        <v>0.99735499999999999</v>
      </c>
      <c r="Y4320">
        <v>1.8366960000000002E-2</v>
      </c>
      <c r="Z4320">
        <v>9.3349519999999997E-4</v>
      </c>
      <c r="AA4320">
        <v>0.99983089999999997</v>
      </c>
      <c r="AB4320">
        <v>29</v>
      </c>
      <c r="AC4320">
        <v>-25.307899999999901</v>
      </c>
      <c r="AD4320">
        <v>-1.121152555194</v>
      </c>
      <c r="AE4320">
        <v>0.12899999999999001</v>
      </c>
      <c r="AF4320">
        <v>0.470344665079374</v>
      </c>
      <c r="AG4320">
        <v>-1.121152555194</v>
      </c>
      <c r="AH4320">
        <v>25.254279524646599</v>
      </c>
      <c r="AI4320">
        <v>92.5415115095863</v>
      </c>
      <c r="AJ4320">
        <v>88.933026421435301</v>
      </c>
      <c r="AK4320">
        <v>25.2835290548011</v>
      </c>
      <c r="AL4320">
        <v>94.166585495688807</v>
      </c>
      <c r="AM4320">
        <v>89.883822813088898</v>
      </c>
      <c r="AN4320">
        <v>1.0000000307449699</v>
      </c>
    </row>
    <row r="4321" spans="1:40" x14ac:dyDescent="0.25">
      <c r="A4321" t="str">
        <f>"20190303154600542"</f>
        <v>20190303154600542</v>
      </c>
      <c r="B4321" t="str">
        <f>"1551599160535715"</f>
        <v>1551599160535715</v>
      </c>
      <c r="C4321" t="s">
        <v>40</v>
      </c>
      <c r="D4321">
        <v>5.0786680000000004</v>
      </c>
      <c r="E4321">
        <v>0.50558289999999995</v>
      </c>
      <c r="F4321" t="s">
        <v>61</v>
      </c>
      <c r="G4321">
        <v>-319.06439999999998</v>
      </c>
      <c r="H4321" s="1">
        <v>-6.2716680000000004E-6</v>
      </c>
      <c r="I4321">
        <v>141.46700000000001</v>
      </c>
      <c r="J4321">
        <v>-293.40499999999997</v>
      </c>
      <c r="K4321">
        <v>1.1211390000000001</v>
      </c>
      <c r="L4321">
        <v>141.3784</v>
      </c>
      <c r="M4321">
        <v>-0.99980800000000003</v>
      </c>
      <c r="N4321">
        <v>-1.3956369999999999E-2</v>
      </c>
      <c r="O4321">
        <v>-1.3759520000000001E-2</v>
      </c>
      <c r="P4321">
        <v>-0.99617160000000005</v>
      </c>
      <c r="Q4321">
        <v>-8.6554420000000007E-2</v>
      </c>
      <c r="R4321">
        <v>-1.227847E-2</v>
      </c>
      <c r="S4321">
        <v>-3.0003359999999999</v>
      </c>
      <c r="T4321">
        <v>-0.1297729</v>
      </c>
      <c r="U4321">
        <v>9.8114010000000008E-3</v>
      </c>
      <c r="V4321">
        <v>1.464328E-3</v>
      </c>
      <c r="W4321">
        <v>-7.2641339999999999E-2</v>
      </c>
      <c r="X4321">
        <v>0.9973571</v>
      </c>
      <c r="Y4321">
        <v>1.7003629999999999E-2</v>
      </c>
      <c r="Z4321">
        <v>8.8915100000000003E-4</v>
      </c>
      <c r="AA4321">
        <v>0.99985500000000005</v>
      </c>
      <c r="AB4321">
        <v>29</v>
      </c>
      <c r="AC4321">
        <v>-25.659400000000002</v>
      </c>
      <c r="AD4321">
        <v>-1.1211452716679999</v>
      </c>
      <c r="AE4321">
        <v>8.8600000000013696E-2</v>
      </c>
      <c r="AF4321">
        <v>0.44084539109533</v>
      </c>
      <c r="AG4321">
        <v>-1.1211452716679999</v>
      </c>
      <c r="AH4321">
        <v>25.606865503501101</v>
      </c>
      <c r="AI4321">
        <v>92.506608781360598</v>
      </c>
      <c r="AJ4321">
        <v>89.013698676788493</v>
      </c>
      <c r="AK4321">
        <v>25.635188165750399</v>
      </c>
      <c r="AL4321">
        <v>94.165711076846705</v>
      </c>
      <c r="AM4321">
        <v>89.915877919817106</v>
      </c>
      <c r="AN4321">
        <v>1.0000000467269401</v>
      </c>
    </row>
    <row r="4322" spans="1:40" x14ac:dyDescent="0.25">
      <c r="A4322" t="str">
        <f>"20190303154600565"</f>
        <v>20190303154600565</v>
      </c>
      <c r="B4322" t="str">
        <f>"1551599160555234"</f>
        <v>1551599160555234</v>
      </c>
      <c r="C4322" t="s">
        <v>40</v>
      </c>
      <c r="D4322">
        <v>5.0732269999999904</v>
      </c>
      <c r="E4322">
        <v>0.5054999</v>
      </c>
      <c r="F4322" t="s">
        <v>61</v>
      </c>
      <c r="G4322">
        <v>-319.31830000000002</v>
      </c>
      <c r="H4322" s="1">
        <v>-6.1511640000000004E-6</v>
      </c>
      <c r="I4322">
        <v>141.43709999999999</v>
      </c>
      <c r="J4322">
        <v>-293.6979</v>
      </c>
      <c r="K4322">
        <v>1.12113</v>
      </c>
      <c r="L4322">
        <v>141.3741</v>
      </c>
      <c r="M4322">
        <v>-0.99980429999999998</v>
      </c>
      <c r="N4322">
        <v>-1.398027E-2</v>
      </c>
      <c r="O4322">
        <v>-1.4011279999999999E-2</v>
      </c>
      <c r="P4322">
        <v>-0.99613549999999995</v>
      </c>
      <c r="Q4322">
        <v>-8.6931120000000001E-2</v>
      </c>
      <c r="R4322">
        <v>-1.254619E-2</v>
      </c>
      <c r="S4322">
        <v>-3.0003359999999999</v>
      </c>
      <c r="T4322">
        <v>-0.12980990000000001</v>
      </c>
      <c r="U4322">
        <v>6.7901609999999899E-3</v>
      </c>
      <c r="V4322">
        <v>1.44539E-3</v>
      </c>
      <c r="W4322">
        <v>-7.2994669999999998E-2</v>
      </c>
      <c r="X4322">
        <v>0.99733130000000003</v>
      </c>
      <c r="Y4322">
        <v>1.6249400000000001E-2</v>
      </c>
      <c r="Z4322">
        <v>8.7508270000000003E-4</v>
      </c>
      <c r="AA4322">
        <v>0.99986759999999997</v>
      </c>
      <c r="AB4322">
        <v>29</v>
      </c>
      <c r="AC4322">
        <v>-25.6204</v>
      </c>
      <c r="AD4322">
        <v>-1.1211361511639999</v>
      </c>
      <c r="AE4322">
        <v>6.2999999999988093E-2</v>
      </c>
      <c r="AF4322">
        <v>0.42119688319236998</v>
      </c>
      <c r="AG4322">
        <v>-1.1211361511639999</v>
      </c>
      <c r="AH4322">
        <v>25.568041929929102</v>
      </c>
      <c r="AI4322">
        <v>92.5104210005033</v>
      </c>
      <c r="AJ4322">
        <v>89.056219434732299</v>
      </c>
      <c r="AK4322">
        <v>25.596076285526099</v>
      </c>
      <c r="AL4322">
        <v>94.186009407371102</v>
      </c>
      <c r="AM4322">
        <v>89.916963712288407</v>
      </c>
      <c r="AN4322">
        <v>1.0000000164801699</v>
      </c>
    </row>
    <row r="4323" spans="1:40" x14ac:dyDescent="0.25">
      <c r="A4323" t="str">
        <f>"20190303154600588"</f>
        <v>20190303154600588</v>
      </c>
      <c r="B4323" t="str">
        <f>"1551599160575730"</f>
        <v>1551599160575730</v>
      </c>
      <c r="C4323" t="s">
        <v>40</v>
      </c>
      <c r="D4323">
        <v>5.1507149999999999</v>
      </c>
      <c r="E4323">
        <v>0.50536559999999997</v>
      </c>
      <c r="F4323" t="s">
        <v>61</v>
      </c>
      <c r="G4323">
        <v>-319.41329999999999</v>
      </c>
      <c r="H4323" s="1">
        <v>-6.1045279999999997E-6</v>
      </c>
      <c r="I4323">
        <v>141.41990000000001</v>
      </c>
      <c r="J4323">
        <v>-293.98309999999998</v>
      </c>
      <c r="K4323">
        <v>1.1211310000000001</v>
      </c>
      <c r="L4323">
        <v>141.3698</v>
      </c>
      <c r="M4323">
        <v>-0.99980049999999998</v>
      </c>
      <c r="N4323">
        <v>-1.3999849999999999E-2</v>
      </c>
      <c r="O4323">
        <v>-1.4248540000000001E-2</v>
      </c>
      <c r="P4323">
        <v>-0.99605840000000001</v>
      </c>
      <c r="Q4323">
        <v>-8.7706010000000001E-2</v>
      </c>
      <c r="R4323">
        <v>-1.3252180000000001E-2</v>
      </c>
      <c r="S4323">
        <v>-3.0003359999999999</v>
      </c>
      <c r="T4323">
        <v>-0.13080820000000001</v>
      </c>
      <c r="U4323">
        <v>5.3405759999999997E-3</v>
      </c>
      <c r="V4323">
        <v>9.7422269999999998E-4</v>
      </c>
      <c r="W4323">
        <v>-7.3751109999999995E-2</v>
      </c>
      <c r="X4323">
        <v>0.99727619999999895</v>
      </c>
      <c r="Y4323">
        <v>1.60033999999999E-2</v>
      </c>
      <c r="Z4323">
        <v>8.8225909999999996E-4</v>
      </c>
      <c r="AA4323">
        <v>0.99987159999999997</v>
      </c>
      <c r="AB4323">
        <v>29</v>
      </c>
      <c r="AC4323">
        <v>-25.430199999999999</v>
      </c>
      <c r="AD4323">
        <v>-1.1211371045280001</v>
      </c>
      <c r="AE4323">
        <v>5.0100000000014598E-2</v>
      </c>
      <c r="AF4323">
        <v>0.41167349305704998</v>
      </c>
      <c r="AG4323">
        <v>-1.1211371045280001</v>
      </c>
      <c r="AH4323">
        <v>25.3775790885433</v>
      </c>
      <c r="AI4323">
        <v>92.529250276670993</v>
      </c>
      <c r="AJ4323">
        <v>89.070632981277797</v>
      </c>
      <c r="AK4323">
        <v>25.4056675540578</v>
      </c>
      <c r="AL4323">
        <v>94.2294674463934</v>
      </c>
      <c r="AM4323">
        <v>89.944028714151699</v>
      </c>
      <c r="AN4323">
        <v>0.99999999721126998</v>
      </c>
    </row>
    <row r="4324" spans="1:40" x14ac:dyDescent="0.25">
      <c r="A4324" t="str">
        <f>"20190303154600610"</f>
        <v>20190303154600610</v>
      </c>
      <c r="B4324" t="str">
        <f>"1551599160605987"</f>
        <v>1551599160605987</v>
      </c>
      <c r="C4324" t="s">
        <v>40</v>
      </c>
      <c r="D4324">
        <v>5.1193920000000004</v>
      </c>
      <c r="E4324">
        <v>0.50520529999999997</v>
      </c>
      <c r="F4324" t="s">
        <v>61</v>
      </c>
      <c r="G4324">
        <v>-319.13499999999999</v>
      </c>
      <c r="H4324" s="1">
        <v>-6.2190570000000002E-6</v>
      </c>
      <c r="I4324">
        <v>141.38630000000001</v>
      </c>
      <c r="J4324">
        <v>-294.27199999999999</v>
      </c>
      <c r="K4324">
        <v>1.1211310000000001</v>
      </c>
      <c r="L4324">
        <v>141.36539999999999</v>
      </c>
      <c r="M4324">
        <v>-0.99979689999999999</v>
      </c>
      <c r="N4324">
        <v>-1.401666E-2</v>
      </c>
      <c r="O4324">
        <v>-1.448439E-2</v>
      </c>
      <c r="P4324">
        <v>-0.99602270000000004</v>
      </c>
      <c r="Q4324">
        <v>-8.8016940000000002E-2</v>
      </c>
      <c r="R4324">
        <v>-1.384907E-2</v>
      </c>
      <c r="S4324">
        <v>-3.0001220000000002</v>
      </c>
      <c r="T4324">
        <v>-0.1337293</v>
      </c>
      <c r="U4324">
        <v>1.9683840000000001E-3</v>
      </c>
      <c r="V4324">
        <v>6.1126189999999997E-4</v>
      </c>
      <c r="W4324">
        <v>-7.4045799999999995E-2</v>
      </c>
      <c r="X4324">
        <v>0.99725469999999905</v>
      </c>
      <c r="Y4324">
        <v>1.511535E-2</v>
      </c>
      <c r="Z4324">
        <v>8.8505189999999996E-4</v>
      </c>
      <c r="AA4324">
        <v>0.99988540000000004</v>
      </c>
      <c r="AB4324">
        <v>29</v>
      </c>
      <c r="AC4324">
        <v>-24.863</v>
      </c>
      <c r="AD4324">
        <v>-1.1211372190569999</v>
      </c>
      <c r="AE4324">
        <v>2.09000000000116E-2</v>
      </c>
      <c r="AF4324">
        <v>0.38028530854270298</v>
      </c>
      <c r="AG4324">
        <v>-1.1211372190569999</v>
      </c>
      <c r="AH4324">
        <v>24.809642041887599</v>
      </c>
      <c r="AI4324">
        <v>92.587108233433199</v>
      </c>
      <c r="AJ4324">
        <v>89.1218318683554</v>
      </c>
      <c r="AK4324">
        <v>24.8378723691552</v>
      </c>
      <c r="AL4324">
        <v>94.246398027384004</v>
      </c>
      <c r="AM4324">
        <v>89.964880864776902</v>
      </c>
      <c r="AN4324">
        <v>1.0000000454054101</v>
      </c>
    </row>
    <row r="4325" spans="1:40" x14ac:dyDescent="0.25">
      <c r="A4325" t="str">
        <f>"20190303154600633"</f>
        <v>20190303154600633</v>
      </c>
      <c r="B4325" t="str">
        <f>"1551599160625507"</f>
        <v>1551599160625507</v>
      </c>
      <c r="C4325" t="s">
        <v>40</v>
      </c>
      <c r="D4325">
        <v>5.195894</v>
      </c>
      <c r="E4325">
        <v>0.50513450000000004</v>
      </c>
      <c r="F4325" t="s">
        <v>61</v>
      </c>
      <c r="G4325">
        <v>-319.11149999999998</v>
      </c>
      <c r="H4325" s="1">
        <v>-6.2215280000000004E-6</v>
      </c>
      <c r="I4325">
        <v>141.3561</v>
      </c>
      <c r="J4325">
        <v>-294.55720000000002</v>
      </c>
      <c r="K4325">
        <v>1.121135</v>
      </c>
      <c r="L4325">
        <v>141.36109999999999</v>
      </c>
      <c r="M4325">
        <v>-0.99979340000000005</v>
      </c>
      <c r="N4325">
        <v>-1.403065E-2</v>
      </c>
      <c r="O4325">
        <v>-1.4714140000000001E-2</v>
      </c>
      <c r="P4325">
        <v>-0.99601850000000003</v>
      </c>
      <c r="Q4325">
        <v>-8.8056430000000005E-2</v>
      </c>
      <c r="R4325">
        <v>-1.3921869999999999E-2</v>
      </c>
      <c r="S4325">
        <v>-2.9999690000000001</v>
      </c>
      <c r="T4325">
        <v>-0.13540469999999999</v>
      </c>
      <c r="U4325">
        <v>-1.12915E-3</v>
      </c>
      <c r="V4325">
        <v>7.6702710000000002E-4</v>
      </c>
      <c r="W4325">
        <v>-7.4071310000000001E-2</v>
      </c>
      <c r="X4325">
        <v>0.99725260000000004</v>
      </c>
      <c r="Y4325">
        <v>1.4313019999999999E-2</v>
      </c>
      <c r="Z4325">
        <v>8.8070889999999999E-4</v>
      </c>
      <c r="AA4325">
        <v>0.99989720000000004</v>
      </c>
      <c r="AB4325">
        <v>28</v>
      </c>
      <c r="AC4325">
        <v>-24.554299999999898</v>
      </c>
      <c r="AD4325">
        <v>-1.1211412215280001</v>
      </c>
      <c r="AE4325">
        <v>-4.9999999999954499E-3</v>
      </c>
      <c r="AF4325">
        <v>0.35559014284260898</v>
      </c>
      <c r="AG4325">
        <v>-1.1211412215280001</v>
      </c>
      <c r="AH4325">
        <v>24.500635779563201</v>
      </c>
      <c r="AI4325">
        <v>92.619733247438205</v>
      </c>
      <c r="AJ4325">
        <v>89.168495697041493</v>
      </c>
      <c r="AK4325">
        <v>24.528851493518999</v>
      </c>
      <c r="AL4325">
        <v>94.247864083038195</v>
      </c>
      <c r="AM4325">
        <v>89.955931519320103</v>
      </c>
      <c r="AN4325">
        <v>0.99999994775122203</v>
      </c>
    </row>
    <row r="4326" spans="1:40" x14ac:dyDescent="0.25">
      <c r="A4326" t="str">
        <f>"20190303154600653"</f>
        <v>20190303154600653</v>
      </c>
      <c r="B4326" t="str">
        <f>"1551599160646006"</f>
        <v>1551599160646006</v>
      </c>
      <c r="C4326" t="s">
        <v>40</v>
      </c>
      <c r="D4326">
        <v>5.1294300000000002</v>
      </c>
      <c r="E4326">
        <v>0.50508790000000003</v>
      </c>
      <c r="F4326" t="s">
        <v>61</v>
      </c>
      <c r="G4326">
        <v>-319.32600000000002</v>
      </c>
      <c r="H4326" s="1">
        <v>-6.123858E-6</v>
      </c>
      <c r="I4326">
        <v>141.3466</v>
      </c>
      <c r="J4326">
        <v>-294.82350000000002</v>
      </c>
      <c r="K4326">
        <v>1.1211439999999999</v>
      </c>
      <c r="L4326">
        <v>141.3569</v>
      </c>
      <c r="M4326">
        <v>-0.99978999999999996</v>
      </c>
      <c r="N4326">
        <v>-1.4041629999999999E-2</v>
      </c>
      <c r="O4326">
        <v>-1.492837E-2</v>
      </c>
      <c r="P4326">
        <v>-0.99602429999999997</v>
      </c>
      <c r="Q4326">
        <v>-8.8120550000000006E-2</v>
      </c>
      <c r="R4326">
        <v>-1.306277E-2</v>
      </c>
      <c r="S4326">
        <v>-2.9999690000000001</v>
      </c>
      <c r="T4326">
        <v>-0.1357911</v>
      </c>
      <c r="U4326">
        <v>-1.7547610000000001E-3</v>
      </c>
      <c r="V4326">
        <v>1.8388409999999999E-3</v>
      </c>
      <c r="W4326">
        <v>-7.4124159999999994E-2</v>
      </c>
      <c r="X4326">
        <v>0.99724729999999995</v>
      </c>
      <c r="Y4326">
        <v>1.43185E-2</v>
      </c>
      <c r="Z4326">
        <v>8.9028499999999999E-4</v>
      </c>
      <c r="AA4326">
        <v>0.99989709999999998</v>
      </c>
      <c r="AB4326">
        <v>28</v>
      </c>
      <c r="AC4326">
        <v>-24.502499999999898</v>
      </c>
      <c r="AD4326">
        <v>-1.1211501238579999</v>
      </c>
      <c r="AE4326">
        <v>-1.03000000000008E-2</v>
      </c>
      <c r="AF4326">
        <v>0.35477680417164398</v>
      </c>
      <c r="AG4326">
        <v>-1.1211501238579999</v>
      </c>
      <c r="AH4326">
        <v>24.4487354200025</v>
      </c>
      <c r="AI4326">
        <v>92.625307617696606</v>
      </c>
      <c r="AJ4326">
        <v>89.168636471032798</v>
      </c>
      <c r="AK4326">
        <v>24.476999567314</v>
      </c>
      <c r="AL4326">
        <v>94.250900396740704</v>
      </c>
      <c r="AM4326">
        <v>89.8943514722082</v>
      </c>
      <c r="AN4326">
        <v>0.99999997489460901</v>
      </c>
    </row>
    <row r="4327" spans="1:40" x14ac:dyDescent="0.25">
      <c r="A4327" t="str">
        <f>"20190303154600676"</f>
        <v>20190303154600676</v>
      </c>
      <c r="B4327" t="str">
        <f>"1551599160665523"</f>
        <v>1551599160665523</v>
      </c>
      <c r="C4327" t="s">
        <v>40</v>
      </c>
      <c r="D4327">
        <v>5.1143070000000002</v>
      </c>
      <c r="E4327">
        <v>0.50502720000000001</v>
      </c>
      <c r="F4327" t="s">
        <v>61</v>
      </c>
      <c r="G4327">
        <v>-319.52089999999998</v>
      </c>
      <c r="H4327" s="1">
        <v>-6.04186299999999E-6</v>
      </c>
      <c r="I4327">
        <v>141.36330000000001</v>
      </c>
      <c r="J4327">
        <v>-295.10129999999998</v>
      </c>
      <c r="K4327">
        <v>1.121148</v>
      </c>
      <c r="L4327">
        <v>141.35249999999999</v>
      </c>
      <c r="M4327">
        <v>-0.99978639999999996</v>
      </c>
      <c r="N4327">
        <v>-1.405115E-2</v>
      </c>
      <c r="O4327">
        <v>-1.515201E-2</v>
      </c>
      <c r="P4327">
        <v>-0.99609270000000005</v>
      </c>
      <c r="Q4327">
        <v>-8.7490620000000005E-2</v>
      </c>
      <c r="R4327">
        <v>-1.203215E-2</v>
      </c>
      <c r="S4327">
        <v>-2.9999389999999999</v>
      </c>
      <c r="T4327">
        <v>-0.1361839</v>
      </c>
      <c r="U4327">
        <v>7.7819819999999998E-4</v>
      </c>
      <c r="V4327">
        <v>3.0923970000000002E-3</v>
      </c>
      <c r="W4327">
        <v>-7.3483560000000003E-2</v>
      </c>
      <c r="X4327">
        <v>0.99729159999999994</v>
      </c>
      <c r="Y4327">
        <v>1.5384689999999999E-2</v>
      </c>
      <c r="Z4327">
        <v>9.3179929999999997E-4</v>
      </c>
      <c r="AA4327">
        <v>0.99988120000000003</v>
      </c>
      <c r="AB4327">
        <v>28</v>
      </c>
      <c r="AC4327">
        <v>-24.419599999999999</v>
      </c>
      <c r="AD4327">
        <v>-1.1211540418629999</v>
      </c>
      <c r="AE4327">
        <v>1.08000000000174E-2</v>
      </c>
      <c r="AF4327">
        <v>0.38004024687461502</v>
      </c>
      <c r="AG4327">
        <v>-1.1211540418629999</v>
      </c>
      <c r="AH4327">
        <v>24.365272500517801</v>
      </c>
      <c r="AI4327">
        <v>92.634254100810395</v>
      </c>
      <c r="AJ4327">
        <v>89.106394700756994</v>
      </c>
      <c r="AK4327">
        <v>24.3940140403197</v>
      </c>
      <c r="AL4327">
        <v>94.214096383612301</v>
      </c>
      <c r="AM4327">
        <v>89.822338091667206</v>
      </c>
      <c r="AN4327">
        <v>0.99999996597001894</v>
      </c>
    </row>
    <row r="4328" spans="1:40" x14ac:dyDescent="0.25">
      <c r="A4328" t="str">
        <f>"20190303154600699"</f>
        <v>20190303154600699</v>
      </c>
      <c r="B4328" t="str">
        <f>"1551599160695779"</f>
        <v>1551599160695779</v>
      </c>
      <c r="C4328" t="s">
        <v>40</v>
      </c>
      <c r="D4328">
        <v>5.2819909999999997</v>
      </c>
      <c r="E4328">
        <v>0.50490900000000005</v>
      </c>
      <c r="F4328" t="s">
        <v>41</v>
      </c>
      <c r="G4328">
        <v>-320.11669999999998</v>
      </c>
      <c r="H4328" s="1">
        <v>-4.549276E-6</v>
      </c>
      <c r="I4328">
        <v>141.38069999999999</v>
      </c>
      <c r="J4328">
        <v>-295.40030000000002</v>
      </c>
      <c r="K4328">
        <v>1.1211519999999999</v>
      </c>
      <c r="L4328">
        <v>141.3477</v>
      </c>
      <c r="M4328">
        <v>-0.99978270000000002</v>
      </c>
      <c r="N4328">
        <v>-1.40596E-2</v>
      </c>
      <c r="O4328">
        <v>-1.53927E-2</v>
      </c>
      <c r="P4328">
        <v>-0.99616850000000001</v>
      </c>
      <c r="Q4328">
        <v>-8.6673330000000007E-2</v>
      </c>
      <c r="R4328">
        <v>-1.167526E-2</v>
      </c>
      <c r="S4328">
        <v>-3.0000309999999999</v>
      </c>
      <c r="T4328">
        <v>-0.13445760000000001</v>
      </c>
      <c r="U4328">
        <v>3.3874510000000001E-3</v>
      </c>
      <c r="V4328">
        <v>3.6896210000000001E-3</v>
      </c>
      <c r="W4328">
        <v>-7.2656739999999997E-2</v>
      </c>
      <c r="X4328">
        <v>0.99735019999999996</v>
      </c>
      <c r="Y4328">
        <v>1.6494180000000001E-2</v>
      </c>
      <c r="Z4328">
        <v>9.5863049999999998E-4</v>
      </c>
      <c r="AA4328">
        <v>0.99986350000000002</v>
      </c>
      <c r="AB4328">
        <v>28</v>
      </c>
      <c r="AC4328">
        <v>-24.716399999999901</v>
      </c>
      <c r="AD4328">
        <v>-1.1211565492760001</v>
      </c>
      <c r="AE4328">
        <v>3.2999999999986998E-2</v>
      </c>
      <c r="AF4328">
        <v>0.412636775294907</v>
      </c>
      <c r="AG4328">
        <v>-1.1211565492760001</v>
      </c>
      <c r="AH4328">
        <v>24.662218123477899</v>
      </c>
      <c r="AI4328">
        <v>92.602538408060497</v>
      </c>
      <c r="AJ4328">
        <v>89.041443078289603</v>
      </c>
      <c r="AK4328">
        <v>24.6911373550574</v>
      </c>
      <c r="AL4328">
        <v>94.166595888181504</v>
      </c>
      <c r="AM4328">
        <v>89.788039600409206</v>
      </c>
      <c r="AN4328">
        <v>1.00000001830529</v>
      </c>
    </row>
    <row r="4329" spans="1:40" x14ac:dyDescent="0.25">
      <c r="A4329" t="str">
        <f>"20190303154600722"</f>
        <v>20190303154600722</v>
      </c>
      <c r="B4329" t="str">
        <f>"1551599160715299"</f>
        <v>1551599160715299</v>
      </c>
      <c r="C4329" t="s">
        <v>40</v>
      </c>
      <c r="D4329">
        <v>5.2195999999999998</v>
      </c>
      <c r="E4329">
        <v>0.50475130000000001</v>
      </c>
      <c r="F4329" t="s">
        <v>41</v>
      </c>
      <c r="G4329">
        <v>-320.78919999999999</v>
      </c>
      <c r="H4329" s="1">
        <v>-4.3195119999999901E-6</v>
      </c>
      <c r="I4329">
        <v>141.37559999999999</v>
      </c>
      <c r="J4329">
        <v>-295.6823</v>
      </c>
      <c r="K4329">
        <v>1.121151</v>
      </c>
      <c r="L4329">
        <v>141.34309999999999</v>
      </c>
      <c r="M4329">
        <v>-0.99977910000000003</v>
      </c>
      <c r="N4329">
        <v>-1.406599E-2</v>
      </c>
      <c r="O4329">
        <v>-1.5619330000000001E-2</v>
      </c>
      <c r="P4329">
        <v>-0.9961122</v>
      </c>
      <c r="Q4329">
        <v>-8.7225029999999995E-2</v>
      </c>
      <c r="R4329">
        <v>-1.23337E-2</v>
      </c>
      <c r="S4329">
        <v>-3.0000610000000001</v>
      </c>
      <c r="T4329">
        <v>-0.13248099999999999</v>
      </c>
      <c r="U4329">
        <v>3.3111569999999999E-3</v>
      </c>
      <c r="V4329">
        <v>3.2559630000000002E-3</v>
      </c>
      <c r="W4329">
        <v>-7.3202870000000003E-2</v>
      </c>
      <c r="X4329">
        <v>0.99731179999999997</v>
      </c>
      <c r="Y4329">
        <v>1.66959E-2</v>
      </c>
      <c r="Z4329">
        <v>9.5570400000000004E-4</v>
      </c>
      <c r="AA4329">
        <v>0.99986019999999998</v>
      </c>
      <c r="AB4329">
        <v>28</v>
      </c>
      <c r="AC4329">
        <v>-25.1069</v>
      </c>
      <c r="AD4329">
        <v>-1.1211553195119901</v>
      </c>
      <c r="AE4329">
        <v>3.2499999999998801E-2</v>
      </c>
      <c r="AF4329">
        <v>0.423842598138717</v>
      </c>
      <c r="AG4329">
        <v>-1.1211553195119901</v>
      </c>
      <c r="AH4329">
        <v>25.053370282556902</v>
      </c>
      <c r="AI4329">
        <v>92.561949365244203</v>
      </c>
      <c r="AJ4329">
        <v>89.030786061700795</v>
      </c>
      <c r="AK4329">
        <v>25.0820253231945</v>
      </c>
      <c r="AL4329">
        <v>94.1979702721206</v>
      </c>
      <c r="AM4329">
        <v>89.812944883072504</v>
      </c>
      <c r="AN4329">
        <v>1.0000000439452601</v>
      </c>
    </row>
    <row r="4330" spans="1:40" x14ac:dyDescent="0.25">
      <c r="A4330" t="str">
        <f>"20190303154600743"</f>
        <v>20190303154600743</v>
      </c>
      <c r="B4330" t="str">
        <f>"1551599160735795"</f>
        <v>1551599160735795</v>
      </c>
      <c r="C4330" t="s">
        <v>40</v>
      </c>
      <c r="D4330">
        <v>5.195468</v>
      </c>
      <c r="E4330">
        <v>0.50462039999999997</v>
      </c>
      <c r="F4330" t="s">
        <v>41</v>
      </c>
      <c r="G4330">
        <v>-320.55309999999997</v>
      </c>
      <c r="H4330" s="1">
        <v>-4.3938339999999999E-6</v>
      </c>
      <c r="I4330">
        <v>141.3416</v>
      </c>
      <c r="J4330">
        <v>-295.96159999999998</v>
      </c>
      <c r="K4330">
        <v>1.121148</v>
      </c>
      <c r="L4330">
        <v>141.33850000000001</v>
      </c>
      <c r="M4330">
        <v>-0.99977550000000004</v>
      </c>
      <c r="N4330">
        <v>-1.4071E-2</v>
      </c>
      <c r="O4330">
        <v>-1.584263E-2</v>
      </c>
      <c r="P4330">
        <v>-0.99600169999999999</v>
      </c>
      <c r="Q4330">
        <v>-8.8434180000000001E-2</v>
      </c>
      <c r="R4330">
        <v>-1.265993E-2</v>
      </c>
      <c r="S4330">
        <v>-2.9998469999999999</v>
      </c>
      <c r="T4330">
        <v>-0.1352313</v>
      </c>
      <c r="U4330">
        <v>-1.67846699999999E-4</v>
      </c>
      <c r="V4330">
        <v>3.1511220000000001E-3</v>
      </c>
      <c r="W4330">
        <v>-7.4408429999999998E-2</v>
      </c>
      <c r="X4330">
        <v>0.99722290000000002</v>
      </c>
      <c r="Y4330">
        <v>1.5759639999999998E-2</v>
      </c>
      <c r="Z4330">
        <v>9.5692240000000005E-4</v>
      </c>
      <c r="AA4330">
        <v>0.99987539999999997</v>
      </c>
      <c r="AB4330">
        <v>28</v>
      </c>
      <c r="AC4330">
        <v>-24.5915</v>
      </c>
      <c r="AD4330">
        <v>-1.121152393834</v>
      </c>
      <c r="AE4330">
        <v>3.0999999999892199E-3</v>
      </c>
      <c r="AF4330">
        <v>0.39191759636567602</v>
      </c>
      <c r="AG4330">
        <v>-1.121152393834</v>
      </c>
      <c r="AH4330">
        <v>24.537361991321401</v>
      </c>
      <c r="AI4330">
        <v>92.615785581158093</v>
      </c>
      <c r="AJ4330">
        <v>89.084933623112505</v>
      </c>
      <c r="AK4330">
        <v>24.566088731942699</v>
      </c>
      <c r="AL4330">
        <v>94.267232744049906</v>
      </c>
      <c r="AM4330">
        <v>89.818951820681093</v>
      </c>
      <c r="AN4330">
        <v>1.0000000281546599</v>
      </c>
    </row>
    <row r="4331" spans="1:40" x14ac:dyDescent="0.25">
      <c r="A4331" t="str">
        <f>"20190303154600766"</f>
        <v>20190303154600766</v>
      </c>
      <c r="B4331" t="str">
        <f>"1551599160755316"</f>
        <v>1551599160755316</v>
      </c>
      <c r="C4331" t="s">
        <v>40</v>
      </c>
      <c r="D4331">
        <v>5.202305</v>
      </c>
      <c r="E4331">
        <v>0.50454290000000002</v>
      </c>
      <c r="F4331" t="s">
        <v>41</v>
      </c>
      <c r="G4331">
        <v>-320.05700000000002</v>
      </c>
      <c r="H4331" s="1">
        <v>-4.5590979999999996E-6</v>
      </c>
      <c r="I4331">
        <v>141.32159999999999</v>
      </c>
      <c r="J4331">
        <v>-296.23160000000001</v>
      </c>
      <c r="K4331">
        <v>1.121146</v>
      </c>
      <c r="L4331">
        <v>141.334</v>
      </c>
      <c r="M4331">
        <v>-0.99977199999999999</v>
      </c>
      <c r="N4331">
        <v>-1.407483E-2</v>
      </c>
      <c r="O4331">
        <v>-1.6058650000000001E-2</v>
      </c>
      <c r="P4331">
        <v>-0.99579260000000003</v>
      </c>
      <c r="Q4331">
        <v>-9.0693720000000005E-2</v>
      </c>
      <c r="R4331">
        <v>-1.310206E-2</v>
      </c>
      <c r="S4331">
        <v>-2.9996339999999999</v>
      </c>
      <c r="T4331">
        <v>-0.13957229999999901</v>
      </c>
      <c r="U4331">
        <v>-2.0904539999999998E-3</v>
      </c>
      <c r="V4331">
        <v>2.921519E-3</v>
      </c>
      <c r="W4331">
        <v>-7.6666849999999995E-2</v>
      </c>
      <c r="X4331">
        <v>0.99705250000000001</v>
      </c>
      <c r="Y4331">
        <v>1.5333360000000001E-2</v>
      </c>
      <c r="Z4331">
        <v>9.8534420000000005E-4</v>
      </c>
      <c r="AA4331">
        <v>0.99988189999999999</v>
      </c>
      <c r="AB4331">
        <v>28</v>
      </c>
      <c r="AC4331">
        <v>-23.825399999999998</v>
      </c>
      <c r="AD4331">
        <v>-1.121150559098</v>
      </c>
      <c r="AE4331">
        <v>-1.24000000000137E-2</v>
      </c>
      <c r="AF4331">
        <v>0.36942521657308602</v>
      </c>
      <c r="AG4331">
        <v>-1.121150559098</v>
      </c>
      <c r="AH4331">
        <v>23.7698912993697</v>
      </c>
      <c r="AI4331">
        <v>92.700133629138307</v>
      </c>
      <c r="AJ4331">
        <v>89.1095961899005</v>
      </c>
      <c r="AK4331">
        <v>23.799184564826099</v>
      </c>
      <c r="AL4331">
        <v>94.397001518786496</v>
      </c>
      <c r="AM4331">
        <v>89.832114929346204</v>
      </c>
      <c r="AN4331">
        <v>1.0000000144592101</v>
      </c>
    </row>
    <row r="4332" spans="1:40" x14ac:dyDescent="0.25">
      <c r="A4332" t="str">
        <f>"20190303154600788"</f>
        <v>20190303154600788</v>
      </c>
      <c r="B4332" t="str">
        <f>"1551599160775811"</f>
        <v>1551599160775811</v>
      </c>
      <c r="C4332" t="s">
        <v>40</v>
      </c>
      <c r="D4332">
        <v>5.2521050000000002</v>
      </c>
      <c r="E4332">
        <v>0.50441380000000002</v>
      </c>
      <c r="F4332" t="s">
        <v>61</v>
      </c>
      <c r="G4332">
        <v>-319.14859999999999</v>
      </c>
      <c r="H4332" s="1">
        <v>-6.1915979999999997E-6</v>
      </c>
      <c r="I4332">
        <v>141.30500000000001</v>
      </c>
      <c r="J4332">
        <v>-296.51870000000002</v>
      </c>
      <c r="K4332">
        <v>1.1211450000000001</v>
      </c>
      <c r="L4332">
        <v>141.32910000000001</v>
      </c>
      <c r="M4332">
        <v>-0.99976830000000005</v>
      </c>
      <c r="N4332">
        <v>-1.407797E-2</v>
      </c>
      <c r="O4332">
        <v>-1.6288250000000001E-2</v>
      </c>
      <c r="P4332">
        <v>-0.99567169999999905</v>
      </c>
      <c r="Q4332">
        <v>-9.1929860000000002E-2</v>
      </c>
      <c r="R4332">
        <v>-1.366912E-2</v>
      </c>
      <c r="S4332">
        <v>-2.999298</v>
      </c>
      <c r="T4332">
        <v>-0.14673259999999999</v>
      </c>
      <c r="U4332">
        <v>-3.7841799999999998E-3</v>
      </c>
      <c r="V4332">
        <v>2.5817219999999998E-3</v>
      </c>
      <c r="W4332">
        <v>-7.7901460000000006E-2</v>
      </c>
      <c r="X4332">
        <v>0.99695769999999995</v>
      </c>
      <c r="Y4332">
        <v>1.4995349999999999E-2</v>
      </c>
      <c r="Z4332">
        <v>1.039349E-3</v>
      </c>
      <c r="AA4332">
        <v>0.99988699999999997</v>
      </c>
      <c r="AB4332">
        <v>28</v>
      </c>
      <c r="AC4332">
        <v>-22.6298999999999</v>
      </c>
      <c r="AD4332">
        <v>-1.1211511915979999</v>
      </c>
      <c r="AE4332">
        <v>-2.4100000000004201E-2</v>
      </c>
      <c r="AF4332">
        <v>0.343697565833537</v>
      </c>
      <c r="AG4332">
        <v>-1.1211511915979999</v>
      </c>
      <c r="AH4332">
        <v>22.571887213501299</v>
      </c>
      <c r="AI4332">
        <v>92.843229473913198</v>
      </c>
      <c r="AJ4332">
        <v>89.127636158843302</v>
      </c>
      <c r="AK4332">
        <v>22.6023273224286</v>
      </c>
      <c r="AL4332">
        <v>94.467951826986095</v>
      </c>
      <c r="AM4332">
        <v>89.851627161491905</v>
      </c>
      <c r="AN4332">
        <v>0.999999979173953</v>
      </c>
    </row>
    <row r="4333" spans="1:40" x14ac:dyDescent="0.25">
      <c r="A4333" t="str">
        <f>"20190303154600812"</f>
        <v>20190303154600812</v>
      </c>
      <c r="B4333" t="str">
        <f>"1551599160805091"</f>
        <v>1551599160805091</v>
      </c>
      <c r="C4333" t="s">
        <v>40</v>
      </c>
      <c r="D4333">
        <v>5.2118589999999996</v>
      </c>
      <c r="E4333">
        <v>0.50426649999999995</v>
      </c>
      <c r="F4333" t="s">
        <v>61</v>
      </c>
      <c r="G4333">
        <v>-318.71800000000002</v>
      </c>
      <c r="H4333" s="1">
        <v>-6.3760740000000004E-6</v>
      </c>
      <c r="I4333">
        <v>141.28059999999999</v>
      </c>
      <c r="J4333">
        <v>-296.82569999999998</v>
      </c>
      <c r="K4333">
        <v>1.1211450000000001</v>
      </c>
      <c r="L4333">
        <v>141.32380000000001</v>
      </c>
      <c r="M4333">
        <v>-0.99976419999999999</v>
      </c>
      <c r="N4333">
        <v>-1.408041E-2</v>
      </c>
      <c r="O4333">
        <v>-1.653454E-2</v>
      </c>
      <c r="P4333">
        <v>-0.99564059999999999</v>
      </c>
      <c r="Q4333">
        <v>-9.2217640000000003E-2</v>
      </c>
      <c r="R4333">
        <v>-1.3996430000000001E-2</v>
      </c>
      <c r="S4333">
        <v>-2.9989620000000001</v>
      </c>
      <c r="T4333">
        <v>-0.1514587</v>
      </c>
      <c r="U4333">
        <v>-6.546021E-3</v>
      </c>
      <c r="V4333">
        <v>2.4994209999999999E-3</v>
      </c>
      <c r="W4333">
        <v>-7.8187179999999995E-2</v>
      </c>
      <c r="X4333">
        <v>0.99693549999999997</v>
      </c>
      <c r="Y4333">
        <v>1.431938E-2</v>
      </c>
      <c r="Z4333">
        <v>1.0640230000000001E-3</v>
      </c>
      <c r="AA4333">
        <v>0.99989689999999998</v>
      </c>
      <c r="AB4333">
        <v>28</v>
      </c>
      <c r="AC4333">
        <v>-21.892299999999999</v>
      </c>
      <c r="AD4333">
        <v>-1.121151376074</v>
      </c>
      <c r="AE4333">
        <v>-4.3200000000012999E-2</v>
      </c>
      <c r="AF4333">
        <v>0.31798691041177102</v>
      </c>
      <c r="AG4333">
        <v>-1.121151376074</v>
      </c>
      <c r="AH4333">
        <v>21.832760808262801</v>
      </c>
      <c r="AI4333">
        <v>92.939347560953493</v>
      </c>
      <c r="AJ4333">
        <v>89.165564999021299</v>
      </c>
      <c r="AK4333">
        <v>21.863840938729901</v>
      </c>
      <c r="AL4333">
        <v>94.484372653144206</v>
      </c>
      <c r="AM4333">
        <v>89.856353821803793</v>
      </c>
      <c r="AN4333">
        <v>0.99999993669096598</v>
      </c>
    </row>
    <row r="4334" spans="1:40" x14ac:dyDescent="0.25">
      <c r="A4334" t="str">
        <f>"20190303154600845"</f>
        <v>20190303154600845</v>
      </c>
      <c r="B4334" t="str">
        <f>"1551599160835347"</f>
        <v>1551599160835347</v>
      </c>
      <c r="C4334" t="s">
        <v>40</v>
      </c>
      <c r="D4334">
        <v>5.2163469999999998</v>
      </c>
      <c r="E4334">
        <v>0.50415690000000002</v>
      </c>
      <c r="F4334" t="s">
        <v>61</v>
      </c>
      <c r="G4334">
        <v>-318.79469999999998</v>
      </c>
      <c r="H4334" s="1">
        <v>-6.3364919999999898E-6</v>
      </c>
      <c r="I4334">
        <v>141.2594</v>
      </c>
      <c r="J4334">
        <v>-297.22680000000003</v>
      </c>
      <c r="K4334">
        <v>1.1211409999999999</v>
      </c>
      <c r="L4334">
        <v>141.3168</v>
      </c>
      <c r="M4334">
        <v>-0.99975879999999995</v>
      </c>
      <c r="N4334">
        <v>-1.408238E-2</v>
      </c>
      <c r="O4334">
        <v>-1.685675E-2</v>
      </c>
      <c r="P4334">
        <v>-0.99569609999999997</v>
      </c>
      <c r="Q4334">
        <v>-9.1560039999999995E-2</v>
      </c>
      <c r="R4334">
        <v>-1.435666E-2</v>
      </c>
      <c r="S4334">
        <v>-2.99884</v>
      </c>
      <c r="T4334">
        <v>-0.15304139999999999</v>
      </c>
      <c r="U4334">
        <v>-8.7890629999999997E-3</v>
      </c>
      <c r="V4334">
        <v>2.4607219999999998E-3</v>
      </c>
      <c r="W4334">
        <v>-7.7526849999999994E-2</v>
      </c>
      <c r="X4334">
        <v>0.99698719999999996</v>
      </c>
      <c r="Y4334">
        <v>1.389339E-2</v>
      </c>
      <c r="Z4334">
        <v>1.074565E-3</v>
      </c>
      <c r="AA4334">
        <v>0.99990290000000004</v>
      </c>
      <c r="AB4334">
        <v>28</v>
      </c>
      <c r="AC4334">
        <v>-21.567899999999899</v>
      </c>
      <c r="AD4334">
        <v>-1.1211473364919999</v>
      </c>
      <c r="AE4334">
        <v>-5.74000000000012E-2</v>
      </c>
      <c r="AF4334">
        <v>0.30538370164411099</v>
      </c>
      <c r="AG4334">
        <v>-1.1211473364919999</v>
      </c>
      <c r="AH4334">
        <v>21.507685979317099</v>
      </c>
      <c r="AI4334">
        <v>92.983699165033102</v>
      </c>
      <c r="AJ4334">
        <v>89.186522364781993</v>
      </c>
      <c r="AK4334">
        <v>21.539052596162801</v>
      </c>
      <c r="AL4334">
        <v>94.446423175513203</v>
      </c>
      <c r="AM4334">
        <v>89.858585246767802</v>
      </c>
      <c r="AN4334">
        <v>0.99999997229376103</v>
      </c>
    </row>
    <row r="4335" spans="1:40" x14ac:dyDescent="0.25">
      <c r="A4335" t="str">
        <f>"20190303154600865"</f>
        <v>20190303154600865</v>
      </c>
      <c r="B4335" t="str">
        <f>"1551599160855843"</f>
        <v>1551599160855843</v>
      </c>
      <c r="C4335" t="s">
        <v>40</v>
      </c>
      <c r="D4335">
        <v>5.1859149999999996</v>
      </c>
      <c r="E4335">
        <v>0.50407740000000001</v>
      </c>
      <c r="F4335" t="s">
        <v>61</v>
      </c>
      <c r="G4335">
        <v>-319.44009999999997</v>
      </c>
      <c r="H4335" s="1">
        <v>-6.04441E-6</v>
      </c>
      <c r="I4335">
        <v>141.2372</v>
      </c>
      <c r="J4335">
        <v>-297.49059999999997</v>
      </c>
      <c r="K4335">
        <v>1.1211409999999999</v>
      </c>
      <c r="L4335">
        <v>141.31209999999999</v>
      </c>
      <c r="M4335">
        <v>-0.99975510000000001</v>
      </c>
      <c r="N4335">
        <v>-1.4083E-2</v>
      </c>
      <c r="O4335">
        <v>-1.7068449999999999E-2</v>
      </c>
      <c r="P4335">
        <v>-0.99567430000000001</v>
      </c>
      <c r="Q4335">
        <v>-9.1821609999999998E-2</v>
      </c>
      <c r="R4335">
        <v>-1.4212290000000001E-2</v>
      </c>
      <c r="S4335">
        <v>-2.9989319999999999</v>
      </c>
      <c r="T4335">
        <v>-0.15136169999999999</v>
      </c>
      <c r="U4335">
        <v>-1.074219E-2</v>
      </c>
      <c r="V4335">
        <v>2.8157159999999998E-3</v>
      </c>
      <c r="W4335">
        <v>-7.7787990000000001E-2</v>
      </c>
      <c r="X4335">
        <v>0.99696589999999996</v>
      </c>
      <c r="Y4335">
        <v>1.3455379999999999E-2</v>
      </c>
      <c r="Z4335">
        <v>1.054772E-3</v>
      </c>
      <c r="AA4335">
        <v>0.99990889999999999</v>
      </c>
      <c r="AB4335">
        <v>28</v>
      </c>
      <c r="AC4335">
        <v>-21.9495</v>
      </c>
      <c r="AD4335">
        <v>-1.12114704441</v>
      </c>
      <c r="AE4335">
        <v>-7.4899999999985298E-2</v>
      </c>
      <c r="AF4335">
        <v>0.299011912087913</v>
      </c>
      <c r="AG4335">
        <v>-1.12114704441</v>
      </c>
      <c r="AH4335">
        <v>21.890468584973402</v>
      </c>
      <c r="AI4335">
        <v>92.931638441235705</v>
      </c>
      <c r="AJ4335">
        <v>89.217419438441894</v>
      </c>
      <c r="AK4335">
        <v>21.9211996407237</v>
      </c>
      <c r="AL4335">
        <v>94.461430804646795</v>
      </c>
      <c r="AM4335">
        <v>89.838180810237404</v>
      </c>
      <c r="AN4335">
        <v>0.99999995270382003</v>
      </c>
    </row>
    <row r="4336" spans="1:40" x14ac:dyDescent="0.25">
      <c r="A4336" t="str">
        <f>"20190303154600889"</f>
        <v>20190303154600889</v>
      </c>
      <c r="B4336" t="str">
        <f>"1551599160885123"</f>
        <v>1551599160885123</v>
      </c>
      <c r="C4336" t="s">
        <v>40</v>
      </c>
      <c r="D4336">
        <v>5.1795540000000004</v>
      </c>
      <c r="E4336">
        <v>0.50398149999999997</v>
      </c>
      <c r="F4336" t="s">
        <v>61</v>
      </c>
      <c r="G4336">
        <v>-319.5779</v>
      </c>
      <c r="H4336" s="1">
        <v>-5.9815929999999996E-6</v>
      </c>
      <c r="I4336">
        <v>141.23079999999999</v>
      </c>
      <c r="J4336">
        <v>-297.78089999999997</v>
      </c>
      <c r="K4336">
        <v>1.1211439999999999</v>
      </c>
      <c r="L4336">
        <v>141.30690000000001</v>
      </c>
      <c r="M4336">
        <v>-0.99975119999999895</v>
      </c>
      <c r="N4336">
        <v>-1.408324E-2</v>
      </c>
      <c r="O4336">
        <v>-1.7299809999999999E-2</v>
      </c>
      <c r="P4336">
        <v>-0.99564050000000004</v>
      </c>
      <c r="Q4336">
        <v>-9.2331730000000001E-2</v>
      </c>
      <c r="R4336">
        <v>-1.3233389999999999E-2</v>
      </c>
      <c r="S4336">
        <v>-2.9988709999999998</v>
      </c>
      <c r="T4336">
        <v>-0.1522223</v>
      </c>
      <c r="U4336">
        <v>-1.1047360000000001E-2</v>
      </c>
      <c r="V4336">
        <v>4.0242740000000004E-3</v>
      </c>
      <c r="W4336">
        <v>-7.8298090000000001E-2</v>
      </c>
      <c r="X4336">
        <v>0.99692190000000003</v>
      </c>
      <c r="Y4336">
        <v>1.358417E-2</v>
      </c>
      <c r="Z4336">
        <v>1.0742620000000001E-3</v>
      </c>
      <c r="AA4336">
        <v>0.99990710000000005</v>
      </c>
      <c r="AB4336">
        <v>28</v>
      </c>
      <c r="AC4336">
        <v>-21.797000000000001</v>
      </c>
      <c r="AD4336">
        <v>-1.1211499815929999</v>
      </c>
      <c r="AE4336">
        <v>-7.6100000000025106E-2</v>
      </c>
      <c r="AF4336">
        <v>0.30023841531242301</v>
      </c>
      <c r="AG4336">
        <v>-1.1211499815929999</v>
      </c>
      <c r="AH4336">
        <v>21.737544570310099</v>
      </c>
      <c r="AI4336">
        <v>92.952227760636205</v>
      </c>
      <c r="AJ4336">
        <v>89.208682461318404</v>
      </c>
      <c r="AK4336">
        <v>21.7685085463721</v>
      </c>
      <c r="AL4336">
        <v>94.490746448861799</v>
      </c>
      <c r="AM4336">
        <v>89.768715419512503</v>
      </c>
      <c r="AN4336">
        <v>1.00000003018924</v>
      </c>
    </row>
    <row r="4337" spans="1:40" x14ac:dyDescent="0.25">
      <c r="A4337" t="str">
        <f>"20190303154600911"</f>
        <v>20190303154600911</v>
      </c>
      <c r="B4337" t="str">
        <f>"1551599160905619"</f>
        <v>1551599160905619</v>
      </c>
      <c r="C4337" t="s">
        <v>40</v>
      </c>
      <c r="D4337">
        <v>5.199821</v>
      </c>
      <c r="E4337">
        <v>0.50389969999999995</v>
      </c>
      <c r="F4337" t="s">
        <v>61</v>
      </c>
      <c r="G4337">
        <v>-319.65809999999999</v>
      </c>
      <c r="H4337" s="1">
        <v>-5.949226E-6</v>
      </c>
      <c r="I4337">
        <v>141.24279999999999</v>
      </c>
      <c r="J4337">
        <v>-298.06599999999997</v>
      </c>
      <c r="K4337">
        <v>1.1211359999999999</v>
      </c>
      <c r="L4337">
        <v>141.30170000000001</v>
      </c>
      <c r="M4337">
        <v>-0.99974750000000001</v>
      </c>
      <c r="N4337">
        <v>-1.408302E-2</v>
      </c>
      <c r="O4337">
        <v>-1.7517979999999999E-2</v>
      </c>
      <c r="P4337">
        <v>-0.99556650000000002</v>
      </c>
      <c r="Q4337">
        <v>-9.3278009999999995E-2</v>
      </c>
      <c r="R4337">
        <v>-1.211306E-2</v>
      </c>
      <c r="S4337">
        <v>-2.9987789999999999</v>
      </c>
      <c r="T4337">
        <v>-0.15368029999999999</v>
      </c>
      <c r="U4337">
        <v>-8.7890629999999997E-3</v>
      </c>
      <c r="V4337">
        <v>5.3597779999999999E-3</v>
      </c>
      <c r="W4337">
        <v>-7.9245389999999999E-2</v>
      </c>
      <c r="X4337">
        <v>0.99684070000000002</v>
      </c>
      <c r="Y4337">
        <v>1.4552789999999999E-2</v>
      </c>
      <c r="Z4337">
        <v>1.1257299999999999E-3</v>
      </c>
      <c r="AA4337">
        <v>0.99989349999999999</v>
      </c>
      <c r="AB4337">
        <v>28</v>
      </c>
      <c r="AC4337">
        <v>-21.592099999999999</v>
      </c>
      <c r="AD4337">
        <v>-1.121141949226</v>
      </c>
      <c r="AE4337">
        <v>-5.8900000000022601E-2</v>
      </c>
      <c r="AF4337">
        <v>0.31853768501686602</v>
      </c>
      <c r="AG4337">
        <v>-1.121141949226</v>
      </c>
      <c r="AH4337">
        <v>21.531767156480399</v>
      </c>
      <c r="AI4337">
        <v>92.980328257449003</v>
      </c>
      <c r="AJ4337">
        <v>89.152436789759506</v>
      </c>
      <c r="AK4337">
        <v>21.5632887660481</v>
      </c>
      <c r="AL4337">
        <v>94.545192194413602</v>
      </c>
      <c r="AM4337">
        <v>89.691937037412501</v>
      </c>
      <c r="AN4337">
        <v>0.99999997011647501</v>
      </c>
    </row>
    <row r="4338" spans="1:40" x14ac:dyDescent="0.25">
      <c r="A4338" t="str">
        <f>"20190303154600932"</f>
        <v>20190303154600932</v>
      </c>
      <c r="B4338" t="str">
        <f>"1551599160925142"</f>
        <v>1551599160925142</v>
      </c>
      <c r="C4338" t="s">
        <v>40</v>
      </c>
      <c r="D4338">
        <v>5.1890070000000001</v>
      </c>
      <c r="E4338">
        <v>0.50375950000000003</v>
      </c>
      <c r="F4338" t="s">
        <v>61</v>
      </c>
      <c r="G4338">
        <v>-319.5154</v>
      </c>
      <c r="H4338" s="1">
        <v>-6.0164959999999998E-6</v>
      </c>
      <c r="I4338">
        <v>141.25799999999899</v>
      </c>
      <c r="J4338">
        <v>-298.33609999999999</v>
      </c>
      <c r="K4338">
        <v>1.1211199999999999</v>
      </c>
      <c r="L4338">
        <v>141.29679999999999</v>
      </c>
      <c r="M4338">
        <v>-0.99974410000000002</v>
      </c>
      <c r="N4338">
        <v>-1.408243E-2</v>
      </c>
      <c r="O4338">
        <v>-1.7707319999999999E-2</v>
      </c>
      <c r="P4338">
        <v>-0.99556359999999999</v>
      </c>
      <c r="Q4338">
        <v>-9.3403940000000005E-2</v>
      </c>
      <c r="R4338">
        <v>-1.134453E-2</v>
      </c>
      <c r="S4338">
        <v>-2.9986269999999999</v>
      </c>
      <c r="T4338">
        <v>-0.15673519999999999</v>
      </c>
      <c r="U4338">
        <v>-6.1035159999999998E-3</v>
      </c>
      <c r="V4338">
        <v>6.3145120000000004E-3</v>
      </c>
      <c r="W4338">
        <v>-7.937197E-2</v>
      </c>
      <c r="X4338">
        <v>0.99682499999999996</v>
      </c>
      <c r="Y4338">
        <v>1.5633930000000001E-2</v>
      </c>
      <c r="Z4338">
        <v>1.1940989999999999E-3</v>
      </c>
      <c r="AA4338">
        <v>0.99987709999999996</v>
      </c>
      <c r="AB4338">
        <v>28</v>
      </c>
      <c r="AC4338">
        <v>-21.179300000000001</v>
      </c>
      <c r="AD4338">
        <v>-1.121126016496</v>
      </c>
      <c r="AE4338">
        <v>-3.8800000000009001E-2</v>
      </c>
      <c r="AF4338">
        <v>0.33533225936933603</v>
      </c>
      <c r="AG4338">
        <v>-1.121126016496</v>
      </c>
      <c r="AH4338">
        <v>21.1174924142945</v>
      </c>
      <c r="AI4338">
        <v>93.038593072357003</v>
      </c>
      <c r="AJ4338">
        <v>89.090256164189498</v>
      </c>
      <c r="AK4338">
        <v>21.149890239356399</v>
      </c>
      <c r="AL4338">
        <v>94.5524677866687</v>
      </c>
      <c r="AM4338">
        <v>89.637057609813994</v>
      </c>
      <c r="AN4338">
        <v>0.99999993165423695</v>
      </c>
    </row>
    <row r="4339" spans="1:40" x14ac:dyDescent="0.25">
      <c r="A4339" t="str">
        <f>"20190303154600956"</f>
        <v>20190303154600956</v>
      </c>
      <c r="B4339" t="str">
        <f>"1551599160945635"</f>
        <v>1551599160945635</v>
      </c>
      <c r="C4339" t="s">
        <v>40</v>
      </c>
      <c r="D4339">
        <v>5.1496839999999997</v>
      </c>
      <c r="E4339">
        <v>0.50366339999999998</v>
      </c>
      <c r="F4339" t="s">
        <v>61</v>
      </c>
      <c r="G4339">
        <v>-319.61700000000002</v>
      </c>
      <c r="H4339" s="1">
        <v>-5.9722360000000003E-6</v>
      </c>
      <c r="I4339">
        <v>141.261</v>
      </c>
      <c r="J4339">
        <v>-298.6189</v>
      </c>
      <c r="K4339">
        <v>1.1211070000000001</v>
      </c>
      <c r="L4339">
        <v>141.29150000000001</v>
      </c>
      <c r="M4339">
        <v>-0.99974110000000005</v>
      </c>
      <c r="N4339">
        <v>-1.408149E-2</v>
      </c>
      <c r="O4339">
        <v>-1.7873699999999999E-2</v>
      </c>
      <c r="P4339">
        <v>-0.99553510000000001</v>
      </c>
      <c r="Q4339">
        <v>-9.3771950000000007E-2</v>
      </c>
      <c r="R4339">
        <v>-1.0814860000000001E-2</v>
      </c>
      <c r="S4339">
        <v>-2.9985050000000002</v>
      </c>
      <c r="T4339">
        <v>-0.15796760000000001</v>
      </c>
      <c r="U4339">
        <v>-5.0353999999999998E-3</v>
      </c>
      <c r="V4339">
        <v>7.0054499999999999E-3</v>
      </c>
      <c r="W4339">
        <v>-7.9741549999999994E-2</v>
      </c>
      <c r="X4339">
        <v>0.99679090000000004</v>
      </c>
      <c r="Y4339">
        <v>1.6154709999999999E-2</v>
      </c>
      <c r="Z4339">
        <v>1.22843E-3</v>
      </c>
      <c r="AA4339">
        <v>0.9998688</v>
      </c>
      <c r="AB4339">
        <v>28</v>
      </c>
      <c r="AC4339">
        <v>-20.998100000000001</v>
      </c>
      <c r="AD4339">
        <v>-1.121112972236</v>
      </c>
      <c r="AE4339">
        <v>-3.05000000000177E-2</v>
      </c>
      <c r="AF4339">
        <v>0.34387556911450801</v>
      </c>
      <c r="AG4339">
        <v>-1.121112972236</v>
      </c>
      <c r="AH4339">
        <v>20.935610879510001</v>
      </c>
      <c r="AI4339">
        <v>93.064878665263606</v>
      </c>
      <c r="AJ4339">
        <v>89.058979109372899</v>
      </c>
      <c r="AK4339">
        <v>20.968427399349899</v>
      </c>
      <c r="AL4339">
        <v>94.573710434747497</v>
      </c>
      <c r="AM4339">
        <v>89.597331686806996</v>
      </c>
      <c r="AN4339">
        <v>0.99999994472445597</v>
      </c>
    </row>
    <row r="4340" spans="1:40" x14ac:dyDescent="0.25">
      <c r="A4340" t="str">
        <f>"20190303154600977"</f>
        <v>20190303154600977</v>
      </c>
      <c r="B4340" t="str">
        <f>"1551599160965155"</f>
        <v>1551599160965155</v>
      </c>
      <c r="C4340" t="s">
        <v>40</v>
      </c>
      <c r="D4340">
        <v>5.1661839999999897</v>
      </c>
      <c r="E4340">
        <v>0.50361829999999996</v>
      </c>
      <c r="F4340" t="s">
        <v>61</v>
      </c>
      <c r="G4340">
        <v>-319.7072</v>
      </c>
      <c r="H4340" s="1">
        <v>-5.9320140000000001E-6</v>
      </c>
      <c r="I4340">
        <v>141.2602</v>
      </c>
      <c r="J4340">
        <v>-298.89060000000001</v>
      </c>
      <c r="K4340">
        <v>1.121084</v>
      </c>
      <c r="L4340">
        <v>141.28649999999999</v>
      </c>
      <c r="M4340">
        <v>-0.99973920000000005</v>
      </c>
      <c r="N4340">
        <v>-1.408031E-2</v>
      </c>
      <c r="O4340">
        <v>-1.7989959999999999E-2</v>
      </c>
      <c r="P4340">
        <v>-0.99553499999999995</v>
      </c>
      <c r="Q4340">
        <v>-9.3732570000000001E-2</v>
      </c>
      <c r="R4340">
        <v>-1.11853E-2</v>
      </c>
      <c r="S4340">
        <v>-2.9983520000000001</v>
      </c>
      <c r="T4340">
        <v>-0.1594005</v>
      </c>
      <c r="U4340">
        <v>-4.4555659999999898E-3</v>
      </c>
      <c r="V4340">
        <v>6.7449629999999997E-3</v>
      </c>
      <c r="W4340">
        <v>-7.9703869999999996E-2</v>
      </c>
      <c r="X4340">
        <v>0.99679580000000001</v>
      </c>
      <c r="Y4340">
        <v>1.646282E-2</v>
      </c>
      <c r="Z4340">
        <v>1.2557860000000001E-3</v>
      </c>
      <c r="AA4340">
        <v>0.99986370000000002</v>
      </c>
      <c r="AB4340">
        <v>28</v>
      </c>
      <c r="AC4340">
        <v>-20.816599999999902</v>
      </c>
      <c r="AD4340">
        <v>-1.121089932014</v>
      </c>
      <c r="AE4340">
        <v>-2.6299999999992E-2</v>
      </c>
      <c r="AF4340">
        <v>0.34722402352016901</v>
      </c>
      <c r="AG4340">
        <v>-1.121089932014</v>
      </c>
      <c r="AH4340">
        <v>20.753509857954999</v>
      </c>
      <c r="AI4340">
        <v>93.091640363337902</v>
      </c>
      <c r="AJ4340">
        <v>89.041481886982297</v>
      </c>
      <c r="AK4340">
        <v>20.7866682896132</v>
      </c>
      <c r="AL4340">
        <v>94.571544226369397</v>
      </c>
      <c r="AM4340">
        <v>89.612305735314493</v>
      </c>
      <c r="AN4340">
        <v>1.00000003415824</v>
      </c>
    </row>
    <row r="4341" spans="1:40" x14ac:dyDescent="0.25">
      <c r="A4341" t="str">
        <f>"20190303154601002"</f>
        <v>20190303154601002</v>
      </c>
      <c r="B4341" t="str">
        <f>"1551599160995411"</f>
        <v>1551599160995411</v>
      </c>
      <c r="C4341" t="s">
        <v>40</v>
      </c>
      <c r="D4341">
        <v>5.1512460000000004</v>
      </c>
      <c r="E4341">
        <v>0.53308169999999899</v>
      </c>
      <c r="F4341" t="s">
        <v>41</v>
      </c>
      <c r="G4341">
        <v>-320.00850000000003</v>
      </c>
      <c r="H4341" s="1">
        <v>-4.5618540000000003E-6</v>
      </c>
      <c r="I4341">
        <v>141.2441</v>
      </c>
      <c r="J4341">
        <v>-299.18450000000001</v>
      </c>
      <c r="K4341">
        <v>1.1210370000000001</v>
      </c>
      <c r="L4341">
        <v>141.28110000000001</v>
      </c>
      <c r="M4341">
        <v>-0.99973780000000001</v>
      </c>
      <c r="N4341">
        <v>-1.4078810000000001E-2</v>
      </c>
      <c r="O4341">
        <v>-1.8061939999999999E-2</v>
      </c>
      <c r="P4341">
        <v>-0.99542929999999996</v>
      </c>
      <c r="Q4341">
        <v>-9.4573320000000002E-2</v>
      </c>
      <c r="R4341">
        <v>-1.327881E-2</v>
      </c>
      <c r="S4341">
        <v>-2.9983520000000001</v>
      </c>
      <c r="T4341">
        <v>-0.15917400000000001</v>
      </c>
      <c r="U4341">
        <v>-6.0119630000000004E-3</v>
      </c>
      <c r="V4341">
        <v>4.7129770000000001E-3</v>
      </c>
      <c r="W4341">
        <v>-8.0547899999999895E-2</v>
      </c>
      <c r="X4341">
        <v>0.99673959999999995</v>
      </c>
      <c r="Y4341">
        <v>1.6016659999999999E-2</v>
      </c>
      <c r="Z4341">
        <v>1.2416479999999999E-3</v>
      </c>
      <c r="AA4341">
        <v>0.99987099999999995</v>
      </c>
      <c r="AB4341">
        <v>28</v>
      </c>
      <c r="AC4341">
        <v>-20.824000000000002</v>
      </c>
      <c r="AD4341">
        <v>-1.1210415618539999</v>
      </c>
      <c r="AE4341">
        <v>-3.7000000000006097E-2</v>
      </c>
      <c r="AF4341">
        <v>0.33818504059557403</v>
      </c>
      <c r="AG4341">
        <v>-1.1210415618539999</v>
      </c>
      <c r="AH4341">
        <v>20.7611028578991</v>
      </c>
      <c r="AI4341">
        <v>93.090401236809996</v>
      </c>
      <c r="AJ4341">
        <v>89.066771061639699</v>
      </c>
      <c r="AK4341">
        <v>20.794097604400999</v>
      </c>
      <c r="AL4341">
        <v>94.620059714793001</v>
      </c>
      <c r="AM4341">
        <v>89.729085030207699</v>
      </c>
      <c r="AN4341">
        <v>1.0000000032773799</v>
      </c>
    </row>
    <row r="4342" spans="1:40" x14ac:dyDescent="0.25">
      <c r="A4342" t="str">
        <f>"20190303154601024"</f>
        <v>20190303154601024</v>
      </c>
      <c r="B4342" t="str">
        <f>"1551599161015907"</f>
        <v>1551599161015907</v>
      </c>
      <c r="C4342" t="s">
        <v>40</v>
      </c>
      <c r="D4342">
        <v>5.1720360000000003</v>
      </c>
      <c r="E4342">
        <v>0.53435719999999898</v>
      </c>
      <c r="F4342" t="s">
        <v>41</v>
      </c>
      <c r="G4342">
        <v>-324.20600000000002</v>
      </c>
      <c r="H4342" s="1">
        <v>-3.4031530000000001E-6</v>
      </c>
      <c r="I4342">
        <v>143.13130000000001</v>
      </c>
      <c r="J4342">
        <v>-299.464</v>
      </c>
      <c r="K4342">
        <v>1.120984</v>
      </c>
      <c r="L4342">
        <v>141.27600000000001</v>
      </c>
      <c r="M4342">
        <v>-0.99973809999999996</v>
      </c>
      <c r="N4342">
        <v>-1.407719E-2</v>
      </c>
      <c r="O4342">
        <v>-1.804565E-2</v>
      </c>
      <c r="P4342">
        <v>-0.99528150000000004</v>
      </c>
      <c r="Q4342">
        <v>-9.581961E-2</v>
      </c>
      <c r="R4342">
        <v>-1.5284850000000001E-2</v>
      </c>
      <c r="S4342">
        <v>-3.0039370000000001</v>
      </c>
      <c r="T4342">
        <v>-0.1345856</v>
      </c>
      <c r="U4342">
        <v>0.22213749999999999</v>
      </c>
      <c r="V4342">
        <v>2.6783620000000001E-3</v>
      </c>
      <c r="W4342">
        <v>-8.1797789999999995E-2</v>
      </c>
      <c r="X4342">
        <v>0.99664529999999996</v>
      </c>
      <c r="Y4342">
        <v>9.1604930000000001E-2</v>
      </c>
      <c r="Z4342">
        <v>3.2478920000000001E-3</v>
      </c>
      <c r="AA4342">
        <v>0.99579010000000001</v>
      </c>
      <c r="AB4342">
        <v>28</v>
      </c>
      <c r="AC4342">
        <v>-24.741999999999901</v>
      </c>
      <c r="AD4342">
        <v>-1.1209874031530001</v>
      </c>
      <c r="AE4342">
        <v>1.8552999999999999</v>
      </c>
      <c r="AF4342">
        <v>2.2968391022289798</v>
      </c>
      <c r="AG4342">
        <v>-1.1209874031530001</v>
      </c>
      <c r="AH4342">
        <v>24.654161535397701</v>
      </c>
      <c r="AI4342">
        <v>92.592150092369096</v>
      </c>
      <c r="AJ4342">
        <v>84.677554499343202</v>
      </c>
      <c r="AK4342">
        <v>24.786281762963899</v>
      </c>
      <c r="AL4342">
        <v>94.691910481320406</v>
      </c>
      <c r="AM4342">
        <v>89.846024990853394</v>
      </c>
      <c r="AN4342">
        <v>0.99999995304198697</v>
      </c>
    </row>
    <row r="4343" spans="1:40" x14ac:dyDescent="0.25">
      <c r="A4343" t="str">
        <f>"20190303154601047"</f>
        <v>20190303154601047</v>
      </c>
      <c r="B4343" t="str">
        <f>"1551599161035427"</f>
        <v>1551599161035427</v>
      </c>
      <c r="C4343" t="s">
        <v>40</v>
      </c>
      <c r="D4343">
        <v>5.1247870000000004</v>
      </c>
      <c r="E4343">
        <v>0.53477180000000002</v>
      </c>
      <c r="F4343" t="s">
        <v>41</v>
      </c>
      <c r="G4343">
        <v>-320.49430000000001</v>
      </c>
      <c r="H4343" s="1">
        <v>-4.6833639999999998E-6</v>
      </c>
      <c r="I4343">
        <v>142.86099999999999</v>
      </c>
      <c r="J4343">
        <v>-299.74110000000002</v>
      </c>
      <c r="K4343">
        <v>1.1209150000000001</v>
      </c>
      <c r="L4343">
        <v>141.27109999999999</v>
      </c>
      <c r="M4343">
        <v>-0.99974019999999997</v>
      </c>
      <c r="N4343">
        <v>-1.4075499999999999E-2</v>
      </c>
      <c r="O4343">
        <v>-1.7930809999999998E-2</v>
      </c>
      <c r="P4343">
        <v>-0.99528799999999995</v>
      </c>
      <c r="Q4343">
        <v>-9.5394430000000002E-2</v>
      </c>
      <c r="R4343">
        <v>-1.7373130000000001E-2</v>
      </c>
      <c r="S4343">
        <v>-3.002319</v>
      </c>
      <c r="T4343">
        <v>-0.1600345</v>
      </c>
      <c r="U4343">
        <v>0.22628780000000001</v>
      </c>
      <c r="V4343">
        <v>4.6324689999999998E-4</v>
      </c>
      <c r="W4343">
        <v>-8.1373780000000007E-2</v>
      </c>
      <c r="X4343">
        <v>0.99668350000000006</v>
      </c>
      <c r="Y4343">
        <v>9.2847979999999997E-2</v>
      </c>
      <c r="Z4343">
        <v>3.8262959999999999E-3</v>
      </c>
      <c r="AA4343">
        <v>0.99567289999999997</v>
      </c>
      <c r="AB4343">
        <v>28</v>
      </c>
      <c r="AC4343">
        <v>-20.7532</v>
      </c>
      <c r="AD4343">
        <v>-1.1209196833639901</v>
      </c>
      <c r="AE4343">
        <v>1.5899000000000001</v>
      </c>
      <c r="AF4343">
        <v>1.95612958597265</v>
      </c>
      <c r="AG4343">
        <v>-1.1209196833639901</v>
      </c>
      <c r="AH4343">
        <v>20.6614282540984</v>
      </c>
      <c r="AI4343">
        <v>93.091557383380206</v>
      </c>
      <c r="AJ4343">
        <v>84.591618273542494</v>
      </c>
      <c r="AK4343">
        <v>20.7840689325485</v>
      </c>
      <c r="AL4343">
        <v>94.667535237894299</v>
      </c>
      <c r="AM4343">
        <v>89.973369589913702</v>
      </c>
      <c r="AN4343">
        <v>0.99999995292071298</v>
      </c>
    </row>
    <row r="4344" spans="1:40" x14ac:dyDescent="0.25">
      <c r="A4344" t="str">
        <f>"20190303154601068"</f>
        <v>20190303154601068</v>
      </c>
      <c r="B4344" t="str">
        <f>"1551599161055923"</f>
        <v>1551599161055923</v>
      </c>
      <c r="C4344" t="s">
        <v>40</v>
      </c>
      <c r="D4344">
        <v>5.1025869999999998</v>
      </c>
      <c r="E4344">
        <v>0.53541499999999997</v>
      </c>
      <c r="F4344" t="s">
        <v>41</v>
      </c>
      <c r="G4344">
        <v>-320.7131</v>
      </c>
      <c r="H4344" s="1">
        <v>-4.6036140000000002E-6</v>
      </c>
      <c r="I4344">
        <v>142.8312</v>
      </c>
      <c r="J4344">
        <v>-300.00779999999997</v>
      </c>
      <c r="K4344">
        <v>1.120849</v>
      </c>
      <c r="L4344">
        <v>141.2664</v>
      </c>
      <c r="M4344">
        <v>-0.99974370000000001</v>
      </c>
      <c r="N4344">
        <v>-1.407387E-2</v>
      </c>
      <c r="O4344">
        <v>-1.7734779999999999E-2</v>
      </c>
      <c r="P4344">
        <v>-0.99530689999999999</v>
      </c>
      <c r="Q4344">
        <v>-9.4933439999999994E-2</v>
      </c>
      <c r="R4344">
        <v>-1.8754650000000001E-2</v>
      </c>
      <c r="S4344">
        <v>-3.0027469999999998</v>
      </c>
      <c r="T4344">
        <v>-0.16049240000000001</v>
      </c>
      <c r="U4344">
        <v>0.2233887</v>
      </c>
      <c r="V4344">
        <v>-1.1262240000000001E-3</v>
      </c>
      <c r="W4344">
        <v>-8.091334E-2</v>
      </c>
      <c r="X4344">
        <v>0.99672050000000001</v>
      </c>
      <c r="Y4344">
        <v>9.168743E-2</v>
      </c>
      <c r="Z4344">
        <v>3.7887939999999998E-3</v>
      </c>
      <c r="AA4344">
        <v>0.99578060000000002</v>
      </c>
      <c r="AB4344">
        <v>28</v>
      </c>
      <c r="AC4344">
        <v>-20.705300000000001</v>
      </c>
      <c r="AD4344">
        <v>-1.120853603614</v>
      </c>
      <c r="AE4344">
        <v>1.56479999999999</v>
      </c>
      <c r="AF4344">
        <v>1.9261816226272901</v>
      </c>
      <c r="AG4344">
        <v>-1.120853603614</v>
      </c>
      <c r="AH4344">
        <v>20.614222889696801</v>
      </c>
      <c r="AI4344">
        <v>93.098797146016906</v>
      </c>
      <c r="AJ4344">
        <v>84.661813719538699</v>
      </c>
      <c r="AK4344">
        <v>20.7343356245186</v>
      </c>
      <c r="AL4344">
        <v>94.641066485048697</v>
      </c>
      <c r="AM4344">
        <v>90.064740169911701</v>
      </c>
      <c r="AN4344">
        <v>0.99999999604535095</v>
      </c>
    </row>
    <row r="4345" spans="1:40" x14ac:dyDescent="0.25">
      <c r="A4345" t="str">
        <f>"20190303154601090"</f>
        <v>20190303154601090</v>
      </c>
      <c r="B4345" t="str">
        <f>"1551599161085203"</f>
        <v>1551599161085203</v>
      </c>
      <c r="C4345" t="s">
        <v>40</v>
      </c>
      <c r="D4345">
        <v>5.1560249999999996</v>
      </c>
      <c r="E4345">
        <v>0.53625610000000001</v>
      </c>
      <c r="F4345" t="s">
        <v>41</v>
      </c>
      <c r="G4345">
        <v>-320.99869999999999</v>
      </c>
      <c r="H4345" s="1">
        <v>-4.5070850000000002E-6</v>
      </c>
      <c r="I4345">
        <v>142.83500000000001</v>
      </c>
      <c r="J4345">
        <v>-300.28949999999998</v>
      </c>
      <c r="K4345">
        <v>1.120768</v>
      </c>
      <c r="L4345">
        <v>141.26169999999999</v>
      </c>
      <c r="M4345">
        <v>-0.9997492</v>
      </c>
      <c r="N4345">
        <v>-1.407213E-2</v>
      </c>
      <c r="O4345">
        <v>-1.7422960000000001E-2</v>
      </c>
      <c r="P4345">
        <v>-0.99527180000000004</v>
      </c>
      <c r="Q4345">
        <v>-9.5186989999999999E-2</v>
      </c>
      <c r="R4345">
        <v>-1.9333840000000001E-2</v>
      </c>
      <c r="S4345">
        <v>-3.003082</v>
      </c>
      <c r="T4345">
        <v>-0.16035639999999901</v>
      </c>
      <c r="U4345">
        <v>0.224411</v>
      </c>
      <c r="V4345">
        <v>-2.0315770000000001E-3</v>
      </c>
      <c r="W4345">
        <v>-8.1168290000000004E-2</v>
      </c>
      <c r="X4345">
        <v>0.99669830000000004</v>
      </c>
      <c r="Y4345">
        <v>9.1706250000000003E-2</v>
      </c>
      <c r="Z4345">
        <v>3.77386E-3</v>
      </c>
      <c r="AA4345">
        <v>0.99577899999999997</v>
      </c>
      <c r="AB4345">
        <v>28</v>
      </c>
      <c r="AC4345">
        <v>-20.709199999999999</v>
      </c>
      <c r="AD4345">
        <v>-1.1207725070849901</v>
      </c>
      <c r="AE4345">
        <v>1.5733000000000099</v>
      </c>
      <c r="AF4345">
        <v>1.9282969968902901</v>
      </c>
      <c r="AG4345">
        <v>-1.1207725070849901</v>
      </c>
      <c r="AH4345">
        <v>20.618597860790999</v>
      </c>
      <c r="AI4345">
        <v>93.097893469668904</v>
      </c>
      <c r="AJ4345">
        <v>84.657112491383202</v>
      </c>
      <c r="AK4345">
        <v>20.738877454333601</v>
      </c>
      <c r="AL4345">
        <v>94.655722418701103</v>
      </c>
      <c r="AM4345">
        <v>90.116786219714598</v>
      </c>
      <c r="AN4345">
        <v>0.99999995991475898</v>
      </c>
    </row>
    <row r="4346" spans="1:40" x14ac:dyDescent="0.25">
      <c r="A4346" t="str">
        <f>"20190303154601112"</f>
        <v>20190303154601112</v>
      </c>
      <c r="B4346" t="str">
        <f>"1551599161105699"</f>
        <v>1551599161105699</v>
      </c>
      <c r="C4346" t="s">
        <v>40</v>
      </c>
      <c r="D4346">
        <v>5.1022249999999998</v>
      </c>
      <c r="E4346">
        <v>0.53626890000000005</v>
      </c>
      <c r="F4346" t="s">
        <v>41</v>
      </c>
      <c r="G4346">
        <v>-320.31270000000001</v>
      </c>
      <c r="H4346" s="1">
        <v>-4.7329570000000001E-6</v>
      </c>
      <c r="I4346">
        <v>142.7921</v>
      </c>
      <c r="J4346">
        <v>-300.55669999999998</v>
      </c>
      <c r="K4346">
        <v>1.1206799999999999</v>
      </c>
      <c r="L4346">
        <v>141.25749999999999</v>
      </c>
      <c r="M4346">
        <v>-0.99975630000000004</v>
      </c>
      <c r="N4346">
        <v>-1.407046E-2</v>
      </c>
      <c r="O4346">
        <v>-1.701372E-2</v>
      </c>
      <c r="P4346">
        <v>-0.99514279999999999</v>
      </c>
      <c r="Q4346">
        <v>-9.6631300000000003E-2</v>
      </c>
      <c r="R4346">
        <v>-1.8800710000000002E-2</v>
      </c>
      <c r="S4346">
        <v>-3.0026250000000001</v>
      </c>
      <c r="T4346">
        <v>-0.16806889999999999</v>
      </c>
      <c r="U4346">
        <v>0.2295074</v>
      </c>
      <c r="V4346">
        <v>-1.9253639999999999E-3</v>
      </c>
      <c r="W4346">
        <v>-8.2615770000000005E-2</v>
      </c>
      <c r="X4346">
        <v>0.99657960000000001</v>
      </c>
      <c r="Y4346">
        <v>9.2972020000000002E-2</v>
      </c>
      <c r="Z4346">
        <v>3.9633300000000002E-3</v>
      </c>
      <c r="AA4346">
        <v>0.99566080000000001</v>
      </c>
      <c r="AB4346">
        <v>28</v>
      </c>
      <c r="AC4346">
        <v>-19.756</v>
      </c>
      <c r="AD4346">
        <v>-1.120684732957</v>
      </c>
      <c r="AE4346">
        <v>1.53460000000001</v>
      </c>
      <c r="AF4346">
        <v>1.8645701802110499</v>
      </c>
      <c r="AG4346">
        <v>-1.120684732957</v>
      </c>
      <c r="AH4346">
        <v>19.664130874827499</v>
      </c>
      <c r="AI4346">
        <v>93.2472993601654</v>
      </c>
      <c r="AJ4346">
        <v>84.583358739141104</v>
      </c>
      <c r="AK4346">
        <v>19.784099658310499</v>
      </c>
      <c r="AL4346">
        <v>94.738936300046902</v>
      </c>
      <c r="AM4346">
        <v>90.110693710743803</v>
      </c>
      <c r="AN4346">
        <v>0.999999985807692</v>
      </c>
    </row>
    <row r="4347" spans="1:40" x14ac:dyDescent="0.25">
      <c r="A4347" t="str">
        <f>"20190303154601134"</f>
        <v>20190303154601134</v>
      </c>
      <c r="B4347" t="str">
        <f>"1551599161125219"</f>
        <v>1551599161125219</v>
      </c>
      <c r="C4347" t="s">
        <v>40</v>
      </c>
      <c r="D4347">
        <v>5.1906400000000001</v>
      </c>
      <c r="E4347">
        <v>0.53651649999999995</v>
      </c>
      <c r="F4347" t="s">
        <v>61</v>
      </c>
      <c r="G4347">
        <v>-319.84550000000002</v>
      </c>
      <c r="H4347" s="1">
        <v>-6.2623479999999998E-6</v>
      </c>
      <c r="I4347">
        <v>142.74379999999999</v>
      </c>
      <c r="J4347">
        <v>-300.82850000000002</v>
      </c>
      <c r="K4347">
        <v>1.120579</v>
      </c>
      <c r="L4347">
        <v>141.2534</v>
      </c>
      <c r="M4347">
        <v>-0.99976529999999997</v>
      </c>
      <c r="N4347">
        <v>-1.4068870000000001E-2</v>
      </c>
      <c r="O4347">
        <v>-1.6477519999999999E-2</v>
      </c>
      <c r="P4347">
        <v>-0.99506930000000005</v>
      </c>
      <c r="Q4347">
        <v>-9.7725699999999999E-2</v>
      </c>
      <c r="R4347">
        <v>-1.6929880000000001E-2</v>
      </c>
      <c r="S4347">
        <v>-3.002075</v>
      </c>
      <c r="T4347">
        <v>-0.17442149999999901</v>
      </c>
      <c r="U4347">
        <v>0.23132320000000001</v>
      </c>
      <c r="V4347">
        <v>-6.0898530000000003E-4</v>
      </c>
      <c r="W4347">
        <v>-8.3713990000000002E-2</v>
      </c>
      <c r="X4347">
        <v>0.99648959999999998</v>
      </c>
      <c r="Y4347">
        <v>9.3036820000000006E-2</v>
      </c>
      <c r="Z4347">
        <v>4.0765530000000001E-3</v>
      </c>
      <c r="AA4347">
        <v>0.99565429999999999</v>
      </c>
      <c r="AB4347">
        <v>28</v>
      </c>
      <c r="AC4347">
        <v>-19.016999999999999</v>
      </c>
      <c r="AD4347">
        <v>-1.1205852623479999</v>
      </c>
      <c r="AE4347">
        <v>1.49039999999999</v>
      </c>
      <c r="AF4347">
        <v>1.7973788410385101</v>
      </c>
      <c r="AG4347">
        <v>-1.1205852623479999</v>
      </c>
      <c r="AH4347">
        <v>18.9245483080282</v>
      </c>
      <c r="AI4347">
        <v>93.373570177226398</v>
      </c>
      <c r="AJ4347">
        <v>84.574547480650693</v>
      </c>
      <c r="AK4347">
        <v>19.042710171908301</v>
      </c>
      <c r="AL4347">
        <v>94.802078522052</v>
      </c>
      <c r="AM4347">
        <v>90.035015200491401</v>
      </c>
      <c r="AN4347">
        <v>0.99999996294648696</v>
      </c>
    </row>
    <row r="4348" spans="1:40" x14ac:dyDescent="0.25">
      <c r="A4348" t="str">
        <f>"20190303154601155"</f>
        <v>20190303154601155</v>
      </c>
      <c r="B4348" t="str">
        <f>"1551599161145715"</f>
        <v>1551599161145715</v>
      </c>
      <c r="C4348" t="s">
        <v>40</v>
      </c>
      <c r="D4348">
        <v>5.1380270000000001</v>
      </c>
      <c r="E4348">
        <v>0.53664679999999998</v>
      </c>
      <c r="F4348" t="s">
        <v>61</v>
      </c>
      <c r="G4348">
        <v>-319.58870000000002</v>
      </c>
      <c r="H4348" s="1">
        <v>-6.3771689999999999E-6</v>
      </c>
      <c r="I4348">
        <v>142.7473</v>
      </c>
      <c r="J4348">
        <v>-301.09480000000002</v>
      </c>
      <c r="K4348">
        <v>1.1204879999999999</v>
      </c>
      <c r="L4348">
        <v>141.24969999999999</v>
      </c>
      <c r="M4348">
        <v>-0.99977579999999999</v>
      </c>
      <c r="N4348">
        <v>-1.406745E-2</v>
      </c>
      <c r="O4348">
        <v>-1.5834500000000001E-2</v>
      </c>
      <c r="P4348">
        <v>-0.99498220000000004</v>
      </c>
      <c r="Q4348">
        <v>-9.8988989999999999E-2</v>
      </c>
      <c r="R4348">
        <v>-1.455658E-2</v>
      </c>
      <c r="S4348">
        <v>-3.0012819999999998</v>
      </c>
      <c r="T4348">
        <v>-0.17927279999999901</v>
      </c>
      <c r="U4348">
        <v>0.2389984</v>
      </c>
      <c r="V4348">
        <v>1.1025710000000001E-3</v>
      </c>
      <c r="W4348">
        <v>-8.4982189999999999E-2</v>
      </c>
      <c r="X4348">
        <v>0.99638190000000004</v>
      </c>
      <c r="Y4348">
        <v>9.4932509999999998E-2</v>
      </c>
      <c r="Z4348">
        <v>4.2192000000000002E-3</v>
      </c>
      <c r="AA4348">
        <v>0.99547479999999999</v>
      </c>
      <c r="AB4348">
        <v>28</v>
      </c>
      <c r="AC4348">
        <v>-18.4939</v>
      </c>
      <c r="AD4348">
        <v>-1.1204943771689999</v>
      </c>
      <c r="AE4348">
        <v>1.4976</v>
      </c>
      <c r="AF4348">
        <v>1.7837775454089</v>
      </c>
      <c r="AG4348">
        <v>-1.1204943771689999</v>
      </c>
      <c r="AH4348">
        <v>18.400759087090499</v>
      </c>
      <c r="AI4348">
        <v>93.468442647856605</v>
      </c>
      <c r="AJ4348">
        <v>84.463023579218898</v>
      </c>
      <c r="AK4348">
        <v>18.520942334609099</v>
      </c>
      <c r="AL4348">
        <v>94.875000533280897</v>
      </c>
      <c r="AM4348">
        <v>89.936597965972197</v>
      </c>
      <c r="AN4348">
        <v>1.0000000394638</v>
      </c>
    </row>
    <row r="4349" spans="1:40" x14ac:dyDescent="0.25">
      <c r="A4349" t="str">
        <f>"20190303154601178"</f>
        <v>20190303154601178</v>
      </c>
      <c r="B4349" t="str">
        <f>"1551599161174995"</f>
        <v>1551599161174995</v>
      </c>
      <c r="C4349" t="s">
        <v>40</v>
      </c>
      <c r="D4349">
        <v>5.1105929999999997</v>
      </c>
      <c r="E4349">
        <v>0.53677980000000003</v>
      </c>
      <c r="F4349" t="s">
        <v>61</v>
      </c>
      <c r="G4349">
        <v>-319.22289999999998</v>
      </c>
      <c r="H4349" s="1">
        <v>-6.538241E-6</v>
      </c>
      <c r="I4349">
        <v>142.7431</v>
      </c>
      <c r="J4349">
        <v>-301.38170000000002</v>
      </c>
      <c r="K4349">
        <v>1.1203939999999999</v>
      </c>
      <c r="L4349">
        <v>141.24600000000001</v>
      </c>
      <c r="M4349">
        <v>-0.99978840000000002</v>
      </c>
      <c r="N4349">
        <v>-1.406598E-2</v>
      </c>
      <c r="O4349">
        <v>-1.501882E-2</v>
      </c>
      <c r="P4349">
        <v>-0.99499159999999998</v>
      </c>
      <c r="Q4349">
        <v>-9.922454E-2</v>
      </c>
      <c r="R4349">
        <v>-1.2109419999999999E-2</v>
      </c>
      <c r="S4349">
        <v>-3.0002439999999999</v>
      </c>
      <c r="T4349">
        <v>-0.1854442</v>
      </c>
      <c r="U4349">
        <v>0.24716189999999999</v>
      </c>
      <c r="V4349">
        <v>2.7173470000000002E-3</v>
      </c>
      <c r="W4349">
        <v>-8.5222110000000004E-2</v>
      </c>
      <c r="X4349">
        <v>0.99635830000000003</v>
      </c>
      <c r="Y4349">
        <v>9.6820139999999999E-2</v>
      </c>
      <c r="Z4349">
        <v>4.3824830000000004E-3</v>
      </c>
      <c r="AA4349">
        <v>0.99529219999999896</v>
      </c>
      <c r="AB4349">
        <v>28</v>
      </c>
      <c r="AC4349">
        <v>-17.841199999999901</v>
      </c>
      <c r="AD4349">
        <v>-1.1204005382410001</v>
      </c>
      <c r="AE4349">
        <v>1.4970999999999799</v>
      </c>
      <c r="AF4349">
        <v>1.7580267902503499</v>
      </c>
      <c r="AG4349">
        <v>-1.1204005382410001</v>
      </c>
      <c r="AH4349">
        <v>17.747201013608802</v>
      </c>
      <c r="AI4349">
        <v>93.594804372460004</v>
      </c>
      <c r="AJ4349">
        <v>84.342771578178798</v>
      </c>
      <c r="AK4349">
        <v>17.869222125732399</v>
      </c>
      <c r="AL4349">
        <v>94.888797047639599</v>
      </c>
      <c r="AM4349">
        <v>89.843738815084805</v>
      </c>
      <c r="AN4349">
        <v>1.0000000269932201</v>
      </c>
    </row>
    <row r="4350" spans="1:40" x14ac:dyDescent="0.25">
      <c r="A4350" t="str">
        <f>"20190303154601203"</f>
        <v>20190303154601203</v>
      </c>
      <c r="B4350" t="str">
        <f>"1551599161195491"</f>
        <v>1551599161195491</v>
      </c>
      <c r="C4350" t="s">
        <v>40</v>
      </c>
      <c r="D4350">
        <v>5.1610630000000004</v>
      </c>
      <c r="E4350">
        <v>0.5369815</v>
      </c>
      <c r="F4350" t="s">
        <v>61</v>
      </c>
      <c r="G4350">
        <v>-319.35469999999998</v>
      </c>
      <c r="H4350" s="1">
        <v>-6.4889090000000003E-6</v>
      </c>
      <c r="I4350">
        <v>142.77760000000001</v>
      </c>
      <c r="J4350">
        <v>-301.67360000000002</v>
      </c>
      <c r="K4350">
        <v>1.120301</v>
      </c>
      <c r="L4350">
        <v>141.24260000000001</v>
      </c>
      <c r="M4350">
        <v>-0.99980230000000003</v>
      </c>
      <c r="N4350">
        <v>-1.406435E-2</v>
      </c>
      <c r="O4350">
        <v>-1.405757E-2</v>
      </c>
      <c r="P4350">
        <v>-0.9950331</v>
      </c>
      <c r="Q4350">
        <v>-9.9080680000000004E-2</v>
      </c>
      <c r="R4350">
        <v>-9.6124490000000003E-3</v>
      </c>
      <c r="S4350">
        <v>-2.999603</v>
      </c>
      <c r="T4350">
        <v>-0.18698909999999999</v>
      </c>
      <c r="U4350">
        <v>0.25563049999999998</v>
      </c>
      <c r="V4350">
        <v>4.2388699999999996E-3</v>
      </c>
      <c r="W4350">
        <v>-8.5082899999999906E-2</v>
      </c>
      <c r="X4350">
        <v>0.99636480000000005</v>
      </c>
      <c r="Y4350">
        <v>9.8663760000000003E-2</v>
      </c>
      <c r="Z4350">
        <v>4.4394630000000003E-3</v>
      </c>
      <c r="AA4350">
        <v>0.99511090000000002</v>
      </c>
      <c r="AB4350">
        <v>28</v>
      </c>
      <c r="AC4350">
        <v>-17.681099999999901</v>
      </c>
      <c r="AD4350">
        <v>-1.1203074889089999</v>
      </c>
      <c r="AE4350">
        <v>1.5349999999999899</v>
      </c>
      <c r="AF4350">
        <v>1.7763479703975</v>
      </c>
      <c r="AG4350">
        <v>-1.1203074889089999</v>
      </c>
      <c r="AH4350">
        <v>17.587690481552201</v>
      </c>
      <c r="AI4350">
        <v>93.626325149167798</v>
      </c>
      <c r="AJ4350">
        <v>84.232712278621193</v>
      </c>
      <c r="AK4350">
        <v>17.712632708226199</v>
      </c>
      <c r="AL4350">
        <v>94.880792246195497</v>
      </c>
      <c r="AM4350">
        <v>89.756246009835095</v>
      </c>
      <c r="AN4350">
        <v>0.99999994128516101</v>
      </c>
    </row>
    <row r="4351" spans="1:40" x14ac:dyDescent="0.25">
      <c r="A4351" t="str">
        <f>"20190303154601226"</f>
        <v>20190303154601226</v>
      </c>
      <c r="B4351" t="str">
        <f>"1551599161215011"</f>
        <v>1551599161215011</v>
      </c>
      <c r="C4351" t="s">
        <v>40</v>
      </c>
      <c r="D4351">
        <v>5.1225610000000001</v>
      </c>
      <c r="E4351">
        <v>0.53697980000000001</v>
      </c>
      <c r="F4351" t="s">
        <v>61</v>
      </c>
      <c r="G4351">
        <v>-319.77080000000001</v>
      </c>
      <c r="H4351" s="1">
        <v>-6.3209519999999997E-6</v>
      </c>
      <c r="I4351">
        <v>142.84030000000001</v>
      </c>
      <c r="J4351">
        <v>-301.94529999999997</v>
      </c>
      <c r="K4351">
        <v>1.120231</v>
      </c>
      <c r="L4351">
        <v>141.23990000000001</v>
      </c>
      <c r="M4351">
        <v>-0.99981600000000004</v>
      </c>
      <c r="N4351">
        <v>-1.4062949999999999E-2</v>
      </c>
      <c r="O4351">
        <v>-1.305275E-2</v>
      </c>
      <c r="P4351">
        <v>-0.99499990000000005</v>
      </c>
      <c r="Q4351">
        <v>-9.9565119999999993E-2</v>
      </c>
      <c r="R4351">
        <v>-7.8884300000000001E-3</v>
      </c>
      <c r="S4351">
        <v>-2.9990540000000001</v>
      </c>
      <c r="T4351">
        <v>-0.18565670000000001</v>
      </c>
      <c r="U4351">
        <v>0.26477050000000002</v>
      </c>
      <c r="V4351">
        <v>4.945868E-3</v>
      </c>
      <c r="W4351">
        <v>-8.5571510000000003E-2</v>
      </c>
      <c r="X4351">
        <v>0.99631979999999998</v>
      </c>
      <c r="Y4351">
        <v>0.1006886</v>
      </c>
      <c r="Z4351">
        <v>4.4405260000000002E-3</v>
      </c>
      <c r="AA4351">
        <v>0.99490809999999996</v>
      </c>
      <c r="AB4351">
        <v>27</v>
      </c>
      <c r="AC4351">
        <v>-17.825500000000002</v>
      </c>
      <c r="AD4351">
        <v>-1.120237320952</v>
      </c>
      <c r="AE4351">
        <v>1.6004</v>
      </c>
      <c r="AF4351">
        <v>1.8258051533690101</v>
      </c>
      <c r="AG4351">
        <v>-1.120237320952</v>
      </c>
      <c r="AH4351">
        <v>17.733611474831498</v>
      </c>
      <c r="AI4351">
        <v>93.595631209225203</v>
      </c>
      <c r="AJ4351">
        <v>84.121692003364302</v>
      </c>
      <c r="AK4351">
        <v>17.8625158377424</v>
      </c>
      <c r="AL4351">
        <v>94.908889504539999</v>
      </c>
      <c r="AM4351">
        <v>89.715578236285594</v>
      </c>
      <c r="AN4351">
        <v>1.00000004440299</v>
      </c>
    </row>
    <row r="4352" spans="1:40" x14ac:dyDescent="0.25">
      <c r="A4352" t="str">
        <f>"20190303154601250"</f>
        <v>20190303154601250</v>
      </c>
      <c r="B4352" t="str">
        <f>"1551599161245267"</f>
        <v>1551599161245267</v>
      </c>
      <c r="C4352" t="s">
        <v>40</v>
      </c>
      <c r="D4352">
        <v>5.1717890000000004</v>
      </c>
      <c r="E4352">
        <v>0.53698659999999998</v>
      </c>
      <c r="F4352" t="s">
        <v>41</v>
      </c>
      <c r="G4352">
        <v>-319.98239999999998</v>
      </c>
      <c r="H4352" s="1">
        <v>-4.8579730000000002E-6</v>
      </c>
      <c r="I4352">
        <v>142.86340000000001</v>
      </c>
      <c r="J4352">
        <v>-302.24869999999999</v>
      </c>
      <c r="K4352">
        <v>1.1201639999999999</v>
      </c>
      <c r="L4352">
        <v>141.2372</v>
      </c>
      <c r="M4352">
        <v>-0.99983109999999997</v>
      </c>
      <c r="N4352">
        <v>-1.406137E-2</v>
      </c>
      <c r="O4352">
        <v>-1.1839580000000001E-2</v>
      </c>
      <c r="P4352">
        <v>-0.995004</v>
      </c>
      <c r="Q4352">
        <v>-9.9628250000000002E-2</v>
      </c>
      <c r="R4352">
        <v>-6.4177110000000004E-3</v>
      </c>
      <c r="S4352">
        <v>-2.998596</v>
      </c>
      <c r="T4352">
        <v>-0.18623480000000001</v>
      </c>
      <c r="U4352">
        <v>0.26991270000000001</v>
      </c>
      <c r="V4352">
        <v>5.1952259999999998E-3</v>
      </c>
      <c r="W4352">
        <v>-8.5637630000000006E-2</v>
      </c>
      <c r="X4352">
        <v>0.9963128</v>
      </c>
      <c r="Y4352">
        <v>0.1011862</v>
      </c>
      <c r="Z4352">
        <v>4.4137909999999898E-3</v>
      </c>
      <c r="AA4352">
        <v>0.99485769999999996</v>
      </c>
      <c r="AB4352">
        <v>27</v>
      </c>
      <c r="AC4352">
        <v>-17.733699999999999</v>
      </c>
      <c r="AD4352">
        <v>-1.120168857973</v>
      </c>
      <c r="AE4352">
        <v>1.6262000000000101</v>
      </c>
      <c r="AF4352">
        <v>1.82883019738618</v>
      </c>
      <c r="AG4352">
        <v>-1.120168857973</v>
      </c>
      <c r="AH4352">
        <v>17.6433920150793</v>
      </c>
      <c r="AI4352">
        <v>93.613491469619007</v>
      </c>
      <c r="AJ4352">
        <v>84.082125994631497</v>
      </c>
      <c r="AK4352">
        <v>17.773257438044599</v>
      </c>
      <c r="AL4352">
        <v>94.912692103584703</v>
      </c>
      <c r="AM4352">
        <v>89.701236573918806</v>
      </c>
      <c r="AN4352">
        <v>0.99999999474452395</v>
      </c>
    </row>
    <row r="4353" spans="1:40" x14ac:dyDescent="0.25">
      <c r="A4353" t="str">
        <f>"20190303154601268"</f>
        <v>20190303154601268</v>
      </c>
      <c r="B4353" t="str">
        <f>"1551599161265763"</f>
        <v>1551599161265763</v>
      </c>
      <c r="C4353" t="s">
        <v>40</v>
      </c>
      <c r="D4353">
        <v>5.1520789999999996</v>
      </c>
      <c r="E4353">
        <v>0.51594129999999905</v>
      </c>
      <c r="F4353" t="s">
        <v>41</v>
      </c>
      <c r="G4353">
        <v>-320.28660000000002</v>
      </c>
      <c r="H4353" s="1">
        <v>-4.7588580000000004E-6</v>
      </c>
      <c r="I4353">
        <v>142.88810000000001</v>
      </c>
      <c r="J4353">
        <v>-302.48489999999998</v>
      </c>
      <c r="K4353">
        <v>1.1201190000000001</v>
      </c>
      <c r="L4353">
        <v>141.2355</v>
      </c>
      <c r="M4353">
        <v>-0.99984249999999997</v>
      </c>
      <c r="N4353">
        <v>-1.405989E-2</v>
      </c>
      <c r="O4353">
        <v>-1.083896E-2</v>
      </c>
      <c r="P4353">
        <v>-0.99500109999999997</v>
      </c>
      <c r="Q4353">
        <v>-9.9681030000000004E-2</v>
      </c>
      <c r="R4353">
        <v>-6.0274600000000001E-3</v>
      </c>
      <c r="S4353">
        <v>-2.9981990000000001</v>
      </c>
      <c r="T4353">
        <v>-0.1861913</v>
      </c>
      <c r="U4353">
        <v>0.27441409999999899</v>
      </c>
      <c r="V4353">
        <v>4.5806880000000003E-3</v>
      </c>
      <c r="W4353">
        <v>-8.5691180000000006E-2</v>
      </c>
      <c r="X4353">
        <v>0.99631119999999995</v>
      </c>
      <c r="Y4353">
        <v>0.1016838</v>
      </c>
      <c r="Z4353">
        <v>4.3841160000000004E-3</v>
      </c>
      <c r="AA4353">
        <v>0.99480710000000006</v>
      </c>
      <c r="AB4353">
        <v>27</v>
      </c>
      <c r="AC4353">
        <v>-17.8017</v>
      </c>
      <c r="AD4353">
        <v>-1.120123758858</v>
      </c>
      <c r="AE4353">
        <v>1.6526000000000001</v>
      </c>
      <c r="AF4353">
        <v>1.8382580010115099</v>
      </c>
      <c r="AG4353">
        <v>-1.120123758858</v>
      </c>
      <c r="AH4353">
        <v>17.7132086597098</v>
      </c>
      <c r="AI4353">
        <v>93.599096310010907</v>
      </c>
      <c r="AJ4353">
        <v>84.075114519471498</v>
      </c>
      <c r="AK4353">
        <v>17.843531901948602</v>
      </c>
      <c r="AL4353">
        <v>94.915771664983495</v>
      </c>
      <c r="AM4353">
        <v>89.736576041294896</v>
      </c>
      <c r="AN4353">
        <v>0.99999998413889202</v>
      </c>
    </row>
    <row r="4354" spans="1:40" x14ac:dyDescent="0.25">
      <c r="A4354" t="str">
        <f>"20190303154601292"</f>
        <v>20190303154601292</v>
      </c>
      <c r="B4354" t="str">
        <f>"1551599161285283"</f>
        <v>1551599161285283</v>
      </c>
      <c r="C4354" t="s">
        <v>40</v>
      </c>
      <c r="D4354">
        <v>5.1194839999999999</v>
      </c>
      <c r="E4354">
        <v>0.51066840000000002</v>
      </c>
      <c r="F4354" t="s">
        <v>61</v>
      </c>
      <c r="G4354">
        <v>-319.64269999999999</v>
      </c>
      <c r="H4354" s="1">
        <v>-6.1172359999999998E-6</v>
      </c>
      <c r="I4354">
        <v>141.8535</v>
      </c>
      <c r="J4354">
        <v>-302.76620000000003</v>
      </c>
      <c r="K4354">
        <v>1.120061</v>
      </c>
      <c r="L4354">
        <v>141.2338</v>
      </c>
      <c r="M4354">
        <v>-0.99985539999999995</v>
      </c>
      <c r="N4354">
        <v>-1.4058090000000001E-2</v>
      </c>
      <c r="O4354">
        <v>-9.5854649999999996E-3</v>
      </c>
      <c r="P4354">
        <v>-0.99497400000000003</v>
      </c>
      <c r="Q4354">
        <v>-0.10000199999999999</v>
      </c>
      <c r="R4354">
        <v>-5.1744149999999999E-3</v>
      </c>
      <c r="S4354">
        <v>-2.9961549999999999</v>
      </c>
      <c r="T4354">
        <v>-0.19559960000000001</v>
      </c>
      <c r="U4354">
        <v>0.107910199999999</v>
      </c>
      <c r="V4354">
        <v>4.1760740000000001E-3</v>
      </c>
      <c r="W4354">
        <v>-8.6014010000000002E-2</v>
      </c>
      <c r="X4354">
        <v>0.99628519999999998</v>
      </c>
      <c r="Y4354">
        <v>4.5441389999999998E-2</v>
      </c>
      <c r="Z4354">
        <v>2.2914979999999999E-3</v>
      </c>
      <c r="AA4354">
        <v>0.99896439999999997</v>
      </c>
      <c r="AB4354">
        <v>27</v>
      </c>
      <c r="AC4354">
        <v>-16.876499999999901</v>
      </c>
      <c r="AD4354">
        <v>-1.1200671172359999</v>
      </c>
      <c r="AE4354">
        <v>0.61969999999999403</v>
      </c>
      <c r="AF4354">
        <v>0.77803413760862705</v>
      </c>
      <c r="AG4354">
        <v>-1.1200671172359999</v>
      </c>
      <c r="AH4354">
        <v>16.795901334982901</v>
      </c>
      <c r="AI4354">
        <v>93.8111560209571</v>
      </c>
      <c r="AJ4354">
        <v>87.347791750616196</v>
      </c>
      <c r="AK4354">
        <v>16.851177677565399</v>
      </c>
      <c r="AL4354">
        <v>94.934336807627204</v>
      </c>
      <c r="AM4354">
        <v>89.759837831752293</v>
      </c>
      <c r="AN4354">
        <v>1.0000000246246801</v>
      </c>
    </row>
    <row r="4355" spans="1:40" x14ac:dyDescent="0.25">
      <c r="A4355" t="str">
        <f>"20190303154601313"</f>
        <v>20190303154601313</v>
      </c>
      <c r="B4355" t="str">
        <f>"1551599161305779"</f>
        <v>1551599161305779</v>
      </c>
      <c r="C4355" t="s">
        <v>40</v>
      </c>
      <c r="D4355">
        <v>5.0919019999999904</v>
      </c>
      <c r="E4355">
        <v>0.50939609999999902</v>
      </c>
      <c r="F4355" t="s">
        <v>41</v>
      </c>
      <c r="G4355">
        <v>-324.1782</v>
      </c>
      <c r="H4355" s="1">
        <v>-3.0394839999999998E-6</v>
      </c>
      <c r="I4355">
        <v>141.71969999999999</v>
      </c>
      <c r="J4355">
        <v>-303.02679999999998</v>
      </c>
      <c r="K4355">
        <v>1.1200129999999999</v>
      </c>
      <c r="L4355">
        <v>141.23259999999999</v>
      </c>
      <c r="M4355">
        <v>-0.99986629999999999</v>
      </c>
      <c r="N4355">
        <v>-1.405645E-2</v>
      </c>
      <c r="O4355">
        <v>-8.3712630000000003E-3</v>
      </c>
      <c r="P4355">
        <v>-0.99490230000000002</v>
      </c>
      <c r="Q4355">
        <v>-0.1007502</v>
      </c>
      <c r="R4355">
        <v>-4.3988389999999999E-3</v>
      </c>
      <c r="S4355">
        <v>-2.999695</v>
      </c>
      <c r="T4355">
        <v>-0.15691440000000001</v>
      </c>
      <c r="U4355">
        <v>6.8084720000000001E-2</v>
      </c>
      <c r="V4355">
        <v>3.7326120000000002E-3</v>
      </c>
      <c r="W4355">
        <v>-8.6764149999999998E-2</v>
      </c>
      <c r="X4355">
        <v>0.99622189999999999</v>
      </c>
      <c r="Y4355">
        <v>3.100062E-2</v>
      </c>
      <c r="Z4355">
        <v>1.3482240000000001E-3</v>
      </c>
      <c r="AA4355">
        <v>0.99951849999999998</v>
      </c>
      <c r="AB4355">
        <v>27</v>
      </c>
      <c r="AC4355">
        <v>-21.151399999999999</v>
      </c>
      <c r="AD4355">
        <v>-1.120016039484</v>
      </c>
      <c r="AE4355">
        <v>0.48709999999999798</v>
      </c>
      <c r="AF4355">
        <v>0.66230823661100302</v>
      </c>
      <c r="AG4355">
        <v>-1.120016039484</v>
      </c>
      <c r="AH4355">
        <v>21.087483765842698</v>
      </c>
      <c r="AI4355">
        <v>93.038788947918604</v>
      </c>
      <c r="AJ4355">
        <v>88.201065766815006</v>
      </c>
      <c r="AK4355">
        <v>21.1275900117279</v>
      </c>
      <c r="AL4355">
        <v>94.977478010473604</v>
      </c>
      <c r="AM4355">
        <v>89.785327030641099</v>
      </c>
      <c r="AN4355">
        <v>1.0000000120785799</v>
      </c>
    </row>
    <row r="4356" spans="1:40" x14ac:dyDescent="0.25">
      <c r="A4356" t="str">
        <f>"20190303154601335"</f>
        <v>20190303154601335</v>
      </c>
      <c r="B4356" t="str">
        <f>"1551599161325299"</f>
        <v>1551599161325299</v>
      </c>
      <c r="C4356" t="s">
        <v>40</v>
      </c>
      <c r="D4356">
        <v>5.1121349999999897</v>
      </c>
      <c r="E4356">
        <v>0.50925770000000004</v>
      </c>
      <c r="F4356" t="s">
        <v>41</v>
      </c>
      <c r="G4356">
        <v>-325.66809999999998</v>
      </c>
      <c r="H4356" s="1">
        <v>-2.391849E-6</v>
      </c>
      <c r="I4356">
        <v>141.68780000000001</v>
      </c>
      <c r="J4356">
        <v>-303.2919</v>
      </c>
      <c r="K4356">
        <v>1.1199760000000001</v>
      </c>
      <c r="L4356">
        <v>141.23179999999999</v>
      </c>
      <c r="M4356">
        <v>-0.99987619999999999</v>
      </c>
      <c r="N4356">
        <v>-1.4054809999999999E-2</v>
      </c>
      <c r="O4356">
        <v>-7.088881E-3</v>
      </c>
      <c r="P4356">
        <v>-0.9948089</v>
      </c>
      <c r="Q4356">
        <v>-0.1017081</v>
      </c>
      <c r="R4356">
        <v>-3.2845959999999999E-3</v>
      </c>
      <c r="S4356">
        <v>-3.00061</v>
      </c>
      <c r="T4356">
        <v>-0.1484338</v>
      </c>
      <c r="U4356">
        <v>6.0333249999999998E-2</v>
      </c>
      <c r="V4356">
        <v>3.559052E-3</v>
      </c>
      <c r="W4356">
        <v>-8.7724930000000007E-2</v>
      </c>
      <c r="X4356">
        <v>0.99613839999999998</v>
      </c>
      <c r="Y4356">
        <v>2.7143520000000001E-2</v>
      </c>
      <c r="Z4356">
        <v>1.1126580000000001E-3</v>
      </c>
      <c r="AA4356">
        <v>0.99963089999999999</v>
      </c>
      <c r="AB4356">
        <v>27</v>
      </c>
      <c r="AC4356">
        <v>-22.376199999999901</v>
      </c>
      <c r="AD4356">
        <v>-1.1199783918490001</v>
      </c>
      <c r="AE4356">
        <v>0.456000000000017</v>
      </c>
      <c r="AF4356">
        <v>0.61309111891394097</v>
      </c>
      <c r="AG4356">
        <v>-1.1199783918490001</v>
      </c>
      <c r="AH4356">
        <v>22.316520126146301</v>
      </c>
      <c r="AI4356">
        <v>92.871957670046797</v>
      </c>
      <c r="AJ4356">
        <v>88.426336185366495</v>
      </c>
      <c r="AK4356">
        <v>22.353015520483901</v>
      </c>
      <c r="AL4356">
        <v>95.032737313656696</v>
      </c>
      <c r="AM4356">
        <v>89.795291707474107</v>
      </c>
      <c r="AN4356">
        <v>1.0000000210746001</v>
      </c>
    </row>
    <row r="4357" spans="1:40" x14ac:dyDescent="0.25">
      <c r="A4357" t="str">
        <f>"20190303154601357"</f>
        <v>20190303154601357</v>
      </c>
      <c r="B4357" t="str">
        <f>"1551599161345795"</f>
        <v>1551599161345795</v>
      </c>
      <c r="C4357" t="s">
        <v>40</v>
      </c>
      <c r="D4357">
        <v>5.106325</v>
      </c>
      <c r="E4357">
        <v>0.50881179999999904</v>
      </c>
      <c r="F4357" t="s">
        <v>41</v>
      </c>
      <c r="G4357">
        <v>-326.93299999999999</v>
      </c>
      <c r="H4357" s="1">
        <v>-1.8589140000000001E-6</v>
      </c>
      <c r="I4357">
        <v>141.7243</v>
      </c>
      <c r="J4357">
        <v>-303.56939999999997</v>
      </c>
      <c r="K4357">
        <v>1.1199330000000001</v>
      </c>
      <c r="L4357">
        <v>141.23140000000001</v>
      </c>
      <c r="M4357">
        <v>-0.99988509999999997</v>
      </c>
      <c r="N4357">
        <v>-1.405319E-2</v>
      </c>
      <c r="O4357">
        <v>-5.7007830000000001E-3</v>
      </c>
      <c r="P4357">
        <v>-0.99475829999999998</v>
      </c>
      <c r="Q4357">
        <v>-0.1022386</v>
      </c>
      <c r="R4357">
        <v>-1.8708520000000001E-3</v>
      </c>
      <c r="S4357">
        <v>-3.0013429999999999</v>
      </c>
      <c r="T4357">
        <v>-0.1421866</v>
      </c>
      <c r="U4357">
        <v>6.2530520000000006E-2</v>
      </c>
      <c r="V4357">
        <v>3.581772E-3</v>
      </c>
      <c r="W4357">
        <v>-8.8258219999999998E-2</v>
      </c>
      <c r="X4357">
        <v>0.99609119999999995</v>
      </c>
      <c r="Y4357">
        <v>2.6487750000000001E-2</v>
      </c>
      <c r="Z4357">
        <v>1.0031E-3</v>
      </c>
      <c r="AA4357">
        <v>0.9996486</v>
      </c>
      <c r="AB4357">
        <v>27</v>
      </c>
      <c r="AC4357">
        <v>-23.363600000000002</v>
      </c>
      <c r="AD4357">
        <v>-1.1199348589139999</v>
      </c>
      <c r="AE4357">
        <v>0.49289999999999101</v>
      </c>
      <c r="AF4357">
        <v>0.62466125559195196</v>
      </c>
      <c r="AG4357">
        <v>-1.1199348589139999</v>
      </c>
      <c r="AH4357">
        <v>23.3068801263694</v>
      </c>
      <c r="AI4357">
        <v>92.750056667097297</v>
      </c>
      <c r="AJ4357">
        <v>88.464750007507803</v>
      </c>
      <c r="AK4357">
        <v>23.342131800617601</v>
      </c>
      <c r="AL4357">
        <v>95.063411611479694</v>
      </c>
      <c r="AM4357">
        <v>89.793975155802201</v>
      </c>
      <c r="AN4357">
        <v>1.0000000106028299</v>
      </c>
    </row>
    <row r="4358" spans="1:40" x14ac:dyDescent="0.25">
      <c r="A4358" t="str">
        <f>"20190303154601379"</f>
        <v>20190303154601379</v>
      </c>
      <c r="B4358" t="str">
        <f>"1551599161375782"</f>
        <v>1551599161375782</v>
      </c>
      <c r="C4358" t="s">
        <v>40</v>
      </c>
      <c r="D4358">
        <v>5.1149969999999998</v>
      </c>
      <c r="E4358">
        <v>0.50838490000000003</v>
      </c>
      <c r="F4358" t="s">
        <v>41</v>
      </c>
      <c r="G4358">
        <v>-327.48489999999998</v>
      </c>
      <c r="H4358" s="1">
        <v>-1.6254429999999901E-6</v>
      </c>
      <c r="I4358">
        <v>141.73660000000001</v>
      </c>
      <c r="J4358">
        <v>-303.83859999999999</v>
      </c>
      <c r="K4358">
        <v>1.1198980000000001</v>
      </c>
      <c r="L4358">
        <v>141.23140000000001</v>
      </c>
      <c r="M4358">
        <v>-0.99989209999999995</v>
      </c>
      <c r="N4358">
        <v>-1.405144E-2</v>
      </c>
      <c r="O4358">
        <v>-4.3112280000000003E-3</v>
      </c>
      <c r="P4358">
        <v>-0.99470139999999996</v>
      </c>
      <c r="Q4358">
        <v>-0.102808</v>
      </c>
      <c r="R4358" s="1">
        <v>2.4023930000000001E-5</v>
      </c>
      <c r="S4358">
        <v>-3.0014949999999998</v>
      </c>
      <c r="T4358">
        <v>-0.14055680000000001</v>
      </c>
      <c r="U4358">
        <v>6.3415529999999998E-2</v>
      </c>
      <c r="V4358">
        <v>4.0853959999999998E-3</v>
      </c>
      <c r="W4358">
        <v>-8.8831770000000004E-2</v>
      </c>
      <c r="X4358">
        <v>0.99603830000000004</v>
      </c>
      <c r="Y4358">
        <v>2.5395259999999999E-2</v>
      </c>
      <c r="Z4358">
        <v>9.1400780000000005E-4</v>
      </c>
      <c r="AA4358">
        <v>0.99967709999999999</v>
      </c>
      <c r="AB4358">
        <v>27</v>
      </c>
      <c r="AC4358">
        <v>-23.6463</v>
      </c>
      <c r="AD4358">
        <v>-1.119899625443</v>
      </c>
      <c r="AE4358">
        <v>0.50520000000000198</v>
      </c>
      <c r="AF4358">
        <v>0.60579176910197996</v>
      </c>
      <c r="AG4358">
        <v>-1.119899625443</v>
      </c>
      <c r="AH4358">
        <v>23.5910111508136</v>
      </c>
      <c r="AI4358">
        <v>92.716979328365497</v>
      </c>
      <c r="AJ4358">
        <v>88.529029330724896</v>
      </c>
      <c r="AK4358">
        <v>23.625345837815601</v>
      </c>
      <c r="AL4358">
        <v>95.096403069156096</v>
      </c>
      <c r="AM4358">
        <v>89.764994342291502</v>
      </c>
      <c r="AN4358">
        <v>1.00000003444434</v>
      </c>
    </row>
    <row r="4359" spans="1:40" x14ac:dyDescent="0.25">
      <c r="A4359" t="str">
        <f>"20190303154601401"</f>
        <v>20190303154601401</v>
      </c>
      <c r="B4359" t="str">
        <f>"1551599161395303"</f>
        <v>1551599161395303</v>
      </c>
      <c r="C4359" t="s">
        <v>40</v>
      </c>
      <c r="D4359">
        <v>5.1803839999999903</v>
      </c>
      <c r="E4359">
        <v>0.50816879999999998</v>
      </c>
      <c r="F4359" t="s">
        <v>41</v>
      </c>
      <c r="G4359">
        <v>-327.4375</v>
      </c>
      <c r="H4359" s="1">
        <v>-1.6486969999999999E-6</v>
      </c>
      <c r="I4359">
        <v>141.74760000000001</v>
      </c>
      <c r="J4359">
        <v>-304.1028</v>
      </c>
      <c r="K4359">
        <v>1.1198709999999901</v>
      </c>
      <c r="L4359">
        <v>141.23179999999999</v>
      </c>
      <c r="M4359">
        <v>-0.99989709999999998</v>
      </c>
      <c r="N4359">
        <v>-1.4049600000000001E-2</v>
      </c>
      <c r="O4359">
        <v>-2.9115310000000002E-3</v>
      </c>
      <c r="P4359">
        <v>-0.99471900000000002</v>
      </c>
      <c r="Q4359">
        <v>-0.1026229</v>
      </c>
      <c r="R4359">
        <v>1.7231739999999901E-3</v>
      </c>
      <c r="S4359">
        <v>-3.0012509999999999</v>
      </c>
      <c r="T4359">
        <v>-0.14242639999999901</v>
      </c>
      <c r="U4359">
        <v>6.5658569999999999E-2</v>
      </c>
      <c r="V4359">
        <v>4.387073E-3</v>
      </c>
      <c r="W4359">
        <v>-8.86493E-2</v>
      </c>
      <c r="X4359">
        <v>0.99605319999999997</v>
      </c>
      <c r="Y4359">
        <v>2.474515E-2</v>
      </c>
      <c r="Z4359">
        <v>8.5792309999999897E-4</v>
      </c>
      <c r="AA4359">
        <v>0.99969350000000001</v>
      </c>
      <c r="AB4359">
        <v>27</v>
      </c>
      <c r="AC4359">
        <v>-23.334700000000002</v>
      </c>
      <c r="AD4359">
        <v>-1.1198726486970001</v>
      </c>
      <c r="AE4359">
        <v>0.51580000000001203</v>
      </c>
      <c r="AF4359">
        <v>0.582403479187801</v>
      </c>
      <c r="AG4359">
        <v>-1.1198726486970001</v>
      </c>
      <c r="AH4359">
        <v>23.279507836998899</v>
      </c>
      <c r="AI4359">
        <v>92.753259495362997</v>
      </c>
      <c r="AJ4359">
        <v>88.566881125156002</v>
      </c>
      <c r="AK4359">
        <v>23.313703989172598</v>
      </c>
      <c r="AL4359">
        <v>95.085907273315101</v>
      </c>
      <c r="AM4359">
        <v>89.747644862812194</v>
      </c>
      <c r="AN4359">
        <v>0.99999996101511701</v>
      </c>
    </row>
    <row r="4360" spans="1:40" x14ac:dyDescent="0.25">
      <c r="A4360" t="str">
        <f>"20190303154601426"</f>
        <v>20190303154601426</v>
      </c>
      <c r="B4360" t="str">
        <f>"1551599161415798"</f>
        <v>1551599161415798</v>
      </c>
      <c r="C4360" t="s">
        <v>40</v>
      </c>
      <c r="D4360">
        <v>5.136971</v>
      </c>
      <c r="E4360">
        <v>0.50786129999999996</v>
      </c>
      <c r="F4360" t="s">
        <v>41</v>
      </c>
      <c r="G4360">
        <v>-327.76870000000002</v>
      </c>
      <c r="H4360" s="1">
        <v>-1.5143320000000001E-6</v>
      </c>
      <c r="I4360">
        <v>141.77670000000001</v>
      </c>
      <c r="J4360">
        <v>-304.39729999999997</v>
      </c>
      <c r="K4360">
        <v>1.1198490000000001</v>
      </c>
      <c r="L4360">
        <v>141.2328</v>
      </c>
      <c r="M4360">
        <v>-0.99990060000000003</v>
      </c>
      <c r="N4360">
        <v>-1.404742E-2</v>
      </c>
      <c r="O4360">
        <v>-1.3188329999999999E-3</v>
      </c>
      <c r="P4360">
        <v>-0.99461169999999999</v>
      </c>
      <c r="Q4360">
        <v>-0.1036106</v>
      </c>
      <c r="R4360">
        <v>3.5626550000000001E-3</v>
      </c>
      <c r="S4360">
        <v>-3.00116</v>
      </c>
      <c r="T4360">
        <v>-0.142015</v>
      </c>
      <c r="U4360">
        <v>6.9107059999999998E-2</v>
      </c>
      <c r="V4360">
        <v>4.6356729999999999E-3</v>
      </c>
      <c r="W4360">
        <v>-8.9641410000000005E-2</v>
      </c>
      <c r="X4360">
        <v>0.9959633</v>
      </c>
      <c r="Y4360">
        <v>2.430328E-2</v>
      </c>
      <c r="Z4360">
        <v>7.8931940000000005E-4</v>
      </c>
      <c r="AA4360">
        <v>0.99970429999999999</v>
      </c>
      <c r="AB4360">
        <v>27</v>
      </c>
      <c r="AC4360">
        <v>-23.371400000000001</v>
      </c>
      <c r="AD4360">
        <v>-1.1198505143319999</v>
      </c>
      <c r="AE4360">
        <v>0.54390000000000704</v>
      </c>
      <c r="AF4360">
        <v>0.57340976591762904</v>
      </c>
      <c r="AG4360">
        <v>-1.1198505143319999</v>
      </c>
      <c r="AH4360">
        <v>23.317157687581599</v>
      </c>
      <c r="AI4360">
        <v>92.748795417878497</v>
      </c>
      <c r="AJ4360">
        <v>88.591280313694</v>
      </c>
      <c r="AK4360">
        <v>23.351075062224599</v>
      </c>
      <c r="AL4360">
        <v>95.142978099032504</v>
      </c>
      <c r="AM4360">
        <v>89.733320916435503</v>
      </c>
      <c r="AN4360">
        <v>0.99999998339892004</v>
      </c>
    </row>
    <row r="4361" spans="1:40" x14ac:dyDescent="0.25">
      <c r="A4361" t="str">
        <f>"20190303154601449"</f>
        <v>20190303154601449</v>
      </c>
      <c r="B4361" t="str">
        <f>"1551599161445079"</f>
        <v>1551599161445079</v>
      </c>
      <c r="C4361" t="s">
        <v>40</v>
      </c>
      <c r="D4361">
        <v>5.1935690000000001</v>
      </c>
      <c r="E4361">
        <v>0.50741309999999995</v>
      </c>
      <c r="F4361" t="s">
        <v>41</v>
      </c>
      <c r="G4361">
        <v>-327.4905</v>
      </c>
      <c r="H4361" s="1">
        <v>-1.6370880000000001E-6</v>
      </c>
      <c r="I4361">
        <v>141.7894</v>
      </c>
      <c r="J4361">
        <v>-304.6789</v>
      </c>
      <c r="K4361">
        <v>1.1198410000000001</v>
      </c>
      <c r="L4361">
        <v>141.23410000000001</v>
      </c>
      <c r="M4361">
        <v>-0.99990140000000005</v>
      </c>
      <c r="N4361">
        <v>-1.4045149999999999E-2</v>
      </c>
      <c r="O4361">
        <v>2.1943559999999999E-4</v>
      </c>
      <c r="P4361">
        <v>-0.99451990000000001</v>
      </c>
      <c r="Q4361">
        <v>-0.1043787</v>
      </c>
      <c r="R4361">
        <v>5.9537959999999999E-3</v>
      </c>
      <c r="S4361">
        <v>-3.0008240000000002</v>
      </c>
      <c r="T4361">
        <v>-0.14551829999999999</v>
      </c>
      <c r="U4361">
        <v>7.2341920000000004E-2</v>
      </c>
      <c r="V4361">
        <v>5.4928390000000002E-3</v>
      </c>
      <c r="W4361">
        <v>-9.0415239999999994E-2</v>
      </c>
      <c r="X4361">
        <v>0.99588900000000002</v>
      </c>
      <c r="Y4361">
        <v>2.3844959999999998E-2</v>
      </c>
      <c r="Z4361">
        <v>7.3779049999999995E-4</v>
      </c>
      <c r="AA4361">
        <v>0.99971540000000003</v>
      </c>
      <c r="AB4361">
        <v>27</v>
      </c>
      <c r="AC4361">
        <v>-22.811599999999999</v>
      </c>
      <c r="AD4361">
        <v>-1.1198426370879999</v>
      </c>
      <c r="AE4361">
        <v>0.55529999999998803</v>
      </c>
      <c r="AF4361">
        <v>0.54897162219142803</v>
      </c>
      <c r="AG4361">
        <v>-1.1198426370879999</v>
      </c>
      <c r="AH4361">
        <v>22.756911473755199</v>
      </c>
      <c r="AI4361">
        <v>92.816371904003702</v>
      </c>
      <c r="AJ4361">
        <v>88.618105191425698</v>
      </c>
      <c r="AK4361">
        <v>22.791060466729999</v>
      </c>
      <c r="AL4361">
        <v>95.187496019197297</v>
      </c>
      <c r="AM4361">
        <v>89.683987571923296</v>
      </c>
      <c r="AN4361">
        <v>0.99999999361276803</v>
      </c>
    </row>
    <row r="4362" spans="1:40" x14ac:dyDescent="0.25">
      <c r="A4362" t="str">
        <f>"20190303154601470"</f>
        <v>20190303154601470</v>
      </c>
      <c r="B4362" t="str">
        <f>"1551599161465575"</f>
        <v>1551599161465575</v>
      </c>
      <c r="C4362" t="s">
        <v>40</v>
      </c>
      <c r="D4362">
        <v>5.230861</v>
      </c>
      <c r="E4362">
        <v>0.50717089999999998</v>
      </c>
      <c r="F4362" t="s">
        <v>41</v>
      </c>
      <c r="G4362">
        <v>-327.29349999999999</v>
      </c>
      <c r="H4362" s="1">
        <v>-1.7271029999999901E-6</v>
      </c>
      <c r="I4362">
        <v>141.81010000000001</v>
      </c>
      <c r="J4362">
        <v>-304.93720000000002</v>
      </c>
      <c r="K4362">
        <v>1.1198399999999999</v>
      </c>
      <c r="L4362">
        <v>141.23580000000001</v>
      </c>
      <c r="M4362">
        <v>-0.99990020000000002</v>
      </c>
      <c r="N4362">
        <v>-1.404293E-2</v>
      </c>
      <c r="O4362">
        <v>1.6367420000000001E-3</v>
      </c>
      <c r="P4362">
        <v>-0.99441579999999996</v>
      </c>
      <c r="Q4362">
        <v>-0.1052336</v>
      </c>
      <c r="R4362">
        <v>7.9678949999999991E-3</v>
      </c>
      <c r="S4362">
        <v>-3.0004879999999998</v>
      </c>
      <c r="T4362">
        <v>-0.14857999999999999</v>
      </c>
      <c r="U4362">
        <v>7.6431269999999996E-2</v>
      </c>
      <c r="V4362">
        <v>6.0947880000000003E-3</v>
      </c>
      <c r="W4362">
        <v>-9.1275270000000006E-2</v>
      </c>
      <c r="X4362">
        <v>0.99580709999999995</v>
      </c>
      <c r="Y4362">
        <v>2.379189E-2</v>
      </c>
      <c r="Z4362">
        <v>6.9782109999999998E-4</v>
      </c>
      <c r="AA4362">
        <v>0.99971670000000001</v>
      </c>
      <c r="AB4362">
        <v>27</v>
      </c>
      <c r="AC4362">
        <v>-22.356299999999901</v>
      </c>
      <c r="AD4362">
        <v>-1.1198417271029999</v>
      </c>
      <c r="AE4362">
        <v>0.57429999999999304</v>
      </c>
      <c r="AF4362">
        <v>0.53635925478598501</v>
      </c>
      <c r="AG4362">
        <v>-1.1198417271029999</v>
      </c>
      <c r="AH4362">
        <v>22.301291436963702</v>
      </c>
      <c r="AI4362">
        <v>92.873818167172402</v>
      </c>
      <c r="AJ4362">
        <v>88.622268200609199</v>
      </c>
      <c r="AK4362">
        <v>22.335830553179498</v>
      </c>
      <c r="AL4362">
        <v>95.236976411216901</v>
      </c>
      <c r="AM4362">
        <v>89.649328399927299</v>
      </c>
      <c r="AN4362">
        <v>1.0000000508823701</v>
      </c>
    </row>
    <row r="4363" spans="1:40" x14ac:dyDescent="0.25">
      <c r="A4363" t="str">
        <f>"20190303154601492"</f>
        <v>20190303154601492</v>
      </c>
      <c r="B4363" t="str">
        <f>"1551599161485651"</f>
        <v>1551599161485651</v>
      </c>
      <c r="C4363" t="s">
        <v>40</v>
      </c>
      <c r="D4363">
        <v>5.1949940000000003</v>
      </c>
      <c r="E4363">
        <v>0.50683699999999998</v>
      </c>
      <c r="F4363" t="s">
        <v>41</v>
      </c>
      <c r="G4363">
        <v>-326.98520000000002</v>
      </c>
      <c r="H4363" s="1">
        <v>-1.8643690000000001E-6</v>
      </c>
      <c r="I4363">
        <v>141.8289</v>
      </c>
      <c r="J4363">
        <v>-305.21080000000001</v>
      </c>
      <c r="K4363">
        <v>1.1198399999999999</v>
      </c>
      <c r="L4363">
        <v>141.238</v>
      </c>
      <c r="M4363">
        <v>-0.99989649999999997</v>
      </c>
      <c r="N4363">
        <v>-1.404038E-2</v>
      </c>
      <c r="O4363">
        <v>3.1384550000000001E-3</v>
      </c>
      <c r="P4363">
        <v>-0.99435569999999895</v>
      </c>
      <c r="Q4363">
        <v>-0.1056546</v>
      </c>
      <c r="R4363">
        <v>9.6922239999999993E-3</v>
      </c>
      <c r="S4363">
        <v>-3.000092</v>
      </c>
      <c r="T4363">
        <v>-0.15237829999999999</v>
      </c>
      <c r="U4363">
        <v>8.0718990000000004E-2</v>
      </c>
      <c r="V4363">
        <v>6.3250299999999997E-3</v>
      </c>
      <c r="W4363">
        <v>-9.1700069999999995E-2</v>
      </c>
      <c r="X4363">
        <v>0.99576659999999995</v>
      </c>
      <c r="Y4363">
        <v>2.372111E-2</v>
      </c>
      <c r="Z4363">
        <v>6.5338400000000002E-4</v>
      </c>
      <c r="AA4363">
        <v>0.99971840000000001</v>
      </c>
      <c r="AB4363">
        <v>27</v>
      </c>
      <c r="AC4363">
        <v>-21.7744</v>
      </c>
      <c r="AD4363">
        <v>-1.119841864369</v>
      </c>
      <c r="AE4363">
        <v>0.59090000000000398</v>
      </c>
      <c r="AF4363">
        <v>0.52117489930972305</v>
      </c>
      <c r="AG4363">
        <v>-1.119841864369</v>
      </c>
      <c r="AH4363">
        <v>21.7187442498428</v>
      </c>
      <c r="AI4363">
        <v>92.950770380032296</v>
      </c>
      <c r="AJ4363">
        <v>88.625362863149803</v>
      </c>
      <c r="AK4363">
        <v>21.753839221317701</v>
      </c>
      <c r="AL4363">
        <v>95.261418348837694</v>
      </c>
      <c r="AM4363">
        <v>89.6360666741176</v>
      </c>
      <c r="AN4363">
        <v>1.00000001525903</v>
      </c>
    </row>
    <row r="4364" spans="1:40" x14ac:dyDescent="0.25">
      <c r="A4364" t="str">
        <f>"20190303154601515"</f>
        <v>20190303154601515</v>
      </c>
      <c r="B4364" t="str">
        <f>"1551599161505171"</f>
        <v>1551599161505171</v>
      </c>
      <c r="C4364" t="s">
        <v>40</v>
      </c>
      <c r="D4364">
        <v>5.2256850000000004</v>
      </c>
      <c r="E4364">
        <v>0.50659509999999996</v>
      </c>
      <c r="F4364" t="s">
        <v>41</v>
      </c>
      <c r="G4364">
        <v>-326.8732</v>
      </c>
      <c r="H4364" s="1">
        <v>-1.9147699999999999E-6</v>
      </c>
      <c r="I4364">
        <v>141.83779999999999</v>
      </c>
      <c r="J4364">
        <v>-305.48540000000003</v>
      </c>
      <c r="K4364">
        <v>1.1198399999999999</v>
      </c>
      <c r="L4364">
        <v>141.2405</v>
      </c>
      <c r="M4364">
        <v>-0.99989070000000002</v>
      </c>
      <c r="N4364">
        <v>-1.403778E-2</v>
      </c>
      <c r="O4364">
        <v>4.641694E-3</v>
      </c>
      <c r="P4364">
        <v>-0.99428399999999995</v>
      </c>
      <c r="Q4364">
        <v>-0.10620789999999999</v>
      </c>
      <c r="R4364">
        <v>1.0945379999999999E-2</v>
      </c>
      <c r="S4364">
        <v>-2.9997560000000001</v>
      </c>
      <c r="T4364">
        <v>-0.15507360000000001</v>
      </c>
      <c r="U4364">
        <v>8.306885E-2</v>
      </c>
      <c r="V4364">
        <v>6.083041E-3</v>
      </c>
      <c r="W4364">
        <v>-9.2255909999999997E-2</v>
      </c>
      <c r="X4364">
        <v>0.99571679999999996</v>
      </c>
      <c r="Y4364">
        <v>2.3004819999999999E-2</v>
      </c>
      <c r="Z4364">
        <v>5.8113130000000002E-4</v>
      </c>
      <c r="AA4364">
        <v>0.99973520000000005</v>
      </c>
      <c r="AB4364">
        <v>27</v>
      </c>
      <c r="AC4364">
        <v>-21.387799999999899</v>
      </c>
      <c r="AD4364">
        <v>-1.1198419147700001</v>
      </c>
      <c r="AE4364">
        <v>0.59729999999998995</v>
      </c>
      <c r="AF4364">
        <v>0.49664768256057501</v>
      </c>
      <c r="AG4364">
        <v>-1.1198419147700001</v>
      </c>
      <c r="AH4364">
        <v>21.331907405683701</v>
      </c>
      <c r="AI4364">
        <v>93.004233824385906</v>
      </c>
      <c r="AJ4364">
        <v>88.666285401632294</v>
      </c>
      <c r="AK4364">
        <v>21.3670535731844</v>
      </c>
      <c r="AL4364">
        <v>95.293401018861701</v>
      </c>
      <c r="AM4364">
        <v>89.649972522332106</v>
      </c>
      <c r="AN4364">
        <v>1.00000005105998</v>
      </c>
    </row>
    <row r="4365" spans="1:40" x14ac:dyDescent="0.25">
      <c r="A4365" t="str">
        <f>"20190303154601537"</f>
        <v>20190303154601537</v>
      </c>
      <c r="B4365" t="str">
        <f>"1551599161525667"</f>
        <v>1551599161525667</v>
      </c>
      <c r="C4365" t="s">
        <v>40</v>
      </c>
      <c r="D4365">
        <v>5.2903190000000002</v>
      </c>
      <c r="E4365">
        <v>0.50626059999999995</v>
      </c>
      <c r="F4365" t="s">
        <v>41</v>
      </c>
      <c r="G4365">
        <v>-326.9375</v>
      </c>
      <c r="H4365" s="1">
        <v>-1.889465E-6</v>
      </c>
      <c r="I4365">
        <v>141.84630000000001</v>
      </c>
      <c r="J4365">
        <v>-305.7475</v>
      </c>
      <c r="K4365">
        <v>1.1198410000000001</v>
      </c>
      <c r="L4365">
        <v>141.2433</v>
      </c>
      <c r="M4365">
        <v>-0.99988310000000002</v>
      </c>
      <c r="N4365">
        <v>-1.403532E-2</v>
      </c>
      <c r="O4365">
        <v>6.0723909999999999E-3</v>
      </c>
      <c r="P4365">
        <v>-0.99423119999999998</v>
      </c>
      <c r="Q4365">
        <v>-0.1066289</v>
      </c>
      <c r="R4365">
        <v>1.161267E-2</v>
      </c>
      <c r="S4365">
        <v>-2.999603</v>
      </c>
      <c r="T4365">
        <v>-0.1565858</v>
      </c>
      <c r="U4365">
        <v>8.4716799999999995E-2</v>
      </c>
      <c r="V4365">
        <v>5.3275769999999896E-3</v>
      </c>
      <c r="W4365">
        <v>-9.2677850000000006E-2</v>
      </c>
      <c r="X4365">
        <v>0.99568190000000001</v>
      </c>
      <c r="Y4365">
        <v>2.212652E-2</v>
      </c>
      <c r="Z4365">
        <v>5.0093739999999896E-4</v>
      </c>
      <c r="AA4365">
        <v>0.99975499999999995</v>
      </c>
      <c r="AB4365">
        <v>27</v>
      </c>
      <c r="AC4365">
        <v>-21.19</v>
      </c>
      <c r="AD4365">
        <v>-1.1198428894650001</v>
      </c>
      <c r="AE4365">
        <v>0.60300000000000797</v>
      </c>
      <c r="AF4365">
        <v>0.47298233025724101</v>
      </c>
      <c r="AG4365">
        <v>-1.1198428894650001</v>
      </c>
      <c r="AH4365">
        <v>21.134293466044301</v>
      </c>
      <c r="AI4365">
        <v>93.032337344684194</v>
      </c>
      <c r="AJ4365">
        <v>88.717943028747499</v>
      </c>
      <c r="AK4365">
        <v>21.169225793370501</v>
      </c>
      <c r="AL4365">
        <v>95.317680655550305</v>
      </c>
      <c r="AM4365">
        <v>89.693431442188995</v>
      </c>
      <c r="AN4365">
        <v>1.0000000064724599</v>
      </c>
    </row>
    <row r="4366" spans="1:40" x14ac:dyDescent="0.25">
      <c r="A4366" t="str">
        <f>"20190303154601558"</f>
        <v>20190303154601558</v>
      </c>
      <c r="B4366" t="str">
        <f>"1551599161554946"</f>
        <v>1551599161554946</v>
      </c>
      <c r="C4366" t="s">
        <v>40</v>
      </c>
      <c r="D4366">
        <v>5.2571519999999996</v>
      </c>
      <c r="E4366">
        <v>0.50569509999999995</v>
      </c>
      <c r="F4366" t="s">
        <v>41</v>
      </c>
      <c r="G4366">
        <v>-327.029</v>
      </c>
      <c r="H4366" s="1">
        <v>-1.8489410000000001E-6</v>
      </c>
      <c r="I4366">
        <v>141.8415</v>
      </c>
      <c r="J4366">
        <v>-306.00459999999998</v>
      </c>
      <c r="K4366">
        <v>1.1198429999999999</v>
      </c>
      <c r="L4366">
        <v>141.2465</v>
      </c>
      <c r="M4366">
        <v>-0.99987360000000003</v>
      </c>
      <c r="N4366">
        <v>-1.4032869999999999E-2</v>
      </c>
      <c r="O4366">
        <v>7.4714990000000004E-3</v>
      </c>
      <c r="P4366">
        <v>-0.99413379999999996</v>
      </c>
      <c r="Q4366">
        <v>-0.1075168</v>
      </c>
      <c r="R4366">
        <v>1.1762689999999999E-2</v>
      </c>
      <c r="S4366">
        <v>-2.9995120000000002</v>
      </c>
      <c r="T4366">
        <v>-0.1578367</v>
      </c>
      <c r="U4366">
        <v>8.4320069999999997E-2</v>
      </c>
      <c r="V4366">
        <v>4.0856800000000004E-3</v>
      </c>
      <c r="W4366">
        <v>-9.3565990000000002E-2</v>
      </c>
      <c r="X4366">
        <v>0.99560470000000001</v>
      </c>
      <c r="Y4366">
        <v>2.0599559999999999E-2</v>
      </c>
      <c r="Z4366">
        <v>3.9818630000000002E-4</v>
      </c>
      <c r="AA4366">
        <v>0.99978769999999995</v>
      </c>
      <c r="AB4366">
        <v>27</v>
      </c>
      <c r="AC4366">
        <v>-21.0244</v>
      </c>
      <c r="AD4366">
        <v>-1.119844848941</v>
      </c>
      <c r="AE4366">
        <v>0.59499999999999797</v>
      </c>
      <c r="AF4366">
        <v>0.43664633314544399</v>
      </c>
      <c r="AG4366">
        <v>-1.119844848941</v>
      </c>
      <c r="AH4366">
        <v>20.968816850845801</v>
      </c>
      <c r="AI4366">
        <v>93.056329859143901</v>
      </c>
      <c r="AJ4366">
        <v>88.807067798514097</v>
      </c>
      <c r="AK4366">
        <v>21.003237670184699</v>
      </c>
      <c r="AL4366">
        <v>95.3687894316637</v>
      </c>
      <c r="AM4366">
        <v>89.764875651573206</v>
      </c>
      <c r="AN4366">
        <v>1.00000000296391</v>
      </c>
    </row>
    <row r="4367" spans="1:40" x14ac:dyDescent="0.25">
      <c r="A4367" t="str">
        <f>"20190303154601582"</f>
        <v>20190303154601582</v>
      </c>
      <c r="B4367" t="str">
        <f>"1551599161575255"</f>
        <v>1551599161575255</v>
      </c>
      <c r="C4367" t="s">
        <v>40</v>
      </c>
      <c r="D4367">
        <v>5.2909259999999998</v>
      </c>
      <c r="E4367">
        <v>0.50540989999999997</v>
      </c>
      <c r="F4367" t="s">
        <v>41</v>
      </c>
      <c r="G4367">
        <v>-326.70979999999997</v>
      </c>
      <c r="H4367" s="1">
        <v>-1.975111E-6</v>
      </c>
      <c r="I4367">
        <v>141.80109999999999</v>
      </c>
      <c r="J4367">
        <v>-306.27960000000002</v>
      </c>
      <c r="K4367">
        <v>1.1198440000000001</v>
      </c>
      <c r="L4367">
        <v>141.25020000000001</v>
      </c>
      <c r="M4367">
        <v>-0.99986140000000001</v>
      </c>
      <c r="N4367">
        <v>-1.4030229999999999E-2</v>
      </c>
      <c r="O4367">
        <v>8.9647749999999995E-3</v>
      </c>
      <c r="P4367">
        <v>-0.99408790000000002</v>
      </c>
      <c r="Q4367">
        <v>-0.1080291</v>
      </c>
      <c r="R4367">
        <v>1.091787E-2</v>
      </c>
      <c r="S4367">
        <v>-2.9992070000000002</v>
      </c>
      <c r="T4367">
        <v>-0.16221340000000001</v>
      </c>
      <c r="U4367">
        <v>8.0352779999999999E-2</v>
      </c>
      <c r="V4367">
        <v>1.7562459999999999E-3</v>
      </c>
      <c r="W4367">
        <v>-9.4075350000000002E-2</v>
      </c>
      <c r="X4367">
        <v>0.99556350000000005</v>
      </c>
      <c r="Y4367">
        <v>1.7792659999999998E-2</v>
      </c>
      <c r="Z4367">
        <v>2.4698020000000001E-4</v>
      </c>
      <c r="AA4367">
        <v>0.99984170000000006</v>
      </c>
      <c r="AB4367">
        <v>27</v>
      </c>
      <c r="AC4367">
        <v>-20.4301999999999</v>
      </c>
      <c r="AD4367">
        <v>-1.1198459751109999</v>
      </c>
      <c r="AE4367">
        <v>0.55089999999998396</v>
      </c>
      <c r="AF4367">
        <v>0.36660701747100999</v>
      </c>
      <c r="AG4367">
        <v>-1.1198459751109999</v>
      </c>
      <c r="AH4367">
        <v>20.3731515056446</v>
      </c>
      <c r="AI4367">
        <v>93.1456886634911</v>
      </c>
      <c r="AJ4367">
        <v>88.969095768570398</v>
      </c>
      <c r="AK4367">
        <v>20.407198680494599</v>
      </c>
      <c r="AL4367">
        <v>95.398103091366494</v>
      </c>
      <c r="AM4367">
        <v>89.898926206910502</v>
      </c>
      <c r="AN4367">
        <v>0.99999996920494205</v>
      </c>
    </row>
    <row r="4368" spans="1:40" x14ac:dyDescent="0.25">
      <c r="A4368" t="str">
        <f>"20190303154601603"</f>
        <v>20190303154601603</v>
      </c>
      <c r="B4368" t="str">
        <f>"1551599161595751"</f>
        <v>1551599161595751</v>
      </c>
      <c r="C4368" t="s">
        <v>40</v>
      </c>
      <c r="D4368">
        <v>5.3199800000000002</v>
      </c>
      <c r="E4368">
        <v>0.50517449999999997</v>
      </c>
      <c r="F4368" t="s">
        <v>41</v>
      </c>
      <c r="G4368">
        <v>-326.60669999999999</v>
      </c>
      <c r="H4368" s="1">
        <v>-2.008916E-6</v>
      </c>
      <c r="I4368">
        <v>141.762</v>
      </c>
      <c r="J4368">
        <v>-306.53809999999999</v>
      </c>
      <c r="K4368">
        <v>1.119848</v>
      </c>
      <c r="L4368">
        <v>141.2542</v>
      </c>
      <c r="M4368">
        <v>-0.99984790000000001</v>
      </c>
      <c r="N4368">
        <v>-1.4027680000000001E-2</v>
      </c>
      <c r="O4368">
        <v>1.0361830000000001E-2</v>
      </c>
      <c r="P4368">
        <v>-0.99410580000000004</v>
      </c>
      <c r="Q4368">
        <v>-0.1078872</v>
      </c>
      <c r="R4368">
        <v>1.0683089999999999E-2</v>
      </c>
      <c r="S4368">
        <v>-2.9990540000000001</v>
      </c>
      <c r="T4368">
        <v>-0.16522220000000001</v>
      </c>
      <c r="U4368">
        <v>7.5515750000000006E-2</v>
      </c>
      <c r="V4368">
        <v>1.338662E-4</v>
      </c>
      <c r="W4368">
        <v>-9.3931500000000001E-2</v>
      </c>
      <c r="X4368">
        <v>0.99557859999999998</v>
      </c>
      <c r="Y4368">
        <v>1.4791550000000001E-2</v>
      </c>
      <c r="Z4368" s="1">
        <v>8.5898460000000002E-5</v>
      </c>
      <c r="AA4368">
        <v>0.99989059999999996</v>
      </c>
      <c r="AB4368">
        <v>27</v>
      </c>
      <c r="AC4368">
        <v>-20.0686</v>
      </c>
      <c r="AD4368">
        <v>-1.119850008916</v>
      </c>
      <c r="AE4368">
        <v>0.50780000000000303</v>
      </c>
      <c r="AF4368">
        <v>0.298874815824615</v>
      </c>
      <c r="AG4368">
        <v>-1.119850008916</v>
      </c>
      <c r="AH4368">
        <v>20.0105165164256</v>
      </c>
      <c r="AI4368">
        <v>93.202750342686102</v>
      </c>
      <c r="AJ4368">
        <v>89.144300331211497</v>
      </c>
      <c r="AK4368">
        <v>20.0440555140956</v>
      </c>
      <c r="AL4368">
        <v>95.389824555965305</v>
      </c>
      <c r="AM4368">
        <v>89.9922959691648</v>
      </c>
      <c r="AN4368">
        <v>0.999999946695183</v>
      </c>
    </row>
    <row r="4369" spans="1:40" x14ac:dyDescent="0.25">
      <c r="A4369" t="str">
        <f>"20190303154601626"</f>
        <v>20190303154601626</v>
      </c>
      <c r="B4369" t="str">
        <f>"1551599161615271"</f>
        <v>1551599161615271</v>
      </c>
      <c r="C4369" t="s">
        <v>40</v>
      </c>
      <c r="D4369">
        <v>5.3319799999999997</v>
      </c>
      <c r="E4369">
        <v>0.50495540000000005</v>
      </c>
      <c r="F4369" t="s">
        <v>41</v>
      </c>
      <c r="G4369">
        <v>-326.76960000000003</v>
      </c>
      <c r="H4369" s="1">
        <v>-1.9349170000000001E-6</v>
      </c>
      <c r="I4369">
        <v>141.74639999999999</v>
      </c>
      <c r="J4369">
        <v>-306.81650000000002</v>
      </c>
      <c r="K4369">
        <v>1.1198490000000001</v>
      </c>
      <c r="L4369">
        <v>141.25880000000001</v>
      </c>
      <c r="M4369">
        <v>-0.99983129999999998</v>
      </c>
      <c r="N4369">
        <v>-1.402482E-2</v>
      </c>
      <c r="O4369">
        <v>1.1857360000000001E-2</v>
      </c>
      <c r="P4369">
        <v>-0.99402440000000003</v>
      </c>
      <c r="Q4369">
        <v>-0.1086239</v>
      </c>
      <c r="R4369">
        <v>1.077563E-2</v>
      </c>
      <c r="S4369">
        <v>-2.998993</v>
      </c>
      <c r="T4369">
        <v>-0.166000799999999</v>
      </c>
      <c r="U4369">
        <v>7.2982790000000006E-2</v>
      </c>
      <c r="V4369">
        <v>-1.259193E-3</v>
      </c>
      <c r="W4369">
        <v>-9.46684E-2</v>
      </c>
      <c r="X4369">
        <v>0.99550810000000001</v>
      </c>
      <c r="Y4369">
        <v>1.245804E-2</v>
      </c>
      <c r="Z4369" s="1">
        <v>-5.7564900000000002E-5</v>
      </c>
      <c r="AA4369">
        <v>0.99992239999999999</v>
      </c>
      <c r="AB4369">
        <v>27</v>
      </c>
      <c r="AC4369">
        <v>-19.953099999999999</v>
      </c>
      <c r="AD4369">
        <v>-1.1198509349169901</v>
      </c>
      <c r="AE4369">
        <v>0.48759999999998599</v>
      </c>
      <c r="AF4369">
        <v>0.25016381770662999</v>
      </c>
      <c r="AG4369">
        <v>-1.1198509349169901</v>
      </c>
      <c r="AH4369">
        <v>19.8948494148493</v>
      </c>
      <c r="AI4369">
        <v>93.221438841986995</v>
      </c>
      <c r="AJ4369">
        <v>89.279583610539703</v>
      </c>
      <c r="AK4369">
        <v>19.9279121157148</v>
      </c>
      <c r="AL4369">
        <v>95.432234328823199</v>
      </c>
      <c r="AM4369">
        <v>90.072471942736101</v>
      </c>
      <c r="AN4369">
        <v>1.0000000343455899</v>
      </c>
    </row>
    <row r="4370" spans="1:40" x14ac:dyDescent="0.25">
      <c r="A4370" t="str">
        <f>"20190303154601651"</f>
        <v>20190303154601651</v>
      </c>
      <c r="B4370" t="str">
        <f>"1551599161645527"</f>
        <v>1551599161645527</v>
      </c>
      <c r="C4370" t="s">
        <v>40</v>
      </c>
      <c r="D4370">
        <v>5.3344860000000001</v>
      </c>
      <c r="E4370">
        <v>0.50463999999999998</v>
      </c>
      <c r="F4370" t="s">
        <v>41</v>
      </c>
      <c r="G4370">
        <v>-326.75990000000002</v>
      </c>
      <c r="H4370" s="1">
        <v>-1.9360779999999998E-6</v>
      </c>
      <c r="I4370">
        <v>141.73519999999999</v>
      </c>
      <c r="J4370">
        <v>-307.10680000000002</v>
      </c>
      <c r="K4370">
        <v>1.119861</v>
      </c>
      <c r="L4370">
        <v>141.26400000000001</v>
      </c>
      <c r="M4370">
        <v>-0.99981209999999998</v>
      </c>
      <c r="N4370">
        <v>-1.402167E-2</v>
      </c>
      <c r="O4370">
        <v>1.339655E-2</v>
      </c>
      <c r="P4370">
        <v>-0.99381580000000003</v>
      </c>
      <c r="Q4370">
        <v>-0.110405</v>
      </c>
      <c r="R4370">
        <v>1.1889200000000001E-2</v>
      </c>
      <c r="S4370">
        <v>-2.9988709999999998</v>
      </c>
      <c r="T4370">
        <v>-0.16839100000000001</v>
      </c>
      <c r="U4370">
        <v>7.1655269999999993E-2</v>
      </c>
      <c r="V4370">
        <v>-1.6742629999999901E-3</v>
      </c>
      <c r="W4370">
        <v>-9.645426E-2</v>
      </c>
      <c r="X4370">
        <v>0.995336</v>
      </c>
      <c r="Y4370">
        <v>1.048232E-2</v>
      </c>
      <c r="Z4370">
        <v>-1.9616290000000001E-4</v>
      </c>
      <c r="AA4370">
        <v>0.99994499999999997</v>
      </c>
      <c r="AB4370">
        <v>27</v>
      </c>
      <c r="AC4370">
        <v>-19.653099999999899</v>
      </c>
      <c r="AD4370">
        <v>-1.1198629360779999</v>
      </c>
      <c r="AE4370">
        <v>0.47119999999998102</v>
      </c>
      <c r="AF4370">
        <v>0.20717583496684899</v>
      </c>
      <c r="AG4370">
        <v>-1.1198629360779999</v>
      </c>
      <c r="AH4370">
        <v>19.5940658698328</v>
      </c>
      <c r="AI4370">
        <v>93.270894326216094</v>
      </c>
      <c r="AJ4370">
        <v>89.394211557945795</v>
      </c>
      <c r="AK4370">
        <v>19.627135097449699</v>
      </c>
      <c r="AL4370">
        <v>95.535027251651101</v>
      </c>
      <c r="AM4370">
        <v>90.096377618431504</v>
      </c>
      <c r="AN4370">
        <v>0.99999999016236996</v>
      </c>
    </row>
    <row r="4371" spans="1:40" x14ac:dyDescent="0.25">
      <c r="A4371" t="str">
        <f>"20190303154601670"</f>
        <v>20190303154601670</v>
      </c>
      <c r="B4371" t="str">
        <f>"1551599161665047"</f>
        <v>1551599161665047</v>
      </c>
      <c r="C4371" t="s">
        <v>40</v>
      </c>
      <c r="D4371">
        <v>5.3548049999999998</v>
      </c>
      <c r="E4371">
        <v>0.50442189999999998</v>
      </c>
      <c r="F4371" t="s">
        <v>41</v>
      </c>
      <c r="G4371">
        <v>-326.40230000000003</v>
      </c>
      <c r="H4371" s="1">
        <v>-2.0885570000000001E-6</v>
      </c>
      <c r="I4371">
        <v>141.73169999999999</v>
      </c>
      <c r="J4371">
        <v>-307.35700000000003</v>
      </c>
      <c r="K4371">
        <v>1.119883</v>
      </c>
      <c r="L4371">
        <v>141.2688</v>
      </c>
      <c r="M4371">
        <v>-0.99979390000000001</v>
      </c>
      <c r="N4371">
        <v>-1.401878E-2</v>
      </c>
      <c r="O4371">
        <v>1.468947E-2</v>
      </c>
      <c r="P4371">
        <v>-0.99374589999999996</v>
      </c>
      <c r="Q4371">
        <v>-0.11086799999999999</v>
      </c>
      <c r="R4371">
        <v>1.332799E-2</v>
      </c>
      <c r="S4371">
        <v>-2.9984739999999999</v>
      </c>
      <c r="T4371">
        <v>-0.17402490000000001</v>
      </c>
      <c r="U4371">
        <v>7.2692870000000007E-2</v>
      </c>
      <c r="V4371">
        <v>-1.5156729999999999E-3</v>
      </c>
      <c r="W4371">
        <v>-9.6921320000000005E-2</v>
      </c>
      <c r="X4371">
        <v>0.99529089999999998</v>
      </c>
      <c r="Y4371">
        <v>9.5412339999999991E-3</v>
      </c>
      <c r="Z4371">
        <v>-3.0228660000000001E-4</v>
      </c>
      <c r="AA4371">
        <v>0.99995449999999997</v>
      </c>
      <c r="AB4371">
        <v>27</v>
      </c>
      <c r="AC4371">
        <v>-19.045300000000001</v>
      </c>
      <c r="AD4371">
        <v>-1.119885088557</v>
      </c>
      <c r="AE4371">
        <v>0.46289999999998999</v>
      </c>
      <c r="AF4371">
        <v>0.182426826738676</v>
      </c>
      <c r="AG4371">
        <v>-1.119885088557</v>
      </c>
      <c r="AH4371">
        <v>18.9844437704269</v>
      </c>
      <c r="AI4371">
        <v>93.375788446412699</v>
      </c>
      <c r="AJ4371">
        <v>89.449445784612294</v>
      </c>
      <c r="AK4371">
        <v>19.018320836267002</v>
      </c>
      <c r="AL4371">
        <v>95.561913691655803</v>
      </c>
      <c r="AM4371">
        <v>90.087252479543196</v>
      </c>
      <c r="AN4371">
        <v>1.0000000075789901</v>
      </c>
    </row>
    <row r="4372" spans="1:40" x14ac:dyDescent="0.25">
      <c r="A4372" t="str">
        <f>"20190303154601693"</f>
        <v>20190303154601693</v>
      </c>
      <c r="B4372" t="str">
        <f>"1551599161685543"</f>
        <v>1551599161685543</v>
      </c>
      <c r="C4372" t="s">
        <v>40</v>
      </c>
      <c r="D4372">
        <v>5.3868410000000004</v>
      </c>
      <c r="E4372">
        <v>0.50419629999999904</v>
      </c>
      <c r="F4372" t="s">
        <v>41</v>
      </c>
      <c r="G4372">
        <v>-326.4391</v>
      </c>
      <c r="H4372" s="1">
        <v>-2.0770920000000002E-6</v>
      </c>
      <c r="I4372">
        <v>141.74799999999999</v>
      </c>
      <c r="J4372">
        <v>-307.61410000000001</v>
      </c>
      <c r="K4372">
        <v>1.1199209999999999</v>
      </c>
      <c r="L4372">
        <v>141.2741</v>
      </c>
      <c r="M4372">
        <v>-0.9997743</v>
      </c>
      <c r="N4372">
        <v>-1.401556E-2</v>
      </c>
      <c r="O4372">
        <v>1.5968779999999998E-2</v>
      </c>
      <c r="P4372">
        <v>-0.9937047</v>
      </c>
      <c r="Q4372">
        <v>-0.1110222</v>
      </c>
      <c r="R4372">
        <v>1.5017259999999999E-2</v>
      </c>
      <c r="S4372">
        <v>-2.99823</v>
      </c>
      <c r="T4372">
        <v>-0.17595910000000001</v>
      </c>
      <c r="U4372">
        <v>7.530212E-2</v>
      </c>
      <c r="V4372">
        <v>-1.0889980000000001E-3</v>
      </c>
      <c r="W4372">
        <v>-9.7080100000000003E-2</v>
      </c>
      <c r="X4372">
        <v>0.99527600000000005</v>
      </c>
      <c r="Y4372">
        <v>9.1355329999999995E-3</v>
      </c>
      <c r="Z4372">
        <v>-3.8058139999999998E-4</v>
      </c>
      <c r="AA4372">
        <v>0.99995820000000002</v>
      </c>
      <c r="AB4372">
        <v>27</v>
      </c>
      <c r="AC4372">
        <v>-18.8249999999999</v>
      </c>
      <c r="AD4372">
        <v>-1.1199230770919999</v>
      </c>
      <c r="AE4372">
        <v>0.473899999999986</v>
      </c>
      <c r="AF4372">
        <v>0.17258732548844299</v>
      </c>
      <c r="AG4372">
        <v>-1.1199230770919999</v>
      </c>
      <c r="AH4372">
        <v>18.763800532838601</v>
      </c>
      <c r="AI4372">
        <v>93.415519628587504</v>
      </c>
      <c r="AJ4372">
        <v>89.473014729364806</v>
      </c>
      <c r="AK4372">
        <v>18.797984586643299</v>
      </c>
      <c r="AL4372">
        <v>95.571054127824993</v>
      </c>
      <c r="AM4372">
        <v>90.062691117236199</v>
      </c>
      <c r="AN4372">
        <v>1.0000000239543201</v>
      </c>
    </row>
    <row r="4373" spans="1:40" x14ac:dyDescent="0.25">
      <c r="A4373" t="str">
        <f>"20190303154601715"</f>
        <v>20190303154601715</v>
      </c>
      <c r="B4373" t="str">
        <f>"1551599161705063"</f>
        <v>1551599161705063</v>
      </c>
      <c r="C4373" t="s">
        <v>40</v>
      </c>
      <c r="D4373">
        <v>5.3812150000000001</v>
      </c>
      <c r="E4373">
        <v>0.50398859999999901</v>
      </c>
      <c r="F4373" t="s">
        <v>41</v>
      </c>
      <c r="G4373">
        <v>-326.55509999999998</v>
      </c>
      <c r="H4373" s="1">
        <v>-2.0335780000000001E-6</v>
      </c>
      <c r="I4373">
        <v>141.7714</v>
      </c>
      <c r="J4373">
        <v>-307.88400000000001</v>
      </c>
      <c r="K4373">
        <v>1.1199749999999999</v>
      </c>
      <c r="L4373">
        <v>141.2799</v>
      </c>
      <c r="M4373">
        <v>-0.99975340000000001</v>
      </c>
      <c r="N4373">
        <v>-1.4011920000000001E-2</v>
      </c>
      <c r="O4373">
        <v>1.7237700000000002E-2</v>
      </c>
      <c r="P4373">
        <v>-0.99363690000000005</v>
      </c>
      <c r="Q4373">
        <v>-0.11138049999999999</v>
      </c>
      <c r="R4373">
        <v>1.6740540000000002E-2</v>
      </c>
      <c r="S4373">
        <v>-2.9980470000000001</v>
      </c>
      <c r="T4373">
        <v>-0.17726610000000001</v>
      </c>
      <c r="U4373">
        <v>7.8720090000000006E-2</v>
      </c>
      <c r="V4373">
        <v>-6.139168E-4</v>
      </c>
      <c r="W4373">
        <v>-9.7443719999999998E-2</v>
      </c>
      <c r="X4373">
        <v>0.99524089999999998</v>
      </c>
      <c r="Y4373">
        <v>9.0087759999999996E-3</v>
      </c>
      <c r="Z4373">
        <v>-4.4744080000000001E-4</v>
      </c>
      <c r="AA4373">
        <v>0.9999593</v>
      </c>
      <c r="AB4373">
        <v>27</v>
      </c>
      <c r="AC4373">
        <v>-18.6710999999999</v>
      </c>
      <c r="AD4373">
        <v>-1.1199770335779999</v>
      </c>
      <c r="AE4373">
        <v>0.49150000000000199</v>
      </c>
      <c r="AF4373">
        <v>0.16894113883877801</v>
      </c>
      <c r="AG4373">
        <v>-1.1199770335779999</v>
      </c>
      <c r="AH4373">
        <v>18.6098838057206</v>
      </c>
      <c r="AI4373">
        <v>93.443869930824505</v>
      </c>
      <c r="AJ4373">
        <v>89.479881311748898</v>
      </c>
      <c r="AK4373">
        <v>18.644319910539998</v>
      </c>
      <c r="AL4373">
        <v>95.591987107826895</v>
      </c>
      <c r="AM4373">
        <v>90.035343038203806</v>
      </c>
      <c r="AN4373">
        <v>1.00000005224704</v>
      </c>
    </row>
    <row r="4374" spans="1:40" x14ac:dyDescent="0.25">
      <c r="A4374" t="str">
        <f>"20190303154601737"</f>
        <v>20190303154601737</v>
      </c>
      <c r="B4374" t="str">
        <f>"1551599161725559"</f>
        <v>1551599161725559</v>
      </c>
      <c r="C4374" t="s">
        <v>40</v>
      </c>
      <c r="D4374">
        <v>5.3832129999999996</v>
      </c>
      <c r="E4374">
        <v>0.50388459999999902</v>
      </c>
      <c r="F4374" t="s">
        <v>41</v>
      </c>
      <c r="G4374">
        <v>-326.58730000000003</v>
      </c>
      <c r="H4374" s="1">
        <v>-2.025658E-6</v>
      </c>
      <c r="I4374">
        <v>141.7937</v>
      </c>
      <c r="J4374">
        <v>-308.14299999999997</v>
      </c>
      <c r="K4374">
        <v>1.120039</v>
      </c>
      <c r="L4374">
        <v>141.28569999999999</v>
      </c>
      <c r="M4374">
        <v>-0.99973319999999999</v>
      </c>
      <c r="N4374">
        <v>-1.400826E-2</v>
      </c>
      <c r="O4374">
        <v>1.8369679999999999E-2</v>
      </c>
      <c r="P4374">
        <v>-0.99352669999999998</v>
      </c>
      <c r="Q4374">
        <v>-0.1121205</v>
      </c>
      <c r="R4374">
        <v>1.8274769999999999E-2</v>
      </c>
      <c r="S4374">
        <v>-2.997681</v>
      </c>
      <c r="T4374">
        <v>-0.17950479999999899</v>
      </c>
      <c r="U4374">
        <v>8.2351679999999997E-2</v>
      </c>
      <c r="V4374">
        <v>-1.8869009999999999E-4</v>
      </c>
      <c r="W4374">
        <v>-9.8189380000000007E-2</v>
      </c>
      <c r="X4374">
        <v>0.99516769999999999</v>
      </c>
      <c r="Y4374">
        <v>9.0914540000000005E-3</v>
      </c>
      <c r="Z4374">
        <v>-5.0587790000000004E-4</v>
      </c>
      <c r="AA4374">
        <v>0.99995849999999997</v>
      </c>
      <c r="AB4374">
        <v>27</v>
      </c>
      <c r="AC4374">
        <v>-18.444299999999998</v>
      </c>
      <c r="AD4374">
        <v>-1.120041025658</v>
      </c>
      <c r="AE4374">
        <v>0.508000000000009</v>
      </c>
      <c r="AF4374">
        <v>0.16844446849470199</v>
      </c>
      <c r="AG4374">
        <v>-1.120041025658</v>
      </c>
      <c r="AH4374">
        <v>18.3827829502494</v>
      </c>
      <c r="AI4374">
        <v>93.486507197996602</v>
      </c>
      <c r="AJ4374">
        <v>89.475004026782202</v>
      </c>
      <c r="AK4374">
        <v>18.4176430205959</v>
      </c>
      <c r="AL4374">
        <v>95.634916607279706</v>
      </c>
      <c r="AM4374">
        <v>90.010863642616499</v>
      </c>
      <c r="AN4374">
        <v>0.99999997053601297</v>
      </c>
    </row>
    <row r="4375" spans="1:40" x14ac:dyDescent="0.25">
      <c r="A4375" t="str">
        <f>"20190303154601759"</f>
        <v>20190303154601759</v>
      </c>
      <c r="B4375" t="str">
        <f>"1551599161755815"</f>
        <v>1551599161755815</v>
      </c>
      <c r="C4375" t="s">
        <v>40</v>
      </c>
      <c r="D4375">
        <v>5.593979</v>
      </c>
      <c r="E4375">
        <v>0.5045037</v>
      </c>
      <c r="F4375" t="s">
        <v>41</v>
      </c>
      <c r="G4375">
        <v>-326.56110000000001</v>
      </c>
      <c r="H4375" s="1">
        <v>-2.0423630000000002E-6</v>
      </c>
      <c r="I4375">
        <v>141.8141</v>
      </c>
      <c r="J4375">
        <v>-308.4067</v>
      </c>
      <c r="K4375">
        <v>1.1201190000000001</v>
      </c>
      <c r="L4375">
        <v>141.29179999999999</v>
      </c>
      <c r="M4375">
        <v>-0.99971339999999997</v>
      </c>
      <c r="N4375">
        <v>-1.4004310000000001E-2</v>
      </c>
      <c r="O4375">
        <v>1.9423369999999999E-2</v>
      </c>
      <c r="P4375">
        <v>-0.99348309999999995</v>
      </c>
      <c r="Q4375">
        <v>-0.11241909999999999</v>
      </c>
      <c r="R4375">
        <v>1.8800689999999998E-2</v>
      </c>
      <c r="S4375">
        <v>-2.9974370000000001</v>
      </c>
      <c r="T4375">
        <v>-0.18228079999999999</v>
      </c>
      <c r="U4375">
        <v>8.5998539999999998E-2</v>
      </c>
      <c r="V4375">
        <v>-6.9167429999999997E-4</v>
      </c>
      <c r="W4375">
        <v>-9.8491400000000007E-2</v>
      </c>
      <c r="X4375">
        <v>0.99513759999999996</v>
      </c>
      <c r="Y4375">
        <v>9.2564050000000005E-3</v>
      </c>
      <c r="Z4375">
        <v>-5.6186270000000002E-4</v>
      </c>
      <c r="AA4375">
        <v>0.99995699999999998</v>
      </c>
      <c r="AB4375">
        <v>27</v>
      </c>
      <c r="AC4375">
        <v>-18.154399999999999</v>
      </c>
      <c r="AD4375">
        <v>-1.1201210423629999</v>
      </c>
      <c r="AE4375">
        <v>0.52230000000000099</v>
      </c>
      <c r="AF4375">
        <v>0.16890482021353001</v>
      </c>
      <c r="AG4375">
        <v>-1.1201210423629999</v>
      </c>
      <c r="AH4375">
        <v>18.092302519046999</v>
      </c>
      <c r="AI4375">
        <v>93.542590080991701</v>
      </c>
      <c r="AJ4375">
        <v>89.465117710084698</v>
      </c>
      <c r="AK4375">
        <v>18.127730426850199</v>
      </c>
      <c r="AL4375">
        <v>95.652305546387794</v>
      </c>
      <c r="AM4375">
        <v>90.0398236503232</v>
      </c>
      <c r="AN4375">
        <v>0.99999993861052605</v>
      </c>
    </row>
    <row r="4376" spans="1:40" x14ac:dyDescent="0.25">
      <c r="A4376" t="str">
        <f>"20190303154601782"</f>
        <v>20190303154601782</v>
      </c>
      <c r="B4376" t="str">
        <f>"1551599161775335"</f>
        <v>1551599161775335</v>
      </c>
      <c r="C4376" t="s">
        <v>40</v>
      </c>
      <c r="D4376">
        <v>5.6166669999999996</v>
      </c>
      <c r="E4376">
        <v>0.5285107</v>
      </c>
      <c r="F4376" t="s">
        <v>41</v>
      </c>
      <c r="G4376">
        <v>-326.62450000000001</v>
      </c>
      <c r="H4376" s="1">
        <v>-2.0260199999999999E-6</v>
      </c>
      <c r="I4376">
        <v>141.85489999999999</v>
      </c>
      <c r="J4376">
        <v>-308.67329999999998</v>
      </c>
      <c r="K4376">
        <v>1.1202049999999999</v>
      </c>
      <c r="L4376">
        <v>141.29810000000001</v>
      </c>
      <c r="M4376">
        <v>-0.99969430000000004</v>
      </c>
      <c r="N4376">
        <v>-1.4000530000000001E-2</v>
      </c>
      <c r="O4376">
        <v>2.037425E-2</v>
      </c>
      <c r="P4376">
        <v>-0.99345119999999998</v>
      </c>
      <c r="Q4376">
        <v>-0.112569</v>
      </c>
      <c r="R4376">
        <v>1.957451E-2</v>
      </c>
      <c r="S4376">
        <v>-2.9971009999999998</v>
      </c>
      <c r="T4376">
        <v>-0.18427740000000001</v>
      </c>
      <c r="U4376">
        <v>9.2651369999999997E-2</v>
      </c>
      <c r="V4376">
        <v>-8.4350739999999999E-4</v>
      </c>
      <c r="W4376">
        <v>-9.8645079999999996E-2</v>
      </c>
      <c r="X4376">
        <v>0.99512230000000002</v>
      </c>
      <c r="Y4376">
        <v>1.0524499999999999E-2</v>
      </c>
      <c r="Z4376">
        <v>-5.6909729999999996E-4</v>
      </c>
      <c r="AA4376">
        <v>0.99994439999999996</v>
      </c>
      <c r="AB4376">
        <v>27</v>
      </c>
      <c r="AC4376">
        <v>-17.9512</v>
      </c>
      <c r="AD4376">
        <v>-1.1202070260200001</v>
      </c>
      <c r="AE4376">
        <v>0.55679999999998098</v>
      </c>
      <c r="AF4376">
        <v>0.19016645840374299</v>
      </c>
      <c r="AG4376">
        <v>-1.1202070260200001</v>
      </c>
      <c r="AH4376">
        <v>17.889222647266301</v>
      </c>
      <c r="AI4376">
        <v>93.582929807442397</v>
      </c>
      <c r="AJ4376">
        <v>89.390955923462798</v>
      </c>
      <c r="AK4376">
        <v>17.9252702625793</v>
      </c>
      <c r="AL4376">
        <v>95.661153629334095</v>
      </c>
      <c r="AM4376">
        <v>90.048566294246598</v>
      </c>
      <c r="AN4376">
        <v>0.99999997763511395</v>
      </c>
    </row>
    <row r="4377" spans="1:40" x14ac:dyDescent="0.25">
      <c r="A4377" t="str">
        <f>"20190303154601803"</f>
        <v>20190303154601803</v>
      </c>
      <c r="B4377" t="str">
        <f>"1551599161795842"</f>
        <v>1551599161795842</v>
      </c>
      <c r="C4377" t="s">
        <v>40</v>
      </c>
      <c r="D4377">
        <v>5.6290769999999997</v>
      </c>
      <c r="E4377">
        <v>0.5285031</v>
      </c>
      <c r="F4377" t="s">
        <v>41</v>
      </c>
      <c r="G4377">
        <v>-326.2038</v>
      </c>
      <c r="H4377" s="1">
        <v>-2.5051270000000001E-6</v>
      </c>
      <c r="I4377">
        <v>142.97720000000001</v>
      </c>
      <c r="J4377">
        <v>-308.93579999999997</v>
      </c>
      <c r="K4377">
        <v>1.120288</v>
      </c>
      <c r="L4377">
        <v>141.30449999999999</v>
      </c>
      <c r="M4377">
        <v>-0.99967760000000006</v>
      </c>
      <c r="N4377">
        <v>-1.3996629999999999E-2</v>
      </c>
      <c r="O4377">
        <v>2.1187790000000001E-2</v>
      </c>
      <c r="P4377">
        <v>-0.99342620000000004</v>
      </c>
      <c r="Q4377">
        <v>-0.112710199999999</v>
      </c>
      <c r="R4377">
        <v>2.002201E-2</v>
      </c>
      <c r="S4377">
        <v>-2.9924620000000002</v>
      </c>
      <c r="T4377">
        <v>-0.19122120000000001</v>
      </c>
      <c r="U4377">
        <v>0.28663640000000001</v>
      </c>
      <c r="V4377">
        <v>-1.184664E-3</v>
      </c>
      <c r="W4377">
        <v>-9.8790000000000003E-2</v>
      </c>
      <c r="X4377">
        <v>0.99510759999999998</v>
      </c>
      <c r="Y4377">
        <v>7.4078309999999994E-2</v>
      </c>
      <c r="Z4377">
        <v>1.826025E-3</v>
      </c>
      <c r="AA4377">
        <v>0.99725070000000005</v>
      </c>
      <c r="AB4377">
        <v>27</v>
      </c>
      <c r="AC4377">
        <v>-17.268000000000001</v>
      </c>
      <c r="AD4377">
        <v>-1.120290505127</v>
      </c>
      <c r="AE4377">
        <v>1.6727000000000201</v>
      </c>
      <c r="AF4377">
        <v>1.3009928969581599</v>
      </c>
      <c r="AG4377">
        <v>-1.120290505127</v>
      </c>
      <c r="AH4377">
        <v>17.227729927358901</v>
      </c>
      <c r="AI4377">
        <v>93.710075948226802</v>
      </c>
      <c r="AJ4377">
        <v>85.681370365405996</v>
      </c>
      <c r="AK4377">
        <v>17.3130676595406</v>
      </c>
      <c r="AL4377">
        <v>95.669497554461003</v>
      </c>
      <c r="AM4377">
        <v>90.068209925514495</v>
      </c>
      <c r="AN4377">
        <v>1.00000000155327</v>
      </c>
    </row>
    <row r="4378" spans="1:40" x14ac:dyDescent="0.25">
      <c r="A4378" t="str">
        <f>"20190303154601829"</f>
        <v>20190303154601829</v>
      </c>
      <c r="B4378" t="str">
        <f>"1551599161825111"</f>
        <v>1551599161825111</v>
      </c>
      <c r="C4378" t="s">
        <v>40</v>
      </c>
      <c r="D4378">
        <v>5.5771800000000002</v>
      </c>
      <c r="E4378">
        <v>0.52802260000000001</v>
      </c>
      <c r="F4378" t="s">
        <v>41</v>
      </c>
      <c r="G4378">
        <v>-326.07139999999998</v>
      </c>
      <c r="H4378" s="1">
        <v>-2.5554749999999999E-6</v>
      </c>
      <c r="I4378">
        <v>142.95310000000001</v>
      </c>
      <c r="J4378">
        <v>-309.22129999999999</v>
      </c>
      <c r="K4378">
        <v>1.120366</v>
      </c>
      <c r="L4378">
        <v>141.3115</v>
      </c>
      <c r="M4378">
        <v>-0.99966080000000002</v>
      </c>
      <c r="N4378">
        <v>-1.399245E-2</v>
      </c>
      <c r="O4378">
        <v>2.1966490000000002E-2</v>
      </c>
      <c r="P4378">
        <v>-0.99337940000000002</v>
      </c>
      <c r="Q4378">
        <v>-0.1130635</v>
      </c>
      <c r="R4378">
        <v>2.03488E-2</v>
      </c>
      <c r="S4378">
        <v>-2.9918819999999999</v>
      </c>
      <c r="T4378">
        <v>-0.1956031</v>
      </c>
      <c r="U4378">
        <v>0.28785709999999998</v>
      </c>
      <c r="V4378">
        <v>-1.612135E-3</v>
      </c>
      <c r="W4378">
        <v>-9.9147680000000002E-2</v>
      </c>
      <c r="X4378">
        <v>0.99507140000000005</v>
      </c>
      <c r="Y4378">
        <v>7.3718800000000001E-2</v>
      </c>
      <c r="Z4378">
        <v>1.795006E-3</v>
      </c>
      <c r="AA4378">
        <v>0.99727739999999998</v>
      </c>
      <c r="AB4378">
        <v>26</v>
      </c>
      <c r="AC4378">
        <v>-16.850099999999902</v>
      </c>
      <c r="AD4378">
        <v>-1.120368555475</v>
      </c>
      <c r="AE4378">
        <v>1.6416000000000099</v>
      </c>
      <c r="AF4378">
        <v>1.2654879563618899</v>
      </c>
      <c r="AG4378">
        <v>-1.120368555475</v>
      </c>
      <c r="AH4378">
        <v>16.808486101434099</v>
      </c>
      <c r="AI4378">
        <v>93.8026750956233</v>
      </c>
      <c r="AJ4378">
        <v>85.694402024946697</v>
      </c>
      <c r="AK4378">
        <v>16.8932498498631</v>
      </c>
      <c r="AL4378">
        <v>95.6900923621575</v>
      </c>
      <c r="AM4378">
        <v>90.092825952679803</v>
      </c>
      <c r="AN4378">
        <v>0.99999997626329995</v>
      </c>
    </row>
    <row r="4379" spans="1:40" x14ac:dyDescent="0.25">
      <c r="A4379" t="str">
        <f>"20190303154601852"</f>
        <v>20190303154601852</v>
      </c>
      <c r="B4379" t="str">
        <f>"1551599161845610"</f>
        <v>1551599161845610</v>
      </c>
      <c r="C4379" t="s">
        <v>40</v>
      </c>
      <c r="D4379">
        <v>5.6113759999999999</v>
      </c>
      <c r="E4379">
        <v>0.52811699999999995</v>
      </c>
      <c r="F4379" t="s">
        <v>41</v>
      </c>
      <c r="G4379">
        <v>-326.0129</v>
      </c>
      <c r="H4379" s="1">
        <v>-2.5696439999999999E-6</v>
      </c>
      <c r="I4379">
        <v>142.9119</v>
      </c>
      <c r="J4379">
        <v>-309.49990000000003</v>
      </c>
      <c r="K4379">
        <v>1.12043</v>
      </c>
      <c r="L4379">
        <v>141.3185</v>
      </c>
      <c r="M4379">
        <v>-0.99964620000000004</v>
      </c>
      <c r="N4379">
        <v>-1.398838E-2</v>
      </c>
      <c r="O4379">
        <v>2.2627870000000001E-2</v>
      </c>
      <c r="P4379">
        <v>-0.99335580000000001</v>
      </c>
      <c r="Q4379">
        <v>-0.1131673</v>
      </c>
      <c r="R4379">
        <v>2.0916339999999999E-2</v>
      </c>
      <c r="S4379">
        <v>-2.991425</v>
      </c>
      <c r="T4379">
        <v>-0.19959499999999999</v>
      </c>
      <c r="U4379">
        <v>0.28512569999999998</v>
      </c>
      <c r="V4379">
        <v>-1.6856620000000001E-3</v>
      </c>
      <c r="W4379">
        <v>-9.925581E-2</v>
      </c>
      <c r="X4379">
        <v>0.99506050000000001</v>
      </c>
      <c r="Y4379">
        <v>7.2170579999999998E-2</v>
      </c>
      <c r="Z4379">
        <v>1.7176649999999999E-3</v>
      </c>
      <c r="AA4379">
        <v>0.99739080000000002</v>
      </c>
      <c r="AB4379">
        <v>26</v>
      </c>
      <c r="AC4379">
        <v>-16.512999999999899</v>
      </c>
      <c r="AD4379">
        <v>-1.1204325696439901</v>
      </c>
      <c r="AE4379">
        <v>1.5933999999999999</v>
      </c>
      <c r="AF4379">
        <v>1.2137649819023899</v>
      </c>
      <c r="AG4379">
        <v>-1.1204325696439901</v>
      </c>
      <c r="AH4379">
        <v>16.469705629867601</v>
      </c>
      <c r="AI4379">
        <v>93.881336529540505</v>
      </c>
      <c r="AJ4379">
        <v>85.785102734438595</v>
      </c>
      <c r="AK4379">
        <v>16.552335125561701</v>
      </c>
      <c r="AL4379">
        <v>95.696318456453099</v>
      </c>
      <c r="AM4379">
        <v>90.097060657013401</v>
      </c>
      <c r="AN4379">
        <v>0.99999997796769102</v>
      </c>
    </row>
    <row r="4380" spans="1:40" x14ac:dyDescent="0.25">
      <c r="A4380" t="str">
        <f>"20190303154601871"</f>
        <v>20190303154601871</v>
      </c>
      <c r="B4380" t="str">
        <f>"1551599161865128"</f>
        <v>1551599161865128</v>
      </c>
      <c r="C4380" t="s">
        <v>40</v>
      </c>
      <c r="D4380">
        <v>5.5797100000000004</v>
      </c>
      <c r="E4380">
        <v>0.52780859999999996</v>
      </c>
      <c r="F4380" t="s">
        <v>41</v>
      </c>
      <c r="G4380">
        <v>-326.19040000000001</v>
      </c>
      <c r="H4380" s="1">
        <v>-2.4966899999999999E-6</v>
      </c>
      <c r="I4380">
        <v>142.9239</v>
      </c>
      <c r="J4380">
        <v>-309.74169999999998</v>
      </c>
      <c r="K4380">
        <v>1.1204829999999999</v>
      </c>
      <c r="L4380">
        <v>141.3246</v>
      </c>
      <c r="M4380">
        <v>-0.99963489999999999</v>
      </c>
      <c r="N4380">
        <v>-1.3984730000000001E-2</v>
      </c>
      <c r="O4380">
        <v>2.3121570000000001E-2</v>
      </c>
      <c r="P4380">
        <v>-0.99335379999999995</v>
      </c>
      <c r="Q4380">
        <v>-0.11294990000000001</v>
      </c>
      <c r="R4380">
        <v>2.2152620000000001E-2</v>
      </c>
      <c r="S4380">
        <v>-2.9911189999999999</v>
      </c>
      <c r="T4380">
        <v>-0.20079520000000001</v>
      </c>
      <c r="U4380">
        <v>0.28771970000000002</v>
      </c>
      <c r="V4380">
        <v>-9.2603559999999995E-4</v>
      </c>
      <c r="W4380">
        <v>-9.9042710000000006E-2</v>
      </c>
      <c r="X4380">
        <v>0.99508269999999999</v>
      </c>
      <c r="Y4380">
        <v>7.2542750000000003E-2</v>
      </c>
      <c r="Z4380">
        <v>1.7118369999999999E-3</v>
      </c>
      <c r="AA4380">
        <v>0.99736380000000002</v>
      </c>
      <c r="AB4380">
        <v>26</v>
      </c>
      <c r="AC4380">
        <v>-16.448699999999999</v>
      </c>
      <c r="AD4380">
        <v>-1.12048549669</v>
      </c>
      <c r="AE4380">
        <v>1.59929999999999</v>
      </c>
      <c r="AF4380">
        <v>1.21293968270923</v>
      </c>
      <c r="AG4380">
        <v>-1.12048549669</v>
      </c>
      <c r="AH4380">
        <v>16.405867927882099</v>
      </c>
      <c r="AI4380">
        <v>93.896509019683606</v>
      </c>
      <c r="AJ4380">
        <v>85.771627976051505</v>
      </c>
      <c r="AK4380">
        <v>16.4887601986715</v>
      </c>
      <c r="AL4380">
        <v>95.684048436573704</v>
      </c>
      <c r="AM4380">
        <v>90.053320107205295</v>
      </c>
      <c r="AN4380">
        <v>0.99999994789268198</v>
      </c>
    </row>
    <row r="4381" spans="1:40" x14ac:dyDescent="0.25">
      <c r="A4381" t="str">
        <f>"20190303154601894"</f>
        <v>20190303154601894</v>
      </c>
      <c r="B4381" t="str">
        <f>"1551599161885623"</f>
        <v>1551599161885623</v>
      </c>
      <c r="C4381" t="s">
        <v>40</v>
      </c>
      <c r="D4381">
        <v>5.507835</v>
      </c>
      <c r="E4381">
        <v>0.52766749999999996</v>
      </c>
      <c r="F4381" t="s">
        <v>41</v>
      </c>
      <c r="G4381">
        <v>-326.44670000000002</v>
      </c>
      <c r="H4381" s="1">
        <v>-2.3909529999999998E-6</v>
      </c>
      <c r="I4381">
        <v>142.93979999999999</v>
      </c>
      <c r="J4381">
        <v>-310.00420000000003</v>
      </c>
      <c r="K4381">
        <v>1.120549</v>
      </c>
      <c r="L4381">
        <v>141.3313</v>
      </c>
      <c r="M4381">
        <v>-0.99962450000000003</v>
      </c>
      <c r="N4381">
        <v>-1.3980859999999999E-2</v>
      </c>
      <c r="O4381">
        <v>2.3572539999999999E-2</v>
      </c>
      <c r="P4381">
        <v>-0.99327869999999996</v>
      </c>
      <c r="Q4381">
        <v>-0.1133783</v>
      </c>
      <c r="R4381">
        <v>2.3304700000000001E-2</v>
      </c>
      <c r="S4381">
        <v>-2.9908139999999999</v>
      </c>
      <c r="T4381">
        <v>-0.2006097</v>
      </c>
      <c r="U4381">
        <v>0.28918460000000001</v>
      </c>
      <c r="V4381">
        <v>-2.052725E-4</v>
      </c>
      <c r="W4381">
        <v>-9.9476410000000001E-2</v>
      </c>
      <c r="X4381">
        <v>0.99503989999999998</v>
      </c>
      <c r="Y4381">
        <v>7.2587250000000006E-2</v>
      </c>
      <c r="Z4381">
        <v>1.6888389999999999E-3</v>
      </c>
      <c r="AA4381">
        <v>0.99736060000000004</v>
      </c>
      <c r="AB4381">
        <v>26</v>
      </c>
      <c r="AC4381">
        <v>-16.4424999999999</v>
      </c>
      <c r="AD4381">
        <v>-1.120551390953</v>
      </c>
      <c r="AE4381">
        <v>1.60849999999999</v>
      </c>
      <c r="AF4381">
        <v>1.2148349613087399</v>
      </c>
      <c r="AG4381">
        <v>-1.120551390953</v>
      </c>
      <c r="AH4381">
        <v>16.4004026506285</v>
      </c>
      <c r="AI4381">
        <v>93.8979919113563</v>
      </c>
      <c r="AJ4381">
        <v>85.763638832241199</v>
      </c>
      <c r="AK4381">
        <v>16.4834664590228</v>
      </c>
      <c r="AL4381">
        <v>95.709020641507806</v>
      </c>
      <c r="AM4381">
        <v>90.011819875497693</v>
      </c>
      <c r="AN4381">
        <v>1.0000000004376399</v>
      </c>
    </row>
    <row r="4382" spans="1:40" x14ac:dyDescent="0.25">
      <c r="A4382" t="str">
        <f>"20190303154601914"</f>
        <v>20190303154601914</v>
      </c>
      <c r="B4382" t="str">
        <f>"1551599161905143"</f>
        <v>1551599161905143</v>
      </c>
      <c r="C4382" t="s">
        <v>40</v>
      </c>
      <c r="D4382">
        <v>5.3093159999999999</v>
      </c>
      <c r="E4382">
        <v>0.52779639999999906</v>
      </c>
      <c r="F4382" t="s">
        <v>41</v>
      </c>
      <c r="G4382">
        <v>-326.44110000000001</v>
      </c>
      <c r="H4382" s="1">
        <v>-2.3917989999999999E-6</v>
      </c>
      <c r="I4382">
        <v>142.93389999999999</v>
      </c>
      <c r="J4382">
        <v>-310.24250000000001</v>
      </c>
      <c r="K4382">
        <v>1.1206119999999999</v>
      </c>
      <c r="L4382">
        <v>141.3374</v>
      </c>
      <c r="M4382">
        <v>-0.99961650000000002</v>
      </c>
      <c r="N4382">
        <v>-1.3977420000000001E-2</v>
      </c>
      <c r="O4382">
        <v>2.3908209999999999E-2</v>
      </c>
      <c r="P4382">
        <v>-0.99322999999999995</v>
      </c>
      <c r="Q4382">
        <v>-0.1137295</v>
      </c>
      <c r="R4382">
        <v>2.366267E-2</v>
      </c>
      <c r="S4382">
        <v>-2.9902340000000001</v>
      </c>
      <c r="T4382">
        <v>-0.20385320000000001</v>
      </c>
      <c r="U4382">
        <v>0.29156490000000002</v>
      </c>
      <c r="V4382">
        <v>-1.6541090000000001E-4</v>
      </c>
      <c r="W4382">
        <v>-9.9831610000000001E-2</v>
      </c>
      <c r="X4382">
        <v>0.99500440000000001</v>
      </c>
      <c r="Y4382">
        <v>7.3052099999999995E-2</v>
      </c>
      <c r="Z4382">
        <v>1.70346E-3</v>
      </c>
      <c r="AA4382">
        <v>0.99732670000000001</v>
      </c>
      <c r="AB4382">
        <v>26</v>
      </c>
      <c r="AC4382">
        <v>-16.198599999999999</v>
      </c>
      <c r="AD4382">
        <v>-1.1206143917989999</v>
      </c>
      <c r="AE4382">
        <v>1.59649999999999</v>
      </c>
      <c r="AF4382">
        <v>1.2030241366118699</v>
      </c>
      <c r="AG4382">
        <v>-1.1206143917989999</v>
      </c>
      <c r="AH4382">
        <v>16.1555680209777</v>
      </c>
      <c r="AI4382">
        <v>93.956986697481398</v>
      </c>
      <c r="AJ4382">
        <v>85.741330499216303</v>
      </c>
      <c r="AK4382">
        <v>16.239009260691201</v>
      </c>
      <c r="AL4382">
        <v>95.729473533949204</v>
      </c>
      <c r="AM4382">
        <v>90.009524929103904</v>
      </c>
      <c r="AN4382">
        <v>1.0000000668676501</v>
      </c>
    </row>
    <row r="4383" spans="1:40" x14ac:dyDescent="0.25">
      <c r="A4383" t="str">
        <f>"20190303154602073"</f>
        <v>20190303154602073</v>
      </c>
      <c r="B4383" t="str">
        <f>"1551599162065207"</f>
        <v>1551599162065207</v>
      </c>
      <c r="C4383" t="s">
        <v>40</v>
      </c>
      <c r="D4383">
        <v>5.3604900000000004</v>
      </c>
      <c r="E4383">
        <v>0.53952440000000002</v>
      </c>
      <c r="F4383" t="s">
        <v>41</v>
      </c>
      <c r="G4383">
        <v>-326.55720000000002</v>
      </c>
      <c r="H4383" s="1">
        <v>-2.3433890000000002E-6</v>
      </c>
      <c r="I4383">
        <v>142.9392</v>
      </c>
      <c r="J4383">
        <v>-312.08839999999998</v>
      </c>
      <c r="K4383">
        <v>1.1209279999999999</v>
      </c>
      <c r="L4383">
        <v>141.3835</v>
      </c>
      <c r="M4383">
        <v>-0.99960159999999998</v>
      </c>
      <c r="N4383">
        <v>-1.3953409999999999E-2</v>
      </c>
      <c r="O4383">
        <v>2.4540650000000001E-2</v>
      </c>
      <c r="P4383">
        <v>-0.99329210000000001</v>
      </c>
      <c r="Q4383">
        <v>-0.1137517</v>
      </c>
      <c r="R4383">
        <v>2.0782189999999999E-2</v>
      </c>
      <c r="S4383">
        <v>-2.9899290000000001</v>
      </c>
      <c r="T4383">
        <v>-0.2053711</v>
      </c>
      <c r="U4383">
        <v>0.29357909999999998</v>
      </c>
      <c r="V4383">
        <v>-3.5980690000000002E-3</v>
      </c>
      <c r="W4383">
        <v>-9.9878049999999996E-2</v>
      </c>
      <c r="X4383">
        <v>0.99499320000000002</v>
      </c>
      <c r="Y4383">
        <v>7.3095209999999994E-2</v>
      </c>
      <c r="Z4383">
        <v>1.6757810000000001E-3</v>
      </c>
      <c r="AA4383">
        <v>0.99732359999999998</v>
      </c>
      <c r="AB4383">
        <v>26</v>
      </c>
      <c r="AC4383">
        <v>-14.4688</v>
      </c>
      <c r="AD4383">
        <v>-1.1209303433890001</v>
      </c>
      <c r="AE4383">
        <v>1.5557000000000001</v>
      </c>
      <c r="AF4383">
        <v>1.1930443544277101</v>
      </c>
      <c r="AG4383">
        <v>-1.1209303433890001</v>
      </c>
      <c r="AH4383">
        <v>14.4170815806305</v>
      </c>
      <c r="AI4383">
        <v>94.430727627212406</v>
      </c>
      <c r="AJ4383">
        <v>85.2694301624948</v>
      </c>
      <c r="AK4383">
        <v>14.5097236696264</v>
      </c>
      <c r="AL4383">
        <v>95.732147987658905</v>
      </c>
      <c r="AM4383">
        <v>90.207190631551299</v>
      </c>
      <c r="AN4383">
        <v>1.00000001950928</v>
      </c>
    </row>
    <row r="4384" spans="1:40" x14ac:dyDescent="0.25">
      <c r="A4384" t="str">
        <f>"20190303154602094"</f>
        <v>20190303154602094</v>
      </c>
      <c r="B4384" t="str">
        <f>"1551599162085707"</f>
        <v>1551599162085707</v>
      </c>
      <c r="C4384" t="s">
        <v>40</v>
      </c>
      <c r="D4384">
        <v>5.2263229999999998</v>
      </c>
      <c r="E4384">
        <v>0.53685839999999996</v>
      </c>
      <c r="F4384" t="s">
        <v>62</v>
      </c>
      <c r="G4384">
        <v>-468.43579999999997</v>
      </c>
      <c r="H4384">
        <v>3.683875</v>
      </c>
      <c r="I4384">
        <v>161.09119999999999</v>
      </c>
      <c r="J4384">
        <v>-312.34010000000001</v>
      </c>
      <c r="K4384">
        <v>1.120943</v>
      </c>
      <c r="L4384">
        <v>141.3897</v>
      </c>
      <c r="M4384">
        <v>-0.99960289999999996</v>
      </c>
      <c r="N4384">
        <v>-1.395039E-2</v>
      </c>
      <c r="O4384">
        <v>2.4483600000000001E-2</v>
      </c>
      <c r="P4384">
        <v>-0.99323249999999996</v>
      </c>
      <c r="Q4384">
        <v>-0.1143038</v>
      </c>
      <c r="R4384">
        <v>2.0593230000000001E-2</v>
      </c>
      <c r="S4384">
        <v>-3.0179749999999999</v>
      </c>
      <c r="T4384">
        <v>4.947257E-2</v>
      </c>
      <c r="U4384">
        <v>0.3804169</v>
      </c>
      <c r="V4384">
        <v>-3.7264350000000002E-3</v>
      </c>
      <c r="W4384">
        <v>-0.1004341</v>
      </c>
      <c r="X4384">
        <v>0.99493679999999995</v>
      </c>
      <c r="Y4384">
        <v>0.1007387</v>
      </c>
      <c r="Z4384">
        <v>6.2300509999999997E-4</v>
      </c>
      <c r="AA4384">
        <v>0.99491269999999998</v>
      </c>
      <c r="AB4384">
        <v>26</v>
      </c>
      <c r="AC4384">
        <v>-156.095699999999</v>
      </c>
      <c r="AD4384">
        <v>2.562932</v>
      </c>
      <c r="AE4384">
        <v>19.7014999999999</v>
      </c>
      <c r="AF4384">
        <v>15.869225389685401</v>
      </c>
      <c r="AG4384">
        <v>2.562932</v>
      </c>
      <c r="AH4384">
        <v>156.48978347678801</v>
      </c>
      <c r="AI4384">
        <v>89.066501394232802</v>
      </c>
      <c r="AJ4384">
        <v>84.209577151282602</v>
      </c>
      <c r="AK4384">
        <v>157.31323297013901</v>
      </c>
      <c r="AL4384">
        <v>95.764168046930806</v>
      </c>
      <c r="AM4384">
        <v>90.214594534818005</v>
      </c>
      <c r="AN4384">
        <v>1.0000000653774199</v>
      </c>
    </row>
    <row r="4385" spans="1:40" x14ac:dyDescent="0.25">
      <c r="A4385" t="str">
        <f>"20190303154602116"</f>
        <v>20190303154602116</v>
      </c>
      <c r="B4385" t="str">
        <f>"1551599162105223"</f>
        <v>1551599162105223</v>
      </c>
      <c r="C4385" t="s">
        <v>40</v>
      </c>
      <c r="D4385">
        <v>5.2753880000000004</v>
      </c>
      <c r="E4385">
        <v>0.53086230000000001</v>
      </c>
      <c r="F4385" t="s">
        <v>63</v>
      </c>
      <c r="G4385">
        <v>-511.92680000000001</v>
      </c>
      <c r="H4385">
        <v>4.7534510000000001</v>
      </c>
      <c r="I4385">
        <v>165.0934</v>
      </c>
      <c r="J4385">
        <v>-312.60210000000001</v>
      </c>
      <c r="K4385">
        <v>1.1209629999999999</v>
      </c>
      <c r="L4385">
        <v>141.39609999999999</v>
      </c>
      <c r="M4385">
        <v>-0.99960470000000001</v>
      </c>
      <c r="N4385">
        <v>-1.3947309999999999E-2</v>
      </c>
      <c r="O4385">
        <v>2.4411019999999999E-2</v>
      </c>
      <c r="P4385">
        <v>-0.99323360000000005</v>
      </c>
      <c r="Q4385">
        <v>-0.1142632</v>
      </c>
      <c r="R4385">
        <v>2.075772E-2</v>
      </c>
      <c r="S4385">
        <v>-3.0192869999999998</v>
      </c>
      <c r="T4385">
        <v>5.4952139999999997E-2</v>
      </c>
      <c r="U4385">
        <v>0.3585815</v>
      </c>
      <c r="V4385">
        <v>-3.4868640000000001E-3</v>
      </c>
      <c r="W4385">
        <v>-0.1003966</v>
      </c>
      <c r="X4385">
        <v>0.99494139999999998</v>
      </c>
      <c r="Y4385">
        <v>9.3665639999999994E-2</v>
      </c>
      <c r="Z4385">
        <v>5.8809960000000001E-4</v>
      </c>
      <c r="AA4385">
        <v>0.99560360000000003</v>
      </c>
      <c r="AB4385">
        <v>26</v>
      </c>
      <c r="AC4385">
        <v>-199.32470000000001</v>
      </c>
      <c r="AD4385">
        <v>3.6324879999999999</v>
      </c>
      <c r="AE4385">
        <v>23.697299999999998</v>
      </c>
      <c r="AF4385">
        <v>18.8178818147416</v>
      </c>
      <c r="AG4385">
        <v>3.6324879999999999</v>
      </c>
      <c r="AH4385">
        <v>199.77839823421499</v>
      </c>
      <c r="AI4385">
        <v>88.962918884143093</v>
      </c>
      <c r="AJ4385">
        <v>84.618970999739204</v>
      </c>
      <c r="AK4385">
        <v>200.69558053453</v>
      </c>
      <c r="AL4385">
        <v>95.762008846209497</v>
      </c>
      <c r="AM4385">
        <v>90.200797527393107</v>
      </c>
      <c r="AN4385">
        <v>1.0000000124730299</v>
      </c>
    </row>
    <row r="4386" spans="1:40" x14ac:dyDescent="0.25">
      <c r="A4386" t="str">
        <f>"20190303154602139"</f>
        <v>20190303154602139</v>
      </c>
      <c r="B4386" t="str">
        <f>"1551599162135480"</f>
        <v>1551599162135480</v>
      </c>
      <c r="C4386" t="s">
        <v>40</v>
      </c>
      <c r="D4386">
        <v>5.2982820000000004</v>
      </c>
      <c r="E4386">
        <v>0.52591899999999903</v>
      </c>
      <c r="F4386" t="s">
        <v>63</v>
      </c>
      <c r="G4386">
        <v>-511.92610000000002</v>
      </c>
      <c r="H4386">
        <v>2.6323560000000001</v>
      </c>
      <c r="I4386">
        <v>161.93100000000001</v>
      </c>
      <c r="J4386">
        <v>-312.8646</v>
      </c>
      <c r="K4386">
        <v>1.120978</v>
      </c>
      <c r="L4386">
        <v>141.4024</v>
      </c>
      <c r="M4386">
        <v>-0.99960680000000002</v>
      </c>
      <c r="N4386">
        <v>-1.394426E-2</v>
      </c>
      <c r="O4386">
        <v>2.432757E-2</v>
      </c>
      <c r="P4386">
        <v>-0.99313549999999995</v>
      </c>
      <c r="Q4386">
        <v>-0.1151591</v>
      </c>
      <c r="R4386">
        <v>2.049399E-2</v>
      </c>
      <c r="S4386">
        <v>-3.0165709999999999</v>
      </c>
      <c r="T4386">
        <v>2.2874120000000001E-2</v>
      </c>
      <c r="U4386">
        <v>0.31077579999999999</v>
      </c>
      <c r="V4386">
        <v>-3.6625400000000002E-3</v>
      </c>
      <c r="W4386">
        <v>-0.101297</v>
      </c>
      <c r="X4386">
        <v>0.99484950000000005</v>
      </c>
      <c r="Y4386">
        <v>7.8255740000000004E-2</v>
      </c>
      <c r="Z4386">
        <v>7.7353630000000001E-4</v>
      </c>
      <c r="AA4386">
        <v>0.99693299999999996</v>
      </c>
      <c r="AB4386">
        <v>26</v>
      </c>
      <c r="AC4386">
        <v>-199.0615</v>
      </c>
      <c r="AD4386">
        <v>1.5113780000000001</v>
      </c>
      <c r="AE4386">
        <v>20.528600000000001</v>
      </c>
      <c r="AF4386">
        <v>15.678475507686001</v>
      </c>
      <c r="AG4386">
        <v>1.5113780000000001</v>
      </c>
      <c r="AH4386">
        <v>199.490655094163</v>
      </c>
      <c r="AI4386">
        <v>89.567259275897797</v>
      </c>
      <c r="AJ4386">
        <v>85.506216856684603</v>
      </c>
      <c r="AK4386">
        <v>200.11151972738199</v>
      </c>
      <c r="AL4386">
        <v>95.813862320573506</v>
      </c>
      <c r="AM4386">
        <v>90.210933549496801</v>
      </c>
      <c r="AN4386">
        <v>1.00000001202925</v>
      </c>
    </row>
    <row r="4387" spans="1:40" x14ac:dyDescent="0.25">
      <c r="A4387" t="str">
        <f>"20190303154602161"</f>
        <v>20190303154602161</v>
      </c>
      <c r="B4387" t="str">
        <f>"1551599162155975"</f>
        <v>1551599162155975</v>
      </c>
      <c r="C4387" t="s">
        <v>40</v>
      </c>
      <c r="D4387">
        <v>5.3922109999999996</v>
      </c>
      <c r="E4387">
        <v>0.52270919999999998</v>
      </c>
      <c r="F4387" t="s">
        <v>63</v>
      </c>
      <c r="G4387">
        <v>-511.9255</v>
      </c>
      <c r="H4387">
        <v>0.88283469999999997</v>
      </c>
      <c r="I4387">
        <v>159.2526</v>
      </c>
      <c r="J4387">
        <v>-313.1198</v>
      </c>
      <c r="K4387">
        <v>1.1209830000000001</v>
      </c>
      <c r="L4387">
        <v>141.4085</v>
      </c>
      <c r="M4387">
        <v>-0.99960910000000003</v>
      </c>
      <c r="N4387">
        <v>-1.394133E-2</v>
      </c>
      <c r="O4387">
        <v>2.4237459999999999E-2</v>
      </c>
      <c r="P4387">
        <v>-0.99304959999999998</v>
      </c>
      <c r="Q4387">
        <v>-0.1158653</v>
      </c>
      <c r="R4387">
        <v>2.068308E-2</v>
      </c>
      <c r="S4387">
        <v>-3.0147710000000001</v>
      </c>
      <c r="T4387">
        <v>-3.6059619999999999E-3</v>
      </c>
      <c r="U4387">
        <v>0.27034000000000002</v>
      </c>
      <c r="V4387">
        <v>-3.3790869999999998E-3</v>
      </c>
      <c r="W4387">
        <v>-0.10200720000000001</v>
      </c>
      <c r="X4387">
        <v>0.99477789999999999</v>
      </c>
      <c r="Y4387">
        <v>6.5145620000000001E-2</v>
      </c>
      <c r="Z4387">
        <v>8.0236179999999997E-4</v>
      </c>
      <c r="AA4387">
        <v>0.99787550000000003</v>
      </c>
      <c r="AB4387">
        <v>26</v>
      </c>
      <c r="AC4387">
        <v>-198.8057</v>
      </c>
      <c r="AD4387">
        <v>-0.23814830000000001</v>
      </c>
      <c r="AE4387">
        <v>17.844099999999901</v>
      </c>
      <c r="AF4387">
        <v>13.019825247159799</v>
      </c>
      <c r="AG4387">
        <v>-0.23814830000000001</v>
      </c>
      <c r="AH4387">
        <v>199.17953955878599</v>
      </c>
      <c r="AI4387">
        <v>90.0683595696715</v>
      </c>
      <c r="AJ4387">
        <v>86.260051319762596</v>
      </c>
      <c r="AK4387">
        <v>199.60476332725401</v>
      </c>
      <c r="AL4387">
        <v>95.854765858307999</v>
      </c>
      <c r="AM4387">
        <v>90.194623019943606</v>
      </c>
      <c r="AN4387">
        <v>0.999999978704601</v>
      </c>
    </row>
    <row r="4388" spans="1:40" x14ac:dyDescent="0.25">
      <c r="A4388" t="str">
        <f>"20190303154602184"</f>
        <v>20190303154602184</v>
      </c>
      <c r="B4388" t="str">
        <f>"1551599162175495"</f>
        <v>1551599162175495</v>
      </c>
      <c r="C4388" t="s">
        <v>40</v>
      </c>
      <c r="D4388">
        <v>5.2818100000000001</v>
      </c>
      <c r="E4388">
        <v>0.52084319999999995</v>
      </c>
      <c r="F4388" t="s">
        <v>61</v>
      </c>
      <c r="G4388">
        <v>-423.1447</v>
      </c>
      <c r="H4388" s="1">
        <v>-1.4270709999999999E-5</v>
      </c>
      <c r="I4388">
        <v>150.38149999999999</v>
      </c>
      <c r="J4388">
        <v>-313.37869999999998</v>
      </c>
      <c r="K4388">
        <v>1.120989</v>
      </c>
      <c r="L4388">
        <v>141.41470000000001</v>
      </c>
      <c r="M4388">
        <v>-0.99961160000000004</v>
      </c>
      <c r="N4388">
        <v>-1.3938399999999899E-2</v>
      </c>
      <c r="O4388">
        <v>2.4134780000000002E-2</v>
      </c>
      <c r="P4388">
        <v>-0.99299309999999996</v>
      </c>
      <c r="Q4388">
        <v>-0.1164126</v>
      </c>
      <c r="R4388">
        <v>2.0323509999999999E-2</v>
      </c>
      <c r="S4388">
        <v>-3.0122990000000001</v>
      </c>
      <c r="T4388">
        <v>-3.0691030000000001E-2</v>
      </c>
      <c r="U4388">
        <v>0.24566650000000001</v>
      </c>
      <c r="V4388">
        <v>-3.6331309999999999E-3</v>
      </c>
      <c r="W4388">
        <v>-0.10255839999999899</v>
      </c>
      <c r="X4388">
        <v>0.9947203</v>
      </c>
      <c r="Y4388">
        <v>5.7196839999999999E-2</v>
      </c>
      <c r="Z4388">
        <v>7.8076969999999997E-4</v>
      </c>
      <c r="AA4388">
        <v>0.99836259999999999</v>
      </c>
      <c r="AB4388">
        <v>26</v>
      </c>
      <c r="AC4388">
        <v>-109.76600000000001</v>
      </c>
      <c r="AD4388">
        <v>-1.1210032707099999</v>
      </c>
      <c r="AE4388">
        <v>8.9667999999999708</v>
      </c>
      <c r="AF4388">
        <v>6.3140979187453503</v>
      </c>
      <c r="AG4388">
        <v>-1.1210032707099999</v>
      </c>
      <c r="AH4388">
        <v>109.93906275562701</v>
      </c>
      <c r="AI4388">
        <v>90.583240127077403</v>
      </c>
      <c r="AJ4388">
        <v>86.712959259402695</v>
      </c>
      <c r="AK4388">
        <v>110.125937001444</v>
      </c>
      <c r="AL4388">
        <v>95.886513968283296</v>
      </c>
      <c r="AM4388">
        <v>90.209267014139101</v>
      </c>
      <c r="AN4388">
        <v>0.99999995014175502</v>
      </c>
    </row>
    <row r="4389" spans="1:40" x14ac:dyDescent="0.25">
      <c r="A4389" t="str">
        <f>"20190303154602205"</f>
        <v>20190303154602205</v>
      </c>
      <c r="B4389" t="str">
        <f>"1551599162195991"</f>
        <v>1551599162195991</v>
      </c>
      <c r="C4389" t="s">
        <v>40</v>
      </c>
      <c r="D4389">
        <v>5.32043</v>
      </c>
      <c r="E4389">
        <v>0.5193778</v>
      </c>
      <c r="F4389" t="s">
        <v>41</v>
      </c>
      <c r="G4389">
        <v>-391.8227</v>
      </c>
      <c r="H4389" s="1">
        <v>-5.0369939999999996E-6</v>
      </c>
      <c r="I4389">
        <v>147.40280000000001</v>
      </c>
      <c r="J4389">
        <v>-313.6361</v>
      </c>
      <c r="K4389">
        <v>1.1209910000000001</v>
      </c>
      <c r="L4389">
        <v>141.42070000000001</v>
      </c>
      <c r="M4389">
        <v>-0.99961440000000001</v>
      </c>
      <c r="N4389">
        <v>-1.393551E-2</v>
      </c>
      <c r="O4389">
        <v>2.402317E-2</v>
      </c>
      <c r="P4389">
        <v>-0.99300889999999997</v>
      </c>
      <c r="Q4389">
        <v>-0.1162826</v>
      </c>
      <c r="R4389">
        <v>2.0296310000000001E-2</v>
      </c>
      <c r="S4389">
        <v>-3.011444</v>
      </c>
      <c r="T4389">
        <v>-4.3034669999999997E-2</v>
      </c>
      <c r="U4389">
        <v>0.22988890000000001</v>
      </c>
      <c r="V4389">
        <v>-3.5487489999999999E-3</v>
      </c>
      <c r="W4389">
        <v>-0.10243099999999999</v>
      </c>
      <c r="X4389">
        <v>0.9947338</v>
      </c>
      <c r="Y4389">
        <v>5.2128710000000002E-2</v>
      </c>
      <c r="Z4389">
        <v>7.2743600000000003E-4</v>
      </c>
      <c r="AA4389">
        <v>0.99864010000000003</v>
      </c>
      <c r="AB4389">
        <v>26</v>
      </c>
      <c r="AC4389">
        <v>-78.186599999999999</v>
      </c>
      <c r="AD4389">
        <v>-1.120996036994</v>
      </c>
      <c r="AE4389">
        <v>5.9821</v>
      </c>
      <c r="AF4389">
        <v>4.1010629787461896</v>
      </c>
      <c r="AG4389">
        <v>-1.120996036994</v>
      </c>
      <c r="AH4389">
        <v>78.291753897924195</v>
      </c>
      <c r="AI4389">
        <v>90.819192728648204</v>
      </c>
      <c r="AJ4389">
        <v>87.001484439573503</v>
      </c>
      <c r="AK4389">
        <v>78.407104767895405</v>
      </c>
      <c r="AL4389">
        <v>95.8791754386436</v>
      </c>
      <c r="AM4389">
        <v>90.204403909518106</v>
      </c>
      <c r="AN4389">
        <v>1.0000000181214499</v>
      </c>
    </row>
    <row r="4390" spans="1:40" x14ac:dyDescent="0.25">
      <c r="A4390" t="str">
        <f>"20190303154602230"</f>
        <v>20190303154602230</v>
      </c>
      <c r="B4390" t="str">
        <f>"1551599162225272"</f>
        <v>1551599162225272</v>
      </c>
      <c r="C4390" t="s">
        <v>40</v>
      </c>
      <c r="D4390">
        <v>5.3894129999999896</v>
      </c>
      <c r="E4390">
        <v>0.51730580000000004</v>
      </c>
      <c r="F4390" t="s">
        <v>41</v>
      </c>
      <c r="G4390">
        <v>-377.78219999999999</v>
      </c>
      <c r="H4390" s="1">
        <v>-2.647392E-6</v>
      </c>
      <c r="I4390">
        <v>146.0566</v>
      </c>
      <c r="J4390">
        <v>-313.9042</v>
      </c>
      <c r="K4390">
        <v>1.1209910000000001</v>
      </c>
      <c r="L4390">
        <v>141.42699999999999</v>
      </c>
      <c r="M4390">
        <v>-0.99961739999999999</v>
      </c>
      <c r="N4390">
        <v>-1.393257E-2</v>
      </c>
      <c r="O4390">
        <v>2.3900290000000001E-2</v>
      </c>
      <c r="P4390">
        <v>-0.99305049999999995</v>
      </c>
      <c r="Q4390">
        <v>-0.1161045</v>
      </c>
      <c r="R4390">
        <v>1.9252470000000001E-2</v>
      </c>
      <c r="S4390">
        <v>-3.0104980000000001</v>
      </c>
      <c r="T4390">
        <v>-5.2610400000000002E-2</v>
      </c>
      <c r="U4390">
        <v>0.21757509999999999</v>
      </c>
      <c r="V4390">
        <v>-4.4713909999999999E-3</v>
      </c>
      <c r="W4390">
        <v>-0.10225579999999999</v>
      </c>
      <c r="X4390">
        <v>0.99474810000000002</v>
      </c>
      <c r="Y4390">
        <v>4.8210059999999999E-2</v>
      </c>
      <c r="Z4390">
        <v>6.7270299999999997E-4</v>
      </c>
      <c r="AA4390">
        <v>0.99883699999999997</v>
      </c>
      <c r="AB4390">
        <v>26</v>
      </c>
      <c r="AC4390">
        <v>-63.877999999999901</v>
      </c>
      <c r="AD4390">
        <v>-1.1209936473919999</v>
      </c>
      <c r="AE4390">
        <v>4.6295999999999804</v>
      </c>
      <c r="AF4390">
        <v>3.1004767252649001</v>
      </c>
      <c r="AG4390">
        <v>-1.1209936473919999</v>
      </c>
      <c r="AH4390">
        <v>63.950817236219699</v>
      </c>
      <c r="AI4390">
        <v>91.003056746064203</v>
      </c>
      <c r="AJ4390">
        <v>87.224347572435093</v>
      </c>
      <c r="AK4390">
        <v>64.035744766979704</v>
      </c>
      <c r="AL4390">
        <v>95.869084265408503</v>
      </c>
      <c r="AM4390">
        <v>90.257542695905499</v>
      </c>
      <c r="AN4390">
        <v>1.00000001221236</v>
      </c>
    </row>
    <row r="4391" spans="1:40" x14ac:dyDescent="0.25">
      <c r="A4391" t="str">
        <f>"20190303154602252"</f>
        <v>20190303154602252</v>
      </c>
      <c r="B4391" t="str">
        <f>"1551599162245767"</f>
        <v>1551599162245767</v>
      </c>
      <c r="C4391" t="s">
        <v>40</v>
      </c>
      <c r="D4391">
        <v>5.4337460000000002</v>
      </c>
      <c r="E4391">
        <v>0.51647169999999998</v>
      </c>
      <c r="F4391" t="s">
        <v>41</v>
      </c>
      <c r="G4391">
        <v>-361.78219999999999</v>
      </c>
      <c r="H4391" s="1">
        <v>-4.5494099999999999E-6</v>
      </c>
      <c r="I4391">
        <v>144.57650000000001</v>
      </c>
      <c r="J4391">
        <v>-314.1653</v>
      </c>
      <c r="K4391">
        <v>1.120989</v>
      </c>
      <c r="L4391">
        <v>141.4332</v>
      </c>
      <c r="M4391">
        <v>-0.99962039999999996</v>
      </c>
      <c r="N4391">
        <v>-1.392973E-2</v>
      </c>
      <c r="O4391">
        <v>2.3778440000000001E-2</v>
      </c>
      <c r="P4391">
        <v>-0.99304619999999999</v>
      </c>
      <c r="Q4391">
        <v>-0.11616799999999999</v>
      </c>
      <c r="R4391">
        <v>1.9095819999999999E-2</v>
      </c>
      <c r="S4391">
        <v>-3.0089419999999998</v>
      </c>
      <c r="T4391">
        <v>-7.0450310000000002E-2</v>
      </c>
      <c r="U4391">
        <v>0.197937</v>
      </c>
      <c r="V4391">
        <v>-4.5069359999999996E-3</v>
      </c>
      <c r="W4391">
        <v>-0.1023222</v>
      </c>
      <c r="X4391">
        <v>0.99474110000000004</v>
      </c>
      <c r="Y4391">
        <v>4.1875860000000001E-2</v>
      </c>
      <c r="Z4391">
        <v>5.5673029999999996E-4</v>
      </c>
      <c r="AA4391">
        <v>0.99912270000000003</v>
      </c>
      <c r="AB4391">
        <v>26</v>
      </c>
      <c r="AC4391">
        <v>-47.616900000000001</v>
      </c>
      <c r="AD4391">
        <v>-1.1209935494100001</v>
      </c>
      <c r="AE4391">
        <v>3.1433</v>
      </c>
      <c r="AF4391">
        <v>2.0089372603470701</v>
      </c>
      <c r="AG4391">
        <v>-1.1209935494100001</v>
      </c>
      <c r="AH4391">
        <v>47.651888706168201</v>
      </c>
      <c r="AI4391">
        <v>91.346418501047296</v>
      </c>
      <c r="AJ4391">
        <v>87.585919278240894</v>
      </c>
      <c r="AK4391">
        <v>47.707388869218903</v>
      </c>
      <c r="AL4391">
        <v>95.872908834373405</v>
      </c>
      <c r="AM4391">
        <v>90.259591811781505</v>
      </c>
      <c r="AN4391">
        <v>1.0000000005570699</v>
      </c>
    </row>
    <row r="4392" spans="1:40" x14ac:dyDescent="0.25">
      <c r="A4392" t="str">
        <f>"20190303154602274"</f>
        <v>20190303154602274</v>
      </c>
      <c r="B4392" t="str">
        <f>"1551599162265287"</f>
        <v>1551599162265287</v>
      </c>
      <c r="C4392" t="s">
        <v>40</v>
      </c>
      <c r="D4392">
        <v>5.4265809999999997</v>
      </c>
      <c r="E4392">
        <v>0.51581449999999995</v>
      </c>
      <c r="F4392" t="s">
        <v>41</v>
      </c>
      <c r="G4392">
        <v>-356.16149999999999</v>
      </c>
      <c r="H4392" s="1">
        <v>-2.8211579999999999E-6</v>
      </c>
      <c r="I4392">
        <v>144.0967</v>
      </c>
      <c r="J4392">
        <v>-314.423</v>
      </c>
      <c r="K4392">
        <v>1.1209849999999999</v>
      </c>
      <c r="L4392">
        <v>141.4391</v>
      </c>
      <c r="M4392">
        <v>-0.99962309999999999</v>
      </c>
      <c r="N4392">
        <v>-1.3926869999999999E-2</v>
      </c>
      <c r="O4392">
        <v>2.3659220000000002E-2</v>
      </c>
      <c r="P4392">
        <v>-0.99305929999999998</v>
      </c>
      <c r="Q4392">
        <v>-0.1161166</v>
      </c>
      <c r="R4392">
        <v>1.8719960000000001E-2</v>
      </c>
      <c r="S4392">
        <v>-3.0079349999999998</v>
      </c>
      <c r="T4392">
        <v>-8.029008E-2</v>
      </c>
      <c r="U4392">
        <v>0.19078059999999999</v>
      </c>
      <c r="V4392">
        <v>-4.7649959999999996E-3</v>
      </c>
      <c r="W4392">
        <v>-0.1022737</v>
      </c>
      <c r="X4392">
        <v>0.99474490000000004</v>
      </c>
      <c r="Y4392">
        <v>3.9647300000000003E-2</v>
      </c>
      <c r="Z4392">
        <v>5.035889E-4</v>
      </c>
      <c r="AA4392">
        <v>0.99921360000000004</v>
      </c>
      <c r="AB4392">
        <v>26</v>
      </c>
      <c r="AC4392">
        <v>-41.738499999999902</v>
      </c>
      <c r="AD4392">
        <v>-1.120987821158</v>
      </c>
      <c r="AE4392">
        <v>2.6576</v>
      </c>
      <c r="AF4392">
        <v>1.66806149040104</v>
      </c>
      <c r="AG4392">
        <v>-1.120987821158</v>
      </c>
      <c r="AH4392">
        <v>41.759696708366</v>
      </c>
      <c r="AI4392">
        <v>91.536440976909503</v>
      </c>
      <c r="AJ4392">
        <v>87.712576738340104</v>
      </c>
      <c r="AK4392">
        <v>41.808029276750801</v>
      </c>
      <c r="AL4392">
        <v>95.870115245865307</v>
      </c>
      <c r="AM4392">
        <v>90.274454357149096</v>
      </c>
      <c r="AN4392">
        <v>1.0000000154872899</v>
      </c>
    </row>
    <row r="4393" spans="1:40" x14ac:dyDescent="0.25">
      <c r="A4393" t="str">
        <f>"20190303154602295"</f>
        <v>20190303154602295</v>
      </c>
      <c r="B4393" t="str">
        <f>"1551599162285784"</f>
        <v>1551599162285784</v>
      </c>
      <c r="C4393" t="s">
        <v>40</v>
      </c>
      <c r="D4393">
        <v>5.3352060000000003</v>
      </c>
      <c r="E4393">
        <v>0.5157699</v>
      </c>
      <c r="F4393" t="s">
        <v>41</v>
      </c>
      <c r="G4393">
        <v>-352.54910000000001</v>
      </c>
      <c r="H4393" s="1">
        <v>-4.1463999999999998E-6</v>
      </c>
      <c r="I4393">
        <v>143.7758</v>
      </c>
      <c r="J4393">
        <v>-314.66199999999998</v>
      </c>
      <c r="K4393">
        <v>1.1209849999999999</v>
      </c>
      <c r="L4393">
        <v>141.44470000000001</v>
      </c>
      <c r="M4393">
        <v>-0.99962580000000001</v>
      </c>
      <c r="N4393">
        <v>-1.3924250000000001E-2</v>
      </c>
      <c r="O4393">
        <v>2.3550600000000001E-2</v>
      </c>
      <c r="P4393">
        <v>-0.99306430000000001</v>
      </c>
      <c r="Q4393">
        <v>-0.1161223</v>
      </c>
      <c r="R4393">
        <v>1.841953E-2</v>
      </c>
      <c r="S4393">
        <v>-3.0071409999999998</v>
      </c>
      <c r="T4393">
        <v>-8.8416460000000002E-2</v>
      </c>
      <c r="U4393">
        <v>0.1843109</v>
      </c>
      <c r="V4393">
        <v>-4.9575690000000002E-3</v>
      </c>
      <c r="W4393">
        <v>-0.102282</v>
      </c>
      <c r="X4393">
        <v>0.99474309999999999</v>
      </c>
      <c r="Y4393">
        <v>3.7629450000000002E-2</v>
      </c>
      <c r="Z4393">
        <v>4.510885E-4</v>
      </c>
      <c r="AA4393">
        <v>0.9992917</v>
      </c>
      <c r="AB4393">
        <v>26</v>
      </c>
      <c r="AC4393">
        <v>-37.887099999999897</v>
      </c>
      <c r="AD4393">
        <v>-1.1209891463999999</v>
      </c>
      <c r="AE4393">
        <v>2.33109999999999</v>
      </c>
      <c r="AF4393">
        <v>1.43684988745191</v>
      </c>
      <c r="AG4393">
        <v>-1.1209891463999999</v>
      </c>
      <c r="AH4393">
        <v>37.898441744384499</v>
      </c>
      <c r="AI4393">
        <v>91.693028838552195</v>
      </c>
      <c r="AJ4393">
        <v>87.828775552251798</v>
      </c>
      <c r="AK4393">
        <v>37.942232945860198</v>
      </c>
      <c r="AL4393">
        <v>95.870593340138399</v>
      </c>
      <c r="AM4393">
        <v>90.285546518150099</v>
      </c>
      <c r="AN4393">
        <v>1.00000001000599</v>
      </c>
    </row>
    <row r="4394" spans="1:40" x14ac:dyDescent="0.25">
      <c r="A4394" t="str">
        <f>"20190303154602319"</f>
        <v>20190303154602319</v>
      </c>
      <c r="B4394" t="str">
        <f>"1551599162316040"</f>
        <v>1551599162316040</v>
      </c>
      <c r="C4394" t="s">
        <v>40</v>
      </c>
      <c r="D4394">
        <v>5.3594089999999897</v>
      </c>
      <c r="E4394">
        <v>0.51562159999999901</v>
      </c>
      <c r="F4394" t="s">
        <v>41</v>
      </c>
      <c r="G4394">
        <v>-352.86919999999998</v>
      </c>
      <c r="H4394" s="1">
        <v>-4.0364229999999996E-6</v>
      </c>
      <c r="I4394">
        <v>143.77010000000001</v>
      </c>
      <c r="J4394">
        <v>-314.93369999999999</v>
      </c>
      <c r="K4394">
        <v>1.120986</v>
      </c>
      <c r="L4394">
        <v>141.45089999999999</v>
      </c>
      <c r="M4394">
        <v>-0.99962859999999998</v>
      </c>
      <c r="N4394">
        <v>-1.3921289999999999E-2</v>
      </c>
      <c r="O4394">
        <v>2.3429709999999999E-2</v>
      </c>
      <c r="P4394">
        <v>-0.99303229999999998</v>
      </c>
      <c r="Q4394">
        <v>-0.1163578</v>
      </c>
      <c r="R4394">
        <v>1.8648250000000002E-2</v>
      </c>
      <c r="S4394">
        <v>-3.0072019999999999</v>
      </c>
      <c r="T4394">
        <v>-8.8230489999999995E-2</v>
      </c>
      <c r="U4394">
        <v>0.1830292</v>
      </c>
      <c r="V4394">
        <v>-4.608348E-3</v>
      </c>
      <c r="W4394">
        <v>-0.1025208</v>
      </c>
      <c r="X4394">
        <v>0.99472020000000005</v>
      </c>
      <c r="Y4394">
        <v>3.7324969999999999E-2</v>
      </c>
      <c r="Z4394">
        <v>4.4653020000000001E-4</v>
      </c>
      <c r="AA4394">
        <v>0.9993031</v>
      </c>
      <c r="AB4394">
        <v>26</v>
      </c>
      <c r="AC4394">
        <v>-37.935499999999898</v>
      </c>
      <c r="AD4394">
        <v>-1.1209900364229901</v>
      </c>
      <c r="AE4394">
        <v>2.3192000000000199</v>
      </c>
      <c r="AF4394">
        <v>1.4284167185616301</v>
      </c>
      <c r="AG4394">
        <v>-1.1209900364229901</v>
      </c>
      <c r="AH4394">
        <v>37.946416339510201</v>
      </c>
      <c r="AI4394">
        <v>91.690908198192204</v>
      </c>
      <c r="AJ4394">
        <v>87.844233174104701</v>
      </c>
      <c r="AK4394">
        <v>37.989834245427801</v>
      </c>
      <c r="AL4394">
        <v>95.884347855211502</v>
      </c>
      <c r="AM4394">
        <v>90.265438463939205</v>
      </c>
      <c r="AN4394">
        <v>1.0000000137959799</v>
      </c>
    </row>
    <row r="4395" spans="1:40" x14ac:dyDescent="0.25">
      <c r="A4395" t="str">
        <f>"20190303154602340"</f>
        <v>20190303154602340</v>
      </c>
      <c r="B4395" t="str">
        <f>"1551599162335560"</f>
        <v>1551599162335560</v>
      </c>
      <c r="C4395" t="s">
        <v>40</v>
      </c>
      <c r="D4395">
        <v>5.3469119999999997</v>
      </c>
      <c r="E4395">
        <v>0.51526090000000002</v>
      </c>
      <c r="F4395" t="s">
        <v>41</v>
      </c>
      <c r="G4395">
        <v>-352.00799999999998</v>
      </c>
      <c r="H4395" s="1">
        <v>-4.3171429999999998E-6</v>
      </c>
      <c r="I4395">
        <v>143.7004</v>
      </c>
      <c r="J4395">
        <v>-315.17779999999999</v>
      </c>
      <c r="K4395">
        <v>1.1209910000000001</v>
      </c>
      <c r="L4395">
        <v>141.45650000000001</v>
      </c>
      <c r="M4395">
        <v>-0.99963109999999999</v>
      </c>
      <c r="N4395">
        <v>-1.3918639999999999E-2</v>
      </c>
      <c r="O4395">
        <v>2.3322639999999999E-2</v>
      </c>
      <c r="P4395">
        <v>-0.99308540000000001</v>
      </c>
      <c r="Q4395">
        <v>-0.1158434</v>
      </c>
      <c r="R4395">
        <v>1.9023700000000001E-2</v>
      </c>
      <c r="S4395">
        <v>-3.0069270000000001</v>
      </c>
      <c r="T4395">
        <v>-9.091842E-2</v>
      </c>
      <c r="U4395">
        <v>0.18244930000000001</v>
      </c>
      <c r="V4395">
        <v>-4.1280809999999996E-3</v>
      </c>
      <c r="W4395">
        <v>-0.1020081</v>
      </c>
      <c r="X4395">
        <v>0.99477499999999996</v>
      </c>
      <c r="Y4395">
        <v>3.7244680000000002E-2</v>
      </c>
      <c r="Z4395">
        <v>4.4212690000000002E-4</v>
      </c>
      <c r="AA4395">
        <v>0.99930609999999997</v>
      </c>
      <c r="AB4395">
        <v>26</v>
      </c>
      <c r="AC4395">
        <v>-36.830199999999998</v>
      </c>
      <c r="AD4395">
        <v>-1.120995317143</v>
      </c>
      <c r="AE4395">
        <v>2.2438999999999898</v>
      </c>
      <c r="AF4395">
        <v>1.3829523796221801</v>
      </c>
      <c r="AG4395">
        <v>-1.120995317143</v>
      </c>
      <c r="AH4395">
        <v>36.838517562539003</v>
      </c>
      <c r="AI4395">
        <v>91.741745363335099</v>
      </c>
      <c r="AJ4395">
        <v>87.850072487411197</v>
      </c>
      <c r="AK4395">
        <v>36.881507073204801</v>
      </c>
      <c r="AL4395">
        <v>95.854817586998706</v>
      </c>
      <c r="AM4395">
        <v>90.237762570556797</v>
      </c>
      <c r="AN4395">
        <v>0.99999999707167597</v>
      </c>
    </row>
    <row r="4396" spans="1:40" x14ac:dyDescent="0.25">
      <c r="A4396" t="str">
        <f>"20190303154602362"</f>
        <v>20190303154602362</v>
      </c>
      <c r="B4396" t="str">
        <f>"1551599162356056"</f>
        <v>1551599162356056</v>
      </c>
      <c r="C4396" t="s">
        <v>40</v>
      </c>
      <c r="D4396">
        <v>5.5158050000000003</v>
      </c>
      <c r="E4396">
        <v>0.51443850000000002</v>
      </c>
      <c r="F4396" t="s">
        <v>41</v>
      </c>
      <c r="G4396">
        <v>-351.95</v>
      </c>
      <c r="H4396" s="1">
        <v>-4.331157E-6</v>
      </c>
      <c r="I4396">
        <v>143.66820000000001</v>
      </c>
      <c r="J4396">
        <v>-315.4359</v>
      </c>
      <c r="K4396">
        <v>1.1209960000000001</v>
      </c>
      <c r="L4396">
        <v>141.4624</v>
      </c>
      <c r="M4396">
        <v>-0.99963400000000002</v>
      </c>
      <c r="N4396">
        <v>-1.390007E-2</v>
      </c>
      <c r="O4396">
        <v>2.3209670000000002E-2</v>
      </c>
      <c r="P4396">
        <v>-0.99320529999999996</v>
      </c>
      <c r="Q4396">
        <v>-0.1147828</v>
      </c>
      <c r="R4396">
        <v>1.9190909999999999E-2</v>
      </c>
      <c r="S4396">
        <v>-3.0067439999999999</v>
      </c>
      <c r="T4396">
        <v>-9.1660140000000001E-2</v>
      </c>
      <c r="U4396">
        <v>0.18084720000000001</v>
      </c>
      <c r="V4396">
        <v>-3.8519489999999999E-3</v>
      </c>
      <c r="W4396">
        <v>-0.10096430000000001</v>
      </c>
      <c r="X4396">
        <v>0.99488259999999995</v>
      </c>
      <c r="Y4396">
        <v>3.683078E-2</v>
      </c>
      <c r="Z4396">
        <v>4.3286639999999999E-4</v>
      </c>
      <c r="AA4396">
        <v>0.99932140000000003</v>
      </c>
      <c r="AB4396">
        <v>26</v>
      </c>
      <c r="AC4396">
        <v>-36.5140999999999</v>
      </c>
      <c r="AD4396">
        <v>-1.12100033115699</v>
      </c>
      <c r="AE4396">
        <v>2.2058</v>
      </c>
      <c r="AF4396">
        <v>1.35636984861555</v>
      </c>
      <c r="AG4396">
        <v>-1.12100033115699</v>
      </c>
      <c r="AH4396">
        <v>36.521165995611099</v>
      </c>
      <c r="AI4396">
        <v>91.756905007623203</v>
      </c>
      <c r="AJ4396">
        <v>87.873053499247007</v>
      </c>
      <c r="AK4396">
        <v>36.563533015665598</v>
      </c>
      <c r="AL4396">
        <v>95.794701807574896</v>
      </c>
      <c r="AM4396">
        <v>90.221834533846604</v>
      </c>
      <c r="AN4396">
        <v>1.00000000758417</v>
      </c>
    </row>
    <row r="4397" spans="1:40" x14ac:dyDescent="0.25">
      <c r="A4397" t="str">
        <f>"20190303154602384"</f>
        <v>20190303154602384</v>
      </c>
      <c r="B4397" t="str">
        <f>"1551599162375576"</f>
        <v>1551599162375576</v>
      </c>
      <c r="C4397" t="s">
        <v>40</v>
      </c>
      <c r="D4397">
        <v>5.4087379999999996</v>
      </c>
      <c r="E4397">
        <v>0.51392570000000004</v>
      </c>
      <c r="F4397" t="s">
        <v>41</v>
      </c>
      <c r="G4397">
        <v>-350.29360000000003</v>
      </c>
      <c r="H4397" s="1">
        <v>-4.8624929999999996E-6</v>
      </c>
      <c r="I4397">
        <v>143.48589999999999</v>
      </c>
      <c r="J4397">
        <v>-315.68470000000002</v>
      </c>
      <c r="K4397">
        <v>1.120987</v>
      </c>
      <c r="L4397">
        <v>141.46809999999999</v>
      </c>
      <c r="M4397">
        <v>-0.99963760000000002</v>
      </c>
      <c r="N4397">
        <v>-1.382658E-2</v>
      </c>
      <c r="O4397">
        <v>2.3100409999999998E-2</v>
      </c>
      <c r="P4397">
        <v>-0.99336670000000005</v>
      </c>
      <c r="Q4397">
        <v>-0.1133079</v>
      </c>
      <c r="R4397">
        <v>1.9604590000000002E-2</v>
      </c>
      <c r="S4397">
        <v>-3.0059809999999998</v>
      </c>
      <c r="T4397">
        <v>-9.6670270000000003E-2</v>
      </c>
      <c r="U4397">
        <v>0.1744995</v>
      </c>
      <c r="V4397">
        <v>-3.3334319999999999E-3</v>
      </c>
      <c r="W4397">
        <v>-9.956015E-2</v>
      </c>
      <c r="X4397">
        <v>0.99502599999999997</v>
      </c>
      <c r="Y4397">
        <v>3.4852099999999997E-2</v>
      </c>
      <c r="Z4397">
        <v>3.7831060000000002E-4</v>
      </c>
      <c r="AA4397">
        <v>0.99939239999999996</v>
      </c>
      <c r="AB4397">
        <v>26</v>
      </c>
      <c r="AC4397">
        <v>-34.608899999999998</v>
      </c>
      <c r="AD4397">
        <v>-1.120991862493</v>
      </c>
      <c r="AE4397">
        <v>2.01779999999999</v>
      </c>
      <c r="AF4397">
        <v>1.2164334167641799</v>
      </c>
      <c r="AG4397">
        <v>-1.120991862493</v>
      </c>
      <c r="AH4397">
        <v>34.610091829934497</v>
      </c>
      <c r="AI4397">
        <v>91.853969796412898</v>
      </c>
      <c r="AJ4397">
        <v>87.987066205398307</v>
      </c>
      <c r="AK4397">
        <v>34.649600134629203</v>
      </c>
      <c r="AL4397">
        <v>95.713842312116697</v>
      </c>
      <c r="AM4397">
        <v>90.191945607843707</v>
      </c>
      <c r="AN4397">
        <v>1.00000003795645</v>
      </c>
    </row>
    <row r="4398" spans="1:40" x14ac:dyDescent="0.25">
      <c r="A4398" t="str">
        <f>"20190303154602407"</f>
        <v>20190303154602407</v>
      </c>
      <c r="B4398" t="str">
        <f>"1551599162396072"</f>
        <v>1551599162396072</v>
      </c>
      <c r="C4398" t="s">
        <v>40</v>
      </c>
      <c r="D4398">
        <v>5.3964949999999998</v>
      </c>
      <c r="E4398">
        <v>0.51377659999999903</v>
      </c>
      <c r="F4398" t="s">
        <v>41</v>
      </c>
      <c r="G4398">
        <v>-350.57929999999999</v>
      </c>
      <c r="H4398" s="1">
        <v>-4.7607699999999998E-6</v>
      </c>
      <c r="I4398">
        <v>143.46039999999999</v>
      </c>
      <c r="J4398">
        <v>-315.94569999999999</v>
      </c>
      <c r="K4398">
        <v>1.120965</v>
      </c>
      <c r="L4398">
        <v>141.47399999999999</v>
      </c>
      <c r="M4398">
        <v>-0.99964189999999997</v>
      </c>
      <c r="N4398">
        <v>-1.37088E-2</v>
      </c>
      <c r="O4398">
        <v>2.2987250000000001E-2</v>
      </c>
      <c r="P4398">
        <v>-0.99347300000000005</v>
      </c>
      <c r="Q4398">
        <v>-0.112344</v>
      </c>
      <c r="R4398">
        <v>1.9762180000000001E-2</v>
      </c>
      <c r="S4398">
        <v>-3.0056759999999998</v>
      </c>
      <c r="T4398">
        <v>-9.6557619999999997E-2</v>
      </c>
      <c r="U4398">
        <v>0.17161560000000001</v>
      </c>
      <c r="V4398">
        <v>-3.0656189999999999E-3</v>
      </c>
      <c r="W4398">
        <v>-9.8711999999999994E-2</v>
      </c>
      <c r="X4398">
        <v>0.99511130000000003</v>
      </c>
      <c r="Y4398">
        <v>3.401614E-2</v>
      </c>
      <c r="Z4398">
        <v>3.5665209999999998E-4</v>
      </c>
      <c r="AA4398">
        <v>0.99942120000000001</v>
      </c>
      <c r="AB4398">
        <v>26</v>
      </c>
      <c r="AC4398">
        <v>-34.633600000000001</v>
      </c>
      <c r="AD4398">
        <v>-1.12096976077</v>
      </c>
      <c r="AE4398">
        <v>1.9863999999999999</v>
      </c>
      <c r="AF4398">
        <v>1.1884281725155501</v>
      </c>
      <c r="AG4398">
        <v>-1.12096976077</v>
      </c>
      <c r="AH4398">
        <v>34.633949481682599</v>
      </c>
      <c r="AI4398">
        <v>91.852710559309998</v>
      </c>
      <c r="AJ4398">
        <v>88.034725651604703</v>
      </c>
      <c r="AK4398">
        <v>34.672458687343401</v>
      </c>
      <c r="AL4398">
        <v>95.665006665199698</v>
      </c>
      <c r="AM4398">
        <v>90.176509376020405</v>
      </c>
      <c r="AN4398">
        <v>0.99999997817577102</v>
      </c>
    </row>
    <row r="4399" spans="1:40" x14ac:dyDescent="0.25">
      <c r="A4399" t="str">
        <f>"20190303154602430"</f>
        <v>20190303154602430</v>
      </c>
      <c r="B4399" t="str">
        <f>"1551599162425351"</f>
        <v>1551599162425351</v>
      </c>
      <c r="C4399" t="s">
        <v>40</v>
      </c>
      <c r="D4399">
        <v>5.3290879999999996</v>
      </c>
      <c r="E4399">
        <v>0.48263</v>
      </c>
      <c r="F4399" t="s">
        <v>41</v>
      </c>
      <c r="G4399">
        <v>-352.02719999999999</v>
      </c>
      <c r="H4399" s="1">
        <v>-4.2799579999999998E-6</v>
      </c>
      <c r="I4399">
        <v>143.52760000000001</v>
      </c>
      <c r="J4399">
        <v>-316.20600000000002</v>
      </c>
      <c r="K4399">
        <v>1.1209309999999999</v>
      </c>
      <c r="L4399">
        <v>141.47980000000001</v>
      </c>
      <c r="M4399">
        <v>-0.99964649999999999</v>
      </c>
      <c r="N4399">
        <v>-1.356125E-2</v>
      </c>
      <c r="O4399">
        <v>2.2871639999999999E-2</v>
      </c>
      <c r="P4399">
        <v>-0.99339060000000001</v>
      </c>
      <c r="Q4399">
        <v>-0.11308840000000001</v>
      </c>
      <c r="R4399">
        <v>1.9652300000000001E-2</v>
      </c>
      <c r="S4399">
        <v>-3.0057070000000001</v>
      </c>
      <c r="T4399">
        <v>-9.3380569999999996E-2</v>
      </c>
      <c r="U4399">
        <v>0.1710815</v>
      </c>
      <c r="V4399">
        <v>-3.0587029999999999E-3</v>
      </c>
      <c r="W4399">
        <v>-9.9604319999999996E-2</v>
      </c>
      <c r="X4399">
        <v>0.99502239999999997</v>
      </c>
      <c r="Y4399">
        <v>3.3955289999999999E-2</v>
      </c>
      <c r="Z4399">
        <v>3.5771570000000001E-4</v>
      </c>
      <c r="AA4399">
        <v>0.99942330000000001</v>
      </c>
      <c r="AB4399">
        <v>26</v>
      </c>
      <c r="AC4399">
        <v>-35.821199999999997</v>
      </c>
      <c r="AD4399">
        <v>-1.1209352799579999</v>
      </c>
      <c r="AE4399">
        <v>2.0477999999999899</v>
      </c>
      <c r="AF4399">
        <v>1.2267020386490699</v>
      </c>
      <c r="AG4399">
        <v>-1.1209352799579999</v>
      </c>
      <c r="AH4399">
        <v>35.823703590515699</v>
      </c>
      <c r="AI4399">
        <v>91.791169586760205</v>
      </c>
      <c r="AJ4399">
        <v>88.038801391224297</v>
      </c>
      <c r="AK4399">
        <v>35.8622229195933</v>
      </c>
      <c r="AL4399">
        <v>95.716386062231294</v>
      </c>
      <c r="AM4399">
        <v>90.176126909983395</v>
      </c>
      <c r="AN4399">
        <v>0.99999997636423199</v>
      </c>
    </row>
    <row r="4400" spans="1:40" x14ac:dyDescent="0.25">
      <c r="A4400" t="str">
        <f>"20190303154602456"</f>
        <v>20190303154602456</v>
      </c>
      <c r="B4400" t="str">
        <f>"1551599162445848"</f>
        <v>1551599162445848</v>
      </c>
      <c r="C4400" t="s">
        <v>40</v>
      </c>
      <c r="D4400">
        <v>5.2844139999999999</v>
      </c>
      <c r="E4400">
        <v>0.48226849999999999</v>
      </c>
      <c r="F4400" t="s">
        <v>41</v>
      </c>
      <c r="G4400">
        <v>-339.16370000000001</v>
      </c>
      <c r="H4400" s="1">
        <v>-7.1303839999999995E-7</v>
      </c>
      <c r="I4400">
        <v>140.8837</v>
      </c>
      <c r="J4400">
        <v>-316.5025</v>
      </c>
      <c r="K4400">
        <v>1.120889</v>
      </c>
      <c r="L4400">
        <v>141.48650000000001</v>
      </c>
      <c r="M4400">
        <v>-0.99965210000000004</v>
      </c>
      <c r="N4400">
        <v>-1.337083E-2</v>
      </c>
      <c r="O4400">
        <v>2.2738009999999999E-2</v>
      </c>
      <c r="P4400">
        <v>-0.993363</v>
      </c>
      <c r="Q4400">
        <v>-0.113436999999999</v>
      </c>
      <c r="R4400">
        <v>1.9028099999999999E-2</v>
      </c>
      <c r="S4400">
        <v>-3.0047609999999998</v>
      </c>
      <c r="T4400">
        <v>-0.1467108</v>
      </c>
      <c r="U4400">
        <v>-7.8018190000000001E-2</v>
      </c>
      <c r="V4400">
        <v>-3.5495800000000001E-3</v>
      </c>
      <c r="W4400">
        <v>-0.100143</v>
      </c>
      <c r="X4400">
        <v>0.99496669999999998</v>
      </c>
      <c r="Y4400">
        <v>-4.8593770000000001E-2</v>
      </c>
      <c r="Z4400">
        <v>-2.3161179999999998E-3</v>
      </c>
      <c r="AA4400">
        <v>0.99881600000000004</v>
      </c>
      <c r="AB4400">
        <v>26</v>
      </c>
      <c r="AC4400">
        <v>-22.661200000000001</v>
      </c>
      <c r="AD4400">
        <v>-1.1208897130383999</v>
      </c>
      <c r="AE4400">
        <v>-0.602800000000002</v>
      </c>
      <c r="AF4400">
        <v>-1.1152341673388499</v>
      </c>
      <c r="AG4400">
        <v>-1.1208897130383999</v>
      </c>
      <c r="AH4400">
        <v>22.586411925777998</v>
      </c>
      <c r="AI4400">
        <v>92.837619909267005</v>
      </c>
      <c r="AJ4400">
        <v>92.826759672104302</v>
      </c>
      <c r="AK4400">
        <v>22.6416904112242</v>
      </c>
      <c r="AL4400">
        <v>95.747405241968394</v>
      </c>
      <c r="AM4400">
        <v>90.204403916473296</v>
      </c>
      <c r="AN4400">
        <v>0.99999997703803301</v>
      </c>
    </row>
    <row r="4401" spans="1:40" x14ac:dyDescent="0.25">
      <c r="A4401" t="str">
        <f>"20190303154602480"</f>
        <v>20190303154602480</v>
      </c>
      <c r="B4401" t="str">
        <f>"1551599162476104"</f>
        <v>1551599162476104</v>
      </c>
      <c r="C4401" t="s">
        <v>40</v>
      </c>
      <c r="D4401">
        <v>5.3417029999999999</v>
      </c>
      <c r="E4401">
        <v>0.48163630000000002</v>
      </c>
      <c r="F4401" t="s">
        <v>41</v>
      </c>
      <c r="G4401">
        <v>-338.79430000000002</v>
      </c>
      <c r="H4401" s="1">
        <v>-8.8395549999999996E-7</v>
      </c>
      <c r="I4401">
        <v>140.8699</v>
      </c>
      <c r="J4401">
        <v>-316.76420000000002</v>
      </c>
      <c r="K4401">
        <v>1.1208560000000001</v>
      </c>
      <c r="L4401">
        <v>141.4923</v>
      </c>
      <c r="M4401">
        <v>-0.99965720000000002</v>
      </c>
      <c r="N4401">
        <v>-1.3191609999999999E-2</v>
      </c>
      <c r="O4401">
        <v>2.2617930000000001E-2</v>
      </c>
      <c r="P4401">
        <v>-0.99336679999999999</v>
      </c>
      <c r="Q4401">
        <v>-0.11354119999999999</v>
      </c>
      <c r="R4401">
        <v>1.8188900000000001E-2</v>
      </c>
      <c r="S4401">
        <v>-3.0043639999999998</v>
      </c>
      <c r="T4401">
        <v>-0.15106710000000001</v>
      </c>
      <c r="U4401">
        <v>-8.3099370000000006E-2</v>
      </c>
      <c r="V4401">
        <v>-4.2696519999999996E-3</v>
      </c>
      <c r="W4401">
        <v>-0.1004258</v>
      </c>
      <c r="X4401">
        <v>0.99493540000000003</v>
      </c>
      <c r="Y4401">
        <v>-5.0157649999999998E-2</v>
      </c>
      <c r="Z4401">
        <v>-2.4293520000000001E-3</v>
      </c>
      <c r="AA4401">
        <v>0.99873829999999997</v>
      </c>
      <c r="AB4401">
        <v>26</v>
      </c>
      <c r="AC4401">
        <v>-22.030100000000001</v>
      </c>
      <c r="AD4401">
        <v>-1.12085688395549</v>
      </c>
      <c r="AE4401">
        <v>-0.62239999999999895</v>
      </c>
      <c r="AF4401">
        <v>-1.1176684391120399</v>
      </c>
      <c r="AG4401">
        <v>-1.12085688395549</v>
      </c>
      <c r="AH4401">
        <v>21.9536006116153</v>
      </c>
      <c r="AI4401">
        <v>92.918965676600905</v>
      </c>
      <c r="AJ4401">
        <v>92.914439664148503</v>
      </c>
      <c r="AK4401">
        <v>22.010590239891599</v>
      </c>
      <c r="AL4401">
        <v>95.763690391622106</v>
      </c>
      <c r="AM4401">
        <v>90.245876805555298</v>
      </c>
      <c r="AN4401">
        <v>1.0000000107035001</v>
      </c>
    </row>
    <row r="4402" spans="1:40" x14ac:dyDescent="0.25">
      <c r="A4402" t="str">
        <f>"20190303154602502"</f>
        <v>20190303154602502</v>
      </c>
      <c r="B4402" t="str">
        <f>"1551599162495624"</f>
        <v>1551599162495624</v>
      </c>
      <c r="C4402" t="s">
        <v>40</v>
      </c>
      <c r="D4402">
        <v>5.3154890000000004</v>
      </c>
      <c r="E4402">
        <v>0.48146</v>
      </c>
      <c r="F4402" t="s">
        <v>41</v>
      </c>
      <c r="G4402">
        <v>-338.47039999999998</v>
      </c>
      <c r="H4402" s="1">
        <v>-1.02844E-6</v>
      </c>
      <c r="I4402">
        <v>140.8374</v>
      </c>
      <c r="J4402">
        <v>-317.02140000000003</v>
      </c>
      <c r="K4402">
        <v>1.1208309999999999</v>
      </c>
      <c r="L4402">
        <v>141.49789999999999</v>
      </c>
      <c r="M4402">
        <v>-0.9996623</v>
      </c>
      <c r="N4402">
        <v>-1.300955E-2</v>
      </c>
      <c r="O4402">
        <v>2.2499870000000002E-2</v>
      </c>
      <c r="P4402">
        <v>-0.99337439999999999</v>
      </c>
      <c r="Q4402">
        <v>-0.1135158</v>
      </c>
      <c r="R4402">
        <v>1.793672E-2</v>
      </c>
      <c r="S4402">
        <v>-3.0039669999999998</v>
      </c>
      <c r="T4402">
        <v>-0.155117899999999</v>
      </c>
      <c r="U4402">
        <v>-9.0621950000000007E-2</v>
      </c>
      <c r="V4402">
        <v>-4.4047929999999997E-3</v>
      </c>
      <c r="W4402">
        <v>-0.1005815</v>
      </c>
      <c r="X4402">
        <v>0.99491909999999895</v>
      </c>
      <c r="Y4402">
        <v>-5.2533249999999997E-2</v>
      </c>
      <c r="Z4402">
        <v>-2.565552E-3</v>
      </c>
      <c r="AA4402">
        <v>0.9986159</v>
      </c>
      <c r="AB4402">
        <v>26</v>
      </c>
      <c r="AC4402">
        <v>-21.448999999999899</v>
      </c>
      <c r="AD4402">
        <v>-1.12083202844</v>
      </c>
      <c r="AE4402">
        <v>-0.66049999999998399</v>
      </c>
      <c r="AF4402">
        <v>-1.13986364344555</v>
      </c>
      <c r="AG4402">
        <v>-1.12083202844</v>
      </c>
      <c r="AH4402">
        <v>21.370406816647598</v>
      </c>
      <c r="AI4402">
        <v>92.998036090516095</v>
      </c>
      <c r="AJ4402">
        <v>93.053172889549103</v>
      </c>
      <c r="AK4402">
        <v>21.4301152836527</v>
      </c>
      <c r="AL4402">
        <v>95.772656643966599</v>
      </c>
      <c r="AM4402">
        <v>90.253663237159302</v>
      </c>
      <c r="AN4402">
        <v>1.0000000279442101</v>
      </c>
    </row>
    <row r="4403" spans="1:40" x14ac:dyDescent="0.25">
      <c r="A4403" t="str">
        <f>"20190303154602520"</f>
        <v>20190303154602520</v>
      </c>
      <c r="B4403" t="str">
        <f>"1551599162516120"</f>
        <v>1551599162516120</v>
      </c>
      <c r="C4403" t="s">
        <v>40</v>
      </c>
      <c r="D4403">
        <v>5.3066240000000002</v>
      </c>
      <c r="E4403">
        <v>0.48116579999999898</v>
      </c>
      <c r="F4403" t="s">
        <v>41</v>
      </c>
      <c r="G4403">
        <v>-338.60149999999999</v>
      </c>
      <c r="H4403" s="1">
        <v>-9.6523019999999995E-7</v>
      </c>
      <c r="I4403">
        <v>140.83269999999999</v>
      </c>
      <c r="J4403">
        <v>-317.24040000000002</v>
      </c>
      <c r="K4403">
        <v>1.120808</v>
      </c>
      <c r="L4403">
        <v>141.50280000000001</v>
      </c>
      <c r="M4403">
        <v>-0.99966650000000001</v>
      </c>
      <c r="N4403">
        <v>-1.284923E-2</v>
      </c>
      <c r="O4403">
        <v>2.2401290000000001E-2</v>
      </c>
      <c r="P4403">
        <v>-0.99340399999999995</v>
      </c>
      <c r="Q4403">
        <v>-0.1131872</v>
      </c>
      <c r="R4403">
        <v>1.8361849999999999E-2</v>
      </c>
      <c r="S4403">
        <v>-3.0038149999999999</v>
      </c>
      <c r="T4403">
        <v>-0.15601279999999901</v>
      </c>
      <c r="U4403">
        <v>-9.2590329999999998E-2</v>
      </c>
      <c r="V4403">
        <v>-3.8830029999999999E-3</v>
      </c>
      <c r="W4403">
        <v>-0.1004119</v>
      </c>
      <c r="X4403">
        <v>0.9949384</v>
      </c>
      <c r="Y4403">
        <v>-5.3088080000000003E-2</v>
      </c>
      <c r="Z4403">
        <v>-2.5936679999999999E-3</v>
      </c>
      <c r="AA4403">
        <v>0.99858650000000004</v>
      </c>
      <c r="AB4403">
        <v>26</v>
      </c>
      <c r="AC4403">
        <v>-21.361099999999901</v>
      </c>
      <c r="AD4403">
        <v>-1.1208089652302</v>
      </c>
      <c r="AE4403">
        <v>-0.67010000000001901</v>
      </c>
      <c r="AF4403">
        <v>-1.1453374275491801</v>
      </c>
      <c r="AG4403">
        <v>-1.1208089652302</v>
      </c>
      <c r="AH4403">
        <v>21.2821928178906</v>
      </c>
      <c r="AI4403">
        <v>93.010301431331399</v>
      </c>
      <c r="AJ4403">
        <v>93.080498230571294</v>
      </c>
      <c r="AK4403">
        <v>21.342439919028902</v>
      </c>
      <c r="AL4403">
        <v>95.762889859703293</v>
      </c>
      <c r="AM4403">
        <v>90.223610380481304</v>
      </c>
      <c r="AN4403">
        <v>1.0000000235842299</v>
      </c>
    </row>
    <row r="4404" spans="1:40" x14ac:dyDescent="0.25">
      <c r="A4404" t="str">
        <f>"20190303154602564"</f>
        <v>20190303154602564</v>
      </c>
      <c r="B4404" t="str">
        <f>"1551599162556136"</f>
        <v>1551599162556136</v>
      </c>
      <c r="C4404" t="s">
        <v>40</v>
      </c>
      <c r="D4404">
        <v>5.2675720000000004</v>
      </c>
      <c r="E4404">
        <v>0.48060629999999999</v>
      </c>
      <c r="F4404" t="s">
        <v>41</v>
      </c>
      <c r="G4404">
        <v>-338.35230000000001</v>
      </c>
      <c r="H4404" s="1">
        <v>-1.0864600000000001E-6</v>
      </c>
      <c r="I4404">
        <v>140.84569999999999</v>
      </c>
      <c r="J4404">
        <v>-317.73739999999998</v>
      </c>
      <c r="K4404">
        <v>1.120762</v>
      </c>
      <c r="L4404">
        <v>141.5137</v>
      </c>
      <c r="M4404">
        <v>-0.99967620000000001</v>
      </c>
      <c r="N4404">
        <v>-1.248296E-2</v>
      </c>
      <c r="O4404">
        <v>2.2181469999999998E-2</v>
      </c>
      <c r="P4404">
        <v>-0.99338780000000004</v>
      </c>
      <c r="Q4404">
        <v>-0.1129805</v>
      </c>
      <c r="R4404">
        <v>2.0403839999999999E-2</v>
      </c>
      <c r="S4404">
        <v>-3.003479</v>
      </c>
      <c r="T4404">
        <v>-0.15945179999999901</v>
      </c>
      <c r="U4404">
        <v>-9.3475340000000004E-2</v>
      </c>
      <c r="V4404">
        <v>-1.622341E-3</v>
      </c>
      <c r="W4404">
        <v>-0.10056900000000001</v>
      </c>
      <c r="X4404">
        <v>0.99492879999999995</v>
      </c>
      <c r="Y4404">
        <v>-5.3161420000000001E-2</v>
      </c>
      <c r="Z4404">
        <v>-2.6418290000000001E-3</v>
      </c>
      <c r="AA4404">
        <v>0.99858239999999998</v>
      </c>
      <c r="AB4404">
        <v>26</v>
      </c>
      <c r="AC4404">
        <v>-20.614899999999999</v>
      </c>
      <c r="AD4404">
        <v>-1.12076308646</v>
      </c>
      <c r="AE4404">
        <v>-0.66800000000000603</v>
      </c>
      <c r="AF4404">
        <v>-1.1218276131904199</v>
      </c>
      <c r="AG4404">
        <v>-1.12076308646</v>
      </c>
      <c r="AH4404">
        <v>20.534378292877999</v>
      </c>
      <c r="AI4404">
        <v>93.119452253983795</v>
      </c>
      <c r="AJ4404">
        <v>93.127056220160298</v>
      </c>
      <c r="AK4404">
        <v>20.595516477250801</v>
      </c>
      <c r="AL4404">
        <v>95.771936747692493</v>
      </c>
      <c r="AM4404">
        <v>90.093426996833301</v>
      </c>
      <c r="AN4404">
        <v>1.0000000364103701</v>
      </c>
    </row>
    <row r="4405" spans="1:40" x14ac:dyDescent="0.25">
      <c r="A4405" t="str">
        <f>"20190303154602585"</f>
        <v>20190303154602585</v>
      </c>
      <c r="B4405" t="str">
        <f>"1551599162575656"</f>
        <v>1551599162575656</v>
      </c>
      <c r="C4405" t="s">
        <v>40</v>
      </c>
      <c r="D4405">
        <v>5.2425629999999996</v>
      </c>
      <c r="E4405">
        <v>0.48007139999999998</v>
      </c>
      <c r="F4405" t="s">
        <v>41</v>
      </c>
      <c r="G4405">
        <v>-338.25229999999999</v>
      </c>
      <c r="H4405" s="1">
        <v>-1.144601E-6</v>
      </c>
      <c r="I4405">
        <v>140.88650000000001</v>
      </c>
      <c r="J4405">
        <v>-317.98309999999998</v>
      </c>
      <c r="K4405">
        <v>1.1207450000000001</v>
      </c>
      <c r="L4405">
        <v>141.51900000000001</v>
      </c>
      <c r="M4405">
        <v>-0.99968080000000004</v>
      </c>
      <c r="N4405">
        <v>-1.229805E-2</v>
      </c>
      <c r="O4405">
        <v>2.20728E-2</v>
      </c>
      <c r="P4405">
        <v>-0.99330399999999996</v>
      </c>
      <c r="Q4405">
        <v>-0.11343839999999999</v>
      </c>
      <c r="R4405">
        <v>2.1882550000000001E-2</v>
      </c>
      <c r="S4405">
        <v>-3.0032040000000002</v>
      </c>
      <c r="T4405">
        <v>-0.1640701</v>
      </c>
      <c r="U4405">
        <v>-9.1812130000000006E-2</v>
      </c>
      <c r="V4405" s="1">
        <v>-3.3376269999999999E-5</v>
      </c>
      <c r="W4405">
        <v>-0.1012112</v>
      </c>
      <c r="X4405">
        <v>0.99486490000000005</v>
      </c>
      <c r="Y4405">
        <v>-5.249823E-2</v>
      </c>
      <c r="Z4405">
        <v>-2.689313E-3</v>
      </c>
      <c r="AA4405">
        <v>0.99861739999999999</v>
      </c>
      <c r="AB4405">
        <v>26</v>
      </c>
      <c r="AC4405">
        <v>-20.269200000000001</v>
      </c>
      <c r="AD4405">
        <v>-1.1207461446009901</v>
      </c>
      <c r="AE4405">
        <v>-0.63249999999999296</v>
      </c>
      <c r="AF4405">
        <v>-1.0764897036193499</v>
      </c>
      <c r="AG4405">
        <v>-1.1207461446009901</v>
      </c>
      <c r="AH4405">
        <v>20.188635756725802</v>
      </c>
      <c r="AI4405">
        <v>93.172941920189203</v>
      </c>
      <c r="AJ4405">
        <v>93.052210292130496</v>
      </c>
      <c r="AK4405">
        <v>20.248355876968901</v>
      </c>
      <c r="AL4405">
        <v>95.808921374551502</v>
      </c>
      <c r="AM4405">
        <v>90.001922190044198</v>
      </c>
      <c r="AN4405">
        <v>0.99999993868571002</v>
      </c>
    </row>
    <row r="4406" spans="1:40" x14ac:dyDescent="0.25">
      <c r="A4406" t="str">
        <f>"20190303154602608"</f>
        <v>20190303154602608</v>
      </c>
      <c r="B4406" t="str">
        <f>"1551599162605912"</f>
        <v>1551599162605912</v>
      </c>
      <c r="C4406" t="s">
        <v>40</v>
      </c>
      <c r="D4406">
        <v>5.2085019999999904</v>
      </c>
      <c r="E4406">
        <v>0.47906130000000002</v>
      </c>
      <c r="F4406" t="s">
        <v>41</v>
      </c>
      <c r="G4406">
        <v>-337.83199999999999</v>
      </c>
      <c r="H4406" s="1">
        <v>-1.3503659999999999E-6</v>
      </c>
      <c r="I4406">
        <v>140.91319999999999</v>
      </c>
      <c r="J4406">
        <v>-318.2484</v>
      </c>
      <c r="K4406">
        <v>1.1207210000000001</v>
      </c>
      <c r="L4406">
        <v>141.5247</v>
      </c>
      <c r="M4406">
        <v>-0.99968579999999996</v>
      </c>
      <c r="N4406">
        <v>-1.2098630000000001E-2</v>
      </c>
      <c r="O4406">
        <v>2.1954850000000001E-2</v>
      </c>
      <c r="P4406">
        <v>-0.99331999999999998</v>
      </c>
      <c r="Q4406">
        <v>-0.1130999</v>
      </c>
      <c r="R4406">
        <v>2.2888760000000001E-2</v>
      </c>
      <c r="S4406">
        <v>-3.002869</v>
      </c>
      <c r="T4406">
        <v>-0.1695535</v>
      </c>
      <c r="U4406">
        <v>-9.1644290000000003E-2</v>
      </c>
      <c r="V4406">
        <v>1.089675E-3</v>
      </c>
      <c r="W4406">
        <v>-0.1010704</v>
      </c>
      <c r="X4406">
        <v>0.99487859999999995</v>
      </c>
      <c r="Y4406">
        <v>-5.2320869999999998E-2</v>
      </c>
      <c r="Z4406">
        <v>-2.7655079999999999E-3</v>
      </c>
      <c r="AA4406">
        <v>0.99862649999999997</v>
      </c>
      <c r="AB4406">
        <v>26</v>
      </c>
      <c r="AC4406">
        <v>-19.583599999999901</v>
      </c>
      <c r="AD4406">
        <v>-1.12072235036599</v>
      </c>
      <c r="AE4406">
        <v>-0.61150000000000604</v>
      </c>
      <c r="AF4406">
        <v>-1.0379430863254999</v>
      </c>
      <c r="AG4406">
        <v>-1.12072235036599</v>
      </c>
      <c r="AH4406">
        <v>19.5016469298874</v>
      </c>
      <c r="AI4406">
        <v>93.284422805467003</v>
      </c>
      <c r="AJ4406">
        <v>93.0465990820352</v>
      </c>
      <c r="AK4406">
        <v>19.5613797421104</v>
      </c>
      <c r="AL4406">
        <v>95.800812650485895</v>
      </c>
      <c r="AM4406">
        <v>89.937244852211293</v>
      </c>
      <c r="AN4406">
        <v>0.99999992094285906</v>
      </c>
    </row>
    <row r="4407" spans="1:40" x14ac:dyDescent="0.25">
      <c r="A4407" t="str">
        <f>"20190303154602631"</f>
        <v>20190303154602631</v>
      </c>
      <c r="B4407" t="str">
        <f>"1551599162625432"</f>
        <v>1551599162625432</v>
      </c>
      <c r="C4407" t="s">
        <v>40</v>
      </c>
      <c r="D4407">
        <v>5.1961259999999996</v>
      </c>
      <c r="E4407">
        <v>0.47120119999999999</v>
      </c>
      <c r="F4407" t="s">
        <v>41</v>
      </c>
      <c r="G4407">
        <v>-337.6454</v>
      </c>
      <c r="H4407" s="1">
        <v>-1.4349969999999999E-6</v>
      </c>
      <c r="I4407">
        <v>140.8998</v>
      </c>
      <c r="J4407">
        <v>-318.5068</v>
      </c>
      <c r="K4407">
        <v>1.1206860000000001</v>
      </c>
      <c r="L4407">
        <v>141.53030000000001</v>
      </c>
      <c r="M4407">
        <v>-0.99969129999999995</v>
      </c>
      <c r="N4407">
        <v>-1.1860239999999999E-2</v>
      </c>
      <c r="O4407">
        <v>2.183879E-2</v>
      </c>
      <c r="P4407">
        <v>-0.99324630000000003</v>
      </c>
      <c r="Q4407">
        <v>-0.1136862</v>
      </c>
      <c r="R4407">
        <v>2.318684E-2</v>
      </c>
      <c r="S4407">
        <v>-3.0026549999999999</v>
      </c>
      <c r="T4407">
        <v>-0.17348720000000001</v>
      </c>
      <c r="U4407">
        <v>-9.6740720000000002E-2</v>
      </c>
      <c r="V4407">
        <v>1.504834E-3</v>
      </c>
      <c r="W4407">
        <v>-0.1018946</v>
      </c>
      <c r="X4407">
        <v>0.99479410000000001</v>
      </c>
      <c r="Y4407">
        <v>-5.389174E-2</v>
      </c>
      <c r="Z4407">
        <v>-2.8768579999999999E-3</v>
      </c>
      <c r="AA4407">
        <v>0.99854270000000001</v>
      </c>
      <c r="AB4407">
        <v>26</v>
      </c>
      <c r="AC4407">
        <v>-19.1386</v>
      </c>
      <c r="AD4407">
        <v>-1.120687434997</v>
      </c>
      <c r="AE4407">
        <v>-0.63050000000001205</v>
      </c>
      <c r="AF4407">
        <v>-1.0447643543909999</v>
      </c>
      <c r="AG4407">
        <v>-1.120687434997</v>
      </c>
      <c r="AH4407">
        <v>19.0549986514594</v>
      </c>
      <c r="AI4407">
        <v>93.3608405272889</v>
      </c>
      <c r="AJ4407">
        <v>93.138321482705294</v>
      </c>
      <c r="AK4407">
        <v>19.116496710702201</v>
      </c>
      <c r="AL4407">
        <v>95.848280215000401</v>
      </c>
      <c r="AM4407">
        <v>89.9133282240998</v>
      </c>
      <c r="AN4407">
        <v>1.0000000377146601</v>
      </c>
    </row>
    <row r="4408" spans="1:40" x14ac:dyDescent="0.25">
      <c r="A4408" t="str">
        <f>"20190303154602654"</f>
        <v>20190303154602654</v>
      </c>
      <c r="B4408" t="str">
        <f>"1551599162645927"</f>
        <v>1551599162645927</v>
      </c>
      <c r="C4408" t="s">
        <v>40</v>
      </c>
      <c r="D4408">
        <v>5.222048</v>
      </c>
      <c r="E4408">
        <v>0.472335</v>
      </c>
      <c r="F4408" t="s">
        <v>41</v>
      </c>
      <c r="G4408">
        <v>-333.64139999999998</v>
      </c>
      <c r="H4408" s="1">
        <v>-3.2820620000000001E-6</v>
      </c>
      <c r="I4408">
        <v>140.72810000000001</v>
      </c>
      <c r="J4408">
        <v>-318.77710000000002</v>
      </c>
      <c r="K4408">
        <v>1.1206290000000001</v>
      </c>
      <c r="L4408">
        <v>141.536</v>
      </c>
      <c r="M4408">
        <v>-0.99969750000000002</v>
      </c>
      <c r="N4408">
        <v>-1.155314E-2</v>
      </c>
      <c r="O4408">
        <v>2.171727E-2</v>
      </c>
      <c r="P4408">
        <v>-0.99327549999999998</v>
      </c>
      <c r="Q4408">
        <v>-0.1135751</v>
      </c>
      <c r="R4408">
        <v>2.2466650000000001E-2</v>
      </c>
      <c r="S4408">
        <v>-2.998688</v>
      </c>
      <c r="T4408">
        <v>-0.2220482</v>
      </c>
      <c r="U4408">
        <v>-0.15893550000000001</v>
      </c>
      <c r="V4408">
        <v>9.050792E-4</v>
      </c>
      <c r="W4408">
        <v>-0.102089</v>
      </c>
      <c r="X4408">
        <v>0.99477490000000002</v>
      </c>
      <c r="Y4408">
        <v>-7.4326149999999994E-2</v>
      </c>
      <c r="Z4408">
        <v>-4.53105E-3</v>
      </c>
      <c r="AA4408">
        <v>0.99722370000000005</v>
      </c>
      <c r="AB4408">
        <v>26</v>
      </c>
      <c r="AC4408">
        <v>-14.864299999999901</v>
      </c>
      <c r="AD4408">
        <v>-1.1206322820620001</v>
      </c>
      <c r="AE4408">
        <v>-0.80789999999998896</v>
      </c>
      <c r="AF4408">
        <v>-1.1241722332664099</v>
      </c>
      <c r="AG4408">
        <v>-1.1206322820620001</v>
      </c>
      <c r="AH4408">
        <v>14.759604004452299</v>
      </c>
      <c r="AI4408">
        <v>94.329396146522996</v>
      </c>
      <c r="AJ4408">
        <v>94.355550744035</v>
      </c>
      <c r="AK4408">
        <v>14.844712536451899</v>
      </c>
      <c r="AL4408">
        <v>95.859476874743294</v>
      </c>
      <c r="AM4408">
        <v>89.947870413722697</v>
      </c>
      <c r="AN4408">
        <v>1.00000004237968</v>
      </c>
    </row>
    <row r="4409" spans="1:40" x14ac:dyDescent="0.25">
      <c r="A4409" t="str">
        <f>"20190303154602677"</f>
        <v>20190303154602677</v>
      </c>
      <c r="B4409" t="str">
        <f>"1551599162665450"</f>
        <v>1551599162665450</v>
      </c>
      <c r="C4409" t="s">
        <v>40</v>
      </c>
      <c r="D4409">
        <v>5.2001299999999997</v>
      </c>
      <c r="E4409">
        <v>0.47245110000000001</v>
      </c>
      <c r="F4409" t="s">
        <v>41</v>
      </c>
      <c r="G4409">
        <v>-333.73059999999998</v>
      </c>
      <c r="H4409" s="1">
        <v>-3.2528349999999999E-6</v>
      </c>
      <c r="I4409">
        <v>140.77680000000001</v>
      </c>
      <c r="J4409">
        <v>-319.03820000000002</v>
      </c>
      <c r="K4409">
        <v>1.120576</v>
      </c>
      <c r="L4409">
        <v>141.54159999999999</v>
      </c>
      <c r="M4409">
        <v>-0.99970369999999997</v>
      </c>
      <c r="N4409">
        <v>-1.122124E-2</v>
      </c>
      <c r="O4409">
        <v>2.1599839999999999E-2</v>
      </c>
      <c r="P4409">
        <v>-0.99331409999999998</v>
      </c>
      <c r="Q4409">
        <v>-0.113443</v>
      </c>
      <c r="R4409">
        <v>2.1397599999999999E-2</v>
      </c>
      <c r="S4409">
        <v>-2.9980769999999999</v>
      </c>
      <c r="T4409">
        <v>-0.2246794</v>
      </c>
      <c r="U4409">
        <v>-0.15222169999999999</v>
      </c>
      <c r="V4409" s="1">
        <v>-4.7592210000000002E-5</v>
      </c>
      <c r="W4409">
        <v>-0.10228710000000001</v>
      </c>
      <c r="X4409">
        <v>0.9947549</v>
      </c>
      <c r="Y4409">
        <v>-7.1993959999999996E-2</v>
      </c>
      <c r="Z4409">
        <v>-4.470623E-3</v>
      </c>
      <c r="AA4409">
        <v>0.99739500000000003</v>
      </c>
      <c r="AB4409">
        <v>26</v>
      </c>
      <c r="AC4409">
        <v>-14.6923999999999</v>
      </c>
      <c r="AD4409">
        <v>-1.120579252835</v>
      </c>
      <c r="AE4409">
        <v>-0.76479999999997905</v>
      </c>
      <c r="AF4409">
        <v>-1.0757542636016499</v>
      </c>
      <c r="AG4409">
        <v>-1.120579252835</v>
      </c>
      <c r="AH4409">
        <v>14.5878230046056</v>
      </c>
      <c r="AI4409">
        <v>94.380761590623493</v>
      </c>
      <c r="AJ4409">
        <v>94.217546019853202</v>
      </c>
      <c r="AK4409">
        <v>14.670293968126201</v>
      </c>
      <c r="AL4409">
        <v>95.870887253782499</v>
      </c>
      <c r="AM4409">
        <v>90.002741210692804</v>
      </c>
      <c r="AN4409">
        <v>0.99999998208271901</v>
      </c>
    </row>
    <row r="4410" spans="1:40" x14ac:dyDescent="0.25">
      <c r="A4410" t="str">
        <f>"20190303154602697"</f>
        <v>20190303154602697</v>
      </c>
      <c r="B4410" t="str">
        <f>"1551599162685944"</f>
        <v>1551599162685944</v>
      </c>
      <c r="C4410" t="s">
        <v>40</v>
      </c>
      <c r="D4410">
        <v>5.2033259999999997</v>
      </c>
      <c r="E4410">
        <v>0.47246579999999999</v>
      </c>
      <c r="F4410" t="s">
        <v>41</v>
      </c>
      <c r="G4410">
        <v>-334.02820000000003</v>
      </c>
      <c r="H4410" s="1">
        <v>-3.1100829999999998E-6</v>
      </c>
      <c r="I4410">
        <v>140.76910000000001</v>
      </c>
      <c r="J4410">
        <v>-319.27940000000001</v>
      </c>
      <c r="K4410">
        <v>1.1205400000000001</v>
      </c>
      <c r="L4410">
        <v>141.54669999999999</v>
      </c>
      <c r="M4410">
        <v>-0.99970950000000003</v>
      </c>
      <c r="N4410">
        <v>-1.0907790000000001E-2</v>
      </c>
      <c r="O4410">
        <v>2.1491070000000001E-2</v>
      </c>
      <c r="P4410">
        <v>-0.9933767</v>
      </c>
      <c r="Q4410">
        <v>-0.1132119</v>
      </c>
      <c r="R4410">
        <v>1.9647919999999999E-2</v>
      </c>
      <c r="S4410">
        <v>-2.9978940000000001</v>
      </c>
      <c r="T4410">
        <v>-0.22410749999999999</v>
      </c>
      <c r="U4410">
        <v>-0.1544952</v>
      </c>
      <c r="V4410">
        <v>-1.690345E-3</v>
      </c>
      <c r="W4410">
        <v>-0.10236779999999999</v>
      </c>
      <c r="X4410">
        <v>0.9947452</v>
      </c>
      <c r="Y4410">
        <v>-7.2642769999999995E-2</v>
      </c>
      <c r="Z4410">
        <v>-4.4761439999999996E-3</v>
      </c>
      <c r="AA4410">
        <v>0.99734800000000001</v>
      </c>
      <c r="AB4410">
        <v>26</v>
      </c>
      <c r="AC4410">
        <v>-14.748799999999999</v>
      </c>
      <c r="AD4410">
        <v>-1.1205431100829999</v>
      </c>
      <c r="AE4410">
        <v>-0.77759999999997798</v>
      </c>
      <c r="AF4410">
        <v>-1.08814314314071</v>
      </c>
      <c r="AG4410">
        <v>-1.1205431100829999</v>
      </c>
      <c r="AH4410">
        <v>14.6443843029865</v>
      </c>
      <c r="AI4410">
        <v>94.363587384595903</v>
      </c>
      <c r="AJ4410">
        <v>94.249522977390001</v>
      </c>
      <c r="AK4410">
        <v>14.7274459420185</v>
      </c>
      <c r="AL4410">
        <v>95.875535208844795</v>
      </c>
      <c r="AM4410">
        <v>90.097361154597493</v>
      </c>
      <c r="AN4410">
        <v>1.00000001833304</v>
      </c>
    </row>
    <row r="4411" spans="1:40" x14ac:dyDescent="0.25">
      <c r="A4411" t="str">
        <f>"20190303154602721"</f>
        <v>20190303154602721</v>
      </c>
      <c r="B4411" t="str">
        <f>"1551599162716200"</f>
        <v>1551599162716200</v>
      </c>
      <c r="C4411" t="s">
        <v>40</v>
      </c>
      <c r="D4411">
        <v>5.1518439999999996</v>
      </c>
      <c r="E4411">
        <v>0.47224559999999999</v>
      </c>
      <c r="F4411" t="s">
        <v>41</v>
      </c>
      <c r="G4411">
        <v>-334.61290000000002</v>
      </c>
      <c r="H4411" s="1">
        <v>-2.8233920000000001E-6</v>
      </c>
      <c r="I4411">
        <v>140.7303</v>
      </c>
      <c r="J4411">
        <v>-319.54849999999999</v>
      </c>
      <c r="K4411">
        <v>1.1204909999999999</v>
      </c>
      <c r="L4411">
        <v>141.5523</v>
      </c>
      <c r="M4411">
        <v>-0.99971589999999999</v>
      </c>
      <c r="N4411">
        <v>-1.056783E-2</v>
      </c>
      <c r="O4411">
        <v>2.1369880000000001E-2</v>
      </c>
      <c r="P4411">
        <v>-0.993479</v>
      </c>
      <c r="Q4411">
        <v>-0.1125125</v>
      </c>
      <c r="R4411">
        <v>1.8456500000000001E-2</v>
      </c>
      <c r="S4411">
        <v>-2.9981689999999999</v>
      </c>
      <c r="T4411">
        <v>-0.21909980000000001</v>
      </c>
      <c r="U4411">
        <v>-0.15962219999999999</v>
      </c>
      <c r="V4411">
        <v>-2.7629099999999999E-3</v>
      </c>
      <c r="W4411">
        <v>-0.102006</v>
      </c>
      <c r="X4411">
        <v>0.99477990000000005</v>
      </c>
      <c r="Y4411">
        <v>-7.4225609999999997E-2</v>
      </c>
      <c r="Z4411">
        <v>-4.432905E-3</v>
      </c>
      <c r="AA4411">
        <v>0.9972316</v>
      </c>
      <c r="AB4411">
        <v>26</v>
      </c>
      <c r="AC4411">
        <v>-15.064399999999999</v>
      </c>
      <c r="AD4411">
        <v>-1.1204938233920001</v>
      </c>
      <c r="AE4411">
        <v>-0.82200000000000195</v>
      </c>
      <c r="AF4411">
        <v>-1.1374802871563401</v>
      </c>
      <c r="AG4411">
        <v>-1.1204938233920001</v>
      </c>
      <c r="AH4411">
        <v>14.960868340362399</v>
      </c>
      <c r="AI4411">
        <v>94.270888720210195</v>
      </c>
      <c r="AJ4411">
        <v>94.347854170513997</v>
      </c>
      <c r="AK4411">
        <v>15.0458283025424</v>
      </c>
      <c r="AL4411">
        <v>95.854696890481193</v>
      </c>
      <c r="AM4411">
        <v>90.159133367216697</v>
      </c>
      <c r="AN4411">
        <v>0.99999995357583804</v>
      </c>
    </row>
    <row r="4412" spans="1:40" x14ac:dyDescent="0.25">
      <c r="A4412" t="str">
        <f>"20190303154602742"</f>
        <v>20190303154602742</v>
      </c>
      <c r="B4412" t="str">
        <f>"1551599162735720"</f>
        <v>1551599162735720</v>
      </c>
      <c r="C4412" t="s">
        <v>40</v>
      </c>
      <c r="D4412">
        <v>5.1582509999999999</v>
      </c>
      <c r="E4412">
        <v>0.47219630000000001</v>
      </c>
      <c r="F4412" t="s">
        <v>41</v>
      </c>
      <c r="G4412">
        <v>-334.9819</v>
      </c>
      <c r="H4412" s="1">
        <v>-2.6418869999999999E-6</v>
      </c>
      <c r="I4412">
        <v>140.7037</v>
      </c>
      <c r="J4412">
        <v>-319.79430000000002</v>
      </c>
      <c r="K4412">
        <v>1.120457</v>
      </c>
      <c r="L4412">
        <v>141.5575</v>
      </c>
      <c r="M4412">
        <v>-0.99972130000000003</v>
      </c>
      <c r="N4412">
        <v>-1.027219E-2</v>
      </c>
      <c r="O4412">
        <v>2.1259239999999999E-2</v>
      </c>
      <c r="P4412">
        <v>-0.99356350000000004</v>
      </c>
      <c r="Q4412">
        <v>-0.11189200000000001</v>
      </c>
      <c r="R4412">
        <v>1.765916E-2</v>
      </c>
      <c r="S4412">
        <v>-2.9981080000000002</v>
      </c>
      <c r="T4412">
        <v>-0.21766849999999999</v>
      </c>
      <c r="U4412">
        <v>-0.164856</v>
      </c>
      <c r="V4412">
        <v>-3.4517789999999999E-3</v>
      </c>
      <c r="W4412">
        <v>-0.10167900000000001</v>
      </c>
      <c r="X4412">
        <v>0.99481129999999995</v>
      </c>
      <c r="Y4412">
        <v>-7.5851089999999996E-2</v>
      </c>
      <c r="Z4412">
        <v>-4.4607070000000004E-3</v>
      </c>
      <c r="AA4412">
        <v>0.99710920000000003</v>
      </c>
      <c r="AB4412">
        <v>26</v>
      </c>
      <c r="AC4412">
        <v>-15.1875999999999</v>
      </c>
      <c r="AD4412">
        <v>-1.1204596418870001</v>
      </c>
      <c r="AE4412">
        <v>-0.853800000000006</v>
      </c>
      <c r="AF4412">
        <v>-1.1701521440824201</v>
      </c>
      <c r="AG4412">
        <v>-1.1204596418870001</v>
      </c>
      <c r="AH4412">
        <v>15.0841751483908</v>
      </c>
      <c r="AI4412">
        <v>94.235477180496105</v>
      </c>
      <c r="AJ4412">
        <v>94.435825862450102</v>
      </c>
      <c r="AK4412">
        <v>15.170926990686199</v>
      </c>
      <c r="AL4412">
        <v>95.835862807652205</v>
      </c>
      <c r="AM4412">
        <v>90.198803104499603</v>
      </c>
      <c r="AN4412">
        <v>1.00000002821347</v>
      </c>
    </row>
    <row r="4413" spans="1:40" x14ac:dyDescent="0.25">
      <c r="A4413" t="str">
        <f>"20190303154602764"</f>
        <v>20190303154602764</v>
      </c>
      <c r="B4413" t="str">
        <f>"1551599162755240"</f>
        <v>1551599162755240</v>
      </c>
      <c r="C4413" t="s">
        <v>40</v>
      </c>
      <c r="D4413">
        <v>5.1384569999999998</v>
      </c>
      <c r="E4413">
        <v>0.4722481</v>
      </c>
      <c r="F4413" t="s">
        <v>41</v>
      </c>
      <c r="G4413">
        <v>-335.34320000000002</v>
      </c>
      <c r="H4413" s="1">
        <v>-2.466951E-6</v>
      </c>
      <c r="I4413">
        <v>140.68819999999999</v>
      </c>
      <c r="J4413">
        <v>-320.05529999999999</v>
      </c>
      <c r="K4413">
        <v>1.1204320000000001</v>
      </c>
      <c r="L4413">
        <v>141.56290000000001</v>
      </c>
      <c r="M4413">
        <v>-0.99972680000000003</v>
      </c>
      <c r="N4413">
        <v>-9.9747599999999992E-3</v>
      </c>
      <c r="O4413">
        <v>2.1142359999999999E-2</v>
      </c>
      <c r="P4413">
        <v>-0.99363789999999996</v>
      </c>
      <c r="Q4413">
        <v>-0.1113143</v>
      </c>
      <c r="R4413">
        <v>1.712431E-2</v>
      </c>
      <c r="S4413">
        <v>-2.9980769999999999</v>
      </c>
      <c r="T4413">
        <v>-0.2160417</v>
      </c>
      <c r="U4413">
        <v>-0.16761779999999901</v>
      </c>
      <c r="V4413">
        <v>-3.8717019999999999E-3</v>
      </c>
      <c r="W4413">
        <v>-0.10139670000000001</v>
      </c>
      <c r="X4413">
        <v>0.99483849999999996</v>
      </c>
      <c r="Y4413">
        <v>-7.6652880000000007E-2</v>
      </c>
      <c r="Z4413">
        <v>-4.4492799999999999E-3</v>
      </c>
      <c r="AA4413">
        <v>0.99704789999999999</v>
      </c>
      <c r="AB4413">
        <v>26</v>
      </c>
      <c r="AC4413">
        <v>-15.2879</v>
      </c>
      <c r="AD4413">
        <v>-1.12043446695099</v>
      </c>
      <c r="AE4413">
        <v>-0.87470000000001802</v>
      </c>
      <c r="AF4413">
        <v>-1.1913645375317099</v>
      </c>
      <c r="AG4413">
        <v>-1.12043446695099</v>
      </c>
      <c r="AH4413">
        <v>15.1846932841414</v>
      </c>
      <c r="AI4413">
        <v>94.207159224678193</v>
      </c>
      <c r="AJ4413">
        <v>94.486136839478903</v>
      </c>
      <c r="AK4413">
        <v>15.2725123339112</v>
      </c>
      <c r="AL4413">
        <v>95.819604572367695</v>
      </c>
      <c r="AM4413">
        <v>90.2229819857031</v>
      </c>
      <c r="AN4413">
        <v>0.99999996096475696</v>
      </c>
    </row>
    <row r="4414" spans="1:40" x14ac:dyDescent="0.25">
      <c r="A4414" t="str">
        <f>"20190303154602786"</f>
        <v>20190303154602786</v>
      </c>
      <c r="B4414" t="str">
        <f>"1551599162775736"</f>
        <v>1551599162775736</v>
      </c>
      <c r="C4414" t="s">
        <v>40</v>
      </c>
      <c r="D4414">
        <v>5.2293279999999998</v>
      </c>
      <c r="E4414">
        <v>0.4950058</v>
      </c>
      <c r="F4414" t="s">
        <v>41</v>
      </c>
      <c r="G4414">
        <v>-335.70139999999998</v>
      </c>
      <c r="H4414" s="1">
        <v>-2.295973E-6</v>
      </c>
      <c r="I4414">
        <v>140.68190000000001</v>
      </c>
      <c r="J4414">
        <v>-320.31509999999997</v>
      </c>
      <c r="K4414">
        <v>1.1204019999999999</v>
      </c>
      <c r="L4414">
        <v>141.56829999999999</v>
      </c>
      <c r="M4414">
        <v>-0.99973190000000001</v>
      </c>
      <c r="N4414">
        <v>-9.700162E-3</v>
      </c>
      <c r="O4414">
        <v>2.102586E-2</v>
      </c>
      <c r="P4414">
        <v>-0.993672</v>
      </c>
      <c r="Q4414">
        <v>-0.1109549</v>
      </c>
      <c r="R4414">
        <v>1.746702E-2</v>
      </c>
      <c r="S4414">
        <v>-2.9980769999999999</v>
      </c>
      <c r="T4414">
        <v>-0.21469579999999999</v>
      </c>
      <c r="U4414">
        <v>-0.16880800000000001</v>
      </c>
      <c r="V4414">
        <v>-3.413485E-3</v>
      </c>
      <c r="W4414">
        <v>-0.1013101</v>
      </c>
      <c r="X4414">
        <v>0.99484899999999998</v>
      </c>
      <c r="Y4414">
        <v>-7.6934230000000006E-2</v>
      </c>
      <c r="Z4414">
        <v>-4.4221249999999998E-3</v>
      </c>
      <c r="AA4414">
        <v>0.99702639999999998</v>
      </c>
      <c r="AB4414">
        <v>26</v>
      </c>
      <c r="AC4414">
        <v>-15.3863</v>
      </c>
      <c r="AD4414">
        <v>-1.1204042959729901</v>
      </c>
      <c r="AE4414">
        <v>-0.88639999999997998</v>
      </c>
      <c r="AF4414">
        <v>-1.20336966236589</v>
      </c>
      <c r="AG4414">
        <v>-1.1204042959729901</v>
      </c>
      <c r="AH4414">
        <v>15.283487362172201</v>
      </c>
      <c r="AI4414">
        <v>94.179857692687193</v>
      </c>
      <c r="AJ4414">
        <v>94.501986290887203</v>
      </c>
      <c r="AK4414">
        <v>15.3716749341253</v>
      </c>
      <c r="AL4414">
        <v>95.814617077058003</v>
      </c>
      <c r="AM4414">
        <v>90.196590152306399</v>
      </c>
      <c r="AN4414">
        <v>0.99999996052142603</v>
      </c>
    </row>
    <row r="4415" spans="1:40" x14ac:dyDescent="0.25">
      <c r="A4415" t="str">
        <f>"20190303154602808"</f>
        <v>20190303154602808</v>
      </c>
      <c r="B4415" t="str">
        <f>"1551599162805992"</f>
        <v>1551599162805992</v>
      </c>
      <c r="C4415" t="s">
        <v>40</v>
      </c>
      <c r="D4415">
        <v>5.2007190000000003</v>
      </c>
      <c r="E4415">
        <v>0.49969059999999998</v>
      </c>
      <c r="F4415" t="s">
        <v>41</v>
      </c>
      <c r="G4415">
        <v>-341.37939999999998</v>
      </c>
      <c r="H4415" s="1">
        <v>-4.1704279999999998E-6</v>
      </c>
      <c r="I4415">
        <v>141.66739999999999</v>
      </c>
      <c r="J4415">
        <v>-320.57979999999998</v>
      </c>
      <c r="K4415">
        <v>1.120379</v>
      </c>
      <c r="L4415">
        <v>141.5737</v>
      </c>
      <c r="M4415">
        <v>-0.99973679999999998</v>
      </c>
      <c r="N4415">
        <v>-9.4399960000000008E-3</v>
      </c>
      <c r="O4415">
        <v>2.0907510000000001E-2</v>
      </c>
      <c r="P4415">
        <v>-0.99370910000000001</v>
      </c>
      <c r="Q4415">
        <v>-0.11051519999999999</v>
      </c>
      <c r="R4415">
        <v>1.812267E-2</v>
      </c>
      <c r="S4415">
        <v>-3.0010379999999999</v>
      </c>
      <c r="T4415">
        <v>-0.1596253</v>
      </c>
      <c r="U4415">
        <v>1.4129640000000001E-2</v>
      </c>
      <c r="V4415">
        <v>-2.6412409999999999E-3</v>
      </c>
      <c r="W4415">
        <v>-0.1011286</v>
      </c>
      <c r="X4415">
        <v>0.99486980000000003</v>
      </c>
      <c r="Y4415">
        <v>-1.6154169999999999E-2</v>
      </c>
      <c r="Z4415">
        <v>-1.419565E-3</v>
      </c>
      <c r="AA4415">
        <v>0.99986850000000005</v>
      </c>
      <c r="AB4415">
        <v>26</v>
      </c>
      <c r="AC4415">
        <v>-20.799600000000002</v>
      </c>
      <c r="AD4415">
        <v>-1.1203831704279901</v>
      </c>
      <c r="AE4415">
        <v>9.3699999999984102E-2</v>
      </c>
      <c r="AF4415">
        <v>-0.34022059477778299</v>
      </c>
      <c r="AG4415">
        <v>-1.1203831704279901</v>
      </c>
      <c r="AH4415">
        <v>20.736845395921101</v>
      </c>
      <c r="AI4415">
        <v>93.092189787177702</v>
      </c>
      <c r="AJ4415">
        <v>90.939943133215806</v>
      </c>
      <c r="AK4415">
        <v>20.769876395299601</v>
      </c>
      <c r="AL4415">
        <v>95.804164301866905</v>
      </c>
      <c r="AM4415">
        <v>90.152111971269704</v>
      </c>
      <c r="AN4415">
        <v>0.99999994442200801</v>
      </c>
    </row>
    <row r="4416" spans="1:40" x14ac:dyDescent="0.25">
      <c r="A4416" t="str">
        <f>"20190303154602832"</f>
        <v>20190303154602832</v>
      </c>
      <c r="B4416" t="str">
        <f>"1551599162825513"</f>
        <v>1551599162825513</v>
      </c>
      <c r="C4416" t="s">
        <v>40</v>
      </c>
      <c r="D4416">
        <v>5.1831379999999996</v>
      </c>
      <c r="E4416">
        <v>0.50077680000000002</v>
      </c>
      <c r="F4416" t="s">
        <v>41</v>
      </c>
      <c r="G4416">
        <v>-343.029</v>
      </c>
      <c r="H4416" s="1">
        <v>-3.600174E-6</v>
      </c>
      <c r="I4416">
        <v>141.97399999999999</v>
      </c>
      <c r="J4416">
        <v>-320.8519</v>
      </c>
      <c r="K4416">
        <v>1.1203529999999999</v>
      </c>
      <c r="L4416">
        <v>141.57929999999999</v>
      </c>
      <c r="M4416">
        <v>-0.99974189999999996</v>
      </c>
      <c r="N4416">
        <v>-9.1860290000000001E-3</v>
      </c>
      <c r="O4416">
        <v>2.0785290000000001E-2</v>
      </c>
      <c r="P4416">
        <v>-0.99364629999999998</v>
      </c>
      <c r="Q4416">
        <v>-0.1109134</v>
      </c>
      <c r="R4416">
        <v>1.9111889999999999E-2</v>
      </c>
      <c r="S4416">
        <v>-3.0012819999999998</v>
      </c>
      <c r="T4416">
        <v>-0.1497869</v>
      </c>
      <c r="U4416">
        <v>5.3527829999999998E-2</v>
      </c>
      <c r="V4416">
        <v>-1.528691E-3</v>
      </c>
      <c r="W4416">
        <v>-0.1017797</v>
      </c>
      <c r="X4416">
        <v>0.99480579999999996</v>
      </c>
      <c r="Y4416">
        <v>-2.9330300000000001E-3</v>
      </c>
      <c r="Z4416">
        <v>-9.3229019999999997E-4</v>
      </c>
      <c r="AA4416">
        <v>0.99999530000000003</v>
      </c>
      <c r="AB4416">
        <v>26</v>
      </c>
      <c r="AC4416">
        <v>-22.177099999999999</v>
      </c>
      <c r="AD4416">
        <v>-1.120356600174</v>
      </c>
      <c r="AE4416">
        <v>0.3947</v>
      </c>
      <c r="AF4416">
        <v>-6.61932373332033E-2</v>
      </c>
      <c r="AG4416">
        <v>-1.120356600174</v>
      </c>
      <c r="AH4416">
        <v>22.1240671624664</v>
      </c>
      <c r="AI4416">
        <v>92.898953040529193</v>
      </c>
      <c r="AJ4416">
        <v>90.171423354811097</v>
      </c>
      <c r="AK4416">
        <v>22.152515167933998</v>
      </c>
      <c r="AL4416">
        <v>95.841662676272193</v>
      </c>
      <c r="AM4416">
        <v>90.088044795816103</v>
      </c>
      <c r="AN4416">
        <v>1.00000001197095</v>
      </c>
    </row>
    <row r="4417" spans="1:40" x14ac:dyDescent="0.25">
      <c r="A4417" t="str">
        <f>"20190303154602856"</f>
        <v>20190303154602856</v>
      </c>
      <c r="B4417" t="str">
        <f>"1551599162846008"</f>
        <v>1551599162846008</v>
      </c>
      <c r="C4417" t="s">
        <v>40</v>
      </c>
      <c r="D4417">
        <v>5.1675899999999997</v>
      </c>
      <c r="E4417">
        <v>0.50145919999999999</v>
      </c>
      <c r="F4417" t="s">
        <v>41</v>
      </c>
      <c r="G4417">
        <v>-343.4828</v>
      </c>
      <c r="H4417" s="1">
        <v>-3.4313040000000002E-6</v>
      </c>
      <c r="I4417">
        <v>142.0711</v>
      </c>
      <c r="J4417">
        <v>-321.1413</v>
      </c>
      <c r="K4417">
        <v>1.120325</v>
      </c>
      <c r="L4417">
        <v>141.58519999999999</v>
      </c>
      <c r="M4417">
        <v>-0.99974689999999999</v>
      </c>
      <c r="N4417">
        <v>-8.9302789999999993E-3</v>
      </c>
      <c r="O4417">
        <v>2.0655369999999999E-2</v>
      </c>
      <c r="P4417">
        <v>-0.99360570000000004</v>
      </c>
      <c r="Q4417">
        <v>-0.1111463</v>
      </c>
      <c r="R4417">
        <v>1.9862939999999999E-2</v>
      </c>
      <c r="S4417">
        <v>-3.0013429999999999</v>
      </c>
      <c r="T4417">
        <v>-0.14858350000000001</v>
      </c>
      <c r="U4417">
        <v>6.5231319999999995E-2</v>
      </c>
      <c r="V4417">
        <v>-6.4729619999999996E-4</v>
      </c>
      <c r="W4417">
        <v>-0.102267</v>
      </c>
      <c r="X4417">
        <v>0.9947568</v>
      </c>
      <c r="Y4417">
        <v>1.0883760000000001E-3</v>
      </c>
      <c r="Z4417">
        <v>-8.0554750000000005E-4</v>
      </c>
      <c r="AA4417">
        <v>0.99999910000000003</v>
      </c>
      <c r="AB4417">
        <v>26</v>
      </c>
      <c r="AC4417">
        <v>-22.3415</v>
      </c>
      <c r="AD4417">
        <v>-1.1203284313040001</v>
      </c>
      <c r="AE4417">
        <v>0.48590000000001499</v>
      </c>
      <c r="AF4417">
        <v>2.4245098437302999E-2</v>
      </c>
      <c r="AG4417">
        <v>-1.1203284313040001</v>
      </c>
      <c r="AH4417">
        <v>22.290744581231699</v>
      </c>
      <c r="AI4417">
        <v>92.877251828274396</v>
      </c>
      <c r="AJ4417">
        <v>89.9376808046284</v>
      </c>
      <c r="AK4417">
        <v>22.318893736126199</v>
      </c>
      <c r="AL4417">
        <v>95.869729286362002</v>
      </c>
      <c r="AM4417">
        <v>90.037282816383197</v>
      </c>
      <c r="AN4417">
        <v>1.0000000247137999</v>
      </c>
    </row>
    <row r="4418" spans="1:40" x14ac:dyDescent="0.25">
      <c r="A4418" t="str">
        <f>"20190303154602881"</f>
        <v>20190303154602881</v>
      </c>
      <c r="B4418" t="str">
        <f>"1551599162875288"</f>
        <v>1551599162875288</v>
      </c>
      <c r="C4418" t="s">
        <v>40</v>
      </c>
      <c r="D4418">
        <v>5.152266</v>
      </c>
      <c r="E4418">
        <v>0.50212579999999996</v>
      </c>
      <c r="F4418" t="s">
        <v>41</v>
      </c>
      <c r="G4418">
        <v>-343.87610000000001</v>
      </c>
      <c r="H4418" s="1">
        <v>-3.2803580000000001E-6</v>
      </c>
      <c r="I4418">
        <v>142.1378</v>
      </c>
      <c r="J4418">
        <v>-321.4332</v>
      </c>
      <c r="K4418">
        <v>1.120303</v>
      </c>
      <c r="L4418">
        <v>141.59110000000001</v>
      </c>
      <c r="M4418">
        <v>-0.99975159999999996</v>
      </c>
      <c r="N4418">
        <v>-8.6933189999999997E-3</v>
      </c>
      <c r="O4418">
        <v>2.052466E-2</v>
      </c>
      <c r="P4418">
        <v>-0.99356440000000001</v>
      </c>
      <c r="Q4418">
        <v>-0.1113596</v>
      </c>
      <c r="R4418">
        <v>2.071655E-2</v>
      </c>
      <c r="S4418">
        <v>-3.001312</v>
      </c>
      <c r="T4418">
        <v>-0.14789939999999999</v>
      </c>
      <c r="U4418">
        <v>7.2967530000000003E-2</v>
      </c>
      <c r="V4418">
        <v>3.368628E-4</v>
      </c>
      <c r="W4418">
        <v>-0.102716</v>
      </c>
      <c r="X4418">
        <v>0.99471069999999995</v>
      </c>
      <c r="Y4418">
        <v>3.7916680000000002E-3</v>
      </c>
      <c r="Z4418">
        <v>-7.2235609999999999E-4</v>
      </c>
      <c r="AA4418">
        <v>0.99999249999999995</v>
      </c>
      <c r="AB4418">
        <v>27</v>
      </c>
      <c r="AC4418">
        <v>-22.442900000000002</v>
      </c>
      <c r="AD4418">
        <v>-1.120306280358</v>
      </c>
      <c r="AE4418">
        <v>0.54669999999998697</v>
      </c>
      <c r="AF4418">
        <v>8.5721076601324206E-2</v>
      </c>
      <c r="AG4418">
        <v>-1.120306280358</v>
      </c>
      <c r="AH4418">
        <v>22.393625579483601</v>
      </c>
      <c r="AI4418">
        <v>92.863979401316001</v>
      </c>
      <c r="AJ4418">
        <v>89.780677233430893</v>
      </c>
      <c r="AK4418">
        <v>22.4217952193593</v>
      </c>
      <c r="AL4418">
        <v>95.895591231848599</v>
      </c>
      <c r="AM4418">
        <v>89.980596553372607</v>
      </c>
      <c r="AN4418">
        <v>1.00000003341351</v>
      </c>
    </row>
    <row r="4419" spans="1:40" x14ac:dyDescent="0.25">
      <c r="A4419" t="str">
        <f>"20190303154602898"</f>
        <v>20190303154602898</v>
      </c>
      <c r="B4419" t="str">
        <f>"1551599162895786"</f>
        <v>1551599162895786</v>
      </c>
      <c r="C4419" t="s">
        <v>40</v>
      </c>
      <c r="D4419">
        <v>5.1914239999999996</v>
      </c>
      <c r="E4419">
        <v>0.50252359999999996</v>
      </c>
      <c r="F4419" t="s">
        <v>41</v>
      </c>
      <c r="G4419">
        <v>-344.28210000000001</v>
      </c>
      <c r="H4419" s="1">
        <v>-3.1251930000000002E-6</v>
      </c>
      <c r="I4419">
        <v>142.20930000000001</v>
      </c>
      <c r="J4419">
        <v>-321.64929999999998</v>
      </c>
      <c r="K4419">
        <v>1.1202939999999999</v>
      </c>
      <c r="L4419">
        <v>141.59540000000001</v>
      </c>
      <c r="M4419">
        <v>-0.99975499999999995</v>
      </c>
      <c r="N4419">
        <v>-8.5372650000000005E-3</v>
      </c>
      <c r="O4419">
        <v>2.0427239999999999E-2</v>
      </c>
      <c r="P4419">
        <v>-0.9934984</v>
      </c>
      <c r="Q4419">
        <v>-0.1118234</v>
      </c>
      <c r="R4419">
        <v>2.136617E-2</v>
      </c>
      <c r="S4419">
        <v>-3.0012509999999999</v>
      </c>
      <c r="T4419">
        <v>-0.14715490000000001</v>
      </c>
      <c r="U4419">
        <v>8.1222530000000001E-2</v>
      </c>
      <c r="V4419">
        <v>1.0846479999999999E-3</v>
      </c>
      <c r="W4419">
        <v>-0.10333539999999999</v>
      </c>
      <c r="X4419">
        <v>0.99464600000000003</v>
      </c>
      <c r="Y4419">
        <v>6.6341969999999997E-3</v>
      </c>
      <c r="Z4419">
        <v>-6.3550930000000002E-4</v>
      </c>
      <c r="AA4419">
        <v>0.99997780000000003</v>
      </c>
      <c r="AB4419">
        <v>27</v>
      </c>
      <c r="AC4419">
        <v>-22.6328</v>
      </c>
      <c r="AD4419">
        <v>-1.1202971251930001</v>
      </c>
      <c r="AE4419">
        <v>0.613900000000001</v>
      </c>
      <c r="AF4419">
        <v>0.15105961493138501</v>
      </c>
      <c r="AG4419">
        <v>-1.1202971251930001</v>
      </c>
      <c r="AH4419">
        <v>22.5853214986968</v>
      </c>
      <c r="AI4419">
        <v>92.839645145477405</v>
      </c>
      <c r="AJ4419">
        <v>89.616788747783602</v>
      </c>
      <c r="AK4419">
        <v>22.6135939614975</v>
      </c>
      <c r="AL4419">
        <v>95.931270155198405</v>
      </c>
      <c r="AM4419">
        <v>89.937519752732499</v>
      </c>
      <c r="AN4419">
        <v>1.00000002333522</v>
      </c>
    </row>
    <row r="4420" spans="1:40" x14ac:dyDescent="0.25">
      <c r="A4420" t="str">
        <f>"20190303154602921"</f>
        <v>20190303154602921</v>
      </c>
      <c r="B4420" t="str">
        <f>"1551599162915304"</f>
        <v>1551599162915304</v>
      </c>
      <c r="C4420" t="s">
        <v>40</v>
      </c>
      <c r="D4420">
        <v>5.1420409999999999</v>
      </c>
      <c r="E4420">
        <v>0.50270809999999999</v>
      </c>
      <c r="F4420" t="s">
        <v>41</v>
      </c>
      <c r="G4420">
        <v>-344.44670000000002</v>
      </c>
      <c r="H4420" s="1">
        <v>-3.0660750000000001E-6</v>
      </c>
      <c r="I4420">
        <v>142.2525</v>
      </c>
      <c r="J4420">
        <v>-321.91480000000001</v>
      </c>
      <c r="K4420">
        <v>1.120276</v>
      </c>
      <c r="L4420">
        <v>141.60069999999999</v>
      </c>
      <c r="M4420">
        <v>-0.99975899999999995</v>
      </c>
      <c r="N4420">
        <v>-8.359956E-3</v>
      </c>
      <c r="O4420">
        <v>2.0304869999999999E-2</v>
      </c>
      <c r="P4420">
        <v>-0.99343899999999996</v>
      </c>
      <c r="Q4420">
        <v>-0.112219899999999</v>
      </c>
      <c r="R4420">
        <v>2.204335E-2</v>
      </c>
      <c r="S4420">
        <v>-3.0011290000000002</v>
      </c>
      <c r="T4420">
        <v>-0.14747969999999999</v>
      </c>
      <c r="U4420">
        <v>8.6517330000000003E-2</v>
      </c>
      <c r="V4420">
        <v>1.885341E-3</v>
      </c>
      <c r="W4420">
        <v>-0.1039085</v>
      </c>
      <c r="X4420">
        <v>0.9945851</v>
      </c>
      <c r="Y4420">
        <v>8.5180410000000005E-3</v>
      </c>
      <c r="Z4420">
        <v>-5.8246190000000003E-4</v>
      </c>
      <c r="AA4420">
        <v>0.99996350000000001</v>
      </c>
      <c r="AB4420">
        <v>27</v>
      </c>
      <c r="AC4420">
        <v>-22.5319</v>
      </c>
      <c r="AD4420">
        <v>-1.1202790660749999</v>
      </c>
      <c r="AE4420">
        <v>0.65180000000000804</v>
      </c>
      <c r="AF4420">
        <v>0.19366403098557899</v>
      </c>
      <c r="AG4420">
        <v>-1.1202790660749999</v>
      </c>
      <c r="AH4420">
        <v>22.484952164779202</v>
      </c>
      <c r="AI4420">
        <v>92.852212164447593</v>
      </c>
      <c r="AJ4420">
        <v>89.506520753864606</v>
      </c>
      <c r="AK4420">
        <v>22.5136759503017</v>
      </c>
      <c r="AL4420">
        <v>95.964284072159998</v>
      </c>
      <c r="AM4420">
        <v>89.891389934499003</v>
      </c>
      <c r="AN4420">
        <v>1.00000002601247</v>
      </c>
    </row>
    <row r="4421" spans="1:40" x14ac:dyDescent="0.25">
      <c r="A4421" t="str">
        <f>"20190303154602943"</f>
        <v>20190303154602943</v>
      </c>
      <c r="B4421" t="str">
        <f>"1551599162935800"</f>
        <v>1551599162935800</v>
      </c>
      <c r="C4421" t="s">
        <v>40</v>
      </c>
      <c r="D4421">
        <v>5.1768359999999998</v>
      </c>
      <c r="E4421">
        <v>0.50269160000000002</v>
      </c>
      <c r="F4421" t="s">
        <v>41</v>
      </c>
      <c r="G4421">
        <v>-344.476</v>
      </c>
      <c r="H4421" s="1">
        <v>-3.0600820000000001E-6</v>
      </c>
      <c r="I4421">
        <v>142.27719999999999</v>
      </c>
      <c r="J4421">
        <v>-322.18049999999999</v>
      </c>
      <c r="K4421">
        <v>1.120261</v>
      </c>
      <c r="L4421">
        <v>141.60599999999999</v>
      </c>
      <c r="M4421">
        <v>-0.99976290000000001</v>
      </c>
      <c r="N4421">
        <v>-8.1897150000000002E-3</v>
      </c>
      <c r="O4421">
        <v>2.0176759999999998E-2</v>
      </c>
      <c r="P4421">
        <v>-0.99347549999999996</v>
      </c>
      <c r="Q4421">
        <v>-0.1118784</v>
      </c>
      <c r="R4421">
        <v>2.213099E-2</v>
      </c>
      <c r="S4421">
        <v>-3.0009769999999998</v>
      </c>
      <c r="T4421">
        <v>-0.14901410000000001</v>
      </c>
      <c r="U4421">
        <v>8.9996339999999994E-2</v>
      </c>
      <c r="V4421">
        <v>2.1004489999999999E-3</v>
      </c>
      <c r="W4421">
        <v>-0.10373599999999999</v>
      </c>
      <c r="X4421">
        <v>0.99460269999999995</v>
      </c>
      <c r="Y4421">
        <v>9.8043209999999995E-3</v>
      </c>
      <c r="Z4421">
        <v>-5.5237039999999997E-4</v>
      </c>
      <c r="AA4421">
        <v>0.99995179999999995</v>
      </c>
      <c r="AB4421">
        <v>27</v>
      </c>
      <c r="AC4421">
        <v>-22.295500000000001</v>
      </c>
      <c r="AD4421">
        <v>-1.120264060082</v>
      </c>
      <c r="AE4421">
        <v>0.67119999999999802</v>
      </c>
      <c r="AF4421">
        <v>0.220640777784188</v>
      </c>
      <c r="AG4421">
        <v>-1.120264060082</v>
      </c>
      <c r="AH4421">
        <v>22.2483848654181</v>
      </c>
      <c r="AI4421">
        <v>92.882415575406796</v>
      </c>
      <c r="AJ4421">
        <v>89.431807251790602</v>
      </c>
      <c r="AK4421">
        <v>22.277663769724501</v>
      </c>
      <c r="AL4421">
        <v>95.954346703741706</v>
      </c>
      <c r="AM4421">
        <v>89.879000244146397</v>
      </c>
      <c r="AN4421">
        <v>1.00000005021464</v>
      </c>
    </row>
    <row r="4422" spans="1:40" x14ac:dyDescent="0.25">
      <c r="A4422" t="str">
        <f>"20190303154602965"</f>
        <v>20190303154602965</v>
      </c>
      <c r="B4422" t="str">
        <f>"1551599162955320"</f>
        <v>1551599162955320</v>
      </c>
      <c r="C4422" t="s">
        <v>40</v>
      </c>
      <c r="D4422">
        <v>5.1645789999999998</v>
      </c>
      <c r="E4422">
        <v>0.50261319999999998</v>
      </c>
      <c r="F4422" t="s">
        <v>41</v>
      </c>
      <c r="G4422">
        <v>-344.9058</v>
      </c>
      <c r="H4422" s="1">
        <v>-2.8789169999999999E-6</v>
      </c>
      <c r="I4422">
        <v>142.28919999999999</v>
      </c>
      <c r="J4422">
        <v>-322.45100000000002</v>
      </c>
      <c r="K4422">
        <v>1.120244</v>
      </c>
      <c r="L4422">
        <v>141.6113</v>
      </c>
      <c r="M4422">
        <v>-0.99976719999999997</v>
      </c>
      <c r="N4422">
        <v>-8.0218689999999992E-3</v>
      </c>
      <c r="O4422">
        <v>2.0036499999999999E-2</v>
      </c>
      <c r="P4422">
        <v>-0.99349549999999998</v>
      </c>
      <c r="Q4422">
        <v>-0.1117908</v>
      </c>
      <c r="R4422">
        <v>2.167956E-2</v>
      </c>
      <c r="S4422">
        <v>-3.0010379999999999</v>
      </c>
      <c r="T4422">
        <v>-0.14793919999999999</v>
      </c>
      <c r="U4422">
        <v>9.0240479999999998E-2</v>
      </c>
      <c r="V4422">
        <v>1.7898460000000001E-3</v>
      </c>
      <c r="W4422">
        <v>-0.1038152</v>
      </c>
      <c r="X4422">
        <v>0.99459500000000001</v>
      </c>
      <c r="Y4422">
        <v>1.002494E-2</v>
      </c>
      <c r="Z4422">
        <v>-5.3900209999999896E-4</v>
      </c>
      <c r="AA4422">
        <v>0.99994959999999999</v>
      </c>
      <c r="AB4422">
        <v>27</v>
      </c>
      <c r="AC4422">
        <v>-22.454799999999999</v>
      </c>
      <c r="AD4422">
        <v>-1.1202468789169999</v>
      </c>
      <c r="AE4422">
        <v>0.67789999999999395</v>
      </c>
      <c r="AF4422">
        <v>0.227268748829284</v>
      </c>
      <c r="AG4422">
        <v>-1.1202468789169999</v>
      </c>
      <c r="AH4422">
        <v>22.408153987876702</v>
      </c>
      <c r="AI4422">
        <v>92.861848103483297</v>
      </c>
      <c r="AJ4422">
        <v>89.418912701546603</v>
      </c>
      <c r="AK4422">
        <v>22.437289704826402</v>
      </c>
      <c r="AL4422">
        <v>95.958909423635006</v>
      </c>
      <c r="AM4422">
        <v>89.896892191217006</v>
      </c>
      <c r="AN4422">
        <v>1.00000000666237</v>
      </c>
    </row>
    <row r="4423" spans="1:40" x14ac:dyDescent="0.25">
      <c r="A4423" t="str">
        <f>"20190303154602988"</f>
        <v>20190303154602988</v>
      </c>
      <c r="B4423" t="str">
        <f>"1551599162985576"</f>
        <v>1551599162985576</v>
      </c>
      <c r="C4423" t="s">
        <v>40</v>
      </c>
      <c r="D4423">
        <v>5.1548170000000004</v>
      </c>
      <c r="E4423">
        <v>0.50251570000000001</v>
      </c>
      <c r="F4423" t="s">
        <v>41</v>
      </c>
      <c r="G4423">
        <v>-345.16629999999998</v>
      </c>
      <c r="H4423" s="1">
        <v>-2.7647220000000002E-6</v>
      </c>
      <c r="I4423">
        <v>142.28</v>
      </c>
      <c r="J4423">
        <v>-322.72919999999999</v>
      </c>
      <c r="K4423">
        <v>1.1202259999999999</v>
      </c>
      <c r="L4423">
        <v>141.61670000000001</v>
      </c>
      <c r="M4423">
        <v>-0.99977159999999998</v>
      </c>
      <c r="N4423">
        <v>-7.8586379999999994E-3</v>
      </c>
      <c r="O4423">
        <v>1.988272E-2</v>
      </c>
      <c r="P4423">
        <v>-0.99350919999999998</v>
      </c>
      <c r="Q4423">
        <v>-0.11182930000000001</v>
      </c>
      <c r="R4423">
        <v>2.08349E-2</v>
      </c>
      <c r="S4423">
        <v>-3.001099</v>
      </c>
      <c r="T4423">
        <v>-0.148005</v>
      </c>
      <c r="U4423">
        <v>8.8363650000000002E-2</v>
      </c>
      <c r="V4423">
        <v>1.1000750000000001E-3</v>
      </c>
      <c r="W4423">
        <v>-0.1040162</v>
      </c>
      <c r="X4423">
        <v>0.99457499999999999</v>
      </c>
      <c r="Y4423">
        <v>9.554079E-3</v>
      </c>
      <c r="Z4423">
        <v>-5.5049730000000005E-4</v>
      </c>
      <c r="AA4423">
        <v>0.99995420000000002</v>
      </c>
      <c r="AB4423">
        <v>27</v>
      </c>
      <c r="AC4423">
        <v>-22.437099999999901</v>
      </c>
      <c r="AD4423">
        <v>-1.1202287647219999</v>
      </c>
      <c r="AE4423">
        <v>0.66329999999999201</v>
      </c>
      <c r="AF4423">
        <v>0.216505367406962</v>
      </c>
      <c r="AG4423">
        <v>-1.1202287647219999</v>
      </c>
      <c r="AH4423">
        <v>22.390088635315099</v>
      </c>
      <c r="AI4423">
        <v>92.864120478157005</v>
      </c>
      <c r="AJ4423">
        <v>89.445984453751095</v>
      </c>
      <c r="AK4423">
        <v>22.419140397363499</v>
      </c>
      <c r="AL4423">
        <v>95.970488571472501</v>
      </c>
      <c r="AM4423">
        <v>89.936626570198996</v>
      </c>
      <c r="AN4423">
        <v>1.0000000053262199</v>
      </c>
    </row>
    <row r="4424" spans="1:40" x14ac:dyDescent="0.25">
      <c r="A4424" t="str">
        <f>"20190303154603009"</f>
        <v>20190303154603009</v>
      </c>
      <c r="B4424" t="str">
        <f>"1551599163006072"</f>
        <v>1551599163006072</v>
      </c>
      <c r="C4424" t="s">
        <v>40</v>
      </c>
      <c r="D4424">
        <v>5.1470890000000002</v>
      </c>
      <c r="E4424">
        <v>0.50247299999999995</v>
      </c>
      <c r="F4424" t="s">
        <v>41</v>
      </c>
      <c r="G4424">
        <v>-345.46690000000001</v>
      </c>
      <c r="H4424" s="1">
        <v>-2.6304369999999998E-6</v>
      </c>
      <c r="I4424">
        <v>142.26009999999999</v>
      </c>
      <c r="J4424">
        <v>-322.99079999999998</v>
      </c>
      <c r="K4424">
        <v>1.120215</v>
      </c>
      <c r="L4424">
        <v>141.62180000000001</v>
      </c>
      <c r="M4424">
        <v>-0.99977590000000005</v>
      </c>
      <c r="N4424">
        <v>-7.7045450000000001E-3</v>
      </c>
      <c r="O4424">
        <v>1.9725550000000001E-2</v>
      </c>
      <c r="P4424">
        <v>-0.99350890000000003</v>
      </c>
      <c r="Q4424">
        <v>-0.11197409999999999</v>
      </c>
      <c r="R4424">
        <v>2.0055280000000002E-2</v>
      </c>
      <c r="S4424">
        <v>-3.0011899999999998</v>
      </c>
      <c r="T4424">
        <v>-0.14786160000000001</v>
      </c>
      <c r="U4424">
        <v>8.4930420000000006E-2</v>
      </c>
      <c r="V4424">
        <v>4.7922760000000003E-4</v>
      </c>
      <c r="W4424">
        <v>-0.10431459999999999</v>
      </c>
      <c r="X4424">
        <v>0.99454430000000005</v>
      </c>
      <c r="Y4424">
        <v>8.5688480000000004E-3</v>
      </c>
      <c r="Z4424">
        <v>-5.750916E-4</v>
      </c>
      <c r="AA4424">
        <v>0.99996309999999999</v>
      </c>
      <c r="AB4424">
        <v>27</v>
      </c>
      <c r="AC4424">
        <v>-22.476099999999999</v>
      </c>
      <c r="AD4424">
        <v>-1.120217630437</v>
      </c>
      <c r="AE4424">
        <v>0.63829999999998599</v>
      </c>
      <c r="AF4424">
        <v>0.194326942995734</v>
      </c>
      <c r="AG4424">
        <v>-1.120217630437</v>
      </c>
      <c r="AH4424">
        <v>22.428648496096098</v>
      </c>
      <c r="AI4424">
        <v>92.8592025286504</v>
      </c>
      <c r="AJ4424">
        <v>89.503588676535301</v>
      </c>
      <c r="AK4424">
        <v>22.4574469577855</v>
      </c>
      <c r="AL4424">
        <v>95.987678790105406</v>
      </c>
      <c r="AM4424">
        <v>89.972391660400504</v>
      </c>
      <c r="AN4424">
        <v>1.0000000650473599</v>
      </c>
    </row>
    <row r="4425" spans="1:40" x14ac:dyDescent="0.25">
      <c r="A4425" t="str">
        <f>"20190303154603032"</f>
        <v>20190303154603032</v>
      </c>
      <c r="B4425" t="str">
        <f>"1551599163025592"</f>
        <v>1551599163025592</v>
      </c>
      <c r="C4425" t="s">
        <v>40</v>
      </c>
      <c r="D4425">
        <v>5.143548</v>
      </c>
      <c r="E4425">
        <v>0.50236890000000001</v>
      </c>
      <c r="F4425" t="s">
        <v>41</v>
      </c>
      <c r="G4425">
        <v>-345.70819999999998</v>
      </c>
      <c r="H4425" s="1">
        <v>-2.5227450000000002E-6</v>
      </c>
      <c r="I4425">
        <v>142.24440000000001</v>
      </c>
      <c r="J4425">
        <v>-323.26130000000001</v>
      </c>
      <c r="K4425">
        <v>1.1202049999999999</v>
      </c>
      <c r="L4425">
        <v>141.62700000000001</v>
      </c>
      <c r="M4425">
        <v>-0.99978049999999996</v>
      </c>
      <c r="N4425">
        <v>-7.541051E-3</v>
      </c>
      <c r="O4425">
        <v>1.9545010000000002E-2</v>
      </c>
      <c r="P4425">
        <v>-0.99356750000000005</v>
      </c>
      <c r="Q4425">
        <v>-0.11151659999999999</v>
      </c>
      <c r="R4425">
        <v>1.969044E-2</v>
      </c>
      <c r="S4425">
        <v>-3.0012210000000001</v>
      </c>
      <c r="T4425">
        <v>-0.1479936</v>
      </c>
      <c r="U4425">
        <v>8.2260130000000001E-2</v>
      </c>
      <c r="V4425">
        <v>2.959897E-4</v>
      </c>
      <c r="W4425">
        <v>-0.1040194</v>
      </c>
      <c r="X4425">
        <v>0.99457519999999999</v>
      </c>
      <c r="Y4425">
        <v>7.8611569999999902E-3</v>
      </c>
      <c r="Z4425">
        <v>-5.9226999999999999E-4</v>
      </c>
      <c r="AA4425">
        <v>0.99996890000000005</v>
      </c>
      <c r="AB4425">
        <v>27</v>
      </c>
      <c r="AC4425">
        <v>-22.4468999999999</v>
      </c>
      <c r="AD4425">
        <v>-1.1202075227449999</v>
      </c>
      <c r="AE4425">
        <v>0.61740000000000295</v>
      </c>
      <c r="AF4425">
        <v>0.17810145536632799</v>
      </c>
      <c r="AG4425">
        <v>-1.1202075227449999</v>
      </c>
      <c r="AH4425">
        <v>22.3989372526725</v>
      </c>
      <c r="AI4425">
        <v>92.862979971251605</v>
      </c>
      <c r="AJ4425">
        <v>89.544431659593101</v>
      </c>
      <c r="AK4425">
        <v>22.427638642344299</v>
      </c>
      <c r="AL4425">
        <v>95.970673094774</v>
      </c>
      <c r="AM4425">
        <v>89.982948539146506</v>
      </c>
      <c r="AN4425">
        <v>0.99999997582065003</v>
      </c>
    </row>
    <row r="4426" spans="1:40" x14ac:dyDescent="0.25">
      <c r="A4426" t="str">
        <f>"20190303154603055"</f>
        <v>20190303154603055</v>
      </c>
      <c r="B4426" t="str">
        <f>"1551599163046088"</f>
        <v>1551599163046088</v>
      </c>
      <c r="C4426" t="s">
        <v>40</v>
      </c>
      <c r="D4426">
        <v>5.1440159999999997</v>
      </c>
      <c r="E4426">
        <v>0.50224799999999903</v>
      </c>
      <c r="F4426" t="s">
        <v>41</v>
      </c>
      <c r="G4426">
        <v>-346.19479999999999</v>
      </c>
      <c r="H4426" s="1">
        <v>-2.3133700000000002E-6</v>
      </c>
      <c r="I4426">
        <v>142.24199999999999</v>
      </c>
      <c r="J4426">
        <v>-323.54570000000001</v>
      </c>
      <c r="K4426">
        <v>1.120201</v>
      </c>
      <c r="L4426">
        <v>141.63229999999999</v>
      </c>
      <c r="M4426">
        <v>-0.99978610000000001</v>
      </c>
      <c r="N4426">
        <v>-7.3707109999999899E-3</v>
      </c>
      <c r="O4426">
        <v>1.9331129999999998E-2</v>
      </c>
      <c r="P4426">
        <v>-0.99358630000000003</v>
      </c>
      <c r="Q4426">
        <v>-0.1114127</v>
      </c>
      <c r="R4426">
        <v>1.9338640000000001E-2</v>
      </c>
      <c r="S4426">
        <v>-3.0013730000000001</v>
      </c>
      <c r="T4426">
        <v>-0.14660529999999999</v>
      </c>
      <c r="U4426">
        <v>8.0505370000000007E-2</v>
      </c>
      <c r="V4426">
        <v>1.6064979999999999E-4</v>
      </c>
      <c r="W4426">
        <v>-0.10408480000000001</v>
      </c>
      <c r="X4426">
        <v>0.99456840000000002</v>
      </c>
      <c r="Y4426">
        <v>7.4898159999999998E-3</v>
      </c>
      <c r="Z4426">
        <v>-5.9059900000000003E-4</v>
      </c>
      <c r="AA4426">
        <v>0.99997170000000002</v>
      </c>
      <c r="AB4426">
        <v>27</v>
      </c>
      <c r="AC4426">
        <v>-22.649099999999901</v>
      </c>
      <c r="AD4426">
        <v>-1.12020331337</v>
      </c>
      <c r="AE4426">
        <v>0.60970000000003199</v>
      </c>
      <c r="AF4426">
        <v>0.171322744991108</v>
      </c>
      <c r="AG4426">
        <v>-1.12020331337</v>
      </c>
      <c r="AH4426">
        <v>22.6014064783649</v>
      </c>
      <c r="AI4426">
        <v>92.837372278084302</v>
      </c>
      <c r="AJ4426">
        <v>89.565695956540694</v>
      </c>
      <c r="AK4426">
        <v>22.629798535261202</v>
      </c>
      <c r="AL4426">
        <v>95.9744406238583</v>
      </c>
      <c r="AM4426">
        <v>89.990745176058695</v>
      </c>
      <c r="AN4426">
        <v>0.99999998683897895</v>
      </c>
    </row>
    <row r="4427" spans="1:40" x14ac:dyDescent="0.25">
      <c r="A4427" t="str">
        <f>"20190303154603080"</f>
        <v>20190303154603080</v>
      </c>
      <c r="B4427" t="str">
        <f>"1551599163075368"</f>
        <v>1551599163075368</v>
      </c>
      <c r="C4427" t="s">
        <v>40</v>
      </c>
      <c r="D4427">
        <v>5.1558479999999998</v>
      </c>
      <c r="E4427">
        <v>0.50215359999999998</v>
      </c>
      <c r="F4427" t="s">
        <v>41</v>
      </c>
      <c r="G4427">
        <v>-346.51170000000002</v>
      </c>
      <c r="H4427" s="1">
        <v>-2.174498E-6</v>
      </c>
      <c r="I4427">
        <v>142.23099999999999</v>
      </c>
      <c r="J4427">
        <v>-323.84859999999998</v>
      </c>
      <c r="K4427">
        <v>1.120196</v>
      </c>
      <c r="L4427">
        <v>141.6379</v>
      </c>
      <c r="M4427">
        <v>-0.99979229999999997</v>
      </c>
      <c r="N4427">
        <v>-7.1990229999999997E-3</v>
      </c>
      <c r="O4427">
        <v>1.9075189999999999E-2</v>
      </c>
      <c r="P4427">
        <v>-0.99358979999999997</v>
      </c>
      <c r="Q4427">
        <v>-0.111446</v>
      </c>
      <c r="R4427">
        <v>1.8955779999999998E-2</v>
      </c>
      <c r="S4427">
        <v>-3.001404</v>
      </c>
      <c r="T4427">
        <v>-0.14639849999999999</v>
      </c>
      <c r="U4427">
        <v>7.8262330000000005E-2</v>
      </c>
      <c r="V4427" s="1">
        <v>3.7433669999999998E-5</v>
      </c>
      <c r="W4427">
        <v>-0.1042889</v>
      </c>
      <c r="X4427">
        <v>0.99454710000000002</v>
      </c>
      <c r="Y4427">
        <v>6.9993540000000002E-3</v>
      </c>
      <c r="Z4427">
        <v>-5.9657920000000004E-4</v>
      </c>
      <c r="AA4427">
        <v>0.99997530000000001</v>
      </c>
      <c r="AB4427">
        <v>27</v>
      </c>
      <c r="AC4427">
        <v>-22.6631</v>
      </c>
      <c r="AD4427">
        <v>-1.1201981744980001</v>
      </c>
      <c r="AE4427">
        <v>0.59309999999999197</v>
      </c>
      <c r="AF4427">
        <v>0.160286674437151</v>
      </c>
      <c r="AG4427">
        <v>-1.1201981744980001</v>
      </c>
      <c r="AH4427">
        <v>22.6150757397482</v>
      </c>
      <c r="AI4427">
        <v>92.835657320573901</v>
      </c>
      <c r="AJ4427">
        <v>89.593917071577593</v>
      </c>
      <c r="AK4427">
        <v>22.6433695920616</v>
      </c>
      <c r="AL4427">
        <v>95.986198272970498</v>
      </c>
      <c r="AM4427">
        <v>89.997843449242694</v>
      </c>
      <c r="AN4427">
        <v>1.0000000550914401</v>
      </c>
    </row>
    <row r="4428" spans="1:40" x14ac:dyDescent="0.25">
      <c r="A4428" t="str">
        <f>"20190303154603100"</f>
        <v>20190303154603100</v>
      </c>
      <c r="B4428" t="str">
        <f>"1551599163095380"</f>
        <v>1551599163095380</v>
      </c>
      <c r="C4428" t="s">
        <v>40</v>
      </c>
      <c r="D4428">
        <v>5.1239999999999997</v>
      </c>
      <c r="E4428">
        <v>0.5020599</v>
      </c>
      <c r="F4428" t="s">
        <v>41</v>
      </c>
      <c r="G4428">
        <v>-346.8784</v>
      </c>
      <c r="H4428" s="1">
        <v>-2.0150249999999998E-6</v>
      </c>
      <c r="I4428">
        <v>142.22290000000001</v>
      </c>
      <c r="J4428">
        <v>-324.0926</v>
      </c>
      <c r="K4428">
        <v>1.1201970000000001</v>
      </c>
      <c r="L4428">
        <v>141.64230000000001</v>
      </c>
      <c r="M4428">
        <v>-0.99979739999999995</v>
      </c>
      <c r="N4428">
        <v>-7.073485E-3</v>
      </c>
      <c r="O4428">
        <v>1.8845560000000001E-2</v>
      </c>
      <c r="P4428">
        <v>-0.99364330000000001</v>
      </c>
      <c r="Q4428">
        <v>-0.1110574</v>
      </c>
      <c r="R4428">
        <v>1.842121E-2</v>
      </c>
      <c r="S4428">
        <v>-3.0015260000000001</v>
      </c>
      <c r="T4428">
        <v>-0.14599860000000001</v>
      </c>
      <c r="U4428">
        <v>7.6263429999999993E-2</v>
      </c>
      <c r="V4428">
        <v>-2.6540629999999998E-4</v>
      </c>
      <c r="W4428">
        <v>-0.10402500000000001</v>
      </c>
      <c r="X4428">
        <v>0.99457470000000003</v>
      </c>
      <c r="Y4428">
        <v>6.5629310000000001E-3</v>
      </c>
      <c r="Z4428">
        <v>-5.9993399999999999E-4</v>
      </c>
      <c r="AA4428">
        <v>0.99997829999999999</v>
      </c>
      <c r="AB4428">
        <v>27</v>
      </c>
      <c r="AC4428">
        <v>-22.785799999999899</v>
      </c>
      <c r="AD4428">
        <v>-1.1201990150250001</v>
      </c>
      <c r="AE4428">
        <v>0.580600000000004</v>
      </c>
      <c r="AF4428">
        <v>0.15071096698912601</v>
      </c>
      <c r="AG4428">
        <v>-1.1201990150250001</v>
      </c>
      <c r="AH4428">
        <v>22.737775529194799</v>
      </c>
      <c r="AI4428">
        <v>92.820391028694004</v>
      </c>
      <c r="AJ4428">
        <v>89.620236558721601</v>
      </c>
      <c r="AK4428">
        <v>22.765851524704399</v>
      </c>
      <c r="AL4428">
        <v>95.970995241941594</v>
      </c>
      <c r="AM4428">
        <v>90.015289611212907</v>
      </c>
      <c r="AN4428">
        <v>1.0000000524727899</v>
      </c>
    </row>
    <row r="4429" spans="1:40" x14ac:dyDescent="0.25">
      <c r="A4429" t="str">
        <f>"20190303154603122"</f>
        <v>20190303154603122</v>
      </c>
      <c r="B4429" t="str">
        <f>"1551599163115876"</f>
        <v>1551599163115876</v>
      </c>
      <c r="C4429" t="s">
        <v>40</v>
      </c>
      <c r="D4429">
        <v>5.1383679999999998</v>
      </c>
      <c r="E4429">
        <v>0.50195329999999905</v>
      </c>
      <c r="F4429" t="s">
        <v>41</v>
      </c>
      <c r="G4429">
        <v>-347.32960000000003</v>
      </c>
      <c r="H4429" s="1">
        <v>-1.818904E-6</v>
      </c>
      <c r="I4429">
        <v>142.2133</v>
      </c>
      <c r="J4429">
        <v>-324.3725</v>
      </c>
      <c r="K4429">
        <v>1.1201989999999999</v>
      </c>
      <c r="L4429">
        <v>141.6473</v>
      </c>
      <c r="M4429">
        <v>-0.99980369999999996</v>
      </c>
      <c r="N4429">
        <v>-6.9437090000000002E-3</v>
      </c>
      <c r="O4429">
        <v>1.8562169999999999E-2</v>
      </c>
      <c r="P4429">
        <v>-0.99366149999999998</v>
      </c>
      <c r="Q4429">
        <v>-0.11099290000000001</v>
      </c>
      <c r="R4429">
        <v>1.7824119999999999E-2</v>
      </c>
      <c r="S4429">
        <v>-3.0016780000000001</v>
      </c>
      <c r="T4429">
        <v>-0.14470350000000001</v>
      </c>
      <c r="U4429">
        <v>7.3776250000000002E-2</v>
      </c>
      <c r="V4429">
        <v>-5.7651040000000005E-4</v>
      </c>
      <c r="W4429">
        <v>-0.10408969999999999</v>
      </c>
      <c r="X4429">
        <v>0.9945678</v>
      </c>
      <c r="Y4429">
        <v>6.0174520000000004E-3</v>
      </c>
      <c r="Z4429">
        <v>-5.994253E-4</v>
      </c>
      <c r="AA4429">
        <v>0.99998169999999997</v>
      </c>
      <c r="AB4429">
        <v>28</v>
      </c>
      <c r="AC4429">
        <v>-22.957100000000001</v>
      </c>
      <c r="AD4429">
        <v>-1.120200818904</v>
      </c>
      <c r="AE4429">
        <v>0.56600000000000195</v>
      </c>
      <c r="AF4429">
        <v>0.13942688359202901</v>
      </c>
      <c r="AG4429">
        <v>-1.120200818904</v>
      </c>
      <c r="AH4429">
        <v>22.909137617576299</v>
      </c>
      <c r="AI4429">
        <v>92.799342105204204</v>
      </c>
      <c r="AJ4429">
        <v>89.651297509196795</v>
      </c>
      <c r="AK4429">
        <v>22.936932578520398</v>
      </c>
      <c r="AL4429">
        <v>95.974722507340005</v>
      </c>
      <c r="AM4429">
        <v>90.033212023419395</v>
      </c>
      <c r="AN4429">
        <v>1.00000005340358</v>
      </c>
    </row>
    <row r="4430" spans="1:40" x14ac:dyDescent="0.25">
      <c r="A4430" t="str">
        <f>"20190303154603146"</f>
        <v>20190303154603146</v>
      </c>
      <c r="B4430" t="str">
        <f>"1551599163135397"</f>
        <v>1551599163135397</v>
      </c>
      <c r="C4430" t="s">
        <v>40</v>
      </c>
      <c r="D4430">
        <v>5.148199</v>
      </c>
      <c r="E4430">
        <v>0.50188869999999997</v>
      </c>
      <c r="F4430" t="s">
        <v>41</v>
      </c>
      <c r="G4430">
        <v>-347.63690000000003</v>
      </c>
      <c r="H4430" s="1">
        <v>-1.6834569999999999E-6</v>
      </c>
      <c r="I4430">
        <v>142.19970000000001</v>
      </c>
      <c r="J4430">
        <v>-324.66719999999998</v>
      </c>
      <c r="K4430">
        <v>1.1202000000000001</v>
      </c>
      <c r="L4430">
        <v>141.6524</v>
      </c>
      <c r="M4430">
        <v>-0.99981030000000004</v>
      </c>
      <c r="N4430">
        <v>-6.8242900000000002E-3</v>
      </c>
      <c r="O4430">
        <v>1.8244799999999999E-2</v>
      </c>
      <c r="P4430">
        <v>-0.99369879999999999</v>
      </c>
      <c r="Q4430">
        <v>-0.1107911</v>
      </c>
      <c r="R4430">
        <v>1.697626E-2</v>
      </c>
      <c r="S4430">
        <v>-3.0016780000000001</v>
      </c>
      <c r="T4430">
        <v>-0.14453360000000001</v>
      </c>
      <c r="U4430">
        <v>7.1289060000000001E-2</v>
      </c>
      <c r="V4430">
        <v>-1.10578E-3</v>
      </c>
      <c r="W4430">
        <v>-0.1040068</v>
      </c>
      <c r="X4430">
        <v>0.99457600000000002</v>
      </c>
      <c r="Y4430">
        <v>5.507283E-3</v>
      </c>
      <c r="Z4430">
        <v>-6.020442E-4</v>
      </c>
      <c r="AA4430">
        <v>0.99998469999999995</v>
      </c>
      <c r="AB4430">
        <v>28</v>
      </c>
      <c r="AC4430">
        <v>-22.9697</v>
      </c>
      <c r="AD4430">
        <v>-1.1202016834569899</v>
      </c>
      <c r="AE4430">
        <v>0.547300000000007</v>
      </c>
      <c r="AF4430">
        <v>0.127817745867529</v>
      </c>
      <c r="AG4430">
        <v>-1.1202016834569899</v>
      </c>
      <c r="AH4430">
        <v>22.921377239990701</v>
      </c>
      <c r="AI4430">
        <v>92.797860138835105</v>
      </c>
      <c r="AJ4430">
        <v>89.680501681866701</v>
      </c>
      <c r="AK4430">
        <v>22.949089824342501</v>
      </c>
      <c r="AL4430">
        <v>95.969946915244293</v>
      </c>
      <c r="AM4430">
        <v>90.063702020724904</v>
      </c>
      <c r="AN4430">
        <v>1.0000000284858199</v>
      </c>
    </row>
    <row r="4431" spans="1:40" x14ac:dyDescent="0.25">
      <c r="A4431" t="str">
        <f>"20190303154603165"</f>
        <v>20190303154603165</v>
      </c>
      <c r="B4431" t="str">
        <f>"1551599163155893"</f>
        <v>1551599163155893</v>
      </c>
      <c r="C4431" t="s">
        <v>40</v>
      </c>
      <c r="D4431">
        <v>5.1783729999999997</v>
      </c>
      <c r="E4431">
        <v>0.50185849999999999</v>
      </c>
      <c r="F4431" t="s">
        <v>41</v>
      </c>
      <c r="G4431">
        <v>-347.98849999999999</v>
      </c>
      <c r="H4431" s="1">
        <v>-1.527571E-6</v>
      </c>
      <c r="I4431">
        <v>142.1807</v>
      </c>
      <c r="J4431">
        <v>-324.91699999999997</v>
      </c>
      <c r="K4431">
        <v>1.1201950000000001</v>
      </c>
      <c r="L4431">
        <v>141.6567</v>
      </c>
      <c r="M4431">
        <v>-0.99981589999999998</v>
      </c>
      <c r="N4431">
        <v>-6.7346919999999996E-3</v>
      </c>
      <c r="O4431">
        <v>1.7966940000000001E-2</v>
      </c>
      <c r="P4431">
        <v>-0.99372799999999994</v>
      </c>
      <c r="Q4431">
        <v>-0.11068840000000001</v>
      </c>
      <c r="R4431">
        <v>1.590749E-2</v>
      </c>
      <c r="S4431">
        <v>-3.0018009999999999</v>
      </c>
      <c r="T4431">
        <v>-0.14418719999999999</v>
      </c>
      <c r="U4431">
        <v>6.800842E-2</v>
      </c>
      <c r="V4431">
        <v>-1.8963579999999999E-3</v>
      </c>
      <c r="W4431">
        <v>-0.10399360000000001</v>
      </c>
      <c r="X4431">
        <v>0.99457620000000002</v>
      </c>
      <c r="Y4431">
        <v>4.6928050000000004E-3</v>
      </c>
      <c r="Z4431">
        <v>-6.1294949999999996E-4</v>
      </c>
      <c r="AA4431">
        <v>0.99998880000000001</v>
      </c>
      <c r="AB4431">
        <v>28</v>
      </c>
      <c r="AC4431">
        <v>-23.071499999999901</v>
      </c>
      <c r="AD4431">
        <v>-1.120196527571</v>
      </c>
      <c r="AE4431">
        <v>0.52400000000000002</v>
      </c>
      <c r="AF4431">
        <v>0.109124636072089</v>
      </c>
      <c r="AG4431">
        <v>-1.120196527571</v>
      </c>
      <c r="AH4431">
        <v>23.022943811257701</v>
      </c>
      <c r="AI4431">
        <v>92.785535957185502</v>
      </c>
      <c r="AJ4431">
        <v>89.728430285982498</v>
      </c>
      <c r="AK4431">
        <v>23.0504379607613</v>
      </c>
      <c r="AL4431">
        <v>95.969186410555096</v>
      </c>
      <c r="AM4431">
        <v>90.109245705031199</v>
      </c>
      <c r="AN4431">
        <v>1.0000000413105301</v>
      </c>
    </row>
    <row r="4432" spans="1:40" x14ac:dyDescent="0.25">
      <c r="A4432" t="str">
        <f>"20190303154603189"</f>
        <v>20190303154603189</v>
      </c>
      <c r="B4432" t="str">
        <f>"1551599163186149"</f>
        <v>1551599163186149</v>
      </c>
      <c r="C4432" t="s">
        <v>40</v>
      </c>
      <c r="D4432">
        <v>5.1489129999999896</v>
      </c>
      <c r="E4432">
        <v>0.50440719999999994</v>
      </c>
      <c r="F4432" t="s">
        <v>41</v>
      </c>
      <c r="G4432">
        <v>-348.30619999999999</v>
      </c>
      <c r="H4432" s="1">
        <v>-1.3855220000000001E-6</v>
      </c>
      <c r="I4432">
        <v>142.15899999999999</v>
      </c>
      <c r="J4432">
        <v>-325.20350000000002</v>
      </c>
      <c r="K4432">
        <v>1.1201890000000001</v>
      </c>
      <c r="L4432">
        <v>141.66149999999999</v>
      </c>
      <c r="M4432">
        <v>-0.99982230000000005</v>
      </c>
      <c r="N4432">
        <v>-6.6450099999999998E-3</v>
      </c>
      <c r="O4432">
        <v>1.7641899999999999E-2</v>
      </c>
      <c r="P4432">
        <v>-0.99374819999999997</v>
      </c>
      <c r="Q4432">
        <v>-0.11062909999999999</v>
      </c>
      <c r="R4432">
        <v>1.501807E-2</v>
      </c>
      <c r="S4432">
        <v>-3.0019230000000001</v>
      </c>
      <c r="T4432">
        <v>-0.14377379999999901</v>
      </c>
      <c r="U4432">
        <v>6.4483639999999995E-2</v>
      </c>
      <c r="V4432">
        <v>-2.4611820000000001E-3</v>
      </c>
      <c r="W4432">
        <v>-0.1040237</v>
      </c>
      <c r="X4432">
        <v>0.99457169999999895</v>
      </c>
      <c r="Y4432">
        <v>3.8442400000000001E-3</v>
      </c>
      <c r="Z4432">
        <v>-6.2233769999999996E-4</v>
      </c>
      <c r="AA4432">
        <v>0.9999924</v>
      </c>
      <c r="AB4432">
        <v>28</v>
      </c>
      <c r="AC4432">
        <v>-23.102699999999899</v>
      </c>
      <c r="AD4432">
        <v>-1.1201903855219999</v>
      </c>
      <c r="AE4432">
        <v>0.497500000000002</v>
      </c>
      <c r="AF4432">
        <v>8.96274343649128E-2</v>
      </c>
      <c r="AG4432">
        <v>-1.1201903855219999</v>
      </c>
      <c r="AH4432">
        <v>23.053706559456302</v>
      </c>
      <c r="AI4432">
        <v>92.781819774503205</v>
      </c>
      <c r="AJ4432">
        <v>89.777248494426402</v>
      </c>
      <c r="AK4432">
        <v>23.081079821063899</v>
      </c>
      <c r="AL4432">
        <v>95.970921102984803</v>
      </c>
      <c r="AM4432">
        <v>90.141784703273203</v>
      </c>
      <c r="AN4432">
        <v>0.99999992700970497</v>
      </c>
    </row>
    <row r="4433" spans="1:40" x14ac:dyDescent="0.25">
      <c r="A4433" t="str">
        <f>"20190303154603211"</f>
        <v>20190303154603211</v>
      </c>
      <c r="B4433" t="str">
        <f>"1551599163205669"</f>
        <v>1551599163205669</v>
      </c>
      <c r="C4433" t="s">
        <v>40</v>
      </c>
      <c r="D4433">
        <v>5.2955019999999999</v>
      </c>
      <c r="E4433">
        <v>0.50691809999999904</v>
      </c>
      <c r="F4433" t="s">
        <v>42</v>
      </c>
      <c r="G4433">
        <v>-326.07889999999998</v>
      </c>
      <c r="H4433">
        <v>1.0144569999999999</v>
      </c>
      <c r="I4433">
        <v>141.68520000000001</v>
      </c>
      <c r="J4433">
        <v>-325.49020000000002</v>
      </c>
      <c r="K4433">
        <v>1.120179</v>
      </c>
      <c r="L4433">
        <v>141.6662</v>
      </c>
      <c r="M4433">
        <v>-0.99982870000000001</v>
      </c>
      <c r="N4433">
        <v>-6.5676819999999896E-3</v>
      </c>
      <c r="O4433">
        <v>1.731361E-2</v>
      </c>
      <c r="P4433">
        <v>-0.99380270000000004</v>
      </c>
      <c r="Q4433">
        <v>-0.1101756</v>
      </c>
      <c r="R4433">
        <v>1.475723E-2</v>
      </c>
      <c r="S4433">
        <v>-2.9776310000000001</v>
      </c>
      <c r="T4433">
        <v>-0.35963590000000001</v>
      </c>
      <c r="U4433">
        <v>7.9864500000000005E-2</v>
      </c>
      <c r="V4433">
        <v>-2.396305E-3</v>
      </c>
      <c r="W4433">
        <v>-0.1036469</v>
      </c>
      <c r="X4433">
        <v>0.99461129999999998</v>
      </c>
      <c r="Y4433">
        <v>9.5394150000000007E-3</v>
      </c>
      <c r="Z4433">
        <v>-1.3643259999999999E-3</v>
      </c>
      <c r="AA4433">
        <v>0.9999536</v>
      </c>
      <c r="AB4433">
        <v>28</v>
      </c>
      <c r="AC4433">
        <v>-0.58869999999996003</v>
      </c>
      <c r="AD4433">
        <v>-0.105722</v>
      </c>
      <c r="AE4433">
        <v>1.9000000000005401E-2</v>
      </c>
      <c r="AF4433">
        <v>8.5296096822657999E-3</v>
      </c>
      <c r="AG4433">
        <v>-0.105722</v>
      </c>
      <c r="AH4433">
        <v>0.57055879805127796</v>
      </c>
      <c r="AI4433">
        <v>100.49644326815501</v>
      </c>
      <c r="AJ4433">
        <v>89.143516435160805</v>
      </c>
      <c r="AK4433">
        <v>0.58033372946869999</v>
      </c>
      <c r="AL4433">
        <v>95.949214102139194</v>
      </c>
      <c r="AM4433">
        <v>90.138041762917993</v>
      </c>
      <c r="AN4433">
        <v>1.0000000301224701</v>
      </c>
    </row>
    <row r="4434" spans="1:40" x14ac:dyDescent="0.25">
      <c r="A4434" t="str">
        <f>"20190303154603232"</f>
        <v>20190303154603232</v>
      </c>
      <c r="B4434" t="str">
        <f>"1551599163225189"</f>
        <v>1551599163225189</v>
      </c>
      <c r="C4434" t="s">
        <v>40</v>
      </c>
      <c r="D4434">
        <v>5.3082459999999996</v>
      </c>
      <c r="E4434">
        <v>0.50690290000000005</v>
      </c>
      <c r="F4434" t="s">
        <v>42</v>
      </c>
      <c r="G4434">
        <v>-326.31880000000001</v>
      </c>
      <c r="H4434">
        <v>0.98826780000000003</v>
      </c>
      <c r="I4434">
        <v>141.69380000000001</v>
      </c>
      <c r="J4434">
        <v>-325.76659999999998</v>
      </c>
      <c r="K4434">
        <v>1.1201760000000001</v>
      </c>
      <c r="L4434">
        <v>141.67070000000001</v>
      </c>
      <c r="M4434">
        <v>-0.99983440000000001</v>
      </c>
      <c r="N4434">
        <v>-6.5039269999999996E-3</v>
      </c>
      <c r="O4434">
        <v>1.6997620000000001E-2</v>
      </c>
      <c r="P4434">
        <v>-0.9938555</v>
      </c>
      <c r="Q4434">
        <v>-0.109667</v>
      </c>
      <c r="R4434">
        <v>1.4993390000000001E-2</v>
      </c>
      <c r="S4434">
        <v>-2.9649350000000001</v>
      </c>
      <c r="T4434">
        <v>-0.47204590000000002</v>
      </c>
      <c r="U4434">
        <v>9.7579959999999993E-2</v>
      </c>
      <c r="V4434">
        <v>-1.8462400000000001E-3</v>
      </c>
      <c r="W4434">
        <v>-0.103201</v>
      </c>
      <c r="X4434">
        <v>0.99465879999999995</v>
      </c>
      <c r="Y4434">
        <v>1.5888530000000001E-2</v>
      </c>
      <c r="Z4434">
        <v>-1.2698049999999999E-3</v>
      </c>
      <c r="AA4434">
        <v>0.99987300000000001</v>
      </c>
      <c r="AB4434">
        <v>28</v>
      </c>
      <c r="AC4434">
        <v>-0.552200000000027</v>
      </c>
      <c r="AD4434">
        <v>-0.1319082</v>
      </c>
      <c r="AE4434">
        <v>2.3099999999999399E-2</v>
      </c>
      <c r="AF4434">
        <v>1.29714861658837E-2</v>
      </c>
      <c r="AG4434">
        <v>-0.1319082</v>
      </c>
      <c r="AH4434">
        <v>0.52273634010401604</v>
      </c>
      <c r="AI4434">
        <v>104.158270268942</v>
      </c>
      <c r="AJ4434">
        <v>88.578520636298293</v>
      </c>
      <c r="AK4434">
        <v>0.53927851240887903</v>
      </c>
      <c r="AL4434">
        <v>95.9235283986675</v>
      </c>
      <c r="AM4434">
        <v>90.106349673360199</v>
      </c>
      <c r="AN4434">
        <v>0.99999999171028797</v>
      </c>
    </row>
    <row r="4435" spans="1:40" x14ac:dyDescent="0.25">
      <c r="A4435" t="str">
        <f>"20190303154603257"</f>
        <v>20190303154603257</v>
      </c>
      <c r="B4435" t="str">
        <f>"1551599163245685"</f>
        <v>1551599163245685</v>
      </c>
      <c r="C4435" t="s">
        <v>40</v>
      </c>
      <c r="D4435">
        <v>5.2238610000000003</v>
      </c>
      <c r="E4435">
        <v>0.50566849999999997</v>
      </c>
      <c r="F4435" t="s">
        <v>42</v>
      </c>
      <c r="G4435">
        <v>-326.5677</v>
      </c>
      <c r="H4435">
        <v>0.97837560000000001</v>
      </c>
      <c r="I4435">
        <v>141.69720000000001</v>
      </c>
      <c r="J4435">
        <v>-326.06959999999998</v>
      </c>
      <c r="K4435">
        <v>1.120166</v>
      </c>
      <c r="L4435">
        <v>141.6755</v>
      </c>
      <c r="M4435">
        <v>-0.99984059999999997</v>
      </c>
      <c r="N4435">
        <v>-6.4477919999999999E-3</v>
      </c>
      <c r="O4435">
        <v>1.6653589999999999E-2</v>
      </c>
      <c r="P4435">
        <v>-0.99392480000000005</v>
      </c>
      <c r="Q4435">
        <v>-0.1090052</v>
      </c>
      <c r="R4435">
        <v>1.521166E-2</v>
      </c>
      <c r="S4435">
        <v>-2.9592900000000002</v>
      </c>
      <c r="T4435">
        <v>-0.52382429999999902</v>
      </c>
      <c r="U4435">
        <v>9.7412109999999996E-2</v>
      </c>
      <c r="V4435">
        <v>-1.287133E-3</v>
      </c>
      <c r="W4435">
        <v>-0.1025943</v>
      </c>
      <c r="X4435">
        <v>0.99472240000000001</v>
      </c>
      <c r="Y4435">
        <v>1.6228840000000001E-2</v>
      </c>
      <c r="Z4435">
        <v>-1.3398469999999999E-3</v>
      </c>
      <c r="AA4435">
        <v>0.99986739999999996</v>
      </c>
      <c r="AB4435">
        <v>28</v>
      </c>
      <c r="AC4435">
        <v>-0.49810000000002203</v>
      </c>
      <c r="AD4435">
        <v>-0.14179040000000001</v>
      </c>
      <c r="AE4435">
        <v>2.1700000000009802E-2</v>
      </c>
      <c r="AF4435">
        <v>1.2398855428121899E-2</v>
      </c>
      <c r="AG4435">
        <v>-0.14179040000000001</v>
      </c>
      <c r="AH4435">
        <v>0.46109897443208298</v>
      </c>
      <c r="AI4435">
        <v>107.087126367087</v>
      </c>
      <c r="AJ4435">
        <v>88.459699589187395</v>
      </c>
      <c r="AK4435">
        <v>0.482566589571228</v>
      </c>
      <c r="AL4435">
        <v>95.888581794725297</v>
      </c>
      <c r="AM4435">
        <v>90.074138520870505</v>
      </c>
      <c r="AN4435">
        <v>0.99999995008280296</v>
      </c>
    </row>
    <row r="4436" spans="1:40" x14ac:dyDescent="0.25">
      <c r="A4436" t="str">
        <f>"20190303154603280"</f>
        <v>20190303154603280</v>
      </c>
      <c r="B4436" t="str">
        <f>"1551599163275941"</f>
        <v>1551599163275941</v>
      </c>
      <c r="C4436" t="s">
        <v>40</v>
      </c>
      <c r="D4436">
        <v>5.3525090000000004</v>
      </c>
      <c r="E4436">
        <v>0.50545720000000005</v>
      </c>
      <c r="F4436" t="s">
        <v>42</v>
      </c>
      <c r="G4436">
        <v>-326.82760000000002</v>
      </c>
      <c r="H4436">
        <v>0.98943510000000001</v>
      </c>
      <c r="I4436">
        <v>141.69829999999999</v>
      </c>
      <c r="J4436">
        <v>-326.37430000000001</v>
      </c>
      <c r="K4436">
        <v>1.1201650000000001</v>
      </c>
      <c r="L4436">
        <v>141.68020000000001</v>
      </c>
      <c r="M4436">
        <v>-0.99984660000000003</v>
      </c>
      <c r="N4436">
        <v>-6.4059329999999999E-3</v>
      </c>
      <c r="O4436">
        <v>1.630999E-2</v>
      </c>
      <c r="P4436">
        <v>-0.99392469999999999</v>
      </c>
      <c r="Q4436">
        <v>-0.10894479999999999</v>
      </c>
      <c r="R4436">
        <v>1.565563E-2</v>
      </c>
      <c r="S4436">
        <v>-2.9609679999999998</v>
      </c>
      <c r="T4436">
        <v>-0.51070170000000004</v>
      </c>
      <c r="U4436">
        <v>8.8409420000000002E-2</v>
      </c>
      <c r="V4436">
        <v>-5.0118440000000003E-4</v>
      </c>
      <c r="W4436">
        <v>-0.102575</v>
      </c>
      <c r="X4436">
        <v>0.99472519999999998</v>
      </c>
      <c r="Y4436">
        <v>1.3553519999999999E-2</v>
      </c>
      <c r="Z4436">
        <v>-1.4841209999999999E-3</v>
      </c>
      <c r="AA4436">
        <v>0.99990699999999999</v>
      </c>
      <c r="AB4436">
        <v>28</v>
      </c>
      <c r="AC4436">
        <v>-0.45330000000001203</v>
      </c>
      <c r="AD4436">
        <v>-0.13072989999999901</v>
      </c>
      <c r="AE4436">
        <v>1.80999999999755E-2</v>
      </c>
      <c r="AF4436">
        <v>9.8834065609470691E-3</v>
      </c>
      <c r="AG4436">
        <v>-0.13072989999999901</v>
      </c>
      <c r="AH4436">
        <v>0.418761062512369</v>
      </c>
      <c r="AI4436">
        <v>107.33291567726801</v>
      </c>
      <c r="AJ4436">
        <v>88.647982288876094</v>
      </c>
      <c r="AK4436">
        <v>0.43880384678777301</v>
      </c>
      <c r="AL4436">
        <v>95.887469515172896</v>
      </c>
      <c r="AM4436">
        <v>90.028868021487597</v>
      </c>
      <c r="AN4436">
        <v>1.00000005266292</v>
      </c>
    </row>
    <row r="4437" spans="1:40" x14ac:dyDescent="0.25">
      <c r="A4437" t="str">
        <f>"20190303154603302"</f>
        <v>20190303154603302</v>
      </c>
      <c r="B4437" t="str">
        <f>"1551599163295967"</f>
        <v>1551599163295967</v>
      </c>
      <c r="C4437" t="s">
        <v>40</v>
      </c>
      <c r="D4437">
        <v>5.297015</v>
      </c>
      <c r="E4437">
        <v>0.50533079999999997</v>
      </c>
      <c r="F4437" t="s">
        <v>42</v>
      </c>
      <c r="G4437">
        <v>-327.08530000000002</v>
      </c>
      <c r="H4437">
        <v>0.99429179999999995</v>
      </c>
      <c r="I4437">
        <v>141.70160000000001</v>
      </c>
      <c r="J4437">
        <v>-326.65109999999999</v>
      </c>
      <c r="K4437">
        <v>1.120161</v>
      </c>
      <c r="L4437">
        <v>141.68440000000001</v>
      </c>
      <c r="M4437">
        <v>-0.99985179999999996</v>
      </c>
      <c r="N4437">
        <v>-6.3780019999999998E-3</v>
      </c>
      <c r="O4437">
        <v>1.599971E-2</v>
      </c>
      <c r="P4437">
        <v>-0.9938844</v>
      </c>
      <c r="Q4437">
        <v>-0.10916679999999999</v>
      </c>
      <c r="R4437">
        <v>1.6638119999999999E-2</v>
      </c>
      <c r="S4437">
        <v>-2.9595030000000002</v>
      </c>
      <c r="T4437">
        <v>-0.52396880000000001</v>
      </c>
      <c r="U4437">
        <v>8.824158E-2</v>
      </c>
      <c r="V4437">
        <v>7.9095009999999896E-4</v>
      </c>
      <c r="W4437">
        <v>-0.10282429999999999</v>
      </c>
      <c r="X4437">
        <v>0.99469920000000001</v>
      </c>
      <c r="Y4437">
        <v>1.381484E-2</v>
      </c>
      <c r="Z4437">
        <v>-1.4510390000000001E-3</v>
      </c>
      <c r="AA4437">
        <v>0.99990349999999995</v>
      </c>
      <c r="AB4437">
        <v>28</v>
      </c>
      <c r="AC4437">
        <v>-0.434200000000032</v>
      </c>
      <c r="AD4437">
        <v>-0.12586919999999999</v>
      </c>
      <c r="AE4437">
        <v>1.7200000000002501E-2</v>
      </c>
      <c r="AF4437">
        <v>9.4571029983774105E-3</v>
      </c>
      <c r="AG4437">
        <v>-0.12586919999999999</v>
      </c>
      <c r="AH4437">
        <v>0.400791909267321</v>
      </c>
      <c r="AI4437">
        <v>107.430403674993</v>
      </c>
      <c r="AJ4437">
        <v>88.6482971677584</v>
      </c>
      <c r="AK4437">
        <v>0.42019834226220698</v>
      </c>
      <c r="AL4437">
        <v>95.901829708950203</v>
      </c>
      <c r="AM4437">
        <v>89.954440404713196</v>
      </c>
      <c r="AN4437">
        <v>0.99999998037659499</v>
      </c>
    </row>
    <row r="4438" spans="1:40" x14ac:dyDescent="0.25">
      <c r="A4438" t="str">
        <f>"20190303154603323"</f>
        <v>20190303154603323</v>
      </c>
      <c r="B4438" t="str">
        <f>"1551599163315487"</f>
        <v>1551599163315487</v>
      </c>
      <c r="C4438" t="s">
        <v>40</v>
      </c>
      <c r="D4438">
        <v>5.2540839999999998</v>
      </c>
      <c r="E4438">
        <v>0.50544739999999999</v>
      </c>
      <c r="F4438" t="s">
        <v>42</v>
      </c>
      <c r="G4438">
        <v>-327.57929999999999</v>
      </c>
      <c r="H4438">
        <v>0.95392679999999996</v>
      </c>
      <c r="I4438">
        <v>141.71289999999999</v>
      </c>
      <c r="J4438">
        <v>-326.91699999999997</v>
      </c>
      <c r="K4438">
        <v>1.1201620000000001</v>
      </c>
      <c r="L4438">
        <v>141.6884</v>
      </c>
      <c r="M4438">
        <v>-0.99985650000000004</v>
      </c>
      <c r="N4438">
        <v>-6.3611409999999998E-3</v>
      </c>
      <c r="O4438">
        <v>1.5703109999999999E-2</v>
      </c>
      <c r="P4438">
        <v>-0.99387840000000005</v>
      </c>
      <c r="Q4438">
        <v>-0.1091993</v>
      </c>
      <c r="R4438">
        <v>1.6774939999999999E-2</v>
      </c>
      <c r="S4438">
        <v>-2.9587400000000001</v>
      </c>
      <c r="T4438">
        <v>-0.52991630000000001</v>
      </c>
      <c r="U4438">
        <v>9.0087890000000004E-2</v>
      </c>
      <c r="V4438">
        <v>1.223259E-3</v>
      </c>
      <c r="W4438">
        <v>-0.1028733</v>
      </c>
      <c r="X4438">
        <v>0.99469370000000001</v>
      </c>
      <c r="Y4438">
        <v>1.4723730000000001E-2</v>
      </c>
      <c r="Z4438">
        <v>-1.3352139999999999E-3</v>
      </c>
      <c r="AA4438">
        <v>0.99989070000000002</v>
      </c>
      <c r="AB4438">
        <v>29</v>
      </c>
      <c r="AC4438">
        <v>-0.66229999999995903</v>
      </c>
      <c r="AD4438">
        <v>-0.1662352</v>
      </c>
      <c r="AE4438">
        <v>2.4499999999988999E-2</v>
      </c>
      <c r="AF4438">
        <v>1.3262228427679301E-2</v>
      </c>
      <c r="AG4438">
        <v>-0.1662352</v>
      </c>
      <c r="AH4438">
        <v>0.62338391877929</v>
      </c>
      <c r="AI4438">
        <v>104.92814621491399</v>
      </c>
      <c r="AJ4438">
        <v>88.781240447259606</v>
      </c>
      <c r="AK4438">
        <v>0.64530422175477298</v>
      </c>
      <c r="AL4438">
        <v>95.904652145170104</v>
      </c>
      <c r="AM4438">
        <v>89.929538567884094</v>
      </c>
      <c r="AN4438">
        <v>0.99999998451757999</v>
      </c>
    </row>
    <row r="4439" spans="1:40" x14ac:dyDescent="0.25">
      <c r="A4439" t="str">
        <f>"20190303154603344"</f>
        <v>20190303154603344</v>
      </c>
      <c r="B4439" t="str">
        <f>"1551599163335983"</f>
        <v>1551599163335983</v>
      </c>
      <c r="C4439" t="s">
        <v>40</v>
      </c>
      <c r="D4439">
        <v>5.2079620000000002</v>
      </c>
      <c r="E4439">
        <v>0.50565209999999905</v>
      </c>
      <c r="F4439" t="s">
        <v>42</v>
      </c>
      <c r="G4439">
        <v>-327.83760000000001</v>
      </c>
      <c r="H4439">
        <v>0.9546924</v>
      </c>
      <c r="I4439">
        <v>141.71690000000001</v>
      </c>
      <c r="J4439">
        <v>-327.19729999999998</v>
      </c>
      <c r="K4439">
        <v>1.120158</v>
      </c>
      <c r="L4439">
        <v>141.69239999999999</v>
      </c>
      <c r="M4439">
        <v>-0.99986149999999996</v>
      </c>
      <c r="N4439">
        <v>-6.3519379999999997E-3</v>
      </c>
      <c r="O4439">
        <v>1.5390330000000001E-2</v>
      </c>
      <c r="P4439">
        <v>-0.99386759999999996</v>
      </c>
      <c r="Q4439">
        <v>-0.10935880000000001</v>
      </c>
      <c r="R4439">
        <v>1.63762E-2</v>
      </c>
      <c r="S4439">
        <v>-2.9584959999999998</v>
      </c>
      <c r="T4439">
        <v>-0.53173539999999997</v>
      </c>
      <c r="U4439">
        <v>9.1613769999999997E-2</v>
      </c>
      <c r="V4439">
        <v>1.136136E-3</v>
      </c>
      <c r="W4439">
        <v>-0.1030421</v>
      </c>
      <c r="X4439">
        <v>0.99467640000000002</v>
      </c>
      <c r="Y4439">
        <v>1.553617E-2</v>
      </c>
      <c r="Z4439">
        <v>-1.211752E-3</v>
      </c>
      <c r="AA4439">
        <v>0.99987859999999995</v>
      </c>
      <c r="AB4439">
        <v>29</v>
      </c>
      <c r="AC4439">
        <v>-0.64030000000002396</v>
      </c>
      <c r="AD4439">
        <v>-0.16546559999999899</v>
      </c>
      <c r="AE4439">
        <v>2.4500000000017501E-2</v>
      </c>
      <c r="AF4439">
        <v>1.3727111562813201E-2</v>
      </c>
      <c r="AG4439">
        <v>-0.16546559999999899</v>
      </c>
      <c r="AH4439">
        <v>0.60055463799940501</v>
      </c>
      <c r="AI4439">
        <v>105.400184896211</v>
      </c>
      <c r="AJ4439">
        <v>88.690596029099595</v>
      </c>
      <c r="AK4439">
        <v>0.62308359920464496</v>
      </c>
      <c r="AL4439">
        <v>95.9143749384085</v>
      </c>
      <c r="AM4439">
        <v>89.934555831983502</v>
      </c>
      <c r="AN4439">
        <v>1.00000005294718</v>
      </c>
    </row>
    <row r="4440" spans="1:40" x14ac:dyDescent="0.25">
      <c r="A4440" t="str">
        <f>"20190303154603367"</f>
        <v>20190303154603367</v>
      </c>
      <c r="B4440" t="str">
        <f>"1551599163355504"</f>
        <v>1551599163355504</v>
      </c>
      <c r="C4440" t="s">
        <v>40</v>
      </c>
      <c r="D4440">
        <v>5.0296820000000002</v>
      </c>
      <c r="E4440">
        <v>0.54455690000000001</v>
      </c>
      <c r="F4440" t="s">
        <v>42</v>
      </c>
      <c r="G4440">
        <v>-328.09789999999998</v>
      </c>
      <c r="H4440">
        <v>0.95800730000000001</v>
      </c>
      <c r="I4440">
        <v>141.7208</v>
      </c>
      <c r="J4440">
        <v>-327.48480000000001</v>
      </c>
      <c r="K4440">
        <v>1.120155</v>
      </c>
      <c r="L4440">
        <v>141.69649999999999</v>
      </c>
      <c r="M4440">
        <v>-0.99986640000000004</v>
      </c>
      <c r="N4440">
        <v>-6.3479019999999999E-3</v>
      </c>
      <c r="O4440">
        <v>1.5070429999999999E-2</v>
      </c>
      <c r="P4440">
        <v>-0.99391680000000004</v>
      </c>
      <c r="Q4440">
        <v>-0.10910690000000001</v>
      </c>
      <c r="R4440">
        <v>1.4998569999999999E-2</v>
      </c>
      <c r="S4440">
        <v>-2.958405</v>
      </c>
      <c r="T4440">
        <v>-0.53281309999999904</v>
      </c>
      <c r="U4440">
        <v>9.1949459999999997E-2</v>
      </c>
      <c r="V4440" s="1">
        <v>7.5933169999999896E-5</v>
      </c>
      <c r="W4440">
        <v>-0.1027947</v>
      </c>
      <c r="X4440">
        <v>0.99470259999999999</v>
      </c>
      <c r="Y4440">
        <v>1.5958509999999999E-2</v>
      </c>
      <c r="Z4440">
        <v>-1.1204100000000001E-3</v>
      </c>
      <c r="AA4440">
        <v>0.99987199999999998</v>
      </c>
      <c r="AB4440">
        <v>29</v>
      </c>
      <c r="AC4440">
        <v>-0.613099999999974</v>
      </c>
      <c r="AD4440">
        <v>-0.16214770000000001</v>
      </c>
      <c r="AE4440">
        <v>2.4300000000010799E-2</v>
      </c>
      <c r="AF4440">
        <v>1.4074474294482799E-2</v>
      </c>
      <c r="AG4440">
        <v>-0.16214770000000001</v>
      </c>
      <c r="AH4440">
        <v>0.57335590030769901</v>
      </c>
      <c r="AI4440">
        <v>105.786629900009</v>
      </c>
      <c r="AJ4440">
        <v>88.593812222853302</v>
      </c>
      <c r="AK4440">
        <v>0.59600919108652095</v>
      </c>
      <c r="AL4440">
        <v>95.900124548070195</v>
      </c>
      <c r="AM4440">
        <v>89.995626179968099</v>
      </c>
      <c r="AN4440">
        <v>1.0000000092803401</v>
      </c>
    </row>
    <row r="4441" spans="1:40" x14ac:dyDescent="0.25">
      <c r="A4441" t="str">
        <f>"20190303154603390"</f>
        <v>20190303154603390</v>
      </c>
      <c r="B4441" t="str">
        <f>"1551599163385760"</f>
        <v>1551599163385760</v>
      </c>
      <c r="C4441" t="s">
        <v>40</v>
      </c>
      <c r="D4441">
        <v>5.4844589999999904</v>
      </c>
      <c r="E4441">
        <v>0.54661519999999997</v>
      </c>
      <c r="F4441" t="s">
        <v>42</v>
      </c>
      <c r="G4441">
        <v>-328.35640000000001</v>
      </c>
      <c r="H4441">
        <v>0.95973209999999998</v>
      </c>
      <c r="I4441">
        <v>141.8142</v>
      </c>
      <c r="J4441">
        <v>-327.7824</v>
      </c>
      <c r="K4441">
        <v>1.120161</v>
      </c>
      <c r="L4441">
        <v>141.70070000000001</v>
      </c>
      <c r="M4441">
        <v>-0.99987130000000002</v>
      </c>
      <c r="N4441">
        <v>-6.3473119999999999E-3</v>
      </c>
      <c r="O4441">
        <v>1.473933E-2</v>
      </c>
      <c r="P4441">
        <v>-0.9939865</v>
      </c>
      <c r="Q4441">
        <v>-0.1086917</v>
      </c>
      <c r="R4441">
        <v>1.3321299999999999E-2</v>
      </c>
      <c r="S4441">
        <v>-2.9526979999999998</v>
      </c>
      <c r="T4441">
        <v>-0.54357949999999999</v>
      </c>
      <c r="U4441">
        <v>0.39787289999999997</v>
      </c>
      <c r="V4441">
        <v>-1.2729320000000001E-3</v>
      </c>
      <c r="W4441">
        <v>-0.1023805</v>
      </c>
      <c r="X4441">
        <v>0.99474450000000003</v>
      </c>
      <c r="Y4441">
        <v>0.1171451</v>
      </c>
      <c r="Z4441">
        <v>8.4369230000000007E-3</v>
      </c>
      <c r="AA4441">
        <v>0.99307889999999999</v>
      </c>
      <c r="AB4441">
        <v>29</v>
      </c>
      <c r="AC4441">
        <v>-0.57400000000001195</v>
      </c>
      <c r="AD4441">
        <v>-0.16042890000000001</v>
      </c>
      <c r="AE4441">
        <v>0.113499999999987</v>
      </c>
      <c r="AF4441">
        <v>9.7683576353834803E-2</v>
      </c>
      <c r="AG4441">
        <v>-0.16042890000000001</v>
      </c>
      <c r="AH4441">
        <v>0.53536361454324299</v>
      </c>
      <c r="AI4441">
        <v>106.425325554981</v>
      </c>
      <c r="AJ4441">
        <v>79.659443666987102</v>
      </c>
      <c r="AK4441">
        <v>0.56735677736437695</v>
      </c>
      <c r="AL4441">
        <v>95.876266794798994</v>
      </c>
      <c r="AM4441">
        <v>90.073318918975701</v>
      </c>
      <c r="AN4441">
        <v>1.00000000370818</v>
      </c>
    </row>
    <row r="4442" spans="1:40" x14ac:dyDescent="0.25">
      <c r="A4442" t="str">
        <f>"20190303154603412"</f>
        <v>20190303154603412</v>
      </c>
      <c r="B4442" t="str">
        <f>"1551599163405279"</f>
        <v>1551599163405279</v>
      </c>
      <c r="C4442" t="s">
        <v>40</v>
      </c>
      <c r="D4442">
        <v>5.1957420000000001</v>
      </c>
      <c r="E4442">
        <v>0.5500351</v>
      </c>
      <c r="F4442" t="s">
        <v>42</v>
      </c>
      <c r="G4442">
        <v>-328.6121</v>
      </c>
      <c r="H4442">
        <v>0.94976470000000002</v>
      </c>
      <c r="I4442">
        <v>141.816</v>
      </c>
      <c r="J4442">
        <v>-328.06990000000002</v>
      </c>
      <c r="K4442">
        <v>1.1201620000000001</v>
      </c>
      <c r="L4442">
        <v>141.7046</v>
      </c>
      <c r="M4442">
        <v>-0.99987590000000004</v>
      </c>
      <c r="N4442">
        <v>-6.3494140000000003E-3</v>
      </c>
      <c r="O4442">
        <v>1.441947E-2</v>
      </c>
      <c r="P4442">
        <v>-0.99410869999999996</v>
      </c>
      <c r="Q4442">
        <v>-0.107763</v>
      </c>
      <c r="R4442">
        <v>1.16302E-2</v>
      </c>
      <c r="S4442">
        <v>-2.9465029999999999</v>
      </c>
      <c r="T4442">
        <v>-0.60517349999999903</v>
      </c>
      <c r="U4442">
        <v>0.40882869999999999</v>
      </c>
      <c r="V4442">
        <v>-2.647796E-3</v>
      </c>
      <c r="W4442">
        <v>-0.1014499</v>
      </c>
      <c r="X4442">
        <v>0.99483710000000003</v>
      </c>
      <c r="Y4442">
        <v>0.1208602</v>
      </c>
      <c r="Z4442">
        <v>9.7897290000000005E-3</v>
      </c>
      <c r="AA4442">
        <v>0.99262119999999998</v>
      </c>
      <c r="AB4442">
        <v>29</v>
      </c>
      <c r="AC4442">
        <v>-0.54219999999997903</v>
      </c>
      <c r="AD4442">
        <v>-0.1703973</v>
      </c>
      <c r="AE4442">
        <v>0.111400000000003</v>
      </c>
      <c r="AF4442">
        <v>9.4604767207267695E-2</v>
      </c>
      <c r="AG4442">
        <v>-0.1703973</v>
      </c>
      <c r="AH4442">
        <v>0.49668175466736397</v>
      </c>
      <c r="AI4442">
        <v>108.624455353903</v>
      </c>
      <c r="AJ4442">
        <v>79.215844764814094</v>
      </c>
      <c r="AK4442">
        <v>0.53355230975517598</v>
      </c>
      <c r="AL4442">
        <v>95.822668429736396</v>
      </c>
      <c r="AM4442">
        <v>90.152494491401796</v>
      </c>
      <c r="AN4442">
        <v>0.99999997428503795</v>
      </c>
    </row>
    <row r="4443" spans="1:40" x14ac:dyDescent="0.25">
      <c r="A4443" t="str">
        <f>"20190303154603434"</f>
        <v>20190303154603434</v>
      </c>
      <c r="B4443" t="str">
        <f>"1551599163425775"</f>
        <v>1551599163425775</v>
      </c>
      <c r="C4443" t="s">
        <v>40</v>
      </c>
      <c r="D4443">
        <v>5.1696339999999896</v>
      </c>
      <c r="E4443">
        <v>0.55173870000000003</v>
      </c>
      <c r="F4443" t="s">
        <v>42</v>
      </c>
      <c r="G4443">
        <v>-328.87259999999998</v>
      </c>
      <c r="H4443">
        <v>0.94783280000000003</v>
      </c>
      <c r="I4443">
        <v>141.82230000000001</v>
      </c>
      <c r="J4443">
        <v>-328.36009999999999</v>
      </c>
      <c r="K4443">
        <v>1.1201620000000001</v>
      </c>
      <c r="L4443">
        <v>141.70840000000001</v>
      </c>
      <c r="M4443">
        <v>-0.99988060000000001</v>
      </c>
      <c r="N4443">
        <v>-6.3536690000000002E-3</v>
      </c>
      <c r="O4443">
        <v>1.409675E-2</v>
      </c>
      <c r="P4443">
        <v>-0.99417509999999998</v>
      </c>
      <c r="Q4443">
        <v>-0.1072666</v>
      </c>
      <c r="R4443">
        <v>1.0486769999999999E-2</v>
      </c>
      <c r="S4443">
        <v>-2.9442140000000001</v>
      </c>
      <c r="T4443">
        <v>-0.63210559999999905</v>
      </c>
      <c r="U4443">
        <v>0.43089290000000002</v>
      </c>
      <c r="V4443">
        <v>-3.4710129999999998E-3</v>
      </c>
      <c r="W4443">
        <v>-0.1009495</v>
      </c>
      <c r="X4443">
        <v>0.99488549999999998</v>
      </c>
      <c r="Y4443">
        <v>0.128196</v>
      </c>
      <c r="Z4443">
        <v>1.106269E-2</v>
      </c>
      <c r="AA4443">
        <v>0.99168719999999999</v>
      </c>
      <c r="AB4443">
        <v>29</v>
      </c>
      <c r="AC4443">
        <v>-0.51249999999998797</v>
      </c>
      <c r="AD4443">
        <v>-0.17232919999999899</v>
      </c>
      <c r="AE4443">
        <v>0.1139</v>
      </c>
      <c r="AF4443">
        <v>9.6289374072776407E-2</v>
      </c>
      <c r="AG4443">
        <v>-0.17232919999999899</v>
      </c>
      <c r="AH4443">
        <v>0.46405562951378299</v>
      </c>
      <c r="AI4443">
        <v>109.981753190132</v>
      </c>
      <c r="AJ4443">
        <v>78.277735782640306</v>
      </c>
      <c r="AK4443">
        <v>0.50429814992264299</v>
      </c>
      <c r="AL4443">
        <v>95.793849497332701</v>
      </c>
      <c r="AM4443">
        <v>90.199895956502701</v>
      </c>
      <c r="AN4443">
        <v>1.0000000037958701</v>
      </c>
    </row>
    <row r="4444" spans="1:40" x14ac:dyDescent="0.25">
      <c r="A4444" t="str">
        <f>"20190303154603458"</f>
        <v>20190303154603458</v>
      </c>
      <c r="B4444" t="str">
        <f>"1551599163445295"</f>
        <v>1551599163445295</v>
      </c>
      <c r="C4444" t="s">
        <v>40</v>
      </c>
      <c r="D4444">
        <v>5.1398020000000004</v>
      </c>
      <c r="E4444">
        <v>0.5529385</v>
      </c>
      <c r="F4444" t="s">
        <v>42</v>
      </c>
      <c r="G4444">
        <v>-329.13499999999999</v>
      </c>
      <c r="H4444">
        <v>0.94848060000000001</v>
      </c>
      <c r="I4444">
        <v>141.82490000000001</v>
      </c>
      <c r="J4444">
        <v>-328.67759999999998</v>
      </c>
      <c r="K4444">
        <v>1.120158</v>
      </c>
      <c r="L4444">
        <v>141.71260000000001</v>
      </c>
      <c r="M4444">
        <v>-0.99988549999999998</v>
      </c>
      <c r="N4444">
        <v>-6.3601169999999898E-3</v>
      </c>
      <c r="O4444">
        <v>1.374415E-2</v>
      </c>
      <c r="P4444">
        <v>-0.99425660000000005</v>
      </c>
      <c r="Q4444">
        <v>-0.106555399999999</v>
      </c>
      <c r="R4444">
        <v>1.000154E-2</v>
      </c>
      <c r="S4444">
        <v>-2.9425659999999998</v>
      </c>
      <c r="T4444">
        <v>-0.65198990000000001</v>
      </c>
      <c r="U4444">
        <v>0.44111630000000002</v>
      </c>
      <c r="V4444">
        <v>-3.6069549999999998E-3</v>
      </c>
      <c r="W4444">
        <v>-0.1002315</v>
      </c>
      <c r="X4444">
        <v>0.9949576</v>
      </c>
      <c r="Y4444">
        <v>0.13173570000000001</v>
      </c>
      <c r="Z4444">
        <v>1.18627E-2</v>
      </c>
      <c r="AA4444">
        <v>0.99121389999999998</v>
      </c>
      <c r="AB4444">
        <v>29</v>
      </c>
      <c r="AC4444">
        <v>-0.45740000000000602</v>
      </c>
      <c r="AD4444">
        <v>-0.17167739999999901</v>
      </c>
      <c r="AE4444">
        <v>0.11230000000000399</v>
      </c>
      <c r="AF4444">
        <v>9.3570374936107398E-2</v>
      </c>
      <c r="AG4444">
        <v>-0.17167739999999901</v>
      </c>
      <c r="AH4444">
        <v>0.40507907571348001</v>
      </c>
      <c r="AI4444">
        <v>112.43761513470901</v>
      </c>
      <c r="AJ4444">
        <v>76.993218546617598</v>
      </c>
      <c r="AK4444">
        <v>0.44979729025120901</v>
      </c>
      <c r="AL4444">
        <v>95.752501457916907</v>
      </c>
      <c r="AM4444">
        <v>90.207709748691897</v>
      </c>
      <c r="AN4444">
        <v>0.99999999475719104</v>
      </c>
    </row>
    <row r="4445" spans="1:40" x14ac:dyDescent="0.25">
      <c r="A4445" t="str">
        <f>"20190303154603484"</f>
        <v>20190303154603484</v>
      </c>
      <c r="B4445" t="str">
        <f>"1551599163475551"</f>
        <v>1551599163475551</v>
      </c>
      <c r="C4445" t="s">
        <v>40</v>
      </c>
      <c r="D4445">
        <v>5.3629559999999996</v>
      </c>
      <c r="E4445">
        <v>0.55221540000000002</v>
      </c>
      <c r="F4445" t="s">
        <v>42</v>
      </c>
      <c r="G4445">
        <v>-329.40190000000001</v>
      </c>
      <c r="H4445">
        <v>0.95692500000000003</v>
      </c>
      <c r="I4445">
        <v>141.82339999999999</v>
      </c>
      <c r="J4445">
        <v>-329.00229999999999</v>
      </c>
      <c r="K4445">
        <v>1.120155</v>
      </c>
      <c r="L4445">
        <v>141.7167</v>
      </c>
      <c r="M4445">
        <v>-0.99989030000000001</v>
      </c>
      <c r="N4445">
        <v>-6.3679230000000002E-3</v>
      </c>
      <c r="O4445">
        <v>1.3383630000000001E-2</v>
      </c>
      <c r="P4445">
        <v>-0.99427030000000005</v>
      </c>
      <c r="Q4445">
        <v>-0.10640670000000001</v>
      </c>
      <c r="R4445">
        <v>1.021067E-2</v>
      </c>
      <c r="S4445">
        <v>-2.941681</v>
      </c>
      <c r="T4445">
        <v>-0.66304919999999901</v>
      </c>
      <c r="U4445">
        <v>0.44902039999999999</v>
      </c>
      <c r="V4445">
        <v>-3.0386319999999999E-3</v>
      </c>
      <c r="W4445">
        <v>-0.1000746</v>
      </c>
      <c r="X4445">
        <v>0.99497530000000001</v>
      </c>
      <c r="Y4445">
        <v>0.13456319999999999</v>
      </c>
      <c r="Z4445">
        <v>1.245223E-2</v>
      </c>
      <c r="AA4445">
        <v>0.99082680000000001</v>
      </c>
      <c r="AB4445">
        <v>29</v>
      </c>
      <c r="AC4445">
        <v>-0.39960000000001999</v>
      </c>
      <c r="AD4445">
        <v>-0.16322999999999999</v>
      </c>
      <c r="AE4445">
        <v>0.106699999999989</v>
      </c>
      <c r="AF4445">
        <v>8.7684969024158399E-2</v>
      </c>
      <c r="AG4445">
        <v>-0.16322999999999999</v>
      </c>
      <c r="AH4445">
        <v>0.34695301704824</v>
      </c>
      <c r="AI4445">
        <v>114.518954119396</v>
      </c>
      <c r="AJ4445">
        <v>75.816707395935893</v>
      </c>
      <c r="AK4445">
        <v>0.39333075487640701</v>
      </c>
      <c r="AL4445">
        <v>95.7434662729531</v>
      </c>
      <c r="AM4445">
        <v>90.174979467158593</v>
      </c>
      <c r="AN4445">
        <v>1.00000000322984</v>
      </c>
    </row>
    <row r="4446" spans="1:40" x14ac:dyDescent="0.25">
      <c r="A4446" t="str">
        <f>"20190303154603502"</f>
        <v>20190303154603502</v>
      </c>
      <c r="B4446" t="str">
        <f>"1551599163496048"</f>
        <v>1551599163496048</v>
      </c>
      <c r="C4446" t="s">
        <v>40</v>
      </c>
      <c r="D4446">
        <v>5.3251410000000003</v>
      </c>
      <c r="E4446">
        <v>0.55127230000000005</v>
      </c>
      <c r="F4446" t="s">
        <v>42</v>
      </c>
      <c r="G4446">
        <v>-329.90690000000001</v>
      </c>
      <c r="H4446">
        <v>0.90357180000000004</v>
      </c>
      <c r="I4446">
        <v>141.85319999999999</v>
      </c>
      <c r="J4446">
        <v>-329.26459999999997</v>
      </c>
      <c r="K4446">
        <v>1.120152</v>
      </c>
      <c r="L4446">
        <v>141.7199</v>
      </c>
      <c r="M4446">
        <v>-0.99989410000000001</v>
      </c>
      <c r="N4446">
        <v>-6.3750949999999999E-3</v>
      </c>
      <c r="O4446">
        <v>1.3092360000000001E-2</v>
      </c>
      <c r="P4446">
        <v>-0.9942318</v>
      </c>
      <c r="Q4446">
        <v>-0.10668759999999999</v>
      </c>
      <c r="R4446">
        <v>1.1014090000000001E-2</v>
      </c>
      <c r="S4446">
        <v>-2.9374690000000001</v>
      </c>
      <c r="T4446">
        <v>-0.70330700000000002</v>
      </c>
      <c r="U4446">
        <v>0.44354250000000001</v>
      </c>
      <c r="V4446">
        <v>-1.944989E-3</v>
      </c>
      <c r="W4446">
        <v>-0.1003479</v>
      </c>
      <c r="X4446">
        <v>0.99495049999999996</v>
      </c>
      <c r="Y4446">
        <v>0.132912</v>
      </c>
      <c r="Z4446">
        <v>1.30452E-2</v>
      </c>
      <c r="AA4446">
        <v>0.99104199999999998</v>
      </c>
      <c r="AB4446">
        <v>30</v>
      </c>
      <c r="AC4446">
        <v>-0.64230000000003395</v>
      </c>
      <c r="AD4446">
        <v>-0.2165802</v>
      </c>
      <c r="AE4446">
        <v>0.13329999999999101</v>
      </c>
      <c r="AF4446">
        <v>0.112604670641042</v>
      </c>
      <c r="AG4446">
        <v>-0.2165802</v>
      </c>
      <c r="AH4446">
        <v>0.580691693707167</v>
      </c>
      <c r="AI4446">
        <v>110.110140851209</v>
      </c>
      <c r="AJ4446">
        <v>79.025706972273596</v>
      </c>
      <c r="AK4446">
        <v>0.62991240503955503</v>
      </c>
      <c r="AL4446">
        <v>95.759204504720998</v>
      </c>
      <c r="AM4446">
        <v>90.112005088640004</v>
      </c>
      <c r="AN4446">
        <v>0.99999999073343404</v>
      </c>
    </row>
    <row r="4447" spans="1:40" x14ac:dyDescent="0.25">
      <c r="A4447" t="str">
        <f>"20190303154603525"</f>
        <v>20190303154603525</v>
      </c>
      <c r="B4447" t="str">
        <f>"1551599163515567"</f>
        <v>1551599163515567</v>
      </c>
      <c r="C4447" t="s">
        <v>40</v>
      </c>
      <c r="D4447">
        <v>5.2815349999999999</v>
      </c>
      <c r="E4447">
        <v>0.55049809999999999</v>
      </c>
      <c r="F4447" t="s">
        <v>42</v>
      </c>
      <c r="G4447">
        <v>-330.16860000000003</v>
      </c>
      <c r="H4447">
        <v>0.89492579999999999</v>
      </c>
      <c r="I4447">
        <v>141.85509999999999</v>
      </c>
      <c r="J4447">
        <v>-329.56389999999999</v>
      </c>
      <c r="K4447">
        <v>1.1201479999999999</v>
      </c>
      <c r="L4447">
        <v>141.7234</v>
      </c>
      <c r="M4447">
        <v>-0.99989830000000002</v>
      </c>
      <c r="N4447">
        <v>-6.3840370000000004E-3</v>
      </c>
      <c r="O4447">
        <v>1.2760499999999999E-2</v>
      </c>
      <c r="P4447">
        <v>-0.99420500000000001</v>
      </c>
      <c r="Q4447">
        <v>-0.1068914</v>
      </c>
      <c r="R4447">
        <v>1.143745E-2</v>
      </c>
      <c r="S4447">
        <v>-2.9340820000000001</v>
      </c>
      <c r="T4447">
        <v>-0.73098739999999995</v>
      </c>
      <c r="U4447">
        <v>0.4381409</v>
      </c>
      <c r="V4447">
        <v>-1.1906219999999999E-3</v>
      </c>
      <c r="W4447">
        <v>-0.1005426</v>
      </c>
      <c r="X4447">
        <v>0.99493209999999999</v>
      </c>
      <c r="Y4447">
        <v>0.13138639999999999</v>
      </c>
      <c r="Z4447">
        <v>1.3429190000000001E-2</v>
      </c>
      <c r="AA4447">
        <v>0.99124029999999996</v>
      </c>
      <c r="AB4447">
        <v>30</v>
      </c>
      <c r="AC4447">
        <v>-0.60470000000003599</v>
      </c>
      <c r="AD4447">
        <v>-0.22522220000000001</v>
      </c>
      <c r="AE4447">
        <v>0.13169999999999499</v>
      </c>
      <c r="AF4447">
        <v>0.10947419879934001</v>
      </c>
      <c r="AG4447">
        <v>-0.22522220000000001</v>
      </c>
      <c r="AH4447">
        <v>0.53542079264134301</v>
      </c>
      <c r="AI4447">
        <v>112.397490083633</v>
      </c>
      <c r="AJ4447">
        <v>78.444356885619996</v>
      </c>
      <c r="AK4447">
        <v>0.59108803470234605</v>
      </c>
      <c r="AL4447">
        <v>95.770416309471301</v>
      </c>
      <c r="AM4447">
        <v>90.068565063918996</v>
      </c>
      <c r="AN4447">
        <v>1.00000005780295</v>
      </c>
    </row>
    <row r="4448" spans="1:40" x14ac:dyDescent="0.25">
      <c r="A4448" t="str">
        <f>"20190303154603546"</f>
        <v>20190303154603546</v>
      </c>
      <c r="B4448" t="str">
        <f>"1551599163536064"</f>
        <v>1551599163536064</v>
      </c>
      <c r="C4448" t="s">
        <v>40</v>
      </c>
      <c r="D4448">
        <v>5.1568779999999999</v>
      </c>
      <c r="E4448">
        <v>0.55070359999999996</v>
      </c>
      <c r="F4448" t="s">
        <v>42</v>
      </c>
      <c r="G4448">
        <v>-330.43529999999998</v>
      </c>
      <c r="H4448">
        <v>0.8963468</v>
      </c>
      <c r="I4448">
        <v>141.85249999999999</v>
      </c>
      <c r="J4448">
        <v>-329.84870000000001</v>
      </c>
      <c r="K4448">
        <v>1.120142</v>
      </c>
      <c r="L4448">
        <v>141.7268</v>
      </c>
      <c r="M4448">
        <v>-0.99990210000000002</v>
      </c>
      <c r="N4448">
        <v>-6.3932109999999898E-3</v>
      </c>
      <c r="O4448">
        <v>1.244438E-2</v>
      </c>
      <c r="P4448">
        <v>-0.99409789999999998</v>
      </c>
      <c r="Q4448">
        <v>-0.1078472</v>
      </c>
      <c r="R4448">
        <v>1.177286E-2</v>
      </c>
      <c r="S4448">
        <v>-2.9315190000000002</v>
      </c>
      <c r="T4448">
        <v>-0.75292269999999994</v>
      </c>
      <c r="U4448">
        <v>0.43330380000000002</v>
      </c>
      <c r="V4448">
        <v>-5.3824180000000001E-4</v>
      </c>
      <c r="W4448">
        <v>-0.10148939999999999</v>
      </c>
      <c r="X4448">
        <v>0.99483639999999995</v>
      </c>
      <c r="Y4448">
        <v>0.13003599999999901</v>
      </c>
      <c r="Z4448">
        <v>1.3722069999999999E-2</v>
      </c>
      <c r="AA4448">
        <v>0.99141429999999997</v>
      </c>
      <c r="AB4448">
        <v>30</v>
      </c>
      <c r="AC4448">
        <v>-0.58659999999997503</v>
      </c>
      <c r="AD4448">
        <v>-0.223795199999999</v>
      </c>
      <c r="AE4448">
        <v>0.12569999999999401</v>
      </c>
      <c r="AF4448">
        <v>0.103927516753235</v>
      </c>
      <c r="AG4448">
        <v>-0.223795199999999</v>
      </c>
      <c r="AH4448">
        <v>0.51627339814194995</v>
      </c>
      <c r="AI4448">
        <v>113.02341419036701</v>
      </c>
      <c r="AJ4448">
        <v>78.618286372595804</v>
      </c>
      <c r="AK4448">
        <v>0.57220926409013195</v>
      </c>
      <c r="AL4448">
        <v>95.824943640595905</v>
      </c>
      <c r="AM4448">
        <v>90.030999047168393</v>
      </c>
      <c r="AN4448">
        <v>0.99999992539077398</v>
      </c>
    </row>
    <row r="4449" spans="1:40" x14ac:dyDescent="0.25">
      <c r="A4449" t="str">
        <f>"20190303154603569"</f>
        <v>20190303154603569</v>
      </c>
      <c r="B4449" t="str">
        <f>"1551599163555583"</f>
        <v>1551599163555583</v>
      </c>
      <c r="C4449" t="s">
        <v>40</v>
      </c>
      <c r="D4449">
        <v>5.0671749999999998</v>
      </c>
      <c r="E4449">
        <v>0.55198990000000003</v>
      </c>
      <c r="F4449" t="s">
        <v>42</v>
      </c>
      <c r="G4449">
        <v>-330.70249999999999</v>
      </c>
      <c r="H4449">
        <v>0.89654509999999898</v>
      </c>
      <c r="I4449">
        <v>141.85419999999999</v>
      </c>
      <c r="J4449">
        <v>-330.14580000000001</v>
      </c>
      <c r="K4449">
        <v>1.120134</v>
      </c>
      <c r="L4449">
        <v>141.73009999999999</v>
      </c>
      <c r="M4449">
        <v>-0.99990619999999997</v>
      </c>
      <c r="N4449">
        <v>-6.4031569999999996E-3</v>
      </c>
      <c r="O4449">
        <v>1.211573E-2</v>
      </c>
      <c r="P4449">
        <v>-0.99406419999999995</v>
      </c>
      <c r="Q4449">
        <v>-0.1081428</v>
      </c>
      <c r="R4449">
        <v>1.1898519999999999E-2</v>
      </c>
      <c r="S4449">
        <v>-2.929443</v>
      </c>
      <c r="T4449">
        <v>-0.767266</v>
      </c>
      <c r="U4449">
        <v>0.43582149999999997</v>
      </c>
      <c r="V4449" s="1">
        <v>-8.5395959999999896E-5</v>
      </c>
      <c r="W4449">
        <v>-0.10177509999999999</v>
      </c>
      <c r="X4449">
        <v>0.99480740000000001</v>
      </c>
      <c r="Y4449">
        <v>0.13110169999999999</v>
      </c>
      <c r="Z4449">
        <v>1.4197359999999999E-2</v>
      </c>
      <c r="AA4449">
        <v>0.99126729999999996</v>
      </c>
      <c r="AB4449">
        <v>30</v>
      </c>
      <c r="AC4449">
        <v>-0.55669999999997799</v>
      </c>
      <c r="AD4449">
        <v>-0.22358890000000001</v>
      </c>
      <c r="AE4449">
        <v>0.124099999999998</v>
      </c>
      <c r="AF4449">
        <v>0.10171513290031201</v>
      </c>
      <c r="AG4449">
        <v>-0.22358890000000001</v>
      </c>
      <c r="AH4449">
        <v>0.48381395099117402</v>
      </c>
      <c r="AI4449">
        <v>114.33494046273999</v>
      </c>
      <c r="AJ4449">
        <v>78.127268195151103</v>
      </c>
      <c r="AK4449">
        <v>0.54259921087099705</v>
      </c>
      <c r="AL4449">
        <v>95.841397981942393</v>
      </c>
      <c r="AM4449">
        <v>90.004918367196893</v>
      </c>
      <c r="AN4449">
        <v>0.99999997068361901</v>
      </c>
    </row>
    <row r="4450" spans="1:40" x14ac:dyDescent="0.25">
      <c r="A4450" t="str">
        <f>"20190303154603591"</f>
        <v>20190303154603591</v>
      </c>
      <c r="B4450" t="str">
        <f>"1551599163585839"</f>
        <v>1551599163585839</v>
      </c>
      <c r="C4450" t="s">
        <v>40</v>
      </c>
      <c r="D4450">
        <v>5.0339419999999997</v>
      </c>
      <c r="E4450">
        <v>0.55341109999999905</v>
      </c>
      <c r="F4450" t="s">
        <v>42</v>
      </c>
      <c r="G4450">
        <v>-330.97300000000001</v>
      </c>
      <c r="H4450">
        <v>0.90238119999999999</v>
      </c>
      <c r="I4450">
        <v>141.85640000000001</v>
      </c>
      <c r="J4450">
        <v>-330.45030000000003</v>
      </c>
      <c r="K4450">
        <v>1.120134</v>
      </c>
      <c r="L4450">
        <v>141.73349999999999</v>
      </c>
      <c r="M4450">
        <v>-0.99991010000000002</v>
      </c>
      <c r="N4450">
        <v>-6.4136769999999996E-3</v>
      </c>
      <c r="O4450">
        <v>1.178041E-2</v>
      </c>
      <c r="P4450">
        <v>-0.99399630000000005</v>
      </c>
      <c r="Q4450">
        <v>-0.10873380000000001</v>
      </c>
      <c r="R4450">
        <v>1.217763E-2</v>
      </c>
      <c r="S4450">
        <v>-2.9286799999999999</v>
      </c>
      <c r="T4450">
        <v>-0.77098949999999999</v>
      </c>
      <c r="U4450">
        <v>0.44602969999999997</v>
      </c>
      <c r="V4450">
        <v>5.2852379999999998E-4</v>
      </c>
      <c r="W4450">
        <v>-0.1023556</v>
      </c>
      <c r="X4450">
        <v>0.99474779999999996</v>
      </c>
      <c r="Y4450">
        <v>0.134678399999999</v>
      </c>
      <c r="Z4450">
        <v>1.4818980000000001E-2</v>
      </c>
      <c r="AA4450">
        <v>0.99077859999999995</v>
      </c>
      <c r="AB4450">
        <v>30</v>
      </c>
      <c r="AC4450">
        <v>-0.52269999999998595</v>
      </c>
      <c r="AD4450">
        <v>-0.2177528</v>
      </c>
      <c r="AE4450">
        <v>0.122900000000015</v>
      </c>
      <c r="AF4450">
        <v>0.100247320348632</v>
      </c>
      <c r="AG4450">
        <v>-0.2177528</v>
      </c>
      <c r="AH4450">
        <v>0.45009084126244198</v>
      </c>
      <c r="AI4450">
        <v>115.27791274713501</v>
      </c>
      <c r="AJ4450">
        <v>77.443642195084294</v>
      </c>
      <c r="AK4450">
        <v>0.50994859793243297</v>
      </c>
      <c r="AL4450">
        <v>95.874832222931204</v>
      </c>
      <c r="AM4450">
        <v>89.969557931907204</v>
      </c>
      <c r="AN4450">
        <v>1.0000000668968001</v>
      </c>
    </row>
    <row r="4451" spans="1:40" x14ac:dyDescent="0.25">
      <c r="A4451" t="str">
        <f>"20190303154603614"</f>
        <v>20190303154603614</v>
      </c>
      <c r="B4451" t="str">
        <f>"1551599163605359"</f>
        <v>1551599163605359</v>
      </c>
      <c r="C4451" t="s">
        <v>40</v>
      </c>
      <c r="D4451">
        <v>5.0122689999999999</v>
      </c>
      <c r="E4451">
        <v>0.55422819999999995</v>
      </c>
      <c r="F4451" t="s">
        <v>42</v>
      </c>
      <c r="G4451">
        <v>-331.24470000000002</v>
      </c>
      <c r="H4451">
        <v>0.90948810000000002</v>
      </c>
      <c r="I4451">
        <v>141.85769999999999</v>
      </c>
      <c r="J4451">
        <v>-330.74759999999998</v>
      </c>
      <c r="K4451">
        <v>1.120131</v>
      </c>
      <c r="L4451">
        <v>141.73670000000001</v>
      </c>
      <c r="M4451">
        <v>-0.99991390000000002</v>
      </c>
      <c r="N4451">
        <v>-6.4242989999999996E-3</v>
      </c>
      <c r="O4451">
        <v>1.145589E-2</v>
      </c>
      <c r="P4451">
        <v>-0.99398209999999998</v>
      </c>
      <c r="Q4451">
        <v>-0.1088407</v>
      </c>
      <c r="R4451">
        <v>1.239225E-2</v>
      </c>
      <c r="S4451">
        <v>-2.9275820000000001</v>
      </c>
      <c r="T4451">
        <v>-0.77634320000000001</v>
      </c>
      <c r="U4451">
        <v>0.45715329999999899</v>
      </c>
      <c r="V4451">
        <v>1.066055E-3</v>
      </c>
      <c r="W4451">
        <v>-0.10245170000000001</v>
      </c>
      <c r="X4451">
        <v>0.99473739999999999</v>
      </c>
      <c r="Y4451">
        <v>0.13852999999999999</v>
      </c>
      <c r="Z4451">
        <v>1.551114E-2</v>
      </c>
      <c r="AA4451">
        <v>0.99023680000000003</v>
      </c>
      <c r="AB4451">
        <v>30</v>
      </c>
      <c r="AC4451">
        <v>-0.49710000000004501</v>
      </c>
      <c r="AD4451">
        <v>-0.21064289999999999</v>
      </c>
      <c r="AE4451">
        <v>0.12099999999998</v>
      </c>
      <c r="AF4451">
        <v>9.8585505542830798E-2</v>
      </c>
      <c r="AG4451">
        <v>-0.21064289999999999</v>
      </c>
      <c r="AH4451">
        <v>0.42620539457714601</v>
      </c>
      <c r="AI4451">
        <v>115.711508523202</v>
      </c>
      <c r="AJ4451">
        <v>76.975977699476402</v>
      </c>
      <c r="AK4451">
        <v>0.48553122617418398</v>
      </c>
      <c r="AL4451">
        <v>95.880367893132799</v>
      </c>
      <c r="AM4451">
        <v>89.938596428721198</v>
      </c>
      <c r="AN4451">
        <v>0.99999999113245597</v>
      </c>
    </row>
    <row r="4452" spans="1:40" x14ac:dyDescent="0.25">
      <c r="A4452" t="str">
        <f>"20190303154603634"</f>
        <v>20190303154603634</v>
      </c>
      <c r="B4452" t="str">
        <f>"1551599163625855"</f>
        <v>1551599163625855</v>
      </c>
      <c r="C4452" t="s">
        <v>40</v>
      </c>
      <c r="D4452">
        <v>4.9882369999999998</v>
      </c>
      <c r="E4452">
        <v>0.55497489999999905</v>
      </c>
      <c r="F4452" t="s">
        <v>42</v>
      </c>
      <c r="G4452">
        <v>-331.51679999999999</v>
      </c>
      <c r="H4452">
        <v>0.9154291</v>
      </c>
      <c r="I4452">
        <v>141.85900000000001</v>
      </c>
      <c r="J4452">
        <v>-331.0342</v>
      </c>
      <c r="K4452">
        <v>1.120126</v>
      </c>
      <c r="L4452">
        <v>141.7397</v>
      </c>
      <c r="M4452">
        <v>-0.99991730000000001</v>
      </c>
      <c r="N4452">
        <v>-6.4348299999999999E-3</v>
      </c>
      <c r="O4452">
        <v>1.1147590000000001E-2</v>
      </c>
      <c r="P4452">
        <v>-0.99403710000000001</v>
      </c>
      <c r="Q4452">
        <v>-0.1082925</v>
      </c>
      <c r="R4452">
        <v>1.276799E-2</v>
      </c>
      <c r="S4452">
        <v>-2.927063</v>
      </c>
      <c r="T4452">
        <v>-0.77899960000000001</v>
      </c>
      <c r="U4452">
        <v>0.46446229999999999</v>
      </c>
      <c r="V4452">
        <v>1.7467730000000001E-3</v>
      </c>
      <c r="W4452">
        <v>-0.1018922</v>
      </c>
      <c r="X4452">
        <v>0.99479390000000001</v>
      </c>
      <c r="Y4452">
        <v>0.14114409999999999</v>
      </c>
      <c r="Z4452">
        <v>1.5988180000000001E-2</v>
      </c>
      <c r="AA4452">
        <v>0.98985990000000001</v>
      </c>
      <c r="AB4452">
        <v>30</v>
      </c>
      <c r="AC4452">
        <v>-0.48259999999998998</v>
      </c>
      <c r="AD4452">
        <v>-0.20469689999999999</v>
      </c>
      <c r="AE4452">
        <v>0.119300000000009</v>
      </c>
      <c r="AF4452">
        <v>9.7399023491958794E-2</v>
      </c>
      <c r="AG4452">
        <v>-0.20469689999999999</v>
      </c>
      <c r="AH4452">
        <v>0.413750207447103</v>
      </c>
      <c r="AI4452">
        <v>115.714165969764</v>
      </c>
      <c r="AJ4452">
        <v>76.753439963312104</v>
      </c>
      <c r="AK4452">
        <v>0.47178027174662401</v>
      </c>
      <c r="AL4452">
        <v>95.848142280048194</v>
      </c>
      <c r="AM4452">
        <v>89.899393615292496</v>
      </c>
      <c r="AN4452">
        <v>0.99999998755698105</v>
      </c>
    </row>
    <row r="4453" spans="1:40" x14ac:dyDescent="0.25">
      <c r="A4453" t="str">
        <f>"20190303154603659"</f>
        <v>20190303154603659</v>
      </c>
      <c r="B4453" t="str">
        <f>"1551599163655135"</f>
        <v>1551599163655135</v>
      </c>
      <c r="C4453" t="s">
        <v>40</v>
      </c>
      <c r="D4453">
        <v>4.9680519999999904</v>
      </c>
      <c r="E4453">
        <v>0.55582469999999995</v>
      </c>
      <c r="F4453" t="s">
        <v>42</v>
      </c>
      <c r="G4453">
        <v>-331.78910000000002</v>
      </c>
      <c r="H4453">
        <v>0.91962279999999996</v>
      </c>
      <c r="I4453">
        <v>141.86170000000001</v>
      </c>
      <c r="J4453">
        <v>-331.3562</v>
      </c>
      <c r="K4453">
        <v>1.12012</v>
      </c>
      <c r="L4453">
        <v>141.74289999999999</v>
      </c>
      <c r="M4453">
        <v>-0.9999209</v>
      </c>
      <c r="N4453">
        <v>-6.4467070000000003E-3</v>
      </c>
      <c r="O4453">
        <v>1.080855E-2</v>
      </c>
      <c r="P4453">
        <v>-0.99403070000000004</v>
      </c>
      <c r="Q4453">
        <v>-0.1082824</v>
      </c>
      <c r="R4453">
        <v>1.3349359999999999E-2</v>
      </c>
      <c r="S4453">
        <v>-2.927216</v>
      </c>
      <c r="T4453">
        <v>-0.77753399999999995</v>
      </c>
      <c r="U4453">
        <v>0.47236630000000002</v>
      </c>
      <c r="V4453">
        <v>2.664666E-3</v>
      </c>
      <c r="W4453">
        <v>-0.1018698</v>
      </c>
      <c r="X4453">
        <v>0.99479419999999996</v>
      </c>
      <c r="Y4453">
        <v>0.14398659999999999</v>
      </c>
      <c r="Z4453">
        <v>1.642124E-2</v>
      </c>
      <c r="AA4453">
        <v>0.98944339999999997</v>
      </c>
      <c r="AB4453">
        <v>30</v>
      </c>
      <c r="AC4453">
        <v>-0.43290000000001699</v>
      </c>
      <c r="AD4453">
        <v>-0.20049719999999999</v>
      </c>
      <c r="AE4453">
        <v>0.118800000000021</v>
      </c>
      <c r="AF4453">
        <v>9.5135883975477203E-2</v>
      </c>
      <c r="AG4453">
        <v>-0.20049719999999999</v>
      </c>
      <c r="AH4453">
        <v>0.36195472609053497</v>
      </c>
      <c r="AI4453">
        <v>118.179404474135</v>
      </c>
      <c r="AJ4453">
        <v>75.273516719387104</v>
      </c>
      <c r="AK4453">
        <v>0.42457176939465702</v>
      </c>
      <c r="AL4453">
        <v>95.846851901377804</v>
      </c>
      <c r="AM4453">
        <v>89.846527301354996</v>
      </c>
      <c r="AN4453">
        <v>1.0000000284752799</v>
      </c>
    </row>
    <row r="4454" spans="1:40" x14ac:dyDescent="0.25">
      <c r="A4454" t="str">
        <f>"20190303154603681"</f>
        <v>20190303154603681</v>
      </c>
      <c r="B4454" t="str">
        <f>"1551599163675632"</f>
        <v>1551599163675632</v>
      </c>
      <c r="C4454" t="s">
        <v>40</v>
      </c>
      <c r="D4454">
        <v>4.9482540000000004</v>
      </c>
      <c r="E4454">
        <v>0.55663819999999997</v>
      </c>
      <c r="F4454" t="s">
        <v>42</v>
      </c>
      <c r="G4454">
        <v>-332.06560000000002</v>
      </c>
      <c r="H4454">
        <v>0.93127660000000001</v>
      </c>
      <c r="I4454">
        <v>141.8597</v>
      </c>
      <c r="J4454">
        <v>-331.66570000000002</v>
      </c>
      <c r="K4454">
        <v>1.120112</v>
      </c>
      <c r="L4454">
        <v>141.74590000000001</v>
      </c>
      <c r="M4454">
        <v>-0.99992409999999998</v>
      </c>
      <c r="N4454">
        <v>-6.4582490000000001E-3</v>
      </c>
      <c r="O4454">
        <v>1.049331E-2</v>
      </c>
      <c r="P4454">
        <v>-0.9940293</v>
      </c>
      <c r="Q4454">
        <v>-0.1083168</v>
      </c>
      <c r="R4454">
        <v>1.3162419999999999E-2</v>
      </c>
      <c r="S4454">
        <v>-2.926666</v>
      </c>
      <c r="T4454">
        <v>-0.77907090000000001</v>
      </c>
      <c r="U4454">
        <v>0.48074339999999999</v>
      </c>
      <c r="V4454">
        <v>2.789793E-3</v>
      </c>
      <c r="W4454">
        <v>-0.10189280000000001</v>
      </c>
      <c r="X4454">
        <v>0.99479139999999999</v>
      </c>
      <c r="Y4454">
        <v>0.14695520000000001</v>
      </c>
      <c r="Z4454">
        <v>1.6927709999999999E-2</v>
      </c>
      <c r="AA4454">
        <v>0.9889983</v>
      </c>
      <c r="AB4454">
        <v>30</v>
      </c>
      <c r="AC4454">
        <v>-0.39990000000000198</v>
      </c>
      <c r="AD4454">
        <v>-0.18883539999999999</v>
      </c>
      <c r="AE4454">
        <v>0.113799999999997</v>
      </c>
      <c r="AF4454">
        <v>9.0856061188900994E-2</v>
      </c>
      <c r="AG4454">
        <v>-0.18883539999999999</v>
      </c>
      <c r="AH4454">
        <v>0.33248822187551103</v>
      </c>
      <c r="AI4454">
        <v>118.716553932727</v>
      </c>
      <c r="AJ4454">
        <v>74.716422384465602</v>
      </c>
      <c r="AK4454">
        <v>0.39301660249137099</v>
      </c>
      <c r="AL4454">
        <v>95.848177189379101</v>
      </c>
      <c r="AM4454">
        <v>89.8393201372878</v>
      </c>
      <c r="AN4454">
        <v>0.99999992757538803</v>
      </c>
    </row>
    <row r="4455" spans="1:40" x14ac:dyDescent="0.25">
      <c r="A4455" t="str">
        <f>"20190303154603707"</f>
        <v>20190303154603707</v>
      </c>
      <c r="B4455" t="str">
        <f>"1551599163695152"</f>
        <v>1551599163695152</v>
      </c>
      <c r="C4455" t="s">
        <v>40</v>
      </c>
      <c r="D4455">
        <v>4.9640659999999999</v>
      </c>
      <c r="E4455">
        <v>0.55712620000000002</v>
      </c>
      <c r="F4455" t="s">
        <v>42</v>
      </c>
      <c r="G4455">
        <v>-332.34199999999998</v>
      </c>
      <c r="H4455">
        <v>0.94078119999999998</v>
      </c>
      <c r="I4455">
        <v>141.85849999999999</v>
      </c>
      <c r="J4455">
        <v>-332.01870000000002</v>
      </c>
      <c r="K4455">
        <v>1.1200950000000001</v>
      </c>
      <c r="L4455">
        <v>141.74930000000001</v>
      </c>
      <c r="M4455">
        <v>-0.99992760000000003</v>
      </c>
      <c r="N4455">
        <v>-6.4713849999999996E-3</v>
      </c>
      <c r="O4455">
        <v>1.015492E-2</v>
      </c>
      <c r="P4455">
        <v>-0.99402100000000004</v>
      </c>
      <c r="Q4455">
        <v>-0.1085705</v>
      </c>
      <c r="R4455">
        <v>1.1615479999999999E-2</v>
      </c>
      <c r="S4455">
        <v>-2.9270019999999999</v>
      </c>
      <c r="T4455">
        <v>-0.77606830000000004</v>
      </c>
      <c r="U4455">
        <v>0.48667909999999998</v>
      </c>
      <c r="V4455">
        <v>1.577036E-3</v>
      </c>
      <c r="W4455">
        <v>-0.1021343</v>
      </c>
      <c r="X4455">
        <v>0.99476940000000003</v>
      </c>
      <c r="Y4455">
        <v>0.14917420000000001</v>
      </c>
      <c r="Z4455">
        <v>1.724357E-2</v>
      </c>
      <c r="AA4455">
        <v>0.9886606</v>
      </c>
      <c r="AB4455">
        <v>30</v>
      </c>
      <c r="AC4455">
        <v>-0.32329999999996001</v>
      </c>
      <c r="AD4455">
        <v>-0.1793138</v>
      </c>
      <c r="AE4455">
        <v>0.109199999999987</v>
      </c>
      <c r="AF4455">
        <v>8.2994744183102404E-2</v>
      </c>
      <c r="AG4455">
        <v>-0.1793138</v>
      </c>
      <c r="AH4455">
        <v>0.25420210125574799</v>
      </c>
      <c r="AI4455">
        <v>123.8443640662</v>
      </c>
      <c r="AJ4455">
        <v>71.918596222091097</v>
      </c>
      <c r="AK4455">
        <v>0.32196315738807202</v>
      </c>
      <c r="AL4455">
        <v>95.8620860800917</v>
      </c>
      <c r="AM4455">
        <v>89.909167460073803</v>
      </c>
      <c r="AN4455">
        <v>1.0000000307276899</v>
      </c>
    </row>
    <row r="4456" spans="1:40" x14ac:dyDescent="0.25">
      <c r="A4456" t="str">
        <f>"20190303154603725"</f>
        <v>20190303154603725</v>
      </c>
      <c r="B4456" t="str">
        <f>"1551599163715648"</f>
        <v>1551599163715648</v>
      </c>
      <c r="C4456" t="s">
        <v>40</v>
      </c>
      <c r="D4456">
        <v>4.9269480000000003</v>
      </c>
      <c r="E4456">
        <v>0.55753249999999999</v>
      </c>
      <c r="F4456" t="s">
        <v>42</v>
      </c>
      <c r="G4456">
        <v>-332.86919999999998</v>
      </c>
      <c r="H4456">
        <v>0.89442299999999997</v>
      </c>
      <c r="I4456">
        <v>141.89109999999999</v>
      </c>
      <c r="J4456">
        <v>-332.25979999999998</v>
      </c>
      <c r="K4456">
        <v>1.1200760000000001</v>
      </c>
      <c r="L4456">
        <v>141.75149999999999</v>
      </c>
      <c r="M4456">
        <v>-0.99992959999999997</v>
      </c>
      <c r="N4456">
        <v>-6.4803259999999998E-3</v>
      </c>
      <c r="O4456">
        <v>9.9382499999999992E-3</v>
      </c>
      <c r="P4456">
        <v>-0.99399320000000002</v>
      </c>
      <c r="Q4456">
        <v>-0.1089797</v>
      </c>
      <c r="R4456">
        <v>1.005023E-2</v>
      </c>
      <c r="S4456">
        <v>-2.927521</v>
      </c>
      <c r="T4456">
        <v>-0.77677739999999995</v>
      </c>
      <c r="U4456">
        <v>0.4867554</v>
      </c>
      <c r="V4456">
        <v>2.2523930000000001E-4</v>
      </c>
      <c r="W4456">
        <v>-0.1025356</v>
      </c>
      <c r="X4456">
        <v>0.99472930000000004</v>
      </c>
      <c r="Y4456">
        <v>0.14936440000000001</v>
      </c>
      <c r="Z4456">
        <v>1.7336259999999999E-2</v>
      </c>
      <c r="AA4456">
        <v>0.98863020000000001</v>
      </c>
      <c r="AB4456">
        <v>31</v>
      </c>
      <c r="AC4456">
        <v>-0.60939999999999295</v>
      </c>
      <c r="AD4456">
        <v>-0.22565299999999999</v>
      </c>
      <c r="AE4456">
        <v>0.139600000000001</v>
      </c>
      <c r="AF4456">
        <v>0.118145119260882</v>
      </c>
      <c r="AG4456">
        <v>-0.22565299999999999</v>
      </c>
      <c r="AH4456">
        <v>0.54036115031402099</v>
      </c>
      <c r="AI4456">
        <v>112.193467309117</v>
      </c>
      <c r="AJ4456">
        <v>77.666871180076299</v>
      </c>
      <c r="AK4456">
        <v>0.59738406271247302</v>
      </c>
      <c r="AL4456">
        <v>95.8852004648855</v>
      </c>
      <c r="AM4456">
        <v>89.987026358779303</v>
      </c>
      <c r="AN4456">
        <v>0.99999999013929597</v>
      </c>
    </row>
    <row r="4457" spans="1:40" x14ac:dyDescent="0.25">
      <c r="A4457" t="str">
        <f>"20190303154603746"</f>
        <v>20190303154603746</v>
      </c>
      <c r="B4457" t="str">
        <f>"1551599163735168"</f>
        <v>1551599163735168</v>
      </c>
      <c r="C4457" t="s">
        <v>40</v>
      </c>
      <c r="D4457">
        <v>4.9540230000000003</v>
      </c>
      <c r="E4457">
        <v>0.55749700000000002</v>
      </c>
      <c r="F4457" t="s">
        <v>42</v>
      </c>
      <c r="G4457">
        <v>-333.1404</v>
      </c>
      <c r="H4457">
        <v>0.88593159999999904</v>
      </c>
      <c r="I4457">
        <v>141.89760000000001</v>
      </c>
      <c r="J4457">
        <v>-332.56610000000001</v>
      </c>
      <c r="K4457">
        <v>1.1200570000000001</v>
      </c>
      <c r="L4457">
        <v>141.7543</v>
      </c>
      <c r="M4457">
        <v>-0.99993220000000005</v>
      </c>
      <c r="N4457">
        <v>-6.4918509999999999E-3</v>
      </c>
      <c r="O4457">
        <v>9.6816750000000007E-3</v>
      </c>
      <c r="P4457">
        <v>-0.99398439999999999</v>
      </c>
      <c r="Q4457">
        <v>-0.1092154</v>
      </c>
      <c r="R4457">
        <v>8.2134040000000005E-3</v>
      </c>
      <c r="S4457">
        <v>-2.9278870000000001</v>
      </c>
      <c r="T4457">
        <v>-0.7784951</v>
      </c>
      <c r="U4457">
        <v>0.48576350000000001</v>
      </c>
      <c r="V4457">
        <v>-1.359681E-3</v>
      </c>
      <c r="W4457">
        <v>-0.1027607</v>
      </c>
      <c r="X4457">
        <v>0.99470519999999996</v>
      </c>
      <c r="Y4457">
        <v>0.14924749999999901</v>
      </c>
      <c r="Z4457">
        <v>1.7420990000000001E-2</v>
      </c>
      <c r="AA4457">
        <v>0.98864640000000004</v>
      </c>
      <c r="AB4457">
        <v>31</v>
      </c>
      <c r="AC4457">
        <v>-0.57429999999999304</v>
      </c>
      <c r="AD4457">
        <v>-0.23412540000000001</v>
      </c>
      <c r="AE4457">
        <v>0.14330000000001</v>
      </c>
      <c r="AF4457">
        <v>0.119099343646958</v>
      </c>
      <c r="AG4457">
        <v>-0.23412540000000001</v>
      </c>
      <c r="AH4457">
        <v>0.49778046331586101</v>
      </c>
      <c r="AI4457">
        <v>114.580681882593</v>
      </c>
      <c r="AJ4457">
        <v>76.544320696801705</v>
      </c>
      <c r="AK4457">
        <v>0.56283634054780896</v>
      </c>
      <c r="AL4457">
        <v>95.898166041882206</v>
      </c>
      <c r="AM4457">
        <v>90.078318615670099</v>
      </c>
      <c r="AN4457">
        <v>1.0000000225519701</v>
      </c>
    </row>
    <row r="4458" spans="1:40" x14ac:dyDescent="0.25">
      <c r="A4458" t="str">
        <f>"20190303154603770"</f>
        <v>20190303154603770</v>
      </c>
      <c r="B4458" t="str">
        <f>"1551599163765424"</f>
        <v>1551599163765424</v>
      </c>
      <c r="C4458" t="s">
        <v>40</v>
      </c>
      <c r="D4458">
        <v>4.8411299999999997</v>
      </c>
      <c r="E4458">
        <v>0.52151639999999999</v>
      </c>
      <c r="F4458" t="s">
        <v>42</v>
      </c>
      <c r="G4458">
        <v>-333.41820000000001</v>
      </c>
      <c r="H4458">
        <v>0.89230779999999998</v>
      </c>
      <c r="I4458">
        <v>141.89410000000001</v>
      </c>
      <c r="J4458">
        <v>-332.88150000000002</v>
      </c>
      <c r="K4458">
        <v>1.1200399999999999</v>
      </c>
      <c r="L4458">
        <v>141.75710000000001</v>
      </c>
      <c r="M4458">
        <v>-0.9999344</v>
      </c>
      <c r="N4458">
        <v>-6.5037539999999996E-3</v>
      </c>
      <c r="O4458">
        <v>9.4443760000000009E-3</v>
      </c>
      <c r="P4458">
        <v>-0.99399269999999995</v>
      </c>
      <c r="Q4458">
        <v>-0.10922560000000001</v>
      </c>
      <c r="R4458">
        <v>6.9972050000000003E-3</v>
      </c>
      <c r="S4458">
        <v>-2.9281920000000001</v>
      </c>
      <c r="T4458">
        <v>-0.78270689999999998</v>
      </c>
      <c r="U4458">
        <v>0.4799194</v>
      </c>
      <c r="V4458">
        <v>-2.344353E-3</v>
      </c>
      <c r="W4458">
        <v>-0.1027595</v>
      </c>
      <c r="X4458">
        <v>0.99470349999999996</v>
      </c>
      <c r="Y4458">
        <v>0.147543799999999</v>
      </c>
      <c r="Z4458">
        <v>1.7343509999999999E-2</v>
      </c>
      <c r="AA4458">
        <v>0.98890350000000005</v>
      </c>
      <c r="AB4458">
        <v>31</v>
      </c>
      <c r="AC4458">
        <v>-0.53669999999999596</v>
      </c>
      <c r="AD4458">
        <v>-0.227732199999999</v>
      </c>
      <c r="AE4458">
        <v>0.13700000000000001</v>
      </c>
      <c r="AF4458">
        <v>0.11284968602423601</v>
      </c>
      <c r="AG4458">
        <v>-0.227732199999999</v>
      </c>
      <c r="AH4458">
        <v>0.46018380358245797</v>
      </c>
      <c r="AI4458">
        <v>115.67040503517801</v>
      </c>
      <c r="AJ4458">
        <v>76.221407703692606</v>
      </c>
      <c r="AK4458">
        <v>0.52570537341007495</v>
      </c>
      <c r="AL4458">
        <v>95.898096865870301</v>
      </c>
      <c r="AM4458">
        <v>90.135036504732795</v>
      </c>
      <c r="AN4458">
        <v>1.0000000318717399</v>
      </c>
    </row>
    <row r="4459" spans="1:40" x14ac:dyDescent="0.25">
      <c r="A4459" t="str">
        <f>"20190303154603791"</f>
        <v>20190303154603791</v>
      </c>
      <c r="B4459" t="str">
        <f>"1551599163785920"</f>
        <v>1551599163785920</v>
      </c>
      <c r="C4459" t="s">
        <v>40</v>
      </c>
      <c r="D4459">
        <v>4.9045310000000004</v>
      </c>
      <c r="E4459">
        <v>0.50990979999999997</v>
      </c>
      <c r="F4459" t="s">
        <v>42</v>
      </c>
      <c r="G4459">
        <v>-333.73770000000002</v>
      </c>
      <c r="H4459">
        <v>0.98815520000000001</v>
      </c>
      <c r="I4459">
        <v>141.81270000000001</v>
      </c>
      <c r="J4459">
        <v>-333.17619999999999</v>
      </c>
      <c r="K4459">
        <v>1.120018</v>
      </c>
      <c r="L4459">
        <v>141.75970000000001</v>
      </c>
      <c r="M4459">
        <v>-0.99993600000000005</v>
      </c>
      <c r="N4459">
        <v>-6.514939E-3</v>
      </c>
      <c r="O4459">
        <v>9.2496490000000004E-3</v>
      </c>
      <c r="P4459">
        <v>-0.99399349999999997</v>
      </c>
      <c r="Q4459">
        <v>-0.109266</v>
      </c>
      <c r="R4459">
        <v>6.1537290000000001E-3</v>
      </c>
      <c r="S4459">
        <v>-2.9665530000000002</v>
      </c>
      <c r="T4459">
        <v>-0.4570786</v>
      </c>
      <c r="U4459">
        <v>0.19169620000000001</v>
      </c>
      <c r="V4459">
        <v>-2.9988929999999999E-3</v>
      </c>
      <c r="W4459">
        <v>-0.10278900000000001</v>
      </c>
      <c r="X4459">
        <v>0.99469859999999999</v>
      </c>
      <c r="Y4459">
        <v>5.4680939999999997E-2</v>
      </c>
      <c r="Z4459">
        <v>3.0075810000000001E-3</v>
      </c>
      <c r="AA4459">
        <v>0.99849929999999998</v>
      </c>
      <c r="AB4459">
        <v>31</v>
      </c>
      <c r="AC4459">
        <v>-0.56150000000002298</v>
      </c>
      <c r="AD4459">
        <v>-0.131862799999999</v>
      </c>
      <c r="AE4459">
        <v>5.2999999999997202E-2</v>
      </c>
      <c r="AF4459">
        <v>4.5326277598440497E-2</v>
      </c>
      <c r="AG4459">
        <v>-0.131862799999999</v>
      </c>
      <c r="AH4459">
        <v>0.532839646957048</v>
      </c>
      <c r="AI4459">
        <v>103.85173997259299</v>
      </c>
      <c r="AJ4459">
        <v>85.137810442338207</v>
      </c>
      <c r="AK4459">
        <v>0.55078158904785701</v>
      </c>
      <c r="AL4459">
        <v>95.899796642849495</v>
      </c>
      <c r="AM4459">
        <v>90.172739150851896</v>
      </c>
      <c r="AN4459">
        <v>0.99999993836109002</v>
      </c>
    </row>
    <row r="4460" spans="1:40" x14ac:dyDescent="0.25">
      <c r="A4460" t="str">
        <f>"20190303154603815"</f>
        <v>20190303154603815</v>
      </c>
      <c r="B4460" t="str">
        <f>"1551599163805440"</f>
        <v>1551599163805440</v>
      </c>
      <c r="C4460" t="s">
        <v>40</v>
      </c>
      <c r="D4460">
        <v>4.7969489999999997</v>
      </c>
      <c r="E4460">
        <v>0.50564350000000002</v>
      </c>
      <c r="F4460" t="s">
        <v>42</v>
      </c>
      <c r="G4460">
        <v>-334.0292</v>
      </c>
      <c r="H4460">
        <v>1.0168710000000001</v>
      </c>
      <c r="I4460">
        <v>141.7878</v>
      </c>
      <c r="J4460">
        <v>-333.49349999999998</v>
      </c>
      <c r="K4460">
        <v>1.119993</v>
      </c>
      <c r="L4460">
        <v>141.76240000000001</v>
      </c>
      <c r="M4460">
        <v>-0.99993759999999998</v>
      </c>
      <c r="N4460">
        <v>-6.5270249999999997E-3</v>
      </c>
      <c r="O4460">
        <v>9.0715829999999994E-3</v>
      </c>
      <c r="P4460">
        <v>-0.9939595</v>
      </c>
      <c r="Q4460">
        <v>-0.10959099999999999</v>
      </c>
      <c r="R4460">
        <v>5.8761289999999999E-3</v>
      </c>
      <c r="S4460">
        <v>-2.9779049999999998</v>
      </c>
      <c r="T4460">
        <v>-0.3601704</v>
      </c>
      <c r="U4460">
        <v>9.7290039999999994E-2</v>
      </c>
      <c r="V4460">
        <v>-3.1045629999999999E-3</v>
      </c>
      <c r="W4460">
        <v>-0.1031021</v>
      </c>
      <c r="X4460">
        <v>0.99466589999999999</v>
      </c>
      <c r="Y4460">
        <v>2.3463930000000001E-2</v>
      </c>
      <c r="Z4460">
        <v>4.5644929999999999E-4</v>
      </c>
      <c r="AA4460">
        <v>0.99972459999999996</v>
      </c>
      <c r="AB4460">
        <v>31</v>
      </c>
      <c r="AC4460">
        <v>-0.53570000000001905</v>
      </c>
      <c r="AD4460">
        <v>-0.10312200000000001</v>
      </c>
      <c r="AE4460">
        <v>2.53999999999905E-2</v>
      </c>
      <c r="AF4460">
        <v>1.9806885530550399E-2</v>
      </c>
      <c r="AG4460">
        <v>-0.10312200000000001</v>
      </c>
      <c r="AH4460">
        <v>0.51680073184827602</v>
      </c>
      <c r="AI4460">
        <v>101.276476808273</v>
      </c>
      <c r="AJ4460">
        <v>87.8051583280876</v>
      </c>
      <c r="AK4460">
        <v>0.52736084044734899</v>
      </c>
      <c r="AL4460">
        <v>95.917831603424005</v>
      </c>
      <c r="AM4460">
        <v>90.178831685601807</v>
      </c>
      <c r="AN4460">
        <v>0.99999996697931903</v>
      </c>
    </row>
    <row r="4461" spans="1:40" x14ac:dyDescent="0.25">
      <c r="A4461" t="str">
        <f>"20190303154603835"</f>
        <v>20190303154603835</v>
      </c>
      <c r="B4461" t="str">
        <f>"1551599163825936"</f>
        <v>1551599163825936</v>
      </c>
      <c r="C4461" t="s">
        <v>40</v>
      </c>
      <c r="D4461">
        <v>4.8337500000000002</v>
      </c>
      <c r="E4461">
        <v>0.50320810000000005</v>
      </c>
      <c r="F4461" t="s">
        <v>42</v>
      </c>
      <c r="G4461">
        <v>-334.31580000000002</v>
      </c>
      <c r="H4461">
        <v>1.0344249999999999</v>
      </c>
      <c r="I4461">
        <v>141.7799</v>
      </c>
      <c r="J4461">
        <v>-333.79419999999999</v>
      </c>
      <c r="K4461">
        <v>1.1199650000000001</v>
      </c>
      <c r="L4461">
        <v>141.76499999999999</v>
      </c>
      <c r="M4461">
        <v>-0.99993869999999896</v>
      </c>
      <c r="N4461">
        <v>-6.5385410000000001E-3</v>
      </c>
      <c r="O4461">
        <v>8.9333339999999994E-3</v>
      </c>
      <c r="P4461">
        <v>-0.99391359999999995</v>
      </c>
      <c r="Q4461">
        <v>-0.1099863</v>
      </c>
      <c r="R4461">
        <v>6.2583140000000001E-3</v>
      </c>
      <c r="S4461">
        <v>-2.9836119999999999</v>
      </c>
      <c r="T4461">
        <v>-0.31053829999999999</v>
      </c>
      <c r="U4461">
        <v>6.2805180000000002E-2</v>
      </c>
      <c r="V4461">
        <v>-2.5903240000000002E-3</v>
      </c>
      <c r="W4461">
        <v>-0.10348590000000001</v>
      </c>
      <c r="X4461">
        <v>0.9946275</v>
      </c>
      <c r="Y4461">
        <v>1.208598E-2</v>
      </c>
      <c r="Z4461">
        <v>-2.020666E-4</v>
      </c>
      <c r="AA4461">
        <v>0.99992689999999995</v>
      </c>
      <c r="AB4461">
        <v>31</v>
      </c>
      <c r="AC4461">
        <v>-0.52160000000003404</v>
      </c>
      <c r="AD4461">
        <v>-8.5539999999999894E-2</v>
      </c>
      <c r="AE4461">
        <v>1.4900000000011401E-2</v>
      </c>
      <c r="AF4461">
        <v>9.9717132188807903E-3</v>
      </c>
      <c r="AG4461">
        <v>-8.5539999999999894E-2</v>
      </c>
      <c r="AH4461">
        <v>0.50805943628973804</v>
      </c>
      <c r="AI4461">
        <v>99.555229976641201</v>
      </c>
      <c r="AJ4461">
        <v>88.875596644154299</v>
      </c>
      <c r="AK4461">
        <v>0.515306624707626</v>
      </c>
      <c r="AL4461">
        <v>95.939940071340004</v>
      </c>
      <c r="AM4461">
        <v>90.149215959979003</v>
      </c>
      <c r="AN4461">
        <v>0.99999995251674101</v>
      </c>
    </row>
    <row r="4462" spans="1:40" x14ac:dyDescent="0.25">
      <c r="A4462" t="str">
        <f>"20190303154603860"</f>
        <v>20190303154603860</v>
      </c>
      <c r="B4462" t="str">
        <f>"1551599163855216"</f>
        <v>1551599163855216</v>
      </c>
      <c r="C4462" t="s">
        <v>40</v>
      </c>
      <c r="D4462">
        <v>4.8729239999999896</v>
      </c>
      <c r="E4462">
        <v>0.50085449999999998</v>
      </c>
      <c r="F4462" t="s">
        <v>42</v>
      </c>
      <c r="G4462">
        <v>-334.60059999999999</v>
      </c>
      <c r="H4462">
        <v>1.0425439999999999</v>
      </c>
      <c r="I4462">
        <v>141.7773</v>
      </c>
      <c r="J4462">
        <v>-334.12180000000001</v>
      </c>
      <c r="K4462">
        <v>1.119939</v>
      </c>
      <c r="L4462">
        <v>141.76779999999999</v>
      </c>
      <c r="M4462">
        <v>-0.99993980000000005</v>
      </c>
      <c r="N4462">
        <v>-6.5511110000000001E-3</v>
      </c>
      <c r="O4462">
        <v>8.8111189999999992E-3</v>
      </c>
      <c r="P4462">
        <v>-0.99385449999999997</v>
      </c>
      <c r="Q4462">
        <v>-0.1104845</v>
      </c>
      <c r="R4462">
        <v>6.8365040000000002E-3</v>
      </c>
      <c r="S4462">
        <v>-2.9863590000000002</v>
      </c>
      <c r="T4462">
        <v>-0.28676269999999998</v>
      </c>
      <c r="U4462">
        <v>4.4616700000000002E-2</v>
      </c>
      <c r="V4462">
        <v>-1.8958880000000001E-3</v>
      </c>
      <c r="W4462">
        <v>-0.1039716</v>
      </c>
      <c r="X4462">
        <v>0.99457850000000003</v>
      </c>
      <c r="Y4462">
        <v>6.1326389999999996E-3</v>
      </c>
      <c r="Z4462">
        <v>-4.725849E-4</v>
      </c>
      <c r="AA4462">
        <v>0.99998109999999996</v>
      </c>
      <c r="AB4462">
        <v>31</v>
      </c>
      <c r="AC4462">
        <v>-0.47879999999997802</v>
      </c>
      <c r="AD4462">
        <v>-7.7394999999999797E-2</v>
      </c>
      <c r="AE4462">
        <v>9.5000000000027198E-3</v>
      </c>
      <c r="AF4462">
        <v>5.1463624690267799E-3</v>
      </c>
      <c r="AG4462">
        <v>-7.7394999999999797E-2</v>
      </c>
      <c r="AH4462">
        <v>0.46667628190773303</v>
      </c>
      <c r="AI4462">
        <v>99.415837319997806</v>
      </c>
      <c r="AJ4462">
        <v>89.368185380777206</v>
      </c>
      <c r="AK4462">
        <v>0.47307845350098998</v>
      </c>
      <c r="AL4462">
        <v>95.967919039025801</v>
      </c>
      <c r="AM4462">
        <v>90.109218376687593</v>
      </c>
      <c r="AN4462">
        <v>1.00000004033005</v>
      </c>
    </row>
    <row r="4463" spans="1:40" x14ac:dyDescent="0.25">
      <c r="A4463" t="str">
        <f>"20190303154603882"</f>
        <v>20190303154603882</v>
      </c>
      <c r="B4463" t="str">
        <f>"1551599163875712"</f>
        <v>1551599163875712</v>
      </c>
      <c r="C4463" t="s">
        <v>40</v>
      </c>
      <c r="D4463">
        <v>4.870412</v>
      </c>
      <c r="E4463">
        <v>0.49973200000000001</v>
      </c>
      <c r="F4463" t="s">
        <v>41</v>
      </c>
      <c r="G4463">
        <v>-346.44760000000002</v>
      </c>
      <c r="H4463" s="1">
        <v>-2.1091019999999999E-6</v>
      </c>
      <c r="I4463">
        <v>141.88200000000001</v>
      </c>
      <c r="J4463">
        <v>-334.44199999999898</v>
      </c>
      <c r="K4463">
        <v>1.1199129999999999</v>
      </c>
      <c r="L4463">
        <v>141.7706</v>
      </c>
      <c r="M4463">
        <v>-0.99994050000000001</v>
      </c>
      <c r="N4463">
        <v>-6.5678050000000003E-3</v>
      </c>
      <c r="O4463">
        <v>8.7160309999999904E-3</v>
      </c>
      <c r="P4463">
        <v>-0.99384609999999995</v>
      </c>
      <c r="Q4463">
        <v>-0.11054369999999999</v>
      </c>
      <c r="R4463">
        <v>7.0936030000000004E-3</v>
      </c>
      <c r="S4463">
        <v>-2.9882200000000001</v>
      </c>
      <c r="T4463">
        <v>-0.27151409999999998</v>
      </c>
      <c r="U4463">
        <v>2.7694699999999999E-2</v>
      </c>
      <c r="V4463">
        <v>-1.5492030000000001E-3</v>
      </c>
      <c r="W4463">
        <v>-0.104014</v>
      </c>
      <c r="X4463">
        <v>0.99457459999999998</v>
      </c>
      <c r="Y4463">
        <v>5.7970099999999996E-4</v>
      </c>
      <c r="Z4463">
        <v>-7.0496509999999895E-4</v>
      </c>
      <c r="AA4463">
        <v>0.99999959999999999</v>
      </c>
      <c r="AB4463">
        <v>31</v>
      </c>
      <c r="AC4463">
        <v>-12.005599999999999</v>
      </c>
      <c r="AD4463">
        <v>-1.1199151091020001</v>
      </c>
      <c r="AE4463">
        <v>0.111400000000003</v>
      </c>
      <c r="AF4463">
        <v>6.6940904627698899E-3</v>
      </c>
      <c r="AG4463">
        <v>-1.1199151091020001</v>
      </c>
      <c r="AH4463">
        <v>11.902551802900099</v>
      </c>
      <c r="AI4463">
        <v>95.375153561258699</v>
      </c>
      <c r="AJ4463">
        <v>89.967776398111198</v>
      </c>
      <c r="AK4463">
        <v>11.955124176819</v>
      </c>
      <c r="AL4463">
        <v>95.970362023426901</v>
      </c>
      <c r="AM4463">
        <v>90.089246921971593</v>
      </c>
      <c r="AN4463">
        <v>0.99999997359554704</v>
      </c>
    </row>
    <row r="4464" spans="1:40" x14ac:dyDescent="0.25">
      <c r="A4464" t="str">
        <f>"20190303154603904"</f>
        <v>20190303154603904</v>
      </c>
      <c r="B4464" t="str">
        <f>"1551599163895231"</f>
        <v>1551599163895231</v>
      </c>
      <c r="C4464" t="s">
        <v>40</v>
      </c>
      <c r="D4464">
        <v>4.8653550000000001</v>
      </c>
      <c r="E4464">
        <v>0.49900679999999997</v>
      </c>
      <c r="F4464" t="s">
        <v>42</v>
      </c>
      <c r="G4464">
        <v>-335.43450000000001</v>
      </c>
      <c r="H4464">
        <v>1.032041</v>
      </c>
      <c r="I4464">
        <v>141.7773</v>
      </c>
      <c r="J4464">
        <v>-334.74209999999999</v>
      </c>
      <c r="K4464">
        <v>1.119901</v>
      </c>
      <c r="L4464">
        <v>141.7731</v>
      </c>
      <c r="M4464">
        <v>-0.99994110000000003</v>
      </c>
      <c r="N4464">
        <v>-6.5871749999999998E-3</v>
      </c>
      <c r="O4464">
        <v>8.6425800000000004E-3</v>
      </c>
      <c r="P4464">
        <v>-0.99382749999999997</v>
      </c>
      <c r="Q4464">
        <v>-0.1106849</v>
      </c>
      <c r="R4464">
        <v>7.4935319999999998E-3</v>
      </c>
      <c r="S4464">
        <v>-2.9890140000000001</v>
      </c>
      <c r="T4464">
        <v>-0.26463130000000001</v>
      </c>
      <c r="U4464">
        <v>1.9744870000000001E-2</v>
      </c>
      <c r="V4464">
        <v>-1.079207E-3</v>
      </c>
      <c r="W4464">
        <v>-0.10413600000000001</v>
      </c>
      <c r="X4464">
        <v>0.99456250000000002</v>
      </c>
      <c r="Y4464">
        <v>-1.9997890000000001E-3</v>
      </c>
      <c r="Z4464">
        <v>-8.0177699999999896E-4</v>
      </c>
      <c r="AA4464">
        <v>0.99999769999999999</v>
      </c>
      <c r="AB4464">
        <v>31</v>
      </c>
      <c r="AC4464">
        <v>-0.69240000000002</v>
      </c>
      <c r="AD4464">
        <v>-8.7859999999999994E-2</v>
      </c>
      <c r="AE4464">
        <v>4.1999999999973101E-3</v>
      </c>
      <c r="AF4464">
        <v>-1.7561327705714E-3</v>
      </c>
      <c r="AG4464">
        <v>-8.7859999999999994E-2</v>
      </c>
      <c r="AH4464">
        <v>0.68143860973133896</v>
      </c>
      <c r="AI4464">
        <v>97.346767489967107</v>
      </c>
      <c r="AJ4464">
        <v>90.147656401957803</v>
      </c>
      <c r="AK4464">
        <v>0.68708153987346199</v>
      </c>
      <c r="AL4464">
        <v>95.977390004824002</v>
      </c>
      <c r="AM4464">
        <v>90.062172042533206</v>
      </c>
      <c r="AN4464">
        <v>1.00000001879499</v>
      </c>
    </row>
    <row r="4465" spans="1:40" x14ac:dyDescent="0.25">
      <c r="A4465" t="str">
        <f>"20190303154603925"</f>
        <v>20190303154603925</v>
      </c>
      <c r="B4465" t="str">
        <f>"1551599163915729"</f>
        <v>1551599163915729</v>
      </c>
      <c r="C4465" t="s">
        <v>40</v>
      </c>
      <c r="D4465">
        <v>4.8537869999999996</v>
      </c>
      <c r="E4465">
        <v>0.49845729999999999</v>
      </c>
      <c r="F4465" t="s">
        <v>42</v>
      </c>
      <c r="G4465">
        <v>-335.71890000000002</v>
      </c>
      <c r="H4465">
        <v>1.035666</v>
      </c>
      <c r="I4465">
        <v>141.7782</v>
      </c>
      <c r="J4465">
        <v>-335.04950000000002</v>
      </c>
      <c r="K4465">
        <v>1.119896</v>
      </c>
      <c r="L4465">
        <v>141.7757</v>
      </c>
      <c r="M4465">
        <v>-0.99994150000000004</v>
      </c>
      <c r="N4465">
        <v>-6.609424E-3</v>
      </c>
      <c r="O4465">
        <v>8.5772490000000003E-3</v>
      </c>
      <c r="P4465">
        <v>-0.99377360000000003</v>
      </c>
      <c r="Q4465">
        <v>-0.11109579999999999</v>
      </c>
      <c r="R4465">
        <v>8.4759309999999904E-3</v>
      </c>
      <c r="S4465">
        <v>-2.9898069999999999</v>
      </c>
      <c r="T4465">
        <v>-0.2578162</v>
      </c>
      <c r="U4465">
        <v>1.5182499999999899E-2</v>
      </c>
      <c r="V4465" s="1">
        <v>-3.3747580000000001E-5</v>
      </c>
      <c r="W4465">
        <v>-0.1045249</v>
      </c>
      <c r="X4465">
        <v>0.99452229999999997</v>
      </c>
      <c r="Y4465">
        <v>-3.4585340000000001E-3</v>
      </c>
      <c r="Z4465">
        <v>-8.4194350000000001E-4</v>
      </c>
      <c r="AA4465">
        <v>0.99999369999999999</v>
      </c>
      <c r="AB4465">
        <v>31</v>
      </c>
      <c r="AC4465">
        <v>-0.669399999999996</v>
      </c>
      <c r="AD4465">
        <v>-8.4229999999999999E-2</v>
      </c>
      <c r="AE4465">
        <v>2.4999999999977202E-3</v>
      </c>
      <c r="AF4465">
        <v>-3.1913000931808998E-3</v>
      </c>
      <c r="AG4465">
        <v>-8.4229999999999999E-2</v>
      </c>
      <c r="AH4465">
        <v>0.65896361767551304</v>
      </c>
      <c r="AI4465">
        <v>97.284073267599894</v>
      </c>
      <c r="AJ4465">
        <v>90.2774760125195</v>
      </c>
      <c r="AK4465">
        <v>0.66433269279502205</v>
      </c>
      <c r="AL4465">
        <v>95.999794531434603</v>
      </c>
      <c r="AM4465">
        <v>90.001944243886697</v>
      </c>
      <c r="AN4465">
        <v>1.0000000305280901</v>
      </c>
    </row>
    <row r="4466" spans="1:40" x14ac:dyDescent="0.25">
      <c r="A4466" t="str">
        <f>"20190303154603947"</f>
        <v>20190303154603947</v>
      </c>
      <c r="B4466" t="str">
        <f>"1551599163945985"</f>
        <v>1551599163945985</v>
      </c>
      <c r="C4466" t="s">
        <v>40</v>
      </c>
      <c r="D4466">
        <v>4.9309839999999996</v>
      </c>
      <c r="E4466">
        <v>0.49669980000000002</v>
      </c>
      <c r="F4466" t="s">
        <v>42</v>
      </c>
      <c r="G4466">
        <v>-336.00420000000003</v>
      </c>
      <c r="H4466">
        <v>1.0387850000000001</v>
      </c>
      <c r="I4466">
        <v>141.78020000000001</v>
      </c>
      <c r="J4466">
        <v>-335.37079999999997</v>
      </c>
      <c r="K4466">
        <v>1.119893</v>
      </c>
      <c r="L4466">
        <v>141.7784</v>
      </c>
      <c r="M4466">
        <v>-0.99994159999999999</v>
      </c>
      <c r="N4466">
        <v>-6.6434140000000003E-3</v>
      </c>
      <c r="O4466">
        <v>8.5152470000000001E-3</v>
      </c>
      <c r="P4466">
        <v>-0.9937764</v>
      </c>
      <c r="Q4466">
        <v>-0.11100839999999899</v>
      </c>
      <c r="R4466">
        <v>9.2414660000000003E-3</v>
      </c>
      <c r="S4466">
        <v>-2.990265</v>
      </c>
      <c r="T4466">
        <v>-0.2541313</v>
      </c>
      <c r="U4466">
        <v>1.38855E-2</v>
      </c>
      <c r="V4466">
        <v>7.9198720000000003E-4</v>
      </c>
      <c r="W4466">
        <v>-0.1044035</v>
      </c>
      <c r="X4466">
        <v>0.99453469999999999</v>
      </c>
      <c r="Y4466">
        <v>-3.8310179999999998E-3</v>
      </c>
      <c r="Z4466">
        <v>-8.4113359999999997E-4</v>
      </c>
      <c r="AA4466">
        <v>0.99999229999999995</v>
      </c>
      <c r="AB4466">
        <v>32</v>
      </c>
      <c r="AC4466">
        <v>-0.63340000000005103</v>
      </c>
      <c r="AD4466">
        <v>-8.1107999999999902E-2</v>
      </c>
      <c r="AE4466">
        <v>1.8000000000029099E-3</v>
      </c>
      <c r="AF4466">
        <v>-3.5357657490664701E-3</v>
      </c>
      <c r="AG4466">
        <v>-8.1107999999999902E-2</v>
      </c>
      <c r="AH4466">
        <v>0.62317409780730004</v>
      </c>
      <c r="AI4466">
        <v>97.415416454509298</v>
      </c>
      <c r="AJ4466">
        <v>90.325081356326905</v>
      </c>
      <c r="AK4466">
        <v>0.62844010492756897</v>
      </c>
      <c r="AL4466">
        <v>95.992800778546496</v>
      </c>
      <c r="AM4466">
        <v>89.954373121022002</v>
      </c>
      <c r="AN4466">
        <v>0.99999999378003201</v>
      </c>
    </row>
    <row r="4467" spans="1:40" x14ac:dyDescent="0.25">
      <c r="A4467" t="str">
        <f>"20190303154603970"</f>
        <v>20190303154603970</v>
      </c>
      <c r="B4467" t="str">
        <f>"1551599163965504"</f>
        <v>1551599163965504</v>
      </c>
      <c r="C4467" t="s">
        <v>40</v>
      </c>
      <c r="D4467">
        <v>4.9402150000000002</v>
      </c>
      <c r="E4467">
        <v>0.49582929999999997</v>
      </c>
      <c r="F4467" t="s">
        <v>42</v>
      </c>
      <c r="G4467">
        <v>-336.29</v>
      </c>
      <c r="H4467">
        <v>1.0409520000000001</v>
      </c>
      <c r="I4467">
        <v>141.7792</v>
      </c>
      <c r="J4467">
        <v>-335.68740000000003</v>
      </c>
      <c r="K4467">
        <v>1.119891</v>
      </c>
      <c r="L4467">
        <v>141.78100000000001</v>
      </c>
      <c r="M4467">
        <v>-0.99994190000000005</v>
      </c>
      <c r="N4467">
        <v>-6.6887630000000003E-3</v>
      </c>
      <c r="O4467">
        <v>8.4556939999999997E-3</v>
      </c>
      <c r="P4467">
        <v>-0.99377059999999995</v>
      </c>
      <c r="Q4467">
        <v>-0.1110337</v>
      </c>
      <c r="R4467">
        <v>9.5942749999999993E-3</v>
      </c>
      <c r="S4467">
        <v>-2.9900820000000001</v>
      </c>
      <c r="T4467">
        <v>-0.25681340000000002</v>
      </c>
      <c r="U4467">
        <v>2.0446779999999999E-3</v>
      </c>
      <c r="V4467">
        <v>1.2034299999999999E-3</v>
      </c>
      <c r="W4467">
        <v>-0.10438359999999999</v>
      </c>
      <c r="X4467">
        <v>0.99453639999999999</v>
      </c>
      <c r="Y4467">
        <v>-7.7149929999999999E-3</v>
      </c>
      <c r="Z4467">
        <v>-1.0250000000000001E-3</v>
      </c>
      <c r="AA4467">
        <v>0.99996969999999996</v>
      </c>
      <c r="AB4467">
        <v>32</v>
      </c>
      <c r="AC4467">
        <v>-0.60259999999999503</v>
      </c>
      <c r="AD4467">
        <v>-7.8938999999999801E-2</v>
      </c>
      <c r="AE4467">
        <v>-1.8000000000029099E-3</v>
      </c>
      <c r="AF4467">
        <v>-6.77912000745747E-3</v>
      </c>
      <c r="AG4467">
        <v>-7.8938999999999801E-2</v>
      </c>
      <c r="AH4467">
        <v>0.59239760302180999</v>
      </c>
      <c r="AI4467">
        <v>97.589652834924493</v>
      </c>
      <c r="AJ4467">
        <v>90.655637378864</v>
      </c>
      <c r="AK4467">
        <v>0.59767235359773996</v>
      </c>
      <c r="AL4467">
        <v>95.991654185403107</v>
      </c>
      <c r="AM4467">
        <v>89.930669781129595</v>
      </c>
      <c r="AN4467">
        <v>1.0000000175588399</v>
      </c>
    </row>
    <row r="4468" spans="1:40" x14ac:dyDescent="0.25">
      <c r="A4468" t="str">
        <f>"20190303154604000"</f>
        <v>20190303154604000</v>
      </c>
      <c r="B4468" t="str">
        <f>"1551599163995760"</f>
        <v>1551599163995760</v>
      </c>
      <c r="C4468" t="s">
        <v>40</v>
      </c>
      <c r="D4468">
        <v>4.9575379999999996</v>
      </c>
      <c r="E4468">
        <v>0.49474069999999998</v>
      </c>
      <c r="F4468" t="s">
        <v>42</v>
      </c>
      <c r="G4468">
        <v>-336.58390000000003</v>
      </c>
      <c r="H4468">
        <v>1.0423359999999999</v>
      </c>
      <c r="I4468">
        <v>141.7799</v>
      </c>
      <c r="J4468">
        <v>-336.11810000000003</v>
      </c>
      <c r="K4468">
        <v>1.1199030000000001</v>
      </c>
      <c r="L4468">
        <v>141.78460000000001</v>
      </c>
      <c r="M4468">
        <v>-0.9999422</v>
      </c>
      <c r="N4468">
        <v>-6.7735670000000003E-3</v>
      </c>
      <c r="O4468">
        <v>8.3748399999999997E-3</v>
      </c>
      <c r="P4468">
        <v>-0.99366810000000005</v>
      </c>
      <c r="Q4468">
        <v>-0.1119359</v>
      </c>
      <c r="R4468">
        <v>9.6985849999999992E-3</v>
      </c>
      <c r="S4468">
        <v>-2.9899900000000001</v>
      </c>
      <c r="T4468">
        <v>-0.25863779999999997</v>
      </c>
      <c r="U4468">
        <v>-3.7689210000000002E-3</v>
      </c>
      <c r="V4468">
        <v>1.387997E-3</v>
      </c>
      <c r="W4468">
        <v>-0.1052022</v>
      </c>
      <c r="X4468">
        <v>0.9944499</v>
      </c>
      <c r="Y4468">
        <v>-9.5703790000000004E-3</v>
      </c>
      <c r="Z4468">
        <v>-1.1120780000000001E-3</v>
      </c>
      <c r="AA4468">
        <v>0.9999536</v>
      </c>
      <c r="AB4468">
        <v>32</v>
      </c>
      <c r="AC4468">
        <v>-0.46580000000000099</v>
      </c>
      <c r="AD4468">
        <v>-7.75669999999999E-2</v>
      </c>
      <c r="AE4468">
        <v>-4.7000000000139101E-3</v>
      </c>
      <c r="AF4468">
        <v>-8.3688762417603903E-3</v>
      </c>
      <c r="AG4468">
        <v>-7.75669999999999E-2</v>
      </c>
      <c r="AH4468">
        <v>0.453178783768451</v>
      </c>
      <c r="AI4468">
        <v>99.711117887413394</v>
      </c>
      <c r="AJ4468">
        <v>91.057963893750198</v>
      </c>
      <c r="AK4468">
        <v>0.45984528663062502</v>
      </c>
      <c r="AL4468">
        <v>96.038816188194303</v>
      </c>
      <c r="AM4468">
        <v>89.920029839175299</v>
      </c>
      <c r="AN4468">
        <v>1.00000001651526</v>
      </c>
    </row>
    <row r="4469" spans="1:40" x14ac:dyDescent="0.25">
      <c r="A4469" t="str">
        <f>"20190303154604015"</f>
        <v>20190303154604015</v>
      </c>
      <c r="B4469" t="str">
        <f>"1551599164005521"</f>
        <v>1551599164005521</v>
      </c>
      <c r="C4469" t="s">
        <v>40</v>
      </c>
      <c r="D4469">
        <v>4.9513550000000004</v>
      </c>
      <c r="E4469">
        <v>0.49446230000000002</v>
      </c>
      <c r="F4469" t="s">
        <v>41</v>
      </c>
      <c r="G4469">
        <v>-348.8107</v>
      </c>
      <c r="H4469" s="1">
        <v>-1.055674E-6</v>
      </c>
      <c r="I4469">
        <v>141.7328</v>
      </c>
      <c r="J4469">
        <v>-336.31830000000002</v>
      </c>
      <c r="K4469">
        <v>1.1199159999999999</v>
      </c>
      <c r="L4469">
        <v>141.78620000000001</v>
      </c>
      <c r="M4469">
        <v>-0.99994190000000005</v>
      </c>
      <c r="N4469">
        <v>-6.8396560000000004E-3</v>
      </c>
      <c r="O4469">
        <v>8.33653E-3</v>
      </c>
      <c r="P4469">
        <v>-0.99361259999999996</v>
      </c>
      <c r="Q4469">
        <v>-0.1124826</v>
      </c>
      <c r="R4469">
        <v>9.0326959999999998E-3</v>
      </c>
      <c r="S4469">
        <v>-2.9895320000000001</v>
      </c>
      <c r="T4469">
        <v>-0.26377620000000002</v>
      </c>
      <c r="U4469">
        <v>-1.216125E-2</v>
      </c>
      <c r="V4469">
        <v>7.6057380000000001E-4</v>
      </c>
      <c r="W4469">
        <v>-0.10568370000000001</v>
      </c>
      <c r="X4469">
        <v>0.99439949999999999</v>
      </c>
      <c r="Y4469">
        <v>-1.2325259999999999E-2</v>
      </c>
      <c r="Z4469">
        <v>-1.2621399999999999E-3</v>
      </c>
      <c r="AA4469">
        <v>0.99992320000000001</v>
      </c>
      <c r="AB4469">
        <v>32</v>
      </c>
      <c r="AC4469">
        <v>-12.4923999999999</v>
      </c>
      <c r="AD4469">
        <v>-1.1199170556739999</v>
      </c>
      <c r="AE4469">
        <v>-5.3400000000010502E-2</v>
      </c>
      <c r="AF4469">
        <v>-0.15628782169542299</v>
      </c>
      <c r="AG4469">
        <v>-1.1199170556739999</v>
      </c>
      <c r="AH4469">
        <v>12.391931772131</v>
      </c>
      <c r="AI4469">
        <v>95.163651356234496</v>
      </c>
      <c r="AJ4469">
        <v>90.7225796587216</v>
      </c>
      <c r="AK4469">
        <v>12.4434164577077</v>
      </c>
      <c r="AL4469">
        <v>96.066558896399201</v>
      </c>
      <c r="AM4469">
        <v>89.956176908525705</v>
      </c>
      <c r="AN4469">
        <v>0.99999999425922204</v>
      </c>
    </row>
    <row r="4470" spans="1:40" x14ac:dyDescent="0.25">
      <c r="A4470" t="str">
        <f>"20190303154604036"</f>
        <v>20190303154604036</v>
      </c>
      <c r="B4470" t="str">
        <f>"1551599164025040"</f>
        <v>1551599164025040</v>
      </c>
      <c r="C4470" t="s">
        <v>40</v>
      </c>
      <c r="D4470">
        <v>4.9254189999999998</v>
      </c>
      <c r="E4470">
        <v>0.49417109999999898</v>
      </c>
      <c r="F4470" t="s">
        <v>41</v>
      </c>
      <c r="G4470">
        <v>-348.91520000000003</v>
      </c>
      <c r="H4470" s="1">
        <v>-1.006683E-6</v>
      </c>
      <c r="I4470">
        <v>141.71719999999999</v>
      </c>
      <c r="J4470">
        <v>-336.6345</v>
      </c>
      <c r="K4470">
        <v>1.119939</v>
      </c>
      <c r="L4470">
        <v>141.78880000000001</v>
      </c>
      <c r="M4470">
        <v>-0.99994130000000003</v>
      </c>
      <c r="N4470">
        <v>-6.9944530000000003E-3</v>
      </c>
      <c r="O4470">
        <v>8.2753749999999997E-3</v>
      </c>
      <c r="P4470">
        <v>-0.99360769999999998</v>
      </c>
      <c r="Q4470">
        <v>-0.1125713</v>
      </c>
      <c r="R4470">
        <v>8.4517429999999994E-3</v>
      </c>
      <c r="S4470">
        <v>-2.9893489999999998</v>
      </c>
      <c r="T4470">
        <v>-0.26576689999999997</v>
      </c>
      <c r="U4470">
        <v>-1.6357420000000001E-2</v>
      </c>
      <c r="V4470">
        <v>2.400394E-4</v>
      </c>
      <c r="W4470">
        <v>-0.10561860000000001</v>
      </c>
      <c r="X4470">
        <v>0.99440669999999998</v>
      </c>
      <c r="Y4470">
        <v>-1.366124E-2</v>
      </c>
      <c r="Z4470">
        <v>-1.3304390000000001E-3</v>
      </c>
      <c r="AA4470">
        <v>0.99990579999999996</v>
      </c>
      <c r="AB4470">
        <v>32</v>
      </c>
      <c r="AC4470">
        <v>-12.2807</v>
      </c>
      <c r="AD4470">
        <v>-1.1199400066830001</v>
      </c>
      <c r="AE4470">
        <v>-7.1600000000017802E-2</v>
      </c>
      <c r="AF4470">
        <v>-0.17179870737488701</v>
      </c>
      <c r="AG4470">
        <v>-1.1199400066830001</v>
      </c>
      <c r="AH4470">
        <v>12.1784080255274</v>
      </c>
      <c r="AI4470">
        <v>95.2536860092372</v>
      </c>
      <c r="AJ4470">
        <v>90.8082080979365</v>
      </c>
      <c r="AK4470">
        <v>12.2310016944915</v>
      </c>
      <c r="AL4470">
        <v>96.062807817887602</v>
      </c>
      <c r="AM4470">
        <v>89.9861693970186</v>
      </c>
      <c r="AN4470">
        <v>1.0000000156448801</v>
      </c>
    </row>
    <row r="4471" spans="1:40" x14ac:dyDescent="0.25">
      <c r="A4471" t="str">
        <f>"20190303154604061"</f>
        <v>20190303154604061</v>
      </c>
      <c r="B4471" t="str">
        <f>"1551599164055297"</f>
        <v>1551599164055297</v>
      </c>
      <c r="C4471" t="s">
        <v>40</v>
      </c>
      <c r="D4471">
        <v>4.9956459999999998</v>
      </c>
      <c r="E4471">
        <v>0.49441550000000001</v>
      </c>
      <c r="F4471" t="s">
        <v>41</v>
      </c>
      <c r="G4471">
        <v>-349.1936</v>
      </c>
      <c r="H4471" s="1">
        <v>-8.8346799999999995E-7</v>
      </c>
      <c r="I4471">
        <v>141.703</v>
      </c>
      <c r="J4471">
        <v>-336.9785</v>
      </c>
      <c r="K4471">
        <v>1.119985</v>
      </c>
      <c r="L4471">
        <v>141.79159999999999</v>
      </c>
      <c r="M4471">
        <v>-0.99994019999999995</v>
      </c>
      <c r="N4471">
        <v>-7.2413399999999998E-3</v>
      </c>
      <c r="O4471">
        <v>8.2076679999999996E-3</v>
      </c>
      <c r="P4471">
        <v>-0.99356369999999905</v>
      </c>
      <c r="Q4471">
        <v>-0.1130332</v>
      </c>
      <c r="R4471">
        <v>7.4032639999999997E-3</v>
      </c>
      <c r="S4471">
        <v>-2.9892880000000002</v>
      </c>
      <c r="T4471">
        <v>-0.26656639999999998</v>
      </c>
      <c r="U4471">
        <v>-2.0385739999999999E-2</v>
      </c>
      <c r="V4471">
        <v>-7.409367E-4</v>
      </c>
      <c r="W4471">
        <v>-0.1058354</v>
      </c>
      <c r="X4471">
        <v>0.99438340000000003</v>
      </c>
      <c r="Y4471">
        <v>-1.493531E-2</v>
      </c>
      <c r="Z4471">
        <v>-1.389911E-3</v>
      </c>
      <c r="AA4471">
        <v>0.99988750000000004</v>
      </c>
      <c r="AB4471">
        <v>32</v>
      </c>
      <c r="AC4471">
        <v>-12.2151</v>
      </c>
      <c r="AD4471">
        <v>-1.1199858834680001</v>
      </c>
      <c r="AE4471">
        <v>-8.8599999999985302E-2</v>
      </c>
      <c r="AF4471">
        <v>-0.187282752228354</v>
      </c>
      <c r="AG4471">
        <v>-1.1199858834680001</v>
      </c>
      <c r="AH4471">
        <v>12.112142235512801</v>
      </c>
      <c r="AI4471">
        <v>95.282376795218894</v>
      </c>
      <c r="AJ4471">
        <v>90.885859497157696</v>
      </c>
      <c r="AK4471">
        <v>12.1652551449504</v>
      </c>
      <c r="AL4471">
        <v>96.075299569337204</v>
      </c>
      <c r="AM4471">
        <v>90.042692323644701</v>
      </c>
      <c r="AN4471">
        <v>1.0000000135379501</v>
      </c>
    </row>
    <row r="4472" spans="1:40" x14ac:dyDescent="0.25">
      <c r="A4472" t="str">
        <f>"20190303154604086"</f>
        <v>20190303154604086</v>
      </c>
      <c r="B4472" t="str">
        <f>"1551599164075792"</f>
        <v>1551599164075792</v>
      </c>
      <c r="C4472" t="s">
        <v>40</v>
      </c>
      <c r="D4472">
        <v>5.0341009999999997</v>
      </c>
      <c r="E4472">
        <v>0.49451119999999998</v>
      </c>
      <c r="F4472" t="s">
        <v>41</v>
      </c>
      <c r="G4472">
        <v>-349.92509999999999</v>
      </c>
      <c r="H4472" s="1">
        <v>-5.6839609999999997E-7</v>
      </c>
      <c r="I4472">
        <v>141.69829999999999</v>
      </c>
      <c r="J4472">
        <v>-337.33479999999997</v>
      </c>
      <c r="K4472">
        <v>1.1200509999999999</v>
      </c>
      <c r="L4472">
        <v>141.7944</v>
      </c>
      <c r="M4472">
        <v>-0.9999382</v>
      </c>
      <c r="N4472">
        <v>-7.5754790000000004E-3</v>
      </c>
      <c r="O4472">
        <v>8.1369089999999995E-3</v>
      </c>
      <c r="P4472">
        <v>-0.99352879999999999</v>
      </c>
      <c r="Q4472">
        <v>-0.11337940000000001</v>
      </c>
      <c r="R4472">
        <v>6.7741160000000002E-3</v>
      </c>
      <c r="S4472">
        <v>-2.990173</v>
      </c>
      <c r="T4472">
        <v>-0.25867519999999999</v>
      </c>
      <c r="U4472">
        <v>-2.1530150000000001E-2</v>
      </c>
      <c r="V4472">
        <v>-1.2999680000000001E-3</v>
      </c>
      <c r="W4472">
        <v>-0.1058496</v>
      </c>
      <c r="X4472">
        <v>0.99438130000000002</v>
      </c>
      <c r="Y4472">
        <v>-1.5249550000000001E-2</v>
      </c>
      <c r="Z4472">
        <v>-1.3573029999999901E-3</v>
      </c>
      <c r="AA4472">
        <v>0.99988279999999996</v>
      </c>
      <c r="AB4472">
        <v>32</v>
      </c>
      <c r="AC4472">
        <v>-12.590299999999999</v>
      </c>
      <c r="AD4472">
        <v>-1.1200515683961001</v>
      </c>
      <c r="AE4472">
        <v>-9.6100000000006902E-2</v>
      </c>
      <c r="AF4472">
        <v>-0.19698699110294601</v>
      </c>
      <c r="AG4472">
        <v>-1.1200515683961001</v>
      </c>
      <c r="AH4472">
        <v>12.4902572719528</v>
      </c>
      <c r="AI4472">
        <v>95.123602985431702</v>
      </c>
      <c r="AJ4472">
        <v>90.903551250266005</v>
      </c>
      <c r="AK4472">
        <v>12.541923541072199</v>
      </c>
      <c r="AL4472">
        <v>96.076117855388503</v>
      </c>
      <c r="AM4472">
        <v>90.074903497752899</v>
      </c>
      <c r="AN4472">
        <v>0.99999999876332502</v>
      </c>
    </row>
    <row r="4473" spans="1:40" x14ac:dyDescent="0.25">
      <c r="A4473" t="str">
        <f>"20190303154604107"</f>
        <v>20190303154604107</v>
      </c>
      <c r="B4473" t="str">
        <f>"1551599164095312"</f>
        <v>1551599164095312</v>
      </c>
      <c r="C4473" t="s">
        <v>40</v>
      </c>
      <c r="D4473">
        <v>5.0845459999999996</v>
      </c>
      <c r="E4473">
        <v>0.49465199999999998</v>
      </c>
      <c r="F4473" t="s">
        <v>42</v>
      </c>
      <c r="G4473">
        <v>-338.29430000000002</v>
      </c>
      <c r="H4473">
        <v>1.0381579999999999</v>
      </c>
      <c r="I4473">
        <v>141.78739999999999</v>
      </c>
      <c r="J4473">
        <v>-337.6266</v>
      </c>
      <c r="K4473">
        <v>1.1201049999999999</v>
      </c>
      <c r="L4473">
        <v>141.79669999999999</v>
      </c>
      <c r="M4473">
        <v>-0.99993620000000005</v>
      </c>
      <c r="N4473">
        <v>-7.8843739999999995E-3</v>
      </c>
      <c r="O4473">
        <v>8.0796010000000005E-3</v>
      </c>
      <c r="P4473">
        <v>-0.99348619999999999</v>
      </c>
      <c r="Q4473">
        <v>-0.1137557</v>
      </c>
      <c r="R4473">
        <v>6.6729519999999898E-3</v>
      </c>
      <c r="S4473">
        <v>-2.99057</v>
      </c>
      <c r="T4473">
        <v>-0.25528919999999999</v>
      </c>
      <c r="U4473">
        <v>-2.2567750000000001E-2</v>
      </c>
      <c r="V4473">
        <v>-1.34358E-3</v>
      </c>
      <c r="W4473">
        <v>-0.1059191</v>
      </c>
      <c r="X4473">
        <v>0.99437390000000003</v>
      </c>
      <c r="Y4473">
        <v>-1.5539509999999999E-2</v>
      </c>
      <c r="Z4473">
        <v>-1.348286E-3</v>
      </c>
      <c r="AA4473">
        <v>0.9998783</v>
      </c>
      <c r="AB4473">
        <v>32</v>
      </c>
      <c r="AC4473">
        <v>-0.66770000000002405</v>
      </c>
      <c r="AD4473">
        <v>-8.1946999999999895E-2</v>
      </c>
      <c r="AE4473">
        <v>-9.2999999999960892E-3</v>
      </c>
      <c r="AF4473">
        <v>-1.4476599458986101E-2</v>
      </c>
      <c r="AG4473">
        <v>-8.1946999999999895E-2</v>
      </c>
      <c r="AH4473">
        <v>0.65769825960472394</v>
      </c>
      <c r="AI4473">
        <v>97.100558237454294</v>
      </c>
      <c r="AJ4473">
        <v>91.260934062069694</v>
      </c>
      <c r="AK4473">
        <v>0.66294184015490998</v>
      </c>
      <c r="AL4473">
        <v>96.080122068669098</v>
      </c>
      <c r="AM4473">
        <v>90.077416972217407</v>
      </c>
      <c r="AN4473">
        <v>1.0000000569766101</v>
      </c>
    </row>
    <row r="4474" spans="1:40" x14ac:dyDescent="0.25">
      <c r="A4474" t="str">
        <f>"20190303154604131"</f>
        <v>20190303154604131</v>
      </c>
      <c r="B4474" t="str">
        <f>"1551599164125568"</f>
        <v>1551599164125568</v>
      </c>
      <c r="C4474" t="s">
        <v>40</v>
      </c>
      <c r="D4474">
        <v>5.1136039999999996</v>
      </c>
      <c r="E4474">
        <v>0.49499539999999997</v>
      </c>
      <c r="F4474" t="s">
        <v>41</v>
      </c>
      <c r="G4474">
        <v>-350.8811</v>
      </c>
      <c r="H4474" s="1">
        <v>-4.3458589999999997E-6</v>
      </c>
      <c r="I4474">
        <v>141.7004</v>
      </c>
      <c r="J4474">
        <v>-337.98559999999998</v>
      </c>
      <c r="K4474">
        <v>1.1201620000000001</v>
      </c>
      <c r="L4474">
        <v>141.7996</v>
      </c>
      <c r="M4474">
        <v>-0.99993370000000004</v>
      </c>
      <c r="N4474">
        <v>-8.2817389999999998E-3</v>
      </c>
      <c r="O4474">
        <v>8.0091150000000007E-3</v>
      </c>
      <c r="P4474">
        <v>-0.99343930000000003</v>
      </c>
      <c r="Q4474">
        <v>-0.11414299999999999</v>
      </c>
      <c r="R4474">
        <v>7.0322199999999996E-3</v>
      </c>
      <c r="S4474">
        <v>-2.990875</v>
      </c>
      <c r="T4474">
        <v>-0.25275219999999998</v>
      </c>
      <c r="U4474">
        <v>-2.1728520000000001E-2</v>
      </c>
      <c r="V4474">
        <v>-9.135231E-4</v>
      </c>
      <c r="W4474">
        <v>-0.10591150000000001</v>
      </c>
      <c r="X4474">
        <v>0.99437509999999996</v>
      </c>
      <c r="Y4474">
        <v>-1.5191E-2</v>
      </c>
      <c r="Z4474">
        <v>-1.3131529999999901E-3</v>
      </c>
      <c r="AA4474">
        <v>0.99988379999999999</v>
      </c>
      <c r="AB4474">
        <v>32</v>
      </c>
      <c r="AC4474">
        <v>-12.8955</v>
      </c>
      <c r="AD4474">
        <v>-1.1201663458589901</v>
      </c>
      <c r="AE4474">
        <v>-9.9199999999996097E-2</v>
      </c>
      <c r="AF4474">
        <v>-0.20096559711100501</v>
      </c>
      <c r="AG4474">
        <v>-1.1201663458589901</v>
      </c>
      <c r="AH4474">
        <v>12.7977321194128</v>
      </c>
      <c r="AI4474">
        <v>95.001651823621401</v>
      </c>
      <c r="AJ4474">
        <v>90.899654260474307</v>
      </c>
      <c r="AK4474">
        <v>12.8482336223259</v>
      </c>
      <c r="AL4474">
        <v>96.079684749835295</v>
      </c>
      <c r="AM4474">
        <v>90.052637081713499</v>
      </c>
      <c r="AN4474">
        <v>0.999999959928356</v>
      </c>
    </row>
    <row r="4475" spans="1:40" x14ac:dyDescent="0.25">
      <c r="A4475" t="str">
        <f>"20190303154604148"</f>
        <v>20190303154604148</v>
      </c>
      <c r="B4475" t="str">
        <f>"1551599164145089"</f>
        <v>1551599164145089</v>
      </c>
      <c r="C4475" t="s">
        <v>40</v>
      </c>
      <c r="D4475">
        <v>5.0250909999999998</v>
      </c>
      <c r="E4475">
        <v>0.49540519999999999</v>
      </c>
      <c r="F4475" t="s">
        <v>41</v>
      </c>
      <c r="G4475">
        <v>-351.56920000000002</v>
      </c>
      <c r="H4475" s="1">
        <v>-4.1149229999999998E-6</v>
      </c>
      <c r="I4475">
        <v>141.71850000000001</v>
      </c>
      <c r="J4475">
        <v>-338.23660000000001</v>
      </c>
      <c r="K4475">
        <v>1.120201</v>
      </c>
      <c r="L4475">
        <v>141.8015</v>
      </c>
      <c r="M4475">
        <v>-0.99993160000000003</v>
      </c>
      <c r="N4475">
        <v>-8.5773210000000006E-3</v>
      </c>
      <c r="O4475">
        <v>7.9571039999999996E-3</v>
      </c>
      <c r="P4475">
        <v>-0.99347189999999996</v>
      </c>
      <c r="Q4475">
        <v>-0.11384950000000001</v>
      </c>
      <c r="R4475">
        <v>7.2174980000000001E-3</v>
      </c>
      <c r="S4475">
        <v>-2.9915769999999999</v>
      </c>
      <c r="T4475">
        <v>-0.24670020000000001</v>
      </c>
      <c r="U4475">
        <v>-1.7837519999999999E-2</v>
      </c>
      <c r="V4475">
        <v>-6.7648800000000005E-4</v>
      </c>
      <c r="W4475">
        <v>-0.1053238</v>
      </c>
      <c r="X4475">
        <v>0.99443780000000004</v>
      </c>
      <c r="Y4475">
        <v>-1.3845959999999999E-2</v>
      </c>
      <c r="Z4475">
        <v>-1.2163390000000001E-3</v>
      </c>
      <c r="AA4475">
        <v>0.9999034</v>
      </c>
      <c r="AB4475">
        <v>32</v>
      </c>
      <c r="AC4475">
        <v>-13.332599999999999</v>
      </c>
      <c r="AD4475">
        <v>-1.1202051149229999</v>
      </c>
      <c r="AE4475">
        <v>-8.2999999999998395E-2</v>
      </c>
      <c r="AF4475">
        <v>-0.18776470735210701</v>
      </c>
      <c r="AG4475">
        <v>-1.1202051149229999</v>
      </c>
      <c r="AH4475">
        <v>13.238068731179901</v>
      </c>
      <c r="AI4475">
        <v>94.836360735318806</v>
      </c>
      <c r="AJ4475">
        <v>90.812611276509699</v>
      </c>
      <c r="AK4475">
        <v>13.2867068461779</v>
      </c>
      <c r="AL4475">
        <v>96.045822078973302</v>
      </c>
      <c r="AM4475">
        <v>90.038976697499095</v>
      </c>
      <c r="AN4475">
        <v>1.00000004927564</v>
      </c>
    </row>
    <row r="4476" spans="1:40" x14ac:dyDescent="0.25">
      <c r="A4476" t="str">
        <f>"20190303154604171"</f>
        <v>20190303154604171</v>
      </c>
      <c r="B4476" t="str">
        <f>"1551599164165584"</f>
        <v>1551599164165584</v>
      </c>
      <c r="C4476" t="s">
        <v>40</v>
      </c>
      <c r="D4476">
        <v>5.0470309999999996</v>
      </c>
      <c r="E4476">
        <v>0.49558079999999999</v>
      </c>
      <c r="F4476" t="s">
        <v>41</v>
      </c>
      <c r="G4476">
        <v>-352.27100000000002</v>
      </c>
      <c r="H4476" s="1">
        <v>-3.8623070000000003E-6</v>
      </c>
      <c r="I4476">
        <v>141.73699999999999</v>
      </c>
      <c r="J4476">
        <v>-338.55360000000002</v>
      </c>
      <c r="K4476">
        <v>1.120266</v>
      </c>
      <c r="L4476">
        <v>141.804</v>
      </c>
      <c r="M4476">
        <v>-0.99992859999999995</v>
      </c>
      <c r="N4476">
        <v>-8.9824669999999992E-3</v>
      </c>
      <c r="O4476">
        <v>7.8904600000000002E-3</v>
      </c>
      <c r="P4476">
        <v>-0.99347920000000001</v>
      </c>
      <c r="Q4476">
        <v>-0.1137536</v>
      </c>
      <c r="R4476">
        <v>7.6987089999999998E-3</v>
      </c>
      <c r="S4476">
        <v>-2.9924010000000001</v>
      </c>
      <c r="T4476">
        <v>-0.2388508</v>
      </c>
      <c r="U4476">
        <v>-1.3748170000000001E-2</v>
      </c>
      <c r="V4476">
        <v>-1.288114E-4</v>
      </c>
      <c r="W4476">
        <v>-0.1048248</v>
      </c>
      <c r="X4476">
        <v>0.99449069999999995</v>
      </c>
      <c r="Y4476">
        <v>-1.2421130000000001E-2</v>
      </c>
      <c r="Z4476">
        <v>-1.1088459999999999E-3</v>
      </c>
      <c r="AA4476">
        <v>0.99992219999999998</v>
      </c>
      <c r="AB4476">
        <v>32</v>
      </c>
      <c r="AC4476">
        <v>-13.7173999999999</v>
      </c>
      <c r="AD4476">
        <v>-1.120269862307</v>
      </c>
      <c r="AE4476">
        <v>-6.7000000000007207E-2</v>
      </c>
      <c r="AF4476">
        <v>-0.17407786170679901</v>
      </c>
      <c r="AG4476">
        <v>-1.120269862307</v>
      </c>
      <c r="AH4476">
        <v>13.6255689320947</v>
      </c>
      <c r="AI4476">
        <v>94.699802705907402</v>
      </c>
      <c r="AJ4476">
        <v>90.731960935478497</v>
      </c>
      <c r="AK4476">
        <v>13.6726528658339</v>
      </c>
      <c r="AL4476">
        <v>96.017072612721094</v>
      </c>
      <c r="AM4476">
        <v>90.007421235343699</v>
      </c>
      <c r="AN4476">
        <v>1.0000000038369501</v>
      </c>
    </row>
    <row r="4477" spans="1:40" x14ac:dyDescent="0.25">
      <c r="A4477" t="str">
        <f>"20190303154604193"</f>
        <v>20190303154604193</v>
      </c>
      <c r="B4477" t="str">
        <f>"1551599164186080"</f>
        <v>1551599164186080</v>
      </c>
      <c r="C4477" t="s">
        <v>40</v>
      </c>
      <c r="D4477">
        <v>5.0337360000000002</v>
      </c>
      <c r="E4477">
        <v>0.49588529999999997</v>
      </c>
      <c r="F4477" t="s">
        <v>41</v>
      </c>
      <c r="G4477">
        <v>-352.84249999999997</v>
      </c>
      <c r="H4477" s="1">
        <v>-3.6210609999999999E-6</v>
      </c>
      <c r="I4477">
        <v>141.7518</v>
      </c>
      <c r="J4477">
        <v>-338.87869999999998</v>
      </c>
      <c r="K4477">
        <v>1.1203350000000001</v>
      </c>
      <c r="L4477">
        <v>141.8065</v>
      </c>
      <c r="M4477">
        <v>-0.99992490000000001</v>
      </c>
      <c r="N4477">
        <v>-9.4394240000000001E-3</v>
      </c>
      <c r="O4477">
        <v>7.8283480000000006E-3</v>
      </c>
      <c r="P4477">
        <v>-0.99333910000000003</v>
      </c>
      <c r="Q4477">
        <v>-0.11494360000000001</v>
      </c>
      <c r="R4477">
        <v>8.0913359999999993E-3</v>
      </c>
      <c r="S4477">
        <v>-2.99295</v>
      </c>
      <c r="T4477">
        <v>-0.23465259999999999</v>
      </c>
      <c r="U4477">
        <v>-1.0925290000000001E-2</v>
      </c>
      <c r="V4477">
        <v>3.2702920000000002E-4</v>
      </c>
      <c r="W4477">
        <v>-0.10556160000000001</v>
      </c>
      <c r="X4477">
        <v>0.99441270000000004</v>
      </c>
      <c r="Y4477">
        <v>-1.1420980000000001E-2</v>
      </c>
      <c r="Z4477">
        <v>-1.0400369999999999E-3</v>
      </c>
      <c r="AA4477">
        <v>0.99993430000000005</v>
      </c>
      <c r="AB4477">
        <v>32</v>
      </c>
      <c r="AC4477">
        <v>-13.9637999999999</v>
      </c>
      <c r="AD4477">
        <v>-1.120338621061</v>
      </c>
      <c r="AE4477">
        <v>-5.46999999999968E-2</v>
      </c>
      <c r="AF4477">
        <v>-0.162967643837825</v>
      </c>
      <c r="AG4477">
        <v>-1.120338621061</v>
      </c>
      <c r="AH4477">
        <v>13.8736389923746</v>
      </c>
      <c r="AI4477">
        <v>94.616473610223295</v>
      </c>
      <c r="AJ4477">
        <v>90.672997817498697</v>
      </c>
      <c r="AK4477">
        <v>13.9197548818043</v>
      </c>
      <c r="AL4477">
        <v>96.059523766207505</v>
      </c>
      <c r="AM4477">
        <v>89.981157328077103</v>
      </c>
      <c r="AN4477">
        <v>0.99999998813197299</v>
      </c>
    </row>
    <row r="4478" spans="1:40" x14ac:dyDescent="0.25">
      <c r="A4478" t="str">
        <f>"20190303154604215"</f>
        <v>20190303154604215</v>
      </c>
      <c r="B4478" t="str">
        <f>"1551599164205600"</f>
        <v>1551599164205600</v>
      </c>
      <c r="C4478" t="s">
        <v>40</v>
      </c>
      <c r="D4478">
        <v>5.0708690000000001</v>
      </c>
      <c r="E4478">
        <v>0.4960386</v>
      </c>
      <c r="F4478" t="s">
        <v>41</v>
      </c>
      <c r="G4478">
        <v>-353.31229999999999</v>
      </c>
      <c r="H4478" s="1">
        <v>-3.4248280000000002E-6</v>
      </c>
      <c r="I4478">
        <v>141.77180000000001</v>
      </c>
      <c r="J4478">
        <v>-339.18759999999997</v>
      </c>
      <c r="K4478">
        <v>1.1203970000000001</v>
      </c>
      <c r="L4478">
        <v>141.80879999999999</v>
      </c>
      <c r="M4478">
        <v>-0.99992080000000005</v>
      </c>
      <c r="N4478">
        <v>-9.9065319999999991E-3</v>
      </c>
      <c r="O4478">
        <v>7.7679699999999999E-3</v>
      </c>
      <c r="P4478">
        <v>-0.99318070000000003</v>
      </c>
      <c r="Q4478">
        <v>-0.1162965</v>
      </c>
      <c r="R4478">
        <v>8.2035949999999993E-3</v>
      </c>
      <c r="S4478">
        <v>-2.9932859999999999</v>
      </c>
      <c r="T4478">
        <v>-0.2323384</v>
      </c>
      <c r="U4478">
        <v>-7.1716310000000004E-3</v>
      </c>
      <c r="V4478">
        <v>4.9975829999999999E-4</v>
      </c>
      <c r="W4478">
        <v>-0.1064515</v>
      </c>
      <c r="X4478">
        <v>0.99431780000000003</v>
      </c>
      <c r="Y4478">
        <v>-1.0112060000000001E-2</v>
      </c>
      <c r="Z4478">
        <v>-9.6721679999999997E-4</v>
      </c>
      <c r="AA4478">
        <v>0.99994839999999996</v>
      </c>
      <c r="AB4478">
        <v>32</v>
      </c>
      <c r="AC4478">
        <v>-14.124700000000001</v>
      </c>
      <c r="AD4478">
        <v>-1.120400424828</v>
      </c>
      <c r="AE4478">
        <v>-3.6999999999977697E-2</v>
      </c>
      <c r="AF4478">
        <v>-0.14580709838171799</v>
      </c>
      <c r="AG4478">
        <v>-1.120400424828</v>
      </c>
      <c r="AH4478">
        <v>14.0356746441445</v>
      </c>
      <c r="AI4478">
        <v>94.563723855175098</v>
      </c>
      <c r="AJ4478">
        <v>90.595185559181601</v>
      </c>
      <c r="AK4478">
        <v>14.0810766469817</v>
      </c>
      <c r="AL4478">
        <v>96.110799949587999</v>
      </c>
      <c r="AM4478">
        <v>89.971202326906507</v>
      </c>
      <c r="AN4478">
        <v>1.0000000295037199</v>
      </c>
    </row>
    <row r="4479" spans="1:40" x14ac:dyDescent="0.25">
      <c r="A4479" t="str">
        <f>"20190303154604238"</f>
        <v>20190303154604238</v>
      </c>
      <c r="B4479" t="str">
        <f>"1551599164225120"</f>
        <v>1551599164225120</v>
      </c>
      <c r="C4479" t="s">
        <v>40</v>
      </c>
      <c r="D4479">
        <v>5.0583330000000002</v>
      </c>
      <c r="E4479">
        <v>0.49628610000000001</v>
      </c>
      <c r="F4479" t="s">
        <v>41</v>
      </c>
      <c r="G4479">
        <v>-353.55869999999999</v>
      </c>
      <c r="H4479" s="1">
        <v>-3.3218379999999999E-6</v>
      </c>
      <c r="I4479">
        <v>141.78200000000001</v>
      </c>
      <c r="J4479">
        <v>-339.51690000000002</v>
      </c>
      <c r="K4479">
        <v>1.120455</v>
      </c>
      <c r="L4479">
        <v>141.81129999999999</v>
      </c>
      <c r="M4479">
        <v>-0.99991609999999997</v>
      </c>
      <c r="N4479">
        <v>-1.0411159999999999E-2</v>
      </c>
      <c r="O4479">
        <v>7.6985889999999996E-3</v>
      </c>
      <c r="P4479">
        <v>-0.99301989999999996</v>
      </c>
      <c r="Q4479">
        <v>-0.1176551</v>
      </c>
      <c r="R4479">
        <v>8.3093999999999998E-3</v>
      </c>
      <c r="S4479">
        <v>-2.993347</v>
      </c>
      <c r="T4479">
        <v>-0.23336789999999999</v>
      </c>
      <c r="U4479">
        <v>-5.5847170000000003E-3</v>
      </c>
      <c r="V4479">
        <v>6.7506929999999895E-4</v>
      </c>
      <c r="W4479">
        <v>-0.1073098</v>
      </c>
      <c r="X4479">
        <v>0.99422540000000004</v>
      </c>
      <c r="Y4479">
        <v>-9.5143680000000005E-3</v>
      </c>
      <c r="Z4479">
        <v>-9.3916979999999995E-4</v>
      </c>
      <c r="AA4479">
        <v>0.99995429999999996</v>
      </c>
      <c r="AB4479">
        <v>32</v>
      </c>
      <c r="AC4479">
        <v>-14.041799999999901</v>
      </c>
      <c r="AD4479">
        <v>-1.120458321838</v>
      </c>
      <c r="AE4479">
        <v>-2.9299999999977899E-2</v>
      </c>
      <c r="AF4479">
        <v>-0.136537691272103</v>
      </c>
      <c r="AG4479">
        <v>-1.120458321838</v>
      </c>
      <c r="AH4479">
        <v>13.952321954572099</v>
      </c>
      <c r="AI4479">
        <v>94.591135829972302</v>
      </c>
      <c r="AJ4479">
        <v>90.560679703840407</v>
      </c>
      <c r="AK4479">
        <v>13.997905461752101</v>
      </c>
      <c r="AL4479">
        <v>96.160260431030096</v>
      </c>
      <c r="AM4479">
        <v>89.961096733371605</v>
      </c>
      <c r="AN4479">
        <v>0.99999999744988</v>
      </c>
    </row>
    <row r="4480" spans="1:40" x14ac:dyDescent="0.25">
      <c r="A4480" t="str">
        <f>"20190303154604260"</f>
        <v>20190303154604260</v>
      </c>
      <c r="B4480" t="str">
        <f>"1551599164255376"</f>
        <v>1551599164255376</v>
      </c>
      <c r="C4480" t="s">
        <v>40</v>
      </c>
      <c r="D4480">
        <v>5.1034680000000003</v>
      </c>
      <c r="E4480">
        <v>0.49664150000000001</v>
      </c>
      <c r="F4480" t="s">
        <v>41</v>
      </c>
      <c r="G4480">
        <v>-353.93830000000003</v>
      </c>
      <c r="H4480" s="1">
        <v>-3.1625100000000001E-6</v>
      </c>
      <c r="I4480">
        <v>141.79519999999999</v>
      </c>
      <c r="J4480">
        <v>-339.83260000000001</v>
      </c>
      <c r="K4480">
        <v>1.1205069999999999</v>
      </c>
      <c r="L4480">
        <v>141.81370000000001</v>
      </c>
      <c r="M4480">
        <v>-0.99991200000000002</v>
      </c>
      <c r="N4480">
        <v>-1.0870060000000001E-2</v>
      </c>
      <c r="O4480">
        <v>7.6267230000000002E-3</v>
      </c>
      <c r="P4480">
        <v>-0.9928226</v>
      </c>
      <c r="Q4480">
        <v>-0.1192892</v>
      </c>
      <c r="R4480">
        <v>8.5914860000000006E-3</v>
      </c>
      <c r="S4480">
        <v>-2.9935909999999999</v>
      </c>
      <c r="T4480">
        <v>-0.2325846</v>
      </c>
      <c r="U4480">
        <v>-3.326416E-3</v>
      </c>
      <c r="V4480">
        <v>1.03002E-3</v>
      </c>
      <c r="W4480">
        <v>-0.10848960000000001</v>
      </c>
      <c r="X4480">
        <v>0.99409709999999996</v>
      </c>
      <c r="Y4480">
        <v>-8.6914439999999996E-3</v>
      </c>
      <c r="Z4480">
        <v>-8.9330780000000003E-4</v>
      </c>
      <c r="AA4480">
        <v>0.99996189999999996</v>
      </c>
      <c r="AB4480">
        <v>32</v>
      </c>
      <c r="AC4480">
        <v>-14.105700000000001</v>
      </c>
      <c r="AD4480">
        <v>-1.12051016251</v>
      </c>
      <c r="AE4480">
        <v>-1.8500000000017201E-2</v>
      </c>
      <c r="AF4480">
        <v>-0.12529543051811201</v>
      </c>
      <c r="AG4480">
        <v>-1.12051016251</v>
      </c>
      <c r="AH4480">
        <v>14.0167007328746</v>
      </c>
      <c r="AI4480">
        <v>94.570384891501504</v>
      </c>
      <c r="AJ4480">
        <v>90.512153915161093</v>
      </c>
      <c r="AK4480">
        <v>14.061975017904301</v>
      </c>
      <c r="AL4480">
        <v>96.228254638844305</v>
      </c>
      <c r="AM4480">
        <v>89.940633789501305</v>
      </c>
      <c r="AN4480">
        <v>1.0000000492388801</v>
      </c>
    </row>
    <row r="4481" spans="1:40" x14ac:dyDescent="0.25">
      <c r="A4481" t="str">
        <f>"20190303154604284"</f>
        <v>20190303154604284</v>
      </c>
      <c r="B4481" t="str">
        <f>"1551599164275872"</f>
        <v>1551599164275872</v>
      </c>
      <c r="C4481" t="s">
        <v>40</v>
      </c>
      <c r="D4481">
        <v>5.1004930000000002</v>
      </c>
      <c r="E4481">
        <v>0.49679960000000001</v>
      </c>
      <c r="F4481" t="s">
        <v>41</v>
      </c>
      <c r="G4481">
        <v>-354.36799999999999</v>
      </c>
      <c r="H4481" s="1">
        <v>-2.983787E-6</v>
      </c>
      <c r="I4481">
        <v>141.81630000000001</v>
      </c>
      <c r="J4481">
        <v>-340.17079999999999</v>
      </c>
      <c r="K4481">
        <v>1.120549</v>
      </c>
      <c r="L4481">
        <v>141.81620000000001</v>
      </c>
      <c r="M4481">
        <v>-0.99990760000000001</v>
      </c>
      <c r="N4481">
        <v>-1.1317499999999999E-2</v>
      </c>
      <c r="O4481">
        <v>7.5445569999999899E-3</v>
      </c>
      <c r="P4481">
        <v>-0.99277400000000005</v>
      </c>
      <c r="Q4481">
        <v>-0.11968189999999999</v>
      </c>
      <c r="R4481">
        <v>8.7150439999999999E-3</v>
      </c>
      <c r="S4481">
        <v>-2.9939580000000001</v>
      </c>
      <c r="T4481">
        <v>-0.23079959999999999</v>
      </c>
      <c r="U4481">
        <v>5.4931640000000002E-4</v>
      </c>
      <c r="V4481">
        <v>1.236778E-3</v>
      </c>
      <c r="W4481">
        <v>-0.1084379</v>
      </c>
      <c r="X4481">
        <v>0.9941025</v>
      </c>
      <c r="Y4481">
        <v>-7.3203590000000002E-3</v>
      </c>
      <c r="Z4481">
        <v>-8.1868700000000002E-4</v>
      </c>
      <c r="AA4481">
        <v>0.99997290000000005</v>
      </c>
      <c r="AB4481">
        <v>32</v>
      </c>
      <c r="AC4481">
        <v>-14.1972</v>
      </c>
      <c r="AD4481">
        <v>-1.1205519837869999</v>
      </c>
      <c r="AE4481">
        <v>1.0000000000331901E-4</v>
      </c>
      <c r="AF4481">
        <v>-0.10635588412409799</v>
      </c>
      <c r="AG4481">
        <v>-1.1205519837869999</v>
      </c>
      <c r="AH4481">
        <v>14.1089041258733</v>
      </c>
      <c r="AI4481">
        <v>94.540863126156196</v>
      </c>
      <c r="AJ4481">
        <v>90.431899445300402</v>
      </c>
      <c r="AK4481">
        <v>14.1537318031514</v>
      </c>
      <c r="AL4481">
        <v>96.2252748996073</v>
      </c>
      <c r="AM4481">
        <v>89.928717488353499</v>
      </c>
      <c r="AN4481">
        <v>1.00000004414123</v>
      </c>
    </row>
    <row r="4482" spans="1:40" x14ac:dyDescent="0.25">
      <c r="A4482" t="str">
        <f>"20190303154604309"</f>
        <v>20190303154604309</v>
      </c>
      <c r="B4482" t="str">
        <f>"1551599164295898"</f>
        <v>1551599164295898</v>
      </c>
      <c r="C4482" t="s">
        <v>40</v>
      </c>
      <c r="D4482">
        <v>5.1194430000000004</v>
      </c>
      <c r="E4482">
        <v>0.49695929999999999</v>
      </c>
      <c r="F4482" t="s">
        <v>41</v>
      </c>
      <c r="G4482">
        <v>-354.88220000000001</v>
      </c>
      <c r="H4482" s="1">
        <v>-2.7666139999999999E-6</v>
      </c>
      <c r="I4482">
        <v>141.82910000000001</v>
      </c>
      <c r="J4482">
        <v>-340.52019999999999</v>
      </c>
      <c r="K4482">
        <v>1.120592</v>
      </c>
      <c r="L4482">
        <v>141.81870000000001</v>
      </c>
      <c r="M4482">
        <v>-0.9999034</v>
      </c>
      <c r="N4482">
        <v>-1.1732299999999999E-2</v>
      </c>
      <c r="O4482">
        <v>7.45350099999999E-3</v>
      </c>
      <c r="P4482">
        <v>-0.99265709999999996</v>
      </c>
      <c r="Q4482">
        <v>-0.12064469999999999</v>
      </c>
      <c r="R4482">
        <v>8.7669380000000002E-3</v>
      </c>
      <c r="S4482">
        <v>-2.994354</v>
      </c>
      <c r="T4482">
        <v>-0.22807749999999999</v>
      </c>
      <c r="U4482">
        <v>2.6550290000000002E-3</v>
      </c>
      <c r="V4482">
        <v>1.3821679999999901E-3</v>
      </c>
      <c r="W4482">
        <v>-0.10898960000000001</v>
      </c>
      <c r="X4482">
        <v>0.99404190000000003</v>
      </c>
      <c r="Y4482">
        <v>-6.5300699999999998E-3</v>
      </c>
      <c r="Z4482">
        <v>-7.6626519999999998E-4</v>
      </c>
      <c r="AA4482">
        <v>0.99997840000000005</v>
      </c>
      <c r="AB4482">
        <v>32</v>
      </c>
      <c r="AC4482">
        <v>-14.362</v>
      </c>
      <c r="AD4482">
        <v>-1.1205947666139999</v>
      </c>
      <c r="AE4482">
        <v>1.04000000000041E-2</v>
      </c>
      <c r="AF4482">
        <v>-9.6069973971008304E-2</v>
      </c>
      <c r="AG4482">
        <v>-1.1205947666139999</v>
      </c>
      <c r="AH4482">
        <v>14.274775199813099</v>
      </c>
      <c r="AI4482">
        <v>94.488512162446</v>
      </c>
      <c r="AJ4482">
        <v>90.385597732148597</v>
      </c>
      <c r="AK4482">
        <v>14.319014249453801</v>
      </c>
      <c r="AL4482">
        <v>96.257073905791501</v>
      </c>
      <c r="AM4482">
        <v>89.920332994069597</v>
      </c>
      <c r="AN4482">
        <v>0.99999997112607397</v>
      </c>
    </row>
    <row r="4483" spans="1:40" x14ac:dyDescent="0.25">
      <c r="A4483" t="str">
        <f>"20190303154604327"</f>
        <v>20190303154604327</v>
      </c>
      <c r="B4483" t="str">
        <f>"1551599164315418"</f>
        <v>1551599164315418</v>
      </c>
      <c r="C4483" t="s">
        <v>40</v>
      </c>
      <c r="D4483">
        <v>5.1131599999999997</v>
      </c>
      <c r="E4483">
        <v>0.49714259999999899</v>
      </c>
      <c r="F4483" t="s">
        <v>41</v>
      </c>
      <c r="G4483">
        <v>-355.27409999999998</v>
      </c>
      <c r="H4483" s="1">
        <v>-2.600918E-6</v>
      </c>
      <c r="I4483">
        <v>141.8382</v>
      </c>
      <c r="J4483">
        <v>-340.78190000000001</v>
      </c>
      <c r="K4483">
        <v>1.1206199999999999</v>
      </c>
      <c r="L4483">
        <v>141.82060000000001</v>
      </c>
      <c r="M4483">
        <v>-0.99990069999999998</v>
      </c>
      <c r="N4483">
        <v>-1.201406E-2</v>
      </c>
      <c r="O4483">
        <v>7.3796490000000003E-3</v>
      </c>
      <c r="P4483">
        <v>-0.99258349999999995</v>
      </c>
      <c r="Q4483">
        <v>-0.1212481</v>
      </c>
      <c r="R4483">
        <v>8.7883079999999999E-3</v>
      </c>
      <c r="S4483">
        <v>-2.994507</v>
      </c>
      <c r="T4483">
        <v>-0.22744059999999999</v>
      </c>
      <c r="U4483">
        <v>3.9672850000000001E-3</v>
      </c>
      <c r="V4483">
        <v>1.479045E-3</v>
      </c>
      <c r="W4483">
        <v>-0.1093137</v>
      </c>
      <c r="X4483">
        <v>0.99400619999999995</v>
      </c>
      <c r="Y4483">
        <v>-6.0202060000000002E-3</v>
      </c>
      <c r="Z4483">
        <v>-7.356582E-4</v>
      </c>
      <c r="AA4483">
        <v>0.99998160000000003</v>
      </c>
      <c r="AB4483">
        <v>32</v>
      </c>
      <c r="AC4483">
        <v>-14.492199999999899</v>
      </c>
      <c r="AD4483">
        <v>-1.120622600918</v>
      </c>
      <c r="AE4483">
        <v>1.75999999999874E-2</v>
      </c>
      <c r="AF4483">
        <v>-8.8824429746296701E-2</v>
      </c>
      <c r="AG4483">
        <v>-1.120622600918</v>
      </c>
      <c r="AH4483">
        <v>14.405798791396499</v>
      </c>
      <c r="AI4483">
        <v>94.447978969754899</v>
      </c>
      <c r="AJ4483">
        <v>90.353274436398294</v>
      </c>
      <c r="AK4483">
        <v>14.449592506752801</v>
      </c>
      <c r="AL4483">
        <v>96.275754910252004</v>
      </c>
      <c r="AM4483">
        <v>89.914746031092506</v>
      </c>
      <c r="AN4483">
        <v>0.99999999911012105</v>
      </c>
    </row>
    <row r="4484" spans="1:40" x14ac:dyDescent="0.25">
      <c r="A4484" t="str">
        <f>"20190303154604350"</f>
        <v>20190303154604350</v>
      </c>
      <c r="B4484" t="str">
        <f>"1551599164345674"</f>
        <v>1551599164345674</v>
      </c>
      <c r="C4484" t="s">
        <v>40</v>
      </c>
      <c r="D4484">
        <v>5.119739</v>
      </c>
      <c r="E4484">
        <v>0.4973244</v>
      </c>
      <c r="F4484" t="s">
        <v>41</v>
      </c>
      <c r="G4484">
        <v>-355.64109999999999</v>
      </c>
      <c r="H4484" s="1">
        <v>-2.4459350000000001E-6</v>
      </c>
      <c r="I4484">
        <v>141.8475</v>
      </c>
      <c r="J4484">
        <v>-341.1053</v>
      </c>
      <c r="K4484">
        <v>1.120644</v>
      </c>
      <c r="L4484">
        <v>141.8229</v>
      </c>
      <c r="M4484">
        <v>-0.99989760000000005</v>
      </c>
      <c r="N4484">
        <v>-1.232568E-2</v>
      </c>
      <c r="O4484">
        <v>7.2762759999999999E-3</v>
      </c>
      <c r="P4484">
        <v>-0.99257240000000002</v>
      </c>
      <c r="Q4484">
        <v>-0.12134499999999999</v>
      </c>
      <c r="R4484">
        <v>8.6856350000000006E-3</v>
      </c>
      <c r="S4484">
        <v>-2.9947509999999999</v>
      </c>
      <c r="T4484">
        <v>-0.22585230000000001</v>
      </c>
      <c r="U4484">
        <v>5.432129E-3</v>
      </c>
      <c r="V4484">
        <v>1.4809230000000001E-3</v>
      </c>
      <c r="W4484">
        <v>-0.109101</v>
      </c>
      <c r="X4484">
        <v>0.99402959999999996</v>
      </c>
      <c r="Y4484">
        <v>-5.4305769999999998E-3</v>
      </c>
      <c r="Z4484">
        <v>-6.9639229999999999E-4</v>
      </c>
      <c r="AA4484">
        <v>0.99998500000000001</v>
      </c>
      <c r="AB4484">
        <v>32</v>
      </c>
      <c r="AC4484">
        <v>-14.535799999999901</v>
      </c>
      <c r="AD4484">
        <v>-1.1206464459350001</v>
      </c>
      <c r="AE4484">
        <v>2.4599999999992399E-2</v>
      </c>
      <c r="AF4484">
        <v>-8.0695543525379096E-2</v>
      </c>
      <c r="AG4484">
        <v>-1.1206464459350001</v>
      </c>
      <c r="AH4484">
        <v>14.4497091729411</v>
      </c>
      <c r="AI4484">
        <v>94.434625328572906</v>
      </c>
      <c r="AJ4484">
        <v>90.319969485182298</v>
      </c>
      <c r="AK4484">
        <v>14.493324511999001</v>
      </c>
      <c r="AL4484">
        <v>96.263494553611494</v>
      </c>
      <c r="AM4484">
        <v>89.9146397904982</v>
      </c>
      <c r="AN4484">
        <v>1.0000000335050401</v>
      </c>
    </row>
    <row r="4485" spans="1:40" x14ac:dyDescent="0.25">
      <c r="A4485" t="str">
        <f>"20190303154604372"</f>
        <v>20190303154604372</v>
      </c>
      <c r="B4485" t="str">
        <f>"1551599164366170"</f>
        <v>1551599164366170</v>
      </c>
      <c r="C4485" t="s">
        <v>40</v>
      </c>
      <c r="D4485">
        <v>5.1179389999999998</v>
      </c>
      <c r="E4485">
        <v>0.49745</v>
      </c>
      <c r="F4485" t="s">
        <v>41</v>
      </c>
      <c r="G4485">
        <v>-356.24849999999998</v>
      </c>
      <c r="H4485" s="1">
        <v>-2.1879179999999999E-6</v>
      </c>
      <c r="I4485">
        <v>141.8571</v>
      </c>
      <c r="J4485">
        <v>-341.41570000000002</v>
      </c>
      <c r="K4485">
        <v>1.1206640000000001</v>
      </c>
      <c r="L4485">
        <v>141.82499999999999</v>
      </c>
      <c r="M4485">
        <v>-0.99989519999999998</v>
      </c>
      <c r="N4485">
        <v>-1.2589960000000001E-2</v>
      </c>
      <c r="O4485">
        <v>7.1627699999999997E-3</v>
      </c>
      <c r="P4485">
        <v>-0.99255000000000004</v>
      </c>
      <c r="Q4485">
        <v>-0.121556399999999</v>
      </c>
      <c r="R4485">
        <v>8.2849710000000003E-3</v>
      </c>
      <c r="S4485">
        <v>-2.9952999999999999</v>
      </c>
      <c r="T4485">
        <v>-0.22166230000000001</v>
      </c>
      <c r="U4485">
        <v>6.7901609999999899E-3</v>
      </c>
      <c r="V4485">
        <v>1.195228E-3</v>
      </c>
      <c r="W4485">
        <v>-0.10904999999999999</v>
      </c>
      <c r="X4485">
        <v>0.99403549999999996</v>
      </c>
      <c r="Y4485">
        <v>-4.8673759999999996E-3</v>
      </c>
      <c r="Z4485">
        <v>-6.4980439999999995E-4</v>
      </c>
      <c r="AA4485">
        <v>0.99998799999999999</v>
      </c>
      <c r="AB4485">
        <v>32</v>
      </c>
      <c r="AC4485">
        <v>-14.832799999999899</v>
      </c>
      <c r="AD4485">
        <v>-1.120666187918</v>
      </c>
      <c r="AE4485">
        <v>3.2100000000013999E-2</v>
      </c>
      <c r="AF4485">
        <v>-7.3732284278562293E-2</v>
      </c>
      <c r="AG4485">
        <v>-1.120666187918</v>
      </c>
      <c r="AH4485">
        <v>14.7484612340093</v>
      </c>
      <c r="AI4485">
        <v>94.345232605042796</v>
      </c>
      <c r="AJ4485">
        <v>90.286437577555702</v>
      </c>
      <c r="AK4485">
        <v>14.7911608038573</v>
      </c>
      <c r="AL4485">
        <v>96.260555434577896</v>
      </c>
      <c r="AM4485">
        <v>89.931107604353002</v>
      </c>
      <c r="AN4485">
        <v>0.99999995316510903</v>
      </c>
    </row>
    <row r="4486" spans="1:40" x14ac:dyDescent="0.25">
      <c r="A4486" t="str">
        <f>"20190303154604395"</f>
        <v>20190303154604395</v>
      </c>
      <c r="B4486" t="str">
        <f>"1551599164385693"</f>
        <v>1551599164385693</v>
      </c>
      <c r="C4486" t="s">
        <v>40</v>
      </c>
      <c r="D4486">
        <v>5.123119</v>
      </c>
      <c r="E4486">
        <v>0.49751099999999998</v>
      </c>
      <c r="F4486" t="s">
        <v>41</v>
      </c>
      <c r="G4486">
        <v>-356.70729999999998</v>
      </c>
      <c r="H4486" s="1">
        <v>-1.9914819999999998E-6</v>
      </c>
      <c r="I4486">
        <v>141.8586</v>
      </c>
      <c r="J4486">
        <v>-341.73950000000002</v>
      </c>
      <c r="K4486">
        <v>1.120679</v>
      </c>
      <c r="L4486">
        <v>141.8272</v>
      </c>
      <c r="M4486">
        <v>-0.99989309999999998</v>
      </c>
      <c r="N4486">
        <v>-1.2832150000000001E-2</v>
      </c>
      <c r="O4486">
        <v>7.0293700000000001E-3</v>
      </c>
      <c r="P4486">
        <v>-0.99253449999999999</v>
      </c>
      <c r="Q4486">
        <v>-0.1217464</v>
      </c>
      <c r="R4486">
        <v>7.3232749999999998E-3</v>
      </c>
      <c r="S4486">
        <v>-2.9956049999999999</v>
      </c>
      <c r="T4486">
        <v>-0.2195375</v>
      </c>
      <c r="U4486">
        <v>6.5917969999999999E-3</v>
      </c>
      <c r="V4486">
        <v>3.6908950000000002E-4</v>
      </c>
      <c r="W4486">
        <v>-0.1089996</v>
      </c>
      <c r="X4486">
        <v>0.99404170000000003</v>
      </c>
      <c r="Y4486">
        <v>-4.8015360000000003E-3</v>
      </c>
      <c r="Z4486">
        <v>-6.3092159999999999E-4</v>
      </c>
      <c r="AA4486">
        <v>0.99998830000000005</v>
      </c>
      <c r="AB4486">
        <v>32</v>
      </c>
      <c r="AC4486">
        <v>-14.967799999999899</v>
      </c>
      <c r="AD4486">
        <v>-1.120680991482</v>
      </c>
      <c r="AE4486">
        <v>3.1399999999990699E-2</v>
      </c>
      <c r="AF4486">
        <v>-7.3412087044318702E-2</v>
      </c>
      <c r="AG4486">
        <v>-1.120680991482</v>
      </c>
      <c r="AH4486">
        <v>14.88421132419</v>
      </c>
      <c r="AI4486">
        <v>94.305810120906301</v>
      </c>
      <c r="AJ4486">
        <v>90.282592644922204</v>
      </c>
      <c r="AK4486">
        <v>14.9265220986785</v>
      </c>
      <c r="AL4486">
        <v>96.257650272059905</v>
      </c>
      <c r="AM4486">
        <v>89.978725973326107</v>
      </c>
      <c r="AN4486">
        <v>0.99999997518305395</v>
      </c>
    </row>
    <row r="4487" spans="1:40" x14ac:dyDescent="0.25">
      <c r="A4487" t="str">
        <f>"20190303154604416"</f>
        <v>20190303154604416</v>
      </c>
      <c r="B4487" t="str">
        <f>"1551599164405210"</f>
        <v>1551599164405210</v>
      </c>
      <c r="C4487" t="s">
        <v>40</v>
      </c>
      <c r="D4487">
        <v>5.1796810000000004</v>
      </c>
      <c r="E4487">
        <v>0.49759730000000002</v>
      </c>
      <c r="F4487" t="s">
        <v>41</v>
      </c>
      <c r="G4487">
        <v>-357.15089999999998</v>
      </c>
      <c r="H4487" s="1">
        <v>-1.798513E-6</v>
      </c>
      <c r="I4487">
        <v>141.8485</v>
      </c>
      <c r="J4487">
        <v>-342.0446</v>
      </c>
      <c r="K4487">
        <v>1.120703</v>
      </c>
      <c r="L4487">
        <v>141.82919999999999</v>
      </c>
      <c r="M4487">
        <v>-0.99989139999999999</v>
      </c>
      <c r="N4487">
        <v>-1.303195E-2</v>
      </c>
      <c r="O4487">
        <v>6.8887439999999996E-3</v>
      </c>
      <c r="P4487">
        <v>-0.99243610000000004</v>
      </c>
      <c r="Q4487">
        <v>-0.1225856</v>
      </c>
      <c r="R4487">
        <v>6.588839E-3</v>
      </c>
      <c r="S4487">
        <v>-2.995819</v>
      </c>
      <c r="T4487">
        <v>-0.2178493</v>
      </c>
      <c r="U4487">
        <v>4.1503909999999998E-3</v>
      </c>
      <c r="V4487">
        <v>-2.2164050000000001E-4</v>
      </c>
      <c r="W4487">
        <v>-0.10964160000000001</v>
      </c>
      <c r="X4487">
        <v>0.99397120000000005</v>
      </c>
      <c r="Y4487">
        <v>-5.4746559999999996E-3</v>
      </c>
      <c r="Z4487">
        <v>-6.4510830000000003E-4</v>
      </c>
      <c r="AA4487">
        <v>0.99998480000000001</v>
      </c>
      <c r="AB4487">
        <v>32</v>
      </c>
      <c r="AC4487">
        <v>-15.1062999999999</v>
      </c>
      <c r="AD4487">
        <v>-1.1207047985130001</v>
      </c>
      <c r="AE4487">
        <v>1.9300000000015399E-2</v>
      </c>
      <c r="AF4487">
        <v>-8.4308702817631198E-2</v>
      </c>
      <c r="AG4487">
        <v>-1.1207047985130001</v>
      </c>
      <c r="AH4487">
        <v>15.023388189770101</v>
      </c>
      <c r="AI4487">
        <v>94.266144048582902</v>
      </c>
      <c r="AJ4487">
        <v>90.321530807756105</v>
      </c>
      <c r="AK4487">
        <v>15.065366902379299</v>
      </c>
      <c r="AL4487">
        <v>96.294655559066598</v>
      </c>
      <c r="AM4487">
        <v>90.012776089496995</v>
      </c>
      <c r="AN4487">
        <v>1.00000003800225</v>
      </c>
    </row>
    <row r="4488" spans="1:40" x14ac:dyDescent="0.25">
      <c r="A4488" t="str">
        <f>"20190303154604439"</f>
        <v>20190303154604439</v>
      </c>
      <c r="B4488" t="str">
        <f>"1551599164435466"</f>
        <v>1551599164435466</v>
      </c>
      <c r="C4488" t="s">
        <v>40</v>
      </c>
      <c r="D4488">
        <v>5.1879559999999998</v>
      </c>
      <c r="E4488">
        <v>0.49775449999999999</v>
      </c>
      <c r="F4488" t="s">
        <v>41</v>
      </c>
      <c r="G4488">
        <v>-357.44080000000002</v>
      </c>
      <c r="H4488" s="1">
        <v>-1.6724639999999999E-6</v>
      </c>
      <c r="I4488">
        <v>141.84219999999999</v>
      </c>
      <c r="J4488">
        <v>-342.36689999999999</v>
      </c>
      <c r="K4488">
        <v>1.1207279999999999</v>
      </c>
      <c r="L4488">
        <v>141.8313</v>
      </c>
      <c r="M4488">
        <v>-0.9998901</v>
      </c>
      <c r="N4488">
        <v>-1.321668E-2</v>
      </c>
      <c r="O4488">
        <v>6.7231269999999997E-3</v>
      </c>
      <c r="P4488">
        <v>-0.99233660000000001</v>
      </c>
      <c r="Q4488">
        <v>-0.1234094</v>
      </c>
      <c r="R4488">
        <v>6.2058850000000004E-3</v>
      </c>
      <c r="S4488">
        <v>-2.9959410000000002</v>
      </c>
      <c r="T4488">
        <v>-0.21807679999999999</v>
      </c>
      <c r="U4488">
        <v>2.5482180000000001E-3</v>
      </c>
      <c r="V4488">
        <v>-4.3584050000000001E-4</v>
      </c>
      <c r="W4488">
        <v>-0.1102831</v>
      </c>
      <c r="X4488">
        <v>0.99390009999999995</v>
      </c>
      <c r="Y4488">
        <v>-5.8429869999999896E-3</v>
      </c>
      <c r="Z4488">
        <v>-6.5101709999999997E-4</v>
      </c>
      <c r="AA4488">
        <v>0.9999827</v>
      </c>
      <c r="AB4488">
        <v>32</v>
      </c>
      <c r="AC4488">
        <v>-15.0739</v>
      </c>
      <c r="AD4488">
        <v>-1.1207296724639999</v>
      </c>
      <c r="AE4488">
        <v>1.08999999999923E-2</v>
      </c>
      <c r="AF4488">
        <v>-8.9955584195521507E-2</v>
      </c>
      <c r="AG4488">
        <v>-1.1207296724639999</v>
      </c>
      <c r="AH4488">
        <v>14.99076698444</v>
      </c>
      <c r="AI4488">
        <v>94.275478083405602</v>
      </c>
      <c r="AJ4488">
        <v>90.343812525450801</v>
      </c>
      <c r="AK4488">
        <v>15.0328713753443</v>
      </c>
      <c r="AL4488">
        <v>96.331635419597603</v>
      </c>
      <c r="AM4488">
        <v>90.025125080066104</v>
      </c>
      <c r="AN4488">
        <v>0.99999998044128002</v>
      </c>
    </row>
    <row r="4489" spans="1:40" x14ac:dyDescent="0.25">
      <c r="A4489" t="str">
        <f>"20190303154604462"</f>
        <v>20190303154604462</v>
      </c>
      <c r="B4489" t="str">
        <f>"1551599164455963"</f>
        <v>1551599164455963</v>
      </c>
      <c r="C4489" t="s">
        <v>40</v>
      </c>
      <c r="D4489">
        <v>5.1853680000000004</v>
      </c>
      <c r="E4489">
        <v>0.49784679999999998</v>
      </c>
      <c r="F4489" t="s">
        <v>41</v>
      </c>
      <c r="G4489">
        <v>-357.83440000000002</v>
      </c>
      <c r="H4489" s="1">
        <v>-1.50461E-6</v>
      </c>
      <c r="I4489">
        <v>141.8459</v>
      </c>
      <c r="J4489">
        <v>-342.68259999999998</v>
      </c>
      <c r="K4489">
        <v>1.120744</v>
      </c>
      <c r="L4489">
        <v>141.83320000000001</v>
      </c>
      <c r="M4489">
        <v>-0.99988929999999998</v>
      </c>
      <c r="N4489">
        <v>-1.337314E-2</v>
      </c>
      <c r="O4489">
        <v>6.5432540000000001E-3</v>
      </c>
      <c r="P4489">
        <v>-0.9923225</v>
      </c>
      <c r="Q4489">
        <v>-0.1235245</v>
      </c>
      <c r="R4489">
        <v>6.1443490000000003E-3</v>
      </c>
      <c r="S4489">
        <v>-2.9961549999999999</v>
      </c>
      <c r="T4489">
        <v>-0.21709239999999999</v>
      </c>
      <c r="U4489">
        <v>2.853394E-3</v>
      </c>
      <c r="V4489">
        <v>-3.149901E-4</v>
      </c>
      <c r="W4489">
        <v>-0.1102429</v>
      </c>
      <c r="X4489">
        <v>0.99390469999999997</v>
      </c>
      <c r="Y4489">
        <v>-5.5628169999999899E-3</v>
      </c>
      <c r="Z4489">
        <v>-6.2459009999999999E-4</v>
      </c>
      <c r="AA4489">
        <v>0.99998430000000005</v>
      </c>
      <c r="AB4489">
        <v>32</v>
      </c>
      <c r="AC4489">
        <v>-15.1518</v>
      </c>
      <c r="AD4489">
        <v>-1.1207455046100001</v>
      </c>
      <c r="AE4489">
        <v>1.26999999999952E-2</v>
      </c>
      <c r="AF4489">
        <v>-8.5980780218973499E-2</v>
      </c>
      <c r="AG4489">
        <v>-1.1207455046100001</v>
      </c>
      <c r="AH4489">
        <v>15.06911205914</v>
      </c>
      <c r="AI4489">
        <v>94.253398624049794</v>
      </c>
      <c r="AJ4489">
        <v>90.326912584321207</v>
      </c>
      <c r="AK4489">
        <v>15.110976190557301</v>
      </c>
      <c r="AL4489">
        <v>96.329317401167103</v>
      </c>
      <c r="AM4489">
        <v>90.018158282895897</v>
      </c>
      <c r="AN4489">
        <v>1.0000000744506199</v>
      </c>
    </row>
    <row r="4490" spans="1:40" x14ac:dyDescent="0.25">
      <c r="A4490" t="str">
        <f>"20190303154604487"</f>
        <v>20190303154604487</v>
      </c>
      <c r="B4490" t="str">
        <f>"1551599164475482"</f>
        <v>1551599164475482</v>
      </c>
      <c r="C4490" t="s">
        <v>40</v>
      </c>
      <c r="D4490">
        <v>5.2267159999999997</v>
      </c>
      <c r="E4490">
        <v>0.49795729999999999</v>
      </c>
      <c r="F4490" t="s">
        <v>41</v>
      </c>
      <c r="G4490">
        <v>-358.28320000000002</v>
      </c>
      <c r="H4490" s="1">
        <v>-1.31347E-6</v>
      </c>
      <c r="I4490">
        <v>141.85120000000001</v>
      </c>
      <c r="J4490">
        <v>-343.0367</v>
      </c>
      <c r="K4490">
        <v>1.120771</v>
      </c>
      <c r="L4490">
        <v>141.83529999999999</v>
      </c>
      <c r="M4490">
        <v>-0.99988880000000002</v>
      </c>
      <c r="N4490">
        <v>-1.352189E-2</v>
      </c>
      <c r="O4490">
        <v>6.3201330000000003E-3</v>
      </c>
      <c r="P4490">
        <v>-0.99227730000000003</v>
      </c>
      <c r="Q4490">
        <v>-0.12390959999999999</v>
      </c>
      <c r="R4490">
        <v>5.7206669999999996E-3</v>
      </c>
      <c r="S4490">
        <v>-2.9963989999999998</v>
      </c>
      <c r="T4490">
        <v>-0.2152618</v>
      </c>
      <c r="U4490">
        <v>3.4637449999999998E-3</v>
      </c>
      <c r="V4490">
        <v>-5.1260580000000002E-4</v>
      </c>
      <c r="W4490">
        <v>-0.1104808</v>
      </c>
      <c r="X4490">
        <v>0.99387809999999999</v>
      </c>
      <c r="Y4490">
        <v>-5.1382870000000001E-3</v>
      </c>
      <c r="Z4490">
        <v>-5.8720159999999997E-4</v>
      </c>
      <c r="AA4490">
        <v>0.99998659999999995</v>
      </c>
      <c r="AB4490">
        <v>31</v>
      </c>
      <c r="AC4490">
        <v>-15.246499999999999</v>
      </c>
      <c r="AD4490">
        <v>-1.1207723134700001</v>
      </c>
      <c r="AE4490">
        <v>1.59000000000162E-2</v>
      </c>
      <c r="AF4490">
        <v>-8.0036520621585394E-2</v>
      </c>
      <c r="AG4490">
        <v>-1.1207723134700001</v>
      </c>
      <c r="AH4490">
        <v>15.164351806563101</v>
      </c>
      <c r="AI4490">
        <v>94.226892898239299</v>
      </c>
      <c r="AJ4490">
        <v>90.302400809246393</v>
      </c>
      <c r="AK4490">
        <v>15.205923258273</v>
      </c>
      <c r="AL4490">
        <v>96.343032482206596</v>
      </c>
      <c r="AM4490">
        <v>90.029551054892593</v>
      </c>
      <c r="AN4490">
        <v>0.99999997379647698</v>
      </c>
    </row>
    <row r="4491" spans="1:40" x14ac:dyDescent="0.25">
      <c r="A4491" t="str">
        <f>"20190303154604510"</f>
        <v>20190303154604510</v>
      </c>
      <c r="B4491" t="str">
        <f>"1551599164505739"</f>
        <v>1551599164505739</v>
      </c>
      <c r="C4491" t="s">
        <v>40</v>
      </c>
      <c r="D4491">
        <v>5.1883339999999896</v>
      </c>
      <c r="E4491">
        <v>0.4981042</v>
      </c>
      <c r="F4491" t="s">
        <v>41</v>
      </c>
      <c r="G4491">
        <v>-358.70339999999999</v>
      </c>
      <c r="H4491" s="1">
        <v>-1.133091E-6</v>
      </c>
      <c r="I4491">
        <v>141.85079999999999</v>
      </c>
      <c r="J4491">
        <v>-343.36020000000002</v>
      </c>
      <c r="K4491">
        <v>1.120792</v>
      </c>
      <c r="L4491">
        <v>141.83709999999999</v>
      </c>
      <c r="M4491">
        <v>-0.99988840000000001</v>
      </c>
      <c r="N4491">
        <v>-1.3638900000000001E-2</v>
      </c>
      <c r="O4491">
        <v>6.1033650000000004E-3</v>
      </c>
      <c r="P4491">
        <v>-0.99224920000000005</v>
      </c>
      <c r="Q4491">
        <v>-0.12412719999999999</v>
      </c>
      <c r="R4491">
        <v>5.8256469999999998E-3</v>
      </c>
      <c r="S4491">
        <v>-2.9965519999999999</v>
      </c>
      <c r="T4491">
        <v>-0.21436859999999999</v>
      </c>
      <c r="U4491">
        <v>2.9754640000000001E-3</v>
      </c>
      <c r="V4491">
        <v>-1.8939130000000001E-4</v>
      </c>
      <c r="W4491">
        <v>-0.11058229999999999</v>
      </c>
      <c r="X4491">
        <v>0.99386699999999994</v>
      </c>
      <c r="Y4491">
        <v>-5.0852889999999998E-3</v>
      </c>
      <c r="Z4491">
        <v>-5.6930179999999998E-4</v>
      </c>
      <c r="AA4491">
        <v>0.99998690000000001</v>
      </c>
      <c r="AB4491">
        <v>31</v>
      </c>
      <c r="AC4491">
        <v>-15.3431999999999</v>
      </c>
      <c r="AD4491">
        <v>-1.1207931330909999</v>
      </c>
      <c r="AE4491">
        <v>1.37E-2</v>
      </c>
      <c r="AF4491">
        <v>-7.9529738842242098E-2</v>
      </c>
      <c r="AG4491">
        <v>-1.1207931330909999</v>
      </c>
      <c r="AH4491">
        <v>15.26156156337</v>
      </c>
      <c r="AI4491">
        <v>94.200145223530697</v>
      </c>
      <c r="AJ4491">
        <v>90.298572142582799</v>
      </c>
      <c r="AK4491">
        <v>15.302867822048199</v>
      </c>
      <c r="AL4491">
        <v>96.348883388924506</v>
      </c>
      <c r="AM4491">
        <v>90.010918283870097</v>
      </c>
      <c r="AN4491">
        <v>1.00000004731567</v>
      </c>
    </row>
    <row r="4492" spans="1:40" x14ac:dyDescent="0.25">
      <c r="A4492" t="str">
        <f>"20190303154604532"</f>
        <v>20190303154604532</v>
      </c>
      <c r="B4492" t="str">
        <f>"1551599164525258"</f>
        <v>1551599164525258</v>
      </c>
      <c r="C4492" t="s">
        <v>40</v>
      </c>
      <c r="D4492">
        <v>5.202585</v>
      </c>
      <c r="E4492">
        <v>0.4982106</v>
      </c>
      <c r="F4492" t="s">
        <v>41</v>
      </c>
      <c r="G4492">
        <v>-359.19009999999997</v>
      </c>
      <c r="H4492" s="1">
        <v>-9.2690849999999999E-7</v>
      </c>
      <c r="I4492">
        <v>141.86060000000001</v>
      </c>
      <c r="J4492">
        <v>-343.67349999999999</v>
      </c>
      <c r="K4492">
        <v>1.1208089999999999</v>
      </c>
      <c r="L4492">
        <v>141.83879999999999</v>
      </c>
      <c r="M4492">
        <v>-0.99988840000000001</v>
      </c>
      <c r="N4492">
        <v>-1.3736460000000001E-2</v>
      </c>
      <c r="O4492">
        <v>5.8848809999999998E-3</v>
      </c>
      <c r="P4492">
        <v>-0.99224469999999998</v>
      </c>
      <c r="Q4492">
        <v>-0.1241633</v>
      </c>
      <c r="R4492">
        <v>5.8469289999999998E-3</v>
      </c>
      <c r="S4492">
        <v>-2.9968569999999999</v>
      </c>
      <c r="T4492">
        <v>-0.21218500000000001</v>
      </c>
      <c r="U4492">
        <v>4.4555659999999898E-3</v>
      </c>
      <c r="V4492" s="1">
        <v>5.058997E-5</v>
      </c>
      <c r="W4492">
        <v>-0.11052140000000001</v>
      </c>
      <c r="X4492">
        <v>0.99387369999999997</v>
      </c>
      <c r="Y4492">
        <v>-4.3760550000000002E-3</v>
      </c>
      <c r="Z4492">
        <v>-5.2020699999999996E-4</v>
      </c>
      <c r="AA4492">
        <v>0.9999903</v>
      </c>
      <c r="AB4492">
        <v>31</v>
      </c>
      <c r="AC4492">
        <v>-15.516599999999899</v>
      </c>
      <c r="AD4492">
        <v>-1.1208099269084999</v>
      </c>
      <c r="AE4492">
        <v>2.1800000000013101E-2</v>
      </c>
      <c r="AF4492">
        <v>-6.9161475903654304E-2</v>
      </c>
      <c r="AG4492">
        <v>-1.1208099269084999</v>
      </c>
      <c r="AH4492">
        <v>15.435921256673501</v>
      </c>
      <c r="AI4492">
        <v>94.152945191535593</v>
      </c>
      <c r="AJ4492">
        <v>90.256715105714704</v>
      </c>
      <c r="AK4492">
        <v>15.4767135802221</v>
      </c>
      <c r="AL4492">
        <v>96.345373131509504</v>
      </c>
      <c r="AM4492">
        <v>89.997083541133804</v>
      </c>
      <c r="AN4492">
        <v>0.99999995698449595</v>
      </c>
    </row>
    <row r="4493" spans="1:40" x14ac:dyDescent="0.25">
      <c r="A4493" t="str">
        <f>"20190303154604551"</f>
        <v>20190303154604551</v>
      </c>
      <c r="B4493" t="str">
        <f>"1551599164545754"</f>
        <v>1551599164545754</v>
      </c>
      <c r="C4493" t="s">
        <v>40</v>
      </c>
      <c r="D4493">
        <v>5.2907710000000003</v>
      </c>
      <c r="E4493">
        <v>0.49823129999999999</v>
      </c>
      <c r="F4493" t="s">
        <v>41</v>
      </c>
      <c r="G4493">
        <v>-359.63679999999999</v>
      </c>
      <c r="H4493" s="1">
        <v>-7.3719589999999996E-7</v>
      </c>
      <c r="I4493">
        <v>141.86770000000001</v>
      </c>
      <c r="J4493">
        <v>-343.94310000000002</v>
      </c>
      <c r="K4493">
        <v>1.120822</v>
      </c>
      <c r="L4493">
        <v>141.84020000000001</v>
      </c>
      <c r="M4493">
        <v>-0.99988840000000001</v>
      </c>
      <c r="N4493">
        <v>-1.3809419999999999E-2</v>
      </c>
      <c r="O4493">
        <v>5.6926729999999997E-3</v>
      </c>
      <c r="P4493">
        <v>-0.99225419999999998</v>
      </c>
      <c r="Q4493">
        <v>-0.1240928</v>
      </c>
      <c r="R4493">
        <v>5.728683E-3</v>
      </c>
      <c r="S4493">
        <v>-2.9970699999999999</v>
      </c>
      <c r="T4493">
        <v>-0.21042949999999999</v>
      </c>
      <c r="U4493">
        <v>5.4473880000000001E-3</v>
      </c>
      <c r="V4493">
        <v>1.2404650000000001E-4</v>
      </c>
      <c r="W4493">
        <v>-0.1103783</v>
      </c>
      <c r="X4493">
        <v>0.99388960000000004</v>
      </c>
      <c r="Y4493">
        <v>-3.8552629999999998E-3</v>
      </c>
      <c r="Z4493">
        <v>-4.8249559999999998E-4</v>
      </c>
      <c r="AA4493">
        <v>0.9999924</v>
      </c>
      <c r="AB4493">
        <v>31</v>
      </c>
      <c r="AC4493">
        <v>-15.6936999999999</v>
      </c>
      <c r="AD4493">
        <v>-1.1208227371958901</v>
      </c>
      <c r="AE4493">
        <v>2.75000000000034E-2</v>
      </c>
      <c r="AF4493">
        <v>-6.1534209458273703E-2</v>
      </c>
      <c r="AG4493">
        <v>-1.1208227371958901</v>
      </c>
      <c r="AH4493">
        <v>15.6139615465184</v>
      </c>
      <c r="AI4493">
        <v>94.105809612589795</v>
      </c>
      <c r="AJ4493">
        <v>90.225799982578806</v>
      </c>
      <c r="AK4493">
        <v>15.654259012911</v>
      </c>
      <c r="AL4493">
        <v>96.337123608255098</v>
      </c>
      <c r="AM4493">
        <v>89.992848963429594</v>
      </c>
      <c r="AN4493">
        <v>0.99999996074329101</v>
      </c>
    </row>
    <row r="4494" spans="1:40" x14ac:dyDescent="0.25">
      <c r="A4494" t="str">
        <f>"20190303154604573"</f>
        <v>20190303154604573</v>
      </c>
      <c r="B4494" t="str">
        <f>"1551599164565274"</f>
        <v>1551599164565274</v>
      </c>
      <c r="C4494" t="s">
        <v>40</v>
      </c>
      <c r="D4494">
        <v>5.260364</v>
      </c>
      <c r="E4494">
        <v>0.49832330000000002</v>
      </c>
      <c r="F4494" t="s">
        <v>41</v>
      </c>
      <c r="G4494">
        <v>-359.93939999999998</v>
      </c>
      <c r="H4494" s="1">
        <v>-6.072864E-7</v>
      </c>
      <c r="I4494">
        <v>141.8674</v>
      </c>
      <c r="J4494">
        <v>-344.24860000000001</v>
      </c>
      <c r="K4494">
        <v>1.1208370000000001</v>
      </c>
      <c r="L4494">
        <v>141.8417</v>
      </c>
      <c r="M4494">
        <v>-0.99988880000000002</v>
      </c>
      <c r="N4494">
        <v>-1.388146E-2</v>
      </c>
      <c r="O4494">
        <v>5.4725980000000004E-3</v>
      </c>
      <c r="P4494">
        <v>-0.99223309999999998</v>
      </c>
      <c r="Q4494">
        <v>-0.1242738</v>
      </c>
      <c r="R4494">
        <v>5.4717610000000003E-3</v>
      </c>
      <c r="S4494">
        <v>-2.997131</v>
      </c>
      <c r="T4494">
        <v>-0.21000170000000001</v>
      </c>
      <c r="U4494">
        <v>5.1269530000000001E-3</v>
      </c>
      <c r="V4494" s="1">
        <v>8.6451299999999997E-5</v>
      </c>
      <c r="W4494">
        <v>-0.110488</v>
      </c>
      <c r="X4494">
        <v>0.99387749999999997</v>
      </c>
      <c r="Y4494">
        <v>-3.7428980000000001E-3</v>
      </c>
      <c r="Z4494">
        <v>-4.6406799999999999E-4</v>
      </c>
      <c r="AA4494">
        <v>0.99999289999999996</v>
      </c>
      <c r="AB4494">
        <v>31</v>
      </c>
      <c r="AC4494">
        <v>-15.6907999999999</v>
      </c>
      <c r="AD4494">
        <v>-1.1208376072863999</v>
      </c>
      <c r="AE4494">
        <v>2.57000000000005E-2</v>
      </c>
      <c r="AF4494">
        <v>-5.9872581490991103E-2</v>
      </c>
      <c r="AG4494">
        <v>-1.1208376072863999</v>
      </c>
      <c r="AH4494">
        <v>15.6110482498687</v>
      </c>
      <c r="AI4494">
        <v>94.106629185862602</v>
      </c>
      <c r="AJ4494">
        <v>90.219743693915504</v>
      </c>
      <c r="AK4494">
        <v>15.6513478374117</v>
      </c>
      <c r="AL4494">
        <v>96.343447097433994</v>
      </c>
      <c r="AM4494">
        <v>89.995016192024707</v>
      </c>
      <c r="AN4494">
        <v>1.0000000453120299</v>
      </c>
    </row>
    <row r="4495" spans="1:40" x14ac:dyDescent="0.25">
      <c r="A4495" t="str">
        <f>"20190303154604595"</f>
        <v>20190303154604595</v>
      </c>
      <c r="B4495" t="str">
        <f>"1551599164585770"</f>
        <v>1551599164585770</v>
      </c>
      <c r="C4495" t="s">
        <v>40</v>
      </c>
      <c r="D4495">
        <v>5.2965330000000002</v>
      </c>
      <c r="E4495">
        <v>0.49843169999999998</v>
      </c>
      <c r="F4495" t="s">
        <v>41</v>
      </c>
      <c r="G4495">
        <v>-360.20400000000001</v>
      </c>
      <c r="H4495" s="1">
        <v>-4.6061400000000001E-6</v>
      </c>
      <c r="I4495">
        <v>141.86869999999999</v>
      </c>
      <c r="J4495">
        <v>-344.54939999999999</v>
      </c>
      <c r="K4495">
        <v>1.1208419999999999</v>
      </c>
      <c r="L4495">
        <v>141.84309999999999</v>
      </c>
      <c r="M4495">
        <v>-0.99988909999999998</v>
      </c>
      <c r="N4495">
        <v>-1.3942660000000001E-2</v>
      </c>
      <c r="O4495">
        <v>5.2557159999999997E-3</v>
      </c>
      <c r="P4495">
        <v>-0.99232799999999999</v>
      </c>
      <c r="Q4495">
        <v>-0.1235087</v>
      </c>
      <c r="R4495">
        <v>5.5488559999999996E-3</v>
      </c>
      <c r="S4495">
        <v>-2.997131</v>
      </c>
      <c r="T4495">
        <v>-0.21054429999999999</v>
      </c>
      <c r="U4495">
        <v>5.0811770000000001E-3</v>
      </c>
      <c r="V4495">
        <v>3.7813549999999999E-4</v>
      </c>
      <c r="W4495">
        <v>-0.1096607</v>
      </c>
      <c r="X4495">
        <v>0.99396899999999999</v>
      </c>
      <c r="Y4495">
        <v>-3.5421129999999999E-3</v>
      </c>
      <c r="Z4495">
        <v>-4.4453230000000003E-4</v>
      </c>
      <c r="AA4495">
        <v>0.99999360000000004</v>
      </c>
      <c r="AB4495">
        <v>31</v>
      </c>
      <c r="AC4495">
        <v>-15.6546</v>
      </c>
      <c r="AD4495">
        <v>-1.12084660614</v>
      </c>
      <c r="AE4495">
        <v>2.5599999999997101E-2</v>
      </c>
      <c r="AF4495">
        <v>-5.6395372326669302E-2</v>
      </c>
      <c r="AG4495">
        <v>-1.12084660614</v>
      </c>
      <c r="AH4495">
        <v>15.5746772437464</v>
      </c>
      <c r="AI4495">
        <v>94.116222541692295</v>
      </c>
      <c r="AJ4495">
        <v>90.207465146533096</v>
      </c>
      <c r="AK4495">
        <v>15.6150583988466</v>
      </c>
      <c r="AL4495">
        <v>96.295756834627596</v>
      </c>
      <c r="AM4495">
        <v>89.978202974953007</v>
      </c>
      <c r="AN4495">
        <v>0.99999999253597305</v>
      </c>
    </row>
    <row r="4496" spans="1:40" x14ac:dyDescent="0.25">
      <c r="A4496" t="str">
        <f>"20190303154604617"</f>
        <v>20190303154604617</v>
      </c>
      <c r="B4496" t="str">
        <f>"1551599164605291"</f>
        <v>1551599164605291</v>
      </c>
      <c r="C4496" t="s">
        <v>40</v>
      </c>
      <c r="D4496">
        <v>5.2642139999999999</v>
      </c>
      <c r="E4496">
        <v>0.49852249999999998</v>
      </c>
      <c r="F4496" t="s">
        <v>41</v>
      </c>
      <c r="G4496">
        <v>-360.6943</v>
      </c>
      <c r="H4496" s="1">
        <v>-4.4406609999999997E-6</v>
      </c>
      <c r="I4496">
        <v>141.87639999999999</v>
      </c>
      <c r="J4496">
        <v>-344.86770000000001</v>
      </c>
      <c r="K4496">
        <v>1.120854</v>
      </c>
      <c r="L4496">
        <v>141.84450000000001</v>
      </c>
      <c r="M4496">
        <v>-0.99988940000000004</v>
      </c>
      <c r="N4496">
        <v>-1.399822E-2</v>
      </c>
      <c r="O4496">
        <v>5.0269670000000002E-3</v>
      </c>
      <c r="P4496">
        <v>-0.99239049999999995</v>
      </c>
      <c r="Q4496">
        <v>-0.1230122</v>
      </c>
      <c r="R4496">
        <v>5.3929069999999997E-3</v>
      </c>
      <c r="S4496">
        <v>-2.9971920000000001</v>
      </c>
      <c r="T4496">
        <v>-0.2080786</v>
      </c>
      <c r="U4496">
        <v>6.1950679999999998E-3</v>
      </c>
      <c r="V4496">
        <v>4.4876909999999999E-4</v>
      </c>
      <c r="W4496">
        <v>-0.1091081</v>
      </c>
      <c r="X4496">
        <v>0.99402979999999996</v>
      </c>
      <c r="Y4496">
        <v>-2.9442909999999999E-3</v>
      </c>
      <c r="Z4496">
        <v>-4.0098679999999999E-4</v>
      </c>
      <c r="AA4496">
        <v>0.99999559999999998</v>
      </c>
      <c r="AB4496">
        <v>31</v>
      </c>
      <c r="AC4496">
        <v>-15.8265999999999</v>
      </c>
      <c r="AD4496">
        <v>-1.120858440661</v>
      </c>
      <c r="AE4496">
        <v>3.1899999999978897E-2</v>
      </c>
      <c r="AF4496">
        <v>-4.7430102474053E-2</v>
      </c>
      <c r="AG4496">
        <v>-1.120858440661</v>
      </c>
      <c r="AH4496">
        <v>15.747576523325201</v>
      </c>
      <c r="AI4496">
        <v>94.071232640835206</v>
      </c>
      <c r="AJ4496">
        <v>90.172568551879905</v>
      </c>
      <c r="AK4496">
        <v>15.787486804954201</v>
      </c>
      <c r="AL4496">
        <v>96.263903937706502</v>
      </c>
      <c r="AM4496">
        <v>89.974132995148594</v>
      </c>
      <c r="AN4496">
        <v>1.00000001108367</v>
      </c>
    </row>
    <row r="4497" spans="1:40" x14ac:dyDescent="0.25">
      <c r="A4497" t="str">
        <f>"20190303154604640"</f>
        <v>20190303154604640</v>
      </c>
      <c r="B4497" t="str">
        <f>"1551599164635546"</f>
        <v>1551599164635546</v>
      </c>
      <c r="C4497" t="s">
        <v>40</v>
      </c>
      <c r="D4497">
        <v>5.2535509999999999</v>
      </c>
      <c r="E4497">
        <v>0.49865219999999999</v>
      </c>
      <c r="F4497" t="s">
        <v>41</v>
      </c>
      <c r="G4497">
        <v>-361.12079999999997</v>
      </c>
      <c r="H4497" s="1">
        <v>-4.2961469999999996E-6</v>
      </c>
      <c r="I4497">
        <v>141.87989999999999</v>
      </c>
      <c r="J4497">
        <v>-345.18150000000003</v>
      </c>
      <c r="K4497">
        <v>1.120862</v>
      </c>
      <c r="L4497">
        <v>141.8459</v>
      </c>
      <c r="M4497">
        <v>-0.99988999999999995</v>
      </c>
      <c r="N4497">
        <v>-1.404496E-2</v>
      </c>
      <c r="O4497">
        <v>4.8025189999999999E-3</v>
      </c>
      <c r="P4497">
        <v>-0.99242189999999997</v>
      </c>
      <c r="Q4497">
        <v>-0.1227617</v>
      </c>
      <c r="R4497">
        <v>5.3674930000000001E-3</v>
      </c>
      <c r="S4497">
        <v>-2.9973450000000001</v>
      </c>
      <c r="T4497">
        <v>-0.2067059</v>
      </c>
      <c r="U4497">
        <v>6.546021E-3</v>
      </c>
      <c r="V4497">
        <v>6.4616109999999995E-4</v>
      </c>
      <c r="W4497">
        <v>-0.10881059999999999</v>
      </c>
      <c r="X4497">
        <v>0.99406229999999995</v>
      </c>
      <c r="Y4497">
        <v>-2.6043899999999998E-3</v>
      </c>
      <c r="Z4497">
        <v>-3.7142350000000002E-4</v>
      </c>
      <c r="AA4497">
        <v>0.99999649999999995</v>
      </c>
      <c r="AB4497">
        <v>31</v>
      </c>
      <c r="AC4497">
        <v>-15.9392999999999</v>
      </c>
      <c r="AD4497">
        <v>-1.120866296147</v>
      </c>
      <c r="AE4497">
        <v>3.3999999999991801E-2</v>
      </c>
      <c r="AF4497">
        <v>-4.2347313636549297E-2</v>
      </c>
      <c r="AG4497">
        <v>-1.120866296147</v>
      </c>
      <c r="AH4497">
        <v>15.8608474053554</v>
      </c>
      <c r="AI4497">
        <v>94.0422866455486</v>
      </c>
      <c r="AJ4497">
        <v>90.152975217385901</v>
      </c>
      <c r="AK4497">
        <v>15.900459583445301</v>
      </c>
      <c r="AL4497">
        <v>96.246756355524496</v>
      </c>
      <c r="AM4497">
        <v>89.9627565609306</v>
      </c>
      <c r="AN4497">
        <v>1.0000000102389</v>
      </c>
    </row>
    <row r="4498" spans="1:40" x14ac:dyDescent="0.25">
      <c r="A4498" t="str">
        <f>"20190303154604662"</f>
        <v>20190303154604662</v>
      </c>
      <c r="B4498" t="str">
        <f>"1551599164656046"</f>
        <v>1551599164656046</v>
      </c>
      <c r="C4498" t="s">
        <v>40</v>
      </c>
      <c r="D4498">
        <v>5.2638959999999999</v>
      </c>
      <c r="E4498">
        <v>0.49873210000000001</v>
      </c>
      <c r="F4498" t="s">
        <v>41</v>
      </c>
      <c r="G4498">
        <v>-361.4941</v>
      </c>
      <c r="H4498" s="1">
        <v>-4.170266E-6</v>
      </c>
      <c r="I4498">
        <v>141.88640000000001</v>
      </c>
      <c r="J4498">
        <v>-345.49029999999999</v>
      </c>
      <c r="K4498">
        <v>1.1208739999999999</v>
      </c>
      <c r="L4498">
        <v>141.84710000000001</v>
      </c>
      <c r="M4498">
        <v>-0.99989039999999996</v>
      </c>
      <c r="N4498">
        <v>-1.408412E-2</v>
      </c>
      <c r="O4498">
        <v>4.5822479999999997E-3</v>
      </c>
      <c r="P4498">
        <v>-0.99239960000000005</v>
      </c>
      <c r="Q4498">
        <v>-0.1229297</v>
      </c>
      <c r="R4498">
        <v>5.6205079999999998E-3</v>
      </c>
      <c r="S4498">
        <v>-2.9973749999999999</v>
      </c>
      <c r="T4498">
        <v>-0.20595540000000001</v>
      </c>
      <c r="U4498">
        <v>7.4615480000000001E-3</v>
      </c>
      <c r="V4498">
        <v>1.117748E-3</v>
      </c>
      <c r="W4498">
        <v>-0.1089398</v>
      </c>
      <c r="X4498">
        <v>0.99404769999999998</v>
      </c>
      <c r="Y4498">
        <v>-2.0806190000000001E-3</v>
      </c>
      <c r="Z4498">
        <v>-3.3607329999999999E-4</v>
      </c>
      <c r="AA4498">
        <v>0.99999780000000005</v>
      </c>
      <c r="AB4498">
        <v>31</v>
      </c>
      <c r="AC4498">
        <v>-16.003799999999998</v>
      </c>
      <c r="AD4498">
        <v>-1.120878170266</v>
      </c>
      <c r="AE4498">
        <v>3.9299999999997198E-2</v>
      </c>
      <c r="AF4498">
        <v>-3.3874893870467597E-2</v>
      </c>
      <c r="AG4498">
        <v>-1.120878170266</v>
      </c>
      <c r="AH4498">
        <v>15.925691324887</v>
      </c>
      <c r="AI4498">
        <v>94.025929812380497</v>
      </c>
      <c r="AJ4498">
        <v>90.121871351361605</v>
      </c>
      <c r="AK4498">
        <v>15.965123223971499</v>
      </c>
      <c r="AL4498">
        <v>96.254203430909797</v>
      </c>
      <c r="AM4498">
        <v>89.935574302955203</v>
      </c>
      <c r="AN4498">
        <v>0.99999997962996001</v>
      </c>
    </row>
    <row r="4499" spans="1:40" x14ac:dyDescent="0.25">
      <c r="A4499" t="str">
        <f>"20190303154604685"</f>
        <v>20190303154604685</v>
      </c>
      <c r="B4499" t="str">
        <f>"1551599164675562"</f>
        <v>1551599164675562</v>
      </c>
      <c r="C4499" t="s">
        <v>40</v>
      </c>
      <c r="D4499">
        <v>5.2786309999999999</v>
      </c>
      <c r="E4499">
        <v>0.49879059999999997</v>
      </c>
      <c r="F4499" t="s">
        <v>41</v>
      </c>
      <c r="G4499">
        <v>-361.7792</v>
      </c>
      <c r="H4499" s="1">
        <v>-4.0747710000000002E-6</v>
      </c>
      <c r="I4499">
        <v>141.89500000000001</v>
      </c>
      <c r="J4499">
        <v>-345.80509999999998</v>
      </c>
      <c r="K4499">
        <v>1.1208830000000001</v>
      </c>
      <c r="L4499">
        <v>141.84829999999999</v>
      </c>
      <c r="M4499">
        <v>-0.99989079999999997</v>
      </c>
      <c r="N4499">
        <v>-1.411776E-2</v>
      </c>
      <c r="O4499">
        <v>4.3584399999999999E-3</v>
      </c>
      <c r="P4499">
        <v>-0.99237439999999999</v>
      </c>
      <c r="Q4499">
        <v>-0.1231421</v>
      </c>
      <c r="R4499">
        <v>5.3841260000000004E-3</v>
      </c>
      <c r="S4499">
        <v>-2.9973450000000001</v>
      </c>
      <c r="T4499">
        <v>-0.2062553</v>
      </c>
      <c r="U4499">
        <v>8.8348390000000006E-3</v>
      </c>
      <c r="V4499">
        <v>1.10367E-3</v>
      </c>
      <c r="W4499">
        <v>-0.1091191</v>
      </c>
      <c r="X4499">
        <v>0.99402809999999997</v>
      </c>
      <c r="Y4499">
        <v>-1.4008359999999999E-3</v>
      </c>
      <c r="Z4499">
        <v>-2.9612660000000001E-4</v>
      </c>
      <c r="AA4499">
        <v>0.99999899999999997</v>
      </c>
      <c r="AB4499">
        <v>31</v>
      </c>
      <c r="AC4499">
        <v>-15.9741</v>
      </c>
      <c r="AD4499">
        <v>-1.120887074771</v>
      </c>
      <c r="AE4499">
        <v>4.67000000000155E-2</v>
      </c>
      <c r="AF4499">
        <v>-2.2817198234109E-2</v>
      </c>
      <c r="AG4499">
        <v>-1.120887074771</v>
      </c>
      <c r="AH4499">
        <v>15.895886020118001</v>
      </c>
      <c r="AI4499">
        <v>94.033490559872206</v>
      </c>
      <c r="AJ4499">
        <v>90.082243182895994</v>
      </c>
      <c r="AK4499">
        <v>15.935372628950599</v>
      </c>
      <c r="AL4499">
        <v>96.264537859027499</v>
      </c>
      <c r="AM4499">
        <v>89.936384487530802</v>
      </c>
      <c r="AN4499">
        <v>1.0000000298309399</v>
      </c>
    </row>
    <row r="4500" spans="1:40" x14ac:dyDescent="0.25">
      <c r="A4500" t="str">
        <f>"20190303154604710"</f>
        <v>20190303154604710</v>
      </c>
      <c r="B4500" t="str">
        <f>"1551599164705383"</f>
        <v>1551599164705383</v>
      </c>
      <c r="C4500" t="s">
        <v>40</v>
      </c>
      <c r="D4500">
        <v>5.2485369999999998</v>
      </c>
      <c r="E4500">
        <v>0.49886930000000002</v>
      </c>
      <c r="F4500" t="s">
        <v>41</v>
      </c>
      <c r="G4500">
        <v>-362.02679999999998</v>
      </c>
      <c r="H4500" s="1">
        <v>-3.9904290000000001E-6</v>
      </c>
      <c r="I4500">
        <v>141.8946</v>
      </c>
      <c r="J4500">
        <v>-346.14359999999999</v>
      </c>
      <c r="K4500">
        <v>1.120892</v>
      </c>
      <c r="L4500">
        <v>141.84950000000001</v>
      </c>
      <c r="M4500">
        <v>-0.99989139999999999</v>
      </c>
      <c r="N4500">
        <v>-1.414821E-2</v>
      </c>
      <c r="O4500">
        <v>4.117852E-3</v>
      </c>
      <c r="P4500">
        <v>-0.99232209999999998</v>
      </c>
      <c r="Q4500">
        <v>-0.123568</v>
      </c>
      <c r="R4500">
        <v>5.2934690000000003E-3</v>
      </c>
      <c r="S4500">
        <v>-2.9973139999999998</v>
      </c>
      <c r="T4500">
        <v>-0.2071084</v>
      </c>
      <c r="U4500">
        <v>8.5754390000000007E-3</v>
      </c>
      <c r="V4500">
        <v>1.252195E-3</v>
      </c>
      <c r="W4500">
        <v>-0.1095153</v>
      </c>
      <c r="X4500">
        <v>0.99398430000000004</v>
      </c>
      <c r="Y4500">
        <v>-1.2474490000000001E-3</v>
      </c>
      <c r="Z4500">
        <v>-2.7787120000000002E-4</v>
      </c>
      <c r="AA4500">
        <v>0.99999919999999998</v>
      </c>
      <c r="AB4500">
        <v>31</v>
      </c>
      <c r="AC4500">
        <v>-15.883199999999899</v>
      </c>
      <c r="AD4500">
        <v>-1.1208959904289999</v>
      </c>
      <c r="AE4500">
        <v>4.50999999999908E-2</v>
      </c>
      <c r="AF4500">
        <v>-2.0210942816601601E-2</v>
      </c>
      <c r="AG4500">
        <v>-1.1208959904289999</v>
      </c>
      <c r="AH4500">
        <v>15.804540484317201</v>
      </c>
      <c r="AI4500">
        <v>94.056758342048298</v>
      </c>
      <c r="AJ4500">
        <v>90.073270152541099</v>
      </c>
      <c r="AK4500">
        <v>15.844251835413001</v>
      </c>
      <c r="AL4500">
        <v>96.287375635343594</v>
      </c>
      <c r="AM4500">
        <v>89.927820338134694</v>
      </c>
      <c r="AN4500">
        <v>0.99999997878644797</v>
      </c>
    </row>
    <row r="4501" spans="1:40" x14ac:dyDescent="0.25">
      <c r="A4501" t="str">
        <f>"20190303154604729"</f>
        <v>20190303154604729</v>
      </c>
      <c r="B4501" t="str">
        <f>"1551599164725879"</f>
        <v>1551599164725879</v>
      </c>
      <c r="C4501" t="s">
        <v>40</v>
      </c>
      <c r="D4501">
        <v>5.2738500000000004</v>
      </c>
      <c r="E4501">
        <v>0.49891990000000003</v>
      </c>
      <c r="F4501" t="s">
        <v>41</v>
      </c>
      <c r="G4501">
        <v>-362.2439</v>
      </c>
      <c r="H4501" s="1">
        <v>-3.9165809999999996E-6</v>
      </c>
      <c r="I4501">
        <v>141.8974</v>
      </c>
      <c r="J4501">
        <v>-346.4178</v>
      </c>
      <c r="K4501">
        <v>1.1208910000000001</v>
      </c>
      <c r="L4501">
        <v>141.85040000000001</v>
      </c>
      <c r="M4501">
        <v>-0.99989189999999994</v>
      </c>
      <c r="N4501">
        <v>-1.4169370000000001E-2</v>
      </c>
      <c r="O4501">
        <v>3.923045E-3</v>
      </c>
      <c r="P4501">
        <v>-0.99233039999999995</v>
      </c>
      <c r="Q4501">
        <v>-0.123499499999999</v>
      </c>
      <c r="R4501">
        <v>5.3290610000000004E-3</v>
      </c>
      <c r="S4501">
        <v>-2.9971920000000001</v>
      </c>
      <c r="T4501">
        <v>-0.20866419999999999</v>
      </c>
      <c r="U4501">
        <v>8.926392E-3</v>
      </c>
      <c r="V4501">
        <v>1.4808759999999999E-3</v>
      </c>
      <c r="W4501">
        <v>-0.1094256</v>
      </c>
      <c r="X4501">
        <v>0.99399389999999999</v>
      </c>
      <c r="Y4501">
        <v>-9.3645420000000004E-4</v>
      </c>
      <c r="Z4501">
        <v>-2.5645680000000001E-4</v>
      </c>
      <c r="AA4501">
        <v>0.99999950000000004</v>
      </c>
      <c r="AB4501">
        <v>31</v>
      </c>
      <c r="AC4501">
        <v>-15.826099999999901</v>
      </c>
      <c r="AD4501">
        <v>-1.120894916581</v>
      </c>
      <c r="AE4501">
        <v>4.6999999999997003E-2</v>
      </c>
      <c r="AF4501">
        <v>-1.5017765890738799E-2</v>
      </c>
      <c r="AG4501">
        <v>-1.120894916581</v>
      </c>
      <c r="AH4501">
        <v>15.7471710305598</v>
      </c>
      <c r="AI4501">
        <v>94.071485730456303</v>
      </c>
      <c r="AJ4501">
        <v>90.054641836347699</v>
      </c>
      <c r="AK4501">
        <v>15.7870208213269</v>
      </c>
      <c r="AL4501">
        <v>96.282204906695299</v>
      </c>
      <c r="AM4501">
        <v>89.914639433897094</v>
      </c>
      <c r="AN4501">
        <v>1.00000001408314</v>
      </c>
    </row>
    <row r="4502" spans="1:40" x14ac:dyDescent="0.25">
      <c r="A4502" t="str">
        <f>"20190303154604752"</f>
        <v>20190303154604752</v>
      </c>
      <c r="B4502" t="str">
        <f>"1551599164745399"</f>
        <v>1551599164745399</v>
      </c>
      <c r="C4502" t="s">
        <v>40</v>
      </c>
      <c r="D4502">
        <v>5.1548179999999997</v>
      </c>
      <c r="E4502">
        <v>0.49895240000000002</v>
      </c>
      <c r="F4502" t="s">
        <v>41</v>
      </c>
      <c r="G4502">
        <v>-362.51819999999998</v>
      </c>
      <c r="H4502" s="1">
        <v>-3.799667E-6</v>
      </c>
      <c r="I4502">
        <v>141.90010000000001</v>
      </c>
      <c r="J4502">
        <v>-346.72750000000002</v>
      </c>
      <c r="K4502">
        <v>1.1209039999999999</v>
      </c>
      <c r="L4502">
        <v>141.85140000000001</v>
      </c>
      <c r="M4502">
        <v>-0.99989249999999996</v>
      </c>
      <c r="N4502">
        <v>-1.4189790000000001E-2</v>
      </c>
      <c r="O4502">
        <v>3.703034E-3</v>
      </c>
      <c r="P4502">
        <v>-0.99241489999999999</v>
      </c>
      <c r="Q4502">
        <v>-0.1228477</v>
      </c>
      <c r="R4502">
        <v>4.6176189999999999E-3</v>
      </c>
      <c r="S4502">
        <v>-2.9971619999999999</v>
      </c>
      <c r="T4502">
        <v>-0.2086604</v>
      </c>
      <c r="U4502">
        <v>9.2620849999999998E-3</v>
      </c>
      <c r="V4502">
        <v>9.870549000000001E-4</v>
      </c>
      <c r="W4502">
        <v>-0.10875269999999999</v>
      </c>
      <c r="X4502">
        <v>0.99406830000000002</v>
      </c>
      <c r="Y4502">
        <v>-6.056929E-4</v>
      </c>
      <c r="Z4502">
        <v>-2.3035450000000001E-4</v>
      </c>
      <c r="AA4502">
        <v>0.99999979999999999</v>
      </c>
      <c r="AB4502">
        <v>31</v>
      </c>
      <c r="AC4502">
        <v>-15.7906999999999</v>
      </c>
      <c r="AD4502">
        <v>-1.120907799667</v>
      </c>
      <c r="AE4502">
        <v>4.86999999999966E-2</v>
      </c>
      <c r="AF4502">
        <v>-9.7306868587027692E-3</v>
      </c>
      <c r="AG4502">
        <v>-1.120907799667</v>
      </c>
      <c r="AH4502">
        <v>15.7116033909041</v>
      </c>
      <c r="AI4502">
        <v>94.080719395910407</v>
      </c>
      <c r="AJ4502">
        <v>90.0354850618114</v>
      </c>
      <c r="AK4502">
        <v>15.751539927724201</v>
      </c>
      <c r="AL4502">
        <v>96.2434194747688</v>
      </c>
      <c r="AM4502">
        <v>89.943108475210906</v>
      </c>
      <c r="AN4502">
        <v>0.99999995454977597</v>
      </c>
    </row>
    <row r="4503" spans="1:40" x14ac:dyDescent="0.25">
      <c r="A4503" t="str">
        <f>"20190303154604774"</f>
        <v>20190303154604774</v>
      </c>
      <c r="B4503" t="str">
        <f>"1551599164765895"</f>
        <v>1551599164765895</v>
      </c>
      <c r="C4503" t="s">
        <v>40</v>
      </c>
      <c r="D4503">
        <v>5.1387640000000001</v>
      </c>
      <c r="E4503">
        <v>0.49841990000000003</v>
      </c>
      <c r="F4503" t="s">
        <v>41</v>
      </c>
      <c r="G4503">
        <v>-362.96319999999997</v>
      </c>
      <c r="H4503" s="1">
        <v>-3.60642E-6</v>
      </c>
      <c r="I4503">
        <v>141.8913</v>
      </c>
      <c r="J4503">
        <v>-347.03660000000002</v>
      </c>
      <c r="K4503">
        <v>1.1209129999999901</v>
      </c>
      <c r="L4503">
        <v>141.85230000000001</v>
      </c>
      <c r="M4503">
        <v>-0.99989300000000003</v>
      </c>
      <c r="N4503">
        <v>-1.420689E-2</v>
      </c>
      <c r="O4503">
        <v>3.4834649999999998E-3</v>
      </c>
      <c r="P4503">
        <v>-0.99248590000000003</v>
      </c>
      <c r="Q4503">
        <v>-0.1222897</v>
      </c>
      <c r="R4503">
        <v>4.1221219999999998E-3</v>
      </c>
      <c r="S4503">
        <v>-2.9972530000000002</v>
      </c>
      <c r="T4503">
        <v>-0.20693120000000001</v>
      </c>
      <c r="U4503">
        <v>7.385254E-3</v>
      </c>
      <c r="V4503">
        <v>7.0883759999999904E-4</v>
      </c>
      <c r="W4503">
        <v>-0.10817690000000001</v>
      </c>
      <c r="X4503">
        <v>0.9941314</v>
      </c>
      <c r="Y4503">
        <v>-1.0116859999999999E-3</v>
      </c>
      <c r="Z4503">
        <v>-2.328466E-4</v>
      </c>
      <c r="AA4503">
        <v>0.99999950000000004</v>
      </c>
      <c r="AB4503">
        <v>31</v>
      </c>
      <c r="AC4503">
        <v>-15.926599999999899</v>
      </c>
      <c r="AD4503">
        <v>-1.12091660641999</v>
      </c>
      <c r="AE4503">
        <v>3.8999999999987198E-2</v>
      </c>
      <c r="AF4503">
        <v>-1.6404334401438601E-2</v>
      </c>
      <c r="AG4503">
        <v>-1.12091660641999</v>
      </c>
      <c r="AH4503">
        <v>15.8481380530511</v>
      </c>
      <c r="AI4503">
        <v>94.045710775011599</v>
      </c>
      <c r="AJ4503">
        <v>90.059306575201504</v>
      </c>
      <c r="AK4503">
        <v>15.887737500641901</v>
      </c>
      <c r="AL4503">
        <v>96.210232535619696</v>
      </c>
      <c r="AM4503">
        <v>89.959146853265494</v>
      </c>
      <c r="AN4503">
        <v>0.99999999230515602</v>
      </c>
    </row>
    <row r="4504" spans="1:40" x14ac:dyDescent="0.25">
      <c r="A4504" t="str">
        <f>"20190303154604796"</f>
        <v>20190303154604796</v>
      </c>
      <c r="B4504" t="str">
        <f>"1551599164785415"</f>
        <v>1551599164785415</v>
      </c>
      <c r="C4504" t="s">
        <v>40</v>
      </c>
      <c r="D4504">
        <v>5.1249140000000004</v>
      </c>
      <c r="E4504">
        <v>0.4976795</v>
      </c>
      <c r="F4504" t="s">
        <v>41</v>
      </c>
      <c r="G4504">
        <v>-363.5806</v>
      </c>
      <c r="H4504" s="1">
        <v>-3.3333010000000002E-6</v>
      </c>
      <c r="I4504">
        <v>141.8603</v>
      </c>
      <c r="J4504">
        <v>-347.34219999999999</v>
      </c>
      <c r="K4504">
        <v>1.120916</v>
      </c>
      <c r="L4504">
        <v>141.85310000000001</v>
      </c>
      <c r="M4504">
        <v>-0.9998937</v>
      </c>
      <c r="N4504">
        <v>-1.4221030000000001E-2</v>
      </c>
      <c r="O4504">
        <v>3.26612E-3</v>
      </c>
      <c r="P4504">
        <v>-0.9924695</v>
      </c>
      <c r="Q4504">
        <v>-0.1224541</v>
      </c>
      <c r="R4504">
        <v>3.1143709999999999E-3</v>
      </c>
      <c r="S4504">
        <v>-2.997681</v>
      </c>
      <c r="T4504">
        <v>-0.20310439999999999</v>
      </c>
      <c r="U4504">
        <v>1.4648440000000001E-3</v>
      </c>
      <c r="V4504" s="1">
        <v>-8.3084799999999994E-5</v>
      </c>
      <c r="W4504">
        <v>-0.1083278</v>
      </c>
      <c r="X4504">
        <v>0.99411519999999998</v>
      </c>
      <c r="Y4504">
        <v>-2.7654450000000001E-3</v>
      </c>
      <c r="Z4504">
        <v>-2.8789999999999897E-4</v>
      </c>
      <c r="AA4504">
        <v>0.99999610000000005</v>
      </c>
      <c r="AB4504">
        <v>31</v>
      </c>
      <c r="AC4504">
        <v>-16.238399999999999</v>
      </c>
      <c r="AD4504">
        <v>-1.1209193333009999</v>
      </c>
      <c r="AE4504">
        <v>7.1999999999832198E-3</v>
      </c>
      <c r="AF4504">
        <v>-4.5624556192931903E-2</v>
      </c>
      <c r="AG4504">
        <v>-1.1209193333009999</v>
      </c>
      <c r="AH4504">
        <v>16.161328290920899</v>
      </c>
      <c r="AI4504">
        <v>93.967557815109402</v>
      </c>
      <c r="AJ4504">
        <v>90.161749549322494</v>
      </c>
      <c r="AK4504">
        <v>16.200218328121899</v>
      </c>
      <c r="AL4504">
        <v>96.218929685407602</v>
      </c>
      <c r="AM4504">
        <v>90.004788588254698</v>
      </c>
      <c r="AN4504">
        <v>0.99999997501348104</v>
      </c>
    </row>
    <row r="4505" spans="1:40" x14ac:dyDescent="0.25">
      <c r="A4505" t="str">
        <f>"20190303154604820"</f>
        <v>20190303154604820</v>
      </c>
      <c r="B4505" t="str">
        <f>"1551599164816088"</f>
        <v>1551599164816088</v>
      </c>
      <c r="C4505" t="s">
        <v>40</v>
      </c>
      <c r="D4505">
        <v>5.0897800000000002</v>
      </c>
      <c r="E4505">
        <v>0.4966933</v>
      </c>
      <c r="F4505" t="s">
        <v>41</v>
      </c>
      <c r="G4505">
        <v>-363.99099999999999</v>
      </c>
      <c r="H4505" s="1">
        <v>-3.144287E-6</v>
      </c>
      <c r="I4505">
        <v>141.8116</v>
      </c>
      <c r="J4505">
        <v>-347.66590000000002</v>
      </c>
      <c r="K4505">
        <v>1.1209290000000001</v>
      </c>
      <c r="L4505">
        <v>141.85390000000001</v>
      </c>
      <c r="M4505">
        <v>-0.99989410000000001</v>
      </c>
      <c r="N4505">
        <v>-1.423344E-2</v>
      </c>
      <c r="O4505">
        <v>3.0357980000000001E-3</v>
      </c>
      <c r="P4505">
        <v>-0.9924847</v>
      </c>
      <c r="Q4505">
        <v>-0.1223506</v>
      </c>
      <c r="R4505">
        <v>2.099708E-3</v>
      </c>
      <c r="S4505">
        <v>-2.9978940000000001</v>
      </c>
      <c r="T4505">
        <v>-0.20184099999999999</v>
      </c>
      <c r="U4505">
        <v>-7.4615480000000001E-3</v>
      </c>
      <c r="V4505">
        <v>-8.6968429999999904E-4</v>
      </c>
      <c r="W4505">
        <v>-0.10821210000000001</v>
      </c>
      <c r="X4505">
        <v>0.99412750000000005</v>
      </c>
      <c r="Y4505">
        <v>-5.5056269999999999E-3</v>
      </c>
      <c r="Z4505">
        <v>-3.853563E-4</v>
      </c>
      <c r="AA4505">
        <v>0.99998469999999995</v>
      </c>
      <c r="AB4505">
        <v>31</v>
      </c>
      <c r="AC4505">
        <v>-16.3250999999999</v>
      </c>
      <c r="AD4505">
        <v>-1.1209321442869999</v>
      </c>
      <c r="AE4505">
        <v>-4.2300000000011502E-2</v>
      </c>
      <c r="AF4505">
        <v>-9.1433460079322695E-2</v>
      </c>
      <c r="AG4505">
        <v>-1.1209321442869999</v>
      </c>
      <c r="AH4505">
        <v>16.2482922768137</v>
      </c>
      <c r="AI4505">
        <v>93.946388311138904</v>
      </c>
      <c r="AJ4505">
        <v>90.322415179616797</v>
      </c>
      <c r="AK4505">
        <v>16.28716828864</v>
      </c>
      <c r="AL4505">
        <v>96.212260892632898</v>
      </c>
      <c r="AM4505">
        <v>90.050123577898304</v>
      </c>
      <c r="AN4505">
        <v>1.0000000505967099</v>
      </c>
    </row>
    <row r="4506" spans="1:40" x14ac:dyDescent="0.25">
      <c r="A4506" t="str">
        <f>"20190303154604841"</f>
        <v>20190303154604841</v>
      </c>
      <c r="B4506" t="str">
        <f>"1551599164835607"</f>
        <v>1551599164835607</v>
      </c>
      <c r="C4506" t="s">
        <v>40</v>
      </c>
      <c r="D4506">
        <v>5.0879379999999896</v>
      </c>
      <c r="E4506">
        <v>0.49607329999999999</v>
      </c>
      <c r="F4506" t="s">
        <v>41</v>
      </c>
      <c r="G4506">
        <v>-364.56869999999998</v>
      </c>
      <c r="H4506" s="1">
        <v>-2.8801830000000001E-6</v>
      </c>
      <c r="I4506">
        <v>141.75049999999999</v>
      </c>
      <c r="J4506">
        <v>-347.96</v>
      </c>
      <c r="K4506">
        <v>1.1209359999999999</v>
      </c>
      <c r="L4506">
        <v>141.8546</v>
      </c>
      <c r="M4506">
        <v>-0.99989470000000003</v>
      </c>
      <c r="N4506">
        <v>-1.4242680000000001E-2</v>
      </c>
      <c r="O4506">
        <v>2.8268310000000001E-3</v>
      </c>
      <c r="P4506">
        <v>-0.99245810000000001</v>
      </c>
      <c r="Q4506">
        <v>-0.1225725</v>
      </c>
      <c r="R4506">
        <v>1.7943849999999999E-3</v>
      </c>
      <c r="S4506">
        <v>-2.99823</v>
      </c>
      <c r="T4506">
        <v>-0.19883190000000001</v>
      </c>
      <c r="U4506">
        <v>-1.8325810000000001E-2</v>
      </c>
      <c r="V4506">
        <v>-9.6731330000000002E-4</v>
      </c>
      <c r="W4506">
        <v>-0.1084252</v>
      </c>
      <c r="X4506">
        <v>0.99410410000000005</v>
      </c>
      <c r="Y4506">
        <v>-8.9115180000000002E-3</v>
      </c>
      <c r="Z4506">
        <v>-5.0574300000000001E-4</v>
      </c>
      <c r="AA4506">
        <v>0.99996019999999997</v>
      </c>
      <c r="AB4506">
        <v>31</v>
      </c>
      <c r="AC4506">
        <v>-16.608699999999999</v>
      </c>
      <c r="AD4506">
        <v>-1.120938880183</v>
      </c>
      <c r="AE4506">
        <v>-0.104100000000016</v>
      </c>
      <c r="AF4506">
        <v>-0.15036941630855399</v>
      </c>
      <c r="AG4506">
        <v>-1.120938880183</v>
      </c>
      <c r="AH4506">
        <v>16.5330335851481</v>
      </c>
      <c r="AI4506">
        <v>93.878555162792395</v>
      </c>
      <c r="AJ4506">
        <v>90.521095861138903</v>
      </c>
      <c r="AK4506">
        <v>16.5716720478684</v>
      </c>
      <c r="AL4506">
        <v>96.224543449137101</v>
      </c>
      <c r="AM4506">
        <v>90.0557516582668</v>
      </c>
      <c r="AN4506">
        <v>0.999999960663434</v>
      </c>
    </row>
    <row r="4507" spans="1:40" x14ac:dyDescent="0.25">
      <c r="A4507" t="str">
        <f>"20190303154604863"</f>
        <v>20190303154604863</v>
      </c>
      <c r="B4507" t="str">
        <f>"1551599164856109"</f>
        <v>1551599164856109</v>
      </c>
      <c r="C4507" t="s">
        <v>40</v>
      </c>
      <c r="D4507">
        <v>5.1087730000000002</v>
      </c>
      <c r="E4507">
        <v>0.49547910000000001</v>
      </c>
      <c r="F4507" t="s">
        <v>41</v>
      </c>
      <c r="G4507">
        <v>-364.93099999999998</v>
      </c>
      <c r="H4507" s="1">
        <v>-2.7159469999999999E-6</v>
      </c>
      <c r="I4507">
        <v>141.71729999999999</v>
      </c>
      <c r="J4507">
        <v>-348.26859999999999</v>
      </c>
      <c r="K4507">
        <v>1.1209450000000001</v>
      </c>
      <c r="L4507">
        <v>141.8552</v>
      </c>
      <c r="M4507">
        <v>-0.99989519999999998</v>
      </c>
      <c r="N4507">
        <v>-1.4250540000000001E-2</v>
      </c>
      <c r="O4507">
        <v>2.6074470000000002E-3</v>
      </c>
      <c r="P4507">
        <v>-0.99254290000000001</v>
      </c>
      <c r="Q4507">
        <v>-0.1218853</v>
      </c>
      <c r="R4507">
        <v>1.7277379999999999E-3</v>
      </c>
      <c r="S4507">
        <v>-2.9984130000000002</v>
      </c>
      <c r="T4507">
        <v>-0.19804659999999999</v>
      </c>
      <c r="U4507">
        <v>-2.4230959999999999E-2</v>
      </c>
      <c r="V4507">
        <v>-8.1663509999999897E-4</v>
      </c>
      <c r="W4507">
        <v>-0.10772900000000001</v>
      </c>
      <c r="X4507">
        <v>0.99417999999999995</v>
      </c>
      <c r="Y4507">
        <v>-1.0656860000000001E-2</v>
      </c>
      <c r="Z4507">
        <v>-5.625014E-4</v>
      </c>
      <c r="AA4507">
        <v>0.99994309999999997</v>
      </c>
      <c r="AB4507">
        <v>31</v>
      </c>
      <c r="AC4507">
        <v>-16.662399999999899</v>
      </c>
      <c r="AD4507">
        <v>-1.120947715947</v>
      </c>
      <c r="AE4507">
        <v>-0.13790000000000099</v>
      </c>
      <c r="AF4507">
        <v>-0.180533260011533</v>
      </c>
      <c r="AG4507">
        <v>-1.120947715947</v>
      </c>
      <c r="AH4507">
        <v>16.586919761053601</v>
      </c>
      <c r="AI4507">
        <v>93.865954621452204</v>
      </c>
      <c r="AJ4507">
        <v>90.623586873628497</v>
      </c>
      <c r="AK4507">
        <v>16.625733764242899</v>
      </c>
      <c r="AL4507">
        <v>96.184418614799498</v>
      </c>
      <c r="AM4507">
        <v>90.047063644519895</v>
      </c>
      <c r="AN4507">
        <v>1.0000000383669401</v>
      </c>
    </row>
    <row r="4508" spans="1:40" x14ac:dyDescent="0.25">
      <c r="A4508" t="str">
        <f>"20190303154604887"</f>
        <v>20190303154604887</v>
      </c>
      <c r="B4508" t="str">
        <f>"1551599164875624"</f>
        <v>1551599164875624</v>
      </c>
      <c r="C4508" t="s">
        <v>40</v>
      </c>
      <c r="D4508">
        <v>5.1300470000000002</v>
      </c>
      <c r="E4508">
        <v>0.49489860000000002</v>
      </c>
      <c r="F4508" t="s">
        <v>41</v>
      </c>
      <c r="G4508">
        <v>-365.54270000000002</v>
      </c>
      <c r="H4508" s="1">
        <v>-2.4454139999999999E-6</v>
      </c>
      <c r="I4508">
        <v>141.68680000000001</v>
      </c>
      <c r="J4508">
        <v>-348.5779</v>
      </c>
      <c r="K4508">
        <v>1.1209519999999999</v>
      </c>
      <c r="L4508">
        <v>141.85570000000001</v>
      </c>
      <c r="M4508">
        <v>-0.9998956</v>
      </c>
      <c r="N4508">
        <v>-1.425687E-2</v>
      </c>
      <c r="O4508">
        <v>2.3870039999999999E-3</v>
      </c>
      <c r="P4508">
        <v>-0.99266639999999995</v>
      </c>
      <c r="Q4508">
        <v>-0.1208682</v>
      </c>
      <c r="R4508">
        <v>2.1178220000000001E-3</v>
      </c>
      <c r="S4508">
        <v>-2.9986570000000001</v>
      </c>
      <c r="T4508">
        <v>-0.1945896</v>
      </c>
      <c r="U4508">
        <v>-2.9220579999999999E-2</v>
      </c>
      <c r="V4508">
        <v>-2.0891080000000001E-4</v>
      </c>
      <c r="W4508">
        <v>-0.1067037</v>
      </c>
      <c r="X4508">
        <v>0.99429080000000003</v>
      </c>
      <c r="Y4508">
        <v>-1.20971E-2</v>
      </c>
      <c r="Z4508">
        <v>-5.9916039999999998E-4</v>
      </c>
      <c r="AA4508">
        <v>0.9999266</v>
      </c>
      <c r="AB4508">
        <v>31</v>
      </c>
      <c r="AC4508">
        <v>-16.9648</v>
      </c>
      <c r="AD4508">
        <v>-1.1209544454139999</v>
      </c>
      <c r="AE4508">
        <v>-0.16890000000000699</v>
      </c>
      <c r="AF4508">
        <v>-0.208488517345671</v>
      </c>
      <c r="AG4508">
        <v>-1.1209544454139999</v>
      </c>
      <c r="AH4508">
        <v>16.8906122475796</v>
      </c>
      <c r="AI4508">
        <v>93.796608644668794</v>
      </c>
      <c r="AJ4508">
        <v>90.707191978889398</v>
      </c>
      <c r="AK4508">
        <v>16.929051610431301</v>
      </c>
      <c r="AL4508">
        <v>96.125333150695496</v>
      </c>
      <c r="AM4508">
        <v>90.012038436801902</v>
      </c>
      <c r="AN4508">
        <v>0.99999995910102502</v>
      </c>
    </row>
    <row r="4509" spans="1:40" x14ac:dyDescent="0.25">
      <c r="A4509" t="str">
        <f>"20190303154604910"</f>
        <v>20190303154604910</v>
      </c>
      <c r="B4509" t="str">
        <f>"1551599164905880"</f>
        <v>1551599164905880</v>
      </c>
      <c r="C4509" t="s">
        <v>40</v>
      </c>
      <c r="D4509">
        <v>5.09422</v>
      </c>
      <c r="E4509">
        <v>0.49404029999999999</v>
      </c>
      <c r="F4509" t="s">
        <v>41</v>
      </c>
      <c r="G4509">
        <v>-366.25729999999999</v>
      </c>
      <c r="H4509" s="1">
        <v>-2.1323619999999999E-6</v>
      </c>
      <c r="I4509">
        <v>141.66249999999999</v>
      </c>
      <c r="J4509">
        <v>-348.90699999999998</v>
      </c>
      <c r="K4509">
        <v>1.1209559999999901</v>
      </c>
      <c r="L4509">
        <v>141.8563</v>
      </c>
      <c r="M4509">
        <v>-0.99989600000000001</v>
      </c>
      <c r="N4509">
        <v>-1.426207E-2</v>
      </c>
      <c r="O4509">
        <v>2.152738E-3</v>
      </c>
      <c r="P4509">
        <v>-0.99279170000000005</v>
      </c>
      <c r="Q4509">
        <v>-0.1198256</v>
      </c>
      <c r="R4509">
        <v>2.6133060000000001E-3</v>
      </c>
      <c r="S4509">
        <v>-2.9991150000000002</v>
      </c>
      <c r="T4509">
        <v>-0.1901581</v>
      </c>
      <c r="U4509">
        <v>-3.277588E-2</v>
      </c>
      <c r="V4509">
        <v>5.1864839999999897E-4</v>
      </c>
      <c r="W4509">
        <v>-0.1056539</v>
      </c>
      <c r="X4509">
        <v>0.99440280000000003</v>
      </c>
      <c r="Y4509">
        <v>-1.304597E-2</v>
      </c>
      <c r="Z4509">
        <v>-6.1198820000000001E-4</v>
      </c>
      <c r="AA4509">
        <v>0.99991470000000005</v>
      </c>
      <c r="AB4509">
        <v>31</v>
      </c>
      <c r="AC4509">
        <v>-17.350300000000001</v>
      </c>
      <c r="AD4509">
        <v>-1.1209581323619999</v>
      </c>
      <c r="AE4509">
        <v>-0.19380000000000999</v>
      </c>
      <c r="AF4509">
        <v>-0.230193265092838</v>
      </c>
      <c r="AG4509">
        <v>-1.1209581323619999</v>
      </c>
      <c r="AH4509">
        <v>17.277732235266601</v>
      </c>
      <c r="AI4509">
        <v>93.711749067405094</v>
      </c>
      <c r="AJ4509">
        <v>90.763313268568993</v>
      </c>
      <c r="AK4509">
        <v>17.315587407517299</v>
      </c>
      <c r="AL4509">
        <v>96.064842003984396</v>
      </c>
      <c r="AM4509">
        <v>89.970116373690203</v>
      </c>
      <c r="AN4509">
        <v>0.99999997211460601</v>
      </c>
    </row>
    <row r="4510" spans="1:40" x14ac:dyDescent="0.25">
      <c r="A4510" t="str">
        <f>"20190303154604934"</f>
        <v>20190303154604934</v>
      </c>
      <c r="B4510" t="str">
        <f>"1551599164926376"</f>
        <v>1551599164926376</v>
      </c>
      <c r="C4510" t="s">
        <v>40</v>
      </c>
      <c r="D4510">
        <v>5.1282500000000004</v>
      </c>
      <c r="E4510">
        <v>0.49347419999999997</v>
      </c>
      <c r="F4510" t="s">
        <v>41</v>
      </c>
      <c r="G4510">
        <v>-367.03460000000001</v>
      </c>
      <c r="H4510" s="1">
        <v>-1.7890829999999999E-6</v>
      </c>
      <c r="I4510">
        <v>141.62549999999999</v>
      </c>
      <c r="J4510">
        <v>-349.23840000000001</v>
      </c>
      <c r="K4510">
        <v>1.1209579999999999</v>
      </c>
      <c r="L4510">
        <v>141.85669999999999</v>
      </c>
      <c r="M4510">
        <v>-0.99989649999999997</v>
      </c>
      <c r="N4510">
        <v>-1.4266020000000001E-2</v>
      </c>
      <c r="O4510">
        <v>1.916636E-3</v>
      </c>
      <c r="P4510">
        <v>-0.99278299999999997</v>
      </c>
      <c r="Q4510">
        <v>-0.1198878</v>
      </c>
      <c r="R4510">
        <v>2.9812599999999999E-3</v>
      </c>
      <c r="S4510">
        <v>-2.9994809999999998</v>
      </c>
      <c r="T4510">
        <v>-0.18547920000000001</v>
      </c>
      <c r="U4510">
        <v>-3.8162229999999998E-2</v>
      </c>
      <c r="V4510">
        <v>1.1208559999999999E-3</v>
      </c>
      <c r="W4510">
        <v>-0.105712</v>
      </c>
      <c r="X4510">
        <v>0.99439619999999995</v>
      </c>
      <c r="Y4510">
        <v>-1.460206E-2</v>
      </c>
      <c r="Z4510">
        <v>-6.463927E-4</v>
      </c>
      <c r="AA4510">
        <v>0.99989320000000004</v>
      </c>
      <c r="AB4510">
        <v>31</v>
      </c>
      <c r="AC4510">
        <v>-17.796199999999999</v>
      </c>
      <c r="AD4510">
        <v>-1.1209597890830001</v>
      </c>
      <c r="AE4510">
        <v>-0.23120000000000099</v>
      </c>
      <c r="AF4510">
        <v>-0.264263571310763</v>
      </c>
      <c r="AG4510">
        <v>-1.1209597890830001</v>
      </c>
      <c r="AH4510">
        <v>17.725409053431999</v>
      </c>
      <c r="AI4510">
        <v>93.618181147182696</v>
      </c>
      <c r="AJ4510">
        <v>90.854144781956407</v>
      </c>
      <c r="AK4510">
        <v>17.7627844719051</v>
      </c>
      <c r="AL4510">
        <v>96.0681892047579</v>
      </c>
      <c r="AM4510">
        <v>89.935417803241506</v>
      </c>
      <c r="AN4510">
        <v>1.0000000429183</v>
      </c>
    </row>
    <row r="4511" spans="1:40" x14ac:dyDescent="0.25">
      <c r="A4511" t="str">
        <f>"20190303154604953"</f>
        <v>20190303154604953</v>
      </c>
      <c r="B4511" t="str">
        <f>"1551599164945896"</f>
        <v>1551599164945896</v>
      </c>
      <c r="C4511" t="s">
        <v>40</v>
      </c>
      <c r="D4511">
        <v>5.1708949999999998</v>
      </c>
      <c r="E4511">
        <v>0.49293229999999999</v>
      </c>
      <c r="F4511" t="s">
        <v>41</v>
      </c>
      <c r="G4511">
        <v>-367.47410000000002</v>
      </c>
      <c r="H4511" s="1">
        <v>-1.594481E-6</v>
      </c>
      <c r="I4511">
        <v>141.6028</v>
      </c>
      <c r="J4511">
        <v>-349.50009999999997</v>
      </c>
      <c r="K4511">
        <v>1.1209530000000001</v>
      </c>
      <c r="L4511">
        <v>141.857</v>
      </c>
      <c r="M4511">
        <v>-0.99989669999999997</v>
      </c>
      <c r="N4511">
        <v>-1.426852E-2</v>
      </c>
      <c r="O4511">
        <v>1.7301910000000001E-3</v>
      </c>
      <c r="P4511">
        <v>-0.99254719999999996</v>
      </c>
      <c r="Q4511">
        <v>-0.1218344</v>
      </c>
      <c r="R4511">
        <v>2.5843540000000001E-3</v>
      </c>
      <c r="S4511">
        <v>-2.999695</v>
      </c>
      <c r="T4511">
        <v>-0.18439349999999999</v>
      </c>
      <c r="U4511">
        <v>-4.1763309999999998E-2</v>
      </c>
      <c r="V4511">
        <v>9.1025769999999995E-4</v>
      </c>
      <c r="W4511">
        <v>-0.1076594</v>
      </c>
      <c r="X4511">
        <v>0.99418740000000005</v>
      </c>
      <c r="Y4511">
        <v>-1.56131E-2</v>
      </c>
      <c r="Z4511">
        <v>-6.7250920000000002E-4</v>
      </c>
      <c r="AA4511">
        <v>0.99987789999999999</v>
      </c>
      <c r="AB4511">
        <v>31</v>
      </c>
      <c r="AC4511">
        <v>-17.974</v>
      </c>
      <c r="AD4511">
        <v>-1.120954594481</v>
      </c>
      <c r="AE4511">
        <v>-0.25419999999999698</v>
      </c>
      <c r="AF4511">
        <v>-0.28419609738380502</v>
      </c>
      <c r="AG4511">
        <v>-1.120954594481</v>
      </c>
      <c r="AH4511">
        <v>17.903911051184998</v>
      </c>
      <c r="AI4511">
        <v>93.582132691287896</v>
      </c>
      <c r="AJ4511">
        <v>90.909402950665594</v>
      </c>
      <c r="AK4511">
        <v>17.9412189539451</v>
      </c>
      <c r="AL4511">
        <v>96.180407858442706</v>
      </c>
      <c r="AM4511">
        <v>89.947541167886399</v>
      </c>
      <c r="AN4511">
        <v>0.99999998064810003</v>
      </c>
    </row>
    <row r="4512" spans="1:40" x14ac:dyDescent="0.25">
      <c r="A4512" t="str">
        <f>"20190303154604975"</f>
        <v>20190303154604975</v>
      </c>
      <c r="B4512" t="str">
        <f>"1551599164965417"</f>
        <v>1551599164965417</v>
      </c>
      <c r="C4512" t="s">
        <v>40</v>
      </c>
      <c r="D4512">
        <v>5.0896990000000004</v>
      </c>
      <c r="E4512">
        <v>0.4923882</v>
      </c>
      <c r="F4512" t="s">
        <v>41</v>
      </c>
      <c r="G4512">
        <v>-367.24130000000002</v>
      </c>
      <c r="H4512" s="1">
        <v>-1.687624E-6</v>
      </c>
      <c r="I4512">
        <v>141.57740000000001</v>
      </c>
      <c r="J4512">
        <v>-349.7912</v>
      </c>
      <c r="K4512">
        <v>1.120943</v>
      </c>
      <c r="L4512">
        <v>141.85730000000001</v>
      </c>
      <c r="M4512">
        <v>-0.99989740000000005</v>
      </c>
      <c r="N4512">
        <v>-1.425005E-2</v>
      </c>
      <c r="O4512">
        <v>1.521962E-3</v>
      </c>
      <c r="P4512">
        <v>-0.99238729999999997</v>
      </c>
      <c r="Q4512">
        <v>-0.123139899999999</v>
      </c>
      <c r="R4512">
        <v>2.0938660000000002E-3</v>
      </c>
      <c r="S4512">
        <v>-2.99939</v>
      </c>
      <c r="T4512">
        <v>-0.18951309999999999</v>
      </c>
      <c r="U4512">
        <v>-4.7256470000000002E-2</v>
      </c>
      <c r="V4512">
        <v>6.2720709999999999E-4</v>
      </c>
      <c r="W4512">
        <v>-0.1089856</v>
      </c>
      <c r="X4512">
        <v>0.99404309999999996</v>
      </c>
      <c r="Y4512">
        <v>-1.7231369999999999E-2</v>
      </c>
      <c r="Z4512">
        <v>-7.4112539999999995E-4</v>
      </c>
      <c r="AA4512">
        <v>0.99985119999999905</v>
      </c>
      <c r="AB4512">
        <v>31</v>
      </c>
      <c r="AC4512">
        <v>-17.450099999999999</v>
      </c>
      <c r="AD4512">
        <v>-1.1209446876239999</v>
      </c>
      <c r="AE4512">
        <v>-0.27989999999999698</v>
      </c>
      <c r="AF4512">
        <v>-0.30520169543125297</v>
      </c>
      <c r="AG4512">
        <v>-1.1209446876239999</v>
      </c>
      <c r="AH4512">
        <v>17.3779635625019</v>
      </c>
      <c r="AI4512">
        <v>93.690115037550896</v>
      </c>
      <c r="AJ4512">
        <v>91.006157679105797</v>
      </c>
      <c r="AK4512">
        <v>17.4167529306484</v>
      </c>
      <c r="AL4512">
        <v>96.256843359312697</v>
      </c>
      <c r="AM4512">
        <v>89.963848333194306</v>
      </c>
      <c r="AN4512">
        <v>0.99999996952685699</v>
      </c>
    </row>
    <row r="4513" spans="1:40" x14ac:dyDescent="0.25">
      <c r="A4513" t="str">
        <f>"20190303154604997"</f>
        <v>20190303154604997</v>
      </c>
      <c r="B4513" t="str">
        <f>"1551599164996011"</f>
        <v>1551599164996011</v>
      </c>
      <c r="C4513" t="s">
        <v>40</v>
      </c>
      <c r="D4513">
        <v>5.107551</v>
      </c>
      <c r="E4513">
        <v>0.49159330000000001</v>
      </c>
      <c r="F4513" t="s">
        <v>41</v>
      </c>
      <c r="G4513">
        <v>-367.27530000000002</v>
      </c>
      <c r="H4513" s="1">
        <v>-1.6653799999999901E-6</v>
      </c>
      <c r="I4513">
        <v>141.5487</v>
      </c>
      <c r="J4513">
        <v>-350.1028</v>
      </c>
      <c r="K4513">
        <v>1.1209290000000001</v>
      </c>
      <c r="L4513">
        <v>141.85749999999999</v>
      </c>
      <c r="M4513">
        <v>-0.99989890000000003</v>
      </c>
      <c r="N4513">
        <v>-1.417533E-2</v>
      </c>
      <c r="O4513">
        <v>1.2976120000000001E-3</v>
      </c>
      <c r="P4513">
        <v>-0.9922647</v>
      </c>
      <c r="Q4513">
        <v>-0.1241284</v>
      </c>
      <c r="R4513">
        <v>1.7389979999999901E-3</v>
      </c>
      <c r="S4513">
        <v>-2.9992679999999998</v>
      </c>
      <c r="T4513">
        <v>-0.19228980000000001</v>
      </c>
      <c r="U4513">
        <v>-5.2917480000000003E-2</v>
      </c>
      <c r="V4513">
        <v>4.9568599999999996E-4</v>
      </c>
      <c r="W4513">
        <v>-0.11005</v>
      </c>
      <c r="X4513">
        <v>0.99392590000000003</v>
      </c>
      <c r="Y4513">
        <v>-1.888927E-2</v>
      </c>
      <c r="Z4513">
        <v>-8.0363729999999897E-4</v>
      </c>
      <c r="AA4513">
        <v>0.99982119999999997</v>
      </c>
      <c r="AB4513">
        <v>31</v>
      </c>
      <c r="AC4513">
        <v>-17.172499999999999</v>
      </c>
      <c r="AD4513">
        <v>-1.12093066538</v>
      </c>
      <c r="AE4513">
        <v>-0.30879999999999003</v>
      </c>
      <c r="AF4513">
        <v>-0.32968096800693703</v>
      </c>
      <c r="AG4513">
        <v>-1.12093066538</v>
      </c>
      <c r="AH4513">
        <v>17.0992519724918</v>
      </c>
      <c r="AI4513">
        <v>93.749927242179197</v>
      </c>
      <c r="AJ4513">
        <v>91.104550538020604</v>
      </c>
      <c r="AK4513">
        <v>17.139124630972798</v>
      </c>
      <c r="AL4513">
        <v>96.318198038355405</v>
      </c>
      <c r="AM4513">
        <v>89.971425723578406</v>
      </c>
      <c r="AN4513">
        <v>0.99999997144770902</v>
      </c>
    </row>
    <row r="4514" spans="1:40" x14ac:dyDescent="0.25">
      <c r="A4514" t="str">
        <f>"20190303154605020"</f>
        <v>20190303154605020</v>
      </c>
      <c r="B4514" t="str">
        <f>"1551599165015531"</f>
        <v>1551599165015531</v>
      </c>
      <c r="C4514" t="s">
        <v>40</v>
      </c>
      <c r="D4514">
        <v>5.1015329999999999</v>
      </c>
      <c r="E4514">
        <v>0.49107899999999999</v>
      </c>
      <c r="F4514" t="s">
        <v>41</v>
      </c>
      <c r="G4514">
        <v>-367.4665</v>
      </c>
      <c r="H4514" s="1">
        <v>-1.5729089999999901E-6</v>
      </c>
      <c r="I4514">
        <v>141.5094</v>
      </c>
      <c r="J4514">
        <v>-350.40839999999997</v>
      </c>
      <c r="K4514">
        <v>1.1208990000000001</v>
      </c>
      <c r="L4514">
        <v>141.85769999999999</v>
      </c>
      <c r="M4514">
        <v>-0.99990089999999998</v>
      </c>
      <c r="N4514">
        <v>-1.40406E-2</v>
      </c>
      <c r="O4514">
        <v>1.079787E-3</v>
      </c>
      <c r="P4514">
        <v>-0.99228939999999999</v>
      </c>
      <c r="Q4514">
        <v>-0.1239359</v>
      </c>
      <c r="R4514">
        <v>1.4420920000000001E-3</v>
      </c>
      <c r="S4514">
        <v>-2.9992369999999999</v>
      </c>
      <c r="T4514">
        <v>-0.19361970000000001</v>
      </c>
      <c r="U4514">
        <v>-6.011963E-2</v>
      </c>
      <c r="V4514">
        <v>4.1697730000000001E-4</v>
      </c>
      <c r="W4514">
        <v>-0.10999109999999999</v>
      </c>
      <c r="X4514">
        <v>0.9939325</v>
      </c>
      <c r="Y4514">
        <v>-2.1065850000000001E-2</v>
      </c>
      <c r="Z4514">
        <v>-8.8177000000000004E-4</v>
      </c>
      <c r="AA4514">
        <v>0.99977769999999999</v>
      </c>
      <c r="AB4514">
        <v>31</v>
      </c>
      <c r="AC4514">
        <v>-17.0581</v>
      </c>
      <c r="AD4514">
        <v>-1.12090057290899</v>
      </c>
      <c r="AE4514">
        <v>-0.348299999999994</v>
      </c>
      <c r="AF4514">
        <v>-0.365144723910164</v>
      </c>
      <c r="AG4514">
        <v>-1.12090057290899</v>
      </c>
      <c r="AH4514">
        <v>16.984407467256698</v>
      </c>
      <c r="AI4514">
        <v>93.774939030757594</v>
      </c>
      <c r="AJ4514">
        <v>91.231601942134006</v>
      </c>
      <c r="AK4514">
        <v>17.025270798949201</v>
      </c>
      <c r="AL4514">
        <v>96.314802427090001</v>
      </c>
      <c r="AM4514">
        <v>89.975963118178299</v>
      </c>
      <c r="AN4514">
        <v>1.0000000152527599</v>
      </c>
    </row>
    <row r="4515" spans="1:40" x14ac:dyDescent="0.25">
      <c r="A4515" t="str">
        <f>"20190303154605041"</f>
        <v>20190303154605041</v>
      </c>
      <c r="B4515" t="str">
        <f>"1551599165036026"</f>
        <v>1551599165036026</v>
      </c>
      <c r="C4515" t="s">
        <v>40</v>
      </c>
      <c r="D4515">
        <v>5.1298069999999996</v>
      </c>
      <c r="E4515">
        <v>0.49059370000000002</v>
      </c>
      <c r="F4515" t="s">
        <v>41</v>
      </c>
      <c r="G4515">
        <v>-367.91230000000002</v>
      </c>
      <c r="H4515" s="1">
        <v>-1.3730009999999901E-6</v>
      </c>
      <c r="I4515">
        <v>141.4768</v>
      </c>
      <c r="J4515">
        <v>-350.70339999999999</v>
      </c>
      <c r="K4515">
        <v>1.1208659999999999</v>
      </c>
      <c r="L4515">
        <v>141.85769999999999</v>
      </c>
      <c r="M4515">
        <v>-0.9999036</v>
      </c>
      <c r="N4515">
        <v>-1.38645E-2</v>
      </c>
      <c r="O4515">
        <v>8.7057300000000003E-4</v>
      </c>
      <c r="P4515">
        <v>-0.99232370000000003</v>
      </c>
      <c r="Q4515">
        <v>-0.1236618</v>
      </c>
      <c r="R4515">
        <v>1.252544E-3</v>
      </c>
      <c r="S4515">
        <v>-2.9994510000000001</v>
      </c>
      <c r="T4515">
        <v>-0.19207689999999999</v>
      </c>
      <c r="U4515">
        <v>-6.5246579999999998E-2</v>
      </c>
      <c r="V4515">
        <v>4.3534900000000002E-4</v>
      </c>
      <c r="W4515">
        <v>-0.10989169999999999</v>
      </c>
      <c r="X4515">
        <v>0.99394349999999998</v>
      </c>
      <c r="Y4515">
        <v>-2.256083E-2</v>
      </c>
      <c r="Z4515">
        <v>-9.2178819999999995E-4</v>
      </c>
      <c r="AA4515">
        <v>0.99974510000000005</v>
      </c>
      <c r="AB4515">
        <v>31</v>
      </c>
      <c r="AC4515">
        <v>-17.2089</v>
      </c>
      <c r="AD4515">
        <v>-1.1208673730009999</v>
      </c>
      <c r="AE4515">
        <v>-0.38089999999999602</v>
      </c>
      <c r="AF4515">
        <v>-0.39421135081280301</v>
      </c>
      <c r="AG4515">
        <v>-1.1208673730009999</v>
      </c>
      <c r="AH4515">
        <v>17.135901662295598</v>
      </c>
      <c r="AI4515">
        <v>93.7414254799952</v>
      </c>
      <c r="AJ4515">
        <v>91.317856733678497</v>
      </c>
      <c r="AK4515">
        <v>17.177044915724998</v>
      </c>
      <c r="AL4515">
        <v>96.309072410057595</v>
      </c>
      <c r="AM4515">
        <v>89.974904349472396</v>
      </c>
      <c r="AN4515">
        <v>1.0000000282249399</v>
      </c>
    </row>
    <row r="4516" spans="1:40" x14ac:dyDescent="0.25">
      <c r="A4516" t="str">
        <f>"20190303154605064"</f>
        <v>20190303154605064</v>
      </c>
      <c r="B4516" t="str">
        <f>"1551599165055547"</f>
        <v>1551599165055547</v>
      </c>
      <c r="C4516" t="s">
        <v>40</v>
      </c>
      <c r="D4516">
        <v>5.0853089999999996</v>
      </c>
      <c r="E4516">
        <v>0.49012529999999999</v>
      </c>
      <c r="F4516" t="s">
        <v>41</v>
      </c>
      <c r="G4516">
        <v>-368.39510000000001</v>
      </c>
      <c r="H4516" s="1">
        <v>-1.157602E-6</v>
      </c>
      <c r="I4516">
        <v>141.44579999999999</v>
      </c>
      <c r="J4516">
        <v>-351.00970000000001</v>
      </c>
      <c r="K4516">
        <v>1.120825</v>
      </c>
      <c r="L4516">
        <v>141.85769999999999</v>
      </c>
      <c r="M4516">
        <v>-0.99990650000000003</v>
      </c>
      <c r="N4516">
        <v>-1.366176E-2</v>
      </c>
      <c r="O4516">
        <v>6.4709329999999995E-4</v>
      </c>
      <c r="P4516">
        <v>-0.99243239999999999</v>
      </c>
      <c r="Q4516">
        <v>-0.122791899999999</v>
      </c>
      <c r="R4516">
        <v>6.239126E-4</v>
      </c>
      <c r="S4516">
        <v>-2.999603</v>
      </c>
      <c r="T4516">
        <v>-0.19004190000000001</v>
      </c>
      <c r="U4516">
        <v>-6.9824220000000006E-2</v>
      </c>
      <c r="V4516" s="1">
        <v>2.6915779999999999E-5</v>
      </c>
      <c r="W4516">
        <v>-0.1092221</v>
      </c>
      <c r="X4516">
        <v>0.99401740000000005</v>
      </c>
      <c r="Y4516">
        <v>-2.3859539999999999E-2</v>
      </c>
      <c r="Z4516">
        <v>-9.5028750000000003E-4</v>
      </c>
      <c r="AA4516">
        <v>0.99971489999999996</v>
      </c>
      <c r="AB4516">
        <v>31</v>
      </c>
      <c r="AC4516">
        <v>-17.385400000000001</v>
      </c>
      <c r="AD4516">
        <v>-1.120826157602</v>
      </c>
      <c r="AE4516">
        <v>-0.41190000000000199</v>
      </c>
      <c r="AF4516">
        <v>-0.42140045407875198</v>
      </c>
      <c r="AG4516">
        <v>-1.120826157602</v>
      </c>
      <c r="AH4516">
        <v>17.3132112246203</v>
      </c>
      <c r="AI4516">
        <v>93.702963229451697</v>
      </c>
      <c r="AJ4516">
        <v>91.394293695189205</v>
      </c>
      <c r="AK4516">
        <v>17.354570364217601</v>
      </c>
      <c r="AL4516">
        <v>96.270474810090704</v>
      </c>
      <c r="AM4516">
        <v>89.998448557745604</v>
      </c>
      <c r="AN4516">
        <v>1.00000002967781</v>
      </c>
    </row>
    <row r="4517" spans="1:40" x14ac:dyDescent="0.25">
      <c r="A4517" t="str">
        <f>"20190303154605087"</f>
        <v>20190303154605087</v>
      </c>
      <c r="B4517" t="str">
        <f>"1551599165076042"</f>
        <v>1551599165076042</v>
      </c>
      <c r="C4517" t="s">
        <v>40</v>
      </c>
      <c r="D4517">
        <v>5.0684529999999999</v>
      </c>
      <c r="E4517">
        <v>0.48966769999999998</v>
      </c>
      <c r="F4517" t="s">
        <v>41</v>
      </c>
      <c r="G4517">
        <v>-369.06270000000001</v>
      </c>
      <c r="H4517" s="1">
        <v>-8.6002650000000001E-7</v>
      </c>
      <c r="I4517">
        <v>141.40369999999999</v>
      </c>
      <c r="J4517">
        <v>-351.32319999999999</v>
      </c>
      <c r="K4517">
        <v>1.1207910000000001</v>
      </c>
      <c r="L4517">
        <v>141.85769999999999</v>
      </c>
      <c r="M4517">
        <v>-0.99990950000000001</v>
      </c>
      <c r="N4517">
        <v>-1.345614E-2</v>
      </c>
      <c r="O4517">
        <v>4.1355340000000002E-4</v>
      </c>
      <c r="P4517">
        <v>-0.99248309999999995</v>
      </c>
      <c r="Q4517">
        <v>-0.12238209999999999</v>
      </c>
      <c r="R4517">
        <v>4.4010810000000002E-4</v>
      </c>
      <c r="S4517">
        <v>-2.999908</v>
      </c>
      <c r="T4517">
        <v>-0.18625059999999999</v>
      </c>
      <c r="U4517">
        <v>-7.5424190000000002E-2</v>
      </c>
      <c r="V4517" s="1">
        <v>7.3273960000000001E-5</v>
      </c>
      <c r="W4517">
        <v>-0.109016</v>
      </c>
      <c r="X4517">
        <v>0.99404000000000003</v>
      </c>
      <c r="Y4517">
        <v>-2.5487490000000002E-2</v>
      </c>
      <c r="Z4517">
        <v>-9.821195E-4</v>
      </c>
      <c r="AA4517">
        <v>0.99967470000000003</v>
      </c>
      <c r="AB4517">
        <v>31</v>
      </c>
      <c r="AC4517">
        <v>-17.7395</v>
      </c>
      <c r="AD4517">
        <v>-1.1207918600264899</v>
      </c>
      <c r="AE4517">
        <v>-0.45400000000000701</v>
      </c>
      <c r="AF4517">
        <v>-0.45950381505205701</v>
      </c>
      <c r="AG4517">
        <v>-1.1207918600264899</v>
      </c>
      <c r="AH4517">
        <v>17.668826713525402</v>
      </c>
      <c r="AI4517">
        <v>93.628373425407702</v>
      </c>
      <c r="AJ4517">
        <v>91.489725190098596</v>
      </c>
      <c r="AK4517">
        <v>17.7103008326267</v>
      </c>
      <c r="AL4517">
        <v>96.258595352139807</v>
      </c>
      <c r="AM4517">
        <v>89.995776539526901</v>
      </c>
      <c r="AN4517">
        <v>1.0000000076125299</v>
      </c>
    </row>
    <row r="4518" spans="1:40" x14ac:dyDescent="0.25">
      <c r="A4518" t="str">
        <f>"20190303154605112"</f>
        <v>20190303154605112</v>
      </c>
      <c r="B4518" t="str">
        <f>"1551599165105323"</f>
        <v>1551599165105323</v>
      </c>
      <c r="C4518" t="s">
        <v>40</v>
      </c>
      <c r="D4518">
        <v>5.1880230000000003</v>
      </c>
      <c r="E4518">
        <v>0.48954120000000001</v>
      </c>
      <c r="F4518" t="s">
        <v>41</v>
      </c>
      <c r="G4518">
        <v>-369.61309999999997</v>
      </c>
      <c r="H4518" s="1">
        <v>-6.1547740000000005E-7</v>
      </c>
      <c r="I4518">
        <v>141.37200000000001</v>
      </c>
      <c r="J4518">
        <v>-351.6551</v>
      </c>
      <c r="K4518">
        <v>1.120762</v>
      </c>
      <c r="L4518">
        <v>141.85749999999999</v>
      </c>
      <c r="M4518">
        <v>-0.99991229999999998</v>
      </c>
      <c r="N4518">
        <v>-1.3244799999999999E-2</v>
      </c>
      <c r="O4518">
        <v>1.6675889999999999E-4</v>
      </c>
      <c r="P4518">
        <v>-0.99250939999999999</v>
      </c>
      <c r="Q4518">
        <v>-0.12216870000000001</v>
      </c>
      <c r="R4518">
        <v>-4.7011390000000001E-4</v>
      </c>
      <c r="S4518">
        <v>-3.0001220000000002</v>
      </c>
      <c r="T4518">
        <v>-0.18384639999999999</v>
      </c>
      <c r="U4518">
        <v>-7.9650879999999993E-2</v>
      </c>
      <c r="V4518">
        <v>-5.9232049999999997E-4</v>
      </c>
      <c r="W4518">
        <v>-0.1090127</v>
      </c>
      <c r="X4518">
        <v>0.99404020000000004</v>
      </c>
      <c r="Y4518">
        <v>-2.664561E-2</v>
      </c>
      <c r="Z4518">
        <v>-1.0002069999999999E-3</v>
      </c>
      <c r="AA4518">
        <v>0.99964450000000005</v>
      </c>
      <c r="AB4518">
        <v>31</v>
      </c>
      <c r="AC4518">
        <v>-17.957999999999899</v>
      </c>
      <c r="AD4518">
        <v>-1.1207626154774</v>
      </c>
      <c r="AE4518">
        <v>-0.48549999999997301</v>
      </c>
      <c r="AF4518">
        <v>-0.48660096879770498</v>
      </c>
      <c r="AG4518">
        <v>-1.1207626154774</v>
      </c>
      <c r="AH4518">
        <v>17.888294143430802</v>
      </c>
      <c r="AI4518">
        <v>93.583767578403297</v>
      </c>
      <c r="AJ4518">
        <v>91.558187041751594</v>
      </c>
      <c r="AK4518">
        <v>17.929973695044499</v>
      </c>
      <c r="AL4518">
        <v>96.258405068321395</v>
      </c>
      <c r="AM4518">
        <v>90.0341409338902</v>
      </c>
      <c r="AN4518">
        <v>1.0000000194104499</v>
      </c>
    </row>
    <row r="4519" spans="1:40" x14ac:dyDescent="0.25">
      <c r="A4519" t="str">
        <f>"20190303154605135"</f>
        <v>20190303154605135</v>
      </c>
      <c r="B4519" t="str">
        <f>"1551599165125819"</f>
        <v>1551599165125819</v>
      </c>
      <c r="C4519" t="s">
        <v>40</v>
      </c>
      <c r="D4519">
        <v>5.1991459999999998</v>
      </c>
      <c r="E4519">
        <v>0.48999140000000002</v>
      </c>
      <c r="F4519" t="s">
        <v>41</v>
      </c>
      <c r="G4519">
        <v>-370.25069999999999</v>
      </c>
      <c r="H4519" s="1">
        <v>-4.4962990000000002E-6</v>
      </c>
      <c r="I4519">
        <v>141.339</v>
      </c>
      <c r="J4519">
        <v>-351.97340000000003</v>
      </c>
      <c r="K4519">
        <v>1.1207400000000001</v>
      </c>
      <c r="L4519">
        <v>141.85730000000001</v>
      </c>
      <c r="M4519">
        <v>-0.99991490000000005</v>
      </c>
      <c r="N4519">
        <v>-1.305065E-2</v>
      </c>
      <c r="O4519" s="1">
        <v>-6.5566819999999897E-5</v>
      </c>
      <c r="P4519">
        <v>-0.99255939999999998</v>
      </c>
      <c r="Q4519">
        <v>-0.1217607</v>
      </c>
      <c r="R4519">
        <v>-6.146058E-4</v>
      </c>
      <c r="S4519">
        <v>-3.0003359999999999</v>
      </c>
      <c r="T4519">
        <v>-0.18083170000000001</v>
      </c>
      <c r="U4519">
        <v>-8.3648680000000003E-2</v>
      </c>
      <c r="V4519">
        <v>-5.0653929999999996E-4</v>
      </c>
      <c r="W4519">
        <v>-0.108797</v>
      </c>
      <c r="X4519">
        <v>0.9940639</v>
      </c>
      <c r="Y4519">
        <v>-2.774225E-2</v>
      </c>
      <c r="Z4519">
        <v>-1.0132769999999999E-3</v>
      </c>
      <c r="AA4519">
        <v>0.99961460000000002</v>
      </c>
      <c r="AB4519">
        <v>31</v>
      </c>
      <c r="AC4519">
        <v>-18.277299999999901</v>
      </c>
      <c r="AD4519">
        <v>-1.1207444962989901</v>
      </c>
      <c r="AE4519">
        <v>-0.51830000000000997</v>
      </c>
      <c r="AF4519">
        <v>-0.51516603875148603</v>
      </c>
      <c r="AG4519">
        <v>-1.1207444962989901</v>
      </c>
      <c r="AH4519">
        <v>18.208923202712299</v>
      </c>
      <c r="AI4519">
        <v>93.520660621074299</v>
      </c>
      <c r="AJ4519">
        <v>91.620577328269107</v>
      </c>
      <c r="AK4519">
        <v>18.250653371201299</v>
      </c>
      <c r="AL4519">
        <v>96.245972289253999</v>
      </c>
      <c r="AM4519">
        <v>90.0291958711462</v>
      </c>
      <c r="AN4519">
        <v>1.0000000405371301</v>
      </c>
    </row>
    <row r="4520" spans="1:40" x14ac:dyDescent="0.25">
      <c r="A4520" t="str">
        <f>"20190303154605154"</f>
        <v>20190303154605154</v>
      </c>
      <c r="B4520" t="str">
        <f>"1551599165145339"</f>
        <v>1551599165145339</v>
      </c>
      <c r="C4520" t="s">
        <v>40</v>
      </c>
      <c r="D4520">
        <v>5.1804439999999996</v>
      </c>
      <c r="E4520">
        <v>0.49042839999999999</v>
      </c>
      <c r="F4520" t="s">
        <v>41</v>
      </c>
      <c r="G4520">
        <v>-370.73809999999997</v>
      </c>
      <c r="H4520" s="1">
        <v>-4.3329959999999997E-6</v>
      </c>
      <c r="I4520">
        <v>141.3535</v>
      </c>
      <c r="J4520">
        <v>-352.23140000000001</v>
      </c>
      <c r="K4520">
        <v>1.120725</v>
      </c>
      <c r="L4520">
        <v>141.8571</v>
      </c>
      <c r="M4520">
        <v>-0.99991680000000005</v>
      </c>
      <c r="N4520">
        <v>-1.289858E-2</v>
      </c>
      <c r="O4520">
        <v>-2.5064659999999997E-4</v>
      </c>
      <c r="P4520">
        <v>-0.99248340000000002</v>
      </c>
      <c r="Q4520">
        <v>-0.122377399999999</v>
      </c>
      <c r="R4520">
        <v>-6.4345169999999998E-4</v>
      </c>
      <c r="S4520">
        <v>-3.0004580000000001</v>
      </c>
      <c r="T4520">
        <v>-0.1792057</v>
      </c>
      <c r="U4520">
        <v>-8.0551150000000002E-2</v>
      </c>
      <c r="V4520">
        <v>-3.5103530000000002E-4</v>
      </c>
      <c r="W4520">
        <v>-0.1095657</v>
      </c>
      <c r="X4520">
        <v>0.99397950000000002</v>
      </c>
      <c r="Y4520">
        <v>-2.652885E-2</v>
      </c>
      <c r="Z4520">
        <v>-9.5097659999999996E-4</v>
      </c>
      <c r="AA4520">
        <v>0.99964759999999997</v>
      </c>
      <c r="AB4520">
        <v>31</v>
      </c>
      <c r="AC4520">
        <v>-18.506699999999899</v>
      </c>
      <c r="AD4520">
        <v>-1.120729332996</v>
      </c>
      <c r="AE4520">
        <v>-0.50360000000000504</v>
      </c>
      <c r="AF4520">
        <v>-0.49713915979109202</v>
      </c>
      <c r="AG4520">
        <v>-1.120729332996</v>
      </c>
      <c r="AH4520">
        <v>18.439253870847999</v>
      </c>
      <c r="AI4520">
        <v>93.476871984736107</v>
      </c>
      <c r="AJ4520">
        <v>91.544372527937497</v>
      </c>
      <c r="AK4520">
        <v>18.4799692882759</v>
      </c>
      <c r="AL4520">
        <v>96.290280652456502</v>
      </c>
      <c r="AM4520">
        <v>90.020234663103096</v>
      </c>
      <c r="AN4520">
        <v>1.0000000061312599</v>
      </c>
    </row>
    <row r="4521" spans="1:40" x14ac:dyDescent="0.25">
      <c r="A4521" t="str">
        <f>"20190303154605176"</f>
        <v>20190303154605176</v>
      </c>
      <c r="B4521" t="str">
        <f>"1551599165165835"</f>
        <v>1551599165165835</v>
      </c>
      <c r="C4521" t="s">
        <v>40</v>
      </c>
      <c r="D4521">
        <v>5.1422030000000003</v>
      </c>
      <c r="E4521">
        <v>0.49087910000000001</v>
      </c>
      <c r="F4521" t="s">
        <v>41</v>
      </c>
      <c r="G4521">
        <v>-370.84620000000001</v>
      </c>
      <c r="H4521" s="1">
        <v>-4.3006750000000001E-6</v>
      </c>
      <c r="I4521">
        <v>141.37860000000001</v>
      </c>
      <c r="J4521">
        <v>-352.54059999999998</v>
      </c>
      <c r="K4521">
        <v>1.120711</v>
      </c>
      <c r="L4521">
        <v>141.85679999999999</v>
      </c>
      <c r="M4521">
        <v>-0.99991890000000005</v>
      </c>
      <c r="N4521">
        <v>-1.2725129999999999E-2</v>
      </c>
      <c r="O4521">
        <v>-4.7171989999999998E-4</v>
      </c>
      <c r="P4521">
        <v>-0.99247030000000003</v>
      </c>
      <c r="Q4521">
        <v>-0.1224843</v>
      </c>
      <c r="R4521">
        <v>-6.4634489999999996E-4</v>
      </c>
      <c r="S4521">
        <v>-3.000397</v>
      </c>
      <c r="T4521">
        <v>-0.18064359999999999</v>
      </c>
      <c r="U4521">
        <v>-7.7117920000000006E-2</v>
      </c>
      <c r="V4521">
        <v>-1.3395449999999999E-4</v>
      </c>
      <c r="W4521">
        <v>-0.1098451</v>
      </c>
      <c r="X4521">
        <v>0.99394870000000002</v>
      </c>
      <c r="Y4521">
        <v>-2.516782E-2</v>
      </c>
      <c r="Z4521">
        <v>-8.9479179999999998E-4</v>
      </c>
      <c r="AA4521">
        <v>0.99968279999999998</v>
      </c>
      <c r="AB4521">
        <v>31</v>
      </c>
      <c r="AC4521">
        <v>-18.305599999999998</v>
      </c>
      <c r="AD4521">
        <v>-1.1207153006749999</v>
      </c>
      <c r="AE4521">
        <v>-0.47819999999998603</v>
      </c>
      <c r="AF4521">
        <v>-0.46781187524922602</v>
      </c>
      <c r="AG4521">
        <v>-1.1207153006749999</v>
      </c>
      <c r="AH4521">
        <v>18.237512345056199</v>
      </c>
      <c r="AI4521">
        <v>93.515313709862596</v>
      </c>
      <c r="AJ4521">
        <v>91.469376367528398</v>
      </c>
      <c r="AK4521">
        <v>18.277902157301</v>
      </c>
      <c r="AL4521">
        <v>96.306386399833002</v>
      </c>
      <c r="AM4521">
        <v>90.007721754100899</v>
      </c>
      <c r="AN4521">
        <v>0.99999999108475401</v>
      </c>
    </row>
    <row r="4522" spans="1:40" x14ac:dyDescent="0.25">
      <c r="A4522" t="str">
        <f>"20190303154605199"</f>
        <v>20190303154605199</v>
      </c>
      <c r="B4522" t="str">
        <f>"1551599165196090"</f>
        <v>1551599165196090</v>
      </c>
      <c r="C4522" t="s">
        <v>40</v>
      </c>
      <c r="D4522">
        <v>5.1601019999999904</v>
      </c>
      <c r="E4522">
        <v>0.49152190000000001</v>
      </c>
      <c r="F4522" t="s">
        <v>41</v>
      </c>
      <c r="G4522">
        <v>-371.17680000000001</v>
      </c>
      <c r="H4522" s="1">
        <v>-4.1918009999999996E-6</v>
      </c>
      <c r="I4522">
        <v>141.3991</v>
      </c>
      <c r="J4522">
        <v>-352.84690000000001</v>
      </c>
      <c r="K4522">
        <v>1.120698</v>
      </c>
      <c r="L4522">
        <v>141.85640000000001</v>
      </c>
      <c r="M4522">
        <v>-0.99992080000000005</v>
      </c>
      <c r="N4522">
        <v>-1.2567790000000001E-2</v>
      </c>
      <c r="O4522">
        <v>-6.9147209999999998E-4</v>
      </c>
      <c r="P4522">
        <v>-0.99247940000000001</v>
      </c>
      <c r="Q4522">
        <v>-0.12240719999999999</v>
      </c>
      <c r="R4522">
        <v>-1.01556E-3</v>
      </c>
      <c r="S4522">
        <v>-3.0004580000000001</v>
      </c>
      <c r="T4522">
        <v>-0.18043729999999999</v>
      </c>
      <c r="U4522">
        <v>-7.3684689999999997E-2</v>
      </c>
      <c r="V4522">
        <v>-2.8561660000000003E-4</v>
      </c>
      <c r="W4522">
        <v>-0.10992440000000001</v>
      </c>
      <c r="X4522">
        <v>0.99393989999999999</v>
      </c>
      <c r="Y4522">
        <v>-2.380788E-2</v>
      </c>
      <c r="Z4522">
        <v>-8.3205119999999995E-4</v>
      </c>
      <c r="AA4522">
        <v>0.99971620000000005</v>
      </c>
      <c r="AB4522">
        <v>31</v>
      </c>
      <c r="AC4522">
        <v>-18.329899999999999</v>
      </c>
      <c r="AD4522">
        <v>-1.1207021918009901</v>
      </c>
      <c r="AE4522">
        <v>-0.45730000000000298</v>
      </c>
      <c r="AF4522">
        <v>-0.442969405821725</v>
      </c>
      <c r="AG4522">
        <v>-1.1207021918009901</v>
      </c>
      <c r="AH4522">
        <v>18.261987712552699</v>
      </c>
      <c r="AI4522">
        <v>93.510694991526407</v>
      </c>
      <c r="AJ4522">
        <v>91.389514760854297</v>
      </c>
      <c r="AK4522">
        <v>18.301704579372601</v>
      </c>
      <c r="AL4522">
        <v>96.310957643613904</v>
      </c>
      <c r="AM4522">
        <v>90.016464401206093</v>
      </c>
      <c r="AN4522">
        <v>0.99999999005210605</v>
      </c>
    </row>
    <row r="4523" spans="1:40" x14ac:dyDescent="0.25">
      <c r="A4523" t="str">
        <f>"20190303154605220"</f>
        <v>20190303154605220</v>
      </c>
      <c r="B4523" t="str">
        <f>"1551599165215611"</f>
        <v>1551599165215611</v>
      </c>
      <c r="C4523" t="s">
        <v>40</v>
      </c>
      <c r="D4523">
        <v>5.1555580000000001</v>
      </c>
      <c r="E4523">
        <v>0.4919499</v>
      </c>
      <c r="F4523" t="s">
        <v>41</v>
      </c>
      <c r="G4523">
        <v>-371.59210000000002</v>
      </c>
      <c r="H4523" s="1">
        <v>-4.0541629999999997E-6</v>
      </c>
      <c r="I4523">
        <v>141.41980000000001</v>
      </c>
      <c r="J4523">
        <v>-353.14460000000003</v>
      </c>
      <c r="K4523">
        <v>1.1206940000000001</v>
      </c>
      <c r="L4523">
        <v>141.85599999999999</v>
      </c>
      <c r="M4523">
        <v>-0.99992239999999999</v>
      </c>
      <c r="N4523">
        <v>-1.2426130000000001E-2</v>
      </c>
      <c r="O4523">
        <v>-9.0632310000000004E-4</v>
      </c>
      <c r="P4523">
        <v>-0.99258550000000001</v>
      </c>
      <c r="Q4523">
        <v>-0.12153070000000001</v>
      </c>
      <c r="R4523">
        <v>-2.0861180000000001E-3</v>
      </c>
      <c r="S4523">
        <v>-3.0005489999999999</v>
      </c>
      <c r="T4523">
        <v>-0.17939160000000001</v>
      </c>
      <c r="U4523">
        <v>-6.9870000000000002E-2</v>
      </c>
      <c r="V4523">
        <v>-1.1426069999999999E-3</v>
      </c>
      <c r="W4523">
        <v>-0.1091878</v>
      </c>
      <c r="X4523">
        <v>0.99402049999999997</v>
      </c>
      <c r="Y4523">
        <v>-2.2326140000000001E-2</v>
      </c>
      <c r="Z4523">
        <v>-7.6272329999999998E-4</v>
      </c>
      <c r="AA4523">
        <v>0.99975040000000004</v>
      </c>
      <c r="AB4523">
        <v>31</v>
      </c>
      <c r="AC4523">
        <v>-18.447499999999899</v>
      </c>
      <c r="AD4523">
        <v>-1.1206980541630001</v>
      </c>
      <c r="AE4523">
        <v>-0.43619999999998499</v>
      </c>
      <c r="AF4523">
        <v>-0.41793753787806798</v>
      </c>
      <c r="AG4523">
        <v>-1.1206980541630001</v>
      </c>
      <c r="AH4523">
        <v>18.380091316106501</v>
      </c>
      <c r="AI4523">
        <v>93.488303636252496</v>
      </c>
      <c r="AJ4523">
        <v>91.302601321954398</v>
      </c>
      <c r="AK4523">
        <v>18.418968285508999</v>
      </c>
      <c r="AL4523">
        <v>96.268497815192404</v>
      </c>
      <c r="AM4523">
        <v>90.065860341822301</v>
      </c>
      <c r="AN4523">
        <v>1.00000001781992</v>
      </c>
    </row>
    <row r="4524" spans="1:40" x14ac:dyDescent="0.25">
      <c r="A4524" t="str">
        <f>"20190303154605243"</f>
        <v>20190303154605243</v>
      </c>
      <c r="B4524" t="str">
        <f>"1551599165236110"</f>
        <v>1551599165236110</v>
      </c>
      <c r="C4524" t="s">
        <v>40</v>
      </c>
      <c r="D4524">
        <v>5.1196960000000002</v>
      </c>
      <c r="E4524">
        <v>0.49237900000000001</v>
      </c>
      <c r="F4524" t="s">
        <v>41</v>
      </c>
      <c r="G4524">
        <v>-372.2362</v>
      </c>
      <c r="H4524" s="1">
        <v>-3.7911259999999999E-6</v>
      </c>
      <c r="I4524">
        <v>141.4134</v>
      </c>
      <c r="J4524">
        <v>-353.45389999999998</v>
      </c>
      <c r="K4524">
        <v>1.1206830000000001</v>
      </c>
      <c r="L4524">
        <v>141.85550000000001</v>
      </c>
      <c r="M4524">
        <v>-0.99992380000000003</v>
      </c>
      <c r="N4524">
        <v>-1.229042E-2</v>
      </c>
      <c r="O4524">
        <v>-1.13028E-3</v>
      </c>
      <c r="P4524">
        <v>-0.99257430000000002</v>
      </c>
      <c r="Q4524">
        <v>-0.12161039999999999</v>
      </c>
      <c r="R4524">
        <v>-2.6634639999999999E-3</v>
      </c>
      <c r="S4524">
        <v>-3.0006710000000001</v>
      </c>
      <c r="T4524">
        <v>-0.17614260000000001</v>
      </c>
      <c r="U4524">
        <v>-6.9549559999999996E-2</v>
      </c>
      <c r="V4524">
        <v>-1.497586E-3</v>
      </c>
      <c r="W4524">
        <v>-0.10940270000000001</v>
      </c>
      <c r="X4524">
        <v>0.9939964</v>
      </c>
      <c r="Y4524">
        <v>-2.199713E-2</v>
      </c>
      <c r="Z4524">
        <v>-7.279249E-4</v>
      </c>
      <c r="AA4524">
        <v>0.99975780000000003</v>
      </c>
      <c r="AB4524">
        <v>31</v>
      </c>
      <c r="AC4524">
        <v>-18.782299999999999</v>
      </c>
      <c r="AD4524">
        <v>-1.1206867911259999</v>
      </c>
      <c r="AE4524">
        <v>-0.44210000000000998</v>
      </c>
      <c r="AF4524">
        <v>-0.41937662917871799</v>
      </c>
      <c r="AG4524">
        <v>-1.1206867911259999</v>
      </c>
      <c r="AH4524">
        <v>18.716191773412099</v>
      </c>
      <c r="AI4524">
        <v>93.425803355417003</v>
      </c>
      <c r="AJ4524">
        <v>91.283620672598005</v>
      </c>
      <c r="AK4524">
        <v>18.754403486649299</v>
      </c>
      <c r="AL4524">
        <v>96.280884881376195</v>
      </c>
      <c r="AM4524">
        <v>90.086323544364603</v>
      </c>
      <c r="AN4524">
        <v>1.0000000183720299</v>
      </c>
    </row>
    <row r="4525" spans="1:40" x14ac:dyDescent="0.25">
      <c r="A4525" t="str">
        <f>"20190303154605264"</f>
        <v>20190303154605264</v>
      </c>
      <c r="B4525" t="str">
        <f>"1551599165255627"</f>
        <v>1551599165255627</v>
      </c>
      <c r="C4525" t="s">
        <v>40</v>
      </c>
      <c r="D4525">
        <v>5.2105480000000002</v>
      </c>
      <c r="E4525">
        <v>0.49280770000000002</v>
      </c>
      <c r="F4525" t="s">
        <v>41</v>
      </c>
      <c r="G4525">
        <v>-372.58519999999999</v>
      </c>
      <c r="H4525" s="1">
        <v>-3.6441500000000001E-6</v>
      </c>
      <c r="I4525">
        <v>141.42359999999999</v>
      </c>
      <c r="J4525">
        <v>-353.7509</v>
      </c>
      <c r="K4525">
        <v>1.1206849999999999</v>
      </c>
      <c r="L4525">
        <v>141.85489999999999</v>
      </c>
      <c r="M4525">
        <v>-0.99992510000000001</v>
      </c>
      <c r="N4525">
        <v>-1.217358E-2</v>
      </c>
      <c r="O4525">
        <v>-1.345544E-3</v>
      </c>
      <c r="P4525">
        <v>-0.99250249999999995</v>
      </c>
      <c r="Q4525">
        <v>-0.122183399999999</v>
      </c>
      <c r="R4525">
        <v>-3.1889850000000001E-3</v>
      </c>
      <c r="S4525">
        <v>-3.0007320000000002</v>
      </c>
      <c r="T4525">
        <v>-0.17577899999999999</v>
      </c>
      <c r="U4525">
        <v>-6.7718509999999996E-2</v>
      </c>
      <c r="V4525">
        <v>-1.808849E-3</v>
      </c>
      <c r="W4525">
        <v>-0.1100928</v>
      </c>
      <c r="X4525">
        <v>0.99391969999999996</v>
      </c>
      <c r="Y4525">
        <v>-2.1173870000000001E-2</v>
      </c>
      <c r="Z4525">
        <v>-6.8621950000000002E-4</v>
      </c>
      <c r="AA4525">
        <v>0.99977559999999999</v>
      </c>
      <c r="AB4525">
        <v>31</v>
      </c>
      <c r="AC4525">
        <v>-18.834299999999899</v>
      </c>
      <c r="AD4525">
        <v>-1.1206886441499999</v>
      </c>
      <c r="AE4525">
        <v>-0.43129999999999302</v>
      </c>
      <c r="AF4525">
        <v>-0.40452386769618398</v>
      </c>
      <c r="AG4525">
        <v>-1.1206886441499999</v>
      </c>
      <c r="AH4525">
        <v>18.7684474881836</v>
      </c>
      <c r="AI4525">
        <v>93.416357308436503</v>
      </c>
      <c r="AJ4525">
        <v>91.234727716054905</v>
      </c>
      <c r="AK4525">
        <v>18.806227790638001</v>
      </c>
      <c r="AL4525">
        <v>96.320664897066905</v>
      </c>
      <c r="AM4525">
        <v>90.104273312075094</v>
      </c>
      <c r="AN4525">
        <v>1.00000003329731</v>
      </c>
    </row>
    <row r="4526" spans="1:40" x14ac:dyDescent="0.25">
      <c r="A4526" t="str">
        <f>"20190303154605289"</f>
        <v>20190303154605289</v>
      </c>
      <c r="B4526" t="str">
        <f>"1551599165285883"</f>
        <v>1551599165285883</v>
      </c>
      <c r="C4526" t="s">
        <v>40</v>
      </c>
      <c r="D4526">
        <v>5.136984</v>
      </c>
      <c r="E4526">
        <v>0.49340440000000002</v>
      </c>
      <c r="F4526" t="s">
        <v>41</v>
      </c>
      <c r="G4526">
        <v>-372.76310000000001</v>
      </c>
      <c r="H4526" s="1">
        <v>-3.5714319999999998E-6</v>
      </c>
      <c r="I4526">
        <v>141.43719999999999</v>
      </c>
      <c r="J4526">
        <v>-354.08409999999998</v>
      </c>
      <c r="K4526">
        <v>1.1206769999999999</v>
      </c>
      <c r="L4526">
        <v>141.85419999999999</v>
      </c>
      <c r="M4526">
        <v>-0.99992610000000004</v>
      </c>
      <c r="N4526">
        <v>-1.205813E-2</v>
      </c>
      <c r="O4526">
        <v>-1.586814E-3</v>
      </c>
      <c r="P4526">
        <v>-0.99254489999999995</v>
      </c>
      <c r="Q4526">
        <v>-0.121839</v>
      </c>
      <c r="R4526">
        <v>-3.166173E-3</v>
      </c>
      <c r="S4526">
        <v>-3.0006710000000001</v>
      </c>
      <c r="T4526">
        <v>-0.17687710000000001</v>
      </c>
      <c r="U4526">
        <v>-6.5917970000000006E-2</v>
      </c>
      <c r="V4526">
        <v>-1.546801E-3</v>
      </c>
      <c r="W4526">
        <v>-0.1098625</v>
      </c>
      <c r="X4526">
        <v>0.99394559999999998</v>
      </c>
      <c r="Y4526">
        <v>-2.0335099999999998E-2</v>
      </c>
      <c r="Z4526">
        <v>-6.4716779999999998E-4</v>
      </c>
      <c r="AA4526">
        <v>0.99979300000000004</v>
      </c>
      <c r="AB4526">
        <v>31</v>
      </c>
      <c r="AC4526">
        <v>-18.678999999999998</v>
      </c>
      <c r="AD4526">
        <v>-1.1206805714320001</v>
      </c>
      <c r="AE4526">
        <v>-0.41700000000000098</v>
      </c>
      <c r="AF4526">
        <v>-0.38596857554185099</v>
      </c>
      <c r="AG4526">
        <v>-1.1206805714320001</v>
      </c>
      <c r="AH4526">
        <v>18.6126730866348</v>
      </c>
      <c r="AI4526">
        <v>93.444915690673497</v>
      </c>
      <c r="AJ4526">
        <v>91.187964848495895</v>
      </c>
      <c r="AK4526">
        <v>18.6503752271752</v>
      </c>
      <c r="AL4526">
        <v>96.307389305798495</v>
      </c>
      <c r="AM4526">
        <v>90.089164937700502</v>
      </c>
      <c r="AN4526">
        <v>1.00000000862947</v>
      </c>
    </row>
    <row r="4527" spans="1:40" x14ac:dyDescent="0.25">
      <c r="A4527" t="str">
        <f>"20190303154605316"</f>
        <v>20190303154605316</v>
      </c>
      <c r="B4527" t="str">
        <f>"1551599165305403"</f>
        <v>1551599165305403</v>
      </c>
      <c r="C4527" t="s">
        <v>40</v>
      </c>
      <c r="D4527">
        <v>5.1194430000000004</v>
      </c>
      <c r="E4527">
        <v>0.49378830000000001</v>
      </c>
      <c r="F4527" t="s">
        <v>41</v>
      </c>
      <c r="G4527">
        <v>-373.3261</v>
      </c>
      <c r="H4527" s="1">
        <v>-3.336977E-6</v>
      </c>
      <c r="I4527">
        <v>141.46369999999999</v>
      </c>
      <c r="J4527">
        <v>-354.45</v>
      </c>
      <c r="K4527">
        <v>1.1206780000000001</v>
      </c>
      <c r="L4527">
        <v>141.85329999999999</v>
      </c>
      <c r="M4527">
        <v>-0.99992700000000001</v>
      </c>
      <c r="N4527">
        <v>-1.1947640000000001E-2</v>
      </c>
      <c r="O4527">
        <v>-1.85137E-3</v>
      </c>
      <c r="P4527">
        <v>-0.99261840000000001</v>
      </c>
      <c r="Q4527">
        <v>-0.1212408</v>
      </c>
      <c r="R4527">
        <v>-3.1223779999999999E-3</v>
      </c>
      <c r="S4527">
        <v>-3.0008539999999999</v>
      </c>
      <c r="T4527">
        <v>-0.1747744</v>
      </c>
      <c r="U4527">
        <v>-6.0882569999999997E-2</v>
      </c>
      <c r="V4527">
        <v>-1.240222E-3</v>
      </c>
      <c r="W4527">
        <v>-0.1093731</v>
      </c>
      <c r="X4527">
        <v>0.99399999999999999</v>
      </c>
      <c r="Y4527">
        <v>-1.8397489999999999E-2</v>
      </c>
      <c r="Z4527">
        <v>-5.5965080000000003E-4</v>
      </c>
      <c r="AA4527">
        <v>0.99983060000000001</v>
      </c>
      <c r="AB4527">
        <v>31</v>
      </c>
      <c r="AC4527">
        <v>-18.876100000000001</v>
      </c>
      <c r="AD4527">
        <v>-1.1206813369769999</v>
      </c>
      <c r="AE4527">
        <v>-0.389600000000001</v>
      </c>
      <c r="AF4527">
        <v>-0.35340502888032999</v>
      </c>
      <c r="AG4527">
        <v>-1.1206813369769999</v>
      </c>
      <c r="AH4527">
        <v>18.810513124937501</v>
      </c>
      <c r="AI4527">
        <v>93.408902868266793</v>
      </c>
      <c r="AJ4527">
        <v>91.076325486913802</v>
      </c>
      <c r="AK4527">
        <v>18.8471808448089</v>
      </c>
      <c r="AL4527">
        <v>96.2791787620626</v>
      </c>
      <c r="AM4527">
        <v>90.071488379662696</v>
      </c>
      <c r="AN4527">
        <v>1.0000000065771</v>
      </c>
    </row>
    <row r="4528" spans="1:40" x14ac:dyDescent="0.25">
      <c r="A4528" t="str">
        <f>"20190303154605333"</f>
        <v>20190303154605333</v>
      </c>
      <c r="B4528" t="str">
        <f>"1551599165325899"</f>
        <v>1551599165325899</v>
      </c>
      <c r="C4528" t="s">
        <v>40</v>
      </c>
      <c r="D4528">
        <v>5.1255449999999998</v>
      </c>
      <c r="E4528">
        <v>0.49414970000000003</v>
      </c>
      <c r="F4528" t="s">
        <v>41</v>
      </c>
      <c r="G4528">
        <v>-373.95859999999999</v>
      </c>
      <c r="H4528" s="1">
        <v>-3.069293E-6</v>
      </c>
      <c r="I4528">
        <v>141.4776</v>
      </c>
      <c r="J4528">
        <v>-354.68630000000002</v>
      </c>
      <c r="K4528">
        <v>1.120673</v>
      </c>
      <c r="L4528">
        <v>141.8527</v>
      </c>
      <c r="M4528">
        <v>-0.99992729999999996</v>
      </c>
      <c r="N4528">
        <v>-1.18852E-2</v>
      </c>
      <c r="O4528">
        <v>-2.0219330000000001E-3</v>
      </c>
      <c r="P4528">
        <v>-0.99266370000000004</v>
      </c>
      <c r="Q4528">
        <v>-0.1208736</v>
      </c>
      <c r="R4528">
        <v>-2.9466359999999999E-3</v>
      </c>
      <c r="S4528">
        <v>-3.0010379999999999</v>
      </c>
      <c r="T4528">
        <v>-0.17239589999999999</v>
      </c>
      <c r="U4528">
        <v>-5.7785030000000001E-2</v>
      </c>
      <c r="V4528">
        <v>-8.9472399999999995E-4</v>
      </c>
      <c r="W4528">
        <v>-0.10906739999999999</v>
      </c>
      <c r="X4528">
        <v>0.99403390000000003</v>
      </c>
      <c r="Y4528">
        <v>-1.7197589999999999E-2</v>
      </c>
      <c r="Z4528">
        <v>-5.0379250000000004E-4</v>
      </c>
      <c r="AA4528">
        <v>0.99985199999999996</v>
      </c>
      <c r="AB4528">
        <v>31</v>
      </c>
      <c r="AC4528">
        <v>-19.272299999999898</v>
      </c>
      <c r="AD4528">
        <v>-1.120676069293</v>
      </c>
      <c r="AE4528">
        <v>-0.37510000000000299</v>
      </c>
      <c r="AF4528">
        <v>-0.33499685988045202</v>
      </c>
      <c r="AG4528">
        <v>-1.120676069293</v>
      </c>
      <c r="AH4528">
        <v>19.2080939416532</v>
      </c>
      <c r="AI4528">
        <v>93.338570205975401</v>
      </c>
      <c r="AJ4528">
        <v>90.999160071788395</v>
      </c>
      <c r="AK4528">
        <v>19.243674561262701</v>
      </c>
      <c r="AL4528">
        <v>96.261558406432599</v>
      </c>
      <c r="AM4528">
        <v>90.051571576366598</v>
      </c>
      <c r="AN4528">
        <v>0.99999994631150102</v>
      </c>
    </row>
    <row r="4529" spans="1:40" x14ac:dyDescent="0.25">
      <c r="A4529" t="str">
        <f>"20190303154605355"</f>
        <v>20190303154605355</v>
      </c>
      <c r="B4529" t="str">
        <f>"1551599165345419"</f>
        <v>1551599165345419</v>
      </c>
      <c r="C4529" t="s">
        <v>40</v>
      </c>
      <c r="D4529">
        <v>5.1255990000000002</v>
      </c>
      <c r="E4529">
        <v>0.4945099</v>
      </c>
      <c r="F4529" t="s">
        <v>41</v>
      </c>
      <c r="G4529">
        <v>-374.38529999999997</v>
      </c>
      <c r="H4529" s="1">
        <v>-2.8910139999999999E-6</v>
      </c>
      <c r="I4529">
        <v>141.49539999999999</v>
      </c>
      <c r="J4529">
        <v>-354.9889</v>
      </c>
      <c r="K4529">
        <v>1.1206700000000001</v>
      </c>
      <c r="L4529">
        <v>141.8519</v>
      </c>
      <c r="M4529">
        <v>-0.99992769999999997</v>
      </c>
      <c r="N4529">
        <v>-1.181394E-2</v>
      </c>
      <c r="O4529">
        <v>-2.2404840000000001E-3</v>
      </c>
      <c r="P4529">
        <v>-0.99266430000000005</v>
      </c>
      <c r="Q4529">
        <v>-0.12086710000000001</v>
      </c>
      <c r="R4529">
        <v>-2.938197E-3</v>
      </c>
      <c r="S4529">
        <v>-3.0012509999999999</v>
      </c>
      <c r="T4529">
        <v>-0.17074220000000001</v>
      </c>
      <c r="U4529">
        <v>-5.4428099999999903E-2</v>
      </c>
      <c r="V4529">
        <v>-6.6957289999999999E-4</v>
      </c>
      <c r="W4529">
        <v>-0.1091316</v>
      </c>
      <c r="X4529">
        <v>0.99402710000000005</v>
      </c>
      <c r="Y4529">
        <v>-1.5863140000000001E-2</v>
      </c>
      <c r="Z4529">
        <v>-4.4373669999999999E-4</v>
      </c>
      <c r="AA4529">
        <v>0.99987409999999999</v>
      </c>
      <c r="AB4529">
        <v>31</v>
      </c>
      <c r="AC4529">
        <v>-19.3963999999999</v>
      </c>
      <c r="AD4529">
        <v>-1.120672891014</v>
      </c>
      <c r="AE4529">
        <v>-0.35650000000001097</v>
      </c>
      <c r="AF4529">
        <v>-0.31199758206382799</v>
      </c>
      <c r="AG4529">
        <v>-1.120672891014</v>
      </c>
      <c r="AH4529">
        <v>19.332635226633499</v>
      </c>
      <c r="AI4529">
        <v>93.317174184039402</v>
      </c>
      <c r="AJ4529">
        <v>90.924581298438696</v>
      </c>
      <c r="AK4529">
        <v>19.367602717578102</v>
      </c>
      <c r="AL4529">
        <v>96.2652584524307</v>
      </c>
      <c r="AM4529">
        <v>90.0385942148298</v>
      </c>
      <c r="AN4529">
        <v>1.00000001499041</v>
      </c>
    </row>
    <row r="4530" spans="1:40" x14ac:dyDescent="0.25">
      <c r="A4530" t="str">
        <f>"20190303154605377"</f>
        <v>20190303154605377</v>
      </c>
      <c r="B4530" t="str">
        <f>"1551599165365915"</f>
        <v>1551599165365915</v>
      </c>
      <c r="C4530" t="s">
        <v>40</v>
      </c>
      <c r="D4530">
        <v>5.0806300000000002</v>
      </c>
      <c r="E4530">
        <v>0.49485069999999998</v>
      </c>
      <c r="F4530" t="s">
        <v>41</v>
      </c>
      <c r="G4530">
        <v>-374.75080000000003</v>
      </c>
      <c r="H4530" s="1">
        <v>-2.7387830000000001E-6</v>
      </c>
      <c r="I4530">
        <v>141.51259999999999</v>
      </c>
      <c r="J4530">
        <v>-355.29599999999999</v>
      </c>
      <c r="K4530">
        <v>1.1206670000000001</v>
      </c>
      <c r="L4530">
        <v>141.8509</v>
      </c>
      <c r="M4530">
        <v>-0.99992789999999998</v>
      </c>
      <c r="N4530">
        <v>-1.175061E-2</v>
      </c>
      <c r="O4530">
        <v>-2.462423E-3</v>
      </c>
      <c r="P4530">
        <v>-0.99267309999999997</v>
      </c>
      <c r="Q4530">
        <v>-0.1207961</v>
      </c>
      <c r="R4530">
        <v>-2.9245600000000001E-3</v>
      </c>
      <c r="S4530">
        <v>-3.001312</v>
      </c>
      <c r="T4530">
        <v>-0.17020089999999999</v>
      </c>
      <c r="U4530">
        <v>-5.1513669999999998E-2</v>
      </c>
      <c r="V4530">
        <v>-4.358966E-4</v>
      </c>
      <c r="W4530">
        <v>-0.1091234</v>
      </c>
      <c r="X4530">
        <v>0.99402809999999997</v>
      </c>
      <c r="Y4530">
        <v>-1.4672930000000001E-2</v>
      </c>
      <c r="Z4530">
        <v>-3.913764E-4</v>
      </c>
      <c r="AA4530">
        <v>0.99989229999999996</v>
      </c>
      <c r="AB4530">
        <v>31</v>
      </c>
      <c r="AC4530">
        <v>-19.454799999999999</v>
      </c>
      <c r="AD4530">
        <v>-1.120669738783</v>
      </c>
      <c r="AE4530">
        <v>-0.33830000000000299</v>
      </c>
      <c r="AF4530">
        <v>-0.28942962495448299</v>
      </c>
      <c r="AG4530">
        <v>-1.120669738783</v>
      </c>
      <c r="AH4530">
        <v>19.391249630475201</v>
      </c>
      <c r="AI4530">
        <v>93.307222424061194</v>
      </c>
      <c r="AJ4530">
        <v>90.855120995345601</v>
      </c>
      <c r="AK4530">
        <v>19.4257620803569</v>
      </c>
      <c r="AL4530">
        <v>96.264785992841297</v>
      </c>
      <c r="AM4530">
        <v>90.025125078338505</v>
      </c>
      <c r="AN4530">
        <v>0.999999985011507</v>
      </c>
    </row>
    <row r="4531" spans="1:40" x14ac:dyDescent="0.25">
      <c r="A4531" t="str">
        <f>"20190303154605399"</f>
        <v>20190303154605399</v>
      </c>
      <c r="B4531" t="str">
        <f>"1551599165396171"</f>
        <v>1551599165396171</v>
      </c>
      <c r="C4531" t="s">
        <v>40</v>
      </c>
      <c r="D4531">
        <v>5.1630599999999998</v>
      </c>
      <c r="E4531">
        <v>0.4953072</v>
      </c>
      <c r="F4531" t="s">
        <v>41</v>
      </c>
      <c r="G4531">
        <v>-375.13049999999998</v>
      </c>
      <c r="H4531" s="1">
        <v>-2.580397E-6</v>
      </c>
      <c r="I4531">
        <v>141.52959999999999</v>
      </c>
      <c r="J4531">
        <v>-355.59780000000001</v>
      </c>
      <c r="K4531">
        <v>1.1206640000000001</v>
      </c>
      <c r="L4531">
        <v>141.84989999999999</v>
      </c>
      <c r="M4531">
        <v>-0.99992809999999999</v>
      </c>
      <c r="N4531">
        <v>-1.1696649999999999E-2</v>
      </c>
      <c r="O4531">
        <v>-2.6804860000000002E-3</v>
      </c>
      <c r="P4531">
        <v>-0.99262419999999996</v>
      </c>
      <c r="Q4531">
        <v>-0.1211943</v>
      </c>
      <c r="R4531">
        <v>-3.069123E-3</v>
      </c>
      <c r="S4531">
        <v>-3.0013730000000001</v>
      </c>
      <c r="T4531">
        <v>-0.1695806</v>
      </c>
      <c r="U4531">
        <v>-4.8614499999999998E-2</v>
      </c>
      <c r="V4531">
        <v>-3.6335810000000002E-4</v>
      </c>
      <c r="W4531">
        <v>-0.1095758</v>
      </c>
      <c r="X4531">
        <v>0.99397840000000004</v>
      </c>
      <c r="Y4531">
        <v>-1.3491639999999999E-2</v>
      </c>
      <c r="Z4531">
        <v>-3.3981750000000002E-4</v>
      </c>
      <c r="AA4531">
        <v>0.99990889999999999</v>
      </c>
      <c r="AB4531">
        <v>31</v>
      </c>
      <c r="AC4531">
        <v>-19.532699999999899</v>
      </c>
      <c r="AD4531">
        <v>-1.120666580397</v>
      </c>
      <c r="AE4531">
        <v>-0.32030000000000303</v>
      </c>
      <c r="AF4531">
        <v>-0.267059284667723</v>
      </c>
      <c r="AG4531">
        <v>-1.120666580397</v>
      </c>
      <c r="AH4531">
        <v>19.469417000465999</v>
      </c>
      <c r="AI4531">
        <v>93.294021250400803</v>
      </c>
      <c r="AJ4531">
        <v>90.785868952146402</v>
      </c>
      <c r="AK4531">
        <v>19.503471808474998</v>
      </c>
      <c r="AL4531">
        <v>96.290862733478207</v>
      </c>
      <c r="AM4531">
        <v>90.020945007109304</v>
      </c>
      <c r="AN4531">
        <v>1.0000000238206499</v>
      </c>
    </row>
    <row r="4532" spans="1:40" x14ac:dyDescent="0.25">
      <c r="A4532" t="str">
        <f>"20190303154605421"</f>
        <v>20190303154605421</v>
      </c>
      <c r="B4532" t="str">
        <f>"1551599165415691"</f>
        <v>1551599165415691</v>
      </c>
      <c r="C4532" t="s">
        <v>40</v>
      </c>
      <c r="D4532">
        <v>5.1013650000000004</v>
      </c>
      <c r="E4532">
        <v>0.49544500000000002</v>
      </c>
      <c r="F4532" t="s">
        <v>41</v>
      </c>
      <c r="G4532">
        <v>-375.3399</v>
      </c>
      <c r="H4532" s="1">
        <v>-2.4961429999999998E-6</v>
      </c>
      <c r="I4532">
        <v>141.5505</v>
      </c>
      <c r="J4532">
        <v>-355.90320000000003</v>
      </c>
      <c r="K4532">
        <v>1.1206659999999999</v>
      </c>
      <c r="L4532">
        <v>141.84889999999999</v>
      </c>
      <c r="M4532">
        <v>-0.99992789999999998</v>
      </c>
      <c r="N4532">
        <v>-1.164949E-2</v>
      </c>
      <c r="O4532">
        <v>-2.9008530000000001E-3</v>
      </c>
      <c r="P4532">
        <v>-0.99264359999999996</v>
      </c>
      <c r="Q4532">
        <v>-0.1210302</v>
      </c>
      <c r="R4532">
        <v>-3.2748550000000001E-3</v>
      </c>
      <c r="S4532">
        <v>-3.0013429999999999</v>
      </c>
      <c r="T4532">
        <v>-0.170373</v>
      </c>
      <c r="U4532">
        <v>-4.5516969999999997E-2</v>
      </c>
      <c r="V4532">
        <v>-3.5009160000000001E-4</v>
      </c>
      <c r="W4532">
        <v>-0.10945829999999999</v>
      </c>
      <c r="X4532">
        <v>0.99399130000000002</v>
      </c>
      <c r="Y4532">
        <v>-1.224221E-2</v>
      </c>
      <c r="Z4532">
        <v>-2.877976E-4</v>
      </c>
      <c r="AA4532">
        <v>0.99992499999999995</v>
      </c>
      <c r="AB4532">
        <v>31</v>
      </c>
      <c r="AC4532">
        <v>-19.436699999999899</v>
      </c>
      <c r="AD4532">
        <v>-1.120668496143</v>
      </c>
      <c r="AE4532">
        <v>-0.29839999999998601</v>
      </c>
      <c r="AF4532">
        <v>-0.24121022367314199</v>
      </c>
      <c r="AG4532">
        <v>-1.120668496143</v>
      </c>
      <c r="AH4532">
        <v>19.3730957338529</v>
      </c>
      <c r="AI4532">
        <v>93.310422842963206</v>
      </c>
      <c r="AJ4532">
        <v>90.713340495317198</v>
      </c>
      <c r="AK4532">
        <v>19.406981181092601</v>
      </c>
      <c r="AL4532">
        <v>96.284090058562199</v>
      </c>
      <c r="AM4532">
        <v>90.020180026015794</v>
      </c>
      <c r="AN4532">
        <v>0.99999997323935297</v>
      </c>
    </row>
    <row r="4533" spans="1:40" x14ac:dyDescent="0.25">
      <c r="A4533" t="str">
        <f>"20190303154605443"</f>
        <v>20190303154605443</v>
      </c>
      <c r="B4533" t="str">
        <f>"1551599165435211"</f>
        <v>1551599165435211</v>
      </c>
      <c r="C4533" t="s">
        <v>40</v>
      </c>
      <c r="D4533">
        <v>5.021814</v>
      </c>
      <c r="E4533">
        <v>0.49556050000000001</v>
      </c>
      <c r="F4533" t="s">
        <v>41</v>
      </c>
      <c r="G4533">
        <v>-375.78710000000001</v>
      </c>
      <c r="H4533" s="1">
        <v>-2.3043859999999999E-6</v>
      </c>
      <c r="I4533">
        <v>141.55080000000001</v>
      </c>
      <c r="J4533">
        <v>-356.20920000000001</v>
      </c>
      <c r="K4533">
        <v>1.1206640000000001</v>
      </c>
      <c r="L4533">
        <v>141.8477</v>
      </c>
      <c r="M4533">
        <v>-0.99992780000000003</v>
      </c>
      <c r="N4533">
        <v>-1.1609009999999999E-2</v>
      </c>
      <c r="O4533">
        <v>-3.1187390000000001E-3</v>
      </c>
      <c r="P4533">
        <v>-0.99266580000000004</v>
      </c>
      <c r="Q4533">
        <v>-0.1208422</v>
      </c>
      <c r="R4533">
        <v>-3.4755250000000001E-3</v>
      </c>
      <c r="S4533">
        <v>-3.001465</v>
      </c>
      <c r="T4533">
        <v>-0.1691647</v>
      </c>
      <c r="U4533">
        <v>-4.4982910000000001E-2</v>
      </c>
      <c r="V4533">
        <v>-3.354039E-4</v>
      </c>
      <c r="W4533">
        <v>-0.109310199999999</v>
      </c>
      <c r="X4533">
        <v>0.99400759999999999</v>
      </c>
      <c r="Y4533">
        <v>-1.1847079999999999E-2</v>
      </c>
      <c r="Z4533">
        <v>-2.6296799999999998E-4</v>
      </c>
      <c r="AA4533">
        <v>0.99992979999999998</v>
      </c>
      <c r="AB4533">
        <v>31</v>
      </c>
      <c r="AC4533">
        <v>-19.5779</v>
      </c>
      <c r="AD4533">
        <v>-1.1206663043859999</v>
      </c>
      <c r="AE4533">
        <v>-0.296899999999993</v>
      </c>
      <c r="AF4533">
        <v>-0.23506604891885799</v>
      </c>
      <c r="AG4533">
        <v>-1.1206663043859999</v>
      </c>
      <c r="AH4533">
        <v>19.514803729618201</v>
      </c>
      <c r="AI4533">
        <v>93.286446740623404</v>
      </c>
      <c r="AJ4533">
        <v>90.690124346660497</v>
      </c>
      <c r="AK4533">
        <v>19.5483685666774</v>
      </c>
      <c r="AL4533">
        <v>96.275553345776601</v>
      </c>
      <c r="AM4533">
        <v>90.0193330787137</v>
      </c>
      <c r="AN4533">
        <v>0.99999997058878698</v>
      </c>
    </row>
    <row r="4534" spans="1:40" x14ac:dyDescent="0.25">
      <c r="A4534" t="str">
        <f>"20190303154605467"</f>
        <v>20190303154605467</v>
      </c>
      <c r="B4534" t="str">
        <f>"1551599165455706"</f>
        <v>1551599165455706</v>
      </c>
      <c r="C4534" t="s">
        <v>40</v>
      </c>
      <c r="D4534">
        <v>4.992712</v>
      </c>
      <c r="E4534">
        <v>0.495666</v>
      </c>
      <c r="F4534" t="s">
        <v>41</v>
      </c>
      <c r="G4534">
        <v>-376.2167</v>
      </c>
      <c r="H4534" s="1">
        <v>-2.1197179999999999E-6</v>
      </c>
      <c r="I4534">
        <v>141.54949999999999</v>
      </c>
      <c r="J4534">
        <v>-356.52539999999999</v>
      </c>
      <c r="K4534">
        <v>1.120654</v>
      </c>
      <c r="L4534">
        <v>141.84649999999999</v>
      </c>
      <c r="M4534">
        <v>-0.99992749999999997</v>
      </c>
      <c r="N4534">
        <v>-1.157298E-2</v>
      </c>
      <c r="O4534">
        <v>-3.340333E-3</v>
      </c>
      <c r="P4534">
        <v>-0.99268970000000001</v>
      </c>
      <c r="Q4534">
        <v>-0.1206445</v>
      </c>
      <c r="R4534">
        <v>-3.4989600000000002E-3</v>
      </c>
      <c r="S4534">
        <v>-3.0015869999999998</v>
      </c>
      <c r="T4534">
        <v>-0.16812569999999999</v>
      </c>
      <c r="U4534">
        <v>-4.4738769999999997E-2</v>
      </c>
      <c r="V4534">
        <v>-1.3870479999999999E-4</v>
      </c>
      <c r="W4534">
        <v>-0.1091481</v>
      </c>
      <c r="X4534">
        <v>0.99402550000000001</v>
      </c>
      <c r="Y4534">
        <v>-1.1544570000000001E-2</v>
      </c>
      <c r="Z4534">
        <v>-2.4161110000000001E-4</v>
      </c>
      <c r="AA4534">
        <v>0.99993330000000002</v>
      </c>
      <c r="AB4534">
        <v>31</v>
      </c>
      <c r="AC4534">
        <v>-19.691299999999998</v>
      </c>
      <c r="AD4534">
        <v>-1.1206561197180001</v>
      </c>
      <c r="AE4534">
        <v>-0.29699999999999699</v>
      </c>
      <c r="AF4534">
        <v>-0.23047213788743501</v>
      </c>
      <c r="AG4534">
        <v>-1.1206561197180001</v>
      </c>
      <c r="AH4534">
        <v>19.628621822172601</v>
      </c>
      <c r="AI4534">
        <v>93.267413584902201</v>
      </c>
      <c r="AJ4534">
        <v>90.672715289037498</v>
      </c>
      <c r="AK4534">
        <v>19.6619373964743</v>
      </c>
      <c r="AL4534">
        <v>96.266209540326699</v>
      </c>
      <c r="AM4534">
        <v>90.007994965508004</v>
      </c>
      <c r="AN4534">
        <v>1.00000001081144</v>
      </c>
    </row>
    <row r="4535" spans="1:40" x14ac:dyDescent="0.25">
      <c r="A4535" t="str">
        <f>"20190303154605492"</f>
        <v>20190303154605492</v>
      </c>
      <c r="B4535" t="str">
        <f>"1551599165485963"</f>
        <v>1551599165485963</v>
      </c>
      <c r="C4535" t="s">
        <v>40</v>
      </c>
      <c r="D4535">
        <v>5.0879510000000003</v>
      </c>
      <c r="E4535">
        <v>0.49577460000000001</v>
      </c>
      <c r="F4535" t="s">
        <v>41</v>
      </c>
      <c r="G4535">
        <v>-376.6669</v>
      </c>
      <c r="H4535" s="1">
        <v>-1.9270010000000002E-6</v>
      </c>
      <c r="I4535">
        <v>141.55109999999999</v>
      </c>
      <c r="J4535">
        <v>-356.8843</v>
      </c>
      <c r="K4535">
        <v>1.1206529999999999</v>
      </c>
      <c r="L4535">
        <v>141.8451</v>
      </c>
      <c r="M4535">
        <v>-0.99992709999999996</v>
      </c>
      <c r="N4535">
        <v>-1.153816E-2</v>
      </c>
      <c r="O4535">
        <v>-3.5851490000000001E-3</v>
      </c>
      <c r="P4535">
        <v>-0.99274030000000002</v>
      </c>
      <c r="Q4535">
        <v>-0.1202136</v>
      </c>
      <c r="R4535">
        <v>-3.9508310000000001E-3</v>
      </c>
      <c r="S4535">
        <v>-3.0016780000000001</v>
      </c>
      <c r="T4535">
        <v>-0.16701050000000001</v>
      </c>
      <c r="U4535">
        <v>-4.4021610000000003E-2</v>
      </c>
      <c r="V4535">
        <v>-3.4917079999999999E-4</v>
      </c>
      <c r="W4535">
        <v>-0.10875120000000001</v>
      </c>
      <c r="X4535">
        <v>0.99406890000000003</v>
      </c>
      <c r="Y4535">
        <v>-1.106181E-2</v>
      </c>
      <c r="Z4535">
        <v>-2.133941E-4</v>
      </c>
      <c r="AA4535">
        <v>0.99993880000000002</v>
      </c>
      <c r="AB4535">
        <v>31</v>
      </c>
      <c r="AC4535">
        <v>-19.782599999999999</v>
      </c>
      <c r="AD4535">
        <v>-1.120654927001</v>
      </c>
      <c r="AE4535">
        <v>-0.29400000000001097</v>
      </c>
      <c r="AF4535">
        <v>-0.22235643058975299</v>
      </c>
      <c r="AG4535">
        <v>-1.120654927001</v>
      </c>
      <c r="AH4535">
        <v>19.720257546887002</v>
      </c>
      <c r="AI4535">
        <v>93.252277248315195</v>
      </c>
      <c r="AJ4535">
        <v>90.646013122110702</v>
      </c>
      <c r="AK4535">
        <v>19.753325481123198</v>
      </c>
      <c r="AL4535">
        <v>96.243332973593894</v>
      </c>
      <c r="AM4535">
        <v>90.020125377975702</v>
      </c>
      <c r="AN4535">
        <v>0.99999996168444805</v>
      </c>
    </row>
    <row r="4536" spans="1:40" x14ac:dyDescent="0.25">
      <c r="A4536" t="str">
        <f>"20190303154605518"</f>
        <v>20190303154605518</v>
      </c>
      <c r="B4536" t="str">
        <f>"1551599165505483"</f>
        <v>1551599165505483</v>
      </c>
      <c r="C4536" t="s">
        <v>40</v>
      </c>
      <c r="D4536">
        <v>5.046424</v>
      </c>
      <c r="E4536">
        <v>0.49578420000000001</v>
      </c>
      <c r="F4536" t="s">
        <v>41</v>
      </c>
      <c r="G4536">
        <v>-377.25009999999997</v>
      </c>
      <c r="H4536" s="1">
        <v>-1.6741730000000001E-6</v>
      </c>
      <c r="I4536">
        <v>141.5411</v>
      </c>
      <c r="J4536">
        <v>-357.22579999999999</v>
      </c>
      <c r="K4536">
        <v>1.120644</v>
      </c>
      <c r="L4536">
        <v>141.84360000000001</v>
      </c>
      <c r="M4536">
        <v>-0.9999266</v>
      </c>
      <c r="N4536">
        <v>-1.151022E-2</v>
      </c>
      <c r="O4536">
        <v>-3.8066110000000001E-3</v>
      </c>
      <c r="P4536">
        <v>-0.99278719999999998</v>
      </c>
      <c r="Q4536">
        <v>-0.1197946</v>
      </c>
      <c r="R4536">
        <v>-4.7917649999999999E-3</v>
      </c>
      <c r="S4536">
        <v>-3.00177</v>
      </c>
      <c r="T4536">
        <v>-0.16517660000000001</v>
      </c>
      <c r="U4536">
        <v>-4.4784549999999999E-2</v>
      </c>
      <c r="V4536">
        <v>-9.7158640000000001E-4</v>
      </c>
      <c r="W4536">
        <v>-0.1083597</v>
      </c>
      <c r="X4536">
        <v>0.99411130000000003</v>
      </c>
      <c r="Y4536">
        <v>-1.109448E-2</v>
      </c>
      <c r="Z4536">
        <v>-2.034068E-4</v>
      </c>
      <c r="AA4536">
        <v>0.99993840000000001</v>
      </c>
      <c r="AB4536">
        <v>31</v>
      </c>
      <c r="AC4536">
        <v>-20.024299999999901</v>
      </c>
      <c r="AD4536">
        <v>-1.120645674173</v>
      </c>
      <c r="AE4536">
        <v>-0.30250000000000898</v>
      </c>
      <c r="AF4536">
        <v>-0.22556174594221901</v>
      </c>
      <c r="AG4536">
        <v>-1.120645674173</v>
      </c>
      <c r="AH4536">
        <v>19.962797233144201</v>
      </c>
      <c r="AI4536">
        <v>93.212819393546894</v>
      </c>
      <c r="AJ4536">
        <v>90.647363491354199</v>
      </c>
      <c r="AK4536">
        <v>19.995499448623502</v>
      </c>
      <c r="AL4536">
        <v>96.220767945842496</v>
      </c>
      <c r="AM4536">
        <v>90.055997535112695</v>
      </c>
      <c r="AN4536">
        <v>1.00000002267595</v>
      </c>
    </row>
    <row r="4537" spans="1:40" x14ac:dyDescent="0.25">
      <c r="A4537" t="str">
        <f>"20190303154605539"</f>
        <v>20190303154605539</v>
      </c>
      <c r="B4537" t="str">
        <f>"1551599165535739"</f>
        <v>1551599165535739</v>
      </c>
      <c r="C4537" t="s">
        <v>40</v>
      </c>
      <c r="D4537">
        <v>5.0723039999999999</v>
      </c>
      <c r="E4537">
        <v>0.4957857</v>
      </c>
      <c r="F4537" t="s">
        <v>41</v>
      </c>
      <c r="G4537">
        <v>-377.7559</v>
      </c>
      <c r="H4537" s="1">
        <v>-1.4514810000000001E-6</v>
      </c>
      <c r="I4537">
        <v>141.5196</v>
      </c>
      <c r="J4537">
        <v>-357.52319999999997</v>
      </c>
      <c r="K4537">
        <v>1.120633</v>
      </c>
      <c r="L4537">
        <v>141.84219999999999</v>
      </c>
      <c r="M4537">
        <v>-0.99992619999999999</v>
      </c>
      <c r="N4537">
        <v>-1.148945E-2</v>
      </c>
      <c r="O4537">
        <v>-3.9864840000000002E-3</v>
      </c>
      <c r="P4537">
        <v>-0.99280230000000003</v>
      </c>
      <c r="Q4537">
        <v>-0.1196353</v>
      </c>
      <c r="R4537">
        <v>-5.6148769999999999E-3</v>
      </c>
      <c r="S4537">
        <v>-3.0018009999999999</v>
      </c>
      <c r="T4537">
        <v>-0.1638551</v>
      </c>
      <c r="U4537">
        <v>-4.7363280000000001E-2</v>
      </c>
      <c r="V4537">
        <v>-1.6181870000000001E-3</v>
      </c>
      <c r="W4537">
        <v>-0.1082211</v>
      </c>
      <c r="X4537">
        <v>0.9941255</v>
      </c>
      <c r="Y4537">
        <v>-1.177243E-2</v>
      </c>
      <c r="Z4537">
        <v>-2.170881E-4</v>
      </c>
      <c r="AA4537">
        <v>0.99993069999999895</v>
      </c>
      <c r="AB4537">
        <v>31</v>
      </c>
      <c r="AC4537">
        <v>-20.232700000000001</v>
      </c>
      <c r="AD4537">
        <v>-1.120634451481</v>
      </c>
      <c r="AE4537">
        <v>-0.322599999999994</v>
      </c>
      <c r="AF4537">
        <v>-0.241195050974437</v>
      </c>
      <c r="AG4537">
        <v>-1.120634451481</v>
      </c>
      <c r="AH4537">
        <v>20.171958494148701</v>
      </c>
      <c r="AI4537">
        <v>93.179518616655102</v>
      </c>
      <c r="AJ4537">
        <v>90.685049988473594</v>
      </c>
      <c r="AK4537">
        <v>20.204502124925501</v>
      </c>
      <c r="AL4537">
        <v>96.212780119847693</v>
      </c>
      <c r="AM4537">
        <v>90.093263077627398</v>
      </c>
      <c r="AN4537">
        <v>0.999999967382312</v>
      </c>
    </row>
    <row r="4538" spans="1:40" x14ac:dyDescent="0.25">
      <c r="A4538" t="str">
        <f>"20190303154605559"</f>
        <v>20190303154605559</v>
      </c>
      <c r="B4538" t="str">
        <f>"1551599165555259"</f>
        <v>1551599165555259</v>
      </c>
      <c r="C4538" t="s">
        <v>40</v>
      </c>
      <c r="D4538">
        <v>5.039066</v>
      </c>
      <c r="E4538">
        <v>0.49578870000000003</v>
      </c>
      <c r="F4538" t="s">
        <v>41</v>
      </c>
      <c r="G4538">
        <v>-378.12310000000002</v>
      </c>
      <c r="H4538" s="1">
        <v>-1.289068E-6</v>
      </c>
      <c r="I4538">
        <v>141.50129999999999</v>
      </c>
      <c r="J4538">
        <v>-357.79899999999998</v>
      </c>
      <c r="K4538">
        <v>1.1206199999999999</v>
      </c>
      <c r="L4538">
        <v>141.84100000000001</v>
      </c>
      <c r="M4538">
        <v>-0.99992559999999997</v>
      </c>
      <c r="N4538">
        <v>-1.147283E-2</v>
      </c>
      <c r="O4538">
        <v>-4.1390539999999997E-3</v>
      </c>
      <c r="P4538">
        <v>-0.99276439999999999</v>
      </c>
      <c r="Q4538">
        <v>-0.1199181</v>
      </c>
      <c r="R4538">
        <v>-6.2095469999999897E-3</v>
      </c>
      <c r="S4538">
        <v>-3.0018009999999999</v>
      </c>
      <c r="T4538">
        <v>-0.163298</v>
      </c>
      <c r="U4538">
        <v>-4.9667360000000001E-2</v>
      </c>
      <c r="V4538">
        <v>-2.0646599999999998E-3</v>
      </c>
      <c r="W4538">
        <v>-0.1085209</v>
      </c>
      <c r="X4538">
        <v>0.99409199999999998</v>
      </c>
      <c r="Y4538">
        <v>-1.2386319999999999E-2</v>
      </c>
      <c r="Z4538">
        <v>-2.3023750000000001E-4</v>
      </c>
      <c r="AA4538">
        <v>0.99992329999999996</v>
      </c>
      <c r="AB4538">
        <v>31</v>
      </c>
      <c r="AC4538">
        <v>-20.324099999999898</v>
      </c>
      <c r="AD4538">
        <v>-1.1206212890680001</v>
      </c>
      <c r="AE4538">
        <v>-0.33970000000002099</v>
      </c>
      <c r="AF4538">
        <v>-0.25479460629873502</v>
      </c>
      <c r="AG4538">
        <v>-1.1206212890680001</v>
      </c>
      <c r="AH4538">
        <v>20.263744383222601</v>
      </c>
      <c r="AI4538">
        <v>93.165085138319697</v>
      </c>
      <c r="AJ4538">
        <v>90.720394316819295</v>
      </c>
      <c r="AK4538">
        <v>20.296306284481801</v>
      </c>
      <c r="AL4538">
        <v>96.230059102639999</v>
      </c>
      <c r="AM4538">
        <v>90.1189991811965</v>
      </c>
      <c r="AN4538">
        <v>0.99999997651086203</v>
      </c>
    </row>
    <row r="4539" spans="1:40" x14ac:dyDescent="0.25">
      <c r="A4539" t="str">
        <f>"20190303154605578"</f>
        <v>20190303154605578</v>
      </c>
      <c r="B4539" t="str">
        <f>"1551599165575755"</f>
        <v>1551599165575755</v>
      </c>
      <c r="C4539" t="s">
        <v>40</v>
      </c>
      <c r="D4539">
        <v>5.121734</v>
      </c>
      <c r="E4539">
        <v>0.49582330000000002</v>
      </c>
      <c r="F4539" t="s">
        <v>41</v>
      </c>
      <c r="G4539">
        <v>-378.29219999999998</v>
      </c>
      <c r="H4539" s="1">
        <v>-1.213344E-6</v>
      </c>
      <c r="I4539">
        <v>141.48939999999999</v>
      </c>
      <c r="J4539">
        <v>-358.06330000000003</v>
      </c>
      <c r="K4539">
        <v>1.1206050000000001</v>
      </c>
      <c r="L4539">
        <v>141.83969999999999</v>
      </c>
      <c r="M4539">
        <v>-0.99992530000000002</v>
      </c>
      <c r="N4539">
        <v>-1.1459E-2</v>
      </c>
      <c r="O4539">
        <v>-4.2725569999999997E-3</v>
      </c>
      <c r="P4539">
        <v>-0.99273739999999999</v>
      </c>
      <c r="Q4539">
        <v>-0.120132</v>
      </c>
      <c r="R4539">
        <v>-6.4116989999999999E-3</v>
      </c>
      <c r="S4539">
        <v>-3.001709</v>
      </c>
      <c r="T4539">
        <v>-0.16414119999999999</v>
      </c>
      <c r="U4539">
        <v>-5.1483149999999998E-2</v>
      </c>
      <c r="V4539">
        <v>-2.1371319999999999E-3</v>
      </c>
      <c r="W4539">
        <v>-0.1087487</v>
      </c>
      <c r="X4539">
        <v>0.99406700000000003</v>
      </c>
      <c r="Y4539">
        <v>-1.2857149999999999E-2</v>
      </c>
      <c r="Z4539">
        <v>-2.4047080000000001E-4</v>
      </c>
      <c r="AA4539">
        <v>0.99991730000000001</v>
      </c>
      <c r="AB4539">
        <v>31</v>
      </c>
      <c r="AC4539">
        <v>-20.2288999999999</v>
      </c>
      <c r="AD4539">
        <v>-1.12060621334399</v>
      </c>
      <c r="AE4539">
        <v>-0.350300000000004</v>
      </c>
      <c r="AF4539">
        <v>-0.26305499820779699</v>
      </c>
      <c r="AG4539">
        <v>-1.12060621334399</v>
      </c>
      <c r="AH4539">
        <v>20.168339075448898</v>
      </c>
      <c r="AI4539">
        <v>93.179965001255695</v>
      </c>
      <c r="AJ4539">
        <v>90.747264637578795</v>
      </c>
      <c r="AK4539">
        <v>20.201159800361602</v>
      </c>
      <c r="AL4539">
        <v>96.243188490278101</v>
      </c>
      <c r="AM4539">
        <v>90.123179277865205</v>
      </c>
      <c r="AN4539">
        <v>1.00000002378693</v>
      </c>
    </row>
    <row r="4540" spans="1:40" x14ac:dyDescent="0.25">
      <c r="A4540" t="str">
        <f>"20190303154605601"</f>
        <v>20190303154605601</v>
      </c>
      <c r="B4540" t="str">
        <f>"1551599165595275"</f>
        <v>1551599165595275</v>
      </c>
      <c r="C4540" t="s">
        <v>40</v>
      </c>
      <c r="D4540">
        <v>5.0922850000000004</v>
      </c>
      <c r="E4540">
        <v>0.49584129999999899</v>
      </c>
      <c r="F4540" t="s">
        <v>41</v>
      </c>
      <c r="G4540">
        <v>-378.4939</v>
      </c>
      <c r="H4540" s="1">
        <v>-1.1264689999999999E-6</v>
      </c>
      <c r="I4540">
        <v>141.4881</v>
      </c>
      <c r="J4540">
        <v>-358.3689</v>
      </c>
      <c r="K4540">
        <v>1.120587</v>
      </c>
      <c r="L4540">
        <v>141.8383</v>
      </c>
      <c r="M4540">
        <v>-0.99992479999999995</v>
      </c>
      <c r="N4540">
        <v>-1.144509E-2</v>
      </c>
      <c r="O4540">
        <v>-4.4123490000000003E-3</v>
      </c>
      <c r="P4540">
        <v>-0.99278189999999999</v>
      </c>
      <c r="Q4540">
        <v>-0.1197501</v>
      </c>
      <c r="R4540">
        <v>-6.6437619999999897E-3</v>
      </c>
      <c r="S4540">
        <v>-3.0016479999999999</v>
      </c>
      <c r="T4540">
        <v>-0.16463820000000001</v>
      </c>
      <c r="U4540">
        <v>-5.1651000000000002E-2</v>
      </c>
      <c r="V4540">
        <v>-2.2339199999999999E-3</v>
      </c>
      <c r="W4540">
        <v>-0.10838009999999999</v>
      </c>
      <c r="X4540">
        <v>0.99410699999999996</v>
      </c>
      <c r="Y4540">
        <v>-1.277379E-2</v>
      </c>
      <c r="Z4540">
        <v>-2.3185710000000001E-4</v>
      </c>
      <c r="AA4540">
        <v>0.99991839999999999</v>
      </c>
      <c r="AB4540">
        <v>31</v>
      </c>
      <c r="AC4540">
        <v>-20.125</v>
      </c>
      <c r="AD4540">
        <v>-1.1205881264690001</v>
      </c>
      <c r="AE4540">
        <v>-0.35020000000000001</v>
      </c>
      <c r="AF4540">
        <v>-0.26058457679852398</v>
      </c>
      <c r="AG4540">
        <v>-1.1205881264690001</v>
      </c>
      <c r="AH4540">
        <v>20.0641609185863</v>
      </c>
      <c r="AI4540">
        <v>93.196392843001803</v>
      </c>
      <c r="AJ4540">
        <v>90.744090776169301</v>
      </c>
      <c r="AK4540">
        <v>20.097118585453298</v>
      </c>
      <c r="AL4540">
        <v>96.221943958503601</v>
      </c>
      <c r="AM4540">
        <v>90.128752712056894</v>
      </c>
      <c r="AN4540">
        <v>0.99999998196178796</v>
      </c>
    </row>
    <row r="4541" spans="1:40" x14ac:dyDescent="0.25">
      <c r="A4541" t="str">
        <f>"20190303154605623"</f>
        <v>20190303154605623</v>
      </c>
      <c r="B4541" t="str">
        <f>"1551599165615771"</f>
        <v>1551599165615771</v>
      </c>
      <c r="C4541" t="s">
        <v>40</v>
      </c>
      <c r="D4541">
        <v>5.0462189999999998</v>
      </c>
      <c r="E4541">
        <v>0.49584679999999998</v>
      </c>
      <c r="F4541" t="s">
        <v>41</v>
      </c>
      <c r="G4541">
        <v>-378.95260000000002</v>
      </c>
      <c r="H4541" s="1">
        <v>-9.2764169999999999E-7</v>
      </c>
      <c r="I4541">
        <v>141.4803</v>
      </c>
      <c r="J4541">
        <v>-358.6773</v>
      </c>
      <c r="K4541">
        <v>1.1205700000000001</v>
      </c>
      <c r="L4541">
        <v>141.83680000000001</v>
      </c>
      <c r="M4541">
        <v>-0.99992440000000005</v>
      </c>
      <c r="N4541">
        <v>-1.1433199999999999E-2</v>
      </c>
      <c r="O4541">
        <v>-4.5385920000000001E-3</v>
      </c>
      <c r="P4541">
        <v>-0.99281529999999996</v>
      </c>
      <c r="Q4541">
        <v>-0.119506399999999</v>
      </c>
      <c r="R4541">
        <v>-6.0210000000000003E-3</v>
      </c>
      <c r="S4541">
        <v>-3.0017399999999999</v>
      </c>
      <c r="T4541">
        <v>-0.1634167</v>
      </c>
      <c r="U4541">
        <v>-5.2185059999999998E-2</v>
      </c>
      <c r="V4541">
        <v>-1.489261E-3</v>
      </c>
      <c r="W4541">
        <v>-0.1081477</v>
      </c>
      <c r="X4541">
        <v>0.99413370000000001</v>
      </c>
      <c r="Y4541">
        <v>-1.282514E-2</v>
      </c>
      <c r="Z4541">
        <v>-2.271892E-4</v>
      </c>
      <c r="AA4541">
        <v>0.99991770000000002</v>
      </c>
      <c r="AB4541">
        <v>31</v>
      </c>
      <c r="AC4541">
        <v>-20.275300000000001</v>
      </c>
      <c r="AD4541">
        <v>-1.1205709276417</v>
      </c>
      <c r="AE4541">
        <v>-0.35650000000001097</v>
      </c>
      <c r="AF4541">
        <v>-0.26366388418280601</v>
      </c>
      <c r="AG4541">
        <v>-1.1205709276417</v>
      </c>
      <c r="AH4541">
        <v>20.214981117942799</v>
      </c>
      <c r="AI4541">
        <v>93.172543174099999</v>
      </c>
      <c r="AJ4541">
        <v>90.747266154573794</v>
      </c>
      <c r="AK4541">
        <v>20.2477322050269</v>
      </c>
      <c r="AL4541">
        <v>96.208549713581306</v>
      </c>
      <c r="AM4541">
        <v>90.085831821276699</v>
      </c>
      <c r="AN4541">
        <v>0.99999997819465203</v>
      </c>
    </row>
    <row r="4542" spans="1:40" x14ac:dyDescent="0.25">
      <c r="A4542" t="str">
        <f>"20190303154605645"</f>
        <v>20190303154605645</v>
      </c>
      <c r="B4542" t="str">
        <f>"1551599165635291"</f>
        <v>1551599165635291</v>
      </c>
      <c r="C4542" t="s">
        <v>40</v>
      </c>
      <c r="D4542">
        <v>5.0806420000000001</v>
      </c>
      <c r="E4542">
        <v>0.49586609999999998</v>
      </c>
      <c r="F4542" t="s">
        <v>41</v>
      </c>
      <c r="G4542">
        <v>-379.34750000000003</v>
      </c>
      <c r="H4542" s="1">
        <v>-7.6096109999999897E-7</v>
      </c>
      <c r="I4542">
        <v>141.4906</v>
      </c>
      <c r="J4542">
        <v>-358.98410000000001</v>
      </c>
      <c r="K4542">
        <v>1.120557</v>
      </c>
      <c r="L4542">
        <v>141.83529999999999</v>
      </c>
      <c r="M4542">
        <v>-0.99992389999999998</v>
      </c>
      <c r="N4542">
        <v>-1.1422969999999999E-2</v>
      </c>
      <c r="O4542">
        <v>-4.6535669999999999E-3</v>
      </c>
      <c r="P4542">
        <v>-0.99282380000000003</v>
      </c>
      <c r="Q4542">
        <v>-0.1194658</v>
      </c>
      <c r="R4542">
        <v>-5.3596719999999898E-3</v>
      </c>
      <c r="S4542">
        <v>-3.0018310000000001</v>
      </c>
      <c r="T4542">
        <v>-0.1627352</v>
      </c>
      <c r="U4542">
        <v>-5.026245E-2</v>
      </c>
      <c r="V4542">
        <v>-7.1562959999999995E-4</v>
      </c>
      <c r="W4542">
        <v>-0.108117</v>
      </c>
      <c r="X4542">
        <v>0.99413790000000002</v>
      </c>
      <c r="Y4542">
        <v>-1.207098E-2</v>
      </c>
      <c r="Z4542">
        <v>-1.9699680000000001E-4</v>
      </c>
      <c r="AA4542">
        <v>0.99992709999999996</v>
      </c>
      <c r="AB4542">
        <v>31</v>
      </c>
      <c r="AC4542">
        <v>-20.363399999999999</v>
      </c>
      <c r="AD4542">
        <v>-1.1205577609610999</v>
      </c>
      <c r="AE4542">
        <v>-0.34469999999998802</v>
      </c>
      <c r="AF4542">
        <v>-0.24917333357061</v>
      </c>
      <c r="AG4542">
        <v>-1.1205577609610999</v>
      </c>
      <c r="AH4542">
        <v>20.303321118116401</v>
      </c>
      <c r="AI4542">
        <v>93.158761111042793</v>
      </c>
      <c r="AJ4542">
        <v>90.703129483378106</v>
      </c>
      <c r="AK4542">
        <v>20.335746494072001</v>
      </c>
      <c r="AL4542">
        <v>96.206780340932895</v>
      </c>
      <c r="AM4542">
        <v>90.041244327062003</v>
      </c>
      <c r="AN4542">
        <v>0.99999998101556697</v>
      </c>
    </row>
    <row r="4543" spans="1:40" x14ac:dyDescent="0.25">
      <c r="A4543" t="str">
        <f>"20190303154605666"</f>
        <v>20190303154605666</v>
      </c>
      <c r="B4543" t="str">
        <f>"1551599165655787"</f>
        <v>1551599165655787</v>
      </c>
      <c r="C4543" t="s">
        <v>40</v>
      </c>
      <c r="D4543">
        <v>5.0705770000000001</v>
      </c>
      <c r="E4543">
        <v>0.4958822</v>
      </c>
      <c r="F4543" t="s">
        <v>41</v>
      </c>
      <c r="G4543">
        <v>-379.67070000000001</v>
      </c>
      <c r="H4543" s="1">
        <v>-6.2615469999999898E-7</v>
      </c>
      <c r="I4543">
        <v>141.505</v>
      </c>
      <c r="J4543">
        <v>-359.28280000000001</v>
      </c>
      <c r="K4543">
        <v>1.1205510000000001</v>
      </c>
      <c r="L4543">
        <v>141.8338</v>
      </c>
      <c r="M4543">
        <v>-0.99992349999999997</v>
      </c>
      <c r="N4543">
        <v>-1.1414860000000001E-2</v>
      </c>
      <c r="O4543">
        <v>-4.7594220000000001E-3</v>
      </c>
      <c r="P4543">
        <v>-0.99287420000000004</v>
      </c>
      <c r="Q4543">
        <v>-0.1191014</v>
      </c>
      <c r="R4543">
        <v>-3.9681639999999997E-3</v>
      </c>
      <c r="S4543">
        <v>-3.001862</v>
      </c>
      <c r="T4543">
        <v>-0.162606</v>
      </c>
      <c r="U4543">
        <v>-4.79126E-2</v>
      </c>
      <c r="V4543">
        <v>7.799727E-4</v>
      </c>
      <c r="W4543">
        <v>-0.10775990000000001</v>
      </c>
      <c r="X4543">
        <v>0.99417659999999997</v>
      </c>
      <c r="Y4543">
        <v>-1.1184110000000001E-2</v>
      </c>
      <c r="Z4543">
        <v>-1.6326080000000001E-4</v>
      </c>
      <c r="AA4543">
        <v>0.99993739999999998</v>
      </c>
      <c r="AB4543">
        <v>31</v>
      </c>
      <c r="AC4543">
        <v>-20.387899999999998</v>
      </c>
      <c r="AD4543">
        <v>-1.1205516261546999</v>
      </c>
      <c r="AE4543">
        <v>-0.32880000000000098</v>
      </c>
      <c r="AF4543">
        <v>-0.231057539280697</v>
      </c>
      <c r="AG4543">
        <v>-1.1205516261546999</v>
      </c>
      <c r="AH4543">
        <v>20.327844124912598</v>
      </c>
      <c r="AI4543">
        <v>93.154974636420405</v>
      </c>
      <c r="AJ4543">
        <v>90.651227530641506</v>
      </c>
      <c r="AK4543">
        <v>20.360016461193801</v>
      </c>
      <c r="AL4543">
        <v>96.186199918949896</v>
      </c>
      <c r="AM4543">
        <v>89.9550490982421</v>
      </c>
      <c r="AN4543">
        <v>0.99999995819649001</v>
      </c>
    </row>
    <row r="4544" spans="1:40" x14ac:dyDescent="0.25">
      <c r="A4544" t="str">
        <f>"20190303154605690"</f>
        <v>20190303154605690</v>
      </c>
      <c r="B4544" t="str">
        <f>"1551599165686044"</f>
        <v>1551599165686044</v>
      </c>
      <c r="C4544" t="s">
        <v>40</v>
      </c>
      <c r="D4544">
        <v>5.07646</v>
      </c>
      <c r="E4544">
        <v>0.49588470000000001</v>
      </c>
      <c r="F4544" t="s">
        <v>41</v>
      </c>
      <c r="G4544">
        <v>-380.10109999999997</v>
      </c>
      <c r="H4544" s="1">
        <v>-4.5810620000000003E-6</v>
      </c>
      <c r="I4544">
        <v>141.52979999999999</v>
      </c>
      <c r="J4544">
        <v>-359.61079999999998</v>
      </c>
      <c r="K4544">
        <v>1.1205430000000001</v>
      </c>
      <c r="L4544">
        <v>141.8321</v>
      </c>
      <c r="M4544">
        <v>-0.99992309999999995</v>
      </c>
      <c r="N4544">
        <v>-1.140761E-2</v>
      </c>
      <c r="O4544">
        <v>-4.8722269999999998E-3</v>
      </c>
      <c r="P4544">
        <v>-0.99274899999999999</v>
      </c>
      <c r="Q4544">
        <v>-0.1201358</v>
      </c>
      <c r="R4544">
        <v>-4.1296359999999999E-3</v>
      </c>
      <c r="S4544">
        <v>-3.002014</v>
      </c>
      <c r="T4544">
        <v>-0.16158529999999999</v>
      </c>
      <c r="U4544">
        <v>-4.3823239999999999E-2</v>
      </c>
      <c r="V4544">
        <v>7.2924359999999996E-4</v>
      </c>
      <c r="W4544">
        <v>-0.10880289999999999</v>
      </c>
      <c r="X4544">
        <v>0.99406309999999998</v>
      </c>
      <c r="Y4544">
        <v>-9.7115350000000003E-3</v>
      </c>
      <c r="Z4544">
        <v>-1.1011220000000001E-4</v>
      </c>
      <c r="AA4544">
        <v>0.99995290000000003</v>
      </c>
      <c r="AB4544">
        <v>31</v>
      </c>
      <c r="AC4544">
        <v>-20.490299999999898</v>
      </c>
      <c r="AD4544">
        <v>-1.120547581062</v>
      </c>
      <c r="AE4544">
        <v>-0.30230000000000201</v>
      </c>
      <c r="AF4544">
        <v>-0.20185298792989201</v>
      </c>
      <c r="AG4544">
        <v>-1.120547581062</v>
      </c>
      <c r="AH4544">
        <v>20.4304429512034</v>
      </c>
      <c r="AI4544">
        <v>93.139200722183105</v>
      </c>
      <c r="AJ4544">
        <v>90.566064476687799</v>
      </c>
      <c r="AK4544">
        <v>20.462144821414402</v>
      </c>
      <c r="AL4544">
        <v>96.246312451679898</v>
      </c>
      <c r="AM4544">
        <v>89.957967886523903</v>
      </c>
      <c r="AN4544">
        <v>1.00000002481312</v>
      </c>
    </row>
    <row r="4545" spans="1:40" x14ac:dyDescent="0.25">
      <c r="A4545" t="str">
        <f>"20190303154605716"</f>
        <v>20190303154605716</v>
      </c>
      <c r="B4545" t="str">
        <f>"1551599165705563"</f>
        <v>1551599165705563</v>
      </c>
      <c r="C4545" t="s">
        <v>40</v>
      </c>
      <c r="D4545">
        <v>5.0897620000000003</v>
      </c>
      <c r="E4545">
        <v>0.49588880000000002</v>
      </c>
      <c r="F4545" t="s">
        <v>41</v>
      </c>
      <c r="G4545">
        <v>-380.00729999999999</v>
      </c>
      <c r="H4545" s="1">
        <v>-4.6132159999999997E-6</v>
      </c>
      <c r="I4545">
        <v>141.53120000000001</v>
      </c>
      <c r="J4545">
        <v>-359.96050000000002</v>
      </c>
      <c r="K4545">
        <v>1.1205350000000001</v>
      </c>
      <c r="L4545">
        <v>141.83019999999999</v>
      </c>
      <c r="M4545">
        <v>-0.99992259999999999</v>
      </c>
      <c r="N4545">
        <v>-1.140128E-2</v>
      </c>
      <c r="O4545">
        <v>-4.991255E-3</v>
      </c>
      <c r="P4545">
        <v>-0.99272039999999995</v>
      </c>
      <c r="Q4545">
        <v>-0.12037340000000001</v>
      </c>
      <c r="R4545">
        <v>-4.0892719999999997E-3</v>
      </c>
      <c r="S4545">
        <v>-3.00177</v>
      </c>
      <c r="T4545">
        <v>-0.16491220000000001</v>
      </c>
      <c r="U4545">
        <v>-4.426575E-2</v>
      </c>
      <c r="V4545">
        <v>8.8738649999999897E-4</v>
      </c>
      <c r="W4545">
        <v>-0.10904700000000001</v>
      </c>
      <c r="X4545">
        <v>0.99403620000000004</v>
      </c>
      <c r="Y4545">
        <v>-9.7407129999999998E-3</v>
      </c>
      <c r="Z4545">
        <v>-1.0582260000000001E-4</v>
      </c>
      <c r="AA4545">
        <v>0.99995259999999997</v>
      </c>
      <c r="AB4545">
        <v>31</v>
      </c>
      <c r="AC4545">
        <v>-20.046799999999902</v>
      </c>
      <c r="AD4545">
        <v>-1.1205396132159999</v>
      </c>
      <c r="AE4545">
        <v>-0.29899999999997801</v>
      </c>
      <c r="AF4545">
        <v>-0.19831162208555</v>
      </c>
      <c r="AG4545">
        <v>-1.1205396132159999</v>
      </c>
      <c r="AH4545">
        <v>19.985613907752299</v>
      </c>
      <c r="AI4545">
        <v>93.208902806005696</v>
      </c>
      <c r="AJ4545">
        <v>90.568511236756393</v>
      </c>
      <c r="AK4545">
        <v>20.017984408875499</v>
      </c>
      <c r="AL4545">
        <v>96.260382213552504</v>
      </c>
      <c r="AM4545">
        <v>89.948851472672104</v>
      </c>
      <c r="AN4545">
        <v>1.00000000128712</v>
      </c>
    </row>
    <row r="4546" spans="1:40" x14ac:dyDescent="0.25">
      <c r="A4546" t="str">
        <f>"20190303154605738"</f>
        <v>20190303154605738</v>
      </c>
      <c r="B4546" t="str">
        <f>"1551599165726059"</f>
        <v>1551599165726059</v>
      </c>
      <c r="C4546" t="s">
        <v>40</v>
      </c>
      <c r="D4546">
        <v>5.0967880000000001</v>
      </c>
      <c r="E4546">
        <v>0.49588870000000002</v>
      </c>
      <c r="F4546" t="s">
        <v>41</v>
      </c>
      <c r="G4546">
        <v>-380.27749999999997</v>
      </c>
      <c r="H4546" s="1">
        <v>-4.521483E-6</v>
      </c>
      <c r="I4546">
        <v>141.5324</v>
      </c>
      <c r="J4546">
        <v>-360.27269999999999</v>
      </c>
      <c r="K4546">
        <v>1.1205259999999999</v>
      </c>
      <c r="L4546">
        <v>141.82859999999999</v>
      </c>
      <c r="M4546">
        <v>-0.99992210000000004</v>
      </c>
      <c r="N4546">
        <v>-1.1396649999999999E-2</v>
      </c>
      <c r="O4546">
        <v>-5.0986219999999997E-3</v>
      </c>
      <c r="P4546">
        <v>-0.99270340000000001</v>
      </c>
      <c r="Q4546">
        <v>-0.1204831</v>
      </c>
      <c r="R4546">
        <v>-4.9133739999999999E-3</v>
      </c>
      <c r="S4546">
        <v>-3.0017399999999999</v>
      </c>
      <c r="T4546">
        <v>-0.16555449999999999</v>
      </c>
      <c r="U4546">
        <v>-4.3991089999999997E-2</v>
      </c>
      <c r="V4546">
        <v>1.6961569999999999E-4</v>
      </c>
      <c r="W4546">
        <v>-0.1091617</v>
      </c>
      <c r="X4546">
        <v>0.99402400000000002</v>
      </c>
      <c r="Y4546">
        <v>-9.5424050000000003E-3</v>
      </c>
      <c r="Z4546" s="1">
        <v>-9.4462049999999995E-5</v>
      </c>
      <c r="AA4546">
        <v>0.99995449999999997</v>
      </c>
      <c r="AB4546">
        <v>31</v>
      </c>
      <c r="AC4546">
        <v>-20.0047999999999</v>
      </c>
      <c r="AD4546">
        <v>-1.1205305214829999</v>
      </c>
      <c r="AE4546">
        <v>-0.29619999999999802</v>
      </c>
      <c r="AF4546">
        <v>-0.19358538162466901</v>
      </c>
      <c r="AG4546">
        <v>-1.1205305214829999</v>
      </c>
      <c r="AH4546">
        <v>19.9434919501278</v>
      </c>
      <c r="AI4546">
        <v>93.215646776778897</v>
      </c>
      <c r="AJ4546">
        <v>90.556135156234404</v>
      </c>
      <c r="AK4546">
        <v>19.975883838127501</v>
      </c>
      <c r="AL4546">
        <v>96.266993458063197</v>
      </c>
      <c r="AM4546">
        <v>89.990223310850794</v>
      </c>
      <c r="AN4546">
        <v>1.00000000904618</v>
      </c>
    </row>
    <row r="4547" spans="1:40" x14ac:dyDescent="0.25">
      <c r="A4547" t="str">
        <f>"20190303154605758"</f>
        <v>20190303154605758</v>
      </c>
      <c r="B4547" t="str">
        <f>"1551599165745579"</f>
        <v>1551599165745579</v>
      </c>
      <c r="C4547" t="s">
        <v>40</v>
      </c>
      <c r="D4547">
        <v>5.0707899999999997</v>
      </c>
      <c r="E4547">
        <v>0.49587569999999997</v>
      </c>
      <c r="F4547" t="s">
        <v>41</v>
      </c>
      <c r="G4547">
        <v>-380.55549999999999</v>
      </c>
      <c r="H4547" s="1">
        <v>-4.4240259999999998E-6</v>
      </c>
      <c r="I4547">
        <v>141.5162</v>
      </c>
      <c r="J4547">
        <v>-360.53919999999999</v>
      </c>
      <c r="K4547">
        <v>1.1205320000000001</v>
      </c>
      <c r="L4547">
        <v>141.8271</v>
      </c>
      <c r="M4547">
        <v>-0.99992170000000002</v>
      </c>
      <c r="N4547">
        <v>-1.139342E-2</v>
      </c>
      <c r="O4547">
        <v>-5.1913380000000002E-3</v>
      </c>
      <c r="P4547">
        <v>-0.99269819999999998</v>
      </c>
      <c r="Q4547">
        <v>-0.12050900000000001</v>
      </c>
      <c r="R4547">
        <v>-5.3097070000000003E-3</v>
      </c>
      <c r="S4547">
        <v>-3.0016780000000001</v>
      </c>
      <c r="T4547">
        <v>-0.16583010000000001</v>
      </c>
      <c r="U4547">
        <v>-4.6218870000000002E-2</v>
      </c>
      <c r="V4547">
        <v>-1.3443830000000001E-4</v>
      </c>
      <c r="W4547">
        <v>-0.1091908</v>
      </c>
      <c r="X4547">
        <v>0.99402080000000004</v>
      </c>
      <c r="Y4547">
        <v>-1.019082E-2</v>
      </c>
      <c r="Z4547">
        <v>-1.1193210000000001E-4</v>
      </c>
      <c r="AA4547">
        <v>0.99994810000000001</v>
      </c>
      <c r="AB4547">
        <v>31</v>
      </c>
      <c r="AC4547">
        <v>-20.016300000000001</v>
      </c>
      <c r="AD4547">
        <v>-1.1205364240259901</v>
      </c>
      <c r="AE4547">
        <v>-0.31090000000000301</v>
      </c>
      <c r="AF4547">
        <v>-0.206331230532353</v>
      </c>
      <c r="AG4547">
        <v>-1.1205364240259901</v>
      </c>
      <c r="AH4547">
        <v>19.955122174055301</v>
      </c>
      <c r="AI4547">
        <v>93.213773112014593</v>
      </c>
      <c r="AJ4547">
        <v>90.592403660523601</v>
      </c>
      <c r="AK4547">
        <v>19.9876230561749</v>
      </c>
      <c r="AL4547">
        <v>96.268670849493205</v>
      </c>
      <c r="AM4547">
        <v>90.007749080449699</v>
      </c>
      <c r="AN4547">
        <v>0.99999999985546795</v>
      </c>
    </row>
    <row r="4548" spans="1:40" x14ac:dyDescent="0.25">
      <c r="A4548" t="str">
        <f>"20190303154605779"</f>
        <v>20190303154605779</v>
      </c>
      <c r="B4548" t="str">
        <f>"1551599165775835"</f>
        <v>1551599165775835</v>
      </c>
      <c r="C4548" t="s">
        <v>40</v>
      </c>
      <c r="D4548">
        <v>5.1629430000000003</v>
      </c>
      <c r="E4548">
        <v>0.49589480000000002</v>
      </c>
      <c r="F4548" t="s">
        <v>41</v>
      </c>
      <c r="G4548">
        <v>-380.8064</v>
      </c>
      <c r="H4548" s="1">
        <v>-4.3365739999999998E-6</v>
      </c>
      <c r="I4548">
        <v>141.50450000000001</v>
      </c>
      <c r="J4548">
        <v>-360.84809999999999</v>
      </c>
      <c r="K4548">
        <v>1.1205259999999999</v>
      </c>
      <c r="L4548">
        <v>141.8254</v>
      </c>
      <c r="M4548">
        <v>-0.99992110000000001</v>
      </c>
      <c r="N4548">
        <v>-1.1390279999999999E-2</v>
      </c>
      <c r="O4548">
        <v>-5.3000310000000002E-3</v>
      </c>
      <c r="P4548">
        <v>-0.99269209999999997</v>
      </c>
      <c r="Q4548">
        <v>-0.1205354</v>
      </c>
      <c r="R4548">
        <v>-5.8190990000000003E-3</v>
      </c>
      <c r="S4548">
        <v>-3.0016780000000001</v>
      </c>
      <c r="T4548">
        <v>-0.16595770000000001</v>
      </c>
      <c r="U4548">
        <v>-4.7760009999999999E-2</v>
      </c>
      <c r="V4548">
        <v>-5.3637659999999996E-4</v>
      </c>
      <c r="W4548">
        <v>-0.1092204</v>
      </c>
      <c r="X4548">
        <v>0.99401740000000005</v>
      </c>
      <c r="Y4548">
        <v>-1.059475E-2</v>
      </c>
      <c r="Z4548">
        <v>-1.2058840000000001E-4</v>
      </c>
      <c r="AA4548">
        <v>0.9999439</v>
      </c>
      <c r="AB4548">
        <v>31</v>
      </c>
      <c r="AC4548">
        <v>-19.958300000000001</v>
      </c>
      <c r="AD4548">
        <v>-1.12053033657399</v>
      </c>
      <c r="AE4548">
        <v>-0.32089999999999402</v>
      </c>
      <c r="AF4548">
        <v>-0.214433282222804</v>
      </c>
      <c r="AG4548">
        <v>-1.12053033657399</v>
      </c>
      <c r="AH4548">
        <v>19.897019326334</v>
      </c>
      <c r="AI4548">
        <v>93.223105820106596</v>
      </c>
      <c r="AJ4548">
        <v>90.617461652138203</v>
      </c>
      <c r="AK4548">
        <v>19.9297001467713</v>
      </c>
      <c r="AL4548">
        <v>96.270377086644004</v>
      </c>
      <c r="AM4548">
        <v>90.030917076931203</v>
      </c>
      <c r="AN4548">
        <v>0.99999998748938801</v>
      </c>
    </row>
    <row r="4549" spans="1:40" x14ac:dyDescent="0.25">
      <c r="A4549" t="str">
        <f>"20190303154605802"</f>
        <v>20190303154605802</v>
      </c>
      <c r="B4549" t="str">
        <f>"1551599165795355"</f>
        <v>1551599165795355</v>
      </c>
      <c r="C4549" t="s">
        <v>40</v>
      </c>
      <c r="D4549">
        <v>5.0577649999999998</v>
      </c>
      <c r="E4549">
        <v>0.49587829999999999</v>
      </c>
      <c r="F4549" t="s">
        <v>41</v>
      </c>
      <c r="G4549">
        <v>-381.13150000000002</v>
      </c>
      <c r="H4549" s="1">
        <v>-4.2238369999999997E-6</v>
      </c>
      <c r="I4549">
        <v>141.49279999999999</v>
      </c>
      <c r="J4549">
        <v>-361.1474</v>
      </c>
      <c r="K4549">
        <v>1.1205259999999999</v>
      </c>
      <c r="L4549">
        <v>141.8237</v>
      </c>
      <c r="M4549">
        <v>-0.99992060000000005</v>
      </c>
      <c r="N4549">
        <v>-1.138785E-2</v>
      </c>
      <c r="O4549">
        <v>-5.4056340000000003E-3</v>
      </c>
      <c r="P4549">
        <v>-0.99267340000000004</v>
      </c>
      <c r="Q4549">
        <v>-0.1206725</v>
      </c>
      <c r="R4549">
        <v>-6.1560230000000001E-3</v>
      </c>
      <c r="S4549">
        <v>-3.0016479999999999</v>
      </c>
      <c r="T4549">
        <v>-0.16582249999999901</v>
      </c>
      <c r="U4549">
        <v>-4.9209589999999998E-2</v>
      </c>
      <c r="V4549">
        <v>-7.6814319999999995E-4</v>
      </c>
      <c r="W4549">
        <v>-0.1093602</v>
      </c>
      <c r="X4549">
        <v>0.99400189999999999</v>
      </c>
      <c r="Y4549">
        <v>-1.097151E-2</v>
      </c>
      <c r="Z4549">
        <v>-1.2848150000000001E-4</v>
      </c>
      <c r="AA4549">
        <v>0.99993980000000005</v>
      </c>
      <c r="AB4549">
        <v>31</v>
      </c>
      <c r="AC4549">
        <v>-19.984100000000002</v>
      </c>
      <c r="AD4549">
        <v>-1.1205302238370001</v>
      </c>
      <c r="AE4549">
        <v>-0.33090000000001402</v>
      </c>
      <c r="AF4549">
        <v>-0.22216315283652399</v>
      </c>
      <c r="AG4549">
        <v>-1.1205302238370001</v>
      </c>
      <c r="AH4549">
        <v>19.922976813251399</v>
      </c>
      <c r="AI4549">
        <v>93.218901806365494</v>
      </c>
      <c r="AJ4549">
        <v>90.638884619221002</v>
      </c>
      <c r="AK4549">
        <v>19.955699675790999</v>
      </c>
      <c r="AL4549">
        <v>96.278435162712896</v>
      </c>
      <c r="AM4549">
        <v>90.044276932127204</v>
      </c>
      <c r="AN4549">
        <v>1.00000001029581</v>
      </c>
    </row>
    <row r="4550" spans="1:40" x14ac:dyDescent="0.25">
      <c r="A4550" t="str">
        <f>"20190303154605824"</f>
        <v>20190303154605824</v>
      </c>
      <c r="B4550" t="str">
        <f>"1551599165815851"</f>
        <v>1551599165815851</v>
      </c>
      <c r="C4550" t="s">
        <v>40</v>
      </c>
      <c r="D4550">
        <v>5.0566649999999997</v>
      </c>
      <c r="E4550">
        <v>0.4958687</v>
      </c>
      <c r="F4550" t="s">
        <v>41</v>
      </c>
      <c r="G4550">
        <v>-381.39460000000003</v>
      </c>
      <c r="H4550" s="1">
        <v>-4.1328810000000004E-6</v>
      </c>
      <c r="I4550">
        <v>141.4847</v>
      </c>
      <c r="J4550">
        <v>-361.464</v>
      </c>
      <c r="K4550">
        <v>1.120517</v>
      </c>
      <c r="L4550">
        <v>141.8218</v>
      </c>
      <c r="M4550">
        <v>-0.99992009999999998</v>
      </c>
      <c r="N4550">
        <v>-1.138568E-2</v>
      </c>
      <c r="O4550">
        <v>-5.5176770000000003E-3</v>
      </c>
      <c r="P4550">
        <v>-0.9926391</v>
      </c>
      <c r="Q4550">
        <v>-0.1209379</v>
      </c>
      <c r="R4550">
        <v>-6.4687779999999997E-3</v>
      </c>
      <c r="S4550">
        <v>-3.0016479999999999</v>
      </c>
      <c r="T4550">
        <v>-0.16611919999999999</v>
      </c>
      <c r="U4550">
        <v>-5.0247189999999997E-2</v>
      </c>
      <c r="V4550">
        <v>-9.7050260000000003E-4</v>
      </c>
      <c r="W4550">
        <v>-0.1096282</v>
      </c>
      <c r="X4550">
        <v>0.99397219999999997</v>
      </c>
      <c r="Y4550">
        <v>-1.120466E-2</v>
      </c>
      <c r="Z4550">
        <v>-1.313203E-4</v>
      </c>
      <c r="AA4550">
        <v>0.99993719999999997</v>
      </c>
      <c r="AB4550">
        <v>31</v>
      </c>
      <c r="AC4550">
        <v>-19.930599999999998</v>
      </c>
      <c r="AD4550">
        <v>-1.1205211328810001</v>
      </c>
      <c r="AE4550">
        <v>-0.33709999999999202</v>
      </c>
      <c r="AF4550">
        <v>-0.226401731848864</v>
      </c>
      <c r="AG4550">
        <v>-1.1205211328810001</v>
      </c>
      <c r="AH4550">
        <v>19.869371210749101</v>
      </c>
      <c r="AI4550">
        <v>93.227532784085497</v>
      </c>
      <c r="AJ4550">
        <v>90.652829030953995</v>
      </c>
      <c r="AK4550">
        <v>19.902229464659499</v>
      </c>
      <c r="AL4550">
        <v>96.293883321194897</v>
      </c>
      <c r="AM4550">
        <v>90.055942897916196</v>
      </c>
      <c r="AN4550">
        <v>1.0000000092416801</v>
      </c>
    </row>
    <row r="4551" spans="1:40" x14ac:dyDescent="0.25">
      <c r="A4551" t="str">
        <f>"20190303154605846"</f>
        <v>20190303154605846</v>
      </c>
      <c r="B4551" t="str">
        <f>"1551599165835371"</f>
        <v>1551599165835371</v>
      </c>
      <c r="C4551" t="s">
        <v>40</v>
      </c>
      <c r="D4551">
        <v>5.0636749999999999</v>
      </c>
      <c r="E4551">
        <v>0.49585669999999998</v>
      </c>
      <c r="F4551" t="s">
        <v>41</v>
      </c>
      <c r="G4551">
        <v>-381.62200000000001</v>
      </c>
      <c r="H4551" s="1">
        <v>-4.0540259999999999E-6</v>
      </c>
      <c r="I4551">
        <v>141.47640000000001</v>
      </c>
      <c r="J4551">
        <v>-361.76490000000001</v>
      </c>
      <c r="K4551">
        <v>1.120514</v>
      </c>
      <c r="L4551">
        <v>141.8201</v>
      </c>
      <c r="M4551">
        <v>-0.99991940000000001</v>
      </c>
      <c r="N4551">
        <v>-1.1384089999999999E-2</v>
      </c>
      <c r="O4551">
        <v>-5.62424E-3</v>
      </c>
      <c r="P4551">
        <v>-0.99263310000000005</v>
      </c>
      <c r="Q4551">
        <v>-0.12095930000000001</v>
      </c>
      <c r="R4551">
        <v>-6.9720629999999997E-3</v>
      </c>
      <c r="S4551">
        <v>-3.0015869999999998</v>
      </c>
      <c r="T4551">
        <v>-0.16684959999999999</v>
      </c>
      <c r="U4551">
        <v>-5.1422120000000002E-2</v>
      </c>
      <c r="V4551">
        <v>-1.36768E-3</v>
      </c>
      <c r="W4551">
        <v>-0.1096512</v>
      </c>
      <c r="X4551">
        <v>0.9939692</v>
      </c>
      <c r="Y4551">
        <v>-1.14892E-2</v>
      </c>
      <c r="Z4551">
        <v>-1.361406E-4</v>
      </c>
      <c r="AA4551">
        <v>0.99993399999999999</v>
      </c>
      <c r="AB4551">
        <v>31</v>
      </c>
      <c r="AC4551">
        <v>-19.8570999999999</v>
      </c>
      <c r="AD4551">
        <v>-1.120518054026</v>
      </c>
      <c r="AE4551">
        <v>-0.34369999999998402</v>
      </c>
      <c r="AF4551">
        <v>-0.23127003249163799</v>
      </c>
      <c r="AG4551">
        <v>-1.120518054026</v>
      </c>
      <c r="AH4551">
        <v>19.7957036398894</v>
      </c>
      <c r="AI4551">
        <v>93.239498528796105</v>
      </c>
      <c r="AJ4551">
        <v>90.669346956212905</v>
      </c>
      <c r="AK4551">
        <v>19.8287399785175</v>
      </c>
      <c r="AL4551">
        <v>96.295209090655405</v>
      </c>
      <c r="AM4551">
        <v>90.078837696650595</v>
      </c>
      <c r="AN4551">
        <v>1.0000000133793301</v>
      </c>
    </row>
    <row r="4552" spans="1:40" x14ac:dyDescent="0.25">
      <c r="A4552" t="str">
        <f>"20190303154605868"</f>
        <v>20190303154605868</v>
      </c>
      <c r="B4552" t="str">
        <f>"1551599165865628"</f>
        <v>1551599165865628</v>
      </c>
      <c r="C4552" t="s">
        <v>40</v>
      </c>
      <c r="D4552">
        <v>5.0892429999999997</v>
      </c>
      <c r="E4552">
        <v>0.49583159999999998</v>
      </c>
      <c r="F4552" t="s">
        <v>41</v>
      </c>
      <c r="G4552">
        <v>-381.9171</v>
      </c>
      <c r="H4552" s="1">
        <v>-3.9411560000000001E-6</v>
      </c>
      <c r="I4552">
        <v>141.46279999999999</v>
      </c>
      <c r="J4552">
        <v>-362.0804</v>
      </c>
      <c r="K4552">
        <v>1.1205050000000001</v>
      </c>
      <c r="L4552">
        <v>141.81819999999999</v>
      </c>
      <c r="M4552">
        <v>-0.9999188</v>
      </c>
      <c r="N4552">
        <v>-1.13829E-2</v>
      </c>
      <c r="O4552">
        <v>-5.7359309999999997E-3</v>
      </c>
      <c r="P4552">
        <v>-0.99258259999999998</v>
      </c>
      <c r="Q4552">
        <v>-0.12135899999999999</v>
      </c>
      <c r="R4552">
        <v>-7.2107639999999997E-3</v>
      </c>
      <c r="S4552">
        <v>-3.0015559999999999</v>
      </c>
      <c r="T4552">
        <v>-0.1668953</v>
      </c>
      <c r="U4552">
        <v>-5.3207400000000002E-2</v>
      </c>
      <c r="V4552">
        <v>-1.495583E-3</v>
      </c>
      <c r="W4552">
        <v>-0.1100527</v>
      </c>
      <c r="X4552">
        <v>0.99392460000000005</v>
      </c>
      <c r="Y4552">
        <v>-1.197145E-2</v>
      </c>
      <c r="Z4552">
        <v>-1.473383E-4</v>
      </c>
      <c r="AA4552">
        <v>0.99992840000000005</v>
      </c>
      <c r="AB4552">
        <v>31</v>
      </c>
      <c r="AC4552">
        <v>-19.8367</v>
      </c>
      <c r="AD4552">
        <v>-1.1205089411560001</v>
      </c>
      <c r="AE4552">
        <v>-0.35540000000000299</v>
      </c>
      <c r="AF4552">
        <v>-0.24083664136723801</v>
      </c>
      <c r="AG4552">
        <v>-1.1205089411560001</v>
      </c>
      <c r="AH4552">
        <v>19.775334554834799</v>
      </c>
      <c r="AI4552">
        <v>93.242782719996299</v>
      </c>
      <c r="AJ4552">
        <v>90.697750063833396</v>
      </c>
      <c r="AK4552">
        <v>19.808518352736002</v>
      </c>
      <c r="AL4552">
        <v>96.318353678759394</v>
      </c>
      <c r="AM4552">
        <v>90.086214315590993</v>
      </c>
      <c r="AN4552">
        <v>0.99999997201547897</v>
      </c>
    </row>
    <row r="4553" spans="1:40" x14ac:dyDescent="0.25">
      <c r="A4553" t="str">
        <f>"20190303154605891"</f>
        <v>20190303154605891</v>
      </c>
      <c r="B4553" t="str">
        <f>"1551599165886124"</f>
        <v>1551599165886124</v>
      </c>
      <c r="C4553" t="s">
        <v>40</v>
      </c>
      <c r="D4553">
        <v>5.1087939999999996</v>
      </c>
      <c r="E4553">
        <v>0.49581960000000003</v>
      </c>
      <c r="F4553" t="s">
        <v>41</v>
      </c>
      <c r="G4553">
        <v>-382.09539999999998</v>
      </c>
      <c r="H4553" s="1">
        <v>-3.8633680000000001E-6</v>
      </c>
      <c r="I4553">
        <v>141.4579</v>
      </c>
      <c r="J4553">
        <v>-362.3827</v>
      </c>
      <c r="K4553">
        <v>1.120506</v>
      </c>
      <c r="L4553">
        <v>141.81630000000001</v>
      </c>
      <c r="M4553">
        <v>-0.99991810000000003</v>
      </c>
      <c r="N4553">
        <v>-1.138635E-2</v>
      </c>
      <c r="O4553">
        <v>-5.8430009999999996E-3</v>
      </c>
      <c r="P4553">
        <v>-0.99258579999999996</v>
      </c>
      <c r="Q4553">
        <v>-0.1213196</v>
      </c>
      <c r="R4553">
        <v>-7.4455739999999999E-3</v>
      </c>
      <c r="S4553">
        <v>-3.001465</v>
      </c>
      <c r="T4553">
        <v>-0.16803219999999999</v>
      </c>
      <c r="U4553">
        <v>-5.4016109999999999E-2</v>
      </c>
      <c r="V4553">
        <v>-1.62402799999999E-3</v>
      </c>
      <c r="W4553">
        <v>-0.1100098</v>
      </c>
      <c r="X4553">
        <v>0.99392910000000001</v>
      </c>
      <c r="Y4553">
        <v>-1.213387E-2</v>
      </c>
      <c r="Z4553">
        <v>-1.4817150000000001E-4</v>
      </c>
      <c r="AA4553">
        <v>0.99992639999999999</v>
      </c>
      <c r="AB4553">
        <v>31</v>
      </c>
      <c r="AC4553">
        <v>-19.712699999999899</v>
      </c>
      <c r="AD4553">
        <v>-1.120509863368</v>
      </c>
      <c r="AE4553">
        <v>-0.35840000000001698</v>
      </c>
      <c r="AF4553">
        <v>-0.24242207698604501</v>
      </c>
      <c r="AG4553">
        <v>-1.120509863368</v>
      </c>
      <c r="AH4553">
        <v>19.650986044142599</v>
      </c>
      <c r="AI4553">
        <v>93.263254743076203</v>
      </c>
      <c r="AJ4553">
        <v>90.706786788948094</v>
      </c>
      <c r="AK4553">
        <v>19.684398983062799</v>
      </c>
      <c r="AL4553">
        <v>96.315880974068094</v>
      </c>
      <c r="AM4553">
        <v>90.093618214220101</v>
      </c>
      <c r="AN4553">
        <v>0.99999992469489396</v>
      </c>
    </row>
    <row r="4554" spans="1:40" x14ac:dyDescent="0.25">
      <c r="A4554" t="str">
        <f>"20190303154605914"</f>
        <v>20190303154605914</v>
      </c>
      <c r="B4554" t="str">
        <f>"1551599165905643"</f>
        <v>1551599165905643</v>
      </c>
      <c r="C4554" t="s">
        <v>40</v>
      </c>
      <c r="D4554">
        <v>5.0759100000000004</v>
      </c>
      <c r="E4554">
        <v>0.49580800000000003</v>
      </c>
      <c r="F4554" t="s">
        <v>41</v>
      </c>
      <c r="G4554">
        <v>-382.41550000000001</v>
      </c>
      <c r="H4554" s="1">
        <v>-3.7243449999999998E-6</v>
      </c>
      <c r="I4554">
        <v>141.45150000000001</v>
      </c>
      <c r="J4554">
        <v>-362.70490000000001</v>
      </c>
      <c r="K4554">
        <v>1.1205069999999999</v>
      </c>
      <c r="L4554">
        <v>141.8143</v>
      </c>
      <c r="M4554">
        <v>-0.99991739999999996</v>
      </c>
      <c r="N4554">
        <v>-1.140355E-2</v>
      </c>
      <c r="O4554">
        <v>-5.9574240000000002E-3</v>
      </c>
      <c r="P4554">
        <v>-0.99257819999999997</v>
      </c>
      <c r="Q4554">
        <v>-0.1213809</v>
      </c>
      <c r="R4554">
        <v>-7.4387389999999998E-3</v>
      </c>
      <c r="S4554">
        <v>-3.0014949999999998</v>
      </c>
      <c r="T4554">
        <v>-0.16788520000000001</v>
      </c>
      <c r="U4554">
        <v>-5.4656980000000001E-2</v>
      </c>
      <c r="V4554">
        <v>-1.503639E-3</v>
      </c>
      <c r="W4554">
        <v>-0.1100541</v>
      </c>
      <c r="X4554">
        <v>0.99392440000000004</v>
      </c>
      <c r="Y4554">
        <v>-1.223263E-2</v>
      </c>
      <c r="Z4554">
        <v>-1.465986E-4</v>
      </c>
      <c r="AA4554">
        <v>0.99992519999999996</v>
      </c>
      <c r="AB4554">
        <v>31</v>
      </c>
      <c r="AC4554">
        <v>-19.710599999999999</v>
      </c>
      <c r="AD4554">
        <v>-1.1205107243450001</v>
      </c>
      <c r="AE4554">
        <v>-0.36279999999999202</v>
      </c>
      <c r="AF4554">
        <v>-0.24457142754108099</v>
      </c>
      <c r="AG4554">
        <v>-1.1205107243450001</v>
      </c>
      <c r="AH4554">
        <v>19.6489335279682</v>
      </c>
      <c r="AI4554">
        <v>93.263592920667193</v>
      </c>
      <c r="AJ4554">
        <v>90.713127099998403</v>
      </c>
      <c r="AK4554">
        <v>19.6823765905709</v>
      </c>
      <c r="AL4554">
        <v>96.318434590082902</v>
      </c>
      <c r="AM4554">
        <v>90.086678728167996</v>
      </c>
      <c r="AN4554">
        <v>0.99999993938620402</v>
      </c>
    </row>
    <row r="4555" spans="1:40" x14ac:dyDescent="0.25">
      <c r="A4555" t="str">
        <f>"20190303154605939"</f>
        <v>20190303154605939</v>
      </c>
      <c r="B4555" t="str">
        <f>"1551599165935899"</f>
        <v>1551599165935899</v>
      </c>
      <c r="C4555" t="s">
        <v>40</v>
      </c>
      <c r="D4555">
        <v>5.0954680000000003</v>
      </c>
      <c r="E4555">
        <v>0.49582949999999998</v>
      </c>
      <c r="F4555" t="s">
        <v>41</v>
      </c>
      <c r="G4555">
        <v>-382.72430000000003</v>
      </c>
      <c r="H4555" s="1">
        <v>-3.5910750000000002E-6</v>
      </c>
      <c r="I4555">
        <v>141.4485</v>
      </c>
      <c r="J4555">
        <v>-363.06029999999998</v>
      </c>
      <c r="K4555">
        <v>1.120525</v>
      </c>
      <c r="L4555">
        <v>141.81209999999999</v>
      </c>
      <c r="M4555">
        <v>-0.99991600000000003</v>
      </c>
      <c r="N4555">
        <v>-1.1442020000000001E-2</v>
      </c>
      <c r="O4555">
        <v>-6.0835350000000002E-3</v>
      </c>
      <c r="P4555">
        <v>-0.99260760000000003</v>
      </c>
      <c r="Q4555">
        <v>-0.12115040000000001</v>
      </c>
      <c r="R4555">
        <v>-7.2687769999999997E-3</v>
      </c>
      <c r="S4555">
        <v>-3.001465</v>
      </c>
      <c r="T4555">
        <v>-0.1679957</v>
      </c>
      <c r="U4555">
        <v>-5.4840090000000001E-2</v>
      </c>
      <c r="V4555">
        <v>-1.2079370000000001E-3</v>
      </c>
      <c r="W4555">
        <v>-0.1097849</v>
      </c>
      <c r="X4555">
        <v>0.99395469999999997</v>
      </c>
      <c r="Y4555">
        <v>-1.2167890000000001E-2</v>
      </c>
      <c r="Z4555">
        <v>-1.392779E-4</v>
      </c>
      <c r="AA4555">
        <v>0.99992599999999998</v>
      </c>
      <c r="AB4555">
        <v>31</v>
      </c>
      <c r="AC4555">
        <v>-19.664000000000001</v>
      </c>
      <c r="AD4555">
        <v>-1.120528591075</v>
      </c>
      <c r="AE4555">
        <v>-0.36359999999999099</v>
      </c>
      <c r="AF4555">
        <v>-0.24316946568379399</v>
      </c>
      <c r="AG4555">
        <v>-1.120528591075</v>
      </c>
      <c r="AH4555">
        <v>19.602218630672802</v>
      </c>
      <c r="AI4555">
        <v>93.271407405053694</v>
      </c>
      <c r="AJ4555">
        <v>90.710729215302194</v>
      </c>
      <c r="AK4555">
        <v>19.6357248645715</v>
      </c>
      <c r="AL4555">
        <v>96.302915741590098</v>
      </c>
      <c r="AM4555">
        <v>90.069630595786094</v>
      </c>
      <c r="AN4555">
        <v>1.0000000645159399</v>
      </c>
    </row>
    <row r="4556" spans="1:40" x14ac:dyDescent="0.25">
      <c r="A4556" t="str">
        <f>"20190303154605960"</f>
        <v>20190303154605960</v>
      </c>
      <c r="B4556" t="str">
        <f>"1551599165955419"</f>
        <v>1551599165955419</v>
      </c>
      <c r="C4556" t="s">
        <v>40</v>
      </c>
      <c r="D4556">
        <v>5.0978750000000002</v>
      </c>
      <c r="E4556">
        <v>0.49586049999999998</v>
      </c>
      <c r="F4556" t="s">
        <v>41</v>
      </c>
      <c r="G4556">
        <v>-383.18959999999998</v>
      </c>
      <c r="H4556" s="1">
        <v>-3.3916050000000002E-6</v>
      </c>
      <c r="I4556">
        <v>141.44890000000001</v>
      </c>
      <c r="J4556">
        <v>-363.3442</v>
      </c>
      <c r="K4556">
        <v>1.1205499999999999</v>
      </c>
      <c r="L4556">
        <v>141.81020000000001</v>
      </c>
      <c r="M4556">
        <v>-0.99991479999999999</v>
      </c>
      <c r="N4556">
        <v>-1.150468E-2</v>
      </c>
      <c r="O4556">
        <v>-6.1889550000000003E-3</v>
      </c>
      <c r="P4556">
        <v>-0.99264799999999997</v>
      </c>
      <c r="Q4556">
        <v>-0.120808399999999</v>
      </c>
      <c r="R4556">
        <v>-7.4666810000000002E-3</v>
      </c>
      <c r="S4556">
        <v>-3.0015260000000001</v>
      </c>
      <c r="T4556">
        <v>-0.16708509999999999</v>
      </c>
      <c r="U4556">
        <v>-5.4138180000000001E-2</v>
      </c>
      <c r="V4556">
        <v>-1.300416E-3</v>
      </c>
      <c r="W4556">
        <v>-0.1093802</v>
      </c>
      <c r="X4556">
        <v>0.99399910000000002</v>
      </c>
      <c r="Y4556">
        <v>-1.182918E-2</v>
      </c>
      <c r="Z4556">
        <v>-1.2401959999999999E-4</v>
      </c>
      <c r="AA4556">
        <v>0.99992999999999999</v>
      </c>
      <c r="AB4556">
        <v>31</v>
      </c>
      <c r="AC4556">
        <v>-19.845399999999898</v>
      </c>
      <c r="AD4556">
        <v>-1.1205533916049999</v>
      </c>
      <c r="AE4556">
        <v>-0.36130000000000001</v>
      </c>
      <c r="AF4556">
        <v>-0.23770507947474101</v>
      </c>
      <c r="AG4556">
        <v>-1.1205533916049999</v>
      </c>
      <c r="AH4556">
        <v>19.7842010258667</v>
      </c>
      <c r="AI4556">
        <v>93.241467251656601</v>
      </c>
      <c r="AJ4556">
        <v>90.6883695986497</v>
      </c>
      <c r="AK4556">
        <v>19.817334680530401</v>
      </c>
      <c r="AL4556">
        <v>96.279588279501198</v>
      </c>
      <c r="AM4556">
        <v>90.074958122097598</v>
      </c>
      <c r="AN4556">
        <v>0.99999996501731003</v>
      </c>
    </row>
    <row r="4557" spans="1:40" x14ac:dyDescent="0.25">
      <c r="A4557" t="str">
        <f>"20190303154605980"</f>
        <v>20190303154605980</v>
      </c>
      <c r="B4557" t="str">
        <f>"1551599165975916"</f>
        <v>1551599165975916</v>
      </c>
      <c r="C4557" t="s">
        <v>40</v>
      </c>
      <c r="D4557">
        <v>5.085839</v>
      </c>
      <c r="E4557">
        <v>0.4958938</v>
      </c>
      <c r="F4557" t="s">
        <v>41</v>
      </c>
      <c r="G4557">
        <v>-383.64479999999998</v>
      </c>
      <c r="H4557" s="1">
        <v>-3.194689E-6</v>
      </c>
      <c r="I4557">
        <v>141.44280000000001</v>
      </c>
      <c r="J4557">
        <v>-363.6336</v>
      </c>
      <c r="K4557">
        <v>1.120582</v>
      </c>
      <c r="L4557">
        <v>141.8083</v>
      </c>
      <c r="M4557">
        <v>-0.99991269999999999</v>
      </c>
      <c r="N4557">
        <v>-1.1629E-2</v>
      </c>
      <c r="O4557">
        <v>-6.2879440000000002E-3</v>
      </c>
      <c r="P4557">
        <v>-0.99269779999999996</v>
      </c>
      <c r="Q4557">
        <v>-0.12038980000000001</v>
      </c>
      <c r="R4557">
        <v>-7.5830860000000002E-3</v>
      </c>
      <c r="S4557">
        <v>-3.0016780000000001</v>
      </c>
      <c r="T4557">
        <v>-0.16568720000000001</v>
      </c>
      <c r="U4557">
        <v>-5.4321290000000001E-2</v>
      </c>
      <c r="V4557">
        <v>-1.3180329999999999E-3</v>
      </c>
      <c r="W4557">
        <v>-0.1088375</v>
      </c>
      <c r="X4557">
        <v>0.99405869999999996</v>
      </c>
      <c r="Y4557">
        <v>-1.179054E-2</v>
      </c>
      <c r="Z4557">
        <v>-1.200538E-4</v>
      </c>
      <c r="AA4557">
        <v>0.99993050000000006</v>
      </c>
      <c r="AB4557">
        <v>31</v>
      </c>
      <c r="AC4557">
        <v>-20.011199999999899</v>
      </c>
      <c r="AD4557">
        <v>-1.120585194689</v>
      </c>
      <c r="AE4557">
        <v>-0.36549999999999699</v>
      </c>
      <c r="AF4557">
        <v>-0.23890606719566501</v>
      </c>
      <c r="AG4557">
        <v>-1.120585194689</v>
      </c>
      <c r="AH4557">
        <v>19.950563324514899</v>
      </c>
      <c r="AI4557">
        <v>93.2145870422532</v>
      </c>
      <c r="AJ4557">
        <v>90.686078627984102</v>
      </c>
      <c r="AK4557">
        <v>19.983437248205799</v>
      </c>
      <c r="AL4557">
        <v>96.248306766241697</v>
      </c>
      <c r="AM4557">
        <v>90.075969038754593</v>
      </c>
      <c r="AN4557">
        <v>1.0000000188314599</v>
      </c>
    </row>
    <row r="4558" spans="1:40" x14ac:dyDescent="0.25">
      <c r="A4558" t="str">
        <f>"20190303154606003"</f>
        <v>20190303154606003</v>
      </c>
      <c r="B4558" t="str">
        <f>"1551599165995435"</f>
        <v>1551599165995435</v>
      </c>
      <c r="C4558" t="s">
        <v>40</v>
      </c>
      <c r="D4558">
        <v>5.1223049999999999</v>
      </c>
      <c r="E4558">
        <v>0.49593310000000002</v>
      </c>
      <c r="F4558" t="s">
        <v>41</v>
      </c>
      <c r="G4558">
        <v>-384.14550000000003</v>
      </c>
      <c r="H4558" s="1">
        <v>-2.9778730000000002E-6</v>
      </c>
      <c r="I4558">
        <v>141.43520000000001</v>
      </c>
      <c r="J4558">
        <v>-363.9391</v>
      </c>
      <c r="K4558">
        <v>1.1206160000000001</v>
      </c>
      <c r="L4558">
        <v>141.80629999999999</v>
      </c>
      <c r="M4558">
        <v>-0.99990970000000001</v>
      </c>
      <c r="N4558">
        <v>-1.1831120000000001E-2</v>
      </c>
      <c r="O4558">
        <v>-6.392109E-3</v>
      </c>
      <c r="P4558">
        <v>-0.99266810000000005</v>
      </c>
      <c r="Q4558">
        <v>-0.1206091</v>
      </c>
      <c r="R4558">
        <v>-7.9723880000000004E-3</v>
      </c>
      <c r="S4558">
        <v>-3.00177</v>
      </c>
      <c r="T4558">
        <v>-0.1639901</v>
      </c>
      <c r="U4558">
        <v>-5.4595949999999997E-2</v>
      </c>
      <c r="V4558">
        <v>-1.6043279999999999E-3</v>
      </c>
      <c r="W4558">
        <v>-0.1088563</v>
      </c>
      <c r="X4558">
        <v>0.99405619999999995</v>
      </c>
      <c r="Y4558">
        <v>-1.177753E-2</v>
      </c>
      <c r="Z4558">
        <v>-1.178528E-4</v>
      </c>
      <c r="AA4558">
        <v>0.9999306</v>
      </c>
      <c r="AB4558">
        <v>31</v>
      </c>
      <c r="AC4558">
        <v>-20.206399999999999</v>
      </c>
      <c r="AD4558">
        <v>-1.120618977873</v>
      </c>
      <c r="AE4558">
        <v>-0.371099999999984</v>
      </c>
      <c r="AF4558">
        <v>-0.24118034301392799</v>
      </c>
      <c r="AG4558">
        <v>-1.120618977873</v>
      </c>
      <c r="AH4558">
        <v>20.146416811134799</v>
      </c>
      <c r="AI4558">
        <v>93.1834969169999</v>
      </c>
      <c r="AJ4558">
        <v>90.685876590833303</v>
      </c>
      <c r="AK4558">
        <v>20.179000599122901</v>
      </c>
      <c r="AL4558">
        <v>96.249390493631097</v>
      </c>
      <c r="AM4558">
        <v>90.092470771315007</v>
      </c>
      <c r="AN4558">
        <v>0.99999999833822995</v>
      </c>
    </row>
    <row r="4559" spans="1:40" x14ac:dyDescent="0.25">
      <c r="A4559" t="str">
        <f>"20190303154606024"</f>
        <v>20190303154606024</v>
      </c>
      <c r="B4559" t="str">
        <f>"1551599166015931"</f>
        <v>1551599166015931</v>
      </c>
      <c r="C4559" t="s">
        <v>40</v>
      </c>
      <c r="D4559">
        <v>5.072711</v>
      </c>
      <c r="E4559">
        <v>0.4959596</v>
      </c>
      <c r="F4559" t="s">
        <v>41</v>
      </c>
      <c r="G4559">
        <v>-384.41640000000001</v>
      </c>
      <c r="H4559" s="1">
        <v>-2.8595439999999998E-6</v>
      </c>
      <c r="I4559">
        <v>141.4272</v>
      </c>
      <c r="J4559">
        <v>-364.23930000000001</v>
      </c>
      <c r="K4559">
        <v>1.1206529999999999</v>
      </c>
      <c r="L4559">
        <v>141.80430000000001</v>
      </c>
      <c r="M4559">
        <v>-0.99990619999999997</v>
      </c>
      <c r="N4559">
        <v>-1.206201E-2</v>
      </c>
      <c r="O4559">
        <v>-6.4988190000000003E-3</v>
      </c>
      <c r="P4559">
        <v>-0.99254699999999996</v>
      </c>
      <c r="Q4559">
        <v>-0.1215712</v>
      </c>
      <c r="R4559">
        <v>-8.4387890000000004E-3</v>
      </c>
      <c r="S4559">
        <v>-3.0017399999999999</v>
      </c>
      <c r="T4559">
        <v>-0.16427079999999999</v>
      </c>
      <c r="U4559">
        <v>-5.5557250000000002E-2</v>
      </c>
      <c r="V4559">
        <v>-1.9663060000000001E-3</v>
      </c>
      <c r="W4559">
        <v>-0.1095903</v>
      </c>
      <c r="X4559">
        <v>0.99397489999999999</v>
      </c>
      <c r="Y4559">
        <v>-1.199063E-2</v>
      </c>
      <c r="Z4559">
        <v>-1.2320699999999999E-4</v>
      </c>
      <c r="AA4559">
        <v>0.99992809999999999</v>
      </c>
      <c r="AB4559">
        <v>31</v>
      </c>
      <c r="AC4559">
        <v>-20.177099999999999</v>
      </c>
      <c r="AD4559">
        <v>-1.1206558595439999</v>
      </c>
      <c r="AE4559">
        <v>-0.37710000000001198</v>
      </c>
      <c r="AF4559">
        <v>-0.245199057436366</v>
      </c>
      <c r="AG4559">
        <v>-1.1206558595439999</v>
      </c>
      <c r="AH4559">
        <v>20.117089198150499</v>
      </c>
      <c r="AI4559">
        <v>93.188224761036494</v>
      </c>
      <c r="AJ4559">
        <v>90.698320484964</v>
      </c>
      <c r="AK4559">
        <v>20.149770964942601</v>
      </c>
      <c r="AL4559">
        <v>96.291698699905396</v>
      </c>
      <c r="AM4559">
        <v>90.113343795773901</v>
      </c>
      <c r="AN4559">
        <v>1.0000000010216901</v>
      </c>
    </row>
    <row r="4560" spans="1:40" x14ac:dyDescent="0.25">
      <c r="A4560" t="str">
        <f>"20190303154606047"</f>
        <v>20190303154606047</v>
      </c>
      <c r="B4560" t="str">
        <f>"1551599166035453"</f>
        <v>1551599166035453</v>
      </c>
      <c r="C4560" t="s">
        <v>40</v>
      </c>
      <c r="D4560">
        <v>5.0169969999999999</v>
      </c>
      <c r="E4560">
        <v>0.49598710000000001</v>
      </c>
      <c r="F4560" t="s">
        <v>41</v>
      </c>
      <c r="G4560">
        <v>-384.40039999999999</v>
      </c>
      <c r="H4560" s="1">
        <v>-2.865656E-6</v>
      </c>
      <c r="I4560">
        <v>141.42439999999999</v>
      </c>
      <c r="J4560">
        <v>-364.55169999999998</v>
      </c>
      <c r="K4560">
        <v>1.1206860000000001</v>
      </c>
      <c r="L4560">
        <v>141.8021</v>
      </c>
      <c r="M4560">
        <v>-0.99990250000000003</v>
      </c>
      <c r="N4560">
        <v>-1.230069E-2</v>
      </c>
      <c r="O4560">
        <v>-6.6116889999999996E-3</v>
      </c>
      <c r="P4560">
        <v>-0.9923862</v>
      </c>
      <c r="Q4560">
        <v>-0.122879</v>
      </c>
      <c r="R4560">
        <v>-8.4182739999999999E-3</v>
      </c>
      <c r="S4560">
        <v>-3.0015869999999998</v>
      </c>
      <c r="T4560">
        <v>-0.1668441</v>
      </c>
      <c r="U4560">
        <v>-5.6533809999999997E-2</v>
      </c>
      <c r="V4560">
        <v>-1.8357460000000001E-3</v>
      </c>
      <c r="W4560">
        <v>-0.1106626</v>
      </c>
      <c r="X4560">
        <v>0.99385639999999997</v>
      </c>
      <c r="Y4560">
        <v>-1.220306E-2</v>
      </c>
      <c r="Z4560">
        <v>-1.280849E-4</v>
      </c>
      <c r="AA4560">
        <v>0.99992559999999997</v>
      </c>
      <c r="AB4560">
        <v>31</v>
      </c>
      <c r="AC4560">
        <v>-19.848700000000001</v>
      </c>
      <c r="AD4560">
        <v>-1.1206888656559999</v>
      </c>
      <c r="AE4560">
        <v>-0.37770000000000398</v>
      </c>
      <c r="AF4560">
        <v>-0.24566550845250901</v>
      </c>
      <c r="AG4560">
        <v>-1.1206888656559999</v>
      </c>
      <c r="AH4560">
        <v>19.7877049379086</v>
      </c>
      <c r="AI4560">
        <v>93.241269670882104</v>
      </c>
      <c r="AJ4560">
        <v>90.711293894003205</v>
      </c>
      <c r="AK4560">
        <v>19.8209374598019</v>
      </c>
      <c r="AL4560">
        <v>96.353512555584103</v>
      </c>
      <c r="AM4560">
        <v>90.105830559064202</v>
      </c>
      <c r="AN4560">
        <v>1.0000000624115399</v>
      </c>
    </row>
    <row r="4561" spans="1:40" x14ac:dyDescent="0.25">
      <c r="A4561" t="str">
        <f>"20190303154606069"</f>
        <v>20190303154606069</v>
      </c>
      <c r="B4561" t="str">
        <f>"1551599166065707"</f>
        <v>1551599166065707</v>
      </c>
      <c r="C4561" t="s">
        <v>40</v>
      </c>
      <c r="D4561">
        <v>5.0119749999999996</v>
      </c>
      <c r="E4561">
        <v>0.4960946</v>
      </c>
      <c r="F4561" t="s">
        <v>41</v>
      </c>
      <c r="G4561">
        <v>-384.27420000000001</v>
      </c>
      <c r="H4561" s="1">
        <v>-2.9222039999999998E-6</v>
      </c>
      <c r="I4561">
        <v>141.43350000000001</v>
      </c>
      <c r="J4561">
        <v>-364.86219999999997</v>
      </c>
      <c r="K4561">
        <v>1.120717</v>
      </c>
      <c r="L4561">
        <v>141.79990000000001</v>
      </c>
      <c r="M4561">
        <v>-0.99989899999999998</v>
      </c>
      <c r="N4561">
        <v>-1.2525339999999999E-2</v>
      </c>
      <c r="O4561">
        <v>-6.7223869999999998E-3</v>
      </c>
      <c r="P4561">
        <v>-0.99233280000000001</v>
      </c>
      <c r="Q4561">
        <v>-0.1232979</v>
      </c>
      <c r="R4561">
        <v>-8.5791369999999902E-3</v>
      </c>
      <c r="S4561">
        <v>-3.0014340000000002</v>
      </c>
      <c r="T4561">
        <v>-0.1705506</v>
      </c>
      <c r="U4561">
        <v>-5.6076050000000002E-2</v>
      </c>
      <c r="V4561">
        <v>-1.8873609999999999E-3</v>
      </c>
      <c r="W4561">
        <v>-0.11085879999999999</v>
      </c>
      <c r="X4561">
        <v>0.99383440000000001</v>
      </c>
      <c r="Y4561">
        <v>-1.194074E-2</v>
      </c>
      <c r="Z4561">
        <v>-1.1632340000000001E-4</v>
      </c>
      <c r="AA4561">
        <v>0.9999287</v>
      </c>
      <c r="AB4561">
        <v>31</v>
      </c>
      <c r="AC4561">
        <v>-19.411999999999999</v>
      </c>
      <c r="AD4561">
        <v>-1.1207199222040001</v>
      </c>
      <c r="AE4561">
        <v>-0.36639999999999801</v>
      </c>
      <c r="AF4561">
        <v>-0.23510315852531999</v>
      </c>
      <c r="AG4561">
        <v>-1.1207199222040001</v>
      </c>
      <c r="AH4561">
        <v>19.349552774250899</v>
      </c>
      <c r="AI4561">
        <v>93.314605699238797</v>
      </c>
      <c r="AJ4561">
        <v>90.6961275058691</v>
      </c>
      <c r="AK4561">
        <v>19.3834073166379</v>
      </c>
      <c r="AL4561">
        <v>96.364823820566002</v>
      </c>
      <c r="AM4561">
        <v>90.108808559775497</v>
      </c>
      <c r="AN4561">
        <v>1.00000002514617</v>
      </c>
    </row>
    <row r="4562" spans="1:40" x14ac:dyDescent="0.25">
      <c r="A4562" t="str">
        <f>"20190303154606091"</f>
        <v>20190303154606091</v>
      </c>
      <c r="B4562" t="str">
        <f>"1551599166085228"</f>
        <v>1551599166085228</v>
      </c>
      <c r="C4562" t="s">
        <v>40</v>
      </c>
      <c r="D4562">
        <v>4.9937019999999999</v>
      </c>
      <c r="E4562">
        <v>0.49617339999999999</v>
      </c>
      <c r="F4562" t="s">
        <v>41</v>
      </c>
      <c r="G4562">
        <v>-384.51369999999997</v>
      </c>
      <c r="H4562" s="1">
        <v>-2.820095E-6</v>
      </c>
      <c r="I4562">
        <v>141.4359</v>
      </c>
      <c r="J4562">
        <v>-365.16160000000002</v>
      </c>
      <c r="K4562">
        <v>1.1207450000000001</v>
      </c>
      <c r="L4562">
        <v>141.7978</v>
      </c>
      <c r="M4562">
        <v>-0.9998958</v>
      </c>
      <c r="N4562">
        <v>-1.2727830000000001E-2</v>
      </c>
      <c r="O4562">
        <v>-6.8265560000000001E-3</v>
      </c>
      <c r="P4562">
        <v>-0.99240550000000005</v>
      </c>
      <c r="Q4562">
        <v>-0.12272420000000001</v>
      </c>
      <c r="R4562">
        <v>-8.3924900000000007E-3</v>
      </c>
      <c r="S4562">
        <v>-3.0014340000000002</v>
      </c>
      <c r="T4562">
        <v>-0.1711715</v>
      </c>
      <c r="U4562">
        <v>-5.5587770000000002E-2</v>
      </c>
      <c r="V4562">
        <v>-1.5965269999999999E-3</v>
      </c>
      <c r="W4562">
        <v>-0.110083</v>
      </c>
      <c r="X4562">
        <v>0.9939211</v>
      </c>
      <c r="Y4562">
        <v>-1.167435E-2</v>
      </c>
      <c r="Z4562">
        <v>-1.0484270000000001E-4</v>
      </c>
      <c r="AA4562">
        <v>0.99993189999999998</v>
      </c>
      <c r="AB4562">
        <v>31</v>
      </c>
      <c r="AC4562">
        <v>-19.352099999999901</v>
      </c>
      <c r="AD4562">
        <v>-1.1207478200950001</v>
      </c>
      <c r="AE4562">
        <v>-0.36189999999999101</v>
      </c>
      <c r="AF4562">
        <v>-0.22900487582156601</v>
      </c>
      <c r="AG4562">
        <v>-1.1207478200950001</v>
      </c>
      <c r="AH4562">
        <v>19.289446060090601</v>
      </c>
      <c r="AI4562">
        <v>93.325004679958298</v>
      </c>
      <c r="AJ4562">
        <v>90.680185238928402</v>
      </c>
      <c r="AK4562">
        <v>19.323334293401398</v>
      </c>
      <c r="AL4562">
        <v>96.320100274961106</v>
      </c>
      <c r="AM4562">
        <v>90.092033643621903</v>
      </c>
      <c r="AN4562">
        <v>0.99999998440633497</v>
      </c>
    </row>
    <row r="4563" spans="1:40" x14ac:dyDescent="0.25">
      <c r="A4563" t="str">
        <f>"20190303154606114"</f>
        <v>20190303154606114</v>
      </c>
      <c r="B4563" t="str">
        <f>"1551599166105723"</f>
        <v>1551599166105723</v>
      </c>
      <c r="C4563" t="s">
        <v>40</v>
      </c>
      <c r="D4563">
        <v>4.9737960000000001</v>
      </c>
      <c r="E4563">
        <v>0.49625370000000002</v>
      </c>
      <c r="F4563" t="s">
        <v>41</v>
      </c>
      <c r="G4563">
        <v>-385.0883</v>
      </c>
      <c r="H4563" s="1">
        <v>-2.5738790000000001E-6</v>
      </c>
      <c r="I4563">
        <v>141.43690000000001</v>
      </c>
      <c r="J4563">
        <v>-365.47680000000003</v>
      </c>
      <c r="K4563">
        <v>1.120765</v>
      </c>
      <c r="L4563">
        <v>141.7955</v>
      </c>
      <c r="M4563">
        <v>-0.99989249999999996</v>
      </c>
      <c r="N4563">
        <v>-1.2924069999999999E-2</v>
      </c>
      <c r="O4563">
        <v>-6.9341709999999898E-3</v>
      </c>
      <c r="P4563">
        <v>-0.99250020000000005</v>
      </c>
      <c r="Q4563">
        <v>-0.1219799</v>
      </c>
      <c r="R4563">
        <v>-8.0221759999999902E-3</v>
      </c>
      <c r="S4563">
        <v>-3.001617</v>
      </c>
      <c r="T4563">
        <v>-0.16882179999999999</v>
      </c>
      <c r="U4563">
        <v>-5.435181E-2</v>
      </c>
      <c r="V4563">
        <v>-1.118913E-3</v>
      </c>
      <c r="W4563">
        <v>-0.1091423</v>
      </c>
      <c r="X4563">
        <v>0.99402550000000001</v>
      </c>
      <c r="Y4563">
        <v>-1.115531E-2</v>
      </c>
      <c r="Z4563" s="1">
        <v>-8.5505960000000002E-5</v>
      </c>
      <c r="AA4563">
        <v>0.99993779999999999</v>
      </c>
      <c r="AB4563">
        <v>31</v>
      </c>
      <c r="AC4563">
        <v>-19.6114999999999</v>
      </c>
      <c r="AD4563">
        <v>-1.1207675738789999</v>
      </c>
      <c r="AE4563">
        <v>-0.35859999999999498</v>
      </c>
      <c r="AF4563">
        <v>-0.22186617096165401</v>
      </c>
      <c r="AG4563">
        <v>-1.1207675738789999</v>
      </c>
      <c r="AH4563">
        <v>19.5496882717689</v>
      </c>
      <c r="AI4563">
        <v>93.280917691817393</v>
      </c>
      <c r="AJ4563">
        <v>90.650212388389704</v>
      </c>
      <c r="AK4563">
        <v>19.5830451175453</v>
      </c>
      <c r="AL4563">
        <v>96.265875332487795</v>
      </c>
      <c r="AM4563">
        <v>90.064494286580796</v>
      </c>
      <c r="AN4563">
        <v>0.99999999413291996</v>
      </c>
    </row>
    <row r="4564" spans="1:40" x14ac:dyDescent="0.25">
      <c r="A4564" t="str">
        <f>"20190303154606161"</f>
        <v>20190303154606161</v>
      </c>
      <c r="B4564" t="str">
        <f>"1551599166155499"</f>
        <v>1551599166155499</v>
      </c>
      <c r="C4564" t="s">
        <v>40</v>
      </c>
      <c r="D4564">
        <v>4.973706</v>
      </c>
      <c r="E4564">
        <v>0.49643019999999999</v>
      </c>
      <c r="F4564" t="s">
        <v>41</v>
      </c>
      <c r="G4564">
        <v>-385.75569999999999</v>
      </c>
      <c r="H4564" s="1">
        <v>-2.2886769999999998E-6</v>
      </c>
      <c r="I4564">
        <v>141.44110000000001</v>
      </c>
      <c r="J4564">
        <v>-366.11630000000002</v>
      </c>
      <c r="K4564">
        <v>1.1207940000000001</v>
      </c>
      <c r="L4564">
        <v>141.79079999999999</v>
      </c>
      <c r="M4564">
        <v>-0.99988650000000001</v>
      </c>
      <c r="N4564">
        <v>-1.3263570000000001E-2</v>
      </c>
      <c r="O4564">
        <v>-7.1543249999999996E-3</v>
      </c>
      <c r="P4564">
        <v>-0.99248289999999995</v>
      </c>
      <c r="Q4564">
        <v>-0.12215719999999999</v>
      </c>
      <c r="R4564">
        <v>-7.4381569999999999E-3</v>
      </c>
      <c r="S4564">
        <v>-3.001862</v>
      </c>
      <c r="T4564">
        <v>-0.165907</v>
      </c>
      <c r="U4564">
        <v>-5.2459720000000001E-2</v>
      </c>
      <c r="V4564">
        <v>-3.164563E-4</v>
      </c>
      <c r="W4564">
        <v>-0.1089823</v>
      </c>
      <c r="X4564">
        <v>0.99404360000000003</v>
      </c>
      <c r="Y4564">
        <v>-1.030555E-2</v>
      </c>
      <c r="Z4564" s="1">
        <v>-5.2732689999999997E-5</v>
      </c>
      <c r="AA4564">
        <v>0.99994689999999997</v>
      </c>
      <c r="AB4564">
        <v>31</v>
      </c>
      <c r="AC4564">
        <v>-19.639399999999899</v>
      </c>
      <c r="AD4564">
        <v>-1.120796288677</v>
      </c>
      <c r="AE4564">
        <v>-0.34969999999998402</v>
      </c>
      <c r="AF4564">
        <v>-0.20849323128667599</v>
      </c>
      <c r="AG4564">
        <v>-1.120796288677</v>
      </c>
      <c r="AH4564">
        <v>19.5776582111247</v>
      </c>
      <c r="AI4564">
        <v>93.2763494722942</v>
      </c>
      <c r="AJ4564">
        <v>90.610151148302194</v>
      </c>
      <c r="AK4564">
        <v>19.610822389176398</v>
      </c>
      <c r="AL4564">
        <v>96.256653208345199</v>
      </c>
      <c r="AM4564">
        <v>90.018240256038794</v>
      </c>
      <c r="AN4564">
        <v>0.99999996027941895</v>
      </c>
    </row>
    <row r="4565" spans="1:40" x14ac:dyDescent="0.25">
      <c r="A4565" t="str">
        <f>"20190303154606180"</f>
        <v>20190303154606180</v>
      </c>
      <c r="B4565" t="str">
        <f>"1551599166175996"</f>
        <v>1551599166175996</v>
      </c>
      <c r="C4565" t="s">
        <v>40</v>
      </c>
      <c r="D4565">
        <v>4.9753230000000004</v>
      </c>
      <c r="E4565">
        <v>0.4964385</v>
      </c>
      <c r="F4565" t="s">
        <v>41</v>
      </c>
      <c r="G4565">
        <v>-386.51830000000001</v>
      </c>
      <c r="H4565" s="1">
        <v>-1.9652829999999998E-6</v>
      </c>
      <c r="I4565">
        <v>141.45529999999999</v>
      </c>
      <c r="J4565">
        <v>-366.39760000000001</v>
      </c>
      <c r="K4565">
        <v>1.1208020000000001</v>
      </c>
      <c r="L4565">
        <v>141.78870000000001</v>
      </c>
      <c r="M4565">
        <v>-0.9998842</v>
      </c>
      <c r="N4565">
        <v>-1.338782E-2</v>
      </c>
      <c r="O4565">
        <v>-7.2527800000000003E-3</v>
      </c>
      <c r="P4565">
        <v>-0.99247759999999996</v>
      </c>
      <c r="Q4565">
        <v>-0.122231199999999</v>
      </c>
      <c r="R4565">
        <v>-6.9238249999999998E-3</v>
      </c>
      <c r="S4565">
        <v>-3.002014</v>
      </c>
      <c r="T4565">
        <v>-0.1649176</v>
      </c>
      <c r="U4565">
        <v>-4.9362179999999999E-2</v>
      </c>
      <c r="V4565">
        <v>2.9556109999999999E-4</v>
      </c>
      <c r="W4565">
        <v>-0.1089328</v>
      </c>
      <c r="X4565">
        <v>0.99404910000000002</v>
      </c>
      <c r="Y4565">
        <v>-9.1769569999999995E-3</v>
      </c>
      <c r="Z4565" s="1">
        <v>-1.230129E-5</v>
      </c>
      <c r="AA4565">
        <v>0.99995789999999996</v>
      </c>
      <c r="AB4565">
        <v>31</v>
      </c>
      <c r="AC4565">
        <v>-20.120699999999999</v>
      </c>
      <c r="AD4565">
        <v>-1.120803965283</v>
      </c>
      <c r="AE4565">
        <v>-0.33340000000001102</v>
      </c>
      <c r="AF4565">
        <v>-0.18686747838023399</v>
      </c>
      <c r="AG4565">
        <v>-1.120803965283</v>
      </c>
      <c r="AH4565">
        <v>20.060360014455799</v>
      </c>
      <c r="AI4565">
        <v>93.197742381609004</v>
      </c>
      <c r="AJ4565">
        <v>90.533709672175604</v>
      </c>
      <c r="AK4565">
        <v>20.092515146010101</v>
      </c>
      <c r="AL4565">
        <v>96.253799657196794</v>
      </c>
      <c r="AM4565">
        <v>89.982964218649499</v>
      </c>
      <c r="AN4565">
        <v>1.0000000277415</v>
      </c>
    </row>
    <row r="4566" spans="1:40" x14ac:dyDescent="0.25">
      <c r="A4566" t="str">
        <f>"20190303154606204"</f>
        <v>20190303154606204</v>
      </c>
      <c r="B4566" t="str">
        <f>"1551599166195516"</f>
        <v>1551599166195516</v>
      </c>
      <c r="C4566" t="s">
        <v>40</v>
      </c>
      <c r="D4566">
        <v>4.9169600000000004</v>
      </c>
      <c r="E4566">
        <v>0.49641420000000003</v>
      </c>
      <c r="F4566" t="s">
        <v>41</v>
      </c>
      <c r="G4566">
        <v>-386.80799999999999</v>
      </c>
      <c r="H4566" s="1">
        <v>-1.8433979999999999E-6</v>
      </c>
      <c r="I4566">
        <v>141.46420000000001</v>
      </c>
      <c r="J4566">
        <v>-366.70440000000002</v>
      </c>
      <c r="K4566">
        <v>1.120808</v>
      </c>
      <c r="L4566">
        <v>141.78639999999999</v>
      </c>
      <c r="M4566">
        <v>-0.99988169999999998</v>
      </c>
      <c r="N4566">
        <v>-1.3506819999999999E-2</v>
      </c>
      <c r="O4566">
        <v>-7.3605060000000002E-3</v>
      </c>
      <c r="P4566">
        <v>-0.99247079999999999</v>
      </c>
      <c r="Q4566">
        <v>-0.1222902</v>
      </c>
      <c r="R4566">
        <v>-6.8649879999999998E-3</v>
      </c>
      <c r="S4566">
        <v>-3.0021059999999999</v>
      </c>
      <c r="T4566">
        <v>-0.1648568</v>
      </c>
      <c r="U4566">
        <v>-4.7729489999999999E-2</v>
      </c>
      <c r="V4566">
        <v>4.6127739999999998E-4</v>
      </c>
      <c r="W4566">
        <v>-0.108873499999999</v>
      </c>
      <c r="X4566">
        <v>0.99405549999999998</v>
      </c>
      <c r="Y4566">
        <v>-8.5262800000000007E-3</v>
      </c>
      <c r="Z4566" s="1">
        <v>1.293773E-5</v>
      </c>
      <c r="AA4566">
        <v>0.99996359999999995</v>
      </c>
      <c r="AB4566">
        <v>31</v>
      </c>
      <c r="AC4566">
        <v>-20.1036</v>
      </c>
      <c r="AD4566">
        <v>-1.120809843398</v>
      </c>
      <c r="AE4566">
        <v>-0.32219999999998</v>
      </c>
      <c r="AF4566">
        <v>-0.17366544699660699</v>
      </c>
      <c r="AG4566">
        <v>-1.120809843398</v>
      </c>
      <c r="AH4566">
        <v>20.043143946392401</v>
      </c>
      <c r="AI4566">
        <v>93.200518807742995</v>
      </c>
      <c r="AJ4566">
        <v>90.496431507547499</v>
      </c>
      <c r="AK4566">
        <v>20.075208433496901</v>
      </c>
      <c r="AL4566">
        <v>96.250381897778496</v>
      </c>
      <c r="AM4566">
        <v>89.973412705520204</v>
      </c>
      <c r="AN4566">
        <v>0.99999999442966903</v>
      </c>
    </row>
    <row r="4567" spans="1:40" x14ac:dyDescent="0.25">
      <c r="A4567" t="str">
        <f>"20190303154606225"</f>
        <v>20190303154606225</v>
      </c>
      <c r="B4567" t="str">
        <f>"1551599166216012"</f>
        <v>1551599166216012</v>
      </c>
      <c r="C4567" t="s">
        <v>40</v>
      </c>
      <c r="D4567">
        <v>4.9202159999999999</v>
      </c>
      <c r="E4567">
        <v>0.4964326</v>
      </c>
      <c r="F4567" t="s">
        <v>41</v>
      </c>
      <c r="G4567">
        <v>-387.07150000000001</v>
      </c>
      <c r="H4567" s="1">
        <v>-1.730063E-6</v>
      </c>
      <c r="I4567">
        <v>141.4631</v>
      </c>
      <c r="J4567">
        <v>-366.99880000000002</v>
      </c>
      <c r="K4567">
        <v>1.1208049999999901</v>
      </c>
      <c r="L4567">
        <v>141.7841</v>
      </c>
      <c r="M4567">
        <v>-0.99987950000000003</v>
      </c>
      <c r="N4567">
        <v>-1.3607269999999999E-2</v>
      </c>
      <c r="O4567">
        <v>-7.4637030000000004E-3</v>
      </c>
      <c r="P4567">
        <v>-0.99254070000000005</v>
      </c>
      <c r="Q4567">
        <v>-0.12169149999999999</v>
      </c>
      <c r="R4567">
        <v>-7.3668650000000002E-3</v>
      </c>
      <c r="S4567">
        <v>-3.002075</v>
      </c>
      <c r="T4567">
        <v>-0.16520609999999999</v>
      </c>
      <c r="U4567">
        <v>-4.7637939999999997E-2</v>
      </c>
      <c r="V4567" s="1">
        <v>6.2179430000000005E-5</v>
      </c>
      <c r="W4567">
        <v>-0.1081741</v>
      </c>
      <c r="X4567">
        <v>0.99413200000000002</v>
      </c>
      <c r="Y4567">
        <v>-8.3929980000000005E-3</v>
      </c>
      <c r="Z4567" s="1">
        <v>2.097381E-5</v>
      </c>
      <c r="AA4567">
        <v>0.99996479999999999</v>
      </c>
      <c r="AB4567">
        <v>31</v>
      </c>
      <c r="AC4567">
        <v>-20.072700000000001</v>
      </c>
      <c r="AD4567">
        <v>-1.12080673006299</v>
      </c>
      <c r="AE4567">
        <v>-0.32099999999999701</v>
      </c>
      <c r="AF4567">
        <v>-0.17062865323384899</v>
      </c>
      <c r="AG4567">
        <v>-1.12080673006299</v>
      </c>
      <c r="AH4567">
        <v>20.0121586772336</v>
      </c>
      <c r="AI4567">
        <v>93.205458833978298</v>
      </c>
      <c r="AJ4567">
        <v>90.488506260616006</v>
      </c>
      <c r="AK4567">
        <v>20.044246475890098</v>
      </c>
      <c r="AL4567">
        <v>96.2100708842963</v>
      </c>
      <c r="AM4567">
        <v>89.996416352248104</v>
      </c>
      <c r="AN4567">
        <v>1.0000000366005399</v>
      </c>
    </row>
    <row r="4568" spans="1:40" x14ac:dyDescent="0.25">
      <c r="A4568" t="str">
        <f>"20190303154606248"</f>
        <v>20190303154606248</v>
      </c>
      <c r="B4568" t="str">
        <f>"1551599166235531"</f>
        <v>1551599166235531</v>
      </c>
      <c r="C4568" t="s">
        <v>40</v>
      </c>
      <c r="D4568">
        <v>4.9178870000000003</v>
      </c>
      <c r="E4568">
        <v>0.4964442</v>
      </c>
      <c r="F4568" t="s">
        <v>41</v>
      </c>
      <c r="G4568">
        <v>-387.64589999999998</v>
      </c>
      <c r="H4568" s="1">
        <v>-1.479502E-6</v>
      </c>
      <c r="I4568">
        <v>141.44749999999999</v>
      </c>
      <c r="J4568">
        <v>-367.30470000000003</v>
      </c>
      <c r="K4568">
        <v>1.120808</v>
      </c>
      <c r="L4568">
        <v>141.7817</v>
      </c>
      <c r="M4568">
        <v>-0.99987749999999997</v>
      </c>
      <c r="N4568">
        <v>-1.3698119999999999E-2</v>
      </c>
      <c r="O4568">
        <v>-7.5706549999999999E-3</v>
      </c>
      <c r="P4568">
        <v>-0.99254200000000004</v>
      </c>
      <c r="Q4568">
        <v>-0.12162240000000001</v>
      </c>
      <c r="R4568">
        <v>-8.2687200000000002E-3</v>
      </c>
      <c r="S4568">
        <v>-3.002167</v>
      </c>
      <c r="T4568">
        <v>-0.1629707</v>
      </c>
      <c r="U4568">
        <v>-4.8934940000000003E-2</v>
      </c>
      <c r="V4568">
        <v>-7.3365149999999896E-4</v>
      </c>
      <c r="W4568">
        <v>-0.10801470000000001</v>
      </c>
      <c r="X4568">
        <v>0.99414899999999995</v>
      </c>
      <c r="Y4568">
        <v>-8.7170359999999992E-3</v>
      </c>
      <c r="Z4568" s="1">
        <v>1.08073399999999E-5</v>
      </c>
      <c r="AA4568">
        <v>0.99996200000000002</v>
      </c>
      <c r="AB4568">
        <v>31</v>
      </c>
      <c r="AC4568">
        <v>-20.341199999999901</v>
      </c>
      <c r="AD4568">
        <v>-1.1208094795020001</v>
      </c>
      <c r="AE4568">
        <v>-0.33420000000000899</v>
      </c>
      <c r="AF4568">
        <v>-0.179634526840693</v>
      </c>
      <c r="AG4568">
        <v>-1.1208094795020001</v>
      </c>
      <c r="AH4568">
        <v>20.281587791832401</v>
      </c>
      <c r="AI4568">
        <v>93.162961885027997</v>
      </c>
      <c r="AJ4568">
        <v>90.507456873107003</v>
      </c>
      <c r="AK4568">
        <v>20.313327787695901</v>
      </c>
      <c r="AL4568">
        <v>96.200884498823996</v>
      </c>
      <c r="AM4568">
        <v>90.042282521988795</v>
      </c>
      <c r="AN4568">
        <v>0.99999997393080597</v>
      </c>
    </row>
    <row r="4569" spans="1:40" x14ac:dyDescent="0.25">
      <c r="A4569" t="str">
        <f>"20190303154606270"</f>
        <v>20190303154606270</v>
      </c>
      <c r="B4569" t="str">
        <f>"1551599166265788"</f>
        <v>1551599166265788</v>
      </c>
      <c r="C4569" t="s">
        <v>40</v>
      </c>
      <c r="D4569">
        <v>4.8270030000000004</v>
      </c>
      <c r="E4569">
        <v>0.49642019999999998</v>
      </c>
      <c r="F4569" t="s">
        <v>41</v>
      </c>
      <c r="G4569">
        <v>-388.02370000000002</v>
      </c>
      <c r="H4569" s="1">
        <v>-1.31155E-6</v>
      </c>
      <c r="I4569">
        <v>141.4254</v>
      </c>
      <c r="J4569">
        <v>-367.61680000000001</v>
      </c>
      <c r="K4569">
        <v>1.120814</v>
      </c>
      <c r="L4569">
        <v>141.77930000000001</v>
      </c>
      <c r="M4569">
        <v>-0.99987550000000003</v>
      </c>
      <c r="N4569">
        <v>-1.377857E-2</v>
      </c>
      <c r="O4569">
        <v>-7.6793269999999997E-3</v>
      </c>
      <c r="P4569">
        <v>-0.99242059999999999</v>
      </c>
      <c r="Q4569">
        <v>-0.1225615</v>
      </c>
      <c r="R4569">
        <v>-8.9360769999999902E-3</v>
      </c>
      <c r="S4569">
        <v>-3.0022280000000001</v>
      </c>
      <c r="T4569">
        <v>-0.16240889999999999</v>
      </c>
      <c r="U4569">
        <v>-5.1620480000000003E-2</v>
      </c>
      <c r="V4569">
        <v>-1.293853E-3</v>
      </c>
      <c r="W4569">
        <v>-0.1088755</v>
      </c>
      <c r="X4569">
        <v>0.99405460000000001</v>
      </c>
      <c r="Y4569">
        <v>-9.5008939999999993E-3</v>
      </c>
      <c r="Z4569" s="1">
        <v>-1.2970819999999999E-5</v>
      </c>
      <c r="AA4569">
        <v>0.99995489999999998</v>
      </c>
      <c r="AB4569">
        <v>31</v>
      </c>
      <c r="AC4569">
        <v>-20.4069</v>
      </c>
      <c r="AD4569">
        <v>-1.1208153115499999</v>
      </c>
      <c r="AE4569">
        <v>-0.35390000000000998</v>
      </c>
      <c r="AF4569">
        <v>-0.19657062231396</v>
      </c>
      <c r="AG4569">
        <v>-1.1208153115499999</v>
      </c>
      <c r="AH4569">
        <v>20.347654372119798</v>
      </c>
      <c r="AI4569">
        <v>93.152705813232998</v>
      </c>
      <c r="AJ4569">
        <v>90.553494593392003</v>
      </c>
      <c r="AK4569">
        <v>20.3794481137102</v>
      </c>
      <c r="AL4569">
        <v>96.250496837367706</v>
      </c>
      <c r="AM4569">
        <v>90.074575656454698</v>
      </c>
      <c r="AN4569">
        <v>1.0000000481684901</v>
      </c>
    </row>
    <row r="4570" spans="1:40" x14ac:dyDescent="0.25">
      <c r="A4570" t="str">
        <f>"20190303154606292"</f>
        <v>20190303154606292</v>
      </c>
      <c r="B4570" t="str">
        <f>"1551599166285307"</f>
        <v>1551599166285307</v>
      </c>
      <c r="C4570" t="s">
        <v>40</v>
      </c>
      <c r="D4570">
        <v>4.8699579999999996</v>
      </c>
      <c r="E4570">
        <v>0.49632019999999999</v>
      </c>
      <c r="F4570" t="s">
        <v>41</v>
      </c>
      <c r="G4570">
        <v>-388.03019999999998</v>
      </c>
      <c r="H4570" s="1">
        <v>-1.305652E-6</v>
      </c>
      <c r="I4570">
        <v>141.41370000000001</v>
      </c>
      <c r="J4570">
        <v>-367.91770000000002</v>
      </c>
      <c r="K4570">
        <v>1.120816</v>
      </c>
      <c r="L4570">
        <v>141.77680000000001</v>
      </c>
      <c r="M4570">
        <v>-0.99987389999999998</v>
      </c>
      <c r="N4570">
        <v>-1.384575E-2</v>
      </c>
      <c r="O4570">
        <v>-7.7842149999999997E-3</v>
      </c>
      <c r="P4570">
        <v>-0.99236480000000005</v>
      </c>
      <c r="Q4570">
        <v>-0.1229692</v>
      </c>
      <c r="R4570">
        <v>-9.5246229999999994E-3</v>
      </c>
      <c r="S4570">
        <v>-3.0020449999999999</v>
      </c>
      <c r="T4570">
        <v>-0.16483030000000001</v>
      </c>
      <c r="U4570">
        <v>-5.3741459999999998E-2</v>
      </c>
      <c r="V4570">
        <v>-1.779164E-3</v>
      </c>
      <c r="W4570">
        <v>-0.1092171</v>
      </c>
      <c r="X4570">
        <v>0.99401629999999996</v>
      </c>
      <c r="Y4570">
        <v>-1.010199E-2</v>
      </c>
      <c r="Z4570" s="1">
        <v>-2.779208E-5</v>
      </c>
      <c r="AA4570">
        <v>0.99994899999999998</v>
      </c>
      <c r="AB4570">
        <v>31</v>
      </c>
      <c r="AC4570">
        <v>-20.112499999999901</v>
      </c>
      <c r="AD4570">
        <v>-1.1208173056520001</v>
      </c>
      <c r="AE4570">
        <v>-0.36310000000000198</v>
      </c>
      <c r="AF4570">
        <v>-0.205874828057305</v>
      </c>
      <c r="AG4570">
        <v>-1.1208173056520001</v>
      </c>
      <c r="AH4570">
        <v>20.0524637472558</v>
      </c>
      <c r="AI4570">
        <v>93.199007232703195</v>
      </c>
      <c r="AJ4570">
        <v>90.588224194153995</v>
      </c>
      <c r="AK4570">
        <v>20.0848181025492</v>
      </c>
      <c r="AL4570">
        <v>96.270186966951499</v>
      </c>
      <c r="AM4570">
        <v>90.102552120526894</v>
      </c>
      <c r="AN4570">
        <v>0.999999972511319</v>
      </c>
    </row>
    <row r="4571" spans="1:40" x14ac:dyDescent="0.25">
      <c r="A4571" t="str">
        <f>"20190303154606315"</f>
        <v>20190303154606315</v>
      </c>
      <c r="B4571" t="str">
        <f>"1551599166305803"</f>
        <v>1551599166305803</v>
      </c>
      <c r="C4571" t="s">
        <v>40</v>
      </c>
      <c r="D4571">
        <v>4.8420350000000001</v>
      </c>
      <c r="E4571">
        <v>0.4962221</v>
      </c>
      <c r="F4571" t="s">
        <v>41</v>
      </c>
      <c r="G4571">
        <v>-388.23090000000002</v>
      </c>
      <c r="H4571" s="1">
        <v>-1.214975E-6</v>
      </c>
      <c r="I4571">
        <v>141.39660000000001</v>
      </c>
      <c r="J4571">
        <v>-368.22089999999997</v>
      </c>
      <c r="K4571">
        <v>1.1208129999999901</v>
      </c>
      <c r="L4571">
        <v>141.77440000000001</v>
      </c>
      <c r="M4571">
        <v>-0.99987230000000005</v>
      </c>
      <c r="N4571">
        <v>-1.39043E-2</v>
      </c>
      <c r="O4571">
        <v>-7.8899959999999998E-3</v>
      </c>
      <c r="P4571">
        <v>-0.99235949999999995</v>
      </c>
      <c r="Q4571">
        <v>-0.1229967</v>
      </c>
      <c r="R4571">
        <v>-9.7348450000000007E-3</v>
      </c>
      <c r="S4571">
        <v>-3.002014</v>
      </c>
      <c r="T4571">
        <v>-0.16564200000000001</v>
      </c>
      <c r="U4571">
        <v>-5.6182860000000001E-2</v>
      </c>
      <c r="V4571">
        <v>-1.883921E-3</v>
      </c>
      <c r="W4571">
        <v>-0.10918650000000001</v>
      </c>
      <c r="X4571">
        <v>0.99401949999999994</v>
      </c>
      <c r="Y4571">
        <v>-1.080795E-2</v>
      </c>
      <c r="Z4571" s="1">
        <v>-4.7817810000000002E-5</v>
      </c>
      <c r="AA4571">
        <v>0.99994159999999999</v>
      </c>
      <c r="AB4571">
        <v>30</v>
      </c>
      <c r="AC4571">
        <v>-20.010000000000002</v>
      </c>
      <c r="AD4571">
        <v>-1.12081421497499</v>
      </c>
      <c r="AE4571">
        <v>-0.37780000000000702</v>
      </c>
      <c r="AF4571">
        <v>-0.219206671280508</v>
      </c>
      <c r="AG4571">
        <v>-1.12081421497499</v>
      </c>
      <c r="AH4571">
        <v>19.9497895412985</v>
      </c>
      <c r="AI4571">
        <v>93.2154034490692</v>
      </c>
      <c r="AJ4571">
        <v>90.629536048837593</v>
      </c>
      <c r="AK4571">
        <v>19.982451771775398</v>
      </c>
      <c r="AL4571">
        <v>96.268422971788297</v>
      </c>
      <c r="AM4571">
        <v>90.108590015583701</v>
      </c>
      <c r="AN4571">
        <v>1.00000000366041</v>
      </c>
    </row>
    <row r="4572" spans="1:40" x14ac:dyDescent="0.25">
      <c r="A4572" t="str">
        <f>"20190303154606339"</f>
        <v>20190303154606339</v>
      </c>
      <c r="B4572" t="str">
        <f>"1551599166336060"</f>
        <v>1551599166336060</v>
      </c>
      <c r="C4572" t="s">
        <v>40</v>
      </c>
      <c r="D4572">
        <v>4.8555739999999998</v>
      </c>
      <c r="E4572">
        <v>0.4960812</v>
      </c>
      <c r="F4572" t="s">
        <v>41</v>
      </c>
      <c r="G4572">
        <v>-388.57900000000001</v>
      </c>
      <c r="H4572" s="1">
        <v>-1.0623439999999999E-6</v>
      </c>
      <c r="I4572">
        <v>141.3843</v>
      </c>
      <c r="J4572">
        <v>-368.55509999999998</v>
      </c>
      <c r="K4572">
        <v>1.1208180000000001</v>
      </c>
      <c r="L4572">
        <v>141.77160000000001</v>
      </c>
      <c r="M4572">
        <v>-0.99987060000000005</v>
      </c>
      <c r="N4572">
        <v>-1.3959579999999999E-2</v>
      </c>
      <c r="O4572">
        <v>-8.0068420000000001E-3</v>
      </c>
      <c r="P4572">
        <v>-0.9924499</v>
      </c>
      <c r="Q4572">
        <v>-0.1222879</v>
      </c>
      <c r="R4572">
        <v>-9.4263160000000006E-3</v>
      </c>
      <c r="S4572">
        <v>-3.0020449999999999</v>
      </c>
      <c r="T4572">
        <v>-0.16527720000000001</v>
      </c>
      <c r="U4572">
        <v>-5.751038E-2</v>
      </c>
      <c r="V4572">
        <v>-1.4593519999999999E-3</v>
      </c>
      <c r="W4572">
        <v>-0.1084215</v>
      </c>
      <c r="X4572">
        <v>0.99410399999999999</v>
      </c>
      <c r="Y4572">
        <v>-1.1132410000000001E-2</v>
      </c>
      <c r="Z4572" s="1">
        <v>-5.525057E-5</v>
      </c>
      <c r="AA4572">
        <v>0.99993799999999999</v>
      </c>
      <c r="AB4572">
        <v>30</v>
      </c>
      <c r="AC4572">
        <v>-20.023900000000001</v>
      </c>
      <c r="AD4572">
        <v>-1.120819062344</v>
      </c>
      <c r="AE4572">
        <v>-0.38730000000001003</v>
      </c>
      <c r="AF4572">
        <v>-0.22623521937493801</v>
      </c>
      <c r="AG4572">
        <v>-1.120819062344</v>
      </c>
      <c r="AH4572">
        <v>19.9638341404928</v>
      </c>
      <c r="AI4572">
        <v>93.213147694585402</v>
      </c>
      <c r="AJ4572">
        <v>90.649262477601496</v>
      </c>
      <c r="AK4572">
        <v>19.996551986132602</v>
      </c>
      <c r="AL4572">
        <v>96.224329595003098</v>
      </c>
      <c r="AM4572">
        <v>90.084110566258204</v>
      </c>
      <c r="AN4572">
        <v>1.0000000570932499</v>
      </c>
    </row>
    <row r="4573" spans="1:40" x14ac:dyDescent="0.25">
      <c r="A4573" t="str">
        <f>"20190303154606364"</f>
        <v>20190303154606364</v>
      </c>
      <c r="B4573" t="str">
        <f>"1551599166355579"</f>
        <v>1551599166355579</v>
      </c>
      <c r="C4573" t="s">
        <v>40</v>
      </c>
      <c r="D4573">
        <v>4.8488899999999999</v>
      </c>
      <c r="E4573">
        <v>0.49598490000000001</v>
      </c>
      <c r="F4573" t="s">
        <v>41</v>
      </c>
      <c r="G4573">
        <v>-389.26900000000001</v>
      </c>
      <c r="H4573" s="1">
        <v>-7.6337850000000001E-7</v>
      </c>
      <c r="I4573">
        <v>141.37299999999999</v>
      </c>
      <c r="J4573">
        <v>-368.88580000000002</v>
      </c>
      <c r="K4573">
        <v>1.120822</v>
      </c>
      <c r="L4573">
        <v>141.7688</v>
      </c>
      <c r="M4573">
        <v>-0.99986900000000001</v>
      </c>
      <c r="N4573">
        <v>-1.400494E-2</v>
      </c>
      <c r="O4573">
        <v>-8.1224260000000003E-3</v>
      </c>
      <c r="P4573">
        <v>-0.99249810000000005</v>
      </c>
      <c r="Q4573">
        <v>-0.1219508</v>
      </c>
      <c r="R4573">
        <v>-8.7122769999999992E-3</v>
      </c>
      <c r="S4573">
        <v>-3.0022890000000002</v>
      </c>
      <c r="T4573">
        <v>-0.16245270000000001</v>
      </c>
      <c r="U4573">
        <v>-5.7754519999999997E-2</v>
      </c>
      <c r="V4573">
        <v>-6.2983339999999905E-4</v>
      </c>
      <c r="W4573">
        <v>-0.1080385</v>
      </c>
      <c r="X4573">
        <v>0.99414650000000004</v>
      </c>
      <c r="Y4573">
        <v>-1.1096999999999999E-2</v>
      </c>
      <c r="Z4573" s="1">
        <v>-5.2332410000000001E-5</v>
      </c>
      <c r="AA4573">
        <v>0.99993840000000001</v>
      </c>
      <c r="AB4573">
        <v>30</v>
      </c>
      <c r="AC4573">
        <v>-20.383199999999899</v>
      </c>
      <c r="AD4573">
        <v>-1.1208227633785</v>
      </c>
      <c r="AE4573">
        <v>-0.39580000000000798</v>
      </c>
      <c r="AF4573">
        <v>-0.22951596863922899</v>
      </c>
      <c r="AG4573">
        <v>-1.1208227633785</v>
      </c>
      <c r="AH4573">
        <v>20.324312539420202</v>
      </c>
      <c r="AI4573">
        <v>93.156286368694396</v>
      </c>
      <c r="AJ4573">
        <v>90.646995432468998</v>
      </c>
      <c r="AK4573">
        <v>20.356487944800399</v>
      </c>
      <c r="AL4573">
        <v>96.202256072707598</v>
      </c>
      <c r="AM4573">
        <v>90.036299268556704</v>
      </c>
      <c r="AN4573">
        <v>0.99999998881730501</v>
      </c>
    </row>
    <row r="4574" spans="1:40" x14ac:dyDescent="0.25">
      <c r="A4574" t="str">
        <f>"20190303154606382"</f>
        <v>20190303154606382</v>
      </c>
      <c r="B4574" t="str">
        <f>"1551599166376076"</f>
        <v>1551599166376076</v>
      </c>
      <c r="C4574" t="s">
        <v>40</v>
      </c>
      <c r="D4574">
        <v>4.8575439999999999</v>
      </c>
      <c r="E4574">
        <v>0.49588759999999998</v>
      </c>
      <c r="F4574" t="s">
        <v>41</v>
      </c>
      <c r="G4574">
        <v>-389.78719999999998</v>
      </c>
      <c r="H4574" s="1">
        <v>-5.4221459999999999E-7</v>
      </c>
      <c r="I4574">
        <v>141.37729999999999</v>
      </c>
      <c r="J4574">
        <v>-369.13549999999998</v>
      </c>
      <c r="K4574">
        <v>1.1208279999999999</v>
      </c>
      <c r="L4574">
        <v>141.76669999999999</v>
      </c>
      <c r="M4574">
        <v>-0.99986790000000003</v>
      </c>
      <c r="N4574">
        <v>-1.403477E-2</v>
      </c>
      <c r="O4574">
        <v>-8.2096510000000001E-3</v>
      </c>
      <c r="P4574">
        <v>-0.99245890000000003</v>
      </c>
      <c r="Q4574">
        <v>-0.1223127</v>
      </c>
      <c r="R4574">
        <v>-8.0564920000000002E-3</v>
      </c>
      <c r="S4574">
        <v>-3.0024109999999999</v>
      </c>
      <c r="T4574">
        <v>-0.1610029</v>
      </c>
      <c r="U4574">
        <v>-5.6228640000000003E-2</v>
      </c>
      <c r="V4574">
        <v>1.1205049999999999E-4</v>
      </c>
      <c r="W4574">
        <v>-0.1083712</v>
      </c>
      <c r="X4574">
        <v>0.99411050000000001</v>
      </c>
      <c r="Y4574">
        <v>-1.0502279999999999E-2</v>
      </c>
      <c r="Z4574" s="1">
        <v>-3.0424869999999999E-5</v>
      </c>
      <c r="AA4574">
        <v>0.99994490000000003</v>
      </c>
      <c r="AB4574">
        <v>30</v>
      </c>
      <c r="AC4574">
        <v>-20.651700000000002</v>
      </c>
      <c r="AD4574">
        <v>-1.1208285422146</v>
      </c>
      <c r="AE4574">
        <v>-0.38939999999999397</v>
      </c>
      <c r="AF4574">
        <v>-0.21918155969167599</v>
      </c>
      <c r="AG4574">
        <v>-1.1208285422146</v>
      </c>
      <c r="AH4574">
        <v>20.593563198427798</v>
      </c>
      <c r="AI4574">
        <v>93.115139468853499</v>
      </c>
      <c r="AJ4574">
        <v>90.609787827429599</v>
      </c>
      <c r="AK4574">
        <v>20.625206481022001</v>
      </c>
      <c r="AL4574">
        <v>96.221430842896396</v>
      </c>
      <c r="AM4574">
        <v>89.993541944567397</v>
      </c>
      <c r="AN4574">
        <v>1.0000000078775</v>
      </c>
    </row>
    <row r="4575" spans="1:40" x14ac:dyDescent="0.25">
      <c r="A4575" t="str">
        <f>"20190303154606404"</f>
        <v>20190303154606404</v>
      </c>
      <c r="B4575" t="str">
        <f>"1551599166395596"</f>
        <v>1551599166395596</v>
      </c>
      <c r="C4575" t="s">
        <v>40</v>
      </c>
      <c r="D4575">
        <v>4.8713680000000004</v>
      </c>
      <c r="E4575">
        <v>0.49576930000000002</v>
      </c>
      <c r="F4575" t="s">
        <v>41</v>
      </c>
      <c r="G4575">
        <v>-389.95</v>
      </c>
      <c r="H4575" s="1">
        <v>-4.7448320000000001E-7</v>
      </c>
      <c r="I4575">
        <v>141.3852</v>
      </c>
      <c r="J4575">
        <v>-369.42739999999998</v>
      </c>
      <c r="K4575">
        <v>1.1208279999999999</v>
      </c>
      <c r="L4575">
        <v>141.76419999999999</v>
      </c>
      <c r="M4575">
        <v>-0.99986660000000005</v>
      </c>
      <c r="N4575">
        <v>-1.406496E-2</v>
      </c>
      <c r="O4575">
        <v>-8.3118989999999993E-3</v>
      </c>
      <c r="P4575">
        <v>-0.99243119999999996</v>
      </c>
      <c r="Q4575">
        <v>-0.12259009999999999</v>
      </c>
      <c r="R4575">
        <v>-7.2335289999999998E-3</v>
      </c>
      <c r="S4575">
        <v>-3.0024410000000001</v>
      </c>
      <c r="T4575">
        <v>-0.16167779999999901</v>
      </c>
      <c r="U4575">
        <v>-5.502319E-2</v>
      </c>
      <c r="V4575">
        <v>1.0363849999999999E-3</v>
      </c>
      <c r="W4575">
        <v>-0.10861899999999999</v>
      </c>
      <c r="X4575">
        <v>0.99408289999999999</v>
      </c>
      <c r="Y4575">
        <v>-9.9994139999999999E-3</v>
      </c>
      <c r="Z4575" s="1">
        <v>-9.0362740000000008E-6</v>
      </c>
      <c r="AA4575">
        <v>0.99995000000000001</v>
      </c>
      <c r="AB4575">
        <v>30</v>
      </c>
      <c r="AC4575">
        <v>-20.522600000000001</v>
      </c>
      <c r="AD4575">
        <v>-1.1208284744832</v>
      </c>
      <c r="AE4575">
        <v>-0.37899999999999001</v>
      </c>
      <c r="AF4575">
        <v>-0.207768756348987</v>
      </c>
      <c r="AG4575">
        <v>-1.1208284744832</v>
      </c>
      <c r="AH4575">
        <v>20.464023647241302</v>
      </c>
      <c r="AI4575">
        <v>93.1348352030016</v>
      </c>
      <c r="AJ4575">
        <v>90.581697130993305</v>
      </c>
      <c r="AK4575">
        <v>20.495748050758699</v>
      </c>
      <c r="AL4575">
        <v>96.235713177863104</v>
      </c>
      <c r="AM4575">
        <v>89.940266083505904</v>
      </c>
      <c r="AN4575">
        <v>0.99999998666363898</v>
      </c>
    </row>
    <row r="4576" spans="1:40" x14ac:dyDescent="0.25">
      <c r="A4576" t="str">
        <f>"20190303154606426"</f>
        <v>20190303154606426</v>
      </c>
      <c r="B4576" t="str">
        <f>"1551599166416092"</f>
        <v>1551599166416092</v>
      </c>
      <c r="C4576" t="s">
        <v>40</v>
      </c>
      <c r="D4576">
        <v>4.8472819999999999</v>
      </c>
      <c r="E4576">
        <v>0.4956275</v>
      </c>
      <c r="F4576" t="s">
        <v>41</v>
      </c>
      <c r="G4576">
        <v>-390.16329999999999</v>
      </c>
      <c r="H4576" s="1">
        <v>-4.5360070000000003E-6</v>
      </c>
      <c r="I4576">
        <v>141.39519999999999</v>
      </c>
      <c r="J4576">
        <v>-369.73309999999998</v>
      </c>
      <c r="K4576">
        <v>1.1208400000000001</v>
      </c>
      <c r="L4576">
        <v>141.76159999999999</v>
      </c>
      <c r="M4576">
        <v>-0.99986540000000002</v>
      </c>
      <c r="N4576">
        <v>-1.40918999999999E-2</v>
      </c>
      <c r="O4576">
        <v>-8.4188930000000002E-3</v>
      </c>
      <c r="P4576">
        <v>-0.99236659999999999</v>
      </c>
      <c r="Q4576">
        <v>-0.123113</v>
      </c>
      <c r="R4576">
        <v>-7.2052799999999997E-3</v>
      </c>
      <c r="S4576">
        <v>-3.0024109999999999</v>
      </c>
      <c r="T4576">
        <v>-0.16228890000000001</v>
      </c>
      <c r="U4576">
        <v>-5.342102E-2</v>
      </c>
      <c r="V4576">
        <v>1.170356E-3</v>
      </c>
      <c r="W4576">
        <v>-0.1091159</v>
      </c>
      <c r="X4576">
        <v>0.99402829999999998</v>
      </c>
      <c r="Y4576">
        <v>-9.3603539999999995E-3</v>
      </c>
      <c r="Z4576" s="1">
        <v>1.731666E-5</v>
      </c>
      <c r="AA4576">
        <v>0.99995619999999996</v>
      </c>
      <c r="AB4576">
        <v>30</v>
      </c>
      <c r="AC4576">
        <v>-20.430199999999999</v>
      </c>
      <c r="AD4576">
        <v>-1.1208445360070001</v>
      </c>
      <c r="AE4576">
        <v>-0.36639999999999801</v>
      </c>
      <c r="AF4576">
        <v>-0.19378720418753101</v>
      </c>
      <c r="AG4576">
        <v>-1.1208445360070001</v>
      </c>
      <c r="AH4576">
        <v>20.371265973746102</v>
      </c>
      <c r="AI4576">
        <v>93.149145381913797</v>
      </c>
      <c r="AJ4576">
        <v>90.545025234878693</v>
      </c>
      <c r="AK4576">
        <v>20.4029979004927</v>
      </c>
      <c r="AL4576">
        <v>96.264353880035998</v>
      </c>
      <c r="AM4576">
        <v>89.932540725105696</v>
      </c>
      <c r="AN4576">
        <v>0.999999955283432</v>
      </c>
    </row>
    <row r="4577" spans="1:40" x14ac:dyDescent="0.25">
      <c r="A4577" t="str">
        <f>"20190303154606449"</f>
        <v>20190303154606449</v>
      </c>
      <c r="B4577" t="str">
        <f>"1551599166445372"</f>
        <v>1551599166445372</v>
      </c>
      <c r="C4577" t="s">
        <v>40</v>
      </c>
      <c r="D4577">
        <v>4.8770059999999997</v>
      </c>
      <c r="E4577">
        <v>0.49541550000000001</v>
      </c>
      <c r="F4577" t="s">
        <v>41</v>
      </c>
      <c r="G4577">
        <v>-390.2885</v>
      </c>
      <c r="H4577" s="1">
        <v>-4.4922349999999999E-6</v>
      </c>
      <c r="I4577">
        <v>141.3886</v>
      </c>
      <c r="J4577">
        <v>-370.03519999999997</v>
      </c>
      <c r="K4577">
        <v>1.1208450000000001</v>
      </c>
      <c r="L4577">
        <v>141.75890000000001</v>
      </c>
      <c r="M4577">
        <v>-0.99986399999999998</v>
      </c>
      <c r="N4577">
        <v>-1.41145E-2</v>
      </c>
      <c r="O4577">
        <v>-8.5245449999999997E-3</v>
      </c>
      <c r="P4577">
        <v>-0.99243020000000004</v>
      </c>
      <c r="Q4577">
        <v>-0.1226182</v>
      </c>
      <c r="R4577">
        <v>-6.8724240000000002E-3</v>
      </c>
      <c r="S4577">
        <v>-3.00238</v>
      </c>
      <c r="T4577">
        <v>-0.16371379999999999</v>
      </c>
      <c r="U4577">
        <v>-5.4458619999999999E-2</v>
      </c>
      <c r="V4577">
        <v>1.608471E-3</v>
      </c>
      <c r="W4577">
        <v>-0.10859770000000001</v>
      </c>
      <c r="X4577">
        <v>0.99408450000000004</v>
      </c>
      <c r="Y4577">
        <v>-9.5998460000000004E-3</v>
      </c>
      <c r="Z4577" s="1">
        <v>1.4841800000000001E-5</v>
      </c>
      <c r="AA4577">
        <v>0.99995389999999995</v>
      </c>
      <c r="AB4577">
        <v>30</v>
      </c>
      <c r="AC4577">
        <v>-20.253299999999999</v>
      </c>
      <c r="AD4577">
        <v>-1.1208494922350001</v>
      </c>
      <c r="AE4577">
        <v>-0.37030000000001401</v>
      </c>
      <c r="AF4577">
        <v>-0.19701596987483699</v>
      </c>
      <c r="AG4577">
        <v>-1.1208494922350001</v>
      </c>
      <c r="AH4577">
        <v>20.193893946944101</v>
      </c>
      <c r="AI4577">
        <v>93.176755914701005</v>
      </c>
      <c r="AJ4577">
        <v>90.558972205664801</v>
      </c>
      <c r="AK4577">
        <v>20.225935617841099</v>
      </c>
      <c r="AL4577">
        <v>96.234485304599303</v>
      </c>
      <c r="AM4577">
        <v>89.907293072828594</v>
      </c>
      <c r="AN4577">
        <v>1.0000000203822399</v>
      </c>
    </row>
    <row r="4578" spans="1:40" x14ac:dyDescent="0.25">
      <c r="A4578" t="str">
        <f>"20190303154606472"</f>
        <v>20190303154606472</v>
      </c>
      <c r="B4578" t="str">
        <f>"1551599166465868"</f>
        <v>1551599166465868</v>
      </c>
      <c r="C4578" t="s">
        <v>40</v>
      </c>
      <c r="D4578">
        <v>4.8580059999999996</v>
      </c>
      <c r="E4578">
        <v>0.49531160000000002</v>
      </c>
      <c r="F4578" t="s">
        <v>41</v>
      </c>
      <c r="G4578">
        <v>-390.80239999999998</v>
      </c>
      <c r="H4578" s="1">
        <v>-4.3155280000000004E-6</v>
      </c>
      <c r="I4578">
        <v>141.3783</v>
      </c>
      <c r="J4578">
        <v>-370.33909999999997</v>
      </c>
      <c r="K4578">
        <v>1.1208530000000001</v>
      </c>
      <c r="L4578">
        <v>141.75620000000001</v>
      </c>
      <c r="M4578">
        <v>-0.99986299999999995</v>
      </c>
      <c r="N4578">
        <v>-1.413378E-2</v>
      </c>
      <c r="O4578">
        <v>-8.6307689999999999E-3</v>
      </c>
      <c r="P4578">
        <v>-0.99246909999999999</v>
      </c>
      <c r="Q4578">
        <v>-0.12228120000000001</v>
      </c>
      <c r="R4578">
        <v>-7.2520249999999996E-3</v>
      </c>
      <c r="S4578">
        <v>-3.002472</v>
      </c>
      <c r="T4578">
        <v>-0.16205</v>
      </c>
      <c r="U4578">
        <v>-5.5007929999999997E-2</v>
      </c>
      <c r="V4578">
        <v>1.334511E-3</v>
      </c>
      <c r="W4578">
        <v>-0.10824110000000001</v>
      </c>
      <c r="X4578">
        <v>0.9941238</v>
      </c>
      <c r="Y4578">
        <v>-9.676011E-3</v>
      </c>
      <c r="Z4578" s="1">
        <v>1.415376E-5</v>
      </c>
      <c r="AA4578">
        <v>0.99995319999999999</v>
      </c>
      <c r="AB4578">
        <v>30</v>
      </c>
      <c r="AC4578">
        <v>-20.4633</v>
      </c>
      <c r="AD4578">
        <v>-1.1208573155279999</v>
      </c>
      <c r="AE4578">
        <v>-0.37790000000001001</v>
      </c>
      <c r="AF4578">
        <v>-0.20065249648307201</v>
      </c>
      <c r="AG4578">
        <v>-1.1208573155279999</v>
      </c>
      <c r="AH4578">
        <v>20.404602675968899</v>
      </c>
      <c r="AI4578">
        <v>93.144036726127695</v>
      </c>
      <c r="AJ4578">
        <v>90.5634106590567</v>
      </c>
      <c r="AK4578">
        <v>20.4363497941847</v>
      </c>
      <c r="AL4578">
        <v>96.213932458496799</v>
      </c>
      <c r="AM4578">
        <v>89.923086237262496</v>
      </c>
      <c r="AN4578">
        <v>1.00000002318762</v>
      </c>
    </row>
    <row r="4579" spans="1:40" x14ac:dyDescent="0.25">
      <c r="A4579" t="str">
        <f>"20190303154606494"</f>
        <v>20190303154606494</v>
      </c>
      <c r="B4579" t="str">
        <f>"1551599166485388"</f>
        <v>1551599166485388</v>
      </c>
      <c r="C4579" t="s">
        <v>40</v>
      </c>
      <c r="D4579">
        <v>4.8313800000000002</v>
      </c>
      <c r="E4579">
        <v>0.49520940000000002</v>
      </c>
      <c r="F4579" t="s">
        <v>41</v>
      </c>
      <c r="G4579">
        <v>-391.28030000000001</v>
      </c>
      <c r="H4579" s="1">
        <v>-4.1500059999999998E-6</v>
      </c>
      <c r="I4579">
        <v>141.36189999999999</v>
      </c>
      <c r="J4579">
        <v>-370.63709999999998</v>
      </c>
      <c r="K4579">
        <v>1.120852</v>
      </c>
      <c r="L4579">
        <v>141.7535</v>
      </c>
      <c r="M4579">
        <v>-0.99986180000000002</v>
      </c>
      <c r="N4579">
        <v>-1.4149749999999999E-2</v>
      </c>
      <c r="O4579">
        <v>-8.735062E-3</v>
      </c>
      <c r="P4579">
        <v>-0.99245890000000003</v>
      </c>
      <c r="Q4579">
        <v>-0.1223559</v>
      </c>
      <c r="R4579">
        <v>-7.3759100000000003E-3</v>
      </c>
      <c r="S4579">
        <v>-3.0025629999999999</v>
      </c>
      <c r="T4579">
        <v>-0.160709299999999</v>
      </c>
      <c r="U4579">
        <v>-5.6518550000000001E-2</v>
      </c>
      <c r="V4579">
        <v>1.3138410000000001E-3</v>
      </c>
      <c r="W4579">
        <v>-0.10829999999999999</v>
      </c>
      <c r="X4579">
        <v>0.99411740000000004</v>
      </c>
      <c r="Y4579">
        <v>-1.0073520000000001E-2</v>
      </c>
      <c r="Z4579" s="1">
        <v>2.898683E-6</v>
      </c>
      <c r="AA4579">
        <v>0.99994930000000004</v>
      </c>
      <c r="AB4579">
        <v>30</v>
      </c>
      <c r="AC4579">
        <v>-20.6432</v>
      </c>
      <c r="AD4579">
        <v>-1.1208561500059999</v>
      </c>
      <c r="AE4579">
        <v>-0.39160000000001099</v>
      </c>
      <c r="AF4579">
        <v>-0.21062665312842699</v>
      </c>
      <c r="AG4579">
        <v>-1.1208561500059999</v>
      </c>
      <c r="AH4579">
        <v>20.585167477099102</v>
      </c>
      <c r="AI4579">
        <v>93.116497444017199</v>
      </c>
      <c r="AJ4579">
        <v>90.586227786158602</v>
      </c>
      <c r="AK4579">
        <v>20.616735972414101</v>
      </c>
      <c r="AL4579">
        <v>96.217327214250005</v>
      </c>
      <c r="AM4579">
        <v>89.924277051761607</v>
      </c>
      <c r="AN4579">
        <v>1.0000000105804601</v>
      </c>
    </row>
    <row r="4580" spans="1:40" x14ac:dyDescent="0.25">
      <c r="A4580" t="str">
        <f>"20190303154606516"</f>
        <v>20190303154606516</v>
      </c>
      <c r="B4580" t="str">
        <f>"1551599166505837"</f>
        <v>1551599166505837</v>
      </c>
      <c r="C4580" t="s">
        <v>40</v>
      </c>
      <c r="D4580">
        <v>4.8480660000000002</v>
      </c>
      <c r="E4580">
        <v>0.49511080000000002</v>
      </c>
      <c r="F4580" t="s">
        <v>41</v>
      </c>
      <c r="G4580">
        <v>-391.57780000000002</v>
      </c>
      <c r="H4580" s="1">
        <v>-4.0465869999999998E-6</v>
      </c>
      <c r="I4580">
        <v>141.34970000000001</v>
      </c>
      <c r="J4580">
        <v>-370.93740000000003</v>
      </c>
      <c r="K4580">
        <v>1.1208549999999999</v>
      </c>
      <c r="L4580">
        <v>141.7508</v>
      </c>
      <c r="M4580">
        <v>-0.99986059999999999</v>
      </c>
      <c r="N4580">
        <v>-1.416328E-2</v>
      </c>
      <c r="O4580">
        <v>-8.8402910000000001E-3</v>
      </c>
      <c r="P4580">
        <v>-0.99247989999999997</v>
      </c>
      <c r="Q4580">
        <v>-0.1221836</v>
      </c>
      <c r="R4580">
        <v>-7.3938919999999896E-3</v>
      </c>
      <c r="S4580">
        <v>-3.0025629999999999</v>
      </c>
      <c r="T4580">
        <v>-0.16071299999999999</v>
      </c>
      <c r="U4580">
        <v>-5.7891850000000002E-2</v>
      </c>
      <c r="V4580">
        <v>1.4005630000000001E-3</v>
      </c>
      <c r="W4580">
        <v>-0.108114</v>
      </c>
      <c r="X4580">
        <v>0.99413750000000001</v>
      </c>
      <c r="Y4580">
        <v>-1.0424900000000001E-2</v>
      </c>
      <c r="Z4580" s="1">
        <v>-5.0334349999999999E-6</v>
      </c>
      <c r="AA4580">
        <v>0.99994559999999999</v>
      </c>
      <c r="AB4580">
        <v>30</v>
      </c>
      <c r="AC4580">
        <v>-20.6404</v>
      </c>
      <c r="AD4580">
        <v>-1.1208590465870001</v>
      </c>
      <c r="AE4580">
        <v>-0.40109999999998502</v>
      </c>
      <c r="AF4580">
        <v>-0.217956376706056</v>
      </c>
      <c r="AG4580">
        <v>-1.1208590465870001</v>
      </c>
      <c r="AH4580">
        <v>20.582465963945701</v>
      </c>
      <c r="AI4580">
        <v>93.116902151496703</v>
      </c>
      <c r="AJ4580">
        <v>90.606706396269701</v>
      </c>
      <c r="AK4580">
        <v>20.614114949263399</v>
      </c>
      <c r="AL4580">
        <v>96.206607423132496</v>
      </c>
      <c r="AM4580">
        <v>89.919280486097904</v>
      </c>
      <c r="AN4580">
        <v>0.99999998373948296</v>
      </c>
    </row>
    <row r="4581" spans="1:40" x14ac:dyDescent="0.25">
      <c r="A4581" t="str">
        <f>"20190303154606540"</f>
        <v>20190303154606540</v>
      </c>
      <c r="B4581" t="str">
        <f>"1551599166536093"</f>
        <v>1551599166536093</v>
      </c>
      <c r="C4581" t="s">
        <v>40</v>
      </c>
      <c r="D4581">
        <v>4.843197</v>
      </c>
      <c r="E4581">
        <v>0.49489430000000001</v>
      </c>
      <c r="F4581" t="s">
        <v>41</v>
      </c>
      <c r="G4581">
        <v>-391.9787</v>
      </c>
      <c r="H4581" s="1">
        <v>-3.8813590000000002E-6</v>
      </c>
      <c r="I4581">
        <v>141.3373</v>
      </c>
      <c r="J4581">
        <v>-371.2543</v>
      </c>
      <c r="K4581">
        <v>1.1208579999999999</v>
      </c>
      <c r="L4581">
        <v>141.74780000000001</v>
      </c>
      <c r="M4581">
        <v>-0.99985959999999996</v>
      </c>
      <c r="N4581">
        <v>-1.4175119999999999E-2</v>
      </c>
      <c r="O4581">
        <v>-8.9514680000000006E-3</v>
      </c>
      <c r="P4581">
        <v>-0.99247929999999995</v>
      </c>
      <c r="Q4581">
        <v>-0.1221744</v>
      </c>
      <c r="R4581">
        <v>-7.6367010000000001E-3</v>
      </c>
      <c r="S4581">
        <v>-3.0026250000000001</v>
      </c>
      <c r="T4581">
        <v>-0.15994849999999999</v>
      </c>
      <c r="U4581">
        <v>-5.8990479999999998E-2</v>
      </c>
      <c r="V4581">
        <v>1.2679729999999999E-3</v>
      </c>
      <c r="W4581">
        <v>-0.10809299999999999</v>
      </c>
      <c r="X4581">
        <v>0.99414000000000002</v>
      </c>
      <c r="Y4581">
        <v>-1.0678750000000001E-2</v>
      </c>
      <c r="Z4581" s="1">
        <v>-1.0341160000000001E-5</v>
      </c>
      <c r="AA4581">
        <v>0.99994300000000003</v>
      </c>
      <c r="AB4581">
        <v>30</v>
      </c>
      <c r="AC4581">
        <v>-20.724399999999999</v>
      </c>
      <c r="AD4581">
        <v>-1.1208618813589999</v>
      </c>
      <c r="AE4581">
        <v>-0.41050000000001302</v>
      </c>
      <c r="AF4581">
        <v>-0.22429530369982101</v>
      </c>
      <c r="AG4581">
        <v>-1.1208618813589999</v>
      </c>
      <c r="AH4581">
        <v>20.666815721211801</v>
      </c>
      <c r="AI4581">
        <v>93.104204809117505</v>
      </c>
      <c r="AJ4581">
        <v>90.621802115687601</v>
      </c>
      <c r="AK4581">
        <v>20.698403604985401</v>
      </c>
      <c r="AL4581">
        <v>96.205396880561807</v>
      </c>
      <c r="AM4581">
        <v>89.926922302651505</v>
      </c>
      <c r="AN4581">
        <v>1.00000002200226</v>
      </c>
    </row>
    <row r="4582" spans="1:40" x14ac:dyDescent="0.25">
      <c r="A4582" t="str">
        <f>"20190303154606563"</f>
        <v>20190303154606563</v>
      </c>
      <c r="B4582" t="str">
        <f>"1551599166555613"</f>
        <v>1551599166555613</v>
      </c>
      <c r="C4582" t="s">
        <v>40</v>
      </c>
      <c r="D4582">
        <v>4.8211360000000001</v>
      </c>
      <c r="E4582">
        <v>0.49476389999999998</v>
      </c>
      <c r="F4582" t="s">
        <v>41</v>
      </c>
      <c r="G4582">
        <v>-392.3193</v>
      </c>
      <c r="H4582" s="1">
        <v>-3.7299769999999999E-6</v>
      </c>
      <c r="I4582">
        <v>141.31739999999999</v>
      </c>
      <c r="J4582">
        <v>-371.55610000000001</v>
      </c>
      <c r="K4582">
        <v>1.1208579999999999</v>
      </c>
      <c r="L4582">
        <v>141.745</v>
      </c>
      <c r="M4582">
        <v>-0.99985840000000004</v>
      </c>
      <c r="N4582">
        <v>-1.418415E-2</v>
      </c>
      <c r="O4582">
        <v>-9.0549819999999996E-3</v>
      </c>
      <c r="P4582">
        <v>-0.99245720000000004</v>
      </c>
      <c r="Q4582">
        <v>-0.1223195</v>
      </c>
      <c r="R4582">
        <v>-8.1703230000000002E-3</v>
      </c>
      <c r="S4582">
        <v>-3.0025940000000002</v>
      </c>
      <c r="T4582">
        <v>-0.15976770000000001</v>
      </c>
      <c r="U4582">
        <v>-6.1340329999999998E-2</v>
      </c>
      <c r="V4582">
        <v>8.3685129999999999E-4</v>
      </c>
      <c r="W4582">
        <v>-0.1082294</v>
      </c>
      <c r="X4582">
        <v>0.99412560000000005</v>
      </c>
      <c r="Y4582">
        <v>-1.135655E-2</v>
      </c>
      <c r="Z4582" s="1">
        <v>-2.9481530000000001E-5</v>
      </c>
      <c r="AA4582">
        <v>0.99993549999999998</v>
      </c>
      <c r="AB4582">
        <v>30</v>
      </c>
      <c r="AC4582">
        <v>-20.763199999999902</v>
      </c>
      <c r="AD4582">
        <v>-1.1208617299769901</v>
      </c>
      <c r="AE4582">
        <v>-0.42760000000001203</v>
      </c>
      <c r="AF4582">
        <v>-0.238857371413734</v>
      </c>
      <c r="AG4582">
        <v>-1.1208617299769901</v>
      </c>
      <c r="AH4582">
        <v>20.705905859932901</v>
      </c>
      <c r="AI4582">
        <v>93.098331840478707</v>
      </c>
      <c r="AJ4582">
        <v>90.660918308645705</v>
      </c>
      <c r="AK4582">
        <v>20.7375968072968</v>
      </c>
      <c r="AL4582">
        <v>96.213258243920706</v>
      </c>
      <c r="AM4582">
        <v>89.951768633415696</v>
      </c>
      <c r="AN4582">
        <v>1.0000000059598999</v>
      </c>
    </row>
    <row r="4583" spans="1:40" x14ac:dyDescent="0.25">
      <c r="A4583" t="str">
        <f>"20190303154606585"</f>
        <v>20190303154606585</v>
      </c>
      <c r="B4583" t="str">
        <f>"1551599166575133"</f>
        <v>1551599166575133</v>
      </c>
      <c r="C4583" t="s">
        <v>40</v>
      </c>
      <c r="D4583">
        <v>4.8109260000000003</v>
      </c>
      <c r="E4583">
        <v>0.49463990000000002</v>
      </c>
      <c r="F4583" t="s">
        <v>41</v>
      </c>
      <c r="G4583">
        <v>-392.57990000000001</v>
      </c>
      <c r="H4583" s="1">
        <v>-3.612455E-6</v>
      </c>
      <c r="I4583">
        <v>141.29599999999999</v>
      </c>
      <c r="J4583">
        <v>-371.85969999999998</v>
      </c>
      <c r="K4583">
        <v>1.1208560000000001</v>
      </c>
      <c r="L4583">
        <v>141.7422</v>
      </c>
      <c r="M4583">
        <v>-0.99985740000000001</v>
      </c>
      <c r="N4583">
        <v>-1.419145E-2</v>
      </c>
      <c r="O4583">
        <v>-9.1561960000000001E-3</v>
      </c>
      <c r="P4583">
        <v>-0.99240620000000002</v>
      </c>
      <c r="Q4583">
        <v>-0.1226896</v>
      </c>
      <c r="R4583">
        <v>-8.7950690000000008E-3</v>
      </c>
      <c r="S4583">
        <v>-3.0025330000000001</v>
      </c>
      <c r="T4583">
        <v>-0.1600771</v>
      </c>
      <c r="U4583">
        <v>-6.4117430000000003E-2</v>
      </c>
      <c r="V4583">
        <v>3.1149109999999998E-4</v>
      </c>
      <c r="W4583">
        <v>-0.108593</v>
      </c>
      <c r="X4583">
        <v>0.99408629999999998</v>
      </c>
      <c r="Y4583">
        <v>-1.217875E-2</v>
      </c>
      <c r="Z4583" s="1">
        <v>-5.3024410000000001E-5</v>
      </c>
      <c r="AA4583">
        <v>0.99992590000000003</v>
      </c>
      <c r="AB4583">
        <v>30</v>
      </c>
      <c r="AC4583">
        <v>-20.720199999999998</v>
      </c>
      <c r="AD4583">
        <v>-1.1208596124550001</v>
      </c>
      <c r="AE4583">
        <v>-0.44620000000000398</v>
      </c>
      <c r="AF4583">
        <v>-0.255696088270503</v>
      </c>
      <c r="AG4583">
        <v>-1.1208596124550001</v>
      </c>
      <c r="AH4583">
        <v>20.662979711425699</v>
      </c>
      <c r="AI4583">
        <v>93.104718940349002</v>
      </c>
      <c r="AJ4583">
        <v>90.708976109219805</v>
      </c>
      <c r="AK4583">
        <v>20.694937480339899</v>
      </c>
      <c r="AL4583">
        <v>96.234214200345704</v>
      </c>
      <c r="AM4583">
        <v>89.982046704796304</v>
      </c>
      <c r="AN4583">
        <v>1.00000005426169</v>
      </c>
    </row>
    <row r="4584" spans="1:40" x14ac:dyDescent="0.25">
      <c r="A4584" t="str">
        <f>"20190303154606605"</f>
        <v>20190303154606605</v>
      </c>
      <c r="B4584" t="str">
        <f>"1551599166595629"</f>
        <v>1551599166595629</v>
      </c>
      <c r="C4584" t="s">
        <v>40</v>
      </c>
      <c r="D4584">
        <v>4.8151129999999904</v>
      </c>
      <c r="E4584">
        <v>0.49451010000000001</v>
      </c>
      <c r="F4584" t="s">
        <v>41</v>
      </c>
      <c r="G4584">
        <v>-392.74779999999998</v>
      </c>
      <c r="H4584" s="1">
        <v>-3.5349159999999998E-6</v>
      </c>
      <c r="I4584">
        <v>141.27520000000001</v>
      </c>
      <c r="J4584">
        <v>-372.12849999999997</v>
      </c>
      <c r="K4584">
        <v>1.120857</v>
      </c>
      <c r="L4584">
        <v>141.7396</v>
      </c>
      <c r="M4584">
        <v>-0.99985650000000004</v>
      </c>
      <c r="N4584">
        <v>-1.4196719999999999E-2</v>
      </c>
      <c r="O4584">
        <v>-9.2430870000000005E-3</v>
      </c>
      <c r="P4584">
        <v>-0.99240099999999998</v>
      </c>
      <c r="Q4584">
        <v>-0.1226821</v>
      </c>
      <c r="R4584">
        <v>-9.4527210000000007E-3</v>
      </c>
      <c r="S4584">
        <v>-3.00238</v>
      </c>
      <c r="T4584">
        <v>-0.16110910000000001</v>
      </c>
      <c r="U4584">
        <v>-6.7108150000000005E-2</v>
      </c>
      <c r="V4584">
        <v>-2.6053609999999999E-4</v>
      </c>
      <c r="W4584">
        <v>-0.1085803</v>
      </c>
      <c r="X4584">
        <v>0.99408759999999996</v>
      </c>
      <c r="Y4584">
        <v>-1.3086789999999999E-2</v>
      </c>
      <c r="Z4584" s="1">
        <v>-7.9416099999999993E-5</v>
      </c>
      <c r="AA4584">
        <v>0.99991430000000003</v>
      </c>
      <c r="AB4584">
        <v>30</v>
      </c>
      <c r="AC4584">
        <v>-20.619299999999999</v>
      </c>
      <c r="AD4584">
        <v>-1.1208605349159999</v>
      </c>
      <c r="AE4584">
        <v>-0.46439999999998299</v>
      </c>
      <c r="AF4584">
        <v>-0.27296875547481902</v>
      </c>
      <c r="AG4584">
        <v>-1.1208605349159999</v>
      </c>
      <c r="AH4584">
        <v>20.561982375359801</v>
      </c>
      <c r="AI4584">
        <v>93.119905389778395</v>
      </c>
      <c r="AJ4584">
        <v>90.760580310888699</v>
      </c>
      <c r="AK4584">
        <v>20.594318621522898</v>
      </c>
      <c r="AL4584">
        <v>96.233482849777303</v>
      </c>
      <c r="AM4584">
        <v>90.0150164015716</v>
      </c>
      <c r="AN4584">
        <v>0.99999995295045296</v>
      </c>
    </row>
    <row r="4585" spans="1:40" x14ac:dyDescent="0.25">
      <c r="A4585" t="str">
        <f>"20190303154606628"</f>
        <v>20190303154606628</v>
      </c>
      <c r="B4585" t="str">
        <f>"1551599166626047"</f>
        <v>1551599166626047</v>
      </c>
      <c r="C4585" t="s">
        <v>40</v>
      </c>
      <c r="D4585">
        <v>4.8389769999999999</v>
      </c>
      <c r="E4585">
        <v>0.49434040000000001</v>
      </c>
      <c r="F4585" t="s">
        <v>41</v>
      </c>
      <c r="G4585">
        <v>-393.02510000000001</v>
      </c>
      <c r="H4585" s="1">
        <v>-3.4094899999999999E-6</v>
      </c>
      <c r="I4585">
        <v>141.2509</v>
      </c>
      <c r="J4585">
        <v>-372.4402</v>
      </c>
      <c r="K4585">
        <v>1.1208530000000001</v>
      </c>
      <c r="L4585">
        <v>141.73660000000001</v>
      </c>
      <c r="M4585">
        <v>-0.99985559999999996</v>
      </c>
      <c r="N4585">
        <v>-1.4201439999999999E-2</v>
      </c>
      <c r="O4585">
        <v>-9.3388870000000006E-3</v>
      </c>
      <c r="P4585">
        <v>-0.99241579999999996</v>
      </c>
      <c r="Q4585">
        <v>-0.1225139</v>
      </c>
      <c r="R4585">
        <v>-1.0076979999999999E-2</v>
      </c>
      <c r="S4585">
        <v>-3.00238</v>
      </c>
      <c r="T4585">
        <v>-0.1610433</v>
      </c>
      <c r="U4585">
        <v>-7.0205690000000001E-2</v>
      </c>
      <c r="V4585">
        <v>-7.9050319999999998E-4</v>
      </c>
      <c r="W4585">
        <v>-0.1084072</v>
      </c>
      <c r="X4585">
        <v>0.99410620000000005</v>
      </c>
      <c r="Y4585">
        <v>-1.402042E-2</v>
      </c>
      <c r="Z4585">
        <v>-1.0743250000000001E-4</v>
      </c>
      <c r="AA4585">
        <v>0.9999017</v>
      </c>
      <c r="AB4585">
        <v>30</v>
      </c>
      <c r="AC4585">
        <v>-20.584900000000001</v>
      </c>
      <c r="AD4585">
        <v>-1.12085640949</v>
      </c>
      <c r="AE4585">
        <v>-0.48570000000000801</v>
      </c>
      <c r="AF4585">
        <v>-0.29255249178738302</v>
      </c>
      <c r="AG4585">
        <v>-1.12085640949</v>
      </c>
      <c r="AH4585">
        <v>20.5277108213335</v>
      </c>
      <c r="AI4585">
        <v>93.125050462554498</v>
      </c>
      <c r="AJ4585">
        <v>90.816500608235103</v>
      </c>
      <c r="AK4585">
        <v>20.560370074865801</v>
      </c>
      <c r="AL4585">
        <v>96.223506130379704</v>
      </c>
      <c r="AM4585">
        <v>90.045561015015295</v>
      </c>
      <c r="AN4585">
        <v>0.99999994139279202</v>
      </c>
    </row>
    <row r="4586" spans="1:40" x14ac:dyDescent="0.25">
      <c r="A4586" t="str">
        <f>"20190303154606650"</f>
        <v>20190303154606650</v>
      </c>
      <c r="B4586" t="str">
        <f>"1551599166645568"</f>
        <v>1551599166645568</v>
      </c>
      <c r="C4586" t="s">
        <v>40</v>
      </c>
      <c r="D4586">
        <v>4.8098910000000004</v>
      </c>
      <c r="E4586">
        <v>0.49424279999999998</v>
      </c>
      <c r="F4586" t="s">
        <v>41</v>
      </c>
      <c r="G4586">
        <v>-393.45179999999999</v>
      </c>
      <c r="H4586" s="1">
        <v>-3.2188699999999998E-6</v>
      </c>
      <c r="I4586">
        <v>141.22239999999999</v>
      </c>
      <c r="J4586">
        <v>-372.72609999999997</v>
      </c>
      <c r="K4586">
        <v>1.1208480000000001</v>
      </c>
      <c r="L4586">
        <v>141.7338</v>
      </c>
      <c r="M4586">
        <v>-0.99985489999999999</v>
      </c>
      <c r="N4586">
        <v>-1.4204690000000001E-2</v>
      </c>
      <c r="O4586">
        <v>-9.4193999999999996E-3</v>
      </c>
      <c r="P4586">
        <v>-0.99240720000000004</v>
      </c>
      <c r="Q4586">
        <v>-0.1225545</v>
      </c>
      <c r="R4586">
        <v>-1.042527E-2</v>
      </c>
      <c r="S4586">
        <v>-3.0024109999999999</v>
      </c>
      <c r="T4586">
        <v>-0.16016269999999999</v>
      </c>
      <c r="U4586">
        <v>-7.3455809999999996E-2</v>
      </c>
      <c r="V4586">
        <v>-1.060694E-3</v>
      </c>
      <c r="W4586">
        <v>-0.1084447</v>
      </c>
      <c r="X4586">
        <v>0.99410189999999998</v>
      </c>
      <c r="Y4586">
        <v>-1.501984E-2</v>
      </c>
      <c r="Z4586">
        <v>-1.387623E-4</v>
      </c>
      <c r="AA4586">
        <v>0.99988719999999998</v>
      </c>
      <c r="AB4586">
        <v>30</v>
      </c>
      <c r="AC4586">
        <v>-20.7257</v>
      </c>
      <c r="AD4586">
        <v>-1.1208512188699999</v>
      </c>
      <c r="AE4586">
        <v>-0.51140000000000896</v>
      </c>
      <c r="AF4586">
        <v>-0.31521264867218002</v>
      </c>
      <c r="AG4586">
        <v>-1.1208512188699999</v>
      </c>
      <c r="AH4586">
        <v>20.6691840650339</v>
      </c>
      <c r="AI4586">
        <v>93.103642590209205</v>
      </c>
      <c r="AJ4586">
        <v>90.873713951910901</v>
      </c>
      <c r="AK4586">
        <v>20.7019524775557</v>
      </c>
      <c r="AL4586">
        <v>96.225667205472902</v>
      </c>
      <c r="AM4586">
        <v>90.061133839993801</v>
      </c>
      <c r="AN4586">
        <v>0.99999998280672997</v>
      </c>
    </row>
    <row r="4587" spans="1:40" x14ac:dyDescent="0.25">
      <c r="A4587" t="str">
        <f>"20190303154606672"</f>
        <v>20190303154606672</v>
      </c>
      <c r="B4587" t="str">
        <f>"1551599166666064"</f>
        <v>1551599166666064</v>
      </c>
      <c r="C4587" t="s">
        <v>40</v>
      </c>
      <c r="D4587">
        <v>4.8311029999999997</v>
      </c>
      <c r="E4587">
        <v>0.4941644</v>
      </c>
      <c r="F4587" t="s">
        <v>41</v>
      </c>
      <c r="G4587">
        <v>-393.75220000000002</v>
      </c>
      <c r="H4587" s="1">
        <v>-3.085587E-6</v>
      </c>
      <c r="I4587">
        <v>141.20590000000001</v>
      </c>
      <c r="J4587">
        <v>-373.02879999999999</v>
      </c>
      <c r="K4587">
        <v>1.1208450000000001</v>
      </c>
      <c r="L4587">
        <v>141.73089999999999</v>
      </c>
      <c r="M4587">
        <v>-0.99985409999999997</v>
      </c>
      <c r="N4587">
        <v>-1.420717E-2</v>
      </c>
      <c r="O4587">
        <v>-9.4943820000000009E-3</v>
      </c>
      <c r="P4587">
        <v>-0.99234820000000001</v>
      </c>
      <c r="Q4587">
        <v>-0.12300700000000001</v>
      </c>
      <c r="R4587">
        <v>-1.0688049999999999E-2</v>
      </c>
      <c r="S4587">
        <v>-3.00238</v>
      </c>
      <c r="T4587">
        <v>-0.16005</v>
      </c>
      <c r="U4587">
        <v>-7.5378420000000002E-2</v>
      </c>
      <c r="V4587">
        <v>-1.251664E-3</v>
      </c>
      <c r="W4587">
        <v>-0.10889550000000001</v>
      </c>
      <c r="X4587">
        <v>0.99405239999999995</v>
      </c>
      <c r="Y4587">
        <v>-1.558406E-2</v>
      </c>
      <c r="Z4587">
        <v>-1.5498540000000001E-4</v>
      </c>
      <c r="AA4587">
        <v>0.9998785</v>
      </c>
      <c r="AB4587">
        <v>30</v>
      </c>
      <c r="AC4587">
        <v>-20.723400000000002</v>
      </c>
      <c r="AD4587">
        <v>-1.120848085587</v>
      </c>
      <c r="AE4587">
        <v>-0.52499999999997704</v>
      </c>
      <c r="AF4587">
        <v>-0.32724394157553299</v>
      </c>
      <c r="AG4587">
        <v>-1.120848085587</v>
      </c>
      <c r="AH4587">
        <v>20.667032163145201</v>
      </c>
      <c r="AI4587">
        <v>93.103928358265605</v>
      </c>
      <c r="AJ4587">
        <v>90.907151536982795</v>
      </c>
      <c r="AK4587">
        <v>20.699990518373198</v>
      </c>
      <c r="AL4587">
        <v>96.251650001748601</v>
      </c>
      <c r="AM4587">
        <v>90.072144110982293</v>
      </c>
      <c r="AN4587">
        <v>0.99999998526438905</v>
      </c>
    </row>
    <row r="4588" spans="1:40" x14ac:dyDescent="0.25">
      <c r="A4588" t="str">
        <f>"20190303154606694"</f>
        <v>20190303154606694</v>
      </c>
      <c r="B4588" t="str">
        <f>"1551599166685584"</f>
        <v>1551599166685584</v>
      </c>
      <c r="C4588" t="s">
        <v>40</v>
      </c>
      <c r="D4588">
        <v>4.9905049999999997</v>
      </c>
      <c r="E4588">
        <v>0.49423270000000002</v>
      </c>
      <c r="F4588" t="s">
        <v>41</v>
      </c>
      <c r="G4588">
        <v>-393.92180000000002</v>
      </c>
      <c r="H4588" s="1">
        <v>-3.0101440000000001E-6</v>
      </c>
      <c r="I4588">
        <v>141.19569999999999</v>
      </c>
      <c r="J4588">
        <v>-373.31200000000001</v>
      </c>
      <c r="K4588">
        <v>1.1208419999999999</v>
      </c>
      <c r="L4588">
        <v>141.72810000000001</v>
      </c>
      <c r="M4588">
        <v>-0.99985360000000001</v>
      </c>
      <c r="N4588">
        <v>-1.4208749999999999E-2</v>
      </c>
      <c r="O4588">
        <v>-9.5534820000000003E-3</v>
      </c>
      <c r="P4588">
        <v>-0.99237929999999996</v>
      </c>
      <c r="Q4588">
        <v>-0.12271120000000001</v>
      </c>
      <c r="R4588">
        <v>-1.121602E-2</v>
      </c>
      <c r="S4588">
        <v>-3.0023499999999999</v>
      </c>
      <c r="T4588">
        <v>-0.16106760000000001</v>
      </c>
      <c r="U4588">
        <v>-7.6889040000000006E-2</v>
      </c>
      <c r="V4588">
        <v>-1.722877E-3</v>
      </c>
      <c r="W4588">
        <v>-0.1085976</v>
      </c>
      <c r="X4588">
        <v>0.99408430000000003</v>
      </c>
      <c r="Y4588">
        <v>-1.6027019999999999E-2</v>
      </c>
      <c r="Z4588">
        <v>-1.6713080000000001E-4</v>
      </c>
      <c r="AA4588">
        <v>0.99987159999999997</v>
      </c>
      <c r="AB4588">
        <v>30</v>
      </c>
      <c r="AC4588">
        <v>-20.6098</v>
      </c>
      <c r="AD4588">
        <v>-1.120845010144</v>
      </c>
      <c r="AE4588">
        <v>-0.53240000000002397</v>
      </c>
      <c r="AF4588">
        <v>-0.334471920393623</v>
      </c>
      <c r="AG4588">
        <v>-1.120845010144</v>
      </c>
      <c r="AH4588">
        <v>20.553197878602401</v>
      </c>
      <c r="AI4588">
        <v>93.121055118898497</v>
      </c>
      <c r="AJ4588">
        <v>90.9323190528834</v>
      </c>
      <c r="AK4588">
        <v>20.5864544795669</v>
      </c>
      <c r="AL4588">
        <v>96.234479660569505</v>
      </c>
      <c r="AM4588">
        <v>90.099300916314306</v>
      </c>
      <c r="AN4588">
        <v>1.0000000012687</v>
      </c>
    </row>
    <row r="4589" spans="1:40" x14ac:dyDescent="0.25">
      <c r="A4589" t="str">
        <f>"20190303154606717"</f>
        <v>20190303154606717</v>
      </c>
      <c r="B4589" t="str">
        <f>"1551599166706080"</f>
        <v>1551599166706080</v>
      </c>
      <c r="C4589" t="s">
        <v>40</v>
      </c>
      <c r="D4589">
        <v>4.9121899999999998</v>
      </c>
      <c r="E4589">
        <v>0.49439080000000002</v>
      </c>
      <c r="F4589" t="s">
        <v>41</v>
      </c>
      <c r="G4589">
        <v>-394.38869999999997</v>
      </c>
      <c r="H4589" s="1">
        <v>-2.8060680000000001E-6</v>
      </c>
      <c r="I4589">
        <v>141.1815</v>
      </c>
      <c r="J4589">
        <v>-373.61720000000003</v>
      </c>
      <c r="K4589">
        <v>1.120838</v>
      </c>
      <c r="L4589">
        <v>141.7252</v>
      </c>
      <c r="M4589">
        <v>-0.99985279999999999</v>
      </c>
      <c r="N4589">
        <v>-1.420975E-2</v>
      </c>
      <c r="O4589">
        <v>-9.6058800000000007E-3</v>
      </c>
      <c r="P4589">
        <v>-0.99251480000000003</v>
      </c>
      <c r="Q4589">
        <v>-0.1216006</v>
      </c>
      <c r="R4589">
        <v>-1.128994E-2</v>
      </c>
      <c r="S4589">
        <v>-3.0024109999999999</v>
      </c>
      <c r="T4589">
        <v>-0.1596668</v>
      </c>
      <c r="U4589">
        <v>-7.7850340000000004E-2</v>
      </c>
      <c r="V4589">
        <v>-1.7463170000000001E-3</v>
      </c>
      <c r="W4589">
        <v>-0.1074842</v>
      </c>
      <c r="X4589">
        <v>0.99420520000000001</v>
      </c>
      <c r="Y4589">
        <v>-1.629386E-2</v>
      </c>
      <c r="Z4589">
        <v>-1.7481429999999999E-4</v>
      </c>
      <c r="AA4589">
        <v>0.99986730000000001</v>
      </c>
      <c r="AB4589">
        <v>30</v>
      </c>
      <c r="AC4589">
        <v>-20.7714999999999</v>
      </c>
      <c r="AD4589">
        <v>-1.120840806068</v>
      </c>
      <c r="AE4589">
        <v>-0.54370000000000096</v>
      </c>
      <c r="AF4589">
        <v>-0.34312779374039498</v>
      </c>
      <c r="AG4589">
        <v>-1.120840806068</v>
      </c>
      <c r="AH4589">
        <v>20.7154879506543</v>
      </c>
      <c r="AI4589">
        <v>93.096625481637105</v>
      </c>
      <c r="AJ4589">
        <v>90.948950698291</v>
      </c>
      <c r="AK4589">
        <v>20.748625540721701</v>
      </c>
      <c r="AL4589">
        <v>96.170311292887604</v>
      </c>
      <c r="AM4589">
        <v>90.100639677695696</v>
      </c>
      <c r="AN4589">
        <v>0.99999994128987002</v>
      </c>
    </row>
    <row r="4590" spans="1:40" x14ac:dyDescent="0.25">
      <c r="A4590" t="str">
        <f>"20190303154606762"</f>
        <v>20190303154606762</v>
      </c>
      <c r="B4590" t="str">
        <f>"1551599166755859"</f>
        <v>1551599166755859</v>
      </c>
      <c r="C4590" t="s">
        <v>40</v>
      </c>
      <c r="D4590">
        <v>5.006532</v>
      </c>
      <c r="E4590">
        <v>0.49473879999999998</v>
      </c>
      <c r="F4590" t="s">
        <v>41</v>
      </c>
      <c r="G4590">
        <v>-395.16770000000002</v>
      </c>
      <c r="H4590" s="1">
        <v>-2.4698769999999998E-6</v>
      </c>
      <c r="I4590">
        <v>141.17410000000001</v>
      </c>
      <c r="J4590">
        <v>-374.21749999999997</v>
      </c>
      <c r="K4590">
        <v>1.120824</v>
      </c>
      <c r="L4590">
        <v>141.7193</v>
      </c>
      <c r="M4590">
        <v>-0.99985219999999997</v>
      </c>
      <c r="N4590">
        <v>-1.421002E-2</v>
      </c>
      <c r="O4590">
        <v>-9.6780670000000003E-3</v>
      </c>
      <c r="P4590">
        <v>-0.99249279999999995</v>
      </c>
      <c r="Q4590">
        <v>-0.1218045</v>
      </c>
      <c r="R4590">
        <v>-1.1029529999999999E-2</v>
      </c>
      <c r="S4590">
        <v>-3.0026250000000001</v>
      </c>
      <c r="T4590">
        <v>-0.15616640000000001</v>
      </c>
      <c r="U4590">
        <v>-7.6766970000000004E-2</v>
      </c>
      <c r="V4590">
        <v>-1.4187E-3</v>
      </c>
      <c r="W4590">
        <v>-0.10768809999999999</v>
      </c>
      <c r="X4590">
        <v>0.9941837</v>
      </c>
      <c r="Y4590">
        <v>-1.5860809999999999E-2</v>
      </c>
      <c r="Z4590">
        <v>-1.5946220000000001E-4</v>
      </c>
      <c r="AA4590">
        <v>0.99987420000000005</v>
      </c>
      <c r="AB4590">
        <v>30</v>
      </c>
      <c r="AC4590">
        <v>-20.950199999999999</v>
      </c>
      <c r="AD4590">
        <v>-1.1208264698770001</v>
      </c>
      <c r="AE4590">
        <v>-0.54519999999999402</v>
      </c>
      <c r="AF4590">
        <v>-0.34141999716579002</v>
      </c>
      <c r="AG4590">
        <v>-1.1208264698770001</v>
      </c>
      <c r="AH4590">
        <v>20.894731158700498</v>
      </c>
      <c r="AI4590">
        <v>93.070084536558497</v>
      </c>
      <c r="AJ4590">
        <v>90.936129975815902</v>
      </c>
      <c r="AK4590">
        <v>20.927556230587701</v>
      </c>
      <c r="AL4590">
        <v>96.182061839554393</v>
      </c>
      <c r="AM4590">
        <v>90.081761013805107</v>
      </c>
      <c r="AN4590">
        <v>0.99999998446849403</v>
      </c>
    </row>
    <row r="4591" spans="1:40" x14ac:dyDescent="0.25">
      <c r="A4591" t="str">
        <f>"20190303154606784"</f>
        <v>20190303154606784</v>
      </c>
      <c r="B4591" t="str">
        <f>"1551599166775376"</f>
        <v>1551599166775376</v>
      </c>
      <c r="C4591" t="s">
        <v>40</v>
      </c>
      <c r="D4591">
        <v>4.9094629999999997</v>
      </c>
      <c r="E4591">
        <v>0.49485649999999998</v>
      </c>
      <c r="F4591" t="s">
        <v>41</v>
      </c>
      <c r="G4591">
        <v>-395.65320000000003</v>
      </c>
      <c r="H4591" s="1">
        <v>-2.2673599999999998E-6</v>
      </c>
      <c r="I4591">
        <v>141.19579999999999</v>
      </c>
      <c r="J4591">
        <v>-374.5018</v>
      </c>
      <c r="K4591">
        <v>1.1208180000000001</v>
      </c>
      <c r="L4591">
        <v>141.7165</v>
      </c>
      <c r="M4591">
        <v>-0.99985199999999996</v>
      </c>
      <c r="N4591">
        <v>-1.420947E-2</v>
      </c>
      <c r="O4591">
        <v>-9.7018190000000004E-3</v>
      </c>
      <c r="P4591">
        <v>-0.9924518</v>
      </c>
      <c r="Q4591">
        <v>-0.1221836</v>
      </c>
      <c r="R4591">
        <v>-1.0520989999999999E-2</v>
      </c>
      <c r="S4591">
        <v>-3.0026250000000001</v>
      </c>
      <c r="T4591">
        <v>-0.157000799999999</v>
      </c>
      <c r="U4591">
        <v>-7.3318480000000005E-2</v>
      </c>
      <c r="V4591">
        <v>-8.8865959999999996E-4</v>
      </c>
      <c r="W4591">
        <v>-0.10806830000000001</v>
      </c>
      <c r="X4591">
        <v>0.99414309999999995</v>
      </c>
      <c r="Y4591">
        <v>-1.46912999999999E-2</v>
      </c>
      <c r="Z4591">
        <v>-1.19195E-4</v>
      </c>
      <c r="AA4591">
        <v>0.99989209999999995</v>
      </c>
      <c r="AB4591">
        <v>30</v>
      </c>
      <c r="AC4591">
        <v>-21.151399999999999</v>
      </c>
      <c r="AD4591">
        <v>-1.1208202673600001</v>
      </c>
      <c r="AE4591">
        <v>-0.52070000000000405</v>
      </c>
      <c r="AF4591">
        <v>-0.31456496406803403</v>
      </c>
      <c r="AG4591">
        <v>-1.1208202673600001</v>
      </c>
      <c r="AH4591">
        <v>21.096254639468398</v>
      </c>
      <c r="AI4591">
        <v>93.040863599175907</v>
      </c>
      <c r="AJ4591">
        <v>90.854270559898893</v>
      </c>
      <c r="AK4591">
        <v>21.1283494149836</v>
      </c>
      <c r="AL4591">
        <v>96.203973315800297</v>
      </c>
      <c r="AM4591">
        <v>90.051216400276999</v>
      </c>
      <c r="AN4591">
        <v>1.0000000252291901</v>
      </c>
    </row>
    <row r="4592" spans="1:40" x14ac:dyDescent="0.25">
      <c r="A4592" t="str">
        <f>"20190303154606806"</f>
        <v>20190303154606806</v>
      </c>
      <c r="B4592" t="str">
        <f>"1551599166795871"</f>
        <v>1551599166795871</v>
      </c>
      <c r="C4592" t="s">
        <v>40</v>
      </c>
      <c r="D4592">
        <v>4.9524119999999998</v>
      </c>
      <c r="E4592">
        <v>0.4949788</v>
      </c>
      <c r="F4592" t="s">
        <v>41</v>
      </c>
      <c r="G4592">
        <v>-395.75689999999997</v>
      </c>
      <c r="H4592" s="1">
        <v>-2.2282090000000001E-6</v>
      </c>
      <c r="I4592">
        <v>141.2157</v>
      </c>
      <c r="J4592">
        <v>-374.7955</v>
      </c>
      <c r="K4592">
        <v>1.1208180000000001</v>
      </c>
      <c r="L4592">
        <v>141.71360000000001</v>
      </c>
      <c r="M4592">
        <v>-0.99985179999999996</v>
      </c>
      <c r="N4592">
        <v>-1.420858E-2</v>
      </c>
      <c r="O4592">
        <v>-9.7230949999999993E-3</v>
      </c>
      <c r="P4592">
        <v>-0.99246500000000004</v>
      </c>
      <c r="Q4592">
        <v>-0.1221005</v>
      </c>
      <c r="R4592">
        <v>-1.0241480000000001E-2</v>
      </c>
      <c r="S4592">
        <v>-3.0025629999999999</v>
      </c>
      <c r="T4592">
        <v>-0.15833129999999901</v>
      </c>
      <c r="U4592">
        <v>-7.0724490000000001E-2</v>
      </c>
      <c r="V4592">
        <v>-5.8812079999999997E-4</v>
      </c>
      <c r="W4592">
        <v>-0.107985999999999</v>
      </c>
      <c r="X4592">
        <v>0.99415220000000004</v>
      </c>
      <c r="Y4592">
        <v>-1.3808529999999999E-2</v>
      </c>
      <c r="Z4592" s="1">
        <v>-8.7781200000000006E-5</v>
      </c>
      <c r="AA4592">
        <v>0.99990460000000003</v>
      </c>
      <c r="AB4592">
        <v>30</v>
      </c>
      <c r="AC4592">
        <v>-20.961399999999902</v>
      </c>
      <c r="AD4592">
        <v>-1.1208202282089901</v>
      </c>
      <c r="AE4592">
        <v>-0.497900000000015</v>
      </c>
      <c r="AF4592">
        <v>-0.29320836107723403</v>
      </c>
      <c r="AG4592">
        <v>-1.1208202282089901</v>
      </c>
      <c r="AH4592">
        <v>20.905513040309</v>
      </c>
      <c r="AI4592">
        <v>93.068594735052898</v>
      </c>
      <c r="AJ4592">
        <v>90.803544028971103</v>
      </c>
      <c r="AK4592">
        <v>20.937590229190601</v>
      </c>
      <c r="AL4592">
        <v>96.199230525338294</v>
      </c>
      <c r="AM4592">
        <v>90.033895047209995</v>
      </c>
      <c r="AN4592">
        <v>0.99999995942345599</v>
      </c>
    </row>
    <row r="4593" spans="1:40" x14ac:dyDescent="0.25">
      <c r="A4593" t="str">
        <f>"20190303154606829"</f>
        <v>20190303154606829</v>
      </c>
      <c r="B4593" t="str">
        <f>"1551599166825658"</f>
        <v>1551599166825658</v>
      </c>
      <c r="C4593" t="s">
        <v>40</v>
      </c>
      <c r="D4593">
        <v>4.9812250000000002</v>
      </c>
      <c r="E4593">
        <v>0.49516389999999999</v>
      </c>
      <c r="F4593" t="s">
        <v>41</v>
      </c>
      <c r="G4593">
        <v>-396.05329999999998</v>
      </c>
      <c r="H4593" s="1">
        <v>-2.1036559999999999E-6</v>
      </c>
      <c r="I4593">
        <v>141.22559999999999</v>
      </c>
      <c r="J4593">
        <v>-375.09609999999998</v>
      </c>
      <c r="K4593">
        <v>1.1208149999999999</v>
      </c>
      <c r="L4593">
        <v>141.7107</v>
      </c>
      <c r="M4593">
        <v>-0.99985159999999995</v>
      </c>
      <c r="N4593">
        <v>-1.420737E-2</v>
      </c>
      <c r="O4593">
        <v>-9.7435569999999999E-3</v>
      </c>
      <c r="P4593">
        <v>-0.9925157</v>
      </c>
      <c r="Q4593">
        <v>-0.1217693</v>
      </c>
      <c r="R4593">
        <v>-9.223495E-3</v>
      </c>
      <c r="S4593">
        <v>-3.0025629999999999</v>
      </c>
      <c r="T4593">
        <v>-0.15831039999999999</v>
      </c>
      <c r="U4593">
        <v>-6.8908689999999995E-2</v>
      </c>
      <c r="V4593">
        <v>4.498107E-4</v>
      </c>
      <c r="W4593">
        <v>-0.107655399999999</v>
      </c>
      <c r="X4593">
        <v>0.99418819999999997</v>
      </c>
      <c r="Y4593">
        <v>-1.318482E-2</v>
      </c>
      <c r="Z4593" s="1">
        <v>-6.6127830000000003E-5</v>
      </c>
      <c r="AA4593">
        <v>0.9999131</v>
      </c>
      <c r="AB4593">
        <v>30</v>
      </c>
      <c r="AC4593">
        <v>-20.9572</v>
      </c>
      <c r="AD4593">
        <v>-1.120817103656</v>
      </c>
      <c r="AE4593">
        <v>-0.48510000000001702</v>
      </c>
      <c r="AF4593">
        <v>-0.28005807894141399</v>
      </c>
      <c r="AG4593">
        <v>-1.120817103656</v>
      </c>
      <c r="AH4593">
        <v>20.9011815946035</v>
      </c>
      <c r="AI4593">
        <v>93.0692471996352</v>
      </c>
      <c r="AJ4593">
        <v>90.7676688362871</v>
      </c>
      <c r="AK4593">
        <v>20.933085189670901</v>
      </c>
      <c r="AL4593">
        <v>96.180177015387699</v>
      </c>
      <c r="AM4593">
        <v>89.9740770882904</v>
      </c>
      <c r="AN4593">
        <v>1.0000000322490299</v>
      </c>
    </row>
    <row r="4594" spans="1:40" x14ac:dyDescent="0.25">
      <c r="A4594" t="str">
        <f>"20190303154606851"</f>
        <v>20190303154606851</v>
      </c>
      <c r="B4594" t="str">
        <f>"1551599166846154"</f>
        <v>1551599166846154</v>
      </c>
      <c r="C4594" t="s">
        <v>40</v>
      </c>
      <c r="D4594">
        <v>5.0101129999999996</v>
      </c>
      <c r="E4594">
        <v>0.4952917</v>
      </c>
      <c r="F4594" t="s">
        <v>41</v>
      </c>
      <c r="G4594">
        <v>-396.4203</v>
      </c>
      <c r="H4594" s="1">
        <v>-1.9535859999999998E-6</v>
      </c>
      <c r="I4594">
        <v>141.2533</v>
      </c>
      <c r="J4594">
        <v>-375.38389999999998</v>
      </c>
      <c r="K4594">
        <v>1.1208180000000001</v>
      </c>
      <c r="L4594">
        <v>141.70779999999999</v>
      </c>
      <c r="M4594">
        <v>-0.9998515</v>
      </c>
      <c r="N4594">
        <v>-1.420595E-2</v>
      </c>
      <c r="O4594">
        <v>-9.7635550000000002E-3</v>
      </c>
      <c r="P4594">
        <v>-0.9926488</v>
      </c>
      <c r="Q4594">
        <v>-0.1207164</v>
      </c>
      <c r="R4594">
        <v>-8.7191009999999999E-3</v>
      </c>
      <c r="S4594">
        <v>-3.0026250000000001</v>
      </c>
      <c r="T4594">
        <v>-0.15782079999999901</v>
      </c>
      <c r="U4594">
        <v>-6.4392089999999999E-2</v>
      </c>
      <c r="V4594">
        <v>9.749378E-4</v>
      </c>
      <c r="W4594">
        <v>-0.10660219999999999</v>
      </c>
      <c r="X4594">
        <v>0.99430130000000005</v>
      </c>
      <c r="Y4594">
        <v>-1.1663740000000001E-2</v>
      </c>
      <c r="Z4594" s="1">
        <v>-1.509349E-5</v>
      </c>
      <c r="AA4594">
        <v>0.99993200000000004</v>
      </c>
      <c r="AB4594">
        <v>30</v>
      </c>
      <c r="AC4594">
        <v>-21.0364</v>
      </c>
      <c r="AD4594">
        <v>-1.120819953586</v>
      </c>
      <c r="AE4594">
        <v>-0.45449999999999502</v>
      </c>
      <c r="AF4594">
        <v>-0.24836285806915501</v>
      </c>
      <c r="AG4594">
        <v>-1.120819953586</v>
      </c>
      <c r="AH4594">
        <v>20.980304800768</v>
      </c>
      <c r="AI4594">
        <v>93.057762002653106</v>
      </c>
      <c r="AJ4594">
        <v>90.678230322567799</v>
      </c>
      <c r="AK4594">
        <v>21.011689865661801</v>
      </c>
      <c r="AL4594">
        <v>96.119483849273394</v>
      </c>
      <c r="AM4594">
        <v>89.943820043958496</v>
      </c>
      <c r="AN4594">
        <v>1.0000000273651199</v>
      </c>
    </row>
    <row r="4595" spans="1:40" x14ac:dyDescent="0.25">
      <c r="A4595" t="str">
        <f>"20190303154606873"</f>
        <v>20190303154606873</v>
      </c>
      <c r="B4595" t="str">
        <f>"1551599166865674"</f>
        <v>1551599166865674</v>
      </c>
      <c r="C4595" t="s">
        <v>40</v>
      </c>
      <c r="D4595">
        <v>5.0185180000000003</v>
      </c>
      <c r="E4595">
        <v>0.49540469999999998</v>
      </c>
      <c r="F4595" t="s">
        <v>41</v>
      </c>
      <c r="G4595">
        <v>-397.11320000000001</v>
      </c>
      <c r="H4595" s="1">
        <v>-1.65809E-6</v>
      </c>
      <c r="I4595">
        <v>141.25980000000001</v>
      </c>
      <c r="J4595">
        <v>-375.68299999999999</v>
      </c>
      <c r="K4595">
        <v>1.120822</v>
      </c>
      <c r="L4595">
        <v>141.70490000000001</v>
      </c>
      <c r="M4595">
        <v>-0.99985119999999905</v>
      </c>
      <c r="N4595">
        <v>-1.420422E-2</v>
      </c>
      <c r="O4595">
        <v>-9.7846319999999997E-3</v>
      </c>
      <c r="P4595">
        <v>-0.99269870000000004</v>
      </c>
      <c r="Q4595">
        <v>-0.12034069999999999</v>
      </c>
      <c r="R4595">
        <v>-8.2176060000000006E-3</v>
      </c>
      <c r="S4595">
        <v>-3.002869</v>
      </c>
      <c r="T4595">
        <v>-0.154892</v>
      </c>
      <c r="U4595">
        <v>-6.190491E-2</v>
      </c>
      <c r="V4595">
        <v>1.4978729999999901E-3</v>
      </c>
      <c r="W4595">
        <v>-0.10622760000000001</v>
      </c>
      <c r="X4595">
        <v>0.99434069999999997</v>
      </c>
      <c r="Y4595">
        <v>-1.0814839999999999E-2</v>
      </c>
      <c r="Z4595" s="1">
        <v>9.7909359999999999E-6</v>
      </c>
      <c r="AA4595">
        <v>0.99994150000000004</v>
      </c>
      <c r="AB4595">
        <v>29</v>
      </c>
      <c r="AC4595">
        <v>-21.4301999999999</v>
      </c>
      <c r="AD4595">
        <v>-1.12082365809</v>
      </c>
      <c r="AE4595">
        <v>-0.445099999999996</v>
      </c>
      <c r="AF4595">
        <v>-0.23472910010513201</v>
      </c>
      <c r="AG4595">
        <v>-1.12082365809</v>
      </c>
      <c r="AH4595">
        <v>21.375085125076101</v>
      </c>
      <c r="AI4595">
        <v>93.001431042256698</v>
      </c>
      <c r="AJ4595">
        <v>90.629164567643201</v>
      </c>
      <c r="AK4595">
        <v>21.405737724433202</v>
      </c>
      <c r="AL4595">
        <v>96.097898530019705</v>
      </c>
      <c r="AM4595">
        <v>89.913689808503193</v>
      </c>
      <c r="AN4595">
        <v>0.999999987150886</v>
      </c>
    </row>
    <row r="4596" spans="1:40" x14ac:dyDescent="0.25">
      <c r="A4596" t="str">
        <f>"20190303154606895"</f>
        <v>20190303154606895</v>
      </c>
      <c r="B4596" t="str">
        <f>"1551599166886171"</f>
        <v>1551599166886171</v>
      </c>
      <c r="C4596" t="s">
        <v>40</v>
      </c>
      <c r="D4596">
        <v>4.9464139999999999</v>
      </c>
      <c r="E4596">
        <v>0.49550480000000002</v>
      </c>
      <c r="F4596" t="s">
        <v>41</v>
      </c>
      <c r="G4596">
        <v>-397.52780000000001</v>
      </c>
      <c r="H4596" s="1">
        <v>-1.4836029999999999E-6</v>
      </c>
      <c r="I4596">
        <v>141.27250000000001</v>
      </c>
      <c r="J4596">
        <v>-375.97469999999998</v>
      </c>
      <c r="K4596">
        <v>1.1208309999999999</v>
      </c>
      <c r="L4596">
        <v>141.702</v>
      </c>
      <c r="M4596">
        <v>-0.99985100000000005</v>
      </c>
      <c r="N4596">
        <v>-1.4202330000000001E-2</v>
      </c>
      <c r="O4596">
        <v>-9.8063109999999998E-3</v>
      </c>
      <c r="P4596">
        <v>-0.99272780000000005</v>
      </c>
      <c r="Q4596">
        <v>-0.1201035</v>
      </c>
      <c r="R4596">
        <v>-8.1693789999999992E-3</v>
      </c>
      <c r="S4596">
        <v>-3.0028990000000002</v>
      </c>
      <c r="T4596">
        <v>-0.15407479999999901</v>
      </c>
      <c r="U4596">
        <v>-5.9432980000000003E-2</v>
      </c>
      <c r="V4596">
        <v>1.5678300000000001E-3</v>
      </c>
      <c r="W4596">
        <v>-0.1059919</v>
      </c>
      <c r="X4596">
        <v>0.99436579999999997</v>
      </c>
      <c r="Y4596">
        <v>-9.9716560000000006E-3</v>
      </c>
      <c r="Z4596" s="1">
        <v>3.7042629999999999E-5</v>
      </c>
      <c r="AA4596">
        <v>0.99995029999999996</v>
      </c>
      <c r="AB4596">
        <v>29</v>
      </c>
      <c r="AC4596">
        <v>-21.553100000000001</v>
      </c>
      <c r="AD4596">
        <v>-1.1208324836029999</v>
      </c>
      <c r="AE4596">
        <v>-0.42949999999999</v>
      </c>
      <c r="AF4596">
        <v>-0.217513613849353</v>
      </c>
      <c r="AG4596">
        <v>-1.1208324836029999</v>
      </c>
      <c r="AH4596">
        <v>21.498160345791899</v>
      </c>
      <c r="AI4596">
        <v>92.984329837623307</v>
      </c>
      <c r="AJ4596">
        <v>90.579686197440495</v>
      </c>
      <c r="AK4596">
        <v>21.528457350258201</v>
      </c>
      <c r="AL4596">
        <v>96.084316901839799</v>
      </c>
      <c r="AM4596">
        <v>89.909661044703896</v>
      </c>
      <c r="AN4596">
        <v>1.00000004258307</v>
      </c>
    </row>
    <row r="4597" spans="1:40" x14ac:dyDescent="0.25">
      <c r="A4597" t="str">
        <f>"20190303154606918"</f>
        <v>20190303154606918</v>
      </c>
      <c r="B4597" t="str">
        <f>"1551599166905690"</f>
        <v>1551599166905690</v>
      </c>
      <c r="C4597" t="s">
        <v>40</v>
      </c>
      <c r="D4597">
        <v>4.9920229999999997</v>
      </c>
      <c r="E4597">
        <v>0.4956084</v>
      </c>
      <c r="F4597" t="s">
        <v>41</v>
      </c>
      <c r="G4597">
        <v>-397.86869999999999</v>
      </c>
      <c r="H4597" s="1">
        <v>-1.3382280000000001E-6</v>
      </c>
      <c r="I4597">
        <v>141.2757</v>
      </c>
      <c r="J4597">
        <v>-376.26909999999998</v>
      </c>
      <c r="K4597">
        <v>1.120833</v>
      </c>
      <c r="L4597">
        <v>141.69909999999999</v>
      </c>
      <c r="M4597">
        <v>-0.99985089999999999</v>
      </c>
      <c r="N4597">
        <v>-1.4200269999999999E-2</v>
      </c>
      <c r="O4597">
        <v>-9.8287080000000002E-3</v>
      </c>
      <c r="P4597">
        <v>-0.99269569999999996</v>
      </c>
      <c r="Q4597">
        <v>-0.1203427</v>
      </c>
      <c r="R4597">
        <v>-8.5587259999999991E-3</v>
      </c>
      <c r="S4597">
        <v>-3.002869</v>
      </c>
      <c r="T4597">
        <v>-0.15372820000000001</v>
      </c>
      <c r="U4597">
        <v>-5.8456420000000002E-2</v>
      </c>
      <c r="V4597">
        <v>1.2005830000000001E-3</v>
      </c>
      <c r="W4597">
        <v>-0.10623349999999999</v>
      </c>
      <c r="X4597">
        <v>0.99434049999999996</v>
      </c>
      <c r="Y4597">
        <v>-9.6250109999999993E-3</v>
      </c>
      <c r="Z4597" s="1">
        <v>4.8678979999999998E-5</v>
      </c>
      <c r="AA4597">
        <v>0.99995369999999995</v>
      </c>
      <c r="AB4597">
        <v>29</v>
      </c>
      <c r="AC4597">
        <v>-21.599599999999999</v>
      </c>
      <c r="AD4597">
        <v>-1.1208343382279999</v>
      </c>
      <c r="AE4597">
        <v>-0.42339999999998601</v>
      </c>
      <c r="AF4597">
        <v>-0.210495395380218</v>
      </c>
      <c r="AG4597">
        <v>-1.1208343382279999</v>
      </c>
      <c r="AH4597">
        <v>21.544726694719301</v>
      </c>
      <c r="AI4597">
        <v>92.977906380906703</v>
      </c>
      <c r="AJ4597">
        <v>90.559771038460497</v>
      </c>
      <c r="AK4597">
        <v>21.5748887894093</v>
      </c>
      <c r="AL4597">
        <v>96.098238334896806</v>
      </c>
      <c r="AM4597">
        <v>89.930820171332201</v>
      </c>
      <c r="AN4597">
        <v>1.0000000139310199</v>
      </c>
    </row>
    <row r="4598" spans="1:40" x14ac:dyDescent="0.25">
      <c r="A4598" t="str">
        <f>"20190303154606941"</f>
        <v>20190303154606941</v>
      </c>
      <c r="B4598" t="str">
        <f>"1551599166935947"</f>
        <v>1551599166935947</v>
      </c>
      <c r="C4598" t="s">
        <v>40</v>
      </c>
      <c r="D4598">
        <v>4.8715659999999996</v>
      </c>
      <c r="E4598">
        <v>0.49560880000000002</v>
      </c>
      <c r="F4598" t="s">
        <v>41</v>
      </c>
      <c r="G4598">
        <v>-398.00099999999998</v>
      </c>
      <c r="H4598" s="1">
        <v>-1.280682E-6</v>
      </c>
      <c r="I4598">
        <v>141.27289999999999</v>
      </c>
      <c r="J4598">
        <v>-376.5727</v>
      </c>
      <c r="K4598">
        <v>1.120835</v>
      </c>
      <c r="L4598">
        <v>141.6961</v>
      </c>
      <c r="M4598">
        <v>-0.99985069999999998</v>
      </c>
      <c r="N4598">
        <v>-1.4197980000000001E-2</v>
      </c>
      <c r="O4598">
        <v>-9.8528899999999996E-3</v>
      </c>
      <c r="P4598">
        <v>-0.99271940000000003</v>
      </c>
      <c r="Q4598">
        <v>-0.120057</v>
      </c>
      <c r="R4598">
        <v>-9.7269120000000008E-3</v>
      </c>
      <c r="S4598">
        <v>-3.0028079999999999</v>
      </c>
      <c r="T4598">
        <v>-0.15487129999999999</v>
      </c>
      <c r="U4598">
        <v>-5.8883669999999999E-2</v>
      </c>
      <c r="V4598" s="1">
        <v>5.639833E-5</v>
      </c>
      <c r="W4598">
        <v>-0.1059496</v>
      </c>
      <c r="X4598">
        <v>0.99437149999999996</v>
      </c>
      <c r="Y4598">
        <v>-9.7431879999999998E-3</v>
      </c>
      <c r="Z4598" s="1">
        <v>4.7641269999999999E-5</v>
      </c>
      <c r="AA4598">
        <v>0.99995259999999997</v>
      </c>
      <c r="AB4598">
        <v>29</v>
      </c>
      <c r="AC4598">
        <v>-21.428299999999901</v>
      </c>
      <c r="AD4598">
        <v>-1.120836280682</v>
      </c>
      <c r="AE4598">
        <v>-0.42320000000000801</v>
      </c>
      <c r="AF4598">
        <v>-0.21144920619622601</v>
      </c>
      <c r="AG4598">
        <v>-1.120836280682</v>
      </c>
      <c r="AH4598">
        <v>21.372977103705502</v>
      </c>
      <c r="AI4598">
        <v>93.001794301977995</v>
      </c>
      <c r="AJ4598">
        <v>90.566825660029096</v>
      </c>
      <c r="AK4598">
        <v>21.403390736292501</v>
      </c>
      <c r="AL4598">
        <v>96.081879823551702</v>
      </c>
      <c r="AM4598">
        <v>89.996750322915403</v>
      </c>
      <c r="AN4598">
        <v>1.0000000004665901</v>
      </c>
    </row>
    <row r="4599" spans="1:40" x14ac:dyDescent="0.25">
      <c r="A4599" t="str">
        <f>"20190303154606964"</f>
        <v>20190303154606964</v>
      </c>
      <c r="B4599" t="str">
        <f>"1551599166955466"</f>
        <v>1551599166955466</v>
      </c>
      <c r="C4599" t="s">
        <v>40</v>
      </c>
      <c r="D4599">
        <v>4.9102459999999999</v>
      </c>
      <c r="E4599">
        <v>0.49557390000000001</v>
      </c>
      <c r="F4599" t="s">
        <v>41</v>
      </c>
      <c r="G4599">
        <v>-398.43619999999999</v>
      </c>
      <c r="H4599" s="1">
        <v>-1.0857339999999999E-6</v>
      </c>
      <c r="I4599">
        <v>141.24180000000001</v>
      </c>
      <c r="J4599">
        <v>-376.86790000000002</v>
      </c>
      <c r="K4599">
        <v>1.120844</v>
      </c>
      <c r="L4599">
        <v>141.69309999999999</v>
      </c>
      <c r="M4599">
        <v>-0.99985060000000003</v>
      </c>
      <c r="N4599">
        <v>-1.4195630000000001E-2</v>
      </c>
      <c r="O4599">
        <v>-9.8762390000000002E-3</v>
      </c>
      <c r="P4599">
        <v>-0.99269969999999996</v>
      </c>
      <c r="Q4599">
        <v>-0.120146</v>
      </c>
      <c r="R4599">
        <v>-1.0613320000000001E-2</v>
      </c>
      <c r="S4599">
        <v>-3.0027469999999998</v>
      </c>
      <c r="T4599">
        <v>-0.15393689999999999</v>
      </c>
      <c r="U4599">
        <v>-6.2377929999999998E-2</v>
      </c>
      <c r="V4599">
        <v>-8.0682699999999998E-4</v>
      </c>
      <c r="W4599">
        <v>-0.1060411</v>
      </c>
      <c r="X4599">
        <v>0.99436139999999995</v>
      </c>
      <c r="Y4599">
        <v>-1.088156E-2</v>
      </c>
      <c r="Z4599" s="1">
        <v>9.7500740000000006E-6</v>
      </c>
      <c r="AA4599">
        <v>0.99994079999999996</v>
      </c>
      <c r="AB4599">
        <v>29</v>
      </c>
      <c r="AC4599">
        <v>-21.568299999999901</v>
      </c>
      <c r="AD4599">
        <v>-1.120845085734</v>
      </c>
      <c r="AE4599">
        <v>-0.451299999999974</v>
      </c>
      <c r="AF4599">
        <v>-0.23760147867635001</v>
      </c>
      <c r="AG4599">
        <v>-1.120845085734</v>
      </c>
      <c r="AH4599">
        <v>21.5136313061085</v>
      </c>
      <c r="AI4599">
        <v>92.982191902801702</v>
      </c>
      <c r="AJ4599">
        <v>90.632762004530207</v>
      </c>
      <c r="AK4599">
        <v>21.544119386599601</v>
      </c>
      <c r="AL4599">
        <v>96.087152214082593</v>
      </c>
      <c r="AM4599">
        <v>90.046489909757298</v>
      </c>
      <c r="AN4599">
        <v>0.99999997983448796</v>
      </c>
    </row>
    <row r="4600" spans="1:40" x14ac:dyDescent="0.25">
      <c r="A4600" t="str">
        <f>"20190303154606984"</f>
        <v>20190303154606984</v>
      </c>
      <c r="B4600" t="str">
        <f>"1551599166975962"</f>
        <v>1551599166975962</v>
      </c>
      <c r="C4600" t="s">
        <v>40</v>
      </c>
      <c r="D4600">
        <v>4.8866259999999997</v>
      </c>
      <c r="E4600">
        <v>0.49553629999999999</v>
      </c>
      <c r="F4600" t="s">
        <v>41</v>
      </c>
      <c r="G4600">
        <v>-398.7525</v>
      </c>
      <c r="H4600" s="1">
        <v>-9.4341620000000005E-7</v>
      </c>
      <c r="I4600">
        <v>141.21700000000001</v>
      </c>
      <c r="J4600">
        <v>-377.13580000000002</v>
      </c>
      <c r="K4600">
        <v>1.120838</v>
      </c>
      <c r="L4600">
        <v>141.69049999999999</v>
      </c>
      <c r="M4600">
        <v>-0.99985029999999997</v>
      </c>
      <c r="N4600">
        <v>-1.419341E-2</v>
      </c>
      <c r="O4600">
        <v>-9.8974430000000006E-3</v>
      </c>
      <c r="P4600">
        <v>-0.99271120000000002</v>
      </c>
      <c r="Q4600">
        <v>-0.1199798</v>
      </c>
      <c r="R4600">
        <v>-1.1365739999999999E-2</v>
      </c>
      <c r="S4600">
        <v>-3.002777</v>
      </c>
      <c r="T4600">
        <v>-0.15379079999999901</v>
      </c>
      <c r="U4600">
        <v>-6.532288E-2</v>
      </c>
      <c r="V4600">
        <v>-1.5379910000000001E-3</v>
      </c>
      <c r="W4600">
        <v>-0.1058769</v>
      </c>
      <c r="X4600">
        <v>0.99437799999999998</v>
      </c>
      <c r="Y4600">
        <v>-1.1838799999999899E-2</v>
      </c>
      <c r="Z4600" s="1">
        <v>-2.0945980000000001E-5</v>
      </c>
      <c r="AA4600">
        <v>0.99992990000000004</v>
      </c>
      <c r="AB4600">
        <v>29</v>
      </c>
      <c r="AC4600">
        <v>-21.616699999999899</v>
      </c>
      <c r="AD4600">
        <v>-1.1208389434162001</v>
      </c>
      <c r="AE4600">
        <v>-0.473499999999973</v>
      </c>
      <c r="AF4600">
        <v>-0.25880972440585898</v>
      </c>
      <c r="AG4600">
        <v>-1.1208389434162001</v>
      </c>
      <c r="AH4600">
        <v>21.562385541442701</v>
      </c>
      <c r="AI4600">
        <v>92.975411983731604</v>
      </c>
      <c r="AJ4600">
        <v>90.687678681212304</v>
      </c>
      <c r="AK4600">
        <v>21.593048248182601</v>
      </c>
      <c r="AL4600">
        <v>96.077691196625693</v>
      </c>
      <c r="AM4600">
        <v>90.088618536372294</v>
      </c>
      <c r="AN4600">
        <v>0.999999945126961</v>
      </c>
    </row>
    <row r="4601" spans="1:40" x14ac:dyDescent="0.25">
      <c r="A4601" t="str">
        <f>"20190303154607007"</f>
        <v>20190303154607007</v>
      </c>
      <c r="B4601" t="str">
        <f>"1551599166995482"</f>
        <v>1551599166995482</v>
      </c>
      <c r="C4601" t="s">
        <v>40</v>
      </c>
      <c r="D4601">
        <v>4.8623289999999999</v>
      </c>
      <c r="E4601">
        <v>0.49548950000000003</v>
      </c>
      <c r="F4601" t="s">
        <v>41</v>
      </c>
      <c r="G4601">
        <v>-399.13290000000001</v>
      </c>
      <c r="H4601" s="1">
        <v>-7.7393369999999902E-7</v>
      </c>
      <c r="I4601">
        <v>141.19329999999999</v>
      </c>
      <c r="J4601">
        <v>-377.43369999999999</v>
      </c>
      <c r="K4601">
        <v>1.1208419999999999</v>
      </c>
      <c r="L4601">
        <v>141.6875</v>
      </c>
      <c r="M4601">
        <v>-0.99985020000000002</v>
      </c>
      <c r="N4601">
        <v>-1.419082E-2</v>
      </c>
      <c r="O4601">
        <v>-9.9216240000000004E-3</v>
      </c>
      <c r="P4601">
        <v>-0.99273339999999999</v>
      </c>
      <c r="Q4601">
        <v>-0.11978510000000001</v>
      </c>
      <c r="R4601">
        <v>-1.149204E-2</v>
      </c>
      <c r="S4601">
        <v>-3.0027469999999998</v>
      </c>
      <c r="T4601">
        <v>-0.1530021</v>
      </c>
      <c r="U4601">
        <v>-6.7855830000000006E-2</v>
      </c>
      <c r="V4601">
        <v>-1.6404429999999999E-3</v>
      </c>
      <c r="W4601">
        <v>-0.1056845</v>
      </c>
      <c r="X4601">
        <v>0.99439840000000002</v>
      </c>
      <c r="Y4601">
        <v>-1.265666E-2</v>
      </c>
      <c r="Z4601" s="1">
        <v>-4.7688980000000002E-5</v>
      </c>
      <c r="AA4601">
        <v>0.99991989999999997</v>
      </c>
      <c r="AB4601">
        <v>29</v>
      </c>
      <c r="AC4601">
        <v>-21.699200000000001</v>
      </c>
      <c r="AD4601">
        <v>-1.1208427739336999</v>
      </c>
      <c r="AE4601">
        <v>-0.49420000000000602</v>
      </c>
      <c r="AF4601">
        <v>-0.27812104204378102</v>
      </c>
      <c r="AG4601">
        <v>-1.1208427739336999</v>
      </c>
      <c r="AH4601">
        <v>21.645313598897602</v>
      </c>
      <c r="AI4601">
        <v>92.964011884949997</v>
      </c>
      <c r="AJ4601">
        <v>90.736154039362305</v>
      </c>
      <c r="AK4601">
        <v>21.676098371997899</v>
      </c>
      <c r="AL4601">
        <v>96.066604704971695</v>
      </c>
      <c r="AM4601">
        <v>90.094519837489898</v>
      </c>
      <c r="AN4601">
        <v>1.0000000412580199</v>
      </c>
    </row>
    <row r="4602" spans="1:40" x14ac:dyDescent="0.25">
      <c r="A4602" t="str">
        <f>"20190303154607029"</f>
        <v>20190303154607029</v>
      </c>
      <c r="B4602" t="str">
        <f>"1551599167025738"</f>
        <v>1551599167025738</v>
      </c>
      <c r="C4602" t="s">
        <v>40</v>
      </c>
      <c r="D4602">
        <v>4.8888089999999904</v>
      </c>
      <c r="E4602">
        <v>0.49542659999999999</v>
      </c>
      <c r="F4602" t="s">
        <v>41</v>
      </c>
      <c r="G4602">
        <v>-399.55200000000002</v>
      </c>
      <c r="H4602" s="1">
        <v>-5.9134009999999899E-7</v>
      </c>
      <c r="I4602">
        <v>141.18270000000001</v>
      </c>
      <c r="J4602">
        <v>-377.72590000000002</v>
      </c>
      <c r="K4602">
        <v>1.1208419999999999</v>
      </c>
      <c r="L4602">
        <v>141.68459999999999</v>
      </c>
      <c r="M4602">
        <v>-0.99985000000000002</v>
      </c>
      <c r="N4602">
        <v>-1.4188259999999999E-2</v>
      </c>
      <c r="O4602">
        <v>-9.9448520000000006E-3</v>
      </c>
      <c r="P4602">
        <v>-0.99277309999999996</v>
      </c>
      <c r="Q4602">
        <v>-0.119446</v>
      </c>
      <c r="R4602">
        <v>-1.1601E-2</v>
      </c>
      <c r="S4602">
        <v>-3.0028079999999999</v>
      </c>
      <c r="T4602">
        <v>-0.15216679999999999</v>
      </c>
      <c r="U4602">
        <v>-6.8511959999999997E-2</v>
      </c>
      <c r="V4602">
        <v>-1.725854E-3</v>
      </c>
      <c r="W4602">
        <v>-0.10534739999999999</v>
      </c>
      <c r="X4602">
        <v>0.99443400000000004</v>
      </c>
      <c r="Y4602">
        <v>-1.285115E-2</v>
      </c>
      <c r="Z4602" s="1">
        <v>-5.4107629999999999E-5</v>
      </c>
      <c r="AA4602">
        <v>0.99991739999999996</v>
      </c>
      <c r="AB4602">
        <v>29</v>
      </c>
      <c r="AC4602">
        <v>-21.826099999999901</v>
      </c>
      <c r="AD4602">
        <v>-1.1208425913400999</v>
      </c>
      <c r="AE4602">
        <v>-0.50189999999997703</v>
      </c>
      <c r="AF4602">
        <v>-0.28404733201419102</v>
      </c>
      <c r="AG4602">
        <v>-1.1208425913400999</v>
      </c>
      <c r="AH4602">
        <v>21.7726246641089</v>
      </c>
      <c r="AI4602">
        <v>92.946703070554804</v>
      </c>
      <c r="AJ4602">
        <v>90.747442732896204</v>
      </c>
      <c r="AK4602">
        <v>21.803306074206901</v>
      </c>
      <c r="AL4602">
        <v>96.047182021003593</v>
      </c>
      <c r="AM4602">
        <v>90.099437520213499</v>
      </c>
      <c r="AN4602">
        <v>1.0000000168073899</v>
      </c>
    </row>
    <row r="4603" spans="1:40" x14ac:dyDescent="0.25">
      <c r="A4603" t="str">
        <f>"20190303154607052"</f>
        <v>20190303154607052</v>
      </c>
      <c r="B4603" t="str">
        <f>"1551599167046238"</f>
        <v>1551599167046238</v>
      </c>
      <c r="C4603" t="s">
        <v>40</v>
      </c>
      <c r="D4603">
        <v>4.8789809999999996</v>
      </c>
      <c r="E4603">
        <v>0.49538179999999998</v>
      </c>
      <c r="F4603" t="s">
        <v>61</v>
      </c>
      <c r="G4603">
        <v>-400.03710000000001</v>
      </c>
      <c r="H4603" s="1">
        <v>-6.0206660000000001E-6</v>
      </c>
      <c r="I4603">
        <v>141.16909999999999</v>
      </c>
      <c r="J4603">
        <v>-378.01580000000001</v>
      </c>
      <c r="K4603">
        <v>1.1208530000000001</v>
      </c>
      <c r="L4603">
        <v>141.68170000000001</v>
      </c>
      <c r="M4603">
        <v>-0.99984969999999995</v>
      </c>
      <c r="N4603">
        <v>-1.418575E-2</v>
      </c>
      <c r="O4603">
        <v>-9.9674849999999999E-3</v>
      </c>
      <c r="P4603">
        <v>-0.99278650000000002</v>
      </c>
      <c r="Q4603">
        <v>-0.119371699999999</v>
      </c>
      <c r="R4603">
        <v>-1.120697E-2</v>
      </c>
      <c r="S4603">
        <v>-3.002869</v>
      </c>
      <c r="T4603">
        <v>-0.15085509999999999</v>
      </c>
      <c r="U4603">
        <v>-6.9381709999999999E-2</v>
      </c>
      <c r="V4603">
        <v>-1.309057E-3</v>
      </c>
      <c r="W4603">
        <v>-0.10527540000000001</v>
      </c>
      <c r="X4603">
        <v>0.99444219999999905</v>
      </c>
      <c r="Y4603">
        <v>-1.311726E-2</v>
      </c>
      <c r="Z4603" s="1">
        <v>-6.3358650000000004E-5</v>
      </c>
      <c r="AA4603">
        <v>0.99991399999999997</v>
      </c>
      <c r="AB4603">
        <v>29</v>
      </c>
      <c r="AC4603">
        <v>-22.0213</v>
      </c>
      <c r="AD4603">
        <v>-1.1208590206659901</v>
      </c>
      <c r="AE4603">
        <v>-0.51260000000002004</v>
      </c>
      <c r="AF4603">
        <v>-0.29229861944398</v>
      </c>
      <c r="AG4603">
        <v>-1.1208590206659901</v>
      </c>
      <c r="AH4603">
        <v>21.968433022573802</v>
      </c>
      <c r="AI4603">
        <v>92.920517055669293</v>
      </c>
      <c r="AJ4603">
        <v>90.762297841244504</v>
      </c>
      <c r="AK4603">
        <v>21.998950268011701</v>
      </c>
      <c r="AL4603">
        <v>96.043034024075894</v>
      </c>
      <c r="AM4603">
        <v>90.075422581542796</v>
      </c>
      <c r="AN4603">
        <v>0.999999956308113</v>
      </c>
    </row>
    <row r="4604" spans="1:40" x14ac:dyDescent="0.25">
      <c r="A4604" t="str">
        <f>"20190303154607074"</f>
        <v>20190303154607074</v>
      </c>
      <c r="B4604" t="str">
        <f>"1551599167065754"</f>
        <v>1551599167065754</v>
      </c>
      <c r="C4604" t="s">
        <v>40</v>
      </c>
      <c r="D4604">
        <v>4.8812639999999998</v>
      </c>
      <c r="E4604">
        <v>0.49533779999999999</v>
      </c>
      <c r="F4604" t="s">
        <v>61</v>
      </c>
      <c r="G4604">
        <v>-400.39139999999998</v>
      </c>
      <c r="H4604" s="1">
        <v>-6.1788169999999999E-6</v>
      </c>
      <c r="I4604">
        <v>141.17160000000001</v>
      </c>
      <c r="J4604">
        <v>-378.30340000000001</v>
      </c>
      <c r="K4604">
        <v>1.120854</v>
      </c>
      <c r="L4604">
        <v>141.6788</v>
      </c>
      <c r="M4604">
        <v>-0.99984960000000001</v>
      </c>
      <c r="N4604">
        <v>-1.418324E-2</v>
      </c>
      <c r="O4604">
        <v>-9.9905919999999995E-3</v>
      </c>
      <c r="P4604">
        <v>-0.99283080000000001</v>
      </c>
      <c r="Q4604">
        <v>-0.1190717</v>
      </c>
      <c r="R4604">
        <v>-1.0457889999999999E-2</v>
      </c>
      <c r="S4604">
        <v>-3.0028990000000002</v>
      </c>
      <c r="T4604">
        <v>-0.15042410000000001</v>
      </c>
      <c r="U4604">
        <v>-6.8450929999999993E-2</v>
      </c>
      <c r="V4604">
        <v>-5.3662320000000003E-4</v>
      </c>
      <c r="W4604">
        <v>-0.104977399999999</v>
      </c>
      <c r="X4604">
        <v>0.99447450000000004</v>
      </c>
      <c r="Y4604">
        <v>-1.2784749999999999E-2</v>
      </c>
      <c r="Z4604" s="1">
        <v>-5.2295220000000002E-5</v>
      </c>
      <c r="AA4604">
        <v>0.99991830000000004</v>
      </c>
      <c r="AB4604">
        <v>29</v>
      </c>
      <c r="AC4604">
        <v>-22.087999999999901</v>
      </c>
      <c r="AD4604">
        <v>-1.1208601788169901</v>
      </c>
      <c r="AE4604">
        <v>-0.507199999999983</v>
      </c>
      <c r="AF4604">
        <v>-0.28574488171481499</v>
      </c>
      <c r="AG4604">
        <v>-1.1208601788169901</v>
      </c>
      <c r="AH4604">
        <v>22.0352526135601</v>
      </c>
      <c r="AI4604">
        <v>92.911692055143106</v>
      </c>
      <c r="AJ4604">
        <v>90.742948511618906</v>
      </c>
      <c r="AK4604">
        <v>22.065591662615599</v>
      </c>
      <c r="AL4604">
        <v>96.025864256804297</v>
      </c>
      <c r="AM4604">
        <v>90.030917073856202</v>
      </c>
      <c r="AN4604">
        <v>1.00000003681273</v>
      </c>
    </row>
    <row r="4605" spans="1:40" x14ac:dyDescent="0.25">
      <c r="A4605" t="str">
        <f>"20190303154607096"</f>
        <v>20190303154607096</v>
      </c>
      <c r="B4605" t="str">
        <f>"1551599167086250"</f>
        <v>1551599167086250</v>
      </c>
      <c r="C4605" t="s">
        <v>40</v>
      </c>
      <c r="D4605">
        <v>4.8785220000000002</v>
      </c>
      <c r="E4605">
        <v>0.49528919999999999</v>
      </c>
      <c r="F4605" t="s">
        <v>61</v>
      </c>
      <c r="G4605">
        <v>-400.84480000000002</v>
      </c>
      <c r="H4605" s="1">
        <v>-6.3829549999999898E-6</v>
      </c>
      <c r="I4605">
        <v>141.17920000000001</v>
      </c>
      <c r="J4605">
        <v>-378.59699999999998</v>
      </c>
      <c r="K4605">
        <v>1.1208560000000001</v>
      </c>
      <c r="L4605">
        <v>141.67580000000001</v>
      </c>
      <c r="M4605">
        <v>-0.9998494</v>
      </c>
      <c r="N4605">
        <v>-1.4180659999999999E-2</v>
      </c>
      <c r="O4605">
        <v>-1.0013940000000001E-2</v>
      </c>
      <c r="P4605">
        <v>-0.99280659999999998</v>
      </c>
      <c r="Q4605">
        <v>-0.11932329999999999</v>
      </c>
      <c r="R4605">
        <v>-9.8614140000000006E-3</v>
      </c>
      <c r="S4605">
        <v>-3.0030209999999999</v>
      </c>
      <c r="T4605">
        <v>-0.14932419999999999</v>
      </c>
      <c r="U4605">
        <v>-6.6558839999999994E-2</v>
      </c>
      <c r="V4605" s="1">
        <v>8.2833869999999896E-5</v>
      </c>
      <c r="W4605">
        <v>-0.1052319</v>
      </c>
      <c r="X4605">
        <v>0.99444770000000005</v>
      </c>
      <c r="Y4605">
        <v>-1.2131980000000001E-2</v>
      </c>
      <c r="Z4605" s="1">
        <v>-3.1894860000000002E-5</v>
      </c>
      <c r="AA4605">
        <v>0.99992639999999999</v>
      </c>
      <c r="AB4605">
        <v>29</v>
      </c>
      <c r="AC4605">
        <v>-22.247800000000002</v>
      </c>
      <c r="AD4605">
        <v>-1.120862382955</v>
      </c>
      <c r="AE4605">
        <v>-0.49659999999999999</v>
      </c>
      <c r="AF4605">
        <v>-0.27307180547362397</v>
      </c>
      <c r="AG4605">
        <v>-1.120862382955</v>
      </c>
      <c r="AH4605">
        <v>22.1953488999611</v>
      </c>
      <c r="AI4605">
        <v>92.890755511285406</v>
      </c>
      <c r="AJ4605">
        <v>90.704880679284003</v>
      </c>
      <c r="AK4605">
        <v>22.2253101999381</v>
      </c>
      <c r="AL4605">
        <v>96.040527508610495</v>
      </c>
      <c r="AM4605">
        <v>89.995227470342797</v>
      </c>
      <c r="AN4605">
        <v>0.99999999383717497</v>
      </c>
    </row>
    <row r="4606" spans="1:40" x14ac:dyDescent="0.25">
      <c r="A4606" t="str">
        <f>"20190303154607119"</f>
        <v>20190303154607119</v>
      </c>
      <c r="B4606" t="str">
        <f>"1551599167115530"</f>
        <v>1551599167115530</v>
      </c>
      <c r="C4606" t="s">
        <v>40</v>
      </c>
      <c r="D4606">
        <v>4.8983019999999904</v>
      </c>
      <c r="E4606">
        <v>0.49522640000000001</v>
      </c>
      <c r="F4606" t="s">
        <v>61</v>
      </c>
      <c r="G4606">
        <v>-401.04770000000002</v>
      </c>
      <c r="H4606" s="1">
        <v>-6.4770430000000001E-6</v>
      </c>
      <c r="I4606">
        <v>141.1891</v>
      </c>
      <c r="J4606">
        <v>-378.88380000000001</v>
      </c>
      <c r="K4606">
        <v>1.120852</v>
      </c>
      <c r="L4606">
        <v>141.6729</v>
      </c>
      <c r="M4606">
        <v>-0.99984930000000005</v>
      </c>
      <c r="N4606">
        <v>-1.417796E-2</v>
      </c>
      <c r="O4606">
        <v>-1.00368E-2</v>
      </c>
      <c r="P4606">
        <v>-0.99285279999999998</v>
      </c>
      <c r="Q4606">
        <v>-0.118987</v>
      </c>
      <c r="R4606">
        <v>-9.2664879999999998E-3</v>
      </c>
      <c r="S4606">
        <v>-3.0031129999999999</v>
      </c>
      <c r="T4606">
        <v>-0.1499318</v>
      </c>
      <c r="U4606">
        <v>-6.5109249999999994E-2</v>
      </c>
      <c r="V4606">
        <v>7.0093229999999905E-4</v>
      </c>
      <c r="W4606">
        <v>-0.1048978</v>
      </c>
      <c r="X4606">
        <v>0.9944828</v>
      </c>
      <c r="Y4606">
        <v>-1.162676E-2</v>
      </c>
      <c r="Z4606" s="1">
        <v>-1.4055300000000001E-5</v>
      </c>
      <c r="AA4606">
        <v>0.99993240000000005</v>
      </c>
      <c r="AB4606">
        <v>29</v>
      </c>
      <c r="AC4606">
        <v>-22.163900000000002</v>
      </c>
      <c r="AD4606">
        <v>-1.1208584770429999</v>
      </c>
      <c r="AE4606">
        <v>-0.48380000000000201</v>
      </c>
      <c r="AF4606">
        <v>-0.26063243449641299</v>
      </c>
      <c r="AG4606">
        <v>-1.1208584770429999</v>
      </c>
      <c r="AH4606">
        <v>22.111118257803199</v>
      </c>
      <c r="AI4606">
        <v>92.9017567396278</v>
      </c>
      <c r="AJ4606">
        <v>90.6753365780922</v>
      </c>
      <c r="AK4606">
        <v>22.141043417193099</v>
      </c>
      <c r="AL4606">
        <v>96.021278175396304</v>
      </c>
      <c r="AM4606">
        <v>89.959616741622696</v>
      </c>
      <c r="AN4606">
        <v>1.0000000396233799</v>
      </c>
    </row>
    <row r="4607" spans="1:40" x14ac:dyDescent="0.25">
      <c r="A4607" t="str">
        <f>"20190303154607142"</f>
        <v>20190303154607142</v>
      </c>
      <c r="B4607" t="str">
        <f>"1551599167136027"</f>
        <v>1551599167136027</v>
      </c>
      <c r="C4607" t="s">
        <v>40</v>
      </c>
      <c r="D4607">
        <v>4.9296309999999997</v>
      </c>
      <c r="E4607">
        <v>0.495174</v>
      </c>
      <c r="F4607" t="s">
        <v>61</v>
      </c>
      <c r="G4607">
        <v>-401.50639999999999</v>
      </c>
      <c r="H4607" s="1">
        <v>-6.6802869999999997E-6</v>
      </c>
      <c r="I4607">
        <v>141.18860000000001</v>
      </c>
      <c r="J4607">
        <v>-379.18020000000001</v>
      </c>
      <c r="K4607">
        <v>1.1208530000000001</v>
      </c>
      <c r="L4607">
        <v>141.66990000000001</v>
      </c>
      <c r="M4607">
        <v>-0.99984899999999999</v>
      </c>
      <c r="N4607">
        <v>-1.4175210000000001E-2</v>
      </c>
      <c r="O4607">
        <v>-1.006026E-2</v>
      </c>
      <c r="P4607">
        <v>-0.9927627</v>
      </c>
      <c r="Q4607">
        <v>-0.1197638</v>
      </c>
      <c r="R4607">
        <v>-8.8911069999999901E-3</v>
      </c>
      <c r="S4607">
        <v>-3.0032040000000002</v>
      </c>
      <c r="T4607">
        <v>-0.1487964</v>
      </c>
      <c r="U4607">
        <v>-6.428528E-2</v>
      </c>
      <c r="V4607">
        <v>1.0986679999999999E-3</v>
      </c>
      <c r="W4607">
        <v>-0.1056786</v>
      </c>
      <c r="X4607">
        <v>0.9943997</v>
      </c>
      <c r="Y4607">
        <v>-1.132902E-2</v>
      </c>
      <c r="Z4607" s="1">
        <v>-5.2992400000000003E-6</v>
      </c>
      <c r="AA4607">
        <v>0.99993580000000004</v>
      </c>
      <c r="AB4607">
        <v>29</v>
      </c>
      <c r="AC4607">
        <v>-22.326199999999901</v>
      </c>
      <c r="AD4607">
        <v>-1.1208596802869999</v>
      </c>
      <c r="AE4607">
        <v>-0.481300000000004</v>
      </c>
      <c r="AF4607">
        <v>-0.25600078164745099</v>
      </c>
      <c r="AG4607">
        <v>-1.1208596802869999</v>
      </c>
      <c r="AH4607">
        <v>22.273799183964499</v>
      </c>
      <c r="AI4607">
        <v>92.8806119626325</v>
      </c>
      <c r="AJ4607">
        <v>90.658491998292504</v>
      </c>
      <c r="AK4607">
        <v>22.3034524885873</v>
      </c>
      <c r="AL4607">
        <v>96.066265199422901</v>
      </c>
      <c r="AM4607">
        <v>89.936696467354096</v>
      </c>
      <c r="AN4607">
        <v>0.99999996846471095</v>
      </c>
    </row>
    <row r="4608" spans="1:40" x14ac:dyDescent="0.25">
      <c r="A4608" t="str">
        <f>"20190303154607165"</f>
        <v>20190303154607165</v>
      </c>
      <c r="B4608" t="str">
        <f>"1551599167155547"</f>
        <v>1551599167155547</v>
      </c>
      <c r="C4608" t="s">
        <v>40</v>
      </c>
      <c r="D4608">
        <v>4.8742279999999996</v>
      </c>
      <c r="E4608">
        <v>0.49512119999999998</v>
      </c>
      <c r="F4608" t="s">
        <v>61</v>
      </c>
      <c r="G4608">
        <v>-401.4468</v>
      </c>
      <c r="H4608" s="1">
        <v>-6.6582809999999898E-6</v>
      </c>
      <c r="I4608">
        <v>141.1995</v>
      </c>
      <c r="J4608">
        <v>-379.47489999999999</v>
      </c>
      <c r="K4608">
        <v>1.120854</v>
      </c>
      <c r="L4608">
        <v>141.6669</v>
      </c>
      <c r="M4608">
        <v>-0.99984879999999998</v>
      </c>
      <c r="N4608">
        <v>-1.417266E-2</v>
      </c>
      <c r="O4608">
        <v>-1.008361E-2</v>
      </c>
      <c r="P4608">
        <v>-0.99273149999999999</v>
      </c>
      <c r="Q4608">
        <v>-0.1200152</v>
      </c>
      <c r="R4608">
        <v>-8.9884130000000007E-3</v>
      </c>
      <c r="S4608">
        <v>-3.003082</v>
      </c>
      <c r="T4608">
        <v>-0.15116969999999999</v>
      </c>
      <c r="U4608">
        <v>-6.3446039999999995E-2</v>
      </c>
      <c r="V4608">
        <v>1.0241779999999999E-3</v>
      </c>
      <c r="W4608">
        <v>-0.1059329</v>
      </c>
      <c r="X4608">
        <v>0.9943727</v>
      </c>
      <c r="Y4608">
        <v>-1.1027510000000001E-2</v>
      </c>
      <c r="Z4608" s="1">
        <v>8.7827940000000003E-6</v>
      </c>
      <c r="AA4608">
        <v>0.99993920000000003</v>
      </c>
      <c r="AB4608">
        <v>29</v>
      </c>
      <c r="AC4608">
        <v>-21.971900000000002</v>
      </c>
      <c r="AD4608">
        <v>-1.1208606582809999</v>
      </c>
      <c r="AE4608">
        <v>-0.46739999999999698</v>
      </c>
      <c r="AF4608">
        <v>-0.245160217848267</v>
      </c>
      <c r="AG4608">
        <v>-1.1208606582809999</v>
      </c>
      <c r="AH4608">
        <v>21.918482190865301</v>
      </c>
      <c r="AI4608">
        <v>92.927241293384199</v>
      </c>
      <c r="AJ4608">
        <v>90.640831784537994</v>
      </c>
      <c r="AK4608">
        <v>21.948491831990999</v>
      </c>
      <c r="AL4608">
        <v>96.080917892909397</v>
      </c>
      <c r="AM4608">
        <v>89.940986859233305</v>
      </c>
      <c r="AN4608">
        <v>0.999999947374136</v>
      </c>
    </row>
    <row r="4609" spans="1:40" x14ac:dyDescent="0.25">
      <c r="A4609" t="str">
        <f>"20190303154607186"</f>
        <v>20190303154607186</v>
      </c>
      <c r="B4609" t="str">
        <f>"1551599167176042"</f>
        <v>1551599167176042</v>
      </c>
      <c r="C4609" t="s">
        <v>40</v>
      </c>
      <c r="D4609">
        <v>4.9156680000000001</v>
      </c>
      <c r="E4609">
        <v>0.49506749999999999</v>
      </c>
      <c r="F4609" t="s">
        <v>61</v>
      </c>
      <c r="G4609">
        <v>-401.63339999999999</v>
      </c>
      <c r="H4609" s="1">
        <v>-6.739378E-6</v>
      </c>
      <c r="I4609">
        <v>141.19540000000001</v>
      </c>
      <c r="J4609">
        <v>-379.76150000000001</v>
      </c>
      <c r="K4609">
        <v>1.1208629999999999</v>
      </c>
      <c r="L4609">
        <v>141.66399999999999</v>
      </c>
      <c r="M4609">
        <v>-0.99984859999999998</v>
      </c>
      <c r="N4609">
        <v>-1.4170169999999999E-2</v>
      </c>
      <c r="O4609">
        <v>-1.010612E-2</v>
      </c>
      <c r="P4609">
        <v>-0.99270950000000002</v>
      </c>
      <c r="Q4609">
        <v>-0.1202119</v>
      </c>
      <c r="R4609">
        <v>-8.8000349999999995E-3</v>
      </c>
      <c r="S4609">
        <v>-3.0030209999999999</v>
      </c>
      <c r="T4609">
        <v>-0.15190390000000001</v>
      </c>
      <c r="U4609">
        <v>-6.3903810000000005E-2</v>
      </c>
      <c r="V4609">
        <v>1.234763E-3</v>
      </c>
      <c r="W4609">
        <v>-0.1061324</v>
      </c>
      <c r="X4609">
        <v>0.99435130000000005</v>
      </c>
      <c r="Y4609">
        <v>-1.1157520000000001E-2</v>
      </c>
      <c r="Z4609" s="1">
        <v>6.552364E-6</v>
      </c>
      <c r="AA4609">
        <v>0.99993779999999999</v>
      </c>
      <c r="AB4609">
        <v>29</v>
      </c>
      <c r="AC4609">
        <v>-21.871899999999901</v>
      </c>
      <c r="AD4609">
        <v>-1.1208697393780001</v>
      </c>
      <c r="AE4609">
        <v>-0.46859999999997998</v>
      </c>
      <c r="AF4609">
        <v>-0.24686580453911</v>
      </c>
      <c r="AG4609">
        <v>-1.1208697393780001</v>
      </c>
      <c r="AH4609">
        <v>21.818244987356898</v>
      </c>
      <c r="AI4609">
        <v>92.940685555988907</v>
      </c>
      <c r="AJ4609">
        <v>90.648254026262904</v>
      </c>
      <c r="AK4609">
        <v>21.848411979510701</v>
      </c>
      <c r="AL4609">
        <v>96.092412519627004</v>
      </c>
      <c r="AM4609">
        <v>89.928851430842499</v>
      </c>
      <c r="AN4609">
        <v>1.00000005939055</v>
      </c>
    </row>
    <row r="4610" spans="1:40" x14ac:dyDescent="0.25">
      <c r="A4610" t="str">
        <f>"20190303154607208"</f>
        <v>20190303154607208</v>
      </c>
      <c r="B4610" t="str">
        <f>"1551599167206299"</f>
        <v>1551599167206299</v>
      </c>
      <c r="C4610" t="s">
        <v>40</v>
      </c>
      <c r="D4610">
        <v>4.9216629999999997</v>
      </c>
      <c r="E4610">
        <v>0.49498429999999999</v>
      </c>
      <c r="F4610" t="s">
        <v>61</v>
      </c>
      <c r="G4610">
        <v>-401.85700000000003</v>
      </c>
      <c r="H4610" s="1">
        <v>-6.8394820000000003E-6</v>
      </c>
      <c r="I4610">
        <v>141.1977</v>
      </c>
      <c r="J4610">
        <v>-380.03949999999998</v>
      </c>
      <c r="K4610">
        <v>1.1208659999999999</v>
      </c>
      <c r="L4610">
        <v>141.6611</v>
      </c>
      <c r="M4610">
        <v>-0.99984839999999997</v>
      </c>
      <c r="N4610">
        <v>-1.416768E-2</v>
      </c>
      <c r="O4610">
        <v>-1.012827E-2</v>
      </c>
      <c r="P4610">
        <v>-0.99277910000000003</v>
      </c>
      <c r="Q4610">
        <v>-0.11965480000000001</v>
      </c>
      <c r="R4610">
        <v>-8.5016099999999997E-3</v>
      </c>
      <c r="S4610">
        <v>-3.0030209999999999</v>
      </c>
      <c r="T4610">
        <v>-0.15233859999999999</v>
      </c>
      <c r="U4610">
        <v>-6.3369750000000002E-2</v>
      </c>
      <c r="V4610">
        <v>1.5556529999999999E-3</v>
      </c>
      <c r="W4610">
        <v>-0.1055769</v>
      </c>
      <c r="X4610">
        <v>0.99440989999999996</v>
      </c>
      <c r="Y4610">
        <v>-1.0957919999999999E-2</v>
      </c>
      <c r="Z4610" s="1">
        <v>1.4529360000000001E-5</v>
      </c>
      <c r="AA4610">
        <v>0.99994000000000005</v>
      </c>
      <c r="AB4610">
        <v>29</v>
      </c>
      <c r="AC4610">
        <v>-21.8174999999999</v>
      </c>
      <c r="AD4610">
        <v>-1.120872839482</v>
      </c>
      <c r="AE4610">
        <v>-0.46340000000000697</v>
      </c>
      <c r="AF4610">
        <v>-0.241742764755672</v>
      </c>
      <c r="AG4610">
        <v>-1.120872839482</v>
      </c>
      <c r="AH4610">
        <v>21.7636578514131</v>
      </c>
      <c r="AI4610">
        <v>92.948063293648801</v>
      </c>
      <c r="AJ4610">
        <v>90.636394426351899</v>
      </c>
      <c r="AK4610">
        <v>21.7938431342426</v>
      </c>
      <c r="AL4610">
        <v>96.060405394370093</v>
      </c>
      <c r="AM4610">
        <v>89.9103666621032</v>
      </c>
      <c r="AN4610">
        <v>0.99999997554393705</v>
      </c>
    </row>
    <row r="4611" spans="1:40" x14ac:dyDescent="0.25">
      <c r="A4611" t="str">
        <f>"20190303154607230"</f>
        <v>20190303154607230</v>
      </c>
      <c r="B4611" t="str">
        <f>"1551599167225819"</f>
        <v>1551599167225819</v>
      </c>
      <c r="C4611" t="s">
        <v>40</v>
      </c>
      <c r="D4611">
        <v>4.8826419999999997</v>
      </c>
      <c r="E4611">
        <v>0.49493359999999897</v>
      </c>
      <c r="F4611" t="s">
        <v>61</v>
      </c>
      <c r="G4611">
        <v>-402.40309999999999</v>
      </c>
      <c r="H4611" s="1">
        <v>-7.0784150000000001E-6</v>
      </c>
      <c r="I4611">
        <v>141.18979999999999</v>
      </c>
      <c r="J4611">
        <v>-380.32319999999999</v>
      </c>
      <c r="K4611">
        <v>1.120862</v>
      </c>
      <c r="L4611">
        <v>141.65819999999999</v>
      </c>
      <c r="M4611">
        <v>-0.99984810000000002</v>
      </c>
      <c r="N4611">
        <v>-1.416507E-2</v>
      </c>
      <c r="O4611">
        <v>-1.0150660000000001E-2</v>
      </c>
      <c r="P4611">
        <v>-0.99282870000000001</v>
      </c>
      <c r="Q4611">
        <v>-0.1192444</v>
      </c>
      <c r="R4611">
        <v>-8.501148E-3</v>
      </c>
      <c r="S4611">
        <v>-3.003174</v>
      </c>
      <c r="T4611">
        <v>-0.15052009999999999</v>
      </c>
      <c r="U4611">
        <v>-6.3293459999999996E-2</v>
      </c>
      <c r="V4611">
        <v>1.579034E-3</v>
      </c>
      <c r="W4611">
        <v>-0.1051684</v>
      </c>
      <c r="X4611">
        <v>0.99445320000000004</v>
      </c>
      <c r="Y4611">
        <v>-1.090932E-2</v>
      </c>
      <c r="Z4611" s="1">
        <v>1.411402E-5</v>
      </c>
      <c r="AA4611">
        <v>0.99994050000000001</v>
      </c>
      <c r="AB4611">
        <v>29</v>
      </c>
      <c r="AC4611">
        <v>-22.079899999999999</v>
      </c>
      <c r="AD4611">
        <v>-1.1208690784149999</v>
      </c>
      <c r="AE4611">
        <v>-0.46840000000000198</v>
      </c>
      <c r="AF4611">
        <v>-0.24360032947219201</v>
      </c>
      <c r="AG4611">
        <v>-1.1208690784149999</v>
      </c>
      <c r="AH4611">
        <v>22.0267796491082</v>
      </c>
      <c r="AI4611">
        <v>92.912899900024399</v>
      </c>
      <c r="AJ4611">
        <v>90.633624252101498</v>
      </c>
      <c r="AK4611">
        <v>22.056625089116299</v>
      </c>
      <c r="AL4611">
        <v>96.036868728365107</v>
      </c>
      <c r="AM4611">
        <v>89.909023463473304</v>
      </c>
      <c r="AN4611">
        <v>1.00000002634858</v>
      </c>
    </row>
    <row r="4612" spans="1:40" x14ac:dyDescent="0.25">
      <c r="A4612" t="str">
        <f>"20190303154607253"</f>
        <v>20190303154607253</v>
      </c>
      <c r="B4612" t="str">
        <f>"1551599167246314"</f>
        <v>1551599167246314</v>
      </c>
      <c r="C4612" t="s">
        <v>40</v>
      </c>
      <c r="D4612">
        <v>4.8940989999999998</v>
      </c>
      <c r="E4612">
        <v>0.49488349999999998</v>
      </c>
      <c r="F4612" t="s">
        <v>61</v>
      </c>
      <c r="G4612">
        <v>-402.87650000000002</v>
      </c>
      <c r="H4612" s="1">
        <v>-7.2835669999999998E-6</v>
      </c>
      <c r="I4612">
        <v>141.1782</v>
      </c>
      <c r="J4612">
        <v>-380.61500000000001</v>
      </c>
      <c r="K4612">
        <v>1.1208640000000001</v>
      </c>
      <c r="L4612">
        <v>141.65520000000001</v>
      </c>
      <c r="M4612">
        <v>-0.99984810000000002</v>
      </c>
      <c r="N4612">
        <v>-1.4162360000000001E-2</v>
      </c>
      <c r="O4612">
        <v>-1.017232E-2</v>
      </c>
      <c r="P4612">
        <v>-0.99286870000000005</v>
      </c>
      <c r="Q4612">
        <v>-0.11891309999999999</v>
      </c>
      <c r="R4612">
        <v>-8.4641779999999993E-3</v>
      </c>
      <c r="S4612">
        <v>-3.0032040000000002</v>
      </c>
      <c r="T4612">
        <v>-0.14925559999999999</v>
      </c>
      <c r="U4612">
        <v>-6.3919069999999995E-2</v>
      </c>
      <c r="V4612">
        <v>1.637547E-3</v>
      </c>
      <c r="W4612">
        <v>-0.1048394</v>
      </c>
      <c r="X4612">
        <v>0.99448780000000003</v>
      </c>
      <c r="Y4612">
        <v>-1.109548E-2</v>
      </c>
      <c r="Z4612" s="1">
        <v>7.0067619999999998E-6</v>
      </c>
      <c r="AA4612">
        <v>0.99993840000000001</v>
      </c>
      <c r="AB4612">
        <v>29</v>
      </c>
      <c r="AC4612">
        <v>-22.261500000000002</v>
      </c>
      <c r="AD4612">
        <v>-1.1208712835669901</v>
      </c>
      <c r="AE4612">
        <v>-0.47700000000000298</v>
      </c>
      <c r="AF4612">
        <v>-0.249868369503182</v>
      </c>
      <c r="AG4612">
        <v>-1.1208712835669901</v>
      </c>
      <c r="AH4612">
        <v>22.2089236733995</v>
      </c>
      <c r="AI4612">
        <v>92.889050227383606</v>
      </c>
      <c r="AJ4612">
        <v>90.644596703675106</v>
      </c>
      <c r="AK4612">
        <v>22.238594320848801</v>
      </c>
      <c r="AL4612">
        <v>96.017913892667494</v>
      </c>
      <c r="AM4612">
        <v>89.905655507230094</v>
      </c>
      <c r="AN4612">
        <v>0.99999998285068803</v>
      </c>
    </row>
    <row r="4613" spans="1:40" x14ac:dyDescent="0.25">
      <c r="A4613" t="str">
        <f>"20190303154607275"</f>
        <v>20190303154607275</v>
      </c>
      <c r="B4613" t="str">
        <f>"1551599167265835"</f>
        <v>1551599167265835</v>
      </c>
      <c r="C4613" t="s">
        <v>40</v>
      </c>
      <c r="D4613">
        <v>4.8965670000000001</v>
      </c>
      <c r="E4613">
        <v>0.49483379999999999</v>
      </c>
      <c r="F4613" t="s">
        <v>61</v>
      </c>
      <c r="G4613">
        <v>-403.3304</v>
      </c>
      <c r="H4613" s="1">
        <v>-7.4814570000000002E-6</v>
      </c>
      <c r="I4613">
        <v>141.16990000000001</v>
      </c>
      <c r="J4613">
        <v>-380.89530000000002</v>
      </c>
      <c r="K4613">
        <v>1.120854</v>
      </c>
      <c r="L4613">
        <v>141.6523</v>
      </c>
      <c r="M4613">
        <v>-0.99984790000000001</v>
      </c>
      <c r="N4613">
        <v>-1.4159710000000001E-2</v>
      </c>
      <c r="O4613">
        <v>-1.0190029999999999E-2</v>
      </c>
      <c r="P4613">
        <v>-0.99279620000000002</v>
      </c>
      <c r="Q4613">
        <v>-0.119483199999999</v>
      </c>
      <c r="R4613">
        <v>-8.9139570000000001E-3</v>
      </c>
      <c r="S4613">
        <v>-3.0032649999999999</v>
      </c>
      <c r="T4613">
        <v>-0.1481932</v>
      </c>
      <c r="U4613">
        <v>-6.4163209999999998E-2</v>
      </c>
      <c r="V4613">
        <v>1.204112E-3</v>
      </c>
      <c r="W4613">
        <v>-0.10541300000000001</v>
      </c>
      <c r="X4613">
        <v>0.99442779999999997</v>
      </c>
      <c r="Y4613">
        <v>-1.1158599999999999E-2</v>
      </c>
      <c r="Z4613" s="1">
        <v>4.0297310000000004E-6</v>
      </c>
      <c r="AA4613">
        <v>0.99993770000000004</v>
      </c>
      <c r="AB4613">
        <v>29</v>
      </c>
      <c r="AC4613">
        <v>-22.435099999999899</v>
      </c>
      <c r="AD4613">
        <v>-1.1208614814569999</v>
      </c>
      <c r="AE4613">
        <v>-0.48239999999998401</v>
      </c>
      <c r="AF4613">
        <v>-0.25310623710271202</v>
      </c>
      <c r="AG4613">
        <v>-1.1208614814569999</v>
      </c>
      <c r="AH4613">
        <v>22.3830085114963</v>
      </c>
      <c r="AI4613">
        <v>92.866591264973394</v>
      </c>
      <c r="AJ4613">
        <v>90.6478709541706</v>
      </c>
      <c r="AK4613">
        <v>22.412484539952001</v>
      </c>
      <c r="AL4613">
        <v>96.050961771619598</v>
      </c>
      <c r="AM4613">
        <v>89.930622915063694</v>
      </c>
      <c r="AN4613">
        <v>0.99999999993377398</v>
      </c>
    </row>
    <row r="4614" spans="1:40" x14ac:dyDescent="0.25">
      <c r="A4614" t="str">
        <f>"20190303154607298"</f>
        <v>20190303154607298</v>
      </c>
      <c r="B4614" t="str">
        <f>"1551599167286332"</f>
        <v>1551599167286332</v>
      </c>
      <c r="C4614" t="s">
        <v>40</v>
      </c>
      <c r="D4614">
        <v>4.9307179999999997</v>
      </c>
      <c r="E4614">
        <v>0.49477480000000001</v>
      </c>
      <c r="F4614" t="s">
        <v>61</v>
      </c>
      <c r="G4614">
        <v>-403.34379999999999</v>
      </c>
      <c r="H4614" s="1">
        <v>-7.4826649999999996E-6</v>
      </c>
      <c r="I4614">
        <v>141.1585</v>
      </c>
      <c r="J4614">
        <v>-381.18979999999999</v>
      </c>
      <c r="K4614">
        <v>1.1208469999999999</v>
      </c>
      <c r="L4614">
        <v>141.64930000000001</v>
      </c>
      <c r="M4614">
        <v>-0.99984779999999995</v>
      </c>
      <c r="N4614">
        <v>-1.415686E-2</v>
      </c>
      <c r="O4614">
        <v>-1.0204019999999999E-2</v>
      </c>
      <c r="P4614">
        <v>-0.99267289999999997</v>
      </c>
      <c r="Q4614">
        <v>-0.1204465</v>
      </c>
      <c r="R4614">
        <v>-9.6701089999999996E-3</v>
      </c>
      <c r="S4614">
        <v>-3.0031430000000001</v>
      </c>
      <c r="T4614">
        <v>-0.1499481</v>
      </c>
      <c r="U4614">
        <v>-6.607056E-2</v>
      </c>
      <c r="V4614">
        <v>4.5991370000000002E-4</v>
      </c>
      <c r="W4614">
        <v>-0.10638069999999999</v>
      </c>
      <c r="X4614">
        <v>0.99432540000000003</v>
      </c>
      <c r="Y4614">
        <v>-1.1779120000000001E-2</v>
      </c>
      <c r="Z4614" s="1">
        <v>-1.260528E-5</v>
      </c>
      <c r="AA4614">
        <v>0.9999306</v>
      </c>
      <c r="AB4614">
        <v>29</v>
      </c>
      <c r="AC4614">
        <v>-22.154</v>
      </c>
      <c r="AD4614">
        <v>-1.120854482665</v>
      </c>
      <c r="AE4614">
        <v>-0.49080000000000701</v>
      </c>
      <c r="AF4614">
        <v>-0.26401646605385098</v>
      </c>
      <c r="AG4614">
        <v>-1.120854482665</v>
      </c>
      <c r="AH4614">
        <v>22.101309381140499</v>
      </c>
      <c r="AI4614">
        <v>92.903026605643007</v>
      </c>
      <c r="AJ4614">
        <v>90.684407854839904</v>
      </c>
      <c r="AK4614">
        <v>22.1312877127958</v>
      </c>
      <c r="AL4614">
        <v>96.1067202214156</v>
      </c>
      <c r="AM4614">
        <v>89.973498502531399</v>
      </c>
      <c r="AN4614">
        <v>1.0000000329691301</v>
      </c>
    </row>
    <row r="4615" spans="1:40" x14ac:dyDescent="0.25">
      <c r="A4615" t="str">
        <f>"20190303154607319"</f>
        <v>20190303154607319</v>
      </c>
      <c r="B4615" t="str">
        <f>"1551599167315610"</f>
        <v>1551599167315610</v>
      </c>
      <c r="C4615" t="s">
        <v>40</v>
      </c>
      <c r="D4615">
        <v>4.9432749999999999</v>
      </c>
      <c r="E4615">
        <v>0.4946818</v>
      </c>
      <c r="F4615" t="s">
        <v>61</v>
      </c>
      <c r="G4615">
        <v>-403.19060000000002</v>
      </c>
      <c r="H4615" s="1">
        <v>-7.4085719999999998E-6</v>
      </c>
      <c r="I4615">
        <v>141.14349999999999</v>
      </c>
      <c r="J4615">
        <v>-381.46300000000002</v>
      </c>
      <c r="K4615">
        <v>1.1208450000000001</v>
      </c>
      <c r="L4615">
        <v>141.6465</v>
      </c>
      <c r="M4615">
        <v>-0.99984779999999995</v>
      </c>
      <c r="N4615">
        <v>-1.415406E-2</v>
      </c>
      <c r="O4615">
        <v>-1.021239E-2</v>
      </c>
      <c r="P4615">
        <v>-0.99261759999999999</v>
      </c>
      <c r="Q4615">
        <v>-0.1208024</v>
      </c>
      <c r="R4615">
        <v>-1.0821249999999999E-2</v>
      </c>
      <c r="S4615">
        <v>-3.0029599999999999</v>
      </c>
      <c r="T4615">
        <v>-0.1529894</v>
      </c>
      <c r="U4615">
        <v>-6.904602E-2</v>
      </c>
      <c r="V4615">
        <v>-6.8491940000000001E-4</v>
      </c>
      <c r="W4615">
        <v>-0.106739899999999</v>
      </c>
      <c r="X4615">
        <v>0.99428669999999997</v>
      </c>
      <c r="Y4615">
        <v>-1.276042E-2</v>
      </c>
      <c r="Z4615" s="1">
        <v>-3.9809850000000003E-5</v>
      </c>
      <c r="AA4615">
        <v>0.99991859999999999</v>
      </c>
      <c r="AB4615">
        <v>29</v>
      </c>
      <c r="AC4615">
        <v>-21.727599999999899</v>
      </c>
      <c r="AD4615">
        <v>-1.120852408572</v>
      </c>
      <c r="AE4615">
        <v>-0.50300000000001399</v>
      </c>
      <c r="AF4615">
        <v>-0.28031526946588198</v>
      </c>
      <c r="AG4615">
        <v>-1.120852408572</v>
      </c>
      <c r="AH4615">
        <v>21.673956787877099</v>
      </c>
      <c r="AI4615">
        <v>92.9601239604347</v>
      </c>
      <c r="AJ4615">
        <v>90.740980828800005</v>
      </c>
      <c r="AK4615">
        <v>21.704729660027098</v>
      </c>
      <c r="AL4615">
        <v>96.127419174624094</v>
      </c>
      <c r="AM4615">
        <v>90.039468479986098</v>
      </c>
      <c r="AN4615">
        <v>0.99999995858174096</v>
      </c>
    </row>
    <row r="4616" spans="1:40" x14ac:dyDescent="0.25">
      <c r="A4616" t="str">
        <f>"20190303154607343"</f>
        <v>20190303154607343</v>
      </c>
      <c r="B4616" t="str">
        <f>"1551599167336108"</f>
        <v>1551599167336108</v>
      </c>
      <c r="C4616" t="s">
        <v>40</v>
      </c>
      <c r="D4616">
        <v>4.9022889999999997</v>
      </c>
      <c r="E4616">
        <v>0.49462390000000001</v>
      </c>
      <c r="F4616" t="s">
        <v>61</v>
      </c>
      <c r="G4616">
        <v>-403.26600000000002</v>
      </c>
      <c r="H4616" s="1">
        <v>-7.4295550000000002E-6</v>
      </c>
      <c r="I4616">
        <v>141.11320000000001</v>
      </c>
      <c r="J4616">
        <v>-381.7724</v>
      </c>
      <c r="K4616">
        <v>1.1208419999999999</v>
      </c>
      <c r="L4616">
        <v>141.64340000000001</v>
      </c>
      <c r="M4616">
        <v>-0.99984770000000001</v>
      </c>
      <c r="N4616">
        <v>-1.4150869999999999E-2</v>
      </c>
      <c r="O4616">
        <v>-1.021743E-2</v>
      </c>
      <c r="P4616">
        <v>-0.99259960000000003</v>
      </c>
      <c r="Q4616">
        <v>-0.1208568</v>
      </c>
      <c r="R4616">
        <v>-1.181492E-2</v>
      </c>
      <c r="S4616">
        <v>-3.0027469999999998</v>
      </c>
      <c r="T4616">
        <v>-0.15436549999999999</v>
      </c>
      <c r="U4616">
        <v>-7.3455809999999996E-2</v>
      </c>
      <c r="V4616">
        <v>-1.6743820000000001E-3</v>
      </c>
      <c r="W4616">
        <v>-0.10679760000000001</v>
      </c>
      <c r="X4616">
        <v>0.99427940000000004</v>
      </c>
      <c r="Y4616">
        <v>-1.422202E-2</v>
      </c>
      <c r="Z4616" s="1">
        <v>-8.5697329999999999E-5</v>
      </c>
      <c r="AA4616">
        <v>0.99989890000000003</v>
      </c>
      <c r="AB4616">
        <v>29</v>
      </c>
      <c r="AC4616">
        <v>-21.493599999999901</v>
      </c>
      <c r="AD4616">
        <v>-1.120849429555</v>
      </c>
      <c r="AE4616">
        <v>-0.530200000000007</v>
      </c>
      <c r="AF4616">
        <v>-0.30969929068222102</v>
      </c>
      <c r="AG4616">
        <v>-1.120849429555</v>
      </c>
      <c r="AH4616">
        <v>21.439627759965202</v>
      </c>
      <c r="AI4616">
        <v>92.9923490405031</v>
      </c>
      <c r="AJ4616">
        <v>90.827590311818298</v>
      </c>
      <c r="AK4616">
        <v>21.471140062424599</v>
      </c>
      <c r="AL4616">
        <v>96.130743719395994</v>
      </c>
      <c r="AM4616">
        <v>90.096486894131701</v>
      </c>
      <c r="AN4616">
        <v>1.0000000280926</v>
      </c>
    </row>
    <row r="4617" spans="1:40" x14ac:dyDescent="0.25">
      <c r="A4617" t="str">
        <f>"20190303154607366"</f>
        <v>20190303154607366</v>
      </c>
      <c r="B4617" t="str">
        <f>"1551599167355627"</f>
        <v>1551599167355627</v>
      </c>
      <c r="C4617" t="s">
        <v>40</v>
      </c>
      <c r="D4617">
        <v>4.9280059999999999</v>
      </c>
      <c r="E4617">
        <v>0.4945774</v>
      </c>
      <c r="F4617" t="s">
        <v>61</v>
      </c>
      <c r="G4617">
        <v>-403.55829999999997</v>
      </c>
      <c r="H4617" s="1">
        <v>-7.5477289999999999E-6</v>
      </c>
      <c r="I4617">
        <v>141.08529999999999</v>
      </c>
      <c r="J4617">
        <v>-382.05430000000001</v>
      </c>
      <c r="K4617">
        <v>1.1208469999999999</v>
      </c>
      <c r="L4617">
        <v>141.6405</v>
      </c>
      <c r="M4617">
        <v>-0.99984770000000001</v>
      </c>
      <c r="N4617">
        <v>-1.4148020000000001E-2</v>
      </c>
      <c r="O4617">
        <v>-1.0218680000000001E-2</v>
      </c>
      <c r="P4617">
        <v>-0.99265400000000004</v>
      </c>
      <c r="Q4617">
        <v>-0.1203399</v>
      </c>
      <c r="R4617">
        <v>-1.2500290000000001E-2</v>
      </c>
      <c r="S4617">
        <v>-3.0027159999999999</v>
      </c>
      <c r="T4617">
        <v>-0.1544847</v>
      </c>
      <c r="U4617">
        <v>-7.6919559999999998E-2</v>
      </c>
      <c r="V4617">
        <v>-2.3586520000000001E-3</v>
      </c>
      <c r="W4617">
        <v>-0.1062826</v>
      </c>
      <c r="X4617">
        <v>0.99433309999999997</v>
      </c>
      <c r="Y4617">
        <v>-1.537175E-2</v>
      </c>
      <c r="Z4617">
        <v>-1.231727E-4</v>
      </c>
      <c r="AA4617">
        <v>0.99988189999999999</v>
      </c>
      <c r="AB4617">
        <v>29</v>
      </c>
      <c r="AC4617">
        <v>-21.503999999999898</v>
      </c>
      <c r="AD4617">
        <v>-1.120854547729</v>
      </c>
      <c r="AE4617">
        <v>-0.55520000000001302</v>
      </c>
      <c r="AF4617">
        <v>-0.33449835205536899</v>
      </c>
      <c r="AG4617">
        <v>-1.120854547729</v>
      </c>
      <c r="AH4617">
        <v>21.4503132807972</v>
      </c>
      <c r="AI4617">
        <v>92.990823228923603</v>
      </c>
      <c r="AJ4617">
        <v>90.893403759911806</v>
      </c>
      <c r="AK4617">
        <v>21.482182009959701</v>
      </c>
      <c r="AL4617">
        <v>96.101068064466901</v>
      </c>
      <c r="AM4617">
        <v>90.135910744064901</v>
      </c>
      <c r="AN4617">
        <v>0.99999993402881104</v>
      </c>
    </row>
    <row r="4618" spans="1:40" x14ac:dyDescent="0.25">
      <c r="A4618" t="str">
        <f>"20190303154607387"</f>
        <v>20190303154607387</v>
      </c>
      <c r="B4618" t="str">
        <f>"1551599167376123"</f>
        <v>1551599167376123</v>
      </c>
      <c r="C4618" t="s">
        <v>40</v>
      </c>
      <c r="D4618">
        <v>4.9135450000000001</v>
      </c>
      <c r="E4618">
        <v>0.4945292</v>
      </c>
      <c r="F4618" t="s">
        <v>61</v>
      </c>
      <c r="G4618">
        <v>-404.0643</v>
      </c>
      <c r="H4618" s="1">
        <v>-7.7612419999999994E-6</v>
      </c>
      <c r="I4618">
        <v>141.05879999999999</v>
      </c>
      <c r="J4618">
        <v>-382.33620000000002</v>
      </c>
      <c r="K4618">
        <v>1.1208480000000001</v>
      </c>
      <c r="L4618">
        <v>141.63759999999999</v>
      </c>
      <c r="M4618">
        <v>-0.99984779999999995</v>
      </c>
      <c r="N4618">
        <v>-1.414516E-2</v>
      </c>
      <c r="O4618">
        <v>-1.021769E-2</v>
      </c>
      <c r="P4618">
        <v>-0.99265539999999997</v>
      </c>
      <c r="Q4618">
        <v>-0.12025379999999999</v>
      </c>
      <c r="R4618">
        <v>-1.3203100000000001E-2</v>
      </c>
      <c r="S4618">
        <v>-3.0026860000000002</v>
      </c>
      <c r="T4618">
        <v>-0.15291109999999999</v>
      </c>
      <c r="U4618">
        <v>-7.9345700000000005E-2</v>
      </c>
      <c r="V4618">
        <v>-3.0627699999999998E-3</v>
      </c>
      <c r="W4618">
        <v>-0.10619919999999999</v>
      </c>
      <c r="X4618">
        <v>0.99434020000000001</v>
      </c>
      <c r="Y4618">
        <v>-1.6179289999999999E-2</v>
      </c>
      <c r="Z4618">
        <v>-1.5074509999999999E-4</v>
      </c>
      <c r="AA4618">
        <v>0.99986909999999896</v>
      </c>
      <c r="AB4618">
        <v>29</v>
      </c>
      <c r="AC4618">
        <v>-21.728099999999898</v>
      </c>
      <c r="AD4618">
        <v>-1.120855761242</v>
      </c>
      <c r="AE4618">
        <v>-0.57880000000000098</v>
      </c>
      <c r="AF4618">
        <v>-0.35579047639825301</v>
      </c>
      <c r="AG4618">
        <v>-1.120855761242</v>
      </c>
      <c r="AH4618">
        <v>21.675241724659902</v>
      </c>
      <c r="AI4618">
        <v>92.959806727374897</v>
      </c>
      <c r="AJ4618">
        <v>90.940402989638997</v>
      </c>
      <c r="AK4618">
        <v>21.707118839750301</v>
      </c>
      <c r="AL4618">
        <v>96.096261737437999</v>
      </c>
      <c r="AM4618">
        <v>90.176482092995897</v>
      </c>
      <c r="AN4618">
        <v>1.0000000419883699</v>
      </c>
    </row>
    <row r="4619" spans="1:40" x14ac:dyDescent="0.25">
      <c r="A4619" t="str">
        <f>"20190303154607410"</f>
        <v>20190303154607410</v>
      </c>
      <c r="B4619" t="str">
        <f>"1551599167406379"</f>
        <v>1551599167406379</v>
      </c>
      <c r="C4619" t="s">
        <v>40</v>
      </c>
      <c r="D4619">
        <v>4.9745410000000003</v>
      </c>
      <c r="E4619">
        <v>0.4944675</v>
      </c>
      <c r="F4619" t="s">
        <v>61</v>
      </c>
      <c r="G4619">
        <v>-404.38619999999997</v>
      </c>
      <c r="H4619" s="1">
        <v>-7.894587E-6</v>
      </c>
      <c r="I4619">
        <v>141.0359</v>
      </c>
      <c r="J4619">
        <v>-382.61770000000001</v>
      </c>
      <c r="K4619">
        <v>1.120852</v>
      </c>
      <c r="L4619">
        <v>141.63470000000001</v>
      </c>
      <c r="M4619">
        <v>-0.99984779999999995</v>
      </c>
      <c r="N4619">
        <v>-1.414225E-2</v>
      </c>
      <c r="O4619">
        <v>-1.0215749999999999E-2</v>
      </c>
      <c r="P4619">
        <v>-0.99266120000000002</v>
      </c>
      <c r="Q4619">
        <v>-0.1202244</v>
      </c>
      <c r="R4619">
        <v>-1.30385E-2</v>
      </c>
      <c r="S4619">
        <v>-3.0026250000000001</v>
      </c>
      <c r="T4619">
        <v>-0.15263070000000001</v>
      </c>
      <c r="U4619">
        <v>-8.1924440000000001E-2</v>
      </c>
      <c r="V4619">
        <v>-2.900148E-3</v>
      </c>
      <c r="W4619">
        <v>-0.10617260000000001</v>
      </c>
      <c r="X4619">
        <v>0.99434350000000005</v>
      </c>
      <c r="Y4619">
        <v>-1.703849E-2</v>
      </c>
      <c r="Z4619">
        <v>-1.7886200000000001E-4</v>
      </c>
      <c r="AA4619">
        <v>0.99985480000000004</v>
      </c>
      <c r="AB4619">
        <v>29</v>
      </c>
      <c r="AC4619">
        <v>-21.7684999999999</v>
      </c>
      <c r="AD4619">
        <v>-1.1208598945870001</v>
      </c>
      <c r="AE4619">
        <v>-0.59880000000001099</v>
      </c>
      <c r="AF4619">
        <v>-0.37537051293366602</v>
      </c>
      <c r="AG4619">
        <v>-1.1208598945870001</v>
      </c>
      <c r="AH4619">
        <v>21.7159514308651</v>
      </c>
      <c r="AI4619">
        <v>92.954235590678394</v>
      </c>
      <c r="AJ4619">
        <v>90.990286084135704</v>
      </c>
      <c r="AK4619">
        <v>21.748098226579799</v>
      </c>
      <c r="AL4619">
        <v>96.094729175858802</v>
      </c>
      <c r="AM4619">
        <v>90.167111032739996</v>
      </c>
      <c r="AN4619">
        <v>1.0000000139207099</v>
      </c>
    </row>
    <row r="4620" spans="1:40" x14ac:dyDescent="0.25">
      <c r="A4620" t="str">
        <f>"20190303154607432"</f>
        <v>20190303154607432</v>
      </c>
      <c r="B4620" t="str">
        <f>"1551599167425899"</f>
        <v>1551599167425899</v>
      </c>
      <c r="C4620" t="s">
        <v>40</v>
      </c>
      <c r="D4620">
        <v>5.0020410000000002</v>
      </c>
      <c r="E4620">
        <v>0.49442910000000001</v>
      </c>
      <c r="F4620" t="s">
        <v>61</v>
      </c>
      <c r="G4620">
        <v>-404.67840000000001</v>
      </c>
      <c r="H4620" s="1">
        <v>-8.0234069999999993E-6</v>
      </c>
      <c r="I4620">
        <v>141.0341</v>
      </c>
      <c r="J4620">
        <v>-382.90280000000001</v>
      </c>
      <c r="K4620">
        <v>1.120857</v>
      </c>
      <c r="L4620">
        <v>141.6318</v>
      </c>
      <c r="M4620">
        <v>-0.99984790000000001</v>
      </c>
      <c r="N4620">
        <v>-1.4139280000000001E-2</v>
      </c>
      <c r="O4620">
        <v>-1.021297E-2</v>
      </c>
      <c r="P4620">
        <v>-0.99276140000000002</v>
      </c>
      <c r="Q4620">
        <v>-0.11944589999999899</v>
      </c>
      <c r="R4620">
        <v>-1.2559020000000001E-2</v>
      </c>
      <c r="S4620">
        <v>-3.0026860000000002</v>
      </c>
      <c r="T4620">
        <v>-0.1525608</v>
      </c>
      <c r="U4620">
        <v>-8.1741330000000001E-2</v>
      </c>
      <c r="V4620">
        <v>-2.4224160000000002E-3</v>
      </c>
      <c r="W4620">
        <v>-0.1053958</v>
      </c>
      <c r="X4620">
        <v>0.99442739999999996</v>
      </c>
      <c r="Y4620">
        <v>-1.6979899999999999E-2</v>
      </c>
      <c r="Z4620">
        <v>-1.7704689999999999E-4</v>
      </c>
      <c r="AA4620">
        <v>0.99985579999999996</v>
      </c>
      <c r="AB4620">
        <v>28</v>
      </c>
      <c r="AC4620">
        <v>-21.775600000000001</v>
      </c>
      <c r="AD4620">
        <v>-1.1208650234069999</v>
      </c>
      <c r="AE4620">
        <v>-0.59770000000000301</v>
      </c>
      <c r="AF4620">
        <v>-0.37426217676947299</v>
      </c>
      <c r="AG4620">
        <v>-1.1208650234069999</v>
      </c>
      <c r="AH4620">
        <v>21.723056762517999</v>
      </c>
      <c r="AI4620">
        <v>92.953287381313999</v>
      </c>
      <c r="AJ4620">
        <v>90.987039810102601</v>
      </c>
      <c r="AK4620">
        <v>21.755174227876001</v>
      </c>
      <c r="AL4620">
        <v>96.049970773580895</v>
      </c>
      <c r="AM4620">
        <v>90.139571715832204</v>
      </c>
      <c r="AN4620">
        <v>0.99999999831383801</v>
      </c>
    </row>
    <row r="4621" spans="1:40" x14ac:dyDescent="0.25">
      <c r="A4621" t="str">
        <f>"20190303154607455"</f>
        <v>20190303154607455</v>
      </c>
      <c r="B4621" t="str">
        <f>"1551599167446395"</f>
        <v>1551599167446395</v>
      </c>
      <c r="C4621" t="s">
        <v>40</v>
      </c>
      <c r="D4621">
        <v>5.042065</v>
      </c>
      <c r="E4621">
        <v>0.494396</v>
      </c>
      <c r="F4621" t="s">
        <v>61</v>
      </c>
      <c r="G4621">
        <v>-405.28210000000001</v>
      </c>
      <c r="H4621" s="1">
        <v>-8.3479940000000006E-6</v>
      </c>
      <c r="I4621">
        <v>141.03120000000001</v>
      </c>
      <c r="J4621">
        <v>-383.18950000000001</v>
      </c>
      <c r="K4621">
        <v>1.120859</v>
      </c>
      <c r="L4621">
        <v>141.62889999999999</v>
      </c>
      <c r="M4621">
        <v>-0.99984799999999996</v>
      </c>
      <c r="N4621">
        <v>-1.4136279999999999E-2</v>
      </c>
      <c r="O4621">
        <v>-1.020767E-2</v>
      </c>
      <c r="P4621">
        <v>-0.99276779999999998</v>
      </c>
      <c r="Q4621">
        <v>-0.1194503</v>
      </c>
      <c r="R4621">
        <v>-1.1999289999999999E-2</v>
      </c>
      <c r="S4621">
        <v>-3.0027469999999998</v>
      </c>
      <c r="T4621">
        <v>-0.15039279999999999</v>
      </c>
      <c r="U4621">
        <v>-8.0581669999999994E-2</v>
      </c>
      <c r="V4621">
        <v>-1.868572E-3</v>
      </c>
      <c r="W4621">
        <v>-0.10540330000000001</v>
      </c>
      <c r="X4621">
        <v>0.99442779999999997</v>
      </c>
      <c r="Y4621">
        <v>-1.6599820000000001E-2</v>
      </c>
      <c r="Z4621">
        <v>-1.66223699999999E-4</v>
      </c>
      <c r="AA4621">
        <v>0.99986220000000003</v>
      </c>
      <c r="AB4621">
        <v>28</v>
      </c>
      <c r="AC4621">
        <v>-22.092600000000001</v>
      </c>
      <c r="AD4621">
        <v>-1.1208673479939999</v>
      </c>
      <c r="AE4621">
        <v>-0.59769999999997403</v>
      </c>
      <c r="AF4621">
        <v>-0.371177627454084</v>
      </c>
      <c r="AG4621">
        <v>-1.1208673479939999</v>
      </c>
      <c r="AH4621">
        <v>22.0408580001539</v>
      </c>
      <c r="AI4621">
        <v>92.910803729106604</v>
      </c>
      <c r="AJ4621">
        <v>90.9647946287282</v>
      </c>
      <c r="AK4621">
        <v>22.072461073153299</v>
      </c>
      <c r="AL4621">
        <v>96.050402898893495</v>
      </c>
      <c r="AM4621">
        <v>90.107661072339795</v>
      </c>
      <c r="AN4621">
        <v>0.99999999831252395</v>
      </c>
    </row>
    <row r="4622" spans="1:40" x14ac:dyDescent="0.25">
      <c r="A4622" t="str">
        <f>"20190303154607501"</f>
        <v>20190303154607501</v>
      </c>
      <c r="B4622" t="str">
        <f>"1551599167496171"</f>
        <v>1551599167496171</v>
      </c>
      <c r="C4622" t="s">
        <v>40</v>
      </c>
      <c r="D4622">
        <v>5.1703330000000003</v>
      </c>
      <c r="E4622">
        <v>0.49430499999999999</v>
      </c>
      <c r="F4622" t="s">
        <v>61</v>
      </c>
      <c r="G4622">
        <v>-405.53129999999999</v>
      </c>
      <c r="H4622" s="1">
        <v>-8.5064890000000005E-6</v>
      </c>
      <c r="I4622">
        <v>141.0393</v>
      </c>
      <c r="J4622">
        <v>-383.75880000000001</v>
      </c>
      <c r="K4622">
        <v>1.120849</v>
      </c>
      <c r="L4622">
        <v>141.62309999999999</v>
      </c>
      <c r="M4622">
        <v>-0.99984839999999997</v>
      </c>
      <c r="N4622">
        <v>-1.4130200000000001E-2</v>
      </c>
      <c r="O4622">
        <v>-1.018641E-2</v>
      </c>
      <c r="P4622">
        <v>-0.99293359999999997</v>
      </c>
      <c r="Q4622">
        <v>-0.11808689999999999</v>
      </c>
      <c r="R4622">
        <v>-1.176557E-2</v>
      </c>
      <c r="S4622">
        <v>-3.0027469999999998</v>
      </c>
      <c r="T4622">
        <v>-0.15064530000000001</v>
      </c>
      <c r="U4622">
        <v>-7.9238890000000006E-2</v>
      </c>
      <c r="V4622">
        <v>-1.6559039999999999E-3</v>
      </c>
      <c r="W4622">
        <v>-0.1040437</v>
      </c>
      <c r="X4622">
        <v>0.99457130000000005</v>
      </c>
      <c r="Y4622">
        <v>-1.6174910000000001E-2</v>
      </c>
      <c r="Z4622">
        <v>-1.5306019999999999E-4</v>
      </c>
      <c r="AA4622">
        <v>0.99986920000000001</v>
      </c>
      <c r="AB4622">
        <v>28</v>
      </c>
      <c r="AC4622">
        <v>-21.772499999999901</v>
      </c>
      <c r="AD4622">
        <v>-1.1208575064890001</v>
      </c>
      <c r="AE4622">
        <v>-0.58379999999999599</v>
      </c>
      <c r="AF4622">
        <v>-0.36100790832447599</v>
      </c>
      <c r="AG4622">
        <v>-1.1208575064890001</v>
      </c>
      <c r="AH4622">
        <v>21.719796389762902</v>
      </c>
      <c r="AI4622">
        <v>92.953740457671003</v>
      </c>
      <c r="AJ4622">
        <v>90.952233837895903</v>
      </c>
      <c r="AK4622">
        <v>21.7516942667114</v>
      </c>
      <c r="AL4622">
        <v>95.972073119862898</v>
      </c>
      <c r="AM4622">
        <v>90.095394088701497</v>
      </c>
      <c r="AN4622">
        <v>0.99999995215571702</v>
      </c>
    </row>
    <row r="4623" spans="1:40" x14ac:dyDescent="0.25">
      <c r="A4623" t="str">
        <f>"20190303154607522"</f>
        <v>20190303154607522</v>
      </c>
      <c r="B4623" t="str">
        <f>"1551599167515691"</f>
        <v>1551599167515691</v>
      </c>
      <c r="C4623" t="s">
        <v>40</v>
      </c>
      <c r="D4623">
        <v>5.032089</v>
      </c>
      <c r="E4623">
        <v>0.49428090000000002</v>
      </c>
      <c r="F4623" t="s">
        <v>61</v>
      </c>
      <c r="G4623">
        <v>-406.67219999999998</v>
      </c>
      <c r="H4623" s="1">
        <v>-9.2080069999999997E-6</v>
      </c>
      <c r="I4623">
        <v>141.018</v>
      </c>
      <c r="J4623">
        <v>-384.03820000000002</v>
      </c>
      <c r="K4623">
        <v>1.1208450000000001</v>
      </c>
      <c r="L4623">
        <v>141.62029999999999</v>
      </c>
      <c r="M4623">
        <v>-0.99984850000000003</v>
      </c>
      <c r="N4623">
        <v>-1.412716E-2</v>
      </c>
      <c r="O4623">
        <v>-1.01712E-2</v>
      </c>
      <c r="P4623">
        <v>-0.99300189999999999</v>
      </c>
      <c r="Q4623">
        <v>-0.1175033</v>
      </c>
      <c r="R4623">
        <v>-1.18365E-2</v>
      </c>
      <c r="S4623">
        <v>-3.0029300000000001</v>
      </c>
      <c r="T4623">
        <v>-0.14689430000000001</v>
      </c>
      <c r="U4623">
        <v>-7.9299930000000005E-2</v>
      </c>
      <c r="V4623">
        <v>-1.741849E-3</v>
      </c>
      <c r="W4623">
        <v>-0.1034622</v>
      </c>
      <c r="X4623">
        <v>0.99463190000000001</v>
      </c>
      <c r="Y4623">
        <v>-1.620945E-2</v>
      </c>
      <c r="Z4623">
        <v>-1.5724399999999999E-4</v>
      </c>
      <c r="AA4623">
        <v>0.9998686</v>
      </c>
      <c r="AB4623">
        <v>28</v>
      </c>
      <c r="AC4623">
        <v>-22.633999999999901</v>
      </c>
      <c r="AD4623">
        <v>-1.1208542080069901</v>
      </c>
      <c r="AE4623">
        <v>-0.60229999999998496</v>
      </c>
      <c r="AF4623">
        <v>-0.37112146567587501</v>
      </c>
      <c r="AG4623">
        <v>-1.1208542080069901</v>
      </c>
      <c r="AH4623">
        <v>22.583612816177901</v>
      </c>
      <c r="AI4623">
        <v>92.840949988055698</v>
      </c>
      <c r="AJ4623">
        <v>90.941469376989403</v>
      </c>
      <c r="AK4623">
        <v>22.614455844192399</v>
      </c>
      <c r="AL4623">
        <v>95.938574319369906</v>
      </c>
      <c r="AM4623">
        <v>90.100339124679095</v>
      </c>
      <c r="AN4623">
        <v>1.0000000386821899</v>
      </c>
    </row>
    <row r="4624" spans="1:40" x14ac:dyDescent="0.25">
      <c r="A4624" t="str">
        <f>"20190303154607544"</f>
        <v>20190303154607544</v>
      </c>
      <c r="B4624" t="str">
        <f>"1551599167536187"</f>
        <v>1551599167536187</v>
      </c>
      <c r="C4624" t="s">
        <v>40</v>
      </c>
      <c r="D4624">
        <v>5.0032209999999999</v>
      </c>
      <c r="E4624">
        <v>0.49426429999999999</v>
      </c>
      <c r="F4624" t="s">
        <v>61</v>
      </c>
      <c r="G4624">
        <v>-407.24349999999998</v>
      </c>
      <c r="H4624" s="1">
        <v>-9.5584460000000007E-6</v>
      </c>
      <c r="I4624">
        <v>141.00540000000001</v>
      </c>
      <c r="J4624">
        <v>-384.3279</v>
      </c>
      <c r="K4624">
        <v>1.1208419999999999</v>
      </c>
      <c r="L4624">
        <v>141.6173</v>
      </c>
      <c r="M4624">
        <v>-0.99984870000000003</v>
      </c>
      <c r="N4624">
        <v>-1.4124029999999999E-2</v>
      </c>
      <c r="O4624">
        <v>-1.0152069999999999E-2</v>
      </c>
      <c r="P4624">
        <v>-0.99302380000000001</v>
      </c>
      <c r="Q4624">
        <v>-0.1173206</v>
      </c>
      <c r="R4624">
        <v>-1.1814649999999999E-2</v>
      </c>
      <c r="S4624">
        <v>-3.0030209999999999</v>
      </c>
      <c r="T4624">
        <v>-0.14505079999999901</v>
      </c>
      <c r="U4624">
        <v>-7.9574580000000006E-2</v>
      </c>
      <c r="V4624">
        <v>-1.7395100000000001E-3</v>
      </c>
      <c r="W4624">
        <v>-0.10328229999999999</v>
      </c>
      <c r="X4624">
        <v>0.99465049999999999</v>
      </c>
      <c r="Y4624">
        <v>-1.631933E-2</v>
      </c>
      <c r="Z4624">
        <v>-1.6253710000000001E-4</v>
      </c>
      <c r="AA4624">
        <v>0.99986679999999994</v>
      </c>
      <c r="AB4624">
        <v>28</v>
      </c>
      <c r="AC4624">
        <v>-22.915599999999898</v>
      </c>
      <c r="AD4624">
        <v>-1.1208515584459999</v>
      </c>
      <c r="AE4624">
        <v>-0.61189999999999101</v>
      </c>
      <c r="AF4624">
        <v>-0.37830007403441401</v>
      </c>
      <c r="AG4624">
        <v>-1.1208515584459999</v>
      </c>
      <c r="AH4624">
        <v>22.865965960476601</v>
      </c>
      <c r="AI4624">
        <v>92.805914079253299</v>
      </c>
      <c r="AJ4624">
        <v>90.947828769851895</v>
      </c>
      <c r="AK4624">
        <v>22.896545994270902</v>
      </c>
      <c r="AL4624">
        <v>95.928211888980002</v>
      </c>
      <c r="AM4624">
        <v>90.100202513154002</v>
      </c>
      <c r="AN4624">
        <v>0.99999993826928801</v>
      </c>
    </row>
    <row r="4625" spans="1:40" x14ac:dyDescent="0.25">
      <c r="A4625" t="str">
        <f>"20190303154607567"</f>
        <v>20190303154607567</v>
      </c>
      <c r="B4625" t="str">
        <f>"1551599167555707"</f>
        <v>1551599167555707</v>
      </c>
      <c r="C4625" t="s">
        <v>40</v>
      </c>
      <c r="D4625">
        <v>4.9952949999999996</v>
      </c>
      <c r="E4625">
        <v>0.4942339</v>
      </c>
      <c r="F4625" t="s">
        <v>61</v>
      </c>
      <c r="G4625">
        <v>-407.63400000000001</v>
      </c>
      <c r="H4625" s="1">
        <v>-9.7994169999999996E-6</v>
      </c>
      <c r="I4625">
        <v>141.0001</v>
      </c>
      <c r="J4625">
        <v>-384.60730000000001</v>
      </c>
      <c r="K4625">
        <v>1.120844</v>
      </c>
      <c r="L4625">
        <v>141.61449999999999</v>
      </c>
      <c r="M4625">
        <v>-0.99984899999999999</v>
      </c>
      <c r="N4625">
        <v>-1.412102E-2</v>
      </c>
      <c r="O4625">
        <v>-1.013153E-2</v>
      </c>
      <c r="P4625">
        <v>-0.99299570000000004</v>
      </c>
      <c r="Q4625">
        <v>-0.1175953</v>
      </c>
      <c r="R4625">
        <v>-1.1426240000000001E-2</v>
      </c>
      <c r="S4625">
        <v>-3.0030519999999998</v>
      </c>
      <c r="T4625">
        <v>-0.14442469999999999</v>
      </c>
      <c r="U4625">
        <v>-7.9528810000000005E-2</v>
      </c>
      <c r="V4625">
        <v>-1.372372E-3</v>
      </c>
      <c r="W4625">
        <v>-0.1035604</v>
      </c>
      <c r="X4625">
        <v>0.99462220000000001</v>
      </c>
      <c r="Y4625">
        <v>-1.6324470000000001E-2</v>
      </c>
      <c r="Z4625">
        <v>-1.637543E-4</v>
      </c>
      <c r="AA4625">
        <v>0.9998667</v>
      </c>
      <c r="AB4625">
        <v>28</v>
      </c>
      <c r="AC4625">
        <v>-23.026700000000002</v>
      </c>
      <c r="AD4625">
        <v>-1.120853799417</v>
      </c>
      <c r="AE4625">
        <v>-0.61439999999998895</v>
      </c>
      <c r="AF4625">
        <v>-0.38014942554397702</v>
      </c>
      <c r="AG4625">
        <v>-1.120853799417</v>
      </c>
      <c r="AH4625">
        <v>22.977340050364901</v>
      </c>
      <c r="AI4625">
        <v>92.792340594944093</v>
      </c>
      <c r="AJ4625">
        <v>90.947845600922506</v>
      </c>
      <c r="AK4625">
        <v>23.007802646396101</v>
      </c>
      <c r="AL4625">
        <v>95.944231499962299</v>
      </c>
      <c r="AM4625">
        <v>90.079056222173506</v>
      </c>
      <c r="AN4625">
        <v>0.99999998029295301</v>
      </c>
    </row>
    <row r="4626" spans="1:40" x14ac:dyDescent="0.25">
      <c r="A4626" t="str">
        <f>"20190303154607588"</f>
        <v>20190303154607588</v>
      </c>
      <c r="B4626" t="str">
        <f>"1551599167585962"</f>
        <v>1551599167585962</v>
      </c>
      <c r="C4626" t="s">
        <v>40</v>
      </c>
      <c r="D4626">
        <v>4.965198</v>
      </c>
      <c r="E4626">
        <v>0.49420190000000003</v>
      </c>
      <c r="F4626" t="s">
        <v>61</v>
      </c>
      <c r="G4626">
        <v>-407.76549999999997</v>
      </c>
      <c r="H4626" s="1">
        <v>-9.8846610000000004E-6</v>
      </c>
      <c r="I4626">
        <v>141.00839999999999</v>
      </c>
      <c r="J4626">
        <v>-384.88010000000003</v>
      </c>
      <c r="K4626">
        <v>1.120843</v>
      </c>
      <c r="L4626">
        <v>141.61179999999999</v>
      </c>
      <c r="M4626">
        <v>-0.99984919999999999</v>
      </c>
      <c r="N4626">
        <v>-1.411807E-2</v>
      </c>
      <c r="O4626">
        <v>-1.0110040000000001E-2</v>
      </c>
      <c r="P4626">
        <v>-0.9929692</v>
      </c>
      <c r="Q4626">
        <v>-0.11785130000000001</v>
      </c>
      <c r="R4626">
        <v>-1.1116829999999999E-2</v>
      </c>
      <c r="S4626">
        <v>-3.0030519999999998</v>
      </c>
      <c r="T4626">
        <v>-0.14534739999999999</v>
      </c>
      <c r="U4626">
        <v>-7.8598020000000005E-2</v>
      </c>
      <c r="V4626">
        <v>-1.0844590000000001E-3</v>
      </c>
      <c r="W4626">
        <v>-0.1038198</v>
      </c>
      <c r="X4626">
        <v>0.99459549999999997</v>
      </c>
      <c r="Y4626">
        <v>-1.6036519999999999E-2</v>
      </c>
      <c r="Z4626">
        <v>-1.5483430000000001E-4</v>
      </c>
      <c r="AA4626">
        <v>0.99987139999999997</v>
      </c>
      <c r="AB4626">
        <v>28</v>
      </c>
      <c r="AC4626">
        <v>-22.885399999999901</v>
      </c>
      <c r="AD4626">
        <v>-1.120852884661</v>
      </c>
      <c r="AE4626">
        <v>-0.60339999999999305</v>
      </c>
      <c r="AF4626">
        <v>-0.37108426863008798</v>
      </c>
      <c r="AG4626">
        <v>-1.120852884661</v>
      </c>
      <c r="AH4626">
        <v>22.8355929279011</v>
      </c>
      <c r="AI4626">
        <v>92.809657014794794</v>
      </c>
      <c r="AJ4626">
        <v>90.930989235970699</v>
      </c>
      <c r="AK4626">
        <v>22.866095405475001</v>
      </c>
      <c r="AL4626">
        <v>95.959174648737005</v>
      </c>
      <c r="AM4626">
        <v>90.062472531930396</v>
      </c>
      <c r="AN4626">
        <v>0.999999967771805</v>
      </c>
    </row>
    <row r="4627" spans="1:40" x14ac:dyDescent="0.25">
      <c r="A4627" t="str">
        <f>"20190303154607610"</f>
        <v>20190303154607610</v>
      </c>
      <c r="B4627" t="str">
        <f>"1551599167605483"</f>
        <v>1551599167605483</v>
      </c>
      <c r="C4627" t="s">
        <v>40</v>
      </c>
      <c r="D4627">
        <v>4.9146619999999999</v>
      </c>
      <c r="E4627">
        <v>0.49417329999999998</v>
      </c>
      <c r="F4627" t="s">
        <v>61</v>
      </c>
      <c r="G4627">
        <v>-407.9074</v>
      </c>
      <c r="H4627" s="1">
        <v>-9.9757399999999995E-6</v>
      </c>
      <c r="I4627">
        <v>141.01509999999999</v>
      </c>
      <c r="J4627">
        <v>-385.1542</v>
      </c>
      <c r="K4627">
        <v>1.1208450000000001</v>
      </c>
      <c r="L4627">
        <v>141.60910000000001</v>
      </c>
      <c r="M4627">
        <v>-0.99984949999999995</v>
      </c>
      <c r="N4627">
        <v>-1.411512E-2</v>
      </c>
      <c r="O4627">
        <v>-1.0088679999999999E-2</v>
      </c>
      <c r="P4627">
        <v>-0.99292820000000004</v>
      </c>
      <c r="Q4627">
        <v>-0.1182395</v>
      </c>
      <c r="R4627">
        <v>-1.0638180000000001E-2</v>
      </c>
      <c r="S4627">
        <v>-3.0029910000000002</v>
      </c>
      <c r="T4627">
        <v>-0.14617040000000001</v>
      </c>
      <c r="U4627">
        <v>-7.7819819999999998E-2</v>
      </c>
      <c r="V4627">
        <v>-6.2724679999999998E-4</v>
      </c>
      <c r="W4627">
        <v>-0.1042116</v>
      </c>
      <c r="X4627">
        <v>0.99455490000000002</v>
      </c>
      <c r="Y4627">
        <v>-1.5799690000000002E-2</v>
      </c>
      <c r="Z4627">
        <v>-1.4751129999999901E-4</v>
      </c>
      <c r="AA4627">
        <v>0.99987519999999996</v>
      </c>
      <c r="AB4627">
        <v>28</v>
      </c>
      <c r="AC4627">
        <v>-22.7532</v>
      </c>
      <c r="AD4627">
        <v>-1.1208549757399999</v>
      </c>
      <c r="AE4627">
        <v>-0.59400000000002195</v>
      </c>
      <c r="AF4627">
        <v>-0.36351560620457501</v>
      </c>
      <c r="AG4627">
        <v>-1.1208549757399999</v>
      </c>
      <c r="AH4627">
        <v>22.702979567825299</v>
      </c>
      <c r="AI4627">
        <v>92.826058457588005</v>
      </c>
      <c r="AJ4627">
        <v>90.917330269197805</v>
      </c>
      <c r="AK4627">
        <v>22.733537796165599</v>
      </c>
      <c r="AL4627">
        <v>95.981745674792805</v>
      </c>
      <c r="AM4627">
        <v>90.0361353501834</v>
      </c>
      <c r="AN4627">
        <v>0.99999995006355702</v>
      </c>
    </row>
    <row r="4628" spans="1:40" x14ac:dyDescent="0.25">
      <c r="A4628" t="str">
        <f>"20190303154607632"</f>
        <v>20190303154607632</v>
      </c>
      <c r="B4628" t="str">
        <f>"1551599167625987"</f>
        <v>1551599167625987</v>
      </c>
      <c r="C4628" t="s">
        <v>40</v>
      </c>
      <c r="D4628">
        <v>4.9713760000000002</v>
      </c>
      <c r="E4628">
        <v>0.4941334</v>
      </c>
      <c r="F4628" t="s">
        <v>61</v>
      </c>
      <c r="G4628">
        <v>-407.99740000000003</v>
      </c>
      <c r="H4628" s="1">
        <v>-1.0036619999999999E-5</v>
      </c>
      <c r="I4628">
        <v>141.02680000000001</v>
      </c>
      <c r="J4628">
        <v>-385.43689999999998</v>
      </c>
      <c r="K4628">
        <v>1.1208450000000001</v>
      </c>
      <c r="L4628">
        <v>141.6062</v>
      </c>
      <c r="M4628">
        <v>-0.99984969999999995</v>
      </c>
      <c r="N4628">
        <v>-1.4112070000000001E-2</v>
      </c>
      <c r="O4628">
        <v>-1.006695E-2</v>
      </c>
      <c r="P4628">
        <v>-0.99296119999999999</v>
      </c>
      <c r="Q4628">
        <v>-0.1179988</v>
      </c>
      <c r="R4628">
        <v>-1.0217250000000001E-2</v>
      </c>
      <c r="S4628">
        <v>-3.0029910000000002</v>
      </c>
      <c r="T4628">
        <v>-0.14734829999999999</v>
      </c>
      <c r="U4628">
        <v>-7.6538090000000003E-2</v>
      </c>
      <c r="V4628">
        <v>-2.279417E-4</v>
      </c>
      <c r="W4628">
        <v>-0.1039736</v>
      </c>
      <c r="X4628">
        <v>0.99458000000000002</v>
      </c>
      <c r="Y4628">
        <v>-1.539533E-2</v>
      </c>
      <c r="Z4628">
        <v>-1.3458879999999999E-4</v>
      </c>
      <c r="AA4628">
        <v>0.99988140000000003</v>
      </c>
      <c r="AB4628">
        <v>28</v>
      </c>
      <c r="AC4628">
        <v>-22.560500000000001</v>
      </c>
      <c r="AD4628">
        <v>-1.1208550366200001</v>
      </c>
      <c r="AE4628">
        <v>-0.57939999999999203</v>
      </c>
      <c r="AF4628">
        <v>-0.35136586906217199</v>
      </c>
      <c r="AG4628">
        <v>-1.1208550366200001</v>
      </c>
      <c r="AH4628">
        <v>22.5096655009574</v>
      </c>
      <c r="AI4628">
        <v>92.850307175746806</v>
      </c>
      <c r="AJ4628">
        <v>90.894289011492901</v>
      </c>
      <c r="AK4628">
        <v>22.540293142549199</v>
      </c>
      <c r="AL4628">
        <v>95.968034682714901</v>
      </c>
      <c r="AM4628">
        <v>90.013131268632307</v>
      </c>
      <c r="AN4628">
        <v>0.99999996892718801</v>
      </c>
    </row>
    <row r="4629" spans="1:40" x14ac:dyDescent="0.25">
      <c r="A4629" t="str">
        <f>"20190303154607654"</f>
        <v>20190303154607654</v>
      </c>
      <c r="B4629" t="str">
        <f>"1551599167645500"</f>
        <v>1551599167645500</v>
      </c>
      <c r="C4629" t="s">
        <v>40</v>
      </c>
      <c r="D4629">
        <v>4.8985089999999998</v>
      </c>
      <c r="E4629">
        <v>0.494201</v>
      </c>
      <c r="F4629" t="s">
        <v>61</v>
      </c>
      <c r="G4629">
        <v>-408.3646</v>
      </c>
      <c r="H4629" s="1">
        <v>-1.0265899999999999E-5</v>
      </c>
      <c r="I4629">
        <v>141.02850000000001</v>
      </c>
      <c r="J4629">
        <v>-385.70609999999999</v>
      </c>
      <c r="K4629">
        <v>1.120849</v>
      </c>
      <c r="L4629">
        <v>141.6035</v>
      </c>
      <c r="M4629">
        <v>-0.99985000000000002</v>
      </c>
      <c r="N4629">
        <v>-1.4109160000000001E-2</v>
      </c>
      <c r="O4629">
        <v>-1.004655E-2</v>
      </c>
      <c r="P4629">
        <v>-0.99301220000000001</v>
      </c>
      <c r="Q4629">
        <v>-0.1175718</v>
      </c>
      <c r="R4629">
        <v>-1.018413E-2</v>
      </c>
      <c r="S4629">
        <v>-3.0030519999999998</v>
      </c>
      <c r="T4629">
        <v>-0.146808299999999</v>
      </c>
      <c r="U4629">
        <v>-7.5668330000000006E-2</v>
      </c>
      <c r="V4629">
        <v>-2.1467219999999999E-4</v>
      </c>
      <c r="W4629">
        <v>-0.10354869999999999</v>
      </c>
      <c r="X4629">
        <v>0.99462439999999996</v>
      </c>
      <c r="Y4629">
        <v>-1.512631E-2</v>
      </c>
      <c r="Z4629">
        <v>-1.2720259999999999E-4</v>
      </c>
      <c r="AA4629">
        <v>0.99988560000000004</v>
      </c>
      <c r="AB4629">
        <v>28</v>
      </c>
      <c r="AC4629">
        <v>-22.6585</v>
      </c>
      <c r="AD4629">
        <v>-1.1208592659000001</v>
      </c>
      <c r="AE4629">
        <v>-0.57499999999998797</v>
      </c>
      <c r="AF4629">
        <v>-0.34646130674525</v>
      </c>
      <c r="AG4629">
        <v>-1.1208592659000001</v>
      </c>
      <c r="AH4629">
        <v>22.607847039004699</v>
      </c>
      <c r="AI4629">
        <v>92.837972284675402</v>
      </c>
      <c r="AJ4629">
        <v>90.877979085734793</v>
      </c>
      <c r="AK4629">
        <v>22.638266467865002</v>
      </c>
      <c r="AL4629">
        <v>95.943557170331999</v>
      </c>
      <c r="AM4629">
        <v>90.012366287060502</v>
      </c>
      <c r="AN4629">
        <v>1.0000000382156</v>
      </c>
    </row>
    <row r="4630" spans="1:40" x14ac:dyDescent="0.25">
      <c r="A4630" t="str">
        <f>"20190303154607677"</f>
        <v>20190303154607677</v>
      </c>
      <c r="B4630" t="str">
        <f>"1551599167665995"</f>
        <v>1551599167665995</v>
      </c>
      <c r="C4630" t="s">
        <v>40</v>
      </c>
      <c r="D4630">
        <v>4.881964</v>
      </c>
      <c r="E4630">
        <v>0.49430580000000002</v>
      </c>
      <c r="F4630" t="s">
        <v>61</v>
      </c>
      <c r="G4630">
        <v>-408.8716</v>
      </c>
      <c r="H4630" s="1">
        <v>-1.058007E-5</v>
      </c>
      <c r="I4630">
        <v>141.02500000000001</v>
      </c>
      <c r="J4630">
        <v>-385.99790000000002</v>
      </c>
      <c r="K4630">
        <v>1.1208499999999999</v>
      </c>
      <c r="L4630">
        <v>141.60059999999999</v>
      </c>
      <c r="M4630">
        <v>-0.99985029999999997</v>
      </c>
      <c r="N4630">
        <v>-1.410602E-2</v>
      </c>
      <c r="O4630">
        <v>-1.002483E-2</v>
      </c>
      <c r="P4630">
        <v>-0.99308129999999994</v>
      </c>
      <c r="Q4630">
        <v>-0.11698260000000001</v>
      </c>
      <c r="R4630">
        <v>-1.0234790000000001E-2</v>
      </c>
      <c r="S4630">
        <v>-3.0031129999999999</v>
      </c>
      <c r="T4630">
        <v>-0.1453055</v>
      </c>
      <c r="U4630">
        <v>-7.4996950000000007E-2</v>
      </c>
      <c r="V4630">
        <v>-2.8630499999999999E-4</v>
      </c>
      <c r="W4630">
        <v>-0.10296180000000001</v>
      </c>
      <c r="X4630">
        <v>0.99468529999999999</v>
      </c>
      <c r="Y4630">
        <v>-1.4924669999999999E-2</v>
      </c>
      <c r="Z4630">
        <v>-1.2283459999999901E-4</v>
      </c>
      <c r="AA4630">
        <v>0.99988860000000002</v>
      </c>
      <c r="AB4630">
        <v>28</v>
      </c>
      <c r="AC4630">
        <v>-22.8736999999999</v>
      </c>
      <c r="AD4630">
        <v>-1.12086058007</v>
      </c>
      <c r="AE4630">
        <v>-0.57559999999998002</v>
      </c>
      <c r="AF4630">
        <v>-0.34541442284601498</v>
      </c>
      <c r="AG4630">
        <v>-1.12086058007</v>
      </c>
      <c r="AH4630">
        <v>22.8235517524556</v>
      </c>
      <c r="AI4630">
        <v>92.811205362477807</v>
      </c>
      <c r="AJ4630">
        <v>90.867055139471603</v>
      </c>
      <c r="AK4630">
        <v>22.853668286743002</v>
      </c>
      <c r="AL4630">
        <v>95.909749620793903</v>
      </c>
      <c r="AM4630">
        <v>90.016491716224607</v>
      </c>
      <c r="AN4630">
        <v>1.0000000301329399</v>
      </c>
    </row>
    <row r="4631" spans="1:40" x14ac:dyDescent="0.25">
      <c r="A4631" t="str">
        <f>"20190303154607700"</f>
        <v>20190303154607700</v>
      </c>
      <c r="B4631" t="str">
        <f>"1551599167696251"</f>
        <v>1551599167696251</v>
      </c>
      <c r="C4631" t="s">
        <v>40</v>
      </c>
      <c r="D4631">
        <v>4.9337580000000001</v>
      </c>
      <c r="E4631">
        <v>0.49446600000000002</v>
      </c>
      <c r="F4631" t="s">
        <v>61</v>
      </c>
      <c r="G4631">
        <v>-409.49470000000002</v>
      </c>
      <c r="H4631" s="1">
        <v>-1.0941969999999999E-5</v>
      </c>
      <c r="I4631">
        <v>141.0196</v>
      </c>
      <c r="J4631">
        <v>-386.27809999999999</v>
      </c>
      <c r="K4631">
        <v>1.120851</v>
      </c>
      <c r="L4631">
        <v>141.59790000000001</v>
      </c>
      <c r="M4631">
        <v>-0.99985060000000003</v>
      </c>
      <c r="N4631">
        <v>-1.4102989999999999E-2</v>
      </c>
      <c r="O4631">
        <v>-1.0003959999999999E-2</v>
      </c>
      <c r="P4631">
        <v>-0.99311289999999997</v>
      </c>
      <c r="Q4631">
        <v>-0.1167135</v>
      </c>
      <c r="R4631">
        <v>-1.024743E-2</v>
      </c>
      <c r="S4631">
        <v>-3.0032649999999999</v>
      </c>
      <c r="T4631">
        <v>-0.1432639</v>
      </c>
      <c r="U4631">
        <v>-7.4264529999999995E-2</v>
      </c>
      <c r="V4631">
        <v>-3.1904079999999998E-4</v>
      </c>
      <c r="W4631">
        <v>-0.1026952</v>
      </c>
      <c r="X4631">
        <v>0.99471279999999995</v>
      </c>
      <c r="Y4631">
        <v>-1.4701219999999999E-2</v>
      </c>
      <c r="Z4631">
        <v>-1.1832409999999999E-4</v>
      </c>
      <c r="AA4631">
        <v>0.99989189999999994</v>
      </c>
      <c r="AB4631">
        <v>28</v>
      </c>
      <c r="AC4631">
        <v>-23.2166</v>
      </c>
      <c r="AD4631">
        <v>-1.1208619419700001</v>
      </c>
      <c r="AE4631">
        <v>-0.57830000000001203</v>
      </c>
      <c r="AF4631">
        <v>-0.345185975505448</v>
      </c>
      <c r="AG4631">
        <v>-1.1208619419700001</v>
      </c>
      <c r="AH4631">
        <v>23.167258842686199</v>
      </c>
      <c r="AI4631">
        <v>92.769577121569199</v>
      </c>
      <c r="AJ4631">
        <v>90.853628662307301</v>
      </c>
      <c r="AK4631">
        <v>23.1969258121559</v>
      </c>
      <c r="AL4631">
        <v>95.894393458793104</v>
      </c>
      <c r="AM4631">
        <v>90.018376852801794</v>
      </c>
      <c r="AN4631">
        <v>0.99999998018695502</v>
      </c>
    </row>
    <row r="4632" spans="1:40" x14ac:dyDescent="0.25">
      <c r="A4632" t="str">
        <f>"20190303154607722"</f>
        <v>20190303154607722</v>
      </c>
      <c r="B4632" t="str">
        <f>"1551599167715771"</f>
        <v>1551599167715771</v>
      </c>
      <c r="C4632" t="s">
        <v>40</v>
      </c>
      <c r="D4632">
        <v>4.8214739999999896</v>
      </c>
      <c r="E4632">
        <v>0.4945618</v>
      </c>
      <c r="F4632" t="s">
        <v>61</v>
      </c>
      <c r="G4632">
        <v>-409.99059999999997</v>
      </c>
      <c r="H4632" s="1">
        <v>-1.118144E-5</v>
      </c>
      <c r="I4632">
        <v>141.02099999999999</v>
      </c>
      <c r="J4632">
        <v>-386.55709999999999</v>
      </c>
      <c r="K4632">
        <v>1.120854</v>
      </c>
      <c r="L4632">
        <v>141.5951</v>
      </c>
      <c r="M4632">
        <v>-0.99985069999999998</v>
      </c>
      <c r="N4632">
        <v>-1.409997E-2</v>
      </c>
      <c r="O4632">
        <v>-9.9831929999999996E-3</v>
      </c>
      <c r="P4632">
        <v>-0.99313280000000004</v>
      </c>
      <c r="Q4632">
        <v>-0.116492899999999</v>
      </c>
      <c r="R4632">
        <v>-1.0812810000000001E-2</v>
      </c>
      <c r="S4632">
        <v>-3.0033569999999998</v>
      </c>
      <c r="T4632">
        <v>-0.14196549999999999</v>
      </c>
      <c r="U4632">
        <v>-7.3059079999999998E-2</v>
      </c>
      <c r="V4632">
        <v>-9.0436719999999996E-4</v>
      </c>
      <c r="W4632">
        <v>-0.10247729999999999</v>
      </c>
      <c r="X4632">
        <v>0.99473489999999998</v>
      </c>
      <c r="Y4632">
        <v>-1.4320899999999999E-2</v>
      </c>
      <c r="Z4632">
        <v>-1.084412E-4</v>
      </c>
      <c r="AA4632">
        <v>0.99989740000000005</v>
      </c>
      <c r="AB4632">
        <v>28</v>
      </c>
      <c r="AC4632">
        <v>-23.433499999999899</v>
      </c>
      <c r="AD4632">
        <v>-1.1208651814399999</v>
      </c>
      <c r="AE4632">
        <v>-0.57409999999998695</v>
      </c>
      <c r="AF4632">
        <v>-0.33933107966585002</v>
      </c>
      <c r="AG4632">
        <v>-1.1208651814399999</v>
      </c>
      <c r="AH4632">
        <v>23.384594964180199</v>
      </c>
      <c r="AI4632">
        <v>92.743899810412103</v>
      </c>
      <c r="AJ4632">
        <v>90.831353902085198</v>
      </c>
      <c r="AK4632">
        <v>23.413901126795398</v>
      </c>
      <c r="AL4632">
        <v>95.881842562097006</v>
      </c>
      <c r="AM4632">
        <v>90.052090672010806</v>
      </c>
      <c r="AN4632">
        <v>0.99999996808666503</v>
      </c>
    </row>
    <row r="4633" spans="1:40" x14ac:dyDescent="0.25">
      <c r="A4633" t="str">
        <f>"20190303154607745"</f>
        <v>20190303154607745</v>
      </c>
      <c r="B4633" t="str">
        <f>"1551599167736267"</f>
        <v>1551599167736267</v>
      </c>
      <c r="C4633" t="s">
        <v>40</v>
      </c>
      <c r="D4633">
        <v>4.8337599999999998</v>
      </c>
      <c r="E4633">
        <v>0.49465170000000003</v>
      </c>
      <c r="F4633" t="s">
        <v>61</v>
      </c>
      <c r="G4633">
        <v>-410.39429999999999</v>
      </c>
      <c r="H4633" s="1">
        <v>-1.1137109999999999E-5</v>
      </c>
      <c r="I4633">
        <v>141.0077</v>
      </c>
      <c r="J4633">
        <v>-386.8372</v>
      </c>
      <c r="K4633">
        <v>1.1208530000000001</v>
      </c>
      <c r="L4633">
        <v>141.59229999999999</v>
      </c>
      <c r="M4633">
        <v>-0.99985100000000005</v>
      </c>
      <c r="N4633">
        <v>-1.4096900000000001E-2</v>
      </c>
      <c r="O4633">
        <v>-9.9626720000000005E-3</v>
      </c>
      <c r="P4633">
        <v>-0.99312129999999998</v>
      </c>
      <c r="Q4633">
        <v>-0.11655550000000001</v>
      </c>
      <c r="R4633">
        <v>-1.1175559999999999E-2</v>
      </c>
      <c r="S4633">
        <v>-3.0034179999999999</v>
      </c>
      <c r="T4633">
        <v>-0.1412263</v>
      </c>
      <c r="U4633">
        <v>-7.4005130000000002E-2</v>
      </c>
      <c r="V4633">
        <v>-1.2880890000000001E-3</v>
      </c>
      <c r="W4633">
        <v>-0.102543</v>
      </c>
      <c r="X4633">
        <v>0.99472769999999999</v>
      </c>
      <c r="Y4633">
        <v>-1.4655319999999999E-2</v>
      </c>
      <c r="Z4633">
        <v>-1.199765E-4</v>
      </c>
      <c r="AA4633">
        <v>0.99989260000000002</v>
      </c>
      <c r="AB4633">
        <v>28</v>
      </c>
      <c r="AC4633">
        <v>-23.557099999999899</v>
      </c>
      <c r="AD4633">
        <v>-1.1208641371100001</v>
      </c>
      <c r="AE4633">
        <v>-0.58459999999999401</v>
      </c>
      <c r="AF4633">
        <v>-0.34906622412100402</v>
      </c>
      <c r="AG4633">
        <v>-1.1208641371100001</v>
      </c>
      <c r="AH4633">
        <v>23.5085665102898</v>
      </c>
      <c r="AI4633">
        <v>92.729435854863993</v>
      </c>
      <c r="AJ4633">
        <v>90.850692097703202</v>
      </c>
      <c r="AK4633">
        <v>23.5378606294497</v>
      </c>
      <c r="AL4633">
        <v>95.885626869019802</v>
      </c>
      <c r="AM4633">
        <v>90.0741931908467</v>
      </c>
      <c r="AN4633">
        <v>0.99999996158477999</v>
      </c>
    </row>
    <row r="4634" spans="1:40" x14ac:dyDescent="0.25">
      <c r="A4634" t="str">
        <f>"20190303154607767"</f>
        <v>20190303154607767</v>
      </c>
      <c r="B4634" t="str">
        <f>"1551599167755787"</f>
        <v>1551599167755787</v>
      </c>
      <c r="C4634" t="s">
        <v>40</v>
      </c>
      <c r="D4634">
        <v>4.85107</v>
      </c>
      <c r="E4634">
        <v>0.4947356</v>
      </c>
      <c r="F4634" t="s">
        <v>61</v>
      </c>
      <c r="G4634">
        <v>-410.64609999999999</v>
      </c>
      <c r="H4634" s="1">
        <v>-1.1110639999999899E-5</v>
      </c>
      <c r="I4634">
        <v>141.0027</v>
      </c>
      <c r="J4634">
        <v>-387.1182</v>
      </c>
      <c r="K4634">
        <v>1.120857</v>
      </c>
      <c r="L4634">
        <v>141.58949999999999</v>
      </c>
      <c r="M4634">
        <v>-0.99985139999999995</v>
      </c>
      <c r="N4634">
        <v>-1.409386E-2</v>
      </c>
      <c r="O4634">
        <v>-9.9421509999999998E-3</v>
      </c>
      <c r="P4634">
        <v>-0.99312520000000004</v>
      </c>
      <c r="Q4634">
        <v>-0.1165171</v>
      </c>
      <c r="R4634">
        <v>-1.1258829999999999E-2</v>
      </c>
      <c r="S4634">
        <v>-3.0033569999999998</v>
      </c>
      <c r="T4634">
        <v>-0.14139019999999999</v>
      </c>
      <c r="U4634">
        <v>-7.4371339999999994E-2</v>
      </c>
      <c r="V4634">
        <v>-1.3914960000000001E-3</v>
      </c>
      <c r="W4634">
        <v>-0.1025076</v>
      </c>
      <c r="X4634">
        <v>0.99473120000000004</v>
      </c>
      <c r="Y4634">
        <v>-1.4797950000000001E-2</v>
      </c>
      <c r="Z4634">
        <v>-1.2481530000000001E-4</v>
      </c>
      <c r="AA4634">
        <v>0.99989050000000002</v>
      </c>
      <c r="AB4634">
        <v>28</v>
      </c>
      <c r="AC4634">
        <v>-23.527899999999899</v>
      </c>
      <c r="AD4634">
        <v>-1.12086811064</v>
      </c>
      <c r="AE4634">
        <v>-0.586799999999982</v>
      </c>
      <c r="AF4634">
        <v>-0.35203139579472398</v>
      </c>
      <c r="AG4634">
        <v>-1.12086811064</v>
      </c>
      <c r="AH4634">
        <v>23.479316831612699</v>
      </c>
      <c r="AI4634">
        <v>92.732834715061401</v>
      </c>
      <c r="AJ4634">
        <v>90.858985898106198</v>
      </c>
      <c r="AK4634">
        <v>23.5086918033379</v>
      </c>
      <c r="AL4634">
        <v>95.8835879084467</v>
      </c>
      <c r="AM4634">
        <v>90.080149085507202</v>
      </c>
      <c r="AN4634">
        <v>0.99999995228615701</v>
      </c>
    </row>
    <row r="4635" spans="1:40" x14ac:dyDescent="0.25">
      <c r="A4635" t="str">
        <f>"20190303154607789"</f>
        <v>20190303154607789</v>
      </c>
      <c r="B4635" t="str">
        <f>"1551599167786044"</f>
        <v>1551599167786044</v>
      </c>
      <c r="C4635" t="s">
        <v>40</v>
      </c>
      <c r="D4635">
        <v>4.9205220000000001</v>
      </c>
      <c r="E4635">
        <v>0.49484149999999999</v>
      </c>
      <c r="F4635" t="s">
        <v>61</v>
      </c>
      <c r="G4635">
        <v>-410.95240000000001</v>
      </c>
      <c r="H4635" s="1">
        <v>-1.10807E-5</v>
      </c>
      <c r="I4635">
        <v>141.00290000000001</v>
      </c>
      <c r="J4635">
        <v>-387.399</v>
      </c>
      <c r="K4635">
        <v>1.1208579999999999</v>
      </c>
      <c r="L4635">
        <v>141.58680000000001</v>
      </c>
      <c r="M4635">
        <v>-0.9998515</v>
      </c>
      <c r="N4635">
        <v>-1.409082E-2</v>
      </c>
      <c r="O4635">
        <v>-9.9218659999999997E-3</v>
      </c>
      <c r="P4635">
        <v>-0.99312630000000002</v>
      </c>
      <c r="Q4635">
        <v>-0.11652270000000001</v>
      </c>
      <c r="R4635">
        <v>-1.1083580000000001E-2</v>
      </c>
      <c r="S4635">
        <v>-3.0033569999999998</v>
      </c>
      <c r="T4635">
        <v>-0.1412408</v>
      </c>
      <c r="U4635">
        <v>-7.3928830000000001E-2</v>
      </c>
      <c r="V4635">
        <v>-1.236865E-3</v>
      </c>
      <c r="W4635">
        <v>-0.1025162</v>
      </c>
      <c r="X4635">
        <v>0.99473049999999996</v>
      </c>
      <c r="Y4635">
        <v>-1.4671200000000001E-2</v>
      </c>
      <c r="Z4635">
        <v>-1.216838E-4</v>
      </c>
      <c r="AA4635">
        <v>0.99989240000000001</v>
      </c>
      <c r="AB4635">
        <v>28</v>
      </c>
      <c r="AC4635">
        <v>-23.5534</v>
      </c>
      <c r="AD4635">
        <v>-1.1208690806999999</v>
      </c>
      <c r="AE4635">
        <v>-0.58389999999999898</v>
      </c>
      <c r="AF4635">
        <v>-0.34936366962187099</v>
      </c>
      <c r="AG4635">
        <v>-1.1208690806999999</v>
      </c>
      <c r="AH4635">
        <v>23.5048366402197</v>
      </c>
      <c r="AI4635">
        <v>92.729879735060294</v>
      </c>
      <c r="AJ4635">
        <v>90.851551968193704</v>
      </c>
      <c r="AK4635">
        <v>23.534140051277301</v>
      </c>
      <c r="AL4635">
        <v>95.884083367634304</v>
      </c>
      <c r="AM4635">
        <v>90.071242520265798</v>
      </c>
      <c r="AN4635">
        <v>0.99999993436385703</v>
      </c>
    </row>
    <row r="4636" spans="1:40" x14ac:dyDescent="0.25">
      <c r="A4636" t="str">
        <f>"20190303154607812"</f>
        <v>20190303154607812</v>
      </c>
      <c r="B4636" t="str">
        <f>"1551599167805563"</f>
        <v>1551599167805563</v>
      </c>
      <c r="C4636" t="s">
        <v>40</v>
      </c>
      <c r="D4636">
        <v>4.8496509999999997</v>
      </c>
      <c r="E4636">
        <v>0.49491370000000001</v>
      </c>
      <c r="F4636" t="s">
        <v>61</v>
      </c>
      <c r="G4636">
        <v>-411.18689999999998</v>
      </c>
      <c r="H4636" s="1">
        <v>-1.106152E-5</v>
      </c>
      <c r="I4636">
        <v>141.01329999999999</v>
      </c>
      <c r="J4636">
        <v>-387.67590000000001</v>
      </c>
      <c r="K4636">
        <v>1.1208579999999999</v>
      </c>
      <c r="L4636">
        <v>141.584</v>
      </c>
      <c r="M4636">
        <v>-0.99985179999999996</v>
      </c>
      <c r="N4636">
        <v>-1.4087809999999999E-2</v>
      </c>
      <c r="O4636">
        <v>-9.9018219999999994E-3</v>
      </c>
      <c r="P4636">
        <v>-0.99314499999999994</v>
      </c>
      <c r="Q4636">
        <v>-0.1163922</v>
      </c>
      <c r="R4636">
        <v>-1.077409E-2</v>
      </c>
      <c r="S4636">
        <v>-3.0034179999999999</v>
      </c>
      <c r="T4636">
        <v>-0.14151910000000001</v>
      </c>
      <c r="U4636">
        <v>-7.2402949999999994E-2</v>
      </c>
      <c r="V4636">
        <v>-9.4611670000000001E-4</v>
      </c>
      <c r="W4636">
        <v>-0.10238849999999999</v>
      </c>
      <c r="X4636">
        <v>0.99474410000000002</v>
      </c>
      <c r="Y4636">
        <v>-1.41837E-2</v>
      </c>
      <c r="Z4636">
        <v>-1.071416E-4</v>
      </c>
      <c r="AA4636">
        <v>0.99989939999999999</v>
      </c>
      <c r="AB4636">
        <v>28</v>
      </c>
      <c r="AC4636">
        <v>-23.5109999999999</v>
      </c>
      <c r="AD4636">
        <v>-1.1208690615200001</v>
      </c>
      <c r="AE4636">
        <v>-0.57070000000001597</v>
      </c>
      <c r="AF4636">
        <v>-0.33708151093368699</v>
      </c>
      <c r="AG4636">
        <v>-1.1208690615200001</v>
      </c>
      <c r="AH4636">
        <v>23.462204417804902</v>
      </c>
      <c r="AI4636">
        <v>92.734852328491399</v>
      </c>
      <c r="AJ4636">
        <v>90.823111883339294</v>
      </c>
      <c r="AK4636">
        <v>23.491381558796199</v>
      </c>
      <c r="AL4636">
        <v>95.876727237114693</v>
      </c>
      <c r="AM4636">
        <v>90.054494897221105</v>
      </c>
      <c r="AN4636">
        <v>1.0000000622769301</v>
      </c>
    </row>
    <row r="4637" spans="1:40" x14ac:dyDescent="0.25">
      <c r="A4637" t="str">
        <f>"20190303154607834"</f>
        <v>20190303154607834</v>
      </c>
      <c r="B4637" t="str">
        <f>"1551599167826059"</f>
        <v>1551599167826059</v>
      </c>
      <c r="C4637" t="s">
        <v>40</v>
      </c>
      <c r="D4637">
        <v>5.0380190000000002</v>
      </c>
      <c r="E4637">
        <v>0.49497140000000001</v>
      </c>
      <c r="F4637" t="s">
        <v>61</v>
      </c>
      <c r="G4637">
        <v>-411.51249999999999</v>
      </c>
      <c r="H4637" s="1">
        <v>-1.1034500000000001E-5</v>
      </c>
      <c r="I4637">
        <v>141.02260000000001</v>
      </c>
      <c r="J4637">
        <v>-387.95690000000002</v>
      </c>
      <c r="K4637">
        <v>1.12086</v>
      </c>
      <c r="L4637">
        <v>141.5813</v>
      </c>
      <c r="M4637">
        <v>-0.99985210000000002</v>
      </c>
      <c r="N4637">
        <v>-1.408477E-2</v>
      </c>
      <c r="O4637">
        <v>-9.8815359999999998E-3</v>
      </c>
      <c r="P4637">
        <v>-0.99307780000000001</v>
      </c>
      <c r="Q4637">
        <v>-0.1169356</v>
      </c>
      <c r="R4637">
        <v>-1.108493E-2</v>
      </c>
      <c r="S4637">
        <v>-3.003387</v>
      </c>
      <c r="T4637">
        <v>-0.141228399999999</v>
      </c>
      <c r="U4637">
        <v>-7.0739750000000004E-2</v>
      </c>
      <c r="V4637">
        <v>-1.27855E-3</v>
      </c>
      <c r="W4637">
        <v>-0.10293579999999999</v>
      </c>
      <c r="X4637">
        <v>0.99468719999999999</v>
      </c>
      <c r="Y4637">
        <v>-1.365162E-2</v>
      </c>
      <c r="Z4637" s="1">
        <v>-9.1774649999999997E-5</v>
      </c>
      <c r="AA4637">
        <v>0.99990679999999998</v>
      </c>
      <c r="AB4637">
        <v>28</v>
      </c>
      <c r="AC4637">
        <v>-23.555599999999899</v>
      </c>
      <c r="AD4637">
        <v>-1.1208710344999999</v>
      </c>
      <c r="AE4637">
        <v>-0.55869999999998698</v>
      </c>
      <c r="AF4637">
        <v>-0.325148343941153</v>
      </c>
      <c r="AG4637">
        <v>-1.1208710344999999</v>
      </c>
      <c r="AH4637">
        <v>23.506775947538401</v>
      </c>
      <c r="AI4637">
        <v>92.729699935746197</v>
      </c>
      <c r="AJ4637">
        <v>90.792471068027595</v>
      </c>
      <c r="AK4637">
        <v>23.5357300453867</v>
      </c>
      <c r="AL4637">
        <v>95.908252034750006</v>
      </c>
      <c r="AM4637">
        <v>90.073646749000304</v>
      </c>
      <c r="AN4637">
        <v>1.0000000197277901</v>
      </c>
    </row>
    <row r="4638" spans="1:40" x14ac:dyDescent="0.25">
      <c r="A4638" t="str">
        <f>"20190303154607856"</f>
        <v>20190303154607856</v>
      </c>
      <c r="B4638" t="str">
        <f>"1551599167845579"</f>
        <v>1551599167845579</v>
      </c>
      <c r="C4638" t="s">
        <v>40</v>
      </c>
      <c r="D4638">
        <v>4.8761749999999999</v>
      </c>
      <c r="E4638">
        <v>0.4950522</v>
      </c>
      <c r="F4638" t="s">
        <v>61</v>
      </c>
      <c r="G4638">
        <v>-411.4581</v>
      </c>
      <c r="H4638" s="1">
        <v>-1.1039800000000001E-5</v>
      </c>
      <c r="I4638">
        <v>141.0241</v>
      </c>
      <c r="J4638">
        <v>-388.2269</v>
      </c>
      <c r="K4638">
        <v>1.1208530000000001</v>
      </c>
      <c r="L4638">
        <v>141.57859999999999</v>
      </c>
      <c r="M4638">
        <v>-0.99985230000000003</v>
      </c>
      <c r="N4638">
        <v>-1.408186E-2</v>
      </c>
      <c r="O4638">
        <v>-9.8618490000000007E-3</v>
      </c>
      <c r="P4638">
        <v>-0.99310730000000003</v>
      </c>
      <c r="Q4638">
        <v>-0.116609</v>
      </c>
      <c r="R4638">
        <v>-1.185199E-2</v>
      </c>
      <c r="S4638">
        <v>-3.0032649999999999</v>
      </c>
      <c r="T4638">
        <v>-0.14323810000000001</v>
      </c>
      <c r="U4638">
        <v>-7.1197510000000006E-2</v>
      </c>
      <c r="V4638">
        <v>-2.064541E-3</v>
      </c>
      <c r="W4638">
        <v>-0.10261149999999999</v>
      </c>
      <c r="X4638">
        <v>0.99471940000000003</v>
      </c>
      <c r="Y4638">
        <v>-1.3824049999999999E-2</v>
      </c>
      <c r="Z4638" s="1">
        <v>-9.5664680000000004E-5</v>
      </c>
      <c r="AA4638">
        <v>0.99990449999999997</v>
      </c>
      <c r="AB4638">
        <v>28</v>
      </c>
      <c r="AC4638">
        <v>-23.231200000000001</v>
      </c>
      <c r="AD4638">
        <v>-1.1208640398</v>
      </c>
      <c r="AE4638">
        <v>-0.55449999999999</v>
      </c>
      <c r="AF4638">
        <v>-0.32459255899431999</v>
      </c>
      <c r="AG4638">
        <v>-1.1208640398</v>
      </c>
      <c r="AH4638">
        <v>23.1816054813001</v>
      </c>
      <c r="AI4638">
        <v>92.767906761853297</v>
      </c>
      <c r="AJ4638">
        <v>90.802212272115895</v>
      </c>
      <c r="AK4638">
        <v>23.2109570939182</v>
      </c>
      <c r="AL4638">
        <v>95.8895720177659</v>
      </c>
      <c r="AM4638">
        <v>90.118917270619306</v>
      </c>
      <c r="AN4638">
        <v>1.00000003349907</v>
      </c>
    </row>
    <row r="4639" spans="1:40" x14ac:dyDescent="0.25">
      <c r="A4639" t="str">
        <f>"20190303154607878"</f>
        <v>20190303154607878</v>
      </c>
      <c r="B4639" t="str">
        <f>"1551599167875836"</f>
        <v>1551599167875836</v>
      </c>
      <c r="C4639" t="s">
        <v>40</v>
      </c>
      <c r="D4639">
        <v>4.9122820000000003</v>
      </c>
      <c r="E4639">
        <v>0.49515730000000002</v>
      </c>
      <c r="F4639" t="s">
        <v>61</v>
      </c>
      <c r="G4639">
        <v>-411.88499999999999</v>
      </c>
      <c r="H4639" s="1">
        <v>-1.099496E-5</v>
      </c>
      <c r="I4639">
        <v>141.00319999999999</v>
      </c>
      <c r="J4639">
        <v>-388.50630000000001</v>
      </c>
      <c r="K4639">
        <v>1.120857</v>
      </c>
      <c r="L4639">
        <v>141.57589999999999</v>
      </c>
      <c r="M4639">
        <v>-0.99985250000000003</v>
      </c>
      <c r="N4639">
        <v>-1.407884E-2</v>
      </c>
      <c r="O4639">
        <v>-9.8414450000000007E-3</v>
      </c>
      <c r="P4639">
        <v>-0.9929924</v>
      </c>
      <c r="Q4639">
        <v>-0.1174125</v>
      </c>
      <c r="R4639">
        <v>-1.344096E-2</v>
      </c>
      <c r="S4639">
        <v>-3.0032040000000002</v>
      </c>
      <c r="T4639">
        <v>-0.14228450000000001</v>
      </c>
      <c r="U4639">
        <v>-7.3043819999999995E-2</v>
      </c>
      <c r="V4639">
        <v>-3.6750160000000001E-3</v>
      </c>
      <c r="W4639">
        <v>-0.1034192</v>
      </c>
      <c r="X4639">
        <v>0.99463109999999999</v>
      </c>
      <c r="Y4639">
        <v>-1.4458500000000001E-2</v>
      </c>
      <c r="Z4639">
        <v>-1.167151E-4</v>
      </c>
      <c r="AA4639">
        <v>0.99989550000000005</v>
      </c>
      <c r="AB4639">
        <v>28</v>
      </c>
      <c r="AC4639">
        <v>-23.378699999999899</v>
      </c>
      <c r="AD4639">
        <v>-1.12086799496</v>
      </c>
      <c r="AE4639">
        <v>-0.57269999999999699</v>
      </c>
      <c r="AF4639">
        <v>-0.34178411133183101</v>
      </c>
      <c r="AG4639">
        <v>-1.12086799496</v>
      </c>
      <c r="AH4639">
        <v>23.329610464748299</v>
      </c>
      <c r="AI4639">
        <v>92.750358179938601</v>
      </c>
      <c r="AJ4639">
        <v>90.839336185291899</v>
      </c>
      <c r="AK4639">
        <v>23.359021509424899</v>
      </c>
      <c r="AL4639">
        <v>95.936097359837305</v>
      </c>
      <c r="AM4639">
        <v>90.2116985365262</v>
      </c>
      <c r="AN4639">
        <v>1.0000000308792201</v>
      </c>
    </row>
    <row r="4640" spans="1:40" x14ac:dyDescent="0.25">
      <c r="A4640" t="str">
        <f>"20190303154607901"</f>
        <v>20190303154607901</v>
      </c>
      <c r="B4640" t="str">
        <f>"1551599167895356"</f>
        <v>1551599167895356</v>
      </c>
      <c r="C4640" t="s">
        <v>40</v>
      </c>
      <c r="D4640">
        <v>4.8945210000000001</v>
      </c>
      <c r="E4640">
        <v>0.49523410000000001</v>
      </c>
      <c r="F4640" t="s">
        <v>61</v>
      </c>
      <c r="G4640">
        <v>-411.73450000000003</v>
      </c>
      <c r="H4640" s="1">
        <v>-1.100059E-5</v>
      </c>
      <c r="I4640">
        <v>140.98159999999999</v>
      </c>
      <c r="J4640">
        <v>-388.77330000000001</v>
      </c>
      <c r="K4640">
        <v>1.120865</v>
      </c>
      <c r="L4640">
        <v>141.57329999999999</v>
      </c>
      <c r="M4640">
        <v>-0.99985279999999999</v>
      </c>
      <c r="N4640">
        <v>-1.407596E-2</v>
      </c>
      <c r="O4640">
        <v>-9.8217600000000006E-3</v>
      </c>
      <c r="P4640">
        <v>-0.99296589999999996</v>
      </c>
      <c r="Q4640">
        <v>-0.1174138</v>
      </c>
      <c r="R4640">
        <v>-1.526301E-2</v>
      </c>
      <c r="S4640">
        <v>-3.0029910000000002</v>
      </c>
      <c r="T4640">
        <v>-0.14490819999999999</v>
      </c>
      <c r="U4640">
        <v>-7.6827999999999994E-2</v>
      </c>
      <c r="V4640">
        <v>-5.5166249999999998E-3</v>
      </c>
      <c r="W4640">
        <v>-0.1034233</v>
      </c>
      <c r="X4640">
        <v>0.99462209999999995</v>
      </c>
      <c r="Y4640">
        <v>-1.5736790000000001E-2</v>
      </c>
      <c r="Z4640">
        <v>-1.548779E-4</v>
      </c>
      <c r="AA4640">
        <v>0.99987610000000005</v>
      </c>
      <c r="AB4640">
        <v>28</v>
      </c>
      <c r="AC4640">
        <v>-22.961200000000002</v>
      </c>
      <c r="AD4640">
        <v>-1.12087600059</v>
      </c>
      <c r="AE4640">
        <v>-0.591700000000002</v>
      </c>
      <c r="AF4640">
        <v>-0.365259897877591</v>
      </c>
      <c r="AG4640">
        <v>-1.12087600059</v>
      </c>
      <c r="AH4640">
        <v>22.911342625923101</v>
      </c>
      <c r="AI4640">
        <v>92.800454028498805</v>
      </c>
      <c r="AJ4640">
        <v>90.913350133852205</v>
      </c>
      <c r="AK4640">
        <v>22.941652048711202</v>
      </c>
      <c r="AL4640">
        <v>95.9363339197443</v>
      </c>
      <c r="AM4640">
        <v>90.317785105034503</v>
      </c>
      <c r="AN4640">
        <v>0.99999996697134397</v>
      </c>
    </row>
    <row r="4641" spans="1:40" x14ac:dyDescent="0.25">
      <c r="A4641" t="str">
        <f>"20190303154607923"</f>
        <v>20190303154607923</v>
      </c>
      <c r="B4641" t="str">
        <f>"1551599167915851"</f>
        <v>1551599167915851</v>
      </c>
      <c r="C4641" t="s">
        <v>40</v>
      </c>
      <c r="D4641">
        <v>4.9144969999999999</v>
      </c>
      <c r="E4641">
        <v>0.49530809999999997</v>
      </c>
      <c r="F4641" t="s">
        <v>61</v>
      </c>
      <c r="G4641">
        <v>-412.00630000000001</v>
      </c>
      <c r="H4641" s="1">
        <v>-1.09632199999999E-5</v>
      </c>
      <c r="I4641">
        <v>140.94319999999999</v>
      </c>
      <c r="J4641">
        <v>-389.05439999999999</v>
      </c>
      <c r="K4641">
        <v>1.1208670000000001</v>
      </c>
      <c r="L4641">
        <v>141.57050000000001</v>
      </c>
      <c r="M4641">
        <v>-0.99985299999999999</v>
      </c>
      <c r="N4641">
        <v>-1.407275E-2</v>
      </c>
      <c r="O4641">
        <v>-9.8014720000000003E-3</v>
      </c>
      <c r="P4641">
        <v>-0.99306300000000003</v>
      </c>
      <c r="Q4641">
        <v>-0.1163685</v>
      </c>
      <c r="R4641">
        <v>-1.6873030000000001E-2</v>
      </c>
      <c r="S4641">
        <v>-3.002869</v>
      </c>
      <c r="T4641">
        <v>-0.14487269999999999</v>
      </c>
      <c r="U4641">
        <v>-8.1436159999999994E-2</v>
      </c>
      <c r="V4641">
        <v>-7.1460439999999998E-3</v>
      </c>
      <c r="W4641">
        <v>-0.1023796</v>
      </c>
      <c r="X4641">
        <v>0.99471969999999998</v>
      </c>
      <c r="Y4641">
        <v>-1.728909E-2</v>
      </c>
      <c r="Z4641">
        <v>-2.038853E-4</v>
      </c>
      <c r="AA4641">
        <v>0.99985049999999998</v>
      </c>
      <c r="AB4641">
        <v>28</v>
      </c>
      <c r="AC4641">
        <v>-22.951899999999998</v>
      </c>
      <c r="AD4641">
        <v>-1.1208779632200001</v>
      </c>
      <c r="AE4641">
        <v>-0.62730000000001895</v>
      </c>
      <c r="AF4641">
        <v>-0.40132875692304398</v>
      </c>
      <c r="AG4641">
        <v>-1.1208779632200001</v>
      </c>
      <c r="AH4641">
        <v>22.902366106305202</v>
      </c>
      <c r="AI4641">
        <v>92.8014808268113</v>
      </c>
      <c r="AJ4641">
        <v>91.003917702116496</v>
      </c>
      <c r="AK4641">
        <v>22.933290331891001</v>
      </c>
      <c r="AL4641">
        <v>95.876215184436006</v>
      </c>
      <c r="AM4641">
        <v>90.411604513306997</v>
      </c>
      <c r="AN4641">
        <v>0.99999996500454902</v>
      </c>
    </row>
    <row r="4642" spans="1:40" x14ac:dyDescent="0.25">
      <c r="A4642" t="str">
        <f>"20190303154607946"</f>
        <v>20190303154607946</v>
      </c>
      <c r="B4642" t="str">
        <f>"1551599167935373"</f>
        <v>1551599167935373</v>
      </c>
      <c r="C4642" t="s">
        <v>40</v>
      </c>
      <c r="D4642">
        <v>4.8744870000000002</v>
      </c>
      <c r="E4642">
        <v>0.49537049999999999</v>
      </c>
      <c r="F4642" t="s">
        <v>61</v>
      </c>
      <c r="G4642">
        <v>-412.79219999999998</v>
      </c>
      <c r="H4642" s="1">
        <v>-1.087665E-5</v>
      </c>
      <c r="I4642">
        <v>140.89320000000001</v>
      </c>
      <c r="J4642">
        <v>-389.3295</v>
      </c>
      <c r="K4642">
        <v>1.1208739999999999</v>
      </c>
      <c r="L4642">
        <v>141.56780000000001</v>
      </c>
      <c r="M4642">
        <v>-0.99985329999999994</v>
      </c>
      <c r="N4642">
        <v>-1.406981E-2</v>
      </c>
      <c r="O4642">
        <v>-9.7810680000000004E-3</v>
      </c>
      <c r="P4642">
        <v>-0.99316099999999996</v>
      </c>
      <c r="Q4642">
        <v>-0.1154046</v>
      </c>
      <c r="R4642">
        <v>-1.7697109999999999E-2</v>
      </c>
      <c r="S4642">
        <v>-3.0028990000000002</v>
      </c>
      <c r="T4642">
        <v>-0.141794</v>
      </c>
      <c r="U4642">
        <v>-8.5678099999999993E-2</v>
      </c>
      <c r="V4642">
        <v>-7.9892239999999996E-3</v>
      </c>
      <c r="W4642">
        <v>-0.1014172</v>
      </c>
      <c r="X4642">
        <v>0.99481189999999997</v>
      </c>
      <c r="Y4642">
        <v>-1.8719070000000001E-2</v>
      </c>
      <c r="Z4642">
        <v>-2.4949709999999998E-4</v>
      </c>
      <c r="AA4642">
        <v>0.99982479999999996</v>
      </c>
      <c r="AB4642">
        <v>28</v>
      </c>
      <c r="AC4642">
        <v>-23.462699999999899</v>
      </c>
      <c r="AD4642">
        <v>-1.1208848766499999</v>
      </c>
      <c r="AE4642">
        <v>-0.67459999999999798</v>
      </c>
      <c r="AF4642">
        <v>-0.44404218510571702</v>
      </c>
      <c r="AG4642">
        <v>-1.1208848766499999</v>
      </c>
      <c r="AH4642">
        <v>23.414781788554201</v>
      </c>
      <c r="AI4642">
        <v>92.740211906212394</v>
      </c>
      <c r="AJ4642">
        <v>91.086437365170895</v>
      </c>
      <c r="AK4642">
        <v>23.445800531746901</v>
      </c>
      <c r="AL4642">
        <v>95.820785015902899</v>
      </c>
      <c r="AM4642">
        <v>90.460126156815605</v>
      </c>
      <c r="AN4642">
        <v>0.999999996268786</v>
      </c>
    </row>
    <row r="4643" spans="1:40" x14ac:dyDescent="0.25">
      <c r="A4643" t="str">
        <f>"20190303154607970"</f>
        <v>20190303154607970</v>
      </c>
      <c r="B4643" t="str">
        <f>"1551599167965627"</f>
        <v>1551599167965627</v>
      </c>
      <c r="C4643" t="s">
        <v>40</v>
      </c>
      <c r="D4643">
        <v>4.9819440000000004</v>
      </c>
      <c r="E4643">
        <v>0.4683465</v>
      </c>
      <c r="F4643" t="s">
        <v>61</v>
      </c>
      <c r="G4643">
        <v>-413.54739999999998</v>
      </c>
      <c r="H4643" s="1">
        <v>-1.079768E-5</v>
      </c>
      <c r="I4643">
        <v>140.85730000000001</v>
      </c>
      <c r="J4643">
        <v>-389.60899999999998</v>
      </c>
      <c r="K4643">
        <v>1.1208720000000001</v>
      </c>
      <c r="L4643">
        <v>141.5651</v>
      </c>
      <c r="M4643">
        <v>-0.9998534</v>
      </c>
      <c r="N4643">
        <v>-1.406702E-2</v>
      </c>
      <c r="O4643">
        <v>-9.7607849999999993E-3</v>
      </c>
      <c r="P4643">
        <v>-0.99320940000000002</v>
      </c>
      <c r="Q4643">
        <v>-0.1150219</v>
      </c>
      <c r="R4643">
        <v>-1.7464339999999998E-2</v>
      </c>
      <c r="S4643">
        <v>-3.0029300000000001</v>
      </c>
      <c r="T4643">
        <v>-0.13898559999999999</v>
      </c>
      <c r="U4643">
        <v>-8.8104249999999995E-2</v>
      </c>
      <c r="V4643">
        <v>-7.7755890000000003E-3</v>
      </c>
      <c r="W4643">
        <v>-0.10103669999999999</v>
      </c>
      <c r="X4643">
        <v>0.99485230000000002</v>
      </c>
      <c r="Y4643">
        <v>-1.9545650000000001E-2</v>
      </c>
      <c r="Z4643">
        <v>-2.7542300000000001E-4</v>
      </c>
      <c r="AA4643">
        <v>0.9998089</v>
      </c>
      <c r="AB4643">
        <v>28</v>
      </c>
      <c r="AC4643">
        <v>-23.938399999999898</v>
      </c>
      <c r="AD4643">
        <v>-1.12088279767999</v>
      </c>
      <c r="AE4643">
        <v>-0.70779999999999099</v>
      </c>
      <c r="AF4643">
        <v>-0.473049343047587</v>
      </c>
      <c r="AG4643">
        <v>-1.12088279767999</v>
      </c>
      <c r="AH4643">
        <v>23.891832822289899</v>
      </c>
      <c r="AI4643">
        <v>92.685530310360093</v>
      </c>
      <c r="AJ4643">
        <v>91.134286771170196</v>
      </c>
      <c r="AK4643">
        <v>23.922788916331299</v>
      </c>
      <c r="AL4643">
        <v>95.798871465099396</v>
      </c>
      <c r="AM4643">
        <v>90.447804525010895</v>
      </c>
      <c r="AN4643">
        <v>0.99999998667323797</v>
      </c>
    </row>
    <row r="4644" spans="1:40" x14ac:dyDescent="0.25">
      <c r="A4644" t="str">
        <f>"20190303154607991"</f>
        <v>20190303154607991</v>
      </c>
      <c r="B4644" t="str">
        <f>"1551599167986123"</f>
        <v>1551599167986123</v>
      </c>
      <c r="C4644" t="s">
        <v>40</v>
      </c>
      <c r="D4644">
        <v>4.9835279999999997</v>
      </c>
      <c r="E4644">
        <v>0.463223</v>
      </c>
      <c r="F4644" t="s">
        <v>61</v>
      </c>
      <c r="G4644">
        <v>-407.4194</v>
      </c>
      <c r="H4644" s="1">
        <v>-9.1561259999999998E-6</v>
      </c>
      <c r="I4644">
        <v>139.76009999999999</v>
      </c>
      <c r="J4644">
        <v>-389.88249999999999</v>
      </c>
      <c r="K4644">
        <v>1.1208720000000001</v>
      </c>
      <c r="L4644">
        <v>141.5625</v>
      </c>
      <c r="M4644">
        <v>-0.99985369999999996</v>
      </c>
      <c r="N4644">
        <v>-1.406431E-2</v>
      </c>
      <c r="O4644">
        <v>-9.7409790000000003E-3</v>
      </c>
      <c r="P4644">
        <v>-0.99312219999999996</v>
      </c>
      <c r="Q4644">
        <v>-0.11588569999999999</v>
      </c>
      <c r="R4644">
        <v>-1.6698459999999998E-2</v>
      </c>
      <c r="S4644">
        <v>-2.993347</v>
      </c>
      <c r="T4644">
        <v>-0.18838350000000001</v>
      </c>
      <c r="U4644">
        <v>-0.30336000000000002</v>
      </c>
      <c r="V4644">
        <v>-7.0306559999999997E-3</v>
      </c>
      <c r="W4644">
        <v>-0.1019045</v>
      </c>
      <c r="X4644">
        <v>0.99476929999999997</v>
      </c>
      <c r="Y4644">
        <v>-9.0924459999999999E-2</v>
      </c>
      <c r="Z4644">
        <v>-3.0186219999999999E-3</v>
      </c>
      <c r="AA4644">
        <v>0.99585319999999999</v>
      </c>
      <c r="AB4644">
        <v>28</v>
      </c>
      <c r="AC4644">
        <v>-17.536899999999999</v>
      </c>
      <c r="AD4644">
        <v>-1.1208811561259999</v>
      </c>
      <c r="AE4644">
        <v>-1.8024</v>
      </c>
      <c r="AF4644">
        <v>-1.6249023393756901</v>
      </c>
      <c r="AG4644">
        <v>-1.1208811561259999</v>
      </c>
      <c r="AH4644">
        <v>17.482951855844199</v>
      </c>
      <c r="AI4644">
        <v>93.652673145682002</v>
      </c>
      <c r="AJ4644">
        <v>95.309935900549505</v>
      </c>
      <c r="AK4644">
        <v>17.594041257551702</v>
      </c>
      <c r="AL4644">
        <v>95.8488508748041</v>
      </c>
      <c r="AM4644">
        <v>90.404938319833803</v>
      </c>
      <c r="AN4644">
        <v>0.99999995873326397</v>
      </c>
    </row>
    <row r="4645" spans="1:40" x14ac:dyDescent="0.25">
      <c r="A4645" t="str">
        <f>"20190303154608013"</f>
        <v>20190303154608013</v>
      </c>
      <c r="B4645" t="str">
        <f>"1551599168005643"</f>
        <v>1551599168005643</v>
      </c>
      <c r="C4645" t="s">
        <v>40</v>
      </c>
      <c r="D4645">
        <v>4.9900039999999999</v>
      </c>
      <c r="E4645">
        <v>0.46190540000000002</v>
      </c>
      <c r="F4645" t="s">
        <v>61</v>
      </c>
      <c r="G4645">
        <v>-406.83460000000002</v>
      </c>
      <c r="H4645" s="1">
        <v>-8.7366229999999999E-6</v>
      </c>
      <c r="I4645">
        <v>139.62520000000001</v>
      </c>
      <c r="J4645">
        <v>-390.15769999999998</v>
      </c>
      <c r="K4645">
        <v>1.120871</v>
      </c>
      <c r="L4645">
        <v>141.5598</v>
      </c>
      <c r="M4645">
        <v>-0.99985389999999996</v>
      </c>
      <c r="N4645">
        <v>-1.4061509999999999E-2</v>
      </c>
      <c r="O4645">
        <v>-9.7221370000000005E-3</v>
      </c>
      <c r="P4645">
        <v>-0.99319170000000001</v>
      </c>
      <c r="Q4645">
        <v>-0.1153458</v>
      </c>
      <c r="R4645">
        <v>-1.629622E-2</v>
      </c>
      <c r="S4645">
        <v>-2.991943</v>
      </c>
      <c r="T4645">
        <v>-0.19782849999999999</v>
      </c>
      <c r="U4645">
        <v>-0.34191890000000003</v>
      </c>
      <c r="V4645">
        <v>-6.6463299999999998E-3</v>
      </c>
      <c r="W4645">
        <v>-0.1013666</v>
      </c>
      <c r="X4645">
        <v>0.99482689999999996</v>
      </c>
      <c r="Y4645">
        <v>-0.103616899999999</v>
      </c>
      <c r="Z4645">
        <v>-3.6388710000000001E-3</v>
      </c>
      <c r="AA4645">
        <v>0.99461060000000001</v>
      </c>
      <c r="AB4645">
        <v>28</v>
      </c>
      <c r="AC4645">
        <v>-16.6769</v>
      </c>
      <c r="AD4645">
        <v>-1.1208797366229999</v>
      </c>
      <c r="AE4645">
        <v>-1.9345999999999799</v>
      </c>
      <c r="AF4645">
        <v>-1.7644923624014901</v>
      </c>
      <c r="AG4645">
        <v>-1.1208797366229999</v>
      </c>
      <c r="AH4645">
        <v>16.620836196622001</v>
      </c>
      <c r="AI4645">
        <v>93.836589982315402</v>
      </c>
      <c r="AJ4645">
        <v>96.059906487522596</v>
      </c>
      <c r="AK4645">
        <v>16.751776041837601</v>
      </c>
      <c r="AL4645">
        <v>95.817871036513694</v>
      </c>
      <c r="AM4645">
        <v>90.382781157931007</v>
      </c>
      <c r="AN4645">
        <v>0.99999996113081802</v>
      </c>
    </row>
    <row r="4646" spans="1:40" x14ac:dyDescent="0.25">
      <c r="A4646" t="str">
        <f>"20190303154608034"</f>
        <v>20190303154608034</v>
      </c>
      <c r="B4646" t="str">
        <f>"1551599168026140"</f>
        <v>1551599168026140</v>
      </c>
      <c r="C4646" t="s">
        <v>40</v>
      </c>
      <c r="D4646">
        <v>4.9910800000000002</v>
      </c>
      <c r="E4646">
        <v>0.46145249999999999</v>
      </c>
      <c r="F4646" t="s">
        <v>61</v>
      </c>
      <c r="G4646">
        <v>-406.72500000000002</v>
      </c>
      <c r="H4646" s="1">
        <v>-8.6631939999999904E-6</v>
      </c>
      <c r="I4646">
        <v>139.61279999999999</v>
      </c>
      <c r="J4646">
        <v>-390.42169999999999</v>
      </c>
      <c r="K4646">
        <v>1.120878</v>
      </c>
      <c r="L4646">
        <v>141.55719999999999</v>
      </c>
      <c r="M4646">
        <v>-0.99985400000000002</v>
      </c>
      <c r="N4646">
        <v>-1.405882E-2</v>
      </c>
      <c r="O4646">
        <v>-9.7077329999999996E-3</v>
      </c>
      <c r="P4646">
        <v>-0.99338519999999997</v>
      </c>
      <c r="Q4646">
        <v>-0.1136115</v>
      </c>
      <c r="R4646">
        <v>-1.6677689999999998E-2</v>
      </c>
      <c r="S4646">
        <v>-2.9913020000000001</v>
      </c>
      <c r="T4646">
        <v>-0.20238039999999999</v>
      </c>
      <c r="U4646">
        <v>-0.3515472</v>
      </c>
      <c r="V4646">
        <v>-7.0398730000000003E-3</v>
      </c>
      <c r="W4646">
        <v>-9.9632289999999998E-2</v>
      </c>
      <c r="X4646">
        <v>0.99499939999999998</v>
      </c>
      <c r="Y4646">
        <v>-0.10679429999999999</v>
      </c>
      <c r="Z4646">
        <v>-3.832752E-3</v>
      </c>
      <c r="AA4646">
        <v>0.99427379999999999</v>
      </c>
      <c r="AB4646">
        <v>27</v>
      </c>
      <c r="AC4646">
        <v>-16.3033</v>
      </c>
      <c r="AD4646">
        <v>-1.120886663194</v>
      </c>
      <c r="AE4646">
        <v>-1.9443999999999999</v>
      </c>
      <c r="AF4646">
        <v>-1.77773935737911</v>
      </c>
      <c r="AG4646">
        <v>-1.120886663194</v>
      </c>
      <c r="AH4646">
        <v>16.2456950941726</v>
      </c>
      <c r="AI4646">
        <v>93.9235720630342</v>
      </c>
      <c r="AJ4646">
        <v>96.244934048706</v>
      </c>
      <c r="AK4646">
        <v>16.381066913584199</v>
      </c>
      <c r="AL4646">
        <v>95.717996618607202</v>
      </c>
      <c r="AM4646">
        <v>90.405375401096194</v>
      </c>
      <c r="AN4646">
        <v>0.99999997951142905</v>
      </c>
    </row>
    <row r="4647" spans="1:40" x14ac:dyDescent="0.25">
      <c r="A4647" t="str">
        <f>"20190303154608057"</f>
        <v>20190303154608057</v>
      </c>
      <c r="B4647" t="str">
        <f>"1551599168045659"</f>
        <v>1551599168045659</v>
      </c>
      <c r="C4647" t="s">
        <v>40</v>
      </c>
      <c r="D4647">
        <v>5.0178989999999999</v>
      </c>
      <c r="E4647">
        <v>0.46117160000000001</v>
      </c>
      <c r="F4647" t="s">
        <v>61</v>
      </c>
      <c r="G4647">
        <v>-407.34089999999998</v>
      </c>
      <c r="H4647" s="1">
        <v>-9.0145619999999994E-6</v>
      </c>
      <c r="I4647">
        <v>139.5395</v>
      </c>
      <c r="J4647">
        <v>-390.70030000000003</v>
      </c>
      <c r="K4647">
        <v>1.120886</v>
      </c>
      <c r="L4647">
        <v>141.55449999999999</v>
      </c>
      <c r="M4647">
        <v>-0.99985429999999997</v>
      </c>
      <c r="N4647">
        <v>-1.4056010000000001E-2</v>
      </c>
      <c r="O4647">
        <v>-9.6974090000000006E-3</v>
      </c>
      <c r="P4647">
        <v>-0.99343499999999996</v>
      </c>
      <c r="Q4647">
        <v>-0.11315169999999999</v>
      </c>
      <c r="R4647">
        <v>-1.685828E-2</v>
      </c>
      <c r="S4647">
        <v>-2.991333</v>
      </c>
      <c r="T4647">
        <v>-0.19817460000000001</v>
      </c>
      <c r="U4647">
        <v>-0.35673519999999997</v>
      </c>
      <c r="V4647">
        <v>-7.2285630000000003E-3</v>
      </c>
      <c r="W4647">
        <v>-9.9174730000000003E-2</v>
      </c>
      <c r="X4647">
        <v>0.99504380000000003</v>
      </c>
      <c r="Y4647">
        <v>-0.1085096</v>
      </c>
      <c r="Z4647">
        <v>-3.8404749999999999E-3</v>
      </c>
      <c r="AA4647">
        <v>0.99408799999999997</v>
      </c>
      <c r="AB4647">
        <v>27</v>
      </c>
      <c r="AC4647">
        <v>-16.6405999999999</v>
      </c>
      <c r="AD4647">
        <v>-1.120895014562</v>
      </c>
      <c r="AE4647">
        <v>-2.0149999999999801</v>
      </c>
      <c r="AF4647">
        <v>-1.8452671698121399</v>
      </c>
      <c r="AG4647">
        <v>-1.120895014562</v>
      </c>
      <c r="AH4647">
        <v>16.5851959875387</v>
      </c>
      <c r="AI4647">
        <v>93.842762805037594</v>
      </c>
      <c r="AJ4647">
        <v>96.348612357010296</v>
      </c>
      <c r="AK4647">
        <v>16.7251350519727</v>
      </c>
      <c r="AL4647">
        <v>95.691649630846001</v>
      </c>
      <c r="AM4647">
        <v>90.416221744558499</v>
      </c>
      <c r="AN4647">
        <v>1.0000000215560201</v>
      </c>
    </row>
    <row r="4648" spans="1:40" x14ac:dyDescent="0.25">
      <c r="A4648" t="str">
        <f>"20190303154608079"</f>
        <v>20190303154608079</v>
      </c>
      <c r="B4648" t="str">
        <f>"1551599168075915"</f>
        <v>1551599168075915</v>
      </c>
      <c r="C4648" t="s">
        <v>40</v>
      </c>
      <c r="D4648">
        <v>5.0652980000000003</v>
      </c>
      <c r="E4648">
        <v>0.4606536</v>
      </c>
      <c r="F4648" t="s">
        <v>61</v>
      </c>
      <c r="G4648">
        <v>-407.58339999999998</v>
      </c>
      <c r="H4648" s="1">
        <v>-9.1585200000000002E-6</v>
      </c>
      <c r="I4648">
        <v>139.52340000000001</v>
      </c>
      <c r="J4648">
        <v>-390.97340000000003</v>
      </c>
      <c r="K4648">
        <v>1.1208830000000001</v>
      </c>
      <c r="L4648">
        <v>141.55189999999999</v>
      </c>
      <c r="M4648">
        <v>-0.99985429999999997</v>
      </c>
      <c r="N4648">
        <v>-1.405322E-2</v>
      </c>
      <c r="O4648">
        <v>-9.6907869999999993E-3</v>
      </c>
      <c r="P4648">
        <v>-0.99319820000000003</v>
      </c>
      <c r="Q4648">
        <v>-0.1151959</v>
      </c>
      <c r="R4648">
        <v>-1.694965E-2</v>
      </c>
      <c r="S4648">
        <v>-2.9910580000000002</v>
      </c>
      <c r="T4648">
        <v>-0.19858100000000001</v>
      </c>
      <c r="U4648">
        <v>-0.35983280000000001</v>
      </c>
      <c r="V4648">
        <v>-7.328579E-3</v>
      </c>
      <c r="W4648">
        <v>-0.10122490000000001</v>
      </c>
      <c r="X4648">
        <v>0.99483659999999996</v>
      </c>
      <c r="Y4648">
        <v>-0.109538</v>
      </c>
      <c r="Z4648">
        <v>-3.8880270000000001E-3</v>
      </c>
      <c r="AA4648">
        <v>0.99397500000000005</v>
      </c>
      <c r="AB4648">
        <v>27</v>
      </c>
      <c r="AC4648">
        <v>-16.6099999999999</v>
      </c>
      <c r="AD4648">
        <v>-1.12089215852</v>
      </c>
      <c r="AE4648">
        <v>-2.0284999999999802</v>
      </c>
      <c r="AF4648">
        <v>-1.8590831019404299</v>
      </c>
      <c r="AG4648">
        <v>-1.12089215852</v>
      </c>
      <c r="AH4648">
        <v>16.554598626684101</v>
      </c>
      <c r="AI4648">
        <v>93.849393390341405</v>
      </c>
      <c r="AJ4648">
        <v>96.407476269383295</v>
      </c>
      <c r="AK4648">
        <v>16.696326688872698</v>
      </c>
      <c r="AL4648">
        <v>95.809709878188201</v>
      </c>
      <c r="AM4648">
        <v>90.422068359026099</v>
      </c>
      <c r="AN4648">
        <v>1.0000000245748599</v>
      </c>
    </row>
    <row r="4649" spans="1:40" x14ac:dyDescent="0.25">
      <c r="A4649" t="str">
        <f>"20190303154608102"</f>
        <v>20190303154608102</v>
      </c>
      <c r="B4649" t="str">
        <f>"1551599168095435"</f>
        <v>1551599168095435</v>
      </c>
      <c r="C4649" t="s">
        <v>40</v>
      </c>
      <c r="D4649">
        <v>5.0503960000000001</v>
      </c>
      <c r="E4649">
        <v>0.46043479999999998</v>
      </c>
      <c r="F4649" t="s">
        <v>61</v>
      </c>
      <c r="G4649">
        <v>-406.97289999999998</v>
      </c>
      <c r="H4649" s="1">
        <v>-8.8127109999999996E-6</v>
      </c>
      <c r="I4649">
        <v>139.6018</v>
      </c>
      <c r="J4649">
        <v>-391.24189999999999</v>
      </c>
      <c r="K4649">
        <v>1.1208769999999999</v>
      </c>
      <c r="L4649">
        <v>141.54929999999999</v>
      </c>
      <c r="M4649">
        <v>-0.99985429999999997</v>
      </c>
      <c r="N4649">
        <v>-1.4050460000000001E-2</v>
      </c>
      <c r="O4649">
        <v>-9.6878380000000007E-3</v>
      </c>
      <c r="P4649">
        <v>-0.99284550000000005</v>
      </c>
      <c r="Q4649">
        <v>-0.1180339</v>
      </c>
      <c r="R4649">
        <v>-1.8060860000000001E-2</v>
      </c>
      <c r="S4649">
        <v>-2.990021</v>
      </c>
      <c r="T4649">
        <v>-0.20947479999999999</v>
      </c>
      <c r="U4649">
        <v>-0.36444090000000001</v>
      </c>
      <c r="V4649">
        <v>-8.4451330000000005E-3</v>
      </c>
      <c r="W4649">
        <v>-0.1040701</v>
      </c>
      <c r="X4649">
        <v>0.99453409999999998</v>
      </c>
      <c r="Y4649">
        <v>-0.111059199999999</v>
      </c>
      <c r="Z4649">
        <v>-4.1157559999999999E-3</v>
      </c>
      <c r="AA4649">
        <v>0.9938053</v>
      </c>
      <c r="AB4649">
        <v>27</v>
      </c>
      <c r="AC4649">
        <v>-15.7309999999999</v>
      </c>
      <c r="AD4649">
        <v>-1.120885812711</v>
      </c>
      <c r="AE4649">
        <v>-1.94749999999999</v>
      </c>
      <c r="AF4649">
        <v>-1.7860631337595001</v>
      </c>
      <c r="AG4649">
        <v>-1.120885812711</v>
      </c>
      <c r="AH4649">
        <v>15.670770501503201</v>
      </c>
      <c r="AI4649">
        <v>94.065008961595495</v>
      </c>
      <c r="AJ4649">
        <v>96.502181361429095</v>
      </c>
      <c r="AK4649">
        <v>15.812003498408901</v>
      </c>
      <c r="AL4649">
        <v>95.973593751736203</v>
      </c>
      <c r="AM4649">
        <v>90.486518108108996</v>
      </c>
      <c r="AN4649">
        <v>0.99999999102410297</v>
      </c>
    </row>
    <row r="4650" spans="1:40" x14ac:dyDescent="0.25">
      <c r="A4650" t="str">
        <f>"20190303154608124"</f>
        <v>20190303154608124</v>
      </c>
      <c r="B4650" t="str">
        <f>"1551599168115932"</f>
        <v>1551599168115932</v>
      </c>
      <c r="C4650" t="s">
        <v>40</v>
      </c>
      <c r="D4650">
        <v>5.0336879999999997</v>
      </c>
      <c r="E4650">
        <v>0.46021879999999998</v>
      </c>
      <c r="F4650" t="s">
        <v>61</v>
      </c>
      <c r="G4650">
        <v>-406.46879999999999</v>
      </c>
      <c r="H4650" s="1">
        <v>-8.5255009999999993E-6</v>
      </c>
      <c r="I4650">
        <v>139.66560000000001</v>
      </c>
      <c r="J4650">
        <v>-391.51179999999999</v>
      </c>
      <c r="K4650">
        <v>1.1208750000000001</v>
      </c>
      <c r="L4650">
        <v>141.54660000000001</v>
      </c>
      <c r="M4650">
        <v>-0.99985449999999998</v>
      </c>
      <c r="N4650">
        <v>-1.4047530000000001E-2</v>
      </c>
      <c r="O4650">
        <v>-9.6878469999999994E-3</v>
      </c>
      <c r="P4650">
        <v>-0.99276540000000002</v>
      </c>
      <c r="Q4650">
        <v>-0.11837259999999999</v>
      </c>
      <c r="R4650">
        <v>-2.012653E-2</v>
      </c>
      <c r="S4650">
        <v>-2.9887389999999998</v>
      </c>
      <c r="T4650">
        <v>-0.22000790000000001</v>
      </c>
      <c r="U4650">
        <v>-0.3697357</v>
      </c>
      <c r="V4650">
        <v>-1.051096E-2</v>
      </c>
      <c r="W4650">
        <v>-0.10441250000000001</v>
      </c>
      <c r="X4650">
        <v>0.99447850000000004</v>
      </c>
      <c r="Y4650">
        <v>-0.11281049999999999</v>
      </c>
      <c r="Z4650">
        <v>-4.3535739999999998E-3</v>
      </c>
      <c r="AA4650">
        <v>0.99360700000000002</v>
      </c>
      <c r="AB4650">
        <v>27</v>
      </c>
      <c r="AC4650">
        <v>-14.956999999999899</v>
      </c>
      <c r="AD4650">
        <v>-1.1208835255009999</v>
      </c>
      <c r="AE4650">
        <v>-1.881</v>
      </c>
      <c r="AF4650">
        <v>-1.72645139823673</v>
      </c>
      <c r="AG4650">
        <v>-1.1208835255009999</v>
      </c>
      <c r="AH4650">
        <v>14.892189275465901</v>
      </c>
      <c r="AI4650">
        <v>94.275809324579399</v>
      </c>
      <c r="AJ4650">
        <v>96.6127800165346</v>
      </c>
      <c r="AK4650">
        <v>15.033772504747899</v>
      </c>
      <c r="AL4650">
        <v>95.993319425246199</v>
      </c>
      <c r="AM4650">
        <v>90.605554793654306</v>
      </c>
      <c r="AN4650">
        <v>0.99999996869930996</v>
      </c>
    </row>
    <row r="4651" spans="1:40" x14ac:dyDescent="0.25">
      <c r="A4651" t="str">
        <f>"20190303154608147"</f>
        <v>20190303154608147</v>
      </c>
      <c r="B4651" t="str">
        <f>"1551599168136427"</f>
        <v>1551599168136427</v>
      </c>
      <c r="C4651" t="s">
        <v>40</v>
      </c>
      <c r="D4651">
        <v>5.0938359999999996</v>
      </c>
      <c r="E4651">
        <v>0.45992119999999997</v>
      </c>
      <c r="F4651" t="s">
        <v>61</v>
      </c>
      <c r="G4651">
        <v>-406.4837</v>
      </c>
      <c r="H4651" s="1">
        <v>-8.5299439999999998E-6</v>
      </c>
      <c r="I4651">
        <v>139.65389999999999</v>
      </c>
      <c r="J4651">
        <v>-391.78590000000003</v>
      </c>
      <c r="K4651">
        <v>1.1208800000000001</v>
      </c>
      <c r="L4651">
        <v>141.54399999999899</v>
      </c>
      <c r="M4651">
        <v>-0.99985440000000003</v>
      </c>
      <c r="N4651">
        <v>-1.4044579999999999E-2</v>
      </c>
      <c r="O4651">
        <v>-9.6898669999999996E-3</v>
      </c>
      <c r="P4651">
        <v>-0.99280800000000002</v>
      </c>
      <c r="Q4651">
        <v>-0.11756750000000001</v>
      </c>
      <c r="R4651">
        <v>-2.2587619999999999E-2</v>
      </c>
      <c r="S4651">
        <v>-2.9875180000000001</v>
      </c>
      <c r="T4651">
        <v>-0.22366340000000001</v>
      </c>
      <c r="U4651">
        <v>-0.37768550000000001</v>
      </c>
      <c r="V4651">
        <v>-1.2969339999999999E-2</v>
      </c>
      <c r="W4651">
        <v>-0.10360949999999999</v>
      </c>
      <c r="X4651">
        <v>0.99453349999999996</v>
      </c>
      <c r="Y4651">
        <v>-0.1154418</v>
      </c>
      <c r="Z4651">
        <v>-4.5274829999999997E-3</v>
      </c>
      <c r="AA4651">
        <v>0.99330399999999996</v>
      </c>
      <c r="AB4651">
        <v>27</v>
      </c>
      <c r="AC4651">
        <v>-14.6977999999999</v>
      </c>
      <c r="AD4651">
        <v>-1.1208885299439999</v>
      </c>
      <c r="AE4651">
        <v>-1.8900999999999799</v>
      </c>
      <c r="AF4651">
        <v>-1.73763588326759</v>
      </c>
      <c r="AG4651">
        <v>-1.1208885299439999</v>
      </c>
      <c r="AH4651">
        <v>14.631713622643799</v>
      </c>
      <c r="AI4651">
        <v>94.350238466649301</v>
      </c>
      <c r="AJ4651">
        <v>96.772622912424495</v>
      </c>
      <c r="AK4651">
        <v>14.7771043541839</v>
      </c>
      <c r="AL4651">
        <v>95.947059775999094</v>
      </c>
      <c r="AM4651">
        <v>90.747130515634197</v>
      </c>
      <c r="AN4651">
        <v>1.0000000074462601</v>
      </c>
    </row>
    <row r="4652" spans="1:40" x14ac:dyDescent="0.25">
      <c r="A4652" t="str">
        <f>"20190303154608170"</f>
        <v>20190303154608170</v>
      </c>
      <c r="B4652" t="str">
        <f>"1551599168165707"</f>
        <v>1551599168165707</v>
      </c>
      <c r="C4652" t="s">
        <v>40</v>
      </c>
      <c r="D4652">
        <v>5.056908</v>
      </c>
      <c r="E4652">
        <v>0.45967449999999999</v>
      </c>
      <c r="F4652" t="s">
        <v>61</v>
      </c>
      <c r="G4652">
        <v>-406.86720000000003</v>
      </c>
      <c r="H4652" s="1">
        <v>-8.7411080000000003E-6</v>
      </c>
      <c r="I4652">
        <v>139.58840000000001</v>
      </c>
      <c r="J4652">
        <v>-392.07659999999998</v>
      </c>
      <c r="K4652">
        <v>1.120879</v>
      </c>
      <c r="L4652">
        <v>141.5411</v>
      </c>
      <c r="M4652">
        <v>-0.99985449999999998</v>
      </c>
      <c r="N4652">
        <v>-1.40414999999999E-2</v>
      </c>
      <c r="O4652">
        <v>-9.6928299999999995E-3</v>
      </c>
      <c r="P4652">
        <v>-0.99276799999999998</v>
      </c>
      <c r="Q4652">
        <v>-0.11761779999999999</v>
      </c>
      <c r="R4652">
        <v>-2.4040619999999999E-2</v>
      </c>
      <c r="S4652">
        <v>-2.9866329999999999</v>
      </c>
      <c r="T4652">
        <v>-0.2219757</v>
      </c>
      <c r="U4652">
        <v>-0.3872681</v>
      </c>
      <c r="V4652">
        <v>-1.4419919999999999E-2</v>
      </c>
      <c r="W4652">
        <v>-0.1036632</v>
      </c>
      <c r="X4652">
        <v>0.9945079</v>
      </c>
      <c r="Y4652">
        <v>-0.1186051</v>
      </c>
      <c r="Z4652">
        <v>-4.6398719999999997E-3</v>
      </c>
      <c r="AA4652">
        <v>0.99293069999999894</v>
      </c>
      <c r="AB4652">
        <v>27</v>
      </c>
      <c r="AC4652">
        <v>-14.7906</v>
      </c>
      <c r="AD4652">
        <v>-1.120887741108</v>
      </c>
      <c r="AE4652">
        <v>-1.9526999999999901</v>
      </c>
      <c r="AF4652">
        <v>-1.79907594136994</v>
      </c>
      <c r="AG4652">
        <v>-1.120887741108</v>
      </c>
      <c r="AH4652">
        <v>14.725710506331099</v>
      </c>
      <c r="AI4652">
        <v>94.3208272187223</v>
      </c>
      <c r="AJ4652">
        <v>96.9654462340593</v>
      </c>
      <c r="AK4652">
        <v>14.877486800103499</v>
      </c>
      <c r="AL4652">
        <v>95.950153391701505</v>
      </c>
      <c r="AM4652">
        <v>90.830704979718803</v>
      </c>
      <c r="AN4652">
        <v>0.99999997814472696</v>
      </c>
    </row>
    <row r="4653" spans="1:40" x14ac:dyDescent="0.25">
      <c r="A4653" t="str">
        <f>"20190303154608192"</f>
        <v>20190303154608192</v>
      </c>
      <c r="B4653" t="str">
        <f>"1551599168186204"</f>
        <v>1551599168186204</v>
      </c>
      <c r="C4653" t="s">
        <v>40</v>
      </c>
      <c r="D4653">
        <v>5.0239719999999997</v>
      </c>
      <c r="E4653">
        <v>0.45957140000000002</v>
      </c>
      <c r="F4653" t="s">
        <v>61</v>
      </c>
      <c r="G4653">
        <v>-407.03960000000001</v>
      </c>
      <c r="H4653" s="1">
        <v>-8.8398260000000008E-6</v>
      </c>
      <c r="I4653">
        <v>139.56890000000001</v>
      </c>
      <c r="J4653">
        <v>-392.34129999999999</v>
      </c>
      <c r="K4653">
        <v>1.1208670000000001</v>
      </c>
      <c r="L4653">
        <v>141.5386</v>
      </c>
      <c r="M4653">
        <v>-0.99985449999999998</v>
      </c>
      <c r="N4653">
        <v>-1.4038699999999999E-2</v>
      </c>
      <c r="O4653">
        <v>-9.6949570000000006E-3</v>
      </c>
      <c r="P4653">
        <v>-0.99261339999999998</v>
      </c>
      <c r="Q4653">
        <v>-0.1189703</v>
      </c>
      <c r="R4653">
        <v>-2.377255E-2</v>
      </c>
      <c r="S4653">
        <v>-2.9858090000000002</v>
      </c>
      <c r="T4653">
        <v>-0.22366920000000001</v>
      </c>
      <c r="U4653">
        <v>-0.39355469999999998</v>
      </c>
      <c r="V4653">
        <v>-1.4150909999999999E-2</v>
      </c>
      <c r="W4653">
        <v>-0.1050205</v>
      </c>
      <c r="X4653">
        <v>0.99436939999999996</v>
      </c>
      <c r="Y4653">
        <v>-0.1206812</v>
      </c>
      <c r="Z4653">
        <v>-4.7600489999999997E-3</v>
      </c>
      <c r="AA4653">
        <v>0.99267989999999995</v>
      </c>
      <c r="AB4653">
        <v>27</v>
      </c>
      <c r="AC4653">
        <v>-14.6983</v>
      </c>
      <c r="AD4653">
        <v>-1.1208758398259999</v>
      </c>
      <c r="AE4653">
        <v>-1.96969999999998</v>
      </c>
      <c r="AF4653">
        <v>-1.8167154132188299</v>
      </c>
      <c r="AG4653">
        <v>-1.1208758398259999</v>
      </c>
      <c r="AH4653">
        <v>14.6331107450036</v>
      </c>
      <c r="AI4653">
        <v>94.346979735518403</v>
      </c>
      <c r="AJ4653">
        <v>97.077115921810005</v>
      </c>
      <c r="AK4653">
        <v>14.787993360036101</v>
      </c>
      <c r="AL4653">
        <v>96.028347480268295</v>
      </c>
      <c r="AM4653">
        <v>90.815323451921699</v>
      </c>
      <c r="AN4653">
        <v>1.00000002866521</v>
      </c>
    </row>
    <row r="4654" spans="1:40" x14ac:dyDescent="0.25">
      <c r="A4654" t="str">
        <f>"20190303154608213"</f>
        <v>20190303154608213</v>
      </c>
      <c r="B4654" t="str">
        <f>"1551599168205723"</f>
        <v>1551599168205723</v>
      </c>
      <c r="C4654" t="s">
        <v>40</v>
      </c>
      <c r="D4654">
        <v>5.0550169999999897</v>
      </c>
      <c r="E4654">
        <v>0.4595091</v>
      </c>
      <c r="F4654" t="s">
        <v>61</v>
      </c>
      <c r="G4654">
        <v>-406.93970000000002</v>
      </c>
      <c r="H4654" s="1">
        <v>-8.7973660000000002E-6</v>
      </c>
      <c r="I4654">
        <v>139.614</v>
      </c>
      <c r="J4654">
        <v>-392.6046</v>
      </c>
      <c r="K4654">
        <v>1.120862</v>
      </c>
      <c r="L4654">
        <v>141.536</v>
      </c>
      <c r="M4654">
        <v>-0.99985460000000004</v>
      </c>
      <c r="N4654">
        <v>-1.4035880000000001E-2</v>
      </c>
      <c r="O4654">
        <v>-9.69625E-3</v>
      </c>
      <c r="P4654">
        <v>-0.9924965</v>
      </c>
      <c r="Q4654">
        <v>-0.1199055</v>
      </c>
      <c r="R4654">
        <v>-2.3948879999999999E-2</v>
      </c>
      <c r="S4654">
        <v>-2.985474</v>
      </c>
      <c r="T4654">
        <v>-0.2292266</v>
      </c>
      <c r="U4654">
        <v>-0.39360050000000002</v>
      </c>
      <c r="V4654">
        <v>-1.432728E-2</v>
      </c>
      <c r="W4654">
        <v>-0.105959999999999</v>
      </c>
      <c r="X4654">
        <v>0.99426720000000002</v>
      </c>
      <c r="Y4654">
        <v>-0.1206921</v>
      </c>
      <c r="Z4654">
        <v>-4.8542109999999998E-3</v>
      </c>
      <c r="AA4654">
        <v>0.99267810000000001</v>
      </c>
      <c r="AB4654">
        <v>27</v>
      </c>
      <c r="AC4654">
        <v>-14.335100000000001</v>
      </c>
      <c r="AD4654">
        <v>-1.1208707973659999</v>
      </c>
      <c r="AE4654">
        <v>-1.9219999999999899</v>
      </c>
      <c r="AF4654">
        <v>-1.7722554026647801</v>
      </c>
      <c r="AG4654">
        <v>-1.1208707973659999</v>
      </c>
      <c r="AH4654">
        <v>14.267376788787301</v>
      </c>
      <c r="AI4654">
        <v>94.4579118505483</v>
      </c>
      <c r="AJ4654">
        <v>97.080858128703895</v>
      </c>
      <c r="AK4654">
        <v>14.4206546657872</v>
      </c>
      <c r="AL4654">
        <v>96.082478900035397</v>
      </c>
      <c r="AM4654">
        <v>90.825568685078096</v>
      </c>
      <c r="AN4654">
        <v>1.0000000287740101</v>
      </c>
    </row>
    <row r="4655" spans="1:40" x14ac:dyDescent="0.25">
      <c r="A4655" t="str">
        <f>"20190303154608235"</f>
        <v>20190303154608235</v>
      </c>
      <c r="B4655" t="str">
        <f>"1551599168226220"</f>
        <v>1551599168226220</v>
      </c>
      <c r="C4655" t="s">
        <v>40</v>
      </c>
      <c r="D4655">
        <v>5.0527800000000003</v>
      </c>
      <c r="E4655">
        <v>0.45943250000000002</v>
      </c>
      <c r="F4655" t="s">
        <v>61</v>
      </c>
      <c r="G4655">
        <v>-406.97410000000002</v>
      </c>
      <c r="H4655" s="1">
        <v>-8.8280120000000003E-6</v>
      </c>
      <c r="I4655">
        <v>139.63630000000001</v>
      </c>
      <c r="J4655">
        <v>-392.87400000000002</v>
      </c>
      <c r="K4655">
        <v>1.1208640000000001</v>
      </c>
      <c r="L4655">
        <v>141.5334</v>
      </c>
      <c r="M4655">
        <v>-0.99985449999999998</v>
      </c>
      <c r="N4655">
        <v>-1.4032970000000001E-2</v>
      </c>
      <c r="O4655">
        <v>-9.6968249999999992E-3</v>
      </c>
      <c r="P4655">
        <v>-0.99249100000000001</v>
      </c>
      <c r="Q4655">
        <v>-0.1199451</v>
      </c>
      <c r="R4655">
        <v>-2.3965480000000001E-2</v>
      </c>
      <c r="S4655">
        <v>-2.9850460000000001</v>
      </c>
      <c r="T4655">
        <v>-0.23284379999999999</v>
      </c>
      <c r="U4655">
        <v>-0.39463809999999999</v>
      </c>
      <c r="V4655">
        <v>-1.434333E-2</v>
      </c>
      <c r="W4655">
        <v>-0.1060026</v>
      </c>
      <c r="X4655">
        <v>0.99426239999999999</v>
      </c>
      <c r="Y4655">
        <v>-0.1210364</v>
      </c>
      <c r="Z4655">
        <v>-4.9311049999999999E-3</v>
      </c>
      <c r="AA4655">
        <v>0.99263579999999996</v>
      </c>
      <c r="AB4655">
        <v>27</v>
      </c>
      <c r="AC4655">
        <v>-14.1000999999999</v>
      </c>
      <c r="AD4655">
        <v>-1.1208728280119999</v>
      </c>
      <c r="AE4655">
        <v>-1.89709999999999</v>
      </c>
      <c r="AF4655">
        <v>-1.74941263982508</v>
      </c>
      <c r="AG4655">
        <v>-1.1208728280119999</v>
      </c>
      <c r="AH4655">
        <v>14.0307467464464</v>
      </c>
      <c r="AI4655">
        <v>94.532534190601794</v>
      </c>
      <c r="AJ4655">
        <v>97.107200848883096</v>
      </c>
      <c r="AK4655">
        <v>14.183746146341999</v>
      </c>
      <c r="AL4655">
        <v>96.084933692806899</v>
      </c>
      <c r="AM4655">
        <v>90.826497381885602</v>
      </c>
      <c r="AN4655">
        <v>1.0000000011879999</v>
      </c>
    </row>
    <row r="4656" spans="1:40" x14ac:dyDescent="0.25">
      <c r="A4656" t="str">
        <f>"20190303154608258"</f>
        <v>20190303154608258</v>
      </c>
      <c r="B4656" t="str">
        <f>"1551599168255500"</f>
        <v>1551599168255500</v>
      </c>
      <c r="C4656" t="s">
        <v>40</v>
      </c>
      <c r="D4656">
        <v>5.0790839999999999</v>
      </c>
      <c r="E4656">
        <v>0.45941650000000001</v>
      </c>
      <c r="F4656" t="s">
        <v>61</v>
      </c>
      <c r="G4656">
        <v>-407.18259999999998</v>
      </c>
      <c r="H4656" s="1">
        <v>-8.9584989999999996E-6</v>
      </c>
      <c r="I4656">
        <v>139.63800000000001</v>
      </c>
      <c r="J4656">
        <v>-393.14870000000002</v>
      </c>
      <c r="K4656">
        <v>1.1208689999999999</v>
      </c>
      <c r="L4656">
        <v>141.5307</v>
      </c>
      <c r="M4656">
        <v>-0.99985460000000004</v>
      </c>
      <c r="N4656">
        <v>-1.4030000000000001E-2</v>
      </c>
      <c r="O4656">
        <v>-9.6972800000000008E-3</v>
      </c>
      <c r="P4656">
        <v>-0.99251909999999999</v>
      </c>
      <c r="Q4656">
        <v>-0.11972720000000001</v>
      </c>
      <c r="R4656">
        <v>-2.390105E-2</v>
      </c>
      <c r="S4656">
        <v>-2.9848940000000002</v>
      </c>
      <c r="T4656">
        <v>-0.23382449999999999</v>
      </c>
      <c r="U4656">
        <v>-0.395401</v>
      </c>
      <c r="V4656">
        <v>-1.4278239999999999E-2</v>
      </c>
      <c r="W4656">
        <v>-0.1057873</v>
      </c>
      <c r="X4656">
        <v>0.99428620000000001</v>
      </c>
      <c r="Y4656">
        <v>-0.1212879</v>
      </c>
      <c r="Z4656">
        <v>-4.9591430000000001E-3</v>
      </c>
      <c r="AA4656">
        <v>0.99260499999999996</v>
      </c>
      <c r="AB4656">
        <v>27</v>
      </c>
      <c r="AC4656">
        <v>-14.0338999999999</v>
      </c>
      <c r="AD4656">
        <v>-1.1208779584990001</v>
      </c>
      <c r="AE4656">
        <v>-1.8926999999999901</v>
      </c>
      <c r="AF4656">
        <v>-1.74557067737709</v>
      </c>
      <c r="AG4656">
        <v>-1.1208779584990001</v>
      </c>
      <c r="AH4656">
        <v>13.9641085996098</v>
      </c>
      <c r="AI4656">
        <v>94.553915575217701</v>
      </c>
      <c r="AJ4656">
        <v>97.125247039753305</v>
      </c>
      <c r="AK4656">
        <v>14.1173550415531</v>
      </c>
      <c r="AL4656">
        <v>96.072528567197693</v>
      </c>
      <c r="AM4656">
        <v>90.8227275641201</v>
      </c>
      <c r="AN4656">
        <v>0.99999993424461098</v>
      </c>
    </row>
    <row r="4657" spans="1:40" x14ac:dyDescent="0.25">
      <c r="A4657" t="str">
        <f>"20190303154608280"</f>
        <v>20190303154608280</v>
      </c>
      <c r="B4657" t="str">
        <f>"1551599168275996"</f>
        <v>1551599168275996</v>
      </c>
      <c r="C4657" t="s">
        <v>40</v>
      </c>
      <c r="D4657">
        <v>5.0450269999999904</v>
      </c>
      <c r="E4657">
        <v>0.45934760000000002</v>
      </c>
      <c r="F4657" t="s">
        <v>61</v>
      </c>
      <c r="G4657">
        <v>-407.48719999999997</v>
      </c>
      <c r="H4657" s="1">
        <v>-9.1452729999999998E-6</v>
      </c>
      <c r="I4657">
        <v>139.631</v>
      </c>
      <c r="J4657">
        <v>-393.41410000000002</v>
      </c>
      <c r="K4657">
        <v>1.120868</v>
      </c>
      <c r="L4657">
        <v>141.5282</v>
      </c>
      <c r="M4657">
        <v>-0.99985460000000004</v>
      </c>
      <c r="N4657">
        <v>-1.4027120000000001E-2</v>
      </c>
      <c r="O4657">
        <v>-9.6973770000000001E-3</v>
      </c>
      <c r="P4657">
        <v>-0.99253060000000004</v>
      </c>
      <c r="Q4657">
        <v>-0.1196388</v>
      </c>
      <c r="R4657">
        <v>-2.3867059999999999E-2</v>
      </c>
      <c r="S4657">
        <v>-2.9849549999999998</v>
      </c>
      <c r="T4657">
        <v>-0.2333413</v>
      </c>
      <c r="U4657">
        <v>-0.39547729999999998</v>
      </c>
      <c r="V4657">
        <v>-1.4243759999999999E-2</v>
      </c>
      <c r="W4657">
        <v>-0.10570160000000001</v>
      </c>
      <c r="X4657">
        <v>0.99429590000000001</v>
      </c>
      <c r="Y4657">
        <v>-0.1213115</v>
      </c>
      <c r="Z4657">
        <v>-4.9517540000000001E-3</v>
      </c>
      <c r="AA4657">
        <v>0.99260210000000004</v>
      </c>
      <c r="AB4657">
        <v>27</v>
      </c>
      <c r="AC4657">
        <v>-14.073099999999901</v>
      </c>
      <c r="AD4657">
        <v>-1.120877145273</v>
      </c>
      <c r="AE4657">
        <v>-1.89719999999999</v>
      </c>
      <c r="AF4657">
        <v>-1.7497237477387699</v>
      </c>
      <c r="AG4657">
        <v>-1.120877145273</v>
      </c>
      <c r="AH4657">
        <v>14.0035901269581</v>
      </c>
      <c r="AI4657">
        <v>94.541157910801203</v>
      </c>
      <c r="AJ4657">
        <v>97.122095551098496</v>
      </c>
      <c r="AK4657">
        <v>14.15692181274</v>
      </c>
      <c r="AL4657">
        <v>96.067590081424598</v>
      </c>
      <c r="AM4657">
        <v>90.820733055727899</v>
      </c>
      <c r="AN4657">
        <v>1.0000000248491501</v>
      </c>
    </row>
    <row r="4658" spans="1:40" x14ac:dyDescent="0.25">
      <c r="A4658" t="str">
        <f>"20190303154608303"</f>
        <v>20190303154608303</v>
      </c>
      <c r="B4658" t="str">
        <f>"1551599168295516"</f>
        <v>1551599168295516</v>
      </c>
      <c r="C4658" t="s">
        <v>40</v>
      </c>
      <c r="D4658">
        <v>5.0472609999999998</v>
      </c>
      <c r="E4658">
        <v>0.45925690000000002</v>
      </c>
      <c r="F4658" t="s">
        <v>61</v>
      </c>
      <c r="G4658">
        <v>-407.7792</v>
      </c>
      <c r="H4658" s="1">
        <v>-9.32377E-6</v>
      </c>
      <c r="I4658">
        <v>139.62309999999999</v>
      </c>
      <c r="J4658">
        <v>-393.68389999999999</v>
      </c>
      <c r="K4658">
        <v>1.120859</v>
      </c>
      <c r="L4658">
        <v>141.52549999999999</v>
      </c>
      <c r="M4658">
        <v>-0.99985469999999999</v>
      </c>
      <c r="N4658">
        <v>-1.4024170000000001E-2</v>
      </c>
      <c r="O4658">
        <v>-9.7005949999999994E-3</v>
      </c>
      <c r="P4658">
        <v>-0.99248449999999999</v>
      </c>
      <c r="Q4658">
        <v>-0.11994009999999999</v>
      </c>
      <c r="R4658">
        <v>-2.4273670000000001E-2</v>
      </c>
      <c r="S4658">
        <v>-2.984985</v>
      </c>
      <c r="T4658">
        <v>-0.23291220000000001</v>
      </c>
      <c r="U4658">
        <v>-0.395874</v>
      </c>
      <c r="V4658">
        <v>-1.46477E-2</v>
      </c>
      <c r="W4658">
        <v>-0.1060064</v>
      </c>
      <c r="X4658">
        <v>0.99425759999999996</v>
      </c>
      <c r="Y4658">
        <v>-0.12143760000000001</v>
      </c>
      <c r="Z4658">
        <v>-4.9497880000000001E-3</v>
      </c>
      <c r="AA4658">
        <v>0.99258670000000004</v>
      </c>
      <c r="AB4658">
        <v>27</v>
      </c>
      <c r="AC4658">
        <v>-14.0953</v>
      </c>
      <c r="AD4658">
        <v>-1.1208683237699999</v>
      </c>
      <c r="AE4658">
        <v>-1.9024000000000001</v>
      </c>
      <c r="AF4658">
        <v>-1.7546670301084399</v>
      </c>
      <c r="AG4658">
        <v>-1.1208683237699999</v>
      </c>
      <c r="AH4658">
        <v>14.025985698624099</v>
      </c>
      <c r="AI4658">
        <v>94.533816677507602</v>
      </c>
      <c r="AJ4658">
        <v>97.1307229441705</v>
      </c>
      <c r="AK4658">
        <v>14.1796853633565</v>
      </c>
      <c r="AL4658">
        <v>96.085152391657203</v>
      </c>
      <c r="AM4658">
        <v>90.844037481095</v>
      </c>
      <c r="AN4658">
        <v>1.000000043557</v>
      </c>
    </row>
    <row r="4659" spans="1:40" x14ac:dyDescent="0.25">
      <c r="A4659" t="str">
        <f>"20190303154608325"</f>
        <v>20190303154608325</v>
      </c>
      <c r="B4659" t="str">
        <f>"1551599168316011"</f>
        <v>1551599168316011</v>
      </c>
      <c r="C4659" t="s">
        <v>40</v>
      </c>
      <c r="D4659">
        <v>5.0348240000000004</v>
      </c>
      <c r="E4659">
        <v>0.45915060000000002</v>
      </c>
      <c r="F4659" t="s">
        <v>61</v>
      </c>
      <c r="G4659">
        <v>-407.96910000000003</v>
      </c>
      <c r="H4659" s="1">
        <v>-9.4416600000000003E-6</v>
      </c>
      <c r="I4659">
        <v>139.62219999999999</v>
      </c>
      <c r="J4659">
        <v>-393.95209999999997</v>
      </c>
      <c r="K4659">
        <v>1.1208640000000001</v>
      </c>
      <c r="L4659">
        <v>141.52289999999999</v>
      </c>
      <c r="M4659">
        <v>-0.99985449999999998</v>
      </c>
      <c r="N4659">
        <v>-1.4021230000000001E-2</v>
      </c>
      <c r="O4659">
        <v>-9.7185799999999992E-3</v>
      </c>
      <c r="P4659">
        <v>-0.99225719999999995</v>
      </c>
      <c r="Q4659">
        <v>-0.121657399999999</v>
      </c>
      <c r="R4659">
        <v>-2.5007479999999999E-2</v>
      </c>
      <c r="S4659">
        <v>-2.98468</v>
      </c>
      <c r="T4659">
        <v>-0.23418820000000001</v>
      </c>
      <c r="U4659">
        <v>-0.39767459999999999</v>
      </c>
      <c r="V4659">
        <v>-1.5364040000000001E-2</v>
      </c>
      <c r="W4659">
        <v>-0.1077298</v>
      </c>
      <c r="X4659">
        <v>0.99406150000000004</v>
      </c>
      <c r="Y4659">
        <v>-0.1220152</v>
      </c>
      <c r="Z4659">
        <v>-4.9969350000000001E-3</v>
      </c>
      <c r="AA4659">
        <v>0.99251560000000005</v>
      </c>
      <c r="AB4659">
        <v>27</v>
      </c>
      <c r="AC4659">
        <v>-14.016999999999999</v>
      </c>
      <c r="AD4659">
        <v>-1.1208734416599999</v>
      </c>
      <c r="AE4659">
        <v>-1.9007000000000001</v>
      </c>
      <c r="AF4659">
        <v>-1.75336214501011</v>
      </c>
      <c r="AG4659">
        <v>-1.1208734416599999</v>
      </c>
      <c r="AH4659">
        <v>13.9472372004146</v>
      </c>
      <c r="AI4659">
        <v>94.558985008031598</v>
      </c>
      <c r="AJ4659">
        <v>97.165289251043106</v>
      </c>
      <c r="AK4659">
        <v>14.101633295771199</v>
      </c>
      <c r="AL4659">
        <v>96.184464866941397</v>
      </c>
      <c r="AM4659">
        <v>90.885483003466703</v>
      </c>
      <c r="AN4659">
        <v>1.0000000146576999</v>
      </c>
    </row>
    <row r="4660" spans="1:40" x14ac:dyDescent="0.25">
      <c r="A4660" t="str">
        <f>"20190303154608347"</f>
        <v>20190303154608347</v>
      </c>
      <c r="B4660" t="str">
        <f>"1551599168335532"</f>
        <v>1551599168335532</v>
      </c>
      <c r="C4660" t="s">
        <v>40</v>
      </c>
      <c r="D4660">
        <v>5.0261659999999999</v>
      </c>
      <c r="E4660">
        <v>0.45904309999999998</v>
      </c>
      <c r="F4660" t="s">
        <v>61</v>
      </c>
      <c r="G4660">
        <v>-407.94200000000001</v>
      </c>
      <c r="H4660" s="1">
        <v>-9.4337140000000008E-6</v>
      </c>
      <c r="I4660">
        <v>139.64400000000001</v>
      </c>
      <c r="J4660">
        <v>-394.21910000000003</v>
      </c>
      <c r="K4660">
        <v>1.120865</v>
      </c>
      <c r="L4660">
        <v>141.52029999999999</v>
      </c>
      <c r="M4660">
        <v>-0.99985409999999997</v>
      </c>
      <c r="N4660">
        <v>-1.4018310000000001E-2</v>
      </c>
      <c r="O4660">
        <v>-9.7541739999999991E-3</v>
      </c>
      <c r="P4660">
        <v>-0.99197979999999997</v>
      </c>
      <c r="Q4660">
        <v>-0.12380289999999999</v>
      </c>
      <c r="R4660">
        <v>-2.548108E-2</v>
      </c>
      <c r="S4660">
        <v>-2.983978</v>
      </c>
      <c r="T4660">
        <v>-0.23907800000000001</v>
      </c>
      <c r="U4660">
        <v>-0.40077210000000002</v>
      </c>
      <c r="V4660">
        <v>-1.5801119999999998E-2</v>
      </c>
      <c r="W4660">
        <v>-0.1098823</v>
      </c>
      <c r="X4660">
        <v>0.99381900000000001</v>
      </c>
      <c r="Y4660">
        <v>-0.123003</v>
      </c>
      <c r="Z4660">
        <v>-5.1247360000000004E-3</v>
      </c>
      <c r="AA4660">
        <v>0.99239310000000003</v>
      </c>
      <c r="AB4660">
        <v>27</v>
      </c>
      <c r="AC4660">
        <v>-13.7228999999999</v>
      </c>
      <c r="AD4660">
        <v>-1.120874433714</v>
      </c>
      <c r="AE4660">
        <v>-1.8762999999999801</v>
      </c>
      <c r="AF4660">
        <v>-1.73100556548586</v>
      </c>
      <c r="AG4660">
        <v>-1.120874433714</v>
      </c>
      <c r="AH4660">
        <v>13.651148557035199</v>
      </c>
      <c r="AI4660">
        <v>94.656813970171001</v>
      </c>
      <c r="AJ4660">
        <v>97.226704435516993</v>
      </c>
      <c r="AK4660">
        <v>13.8060347924427</v>
      </c>
      <c r="AL4660">
        <v>96.308530727034594</v>
      </c>
      <c r="AM4660">
        <v>90.910891432114198</v>
      </c>
      <c r="AN4660">
        <v>1.0000000000037701</v>
      </c>
    </row>
    <row r="4661" spans="1:40" x14ac:dyDescent="0.25">
      <c r="A4661" t="str">
        <f>"20190303154608371"</f>
        <v>20190303154608371</v>
      </c>
      <c r="B4661" t="str">
        <f>"1551599168365788"</f>
        <v>1551599168365788</v>
      </c>
      <c r="C4661" t="s">
        <v>40</v>
      </c>
      <c r="D4661">
        <v>5.0308089999999996</v>
      </c>
      <c r="E4661">
        <v>0.4589356</v>
      </c>
      <c r="F4661" t="s">
        <v>61</v>
      </c>
      <c r="G4661">
        <v>-407.81569999999999</v>
      </c>
      <c r="H4661" s="1">
        <v>-9.3713609999999997E-6</v>
      </c>
      <c r="I4661">
        <v>139.68350000000001</v>
      </c>
      <c r="J4661">
        <v>-394.50330000000002</v>
      </c>
      <c r="K4661">
        <v>1.120881</v>
      </c>
      <c r="L4661">
        <v>141.51750000000001</v>
      </c>
      <c r="M4661">
        <v>-0.99985369999999996</v>
      </c>
      <c r="N4661">
        <v>-1.401521E-2</v>
      </c>
      <c r="O4661">
        <v>-9.8241379999999996E-3</v>
      </c>
      <c r="P4661">
        <v>-0.99173370000000005</v>
      </c>
      <c r="Q4661">
        <v>-0.1256757</v>
      </c>
      <c r="R4661">
        <v>-2.5892930000000002E-2</v>
      </c>
      <c r="S4661">
        <v>-2.9831850000000002</v>
      </c>
      <c r="T4661">
        <v>-0.24592849999999999</v>
      </c>
      <c r="U4661">
        <v>-0.40299990000000002</v>
      </c>
      <c r="V4661">
        <v>-1.614034E-2</v>
      </c>
      <c r="W4661">
        <v>-0.11176220000000001</v>
      </c>
      <c r="X4661">
        <v>0.99360389999999998</v>
      </c>
      <c r="Y4661">
        <v>-0.12367069999999999</v>
      </c>
      <c r="Z4661">
        <v>-5.270533E-3</v>
      </c>
      <c r="AA4661">
        <v>0.99230929999999995</v>
      </c>
      <c r="AB4661">
        <v>27</v>
      </c>
      <c r="AC4661">
        <v>-13.312399999999901</v>
      </c>
      <c r="AD4661">
        <v>-1.1208903713609999</v>
      </c>
      <c r="AE4661">
        <v>-1.8340000000000001</v>
      </c>
      <c r="AF4661">
        <v>-1.6913483823561899</v>
      </c>
      <c r="AG4661">
        <v>-1.1208903713609999</v>
      </c>
      <c r="AH4661">
        <v>13.2376766311823</v>
      </c>
      <c r="AI4661">
        <v>94.801087699053994</v>
      </c>
      <c r="AJ4661">
        <v>97.281104441328395</v>
      </c>
      <c r="AK4661">
        <v>13.3922790131799</v>
      </c>
      <c r="AL4661">
        <v>96.416908629063101</v>
      </c>
      <c r="AM4661">
        <v>90.930644528627596</v>
      </c>
      <c r="AN4661">
        <v>1.00000000500968</v>
      </c>
    </row>
    <row r="4662" spans="1:40" x14ac:dyDescent="0.25">
      <c r="A4662" t="str">
        <f>"20190303154608394"</f>
        <v>20190303154608394</v>
      </c>
      <c r="B4662" t="str">
        <f>"1551599168386283"</f>
        <v>1551599168386283</v>
      </c>
      <c r="C4662" t="s">
        <v>40</v>
      </c>
      <c r="D4662">
        <v>5.1494669999999996</v>
      </c>
      <c r="E4662">
        <v>0.45894960000000001</v>
      </c>
      <c r="F4662" t="s">
        <v>61</v>
      </c>
      <c r="G4662">
        <v>-407.77550000000002</v>
      </c>
      <c r="H4662" s="1">
        <v>-9.3593369999999999E-6</v>
      </c>
      <c r="I4662">
        <v>139.71520000000001</v>
      </c>
      <c r="J4662">
        <v>-394.77670000000001</v>
      </c>
      <c r="K4662">
        <v>1.120908</v>
      </c>
      <c r="L4662">
        <v>141.5147</v>
      </c>
      <c r="M4662">
        <v>-0.99985250000000003</v>
      </c>
      <c r="N4662">
        <v>-1.401238E-2</v>
      </c>
      <c r="O4662">
        <v>-9.9356099999999992E-3</v>
      </c>
      <c r="P4662">
        <v>-0.9916606</v>
      </c>
      <c r="Q4662">
        <v>-0.12632090000000001</v>
      </c>
      <c r="R4662">
        <v>-2.5546220000000001E-2</v>
      </c>
      <c r="S4662">
        <v>-2.9824830000000002</v>
      </c>
      <c r="T4662">
        <v>-0.25188329999999998</v>
      </c>
      <c r="U4662">
        <v>-0.40499879999999999</v>
      </c>
      <c r="V4662">
        <v>-1.5675339999999999E-2</v>
      </c>
      <c r="W4662">
        <v>-0.11241230000000001</v>
      </c>
      <c r="X4662">
        <v>0.99353800000000003</v>
      </c>
      <c r="Y4662">
        <v>-0.1242214</v>
      </c>
      <c r="Z4662">
        <v>-5.3932700000000004E-3</v>
      </c>
      <c r="AA4662">
        <v>0.99223989999999995</v>
      </c>
      <c r="AB4662">
        <v>27</v>
      </c>
      <c r="AC4662">
        <v>-12.998799999999999</v>
      </c>
      <c r="AD4662">
        <v>-1.1209173593369901</v>
      </c>
      <c r="AE4662">
        <v>-1.7994999999999901</v>
      </c>
      <c r="AF4662">
        <v>-1.6581492982067001</v>
      </c>
      <c r="AG4662">
        <v>-1.1209173593369901</v>
      </c>
      <c r="AH4662">
        <v>12.9217594796089</v>
      </c>
      <c r="AI4662">
        <v>94.917674040410702</v>
      </c>
      <c r="AJ4662">
        <v>97.312361713634203</v>
      </c>
      <c r="AK4662">
        <v>13.075847309848401</v>
      </c>
      <c r="AL4662">
        <v>96.454392863388705</v>
      </c>
      <c r="AM4662">
        <v>90.903897298103601</v>
      </c>
      <c r="AN4662">
        <v>0.99999999945970197</v>
      </c>
    </row>
    <row r="4663" spans="1:40" x14ac:dyDescent="0.25">
      <c r="A4663" t="str">
        <f>"20190303154608414"</f>
        <v>20190303154608414</v>
      </c>
      <c r="B4663" t="str">
        <f>"1551599168405804"</f>
        <v>1551599168405804</v>
      </c>
      <c r="C4663" t="s">
        <v>40</v>
      </c>
      <c r="D4663">
        <v>5.0119660000000001</v>
      </c>
      <c r="E4663">
        <v>0.45887260000000002</v>
      </c>
      <c r="F4663" t="s">
        <v>61</v>
      </c>
      <c r="G4663">
        <v>-407.91480000000001</v>
      </c>
      <c r="H4663" s="1">
        <v>-9.4545359999999992E-6</v>
      </c>
      <c r="I4663">
        <v>139.73580000000001</v>
      </c>
      <c r="J4663">
        <v>-395.02550000000002</v>
      </c>
      <c r="K4663">
        <v>1.1209480000000001</v>
      </c>
      <c r="L4663">
        <v>141.5121</v>
      </c>
      <c r="M4663">
        <v>-0.99985119999999905</v>
      </c>
      <c r="N4663">
        <v>-1.4009840000000001E-2</v>
      </c>
      <c r="O4663">
        <v>-1.0083389999999999E-2</v>
      </c>
      <c r="P4663">
        <v>-0.99188259999999995</v>
      </c>
      <c r="Q4663">
        <v>-0.1247296</v>
      </c>
      <c r="R4663">
        <v>-2.4739549999999999E-2</v>
      </c>
      <c r="S4663">
        <v>-2.9824220000000001</v>
      </c>
      <c r="T4663">
        <v>-0.2544553</v>
      </c>
      <c r="U4663">
        <v>-0.40380860000000002</v>
      </c>
      <c r="V4663">
        <v>-1.471104E-2</v>
      </c>
      <c r="W4663">
        <v>-0.110821699999999</v>
      </c>
      <c r="X4663">
        <v>0.99373140000000004</v>
      </c>
      <c r="Y4663">
        <v>-0.12368220000000001</v>
      </c>
      <c r="Z4663">
        <v>-5.4007319999999897E-3</v>
      </c>
      <c r="AA4663">
        <v>0.99230719999999994</v>
      </c>
      <c r="AB4663">
        <v>27</v>
      </c>
      <c r="AC4663">
        <v>-12.889299999999899</v>
      </c>
      <c r="AD4663">
        <v>-1.1209574545359999</v>
      </c>
      <c r="AE4663">
        <v>-1.77629999999999</v>
      </c>
      <c r="AF4663">
        <v>-1.6341000392923499</v>
      </c>
      <c r="AG4663">
        <v>-1.1209574545359999</v>
      </c>
      <c r="AH4663">
        <v>12.811464697153699</v>
      </c>
      <c r="AI4663">
        <v>94.960456752155906</v>
      </c>
      <c r="AJ4663">
        <v>97.2688173466195</v>
      </c>
      <c r="AK4663">
        <v>12.963813337120699</v>
      </c>
      <c r="AL4663">
        <v>96.362685258977706</v>
      </c>
      <c r="AM4663">
        <v>90.848135561474905</v>
      </c>
      <c r="AN4663">
        <v>0.99999997961736498</v>
      </c>
    </row>
    <row r="4664" spans="1:40" x14ac:dyDescent="0.25">
      <c r="A4664" t="str">
        <f>"20190303154608437"</f>
        <v>20190303154608437</v>
      </c>
      <c r="B4664" t="str">
        <f>"1551599168426300"</f>
        <v>1551599168426300</v>
      </c>
      <c r="C4664" t="s">
        <v>40</v>
      </c>
      <c r="D4664">
        <v>5.0068549999999998</v>
      </c>
      <c r="E4664">
        <v>0.4587232</v>
      </c>
      <c r="F4664" t="s">
        <v>61</v>
      </c>
      <c r="G4664">
        <v>-408.42959999999999</v>
      </c>
      <c r="H4664" s="1">
        <v>-9.7628859999999993E-6</v>
      </c>
      <c r="I4664">
        <v>139.7063</v>
      </c>
      <c r="J4664">
        <v>-395.29500000000002</v>
      </c>
      <c r="K4664">
        <v>1.120997</v>
      </c>
      <c r="L4664">
        <v>141.50919999999999</v>
      </c>
      <c r="M4664">
        <v>-0.99984899999999999</v>
      </c>
      <c r="N4664">
        <v>-1.400707E-2</v>
      </c>
      <c r="O4664">
        <v>-1.0293729999999999E-2</v>
      </c>
      <c r="P4664">
        <v>-0.99204709999999996</v>
      </c>
      <c r="Q4664">
        <v>-0.1234972</v>
      </c>
      <c r="R4664">
        <v>-2.4312960000000002E-2</v>
      </c>
      <c r="S4664">
        <v>-2.9831240000000001</v>
      </c>
      <c r="T4664">
        <v>-0.24947369999999999</v>
      </c>
      <c r="U4664">
        <v>-0.40188600000000002</v>
      </c>
      <c r="V4664">
        <v>-1.406427E-2</v>
      </c>
      <c r="W4664">
        <v>-0.1095911</v>
      </c>
      <c r="X4664">
        <v>0.99387720000000002</v>
      </c>
      <c r="Y4664">
        <v>-0.12283570000000001</v>
      </c>
      <c r="Z4664">
        <v>-5.2583250000000003E-3</v>
      </c>
      <c r="AA4664">
        <v>0.99241310000000005</v>
      </c>
      <c r="AB4664">
        <v>27</v>
      </c>
      <c r="AC4664">
        <v>-13.134599999999899</v>
      </c>
      <c r="AD4664">
        <v>-1.1210067628859901</v>
      </c>
      <c r="AE4664">
        <v>-1.80289999999999</v>
      </c>
      <c r="AF4664">
        <v>-1.6557493853115599</v>
      </c>
      <c r="AG4664">
        <v>-1.1210067628859901</v>
      </c>
      <c r="AH4664">
        <v>13.0590982070685</v>
      </c>
      <c r="AI4664">
        <v>94.8675243782981</v>
      </c>
      <c r="AJ4664">
        <v>97.225916555353095</v>
      </c>
      <c r="AK4664">
        <v>13.211290935077299</v>
      </c>
      <c r="AL4664">
        <v>96.291745131639203</v>
      </c>
      <c r="AM4664">
        <v>90.810733490146006</v>
      </c>
      <c r="AN4664">
        <v>0.99999995078484005</v>
      </c>
    </row>
    <row r="4665" spans="1:40" x14ac:dyDescent="0.25">
      <c r="A4665" t="str">
        <f>"20190303154608460"</f>
        <v>20190303154608460</v>
      </c>
      <c r="B4665" t="str">
        <f>"1551599168455580"</f>
        <v>1551599168455580</v>
      </c>
      <c r="C4665" t="s">
        <v>40</v>
      </c>
      <c r="D4665">
        <v>5.0364329999999997</v>
      </c>
      <c r="E4665">
        <v>0.4584241</v>
      </c>
      <c r="F4665" t="s">
        <v>61</v>
      </c>
      <c r="G4665">
        <v>-408.9083</v>
      </c>
      <c r="H4665" s="1">
        <v>-1.004844E-5</v>
      </c>
      <c r="I4665">
        <v>139.67590000000001</v>
      </c>
      <c r="J4665">
        <v>-395.56509999999997</v>
      </c>
      <c r="K4665">
        <v>1.1210340000000001</v>
      </c>
      <c r="L4665">
        <v>141.5061</v>
      </c>
      <c r="M4665">
        <v>-0.99984629999999997</v>
      </c>
      <c r="N4665">
        <v>-1.4004300000000001E-2</v>
      </c>
      <c r="O4665">
        <v>-1.0553979999999999E-2</v>
      </c>
      <c r="P4665">
        <v>-0.9920253</v>
      </c>
      <c r="Q4665">
        <v>-0.1237272</v>
      </c>
      <c r="R4665">
        <v>-2.4035790000000001E-2</v>
      </c>
      <c r="S4665">
        <v>-2.9835820000000002</v>
      </c>
      <c r="T4665">
        <v>-0.24568690000000001</v>
      </c>
      <c r="U4665">
        <v>-0.4017792</v>
      </c>
      <c r="V4665">
        <v>-1.351844E-2</v>
      </c>
      <c r="W4665">
        <v>-0.10982509999999999</v>
      </c>
      <c r="X4665">
        <v>0.99385900000000005</v>
      </c>
      <c r="Y4665">
        <v>-0.1225371</v>
      </c>
      <c r="Z4665">
        <v>-5.1611890000000001E-3</v>
      </c>
      <c r="AA4665">
        <v>0.99245050000000001</v>
      </c>
      <c r="AB4665">
        <v>27</v>
      </c>
      <c r="AC4665">
        <v>-13.3432</v>
      </c>
      <c r="AD4665">
        <v>-1.1210440484399999</v>
      </c>
      <c r="AE4665">
        <v>-1.8301999999999901</v>
      </c>
      <c r="AF4665">
        <v>-1.6776371032530999</v>
      </c>
      <c r="AG4665">
        <v>-1.1210440484399999</v>
      </c>
      <c r="AH4665">
        <v>13.2698362733659</v>
      </c>
      <c r="AI4665">
        <v>94.790960891789197</v>
      </c>
      <c r="AJ4665">
        <v>97.205384308457099</v>
      </c>
      <c r="AK4665">
        <v>13.422360475366901</v>
      </c>
      <c r="AL4665">
        <v>96.305233412426006</v>
      </c>
      <c r="AM4665">
        <v>90.779287399427105</v>
      </c>
      <c r="AN4665">
        <v>1.0000000063455201</v>
      </c>
    </row>
    <row r="4666" spans="1:40" x14ac:dyDescent="0.25">
      <c r="A4666" t="str">
        <f>"20190303154608482"</f>
        <v>20190303154608482</v>
      </c>
      <c r="B4666" t="str">
        <f>"1551599168476076"</f>
        <v>1551599168476076</v>
      </c>
      <c r="C4666" t="s">
        <v>40</v>
      </c>
      <c r="D4666">
        <v>5.0866350000000002</v>
      </c>
      <c r="E4666">
        <v>0.45813530000000002</v>
      </c>
      <c r="F4666" t="s">
        <v>61</v>
      </c>
      <c r="G4666">
        <v>-409.17840000000001</v>
      </c>
      <c r="H4666" s="1">
        <v>-1.021242E-5</v>
      </c>
      <c r="I4666">
        <v>139.66579999999999</v>
      </c>
      <c r="J4666">
        <v>-395.83170000000001</v>
      </c>
      <c r="K4666">
        <v>1.121067</v>
      </c>
      <c r="L4666">
        <v>141.50299999999999</v>
      </c>
      <c r="M4666">
        <v>-0.99984320000000004</v>
      </c>
      <c r="N4666">
        <v>-1.400157E-2</v>
      </c>
      <c r="O4666">
        <v>-1.0851420000000001E-2</v>
      </c>
      <c r="P4666">
        <v>-0.99183580000000005</v>
      </c>
      <c r="Q4666">
        <v>-0.12537190000000001</v>
      </c>
      <c r="R4666">
        <v>-2.3320250000000001E-2</v>
      </c>
      <c r="S4666">
        <v>-2.983673</v>
      </c>
      <c r="T4666">
        <v>-0.2457029</v>
      </c>
      <c r="U4666">
        <v>-0.40335080000000001</v>
      </c>
      <c r="V4666">
        <v>-1.2501480000000001E-2</v>
      </c>
      <c r="W4666">
        <v>-0.11147559999999999</v>
      </c>
      <c r="X4666">
        <v>0.99368849999999997</v>
      </c>
      <c r="Y4666">
        <v>-0.1227512</v>
      </c>
      <c r="Z4666">
        <v>-5.1510929999999998E-3</v>
      </c>
      <c r="AA4666">
        <v>0.99242410000000003</v>
      </c>
      <c r="AB4666">
        <v>27</v>
      </c>
      <c r="AC4666">
        <v>-13.346699999999901</v>
      </c>
      <c r="AD4666">
        <v>-1.1210772124199999</v>
      </c>
      <c r="AE4666">
        <v>-1.83719999999999</v>
      </c>
      <c r="AF4666">
        <v>-1.6806100546096101</v>
      </c>
      <c r="AG4666">
        <v>-1.1210772124199999</v>
      </c>
      <c r="AH4666">
        <v>13.273940438787699</v>
      </c>
      <c r="AI4666">
        <v>94.789517744480506</v>
      </c>
      <c r="AJ4666">
        <v>97.215810253858606</v>
      </c>
      <c r="AK4666">
        <v>13.4267925821599</v>
      </c>
      <c r="AL4666">
        <v>96.400384652748897</v>
      </c>
      <c r="AM4666">
        <v>90.720793542984296</v>
      </c>
      <c r="AN4666">
        <v>0.99999996571489902</v>
      </c>
    </row>
    <row r="4667" spans="1:40" x14ac:dyDescent="0.25">
      <c r="A4667" t="str">
        <f>"20190303154608504"</f>
        <v>20190303154608504</v>
      </c>
      <c r="B4667" t="str">
        <f>"1551599168495596"</f>
        <v>1551599168495596</v>
      </c>
      <c r="C4667" t="s">
        <v>40</v>
      </c>
      <c r="D4667">
        <v>5.022348</v>
      </c>
      <c r="E4667">
        <v>0.45796559999999997</v>
      </c>
      <c r="F4667" t="s">
        <v>61</v>
      </c>
      <c r="G4667">
        <v>-409.13029999999998</v>
      </c>
      <c r="H4667" s="1">
        <v>-1.0198450000000001E-5</v>
      </c>
      <c r="I4667">
        <v>139.7047</v>
      </c>
      <c r="J4667">
        <v>-396.09550000000002</v>
      </c>
      <c r="K4667">
        <v>1.1210910000000001</v>
      </c>
      <c r="L4667">
        <v>141.49979999999999</v>
      </c>
      <c r="M4667">
        <v>-0.9998397</v>
      </c>
      <c r="N4667">
        <v>-1.399883E-2</v>
      </c>
      <c r="O4667">
        <v>-1.1174419999999999E-2</v>
      </c>
      <c r="P4667">
        <v>-0.99181779999999997</v>
      </c>
      <c r="Q4667">
        <v>-0.12567739999999999</v>
      </c>
      <c r="R4667">
        <v>-2.2423479999999999E-2</v>
      </c>
      <c r="S4667">
        <v>-2.9834589999999999</v>
      </c>
      <c r="T4667">
        <v>-0.25150660000000002</v>
      </c>
      <c r="U4667">
        <v>-0.40342709999999998</v>
      </c>
      <c r="V4667">
        <v>-1.1279549999999999E-2</v>
      </c>
      <c r="W4667">
        <v>-0.11178399999999999</v>
      </c>
      <c r="X4667">
        <v>0.99366849999999995</v>
      </c>
      <c r="Y4667">
        <v>-0.12244720000000001</v>
      </c>
      <c r="Z4667">
        <v>-5.2111639999999999E-3</v>
      </c>
      <c r="AA4667">
        <v>0.99246129999999999</v>
      </c>
      <c r="AB4667">
        <v>27</v>
      </c>
      <c r="AC4667">
        <v>-13.034799999999899</v>
      </c>
      <c r="AD4667">
        <v>-1.1211011984499999</v>
      </c>
      <c r="AE4667">
        <v>-1.7950999999999899</v>
      </c>
      <c r="AF4667">
        <v>-1.6374299915093</v>
      </c>
      <c r="AG4667">
        <v>-1.1211011984499999</v>
      </c>
      <c r="AH4667">
        <v>12.9599611617489</v>
      </c>
      <c r="AI4667">
        <v>94.905258430360504</v>
      </c>
      <c r="AJ4667">
        <v>97.200897081809003</v>
      </c>
      <c r="AK4667">
        <v>13.1110120962609</v>
      </c>
      <c r="AL4667">
        <v>96.418165653864307</v>
      </c>
      <c r="AM4667">
        <v>90.650360611815898</v>
      </c>
      <c r="AN4667">
        <v>0.99999998939822599</v>
      </c>
    </row>
    <row r="4668" spans="1:40" x14ac:dyDescent="0.25">
      <c r="A4668" t="str">
        <f>"20190303154608526"</f>
        <v>20190303154608526</v>
      </c>
      <c r="B4668" t="str">
        <f>"1551599168515624"</f>
        <v>1551599168515624</v>
      </c>
      <c r="C4668" t="s">
        <v>40</v>
      </c>
      <c r="D4668">
        <v>5.073518</v>
      </c>
      <c r="E4668">
        <v>0.44899090000000003</v>
      </c>
      <c r="F4668" t="s">
        <v>61</v>
      </c>
      <c r="G4668">
        <v>-409.31110000000001</v>
      </c>
      <c r="H4668" s="1">
        <v>-1.0316799999999999E-5</v>
      </c>
      <c r="I4668">
        <v>139.71879999999999</v>
      </c>
      <c r="J4668">
        <v>-396.35759999999999</v>
      </c>
      <c r="K4668">
        <v>1.1211070000000001</v>
      </c>
      <c r="L4668">
        <v>141.4965</v>
      </c>
      <c r="M4668">
        <v>-0.99983569999999999</v>
      </c>
      <c r="N4668">
        <v>-1.3996089999999999E-2</v>
      </c>
      <c r="O4668">
        <v>-1.151014E-2</v>
      </c>
      <c r="P4668">
        <v>-0.99200370000000004</v>
      </c>
      <c r="Q4668">
        <v>-0.1242688</v>
      </c>
      <c r="R4668">
        <v>-2.2043E-2</v>
      </c>
      <c r="S4668">
        <v>-2.9835820000000002</v>
      </c>
      <c r="T4668">
        <v>-0.25310300000000002</v>
      </c>
      <c r="U4668">
        <v>-0.40206910000000001</v>
      </c>
      <c r="V4668">
        <v>-1.056149E-2</v>
      </c>
      <c r="W4668">
        <v>-0.1103756</v>
      </c>
      <c r="X4668">
        <v>0.99383379999999999</v>
      </c>
      <c r="Y4668">
        <v>-0.12166349999999999</v>
      </c>
      <c r="Z4668">
        <v>-5.1752660000000004E-3</v>
      </c>
      <c r="AA4668">
        <v>0.99255789999999999</v>
      </c>
      <c r="AB4668">
        <v>27</v>
      </c>
      <c r="AC4668">
        <v>-12.9535</v>
      </c>
      <c r="AD4668">
        <v>-1.1211173167999999</v>
      </c>
      <c r="AE4668">
        <v>-1.77770000000001</v>
      </c>
      <c r="AF4668">
        <v>-1.61658534284182</v>
      </c>
      <c r="AG4668">
        <v>-1.1211173167999999</v>
      </c>
      <c r="AH4668">
        <v>12.8784190596987</v>
      </c>
      <c r="AI4668">
        <v>94.936733110792403</v>
      </c>
      <c r="AJ4668">
        <v>97.154727384293494</v>
      </c>
      <c r="AK4668">
        <v>13.0278136955489</v>
      </c>
      <c r="AL4668">
        <v>96.336967899156406</v>
      </c>
      <c r="AM4668">
        <v>90.608860379007197</v>
      </c>
      <c r="AN4668">
        <v>0.999999970084409</v>
      </c>
    </row>
    <row r="4669" spans="1:40" x14ac:dyDescent="0.25">
      <c r="A4669" t="str">
        <f>"20190303154608549"</f>
        <v>20190303154608549</v>
      </c>
      <c r="B4669" t="str">
        <f>"1551599168545880"</f>
        <v>1551599168545880</v>
      </c>
      <c r="C4669" t="s">
        <v>40</v>
      </c>
      <c r="D4669">
        <v>5.0397059999999998</v>
      </c>
      <c r="E4669">
        <v>0.44800659999999998</v>
      </c>
      <c r="F4669" t="s">
        <v>61</v>
      </c>
      <c r="G4669">
        <v>-408.36009999999999</v>
      </c>
      <c r="H4669" s="1">
        <v>-9.6725290000000003E-6</v>
      </c>
      <c r="I4669">
        <v>139.59309999999999</v>
      </c>
      <c r="J4669">
        <v>-396.64080000000001</v>
      </c>
      <c r="K4669">
        <v>1.121127</v>
      </c>
      <c r="L4669">
        <v>141.49279999999999</v>
      </c>
      <c r="M4669">
        <v>-0.99983160000000004</v>
      </c>
      <c r="N4669">
        <v>-1.399308E-2</v>
      </c>
      <c r="O4669">
        <v>-1.1878649999999999E-2</v>
      </c>
      <c r="P4669">
        <v>-0.99230430000000003</v>
      </c>
      <c r="Q4669">
        <v>-0.12191639999999999</v>
      </c>
      <c r="R4669">
        <v>-2.165098E-2</v>
      </c>
      <c r="S4669">
        <v>-2.9788209999999999</v>
      </c>
      <c r="T4669">
        <v>-0.2782422</v>
      </c>
      <c r="U4669">
        <v>-0.47238160000000001</v>
      </c>
      <c r="V4669">
        <v>-9.8005880000000007E-3</v>
      </c>
      <c r="W4669">
        <v>-0.1080219</v>
      </c>
      <c r="X4669">
        <v>0.99410019999999999</v>
      </c>
      <c r="Y4669">
        <v>-0.14420910000000001</v>
      </c>
      <c r="Z4669">
        <v>-6.7616239999999999E-3</v>
      </c>
      <c r="AA4669">
        <v>0.98952410000000002</v>
      </c>
      <c r="AB4669">
        <v>27</v>
      </c>
      <c r="AC4669">
        <v>-11.719299999999899</v>
      </c>
      <c r="AD4669">
        <v>-1.121136672529</v>
      </c>
      <c r="AE4669">
        <v>-1.89969999999999</v>
      </c>
      <c r="AF4669">
        <v>-1.7447835260253199</v>
      </c>
      <c r="AG4669">
        <v>-1.121136672529</v>
      </c>
      <c r="AH4669">
        <v>11.6372642705697</v>
      </c>
      <c r="AI4669">
        <v>95.442445669350406</v>
      </c>
      <c r="AJ4669">
        <v>98.526884020514004</v>
      </c>
      <c r="AK4669">
        <v>11.8206233631843</v>
      </c>
      <c r="AL4669">
        <v>96.201299325094894</v>
      </c>
      <c r="AM4669">
        <v>90.564846619581203</v>
      </c>
      <c r="AN4669">
        <v>0.999999995022397</v>
      </c>
    </row>
    <row r="4670" spans="1:40" x14ac:dyDescent="0.25">
      <c r="A4670" t="str">
        <f>"20190303154608572"</f>
        <v>20190303154608572</v>
      </c>
      <c r="B4670" t="str">
        <f>"1551599168566377"</f>
        <v>1551599168566377</v>
      </c>
      <c r="C4670" t="s">
        <v>40</v>
      </c>
      <c r="D4670">
        <v>5.0164720000000003</v>
      </c>
      <c r="E4670">
        <v>0.44718540000000001</v>
      </c>
      <c r="F4670" t="s">
        <v>61</v>
      </c>
      <c r="G4670">
        <v>-408.41550000000001</v>
      </c>
      <c r="H4670" s="1">
        <v>-9.7094159999999993E-6</v>
      </c>
      <c r="I4670">
        <v>139.5986</v>
      </c>
      <c r="J4670">
        <v>-396.89479999999998</v>
      </c>
      <c r="K4670">
        <v>1.12114</v>
      </c>
      <c r="L4670">
        <v>141.48939999999999</v>
      </c>
      <c r="M4670">
        <v>-0.99982780000000004</v>
      </c>
      <c r="N4670">
        <v>-1.399037E-2</v>
      </c>
      <c r="O4670">
        <v>-1.220776E-2</v>
      </c>
      <c r="P4670">
        <v>-0.9925638</v>
      </c>
      <c r="Q4670">
        <v>-0.11967999999999999</v>
      </c>
      <c r="R4670">
        <v>-2.2236860000000001E-2</v>
      </c>
      <c r="S4670">
        <v>-2.9779969999999998</v>
      </c>
      <c r="T4670">
        <v>-0.28355229999999998</v>
      </c>
      <c r="U4670">
        <v>-0.47908020000000001</v>
      </c>
      <c r="V4670">
        <v>-1.0058050000000001E-2</v>
      </c>
      <c r="W4670">
        <v>-0.1057848</v>
      </c>
      <c r="X4670">
        <v>0.99433819999999995</v>
      </c>
      <c r="Y4670">
        <v>-0.14606379999999999</v>
      </c>
      <c r="Z4670">
        <v>-6.9423289999999997E-3</v>
      </c>
      <c r="AA4670">
        <v>0.98925079999999999</v>
      </c>
      <c r="AB4670">
        <v>27</v>
      </c>
      <c r="AC4670">
        <v>-11.5207</v>
      </c>
      <c r="AD4670">
        <v>-1.1211497094159999</v>
      </c>
      <c r="AE4670">
        <v>-1.8907999999999801</v>
      </c>
      <c r="AF4670">
        <v>-1.7340122982492201</v>
      </c>
      <c r="AG4670">
        <v>-1.1211497094159999</v>
      </c>
      <c r="AH4670">
        <v>11.4374496285656</v>
      </c>
      <c r="AI4670">
        <v>95.535643831760197</v>
      </c>
      <c r="AJ4670">
        <v>98.620865374036697</v>
      </c>
      <c r="AK4670">
        <v>11.622350421811401</v>
      </c>
      <c r="AL4670">
        <v>96.072383983793898</v>
      </c>
      <c r="AM4670">
        <v>90.579545431596998</v>
      </c>
      <c r="AN4670">
        <v>1.00000002213004</v>
      </c>
    </row>
    <row r="4671" spans="1:40" x14ac:dyDescent="0.25">
      <c r="A4671" t="str">
        <f>"20190303154608597"</f>
        <v>20190303154608597</v>
      </c>
      <c r="B4671" t="str">
        <f>"1551599168585896"</f>
        <v>1551599168585896</v>
      </c>
      <c r="C4671" t="s">
        <v>40</v>
      </c>
      <c r="D4671">
        <v>5.0365960000000003</v>
      </c>
      <c r="E4671">
        <v>0.44662350000000001</v>
      </c>
      <c r="F4671" t="s">
        <v>61</v>
      </c>
      <c r="G4671">
        <v>-408.8818</v>
      </c>
      <c r="H4671" s="1">
        <v>-9.9685809999999994E-6</v>
      </c>
      <c r="I4671">
        <v>139.5274</v>
      </c>
      <c r="J4671">
        <v>-397.19009999999997</v>
      </c>
      <c r="K4671">
        <v>1.1211450000000001</v>
      </c>
      <c r="L4671">
        <v>141.4854</v>
      </c>
      <c r="M4671">
        <v>-0.99982300000000002</v>
      </c>
      <c r="N4671">
        <v>-1.398719E-2</v>
      </c>
      <c r="O4671">
        <v>-1.2584390000000001E-2</v>
      </c>
      <c r="P4671">
        <v>-0.99290590000000001</v>
      </c>
      <c r="Q4671">
        <v>-0.1163628</v>
      </c>
      <c r="R4671">
        <v>-2.4449519999999999E-2</v>
      </c>
      <c r="S4671">
        <v>-2.9779969999999998</v>
      </c>
      <c r="T4671">
        <v>-0.27853290000000003</v>
      </c>
      <c r="U4671">
        <v>-0.48742679999999999</v>
      </c>
      <c r="V4671">
        <v>-1.189377E-2</v>
      </c>
      <c r="W4671">
        <v>-0.1024669</v>
      </c>
      <c r="X4671">
        <v>0.99466529999999997</v>
      </c>
      <c r="Y4671">
        <v>-0.14840490000000001</v>
      </c>
      <c r="Z4671">
        <v>-6.9350970000000003E-3</v>
      </c>
      <c r="AA4671">
        <v>0.98890239999999996</v>
      </c>
      <c r="AB4671">
        <v>27</v>
      </c>
      <c r="AC4671">
        <v>-11.691700000000001</v>
      </c>
      <c r="AD4671">
        <v>-1.1211549685810001</v>
      </c>
      <c r="AE4671">
        <v>-1.95799999999999</v>
      </c>
      <c r="AF4671">
        <v>-1.7946451419434299</v>
      </c>
      <c r="AG4671">
        <v>-1.1211549685810001</v>
      </c>
      <c r="AH4671">
        <v>11.6115553191381</v>
      </c>
      <c r="AI4671">
        <v>95.450780946214394</v>
      </c>
      <c r="AJ4671">
        <v>98.785935087885804</v>
      </c>
      <c r="AK4671">
        <v>11.802794439389301</v>
      </c>
      <c r="AL4671">
        <v>95.8812433844342</v>
      </c>
      <c r="AM4671">
        <v>90.685085070355797</v>
      </c>
      <c r="AN4671">
        <v>0.99999999319225596</v>
      </c>
    </row>
    <row r="4672" spans="1:40" x14ac:dyDescent="0.25">
      <c r="A4672" t="str">
        <f>"20190303154608620"</f>
        <v>20190303154608620</v>
      </c>
      <c r="B4672" t="str">
        <f>"1551599168615686"</f>
        <v>1551599168615686</v>
      </c>
      <c r="C4672" t="s">
        <v>40</v>
      </c>
      <c r="D4672">
        <v>5.0059990000000001</v>
      </c>
      <c r="E4672">
        <v>0.4459998</v>
      </c>
      <c r="F4672" t="s">
        <v>61</v>
      </c>
      <c r="G4672">
        <v>-409.63529999999997</v>
      </c>
      <c r="H4672" s="1">
        <v>-1.0382549999999999E-5</v>
      </c>
      <c r="I4672">
        <v>139.40129999999999</v>
      </c>
      <c r="J4672">
        <v>-397.4683</v>
      </c>
      <c r="K4672">
        <v>1.1211530000000001</v>
      </c>
      <c r="L4672">
        <v>141.48150000000001</v>
      </c>
      <c r="M4672">
        <v>-0.9998186</v>
      </c>
      <c r="N4672">
        <v>-1.398422E-2</v>
      </c>
      <c r="O4672">
        <v>-1.2932290000000001E-2</v>
      </c>
      <c r="P4672">
        <v>-0.9928458</v>
      </c>
      <c r="Q4672">
        <v>-0.1161296</v>
      </c>
      <c r="R4672">
        <v>-2.77693E-2</v>
      </c>
      <c r="S4672">
        <v>-2.977722</v>
      </c>
      <c r="T4672">
        <v>-0.26825460000000001</v>
      </c>
      <c r="U4672">
        <v>-0.49865720000000002</v>
      </c>
      <c r="V4672">
        <v>-1.486931E-2</v>
      </c>
      <c r="W4672">
        <v>-0.10223839999999999</v>
      </c>
      <c r="X4672">
        <v>0.9946488</v>
      </c>
      <c r="Y4672">
        <v>-0.1517367</v>
      </c>
      <c r="Z4672">
        <v>-6.8698459999999998E-3</v>
      </c>
      <c r="AA4672">
        <v>0.98839710000000003</v>
      </c>
      <c r="AB4672">
        <v>27</v>
      </c>
      <c r="AC4672">
        <v>-12.1669999999999</v>
      </c>
      <c r="AD4672">
        <v>-1.12116338255</v>
      </c>
      <c r="AE4672">
        <v>-2.0802000000000098</v>
      </c>
      <c r="AF4672">
        <v>-1.9069311241834599</v>
      </c>
      <c r="AG4672">
        <v>-1.12116338255</v>
      </c>
      <c r="AH4672">
        <v>12.0931175696361</v>
      </c>
      <c r="AI4672">
        <v>95.232511025400399</v>
      </c>
      <c r="AJ4672">
        <v>98.961030395034996</v>
      </c>
      <c r="AK4672">
        <v>12.293774286027499</v>
      </c>
      <c r="AL4672">
        <v>95.868082073043794</v>
      </c>
      <c r="AM4672">
        <v>90.856468384396607</v>
      </c>
      <c r="AN4672">
        <v>1.0000000110779299</v>
      </c>
    </row>
    <row r="4673" spans="1:40" x14ac:dyDescent="0.25">
      <c r="A4673" t="str">
        <f>"20190303154608639"</f>
        <v>20190303154608639</v>
      </c>
      <c r="B4673" t="str">
        <f>"1551599168626422"</f>
        <v>1551599168626422</v>
      </c>
      <c r="C4673" t="s">
        <v>40</v>
      </c>
      <c r="D4673">
        <v>5.0048159999999999</v>
      </c>
      <c r="E4673">
        <v>0.44587539999999998</v>
      </c>
      <c r="F4673" t="s">
        <v>61</v>
      </c>
      <c r="G4673">
        <v>-409.84840000000003</v>
      </c>
      <c r="H4673" s="1">
        <v>-1.0490309999999999E-5</v>
      </c>
      <c r="I4673">
        <v>139.3443</v>
      </c>
      <c r="J4673">
        <v>-397.6875</v>
      </c>
      <c r="K4673">
        <v>1.121157</v>
      </c>
      <c r="L4673">
        <v>141.47829999999999</v>
      </c>
      <c r="M4673">
        <v>-0.99981520000000002</v>
      </c>
      <c r="N4673">
        <v>-1.39818999999999E-2</v>
      </c>
      <c r="O4673">
        <v>-1.3202709999999999E-2</v>
      </c>
      <c r="P4673">
        <v>-0.99279390000000001</v>
      </c>
      <c r="Q4673">
        <v>-0.1154536</v>
      </c>
      <c r="R4673">
        <v>-3.2110979999999997E-2</v>
      </c>
      <c r="S4673">
        <v>-2.975708</v>
      </c>
      <c r="T4673">
        <v>-0.2694838</v>
      </c>
      <c r="U4673">
        <v>-0.51368709999999995</v>
      </c>
      <c r="V4673">
        <v>-1.8943649999999999E-2</v>
      </c>
      <c r="W4673">
        <v>-0.1015668</v>
      </c>
      <c r="X4673">
        <v>0.99464830000000004</v>
      </c>
      <c r="Y4673">
        <v>-0.15640209999999999</v>
      </c>
      <c r="Z4673">
        <v>-7.1188019999999996E-3</v>
      </c>
      <c r="AA4673">
        <v>0.98766779999999998</v>
      </c>
      <c r="AB4673">
        <v>27</v>
      </c>
      <c r="AC4673">
        <v>-12.1609</v>
      </c>
      <c r="AD4673">
        <v>-1.12116749031</v>
      </c>
      <c r="AE4673">
        <v>-2.1339999999999799</v>
      </c>
      <c r="AF4673">
        <v>-1.95710337808701</v>
      </c>
      <c r="AG4673">
        <v>-1.12116749031</v>
      </c>
      <c r="AH4673">
        <v>12.088337991249601</v>
      </c>
      <c r="AI4673">
        <v>95.231171592124198</v>
      </c>
      <c r="AJ4673">
        <v>99.196396754455705</v>
      </c>
      <c r="AK4673">
        <v>12.296958386712401</v>
      </c>
      <c r="AL4673">
        <v>95.829401173875596</v>
      </c>
      <c r="AM4673">
        <v>91.091099221746106</v>
      </c>
      <c r="AN4673">
        <v>0.99999995871522496</v>
      </c>
    </row>
    <row r="4674" spans="1:40" x14ac:dyDescent="0.25">
      <c r="A4674" t="str">
        <f>"20190303154608660"</f>
        <v>20190303154608660</v>
      </c>
      <c r="B4674" t="str">
        <f>"1551599168655702"</f>
        <v>1551599168655702</v>
      </c>
      <c r="C4674" t="s">
        <v>40</v>
      </c>
      <c r="D4674">
        <v>4.9813900000000002</v>
      </c>
      <c r="E4674">
        <v>0.46307179999999998</v>
      </c>
      <c r="F4674" t="s">
        <v>61</v>
      </c>
      <c r="G4674">
        <v>-410.12369999999999</v>
      </c>
      <c r="H4674" s="1">
        <v>-1.0511839999999999E-5</v>
      </c>
      <c r="I4674">
        <v>139.27119999999999</v>
      </c>
      <c r="J4674">
        <v>-397.9452</v>
      </c>
      <c r="K4674">
        <v>1.1211629999999999</v>
      </c>
      <c r="L4674">
        <v>141.47450000000001</v>
      </c>
      <c r="M4674">
        <v>-0.99981109999999895</v>
      </c>
      <c r="N4674">
        <v>-1.3979149999999999E-2</v>
      </c>
      <c r="O4674">
        <v>-1.35183E-2</v>
      </c>
      <c r="P4674">
        <v>-0.99276560000000003</v>
      </c>
      <c r="Q4674">
        <v>-0.1144656</v>
      </c>
      <c r="R4674">
        <v>-3.6255450000000002E-2</v>
      </c>
      <c r="S4674">
        <v>-2.973541</v>
      </c>
      <c r="T4674">
        <v>-0.26807560000000002</v>
      </c>
      <c r="U4674">
        <v>-0.52772519999999901</v>
      </c>
      <c r="V4674">
        <v>-2.277564E-2</v>
      </c>
      <c r="W4674">
        <v>-0.1005832</v>
      </c>
      <c r="X4674">
        <v>0.99466790000000005</v>
      </c>
      <c r="Y4674">
        <v>-0.160721</v>
      </c>
      <c r="Z4674">
        <v>-7.289874E-3</v>
      </c>
      <c r="AA4674">
        <v>0.98697299999999999</v>
      </c>
      <c r="AB4674">
        <v>26</v>
      </c>
      <c r="AC4674">
        <v>-12.1784999999999</v>
      </c>
      <c r="AD4674">
        <v>-1.1211735118399999</v>
      </c>
      <c r="AE4674">
        <v>-2.2033000000000098</v>
      </c>
      <c r="AF4674">
        <v>-2.02185709743206</v>
      </c>
      <c r="AG4674">
        <v>-1.1211735118399999</v>
      </c>
      <c r="AH4674">
        <v>12.107809054103599</v>
      </c>
      <c r="AI4674">
        <v>95.218604217201403</v>
      </c>
      <c r="AJ4674">
        <v>99.480226799509296</v>
      </c>
      <c r="AK4674">
        <v>12.326555733728799</v>
      </c>
      <c r="AL4674">
        <v>95.772754875449806</v>
      </c>
      <c r="AM4674">
        <v>91.311714246856198</v>
      </c>
      <c r="AN4674">
        <v>0.99999997059502899</v>
      </c>
    </row>
    <row r="4675" spans="1:40" x14ac:dyDescent="0.25">
      <c r="A4675" t="str">
        <f>"20190303154608683"</f>
        <v>20190303154608683</v>
      </c>
      <c r="B4675" t="str">
        <f>"1551599168676198"</f>
        <v>1551599168676198</v>
      </c>
      <c r="C4675" t="s">
        <v>40</v>
      </c>
      <c r="D4675">
        <v>5.0132560000000002</v>
      </c>
      <c r="E4675">
        <v>0.46445160000000002</v>
      </c>
      <c r="F4675" t="s">
        <v>61</v>
      </c>
      <c r="G4675">
        <v>-413.29379999999998</v>
      </c>
      <c r="H4675" s="1">
        <v>-1.02895E-5</v>
      </c>
      <c r="I4675">
        <v>139.39959999999999</v>
      </c>
      <c r="J4675">
        <v>-398.20710000000003</v>
      </c>
      <c r="K4675">
        <v>1.121162</v>
      </c>
      <c r="L4675">
        <v>141.47059999999999</v>
      </c>
      <c r="M4675">
        <v>-0.99980670000000005</v>
      </c>
      <c r="N4675">
        <v>-1.397632E-2</v>
      </c>
      <c r="O4675">
        <v>-1.3837810000000001E-2</v>
      </c>
      <c r="P4675">
        <v>-0.99263760000000001</v>
      </c>
      <c r="Q4675">
        <v>-0.1143298</v>
      </c>
      <c r="R4675">
        <v>-3.9993960000000002E-2</v>
      </c>
      <c r="S4675">
        <v>-2.9820250000000001</v>
      </c>
      <c r="T4675">
        <v>-0.21782799999999999</v>
      </c>
      <c r="U4675">
        <v>-0.40312189999999998</v>
      </c>
      <c r="V4675">
        <v>-2.6199299999999998E-2</v>
      </c>
      <c r="W4675">
        <v>-0.10045279999999999</v>
      </c>
      <c r="X4675">
        <v>0.99459679999999995</v>
      </c>
      <c r="Y4675">
        <v>-0.1198872</v>
      </c>
      <c r="Z4675">
        <v>-4.3838150000000001E-3</v>
      </c>
      <c r="AA4675">
        <v>0.99277780000000004</v>
      </c>
      <c r="AB4675">
        <v>26</v>
      </c>
      <c r="AC4675">
        <v>-15.086699999999899</v>
      </c>
      <c r="AD4675">
        <v>-1.1211722895</v>
      </c>
      <c r="AE4675">
        <v>-2.07099999999999</v>
      </c>
      <c r="AF4675">
        <v>-1.8519755692020501</v>
      </c>
      <c r="AG4675">
        <v>-1.1211722895</v>
      </c>
      <c r="AH4675">
        <v>15.0324310944976</v>
      </c>
      <c r="AI4675">
        <v>94.233536596143495</v>
      </c>
      <c r="AJ4675">
        <v>97.023373332523505</v>
      </c>
      <c r="AK4675">
        <v>15.187522030353801</v>
      </c>
      <c r="AL4675">
        <v>95.765245409401103</v>
      </c>
      <c r="AM4675">
        <v>91.508915234177493</v>
      </c>
      <c r="AN4675">
        <v>0.99999998145928404</v>
      </c>
    </row>
    <row r="4676" spans="1:40" x14ac:dyDescent="0.25">
      <c r="A4676" t="str">
        <f>"20190303154608704"</f>
        <v>20190303154608704</v>
      </c>
      <c r="B4676" t="str">
        <f>"1551599168695718"</f>
        <v>1551599168695718</v>
      </c>
      <c r="C4676" t="s">
        <v>40</v>
      </c>
      <c r="D4676">
        <v>4.9722569999999999</v>
      </c>
      <c r="E4676">
        <v>0.4654105</v>
      </c>
      <c r="F4676" t="s">
        <v>61</v>
      </c>
      <c r="G4676">
        <v>-412.48930000000001</v>
      </c>
      <c r="H4676" s="1">
        <v>-1.041971E-5</v>
      </c>
      <c r="I4676">
        <v>139.5359</v>
      </c>
      <c r="J4676">
        <v>-398.46499999999997</v>
      </c>
      <c r="K4676">
        <v>1.121157</v>
      </c>
      <c r="L4676">
        <v>141.4667</v>
      </c>
      <c r="M4676">
        <v>-0.99980219999999997</v>
      </c>
      <c r="N4676">
        <v>-1.3973569999999999E-2</v>
      </c>
      <c r="O4676">
        <v>-1.415162E-2</v>
      </c>
      <c r="P4676">
        <v>-0.99252569999999996</v>
      </c>
      <c r="Q4676">
        <v>-0.1144481</v>
      </c>
      <c r="R4676">
        <v>-4.2361280000000001E-2</v>
      </c>
      <c r="S4676">
        <v>-2.9790649999999999</v>
      </c>
      <c r="T4676">
        <v>-0.2338607</v>
      </c>
      <c r="U4676">
        <v>-0.40356449999999999</v>
      </c>
      <c r="V4676">
        <v>-2.8256239999999998E-2</v>
      </c>
      <c r="W4676">
        <v>-0.10057580000000001</v>
      </c>
      <c r="X4676">
        <v>0.99452810000000003</v>
      </c>
      <c r="Y4676">
        <v>-0.1198038</v>
      </c>
      <c r="Z4676">
        <v>-4.6090580000000001E-3</v>
      </c>
      <c r="AA4676">
        <v>0.99278690000000003</v>
      </c>
      <c r="AB4676">
        <v>26</v>
      </c>
      <c r="AC4676">
        <v>-14.0243</v>
      </c>
      <c r="AD4676">
        <v>-1.1211674197099999</v>
      </c>
      <c r="AE4676">
        <v>-1.9308000000000001</v>
      </c>
      <c r="AF4676">
        <v>-1.7213240817962701</v>
      </c>
      <c r="AG4676">
        <v>-1.1211674197099999</v>
      </c>
      <c r="AH4676">
        <v>13.962644680844701</v>
      </c>
      <c r="AI4676">
        <v>94.556518152320393</v>
      </c>
      <c r="AJ4676">
        <v>97.028000661187704</v>
      </c>
      <c r="AK4676">
        <v>14.112952188012001</v>
      </c>
      <c r="AL4676">
        <v>95.772328415387705</v>
      </c>
      <c r="AM4676">
        <v>91.627433036034304</v>
      </c>
      <c r="AN4676">
        <v>1.0000000241670901</v>
      </c>
    </row>
    <row r="4677" spans="1:40" x14ac:dyDescent="0.25">
      <c r="A4677" t="str">
        <f>"20190303154608727"</f>
        <v>20190303154608727</v>
      </c>
      <c r="B4677" t="str">
        <f>"1551599168716214"</f>
        <v>1551599168716214</v>
      </c>
      <c r="C4677" t="s">
        <v>40</v>
      </c>
      <c r="D4677">
        <v>4.9215289999999996</v>
      </c>
      <c r="E4677">
        <v>0.46649010000000002</v>
      </c>
      <c r="F4677" t="s">
        <v>61</v>
      </c>
      <c r="G4677">
        <v>-413.04930000000002</v>
      </c>
      <c r="H4677" s="1">
        <v>-1.035187E-5</v>
      </c>
      <c r="I4677">
        <v>139.4932</v>
      </c>
      <c r="J4677">
        <v>-398.73649999999998</v>
      </c>
      <c r="K4677">
        <v>1.1211409999999999</v>
      </c>
      <c r="L4677">
        <v>141.46250000000001</v>
      </c>
      <c r="M4677">
        <v>-0.99979759999999995</v>
      </c>
      <c r="N4677">
        <v>-1.3970720000000001E-2</v>
      </c>
      <c r="O4677">
        <v>-1.4482470000000001E-2</v>
      </c>
      <c r="P4677">
        <v>-0.99241559999999995</v>
      </c>
      <c r="Q4677">
        <v>-0.11484030000000001</v>
      </c>
      <c r="R4677">
        <v>-4.384946E-2</v>
      </c>
      <c r="S4677">
        <v>-2.9789729999999999</v>
      </c>
      <c r="T4677">
        <v>-0.2290093</v>
      </c>
      <c r="U4677">
        <v>-0.40310669999999998</v>
      </c>
      <c r="V4677">
        <v>-2.9417840000000001E-2</v>
      </c>
      <c r="W4677">
        <v>-0.1009724</v>
      </c>
      <c r="X4677">
        <v>0.99445419999999995</v>
      </c>
      <c r="Y4677">
        <v>-0.11934649999999999</v>
      </c>
      <c r="Z4677">
        <v>-4.4937359999999999E-3</v>
      </c>
      <c r="AA4677">
        <v>0.99284249999999996</v>
      </c>
      <c r="AB4677">
        <v>26</v>
      </c>
      <c r="AC4677">
        <v>-14.312799999999999</v>
      </c>
      <c r="AD4677">
        <v>-1.12115135187</v>
      </c>
      <c r="AE4677">
        <v>-1.9693000000000001</v>
      </c>
      <c r="AF4677">
        <v>-1.7512426834703501</v>
      </c>
      <c r="AG4677">
        <v>-1.12115135187</v>
      </c>
      <c r="AH4677">
        <v>14.2539854777041</v>
      </c>
      <c r="AI4677">
        <v>94.463929710694302</v>
      </c>
      <c r="AJ4677">
        <v>97.004250296884507</v>
      </c>
      <c r="AK4677">
        <v>14.4048579753085</v>
      </c>
      <c r="AL4677">
        <v>95.795168358204606</v>
      </c>
      <c r="AM4677">
        <v>91.694423607643401</v>
      </c>
      <c r="AN4677">
        <v>0.99999999538483197</v>
      </c>
    </row>
    <row r="4678" spans="1:40" x14ac:dyDescent="0.25">
      <c r="A4678" t="str">
        <f>"20190303154608749"</f>
        <v>20190303154608749</v>
      </c>
      <c r="B4678" t="str">
        <f>"1551599168735735"</f>
        <v>1551599168735735</v>
      </c>
      <c r="C4678" t="s">
        <v>40</v>
      </c>
      <c r="D4678">
        <v>4.9108039999999997</v>
      </c>
      <c r="E4678">
        <v>0.46785179999999998</v>
      </c>
      <c r="F4678" t="s">
        <v>61</v>
      </c>
      <c r="G4678">
        <v>-413.50069999999999</v>
      </c>
      <c r="H4678" s="1">
        <v>-1.0308780000000001E-5</v>
      </c>
      <c r="I4678">
        <v>139.4853</v>
      </c>
      <c r="J4678">
        <v>-398.99270000000001</v>
      </c>
      <c r="K4678">
        <v>1.1211340000000001</v>
      </c>
      <c r="L4678">
        <v>141.45840000000001</v>
      </c>
      <c r="M4678">
        <v>-0.99979309999999999</v>
      </c>
      <c r="N4678">
        <v>-1.3967790000000001E-2</v>
      </c>
      <c r="O4678">
        <v>-1.479486E-2</v>
      </c>
      <c r="P4678">
        <v>-0.99231179999999997</v>
      </c>
      <c r="Q4678">
        <v>-0.115222699999999</v>
      </c>
      <c r="R4678">
        <v>-4.5179419999999998E-2</v>
      </c>
      <c r="S4678">
        <v>-2.9791560000000001</v>
      </c>
      <c r="T4678">
        <v>-0.22622919999999999</v>
      </c>
      <c r="U4678">
        <v>-0.39895629999999999</v>
      </c>
      <c r="V4678">
        <v>-3.0438980000000001E-2</v>
      </c>
      <c r="W4678">
        <v>-0.10135909999999999</v>
      </c>
      <c r="X4678">
        <v>0.99438409999999999</v>
      </c>
      <c r="Y4678">
        <v>-0.11768389999999999</v>
      </c>
      <c r="Z4678">
        <v>-4.358064E-3</v>
      </c>
      <c r="AA4678">
        <v>0.99304150000000002</v>
      </c>
      <c r="AB4678">
        <v>26</v>
      </c>
      <c r="AC4678">
        <v>-14.5079999999999</v>
      </c>
      <c r="AD4678">
        <v>-1.1211443087799999</v>
      </c>
      <c r="AE4678">
        <v>-1.9731000000000101</v>
      </c>
      <c r="AF4678">
        <v>-1.74797023166647</v>
      </c>
      <c r="AG4678">
        <v>-1.1211443087799999</v>
      </c>
      <c r="AH4678">
        <v>14.450875308006101</v>
      </c>
      <c r="AI4678">
        <v>94.404324355175305</v>
      </c>
      <c r="AJ4678">
        <v>96.896960497896501</v>
      </c>
      <c r="AK4678">
        <v>14.599320588967201</v>
      </c>
      <c r="AL4678">
        <v>95.817439050451696</v>
      </c>
      <c r="AM4678">
        <v>91.753327170248696</v>
      </c>
      <c r="AN4678">
        <v>0.99999996849452899</v>
      </c>
    </row>
    <row r="4679" spans="1:40" x14ac:dyDescent="0.25">
      <c r="A4679" t="str">
        <f>"20190303154608772"</f>
        <v>20190303154608772</v>
      </c>
      <c r="B4679" t="str">
        <f>"1551599168765991"</f>
        <v>1551599168765991</v>
      </c>
      <c r="C4679" t="s">
        <v>40</v>
      </c>
      <c r="D4679">
        <v>4.9883160000000002</v>
      </c>
      <c r="E4679">
        <v>0.4689545</v>
      </c>
      <c r="F4679" t="s">
        <v>61</v>
      </c>
      <c r="G4679">
        <v>-414.11070000000001</v>
      </c>
      <c r="H4679" s="1">
        <v>-1.0248120000000001E-5</v>
      </c>
      <c r="I4679">
        <v>139.4692</v>
      </c>
      <c r="J4679">
        <v>-399.26</v>
      </c>
      <c r="K4679">
        <v>1.121129</v>
      </c>
      <c r="L4679">
        <v>141.45410000000001</v>
      </c>
      <c r="M4679">
        <v>-0.99978829999999996</v>
      </c>
      <c r="N4679">
        <v>-1.396505E-2</v>
      </c>
      <c r="O4679">
        <v>-1.5121549999999999E-2</v>
      </c>
      <c r="P4679">
        <v>-0.99232489999999995</v>
      </c>
      <c r="Q4679">
        <v>-0.114895899999999</v>
      </c>
      <c r="R4679">
        <v>-4.5723840000000002E-2</v>
      </c>
      <c r="S4679">
        <v>-2.9797359999999999</v>
      </c>
      <c r="T4679">
        <v>-0.2209747</v>
      </c>
      <c r="U4679">
        <v>-0.3920746</v>
      </c>
      <c r="V4679">
        <v>-3.0659519999999999E-2</v>
      </c>
      <c r="W4679">
        <v>-0.10103470000000001</v>
      </c>
      <c r="X4679">
        <v>0.99441040000000003</v>
      </c>
      <c r="Y4679">
        <v>-0.1151039</v>
      </c>
      <c r="Z4679">
        <v>-4.1477679999999996E-3</v>
      </c>
      <c r="AA4679">
        <v>0.99334480000000003</v>
      </c>
      <c r="AB4679">
        <v>26</v>
      </c>
      <c r="AC4679">
        <v>-14.8507</v>
      </c>
      <c r="AD4679">
        <v>-1.12113924812</v>
      </c>
      <c r="AE4679">
        <v>-1.9849000000000101</v>
      </c>
      <c r="AF4679">
        <v>-1.75028513174065</v>
      </c>
      <c r="AG4679">
        <v>-1.12113924812</v>
      </c>
      <c r="AH4679">
        <v>14.796170847509</v>
      </c>
      <c r="AI4679">
        <v>94.303260465201006</v>
      </c>
      <c r="AJ4679">
        <v>96.746344986093305</v>
      </c>
      <c r="AK4679">
        <v>14.941456522198299</v>
      </c>
      <c r="AL4679">
        <v>95.7987560308718</v>
      </c>
      <c r="AM4679">
        <v>91.765975884598205</v>
      </c>
      <c r="AN4679">
        <v>1.0000000301994301</v>
      </c>
    </row>
    <row r="4680" spans="1:40" x14ac:dyDescent="0.25">
      <c r="A4680" t="str">
        <f>"20190303154608819"</f>
        <v>20190303154608819</v>
      </c>
      <c r="B4680" t="str">
        <f>"1551599168806006"</f>
        <v>1551599168806006</v>
      </c>
      <c r="C4680" t="s">
        <v>40</v>
      </c>
      <c r="D4680">
        <v>4.9512809999999998</v>
      </c>
      <c r="E4680">
        <v>0.47039720000000002</v>
      </c>
      <c r="F4680" t="s">
        <v>61</v>
      </c>
      <c r="G4680">
        <v>-414.71039999999999</v>
      </c>
      <c r="H4680" s="1">
        <v>-1.019117E-5</v>
      </c>
      <c r="I4680">
        <v>139.45939999999999</v>
      </c>
      <c r="J4680">
        <v>-399.7921</v>
      </c>
      <c r="K4680">
        <v>1.1211420000000001</v>
      </c>
      <c r="L4680">
        <v>141.4452</v>
      </c>
      <c r="M4680">
        <v>-0.99977819999999995</v>
      </c>
      <c r="N4680">
        <v>-1.396006E-2</v>
      </c>
      <c r="O4680">
        <v>-1.5772339999999999E-2</v>
      </c>
      <c r="P4680">
        <v>-0.99256200000000006</v>
      </c>
      <c r="Q4680">
        <v>-0.1135698</v>
      </c>
      <c r="R4680">
        <v>-4.3849119999999998E-2</v>
      </c>
      <c r="S4680">
        <v>-2.9804080000000002</v>
      </c>
      <c r="T4680">
        <v>-0.21626960000000001</v>
      </c>
      <c r="U4680">
        <v>-0.38478089999999998</v>
      </c>
      <c r="V4680">
        <v>-2.8135879999999999E-2</v>
      </c>
      <c r="W4680">
        <v>-9.9709030000000004E-2</v>
      </c>
      <c r="X4680">
        <v>0.99461880000000003</v>
      </c>
      <c r="Y4680">
        <v>-0.1120611</v>
      </c>
      <c r="Z4680">
        <v>-3.9115520000000004E-3</v>
      </c>
      <c r="AA4680">
        <v>0.99369359999999995</v>
      </c>
      <c r="AB4680">
        <v>26</v>
      </c>
      <c r="AC4680">
        <v>-14.918299999999901</v>
      </c>
      <c r="AD4680">
        <v>-1.12115219117</v>
      </c>
      <c r="AE4680">
        <v>-1.98580000000001</v>
      </c>
      <c r="AF4680">
        <v>-1.7405740046181699</v>
      </c>
      <c r="AG4680">
        <v>-1.12115219117</v>
      </c>
      <c r="AH4680">
        <v>14.865271195103199</v>
      </c>
      <c r="AI4680">
        <v>94.283976953819305</v>
      </c>
      <c r="AJ4680">
        <v>96.678351104983506</v>
      </c>
      <c r="AK4680">
        <v>15.008759702429799</v>
      </c>
      <c r="AL4680">
        <v>95.722415165711894</v>
      </c>
      <c r="AM4680">
        <v>91.620356846394301</v>
      </c>
      <c r="AN4680">
        <v>1.0000000378601701</v>
      </c>
    </row>
    <row r="4681" spans="1:40" x14ac:dyDescent="0.25">
      <c r="A4681" t="str">
        <f>"20190303154608839"</f>
        <v>20190303154608839</v>
      </c>
      <c r="B4681" t="str">
        <f>"1551599168835793"</f>
        <v>1551599168835793</v>
      </c>
      <c r="C4681" t="s">
        <v>40</v>
      </c>
      <c r="D4681">
        <v>4.9521059999999997</v>
      </c>
      <c r="E4681">
        <v>0.47096739999999998</v>
      </c>
      <c r="F4681" t="s">
        <v>61</v>
      </c>
      <c r="G4681">
        <v>-416.00760000000002</v>
      </c>
      <c r="H4681" s="1">
        <v>-1.007249E-5</v>
      </c>
      <c r="I4681">
        <v>139.4485</v>
      </c>
      <c r="J4681">
        <v>-400.04180000000002</v>
      </c>
      <c r="K4681">
        <v>1.121151</v>
      </c>
      <c r="L4681">
        <v>141.441</v>
      </c>
      <c r="M4681">
        <v>-0.99977340000000003</v>
      </c>
      <c r="N4681">
        <v>-1.395768E-2</v>
      </c>
      <c r="O4681">
        <v>-1.607807E-2</v>
      </c>
      <c r="P4681">
        <v>-0.99274890000000005</v>
      </c>
      <c r="Q4681">
        <v>-0.11222509999999999</v>
      </c>
      <c r="R4681">
        <v>-4.3076179999999999E-2</v>
      </c>
      <c r="S4681">
        <v>-2.9826350000000001</v>
      </c>
      <c r="T4681">
        <v>-0.2062216</v>
      </c>
      <c r="U4681">
        <v>-0.36726379999999997</v>
      </c>
      <c r="V4681">
        <v>-2.705722E-2</v>
      </c>
      <c r="W4681">
        <v>-9.8363699999999998E-2</v>
      </c>
      <c r="X4681">
        <v>0.99478259999999996</v>
      </c>
      <c r="Y4681">
        <v>-0.105959999999999</v>
      </c>
      <c r="Z4681">
        <v>-3.505916E-3</v>
      </c>
      <c r="AA4681">
        <v>0.99436420000000003</v>
      </c>
      <c r="AB4681">
        <v>26</v>
      </c>
      <c r="AC4681">
        <v>-15.9658</v>
      </c>
      <c r="AD4681">
        <v>-1.1211610724900001</v>
      </c>
      <c r="AE4681">
        <v>-1.9924999999999999</v>
      </c>
      <c r="AF4681">
        <v>-1.72713190152989</v>
      </c>
      <c r="AG4681">
        <v>-1.1211610724900001</v>
      </c>
      <c r="AH4681">
        <v>15.9184807582588</v>
      </c>
      <c r="AI4681">
        <v>94.005340599060801</v>
      </c>
      <c r="AJ4681">
        <v>96.192285773600801</v>
      </c>
      <c r="AK4681">
        <v>16.051106391984501</v>
      </c>
      <c r="AL4681">
        <v>95.644953018558994</v>
      </c>
      <c r="AM4681">
        <v>91.558011156960902</v>
      </c>
      <c r="AN4681">
        <v>0.99999996594728802</v>
      </c>
    </row>
    <row r="4682" spans="1:40" x14ac:dyDescent="0.25">
      <c r="A4682" t="str">
        <f>"20190303154608861"</f>
        <v>20190303154608861</v>
      </c>
      <c r="B4682" t="str">
        <f>"1551599168855313"</f>
        <v>1551599168855313</v>
      </c>
      <c r="C4682" t="s">
        <v>40</v>
      </c>
      <c r="D4682">
        <v>4.8973950000000004</v>
      </c>
      <c r="E4682">
        <v>0.47126449999999998</v>
      </c>
      <c r="F4682" t="s">
        <v>61</v>
      </c>
      <c r="G4682">
        <v>-416.75450000000001</v>
      </c>
      <c r="H4682" s="1">
        <v>-9.9953700000000005E-6</v>
      </c>
      <c r="I4682">
        <v>139.4222</v>
      </c>
      <c r="J4682">
        <v>-400.3023</v>
      </c>
      <c r="K4682">
        <v>1.1211690000000001</v>
      </c>
      <c r="L4682">
        <v>141.43639999999999</v>
      </c>
      <c r="M4682">
        <v>-0.99976830000000005</v>
      </c>
      <c r="N4682">
        <v>-1.3955199999999999E-2</v>
      </c>
      <c r="O4682">
        <v>-1.6397269999999999E-2</v>
      </c>
      <c r="P4682">
        <v>-0.99297729999999995</v>
      </c>
      <c r="Q4682">
        <v>-0.11051900000000001</v>
      </c>
      <c r="R4682">
        <v>-4.2211650000000003E-2</v>
      </c>
      <c r="S4682">
        <v>-2.9836429999999998</v>
      </c>
      <c r="T4682">
        <v>-0.2001559</v>
      </c>
      <c r="U4682">
        <v>-0.36039729999999998</v>
      </c>
      <c r="V4682">
        <v>-2.5873299999999998E-2</v>
      </c>
      <c r="W4682">
        <v>-9.665646E-2</v>
      </c>
      <c r="X4682">
        <v>0.99498149999999996</v>
      </c>
      <c r="Y4682">
        <v>-0.1033683</v>
      </c>
      <c r="Z4682">
        <v>-3.3090649999999999E-3</v>
      </c>
      <c r="AA4682">
        <v>0.99463769999999996</v>
      </c>
      <c r="AB4682">
        <v>26</v>
      </c>
      <c r="AC4682">
        <v>-16.452200000000001</v>
      </c>
      <c r="AD4682">
        <v>-1.12117899537</v>
      </c>
      <c r="AE4682">
        <v>-2.0141999999999798</v>
      </c>
      <c r="AF4682">
        <v>-1.7361877795153899</v>
      </c>
      <c r="AG4682">
        <v>-1.12117899537</v>
      </c>
      <c r="AH4682">
        <v>16.407943320509599</v>
      </c>
      <c r="AI4682">
        <v>93.887393706712103</v>
      </c>
      <c r="AJ4682">
        <v>96.040211155585695</v>
      </c>
      <c r="AK4682">
        <v>16.5375933664622</v>
      </c>
      <c r="AL4682">
        <v>95.546666553912303</v>
      </c>
      <c r="AM4682">
        <v>91.489572307455504</v>
      </c>
      <c r="AN4682">
        <v>1.00000004212743</v>
      </c>
    </row>
    <row r="4683" spans="1:40" x14ac:dyDescent="0.25">
      <c r="A4683" t="str">
        <f>"20190303154608883"</f>
        <v>20190303154608883</v>
      </c>
      <c r="B4683" t="str">
        <f>"1551599168875808"</f>
        <v>1551599168875808</v>
      </c>
      <c r="C4683" t="s">
        <v>40</v>
      </c>
      <c r="D4683">
        <v>4.9572320000000003</v>
      </c>
      <c r="E4683">
        <v>0.47134389999999998</v>
      </c>
      <c r="F4683" t="s">
        <v>61</v>
      </c>
      <c r="G4683">
        <v>-417.50220000000002</v>
      </c>
      <c r="H4683" s="1">
        <v>-9.9147800000000006E-6</v>
      </c>
      <c r="I4683">
        <v>139.38810000000001</v>
      </c>
      <c r="J4683">
        <v>-400.55599999999998</v>
      </c>
      <c r="K4683">
        <v>1.121176</v>
      </c>
      <c r="L4683">
        <v>141.43190000000001</v>
      </c>
      <c r="M4683">
        <v>-0.99976319999999996</v>
      </c>
      <c r="N4683">
        <v>-1.395281E-2</v>
      </c>
      <c r="O4683">
        <v>-1.670837E-2</v>
      </c>
      <c r="P4683">
        <v>-0.99311110000000002</v>
      </c>
      <c r="Q4683">
        <v>-0.10935</v>
      </c>
      <c r="R4683">
        <v>-4.2107819999999997E-2</v>
      </c>
      <c r="S4683">
        <v>-2.9844970000000002</v>
      </c>
      <c r="T4683">
        <v>-0.19454489999999999</v>
      </c>
      <c r="U4683">
        <v>-0.35542299999999999</v>
      </c>
      <c r="V4683">
        <v>-2.545772E-2</v>
      </c>
      <c r="W4683">
        <v>-9.5487859999999994E-2</v>
      </c>
      <c r="X4683">
        <v>0.99510500000000002</v>
      </c>
      <c r="Y4683">
        <v>-0.10140830000000001</v>
      </c>
      <c r="Z4683">
        <v>-3.149294E-3</v>
      </c>
      <c r="AA4683">
        <v>0.9948399</v>
      </c>
      <c r="AB4683">
        <v>26</v>
      </c>
      <c r="AC4683">
        <v>-16.946200000000001</v>
      </c>
      <c r="AD4683">
        <v>-1.1211859147799901</v>
      </c>
      <c r="AE4683">
        <v>-2.0438000000000001</v>
      </c>
      <c r="AF4683">
        <v>-1.7527812159754499</v>
      </c>
      <c r="AG4683">
        <v>-1.1211859147799901</v>
      </c>
      <c r="AH4683">
        <v>16.905047563535401</v>
      </c>
      <c r="AI4683">
        <v>93.774271186436593</v>
      </c>
      <c r="AJ4683">
        <v>95.919497964812194</v>
      </c>
      <c r="AK4683">
        <v>17.032613803288399</v>
      </c>
      <c r="AL4683">
        <v>95.4793998174124</v>
      </c>
      <c r="AM4683">
        <v>91.465475322584695</v>
      </c>
      <c r="AN4683">
        <v>0.99999999396998895</v>
      </c>
    </row>
    <row r="4684" spans="1:40" x14ac:dyDescent="0.25">
      <c r="A4684" t="str">
        <f>"20190303154608905"</f>
        <v>20190303154608905</v>
      </c>
      <c r="B4684" t="str">
        <f>"1551599168896305"</f>
        <v>1551599168896305</v>
      </c>
      <c r="C4684" t="s">
        <v>40</v>
      </c>
      <c r="D4684">
        <v>4.9993720000000001</v>
      </c>
      <c r="E4684">
        <v>0.4711632</v>
      </c>
      <c r="F4684" t="s">
        <v>61</v>
      </c>
      <c r="G4684">
        <v>-418.0018</v>
      </c>
      <c r="H4684" s="1">
        <v>-9.8591339999999999E-6</v>
      </c>
      <c r="I4684">
        <v>139.3612</v>
      </c>
      <c r="J4684">
        <v>-400.81310000000002</v>
      </c>
      <c r="K4684">
        <v>1.121184</v>
      </c>
      <c r="L4684">
        <v>141.4273</v>
      </c>
      <c r="M4684">
        <v>-0.99975769999999997</v>
      </c>
      <c r="N4684">
        <v>-1.395034E-2</v>
      </c>
      <c r="O4684">
        <v>-1.7029519999999999E-2</v>
      </c>
      <c r="P4684">
        <v>-0.99317520000000004</v>
      </c>
      <c r="Q4684">
        <v>-0.1087138</v>
      </c>
      <c r="R4684">
        <v>-4.2241479999999998E-2</v>
      </c>
      <c r="S4684">
        <v>-2.9846499999999998</v>
      </c>
      <c r="T4684">
        <v>-0.19181419999999999</v>
      </c>
      <c r="U4684">
        <v>-0.3542633</v>
      </c>
      <c r="V4684">
        <v>-2.527136E-2</v>
      </c>
      <c r="W4684">
        <v>-9.4853179999999995E-2</v>
      </c>
      <c r="X4684">
        <v>0.99517049999999996</v>
      </c>
      <c r="Y4684">
        <v>-0.10070949999999999</v>
      </c>
      <c r="Z4684">
        <v>-3.0748139999999999E-3</v>
      </c>
      <c r="AA4684">
        <v>0.99491110000000005</v>
      </c>
      <c r="AB4684">
        <v>26</v>
      </c>
      <c r="AC4684">
        <v>-17.188699999999901</v>
      </c>
      <c r="AD4684">
        <v>-1.121193859134</v>
      </c>
      <c r="AE4684">
        <v>-2.0661</v>
      </c>
      <c r="AF4684">
        <v>-1.7656511133653101</v>
      </c>
      <c r="AG4684">
        <v>-1.121193859134</v>
      </c>
      <c r="AH4684">
        <v>17.1494673637566</v>
      </c>
      <c r="AI4684">
        <v>93.720933375433304</v>
      </c>
      <c r="AJ4684">
        <v>95.878267907533299</v>
      </c>
      <c r="AK4684">
        <v>17.276539884607701</v>
      </c>
      <c r="AL4684">
        <v>95.442869237056996</v>
      </c>
      <c r="AM4684">
        <v>91.454656416358901</v>
      </c>
      <c r="AN4684">
        <v>1.0000000457313001</v>
      </c>
    </row>
    <row r="4685" spans="1:40" x14ac:dyDescent="0.25">
      <c r="A4685" t="str">
        <f>"20190303154608927"</f>
        <v>20190303154608927</v>
      </c>
      <c r="B4685" t="str">
        <f>"1551599168915825"</f>
        <v>1551599168915825</v>
      </c>
      <c r="C4685" t="s">
        <v>40</v>
      </c>
      <c r="D4685">
        <v>4.9553229999999999</v>
      </c>
      <c r="E4685">
        <v>0.47100710000000001</v>
      </c>
      <c r="F4685" t="s">
        <v>61</v>
      </c>
      <c r="G4685">
        <v>-418.10669999999999</v>
      </c>
      <c r="H4685" s="1">
        <v>-9.8510699999999992E-6</v>
      </c>
      <c r="I4685">
        <v>139.3638</v>
      </c>
      <c r="J4685">
        <v>-401.0754</v>
      </c>
      <c r="K4685">
        <v>1.121186</v>
      </c>
      <c r="L4685">
        <v>141.42240000000001</v>
      </c>
      <c r="M4685">
        <v>-0.99975199999999997</v>
      </c>
      <c r="N4685">
        <v>-1.3947799999999899E-2</v>
      </c>
      <c r="O4685">
        <v>-1.7364540000000001E-2</v>
      </c>
      <c r="P4685">
        <v>-0.99313600000000002</v>
      </c>
      <c r="Q4685">
        <v>-0.10883950000000001</v>
      </c>
      <c r="R4685">
        <v>-4.2840660000000003E-2</v>
      </c>
      <c r="S4685">
        <v>-2.984283</v>
      </c>
      <c r="T4685">
        <v>-0.19348009999999999</v>
      </c>
      <c r="U4685">
        <v>-0.35607909999999998</v>
      </c>
      <c r="V4685">
        <v>-2.5537259999999999E-2</v>
      </c>
      <c r="W4685">
        <v>-9.4981990000000002E-2</v>
      </c>
      <c r="X4685">
        <v>0.99515140000000002</v>
      </c>
      <c r="Y4685">
        <v>-0.1009835</v>
      </c>
      <c r="Z4685">
        <v>-3.0871470000000002E-3</v>
      </c>
      <c r="AA4685">
        <v>0.99488330000000003</v>
      </c>
      <c r="AB4685">
        <v>26</v>
      </c>
      <c r="AC4685">
        <v>-17.031299999999899</v>
      </c>
      <c r="AD4685">
        <v>-1.12119585107</v>
      </c>
      <c r="AE4685">
        <v>-2.05860000000001</v>
      </c>
      <c r="AF4685">
        <v>-1.7550237382216001</v>
      </c>
      <c r="AG4685">
        <v>-1.12119585107</v>
      </c>
      <c r="AH4685">
        <v>16.991902842385201</v>
      </c>
      <c r="AI4685">
        <v>93.7552198506976</v>
      </c>
      <c r="AJ4685">
        <v>95.896935217128004</v>
      </c>
      <c r="AK4685">
        <v>17.119052271175399</v>
      </c>
      <c r="AL4685">
        <v>95.450283121543606</v>
      </c>
      <c r="AM4685">
        <v>91.469983529187004</v>
      </c>
      <c r="AN4685">
        <v>1.00000001949731</v>
      </c>
    </row>
    <row r="4686" spans="1:40" x14ac:dyDescent="0.25">
      <c r="A4686" t="str">
        <f>"20190303154608949"</f>
        <v>20190303154608949</v>
      </c>
      <c r="B4686" t="str">
        <f>"1551599168946082"</f>
        <v>1551599168946082</v>
      </c>
      <c r="C4686" t="s">
        <v>40</v>
      </c>
      <c r="D4686">
        <v>4.8929010000000002</v>
      </c>
      <c r="E4686">
        <v>0.47096830000000001</v>
      </c>
      <c r="F4686" t="s">
        <v>61</v>
      </c>
      <c r="G4686">
        <v>-418.1148</v>
      </c>
      <c r="H4686" s="1">
        <v>-9.8538659999999993E-6</v>
      </c>
      <c r="I4686">
        <v>139.37190000000001</v>
      </c>
      <c r="J4686">
        <v>-401.33120000000002</v>
      </c>
      <c r="K4686">
        <v>1.121197</v>
      </c>
      <c r="L4686">
        <v>141.41759999999999</v>
      </c>
      <c r="M4686">
        <v>-0.99974600000000002</v>
      </c>
      <c r="N4686">
        <v>-1.3945229999999999E-2</v>
      </c>
      <c r="O4686">
        <v>-1.770439E-2</v>
      </c>
      <c r="P4686">
        <v>-0.99304530000000002</v>
      </c>
      <c r="Q4686">
        <v>-0.10905239999999999</v>
      </c>
      <c r="R4686">
        <v>-4.4370630000000001E-2</v>
      </c>
      <c r="S4686">
        <v>-2.9837340000000001</v>
      </c>
      <c r="T4686">
        <v>-0.1963297</v>
      </c>
      <c r="U4686">
        <v>-0.35906979999999999</v>
      </c>
      <c r="V4686">
        <v>-2.6728689999999999E-2</v>
      </c>
      <c r="W4686">
        <v>-9.5199400000000003E-2</v>
      </c>
      <c r="X4686">
        <v>0.99509930000000002</v>
      </c>
      <c r="Y4686">
        <v>-0.1016427</v>
      </c>
      <c r="Z4686">
        <v>-3.1273939999999999E-3</v>
      </c>
      <c r="AA4686">
        <v>0.99481609999999998</v>
      </c>
      <c r="AB4686">
        <v>26</v>
      </c>
      <c r="AC4686">
        <v>-16.7835999999999</v>
      </c>
      <c r="AD4686">
        <v>-1.1212068538660001</v>
      </c>
      <c r="AE4686">
        <v>-2.0456999999999801</v>
      </c>
      <c r="AF4686">
        <v>-1.7405530848047699</v>
      </c>
      <c r="AG4686">
        <v>-1.1212068538660001</v>
      </c>
      <c r="AH4686">
        <v>16.743562049063499</v>
      </c>
      <c r="AI4686">
        <v>93.810531630873001</v>
      </c>
      <c r="AJ4686">
        <v>95.934784428639801</v>
      </c>
      <c r="AK4686">
        <v>16.871084729234799</v>
      </c>
      <c r="AL4686">
        <v>95.462796701086504</v>
      </c>
      <c r="AM4686">
        <v>91.538613270453894</v>
      </c>
      <c r="AN4686">
        <v>0.99999998274498203</v>
      </c>
    </row>
    <row r="4687" spans="1:40" x14ac:dyDescent="0.25">
      <c r="A4687" t="str">
        <f>"20190303154608974"</f>
        <v>20190303154608974</v>
      </c>
      <c r="B4687" t="str">
        <f>"1551599168965601"</f>
        <v>1551599168965601</v>
      </c>
      <c r="C4687" t="s">
        <v>40</v>
      </c>
      <c r="D4687">
        <v>4.9492880000000001</v>
      </c>
      <c r="E4687">
        <v>0.4708504</v>
      </c>
      <c r="F4687" t="s">
        <v>61</v>
      </c>
      <c r="G4687">
        <v>-418.07900000000001</v>
      </c>
      <c r="H4687" s="1">
        <v>-9.8582789999999993E-6</v>
      </c>
      <c r="I4687">
        <v>139.37479999999999</v>
      </c>
      <c r="J4687">
        <v>-401.60449999999997</v>
      </c>
      <c r="K4687">
        <v>1.121216</v>
      </c>
      <c r="L4687">
        <v>141.41229999999999</v>
      </c>
      <c r="M4687">
        <v>-0.99973920000000005</v>
      </c>
      <c r="N4687">
        <v>-1.3942370000000001E-2</v>
      </c>
      <c r="O4687">
        <v>-1.809469E-2</v>
      </c>
      <c r="P4687">
        <v>-0.99285389999999996</v>
      </c>
      <c r="Q4687">
        <v>-0.10994230000000001</v>
      </c>
      <c r="R4687">
        <v>-4.6413860000000001E-2</v>
      </c>
      <c r="S4687">
        <v>-2.9828190000000001</v>
      </c>
      <c r="T4687">
        <v>-0.1996888</v>
      </c>
      <c r="U4687">
        <v>-0.3638306</v>
      </c>
      <c r="V4687">
        <v>-2.8383149999999999E-2</v>
      </c>
      <c r="W4687">
        <v>-9.6096109999999998E-2</v>
      </c>
      <c r="X4687">
        <v>0.9949673</v>
      </c>
      <c r="Y4687">
        <v>-0.1028453</v>
      </c>
      <c r="Z4687">
        <v>-3.1926860000000001E-3</v>
      </c>
      <c r="AA4687">
        <v>0.99469229999999997</v>
      </c>
      <c r="AB4687">
        <v>26</v>
      </c>
      <c r="AC4687">
        <v>-16.474499999999999</v>
      </c>
      <c r="AD4687">
        <v>-1.121225858279</v>
      </c>
      <c r="AE4687">
        <v>-2.0374999999999899</v>
      </c>
      <c r="AF4687">
        <v>-1.7311387363497499</v>
      </c>
      <c r="AG4687">
        <v>-1.121225858279</v>
      </c>
      <c r="AH4687">
        <v>16.433700804354601</v>
      </c>
      <c r="AI4687">
        <v>93.881672293802296</v>
      </c>
      <c r="AJ4687">
        <v>96.0134041722484</v>
      </c>
      <c r="AK4687">
        <v>16.562623912798699</v>
      </c>
      <c r="AL4687">
        <v>95.5144109635674</v>
      </c>
      <c r="AM4687">
        <v>91.634017309533803</v>
      </c>
      <c r="AN4687">
        <v>0.99999999681517204</v>
      </c>
    </row>
    <row r="4688" spans="1:40" x14ac:dyDescent="0.25">
      <c r="A4688" t="str">
        <f>"20190303154608997"</f>
        <v>20190303154608997</v>
      </c>
      <c r="B4688" t="str">
        <f>"1551599168986097"</f>
        <v>1551599168986097</v>
      </c>
      <c r="C4688" t="s">
        <v>40</v>
      </c>
      <c r="D4688">
        <v>4.9319980000000001</v>
      </c>
      <c r="E4688">
        <v>0.47075060000000002</v>
      </c>
      <c r="F4688" t="s">
        <v>61</v>
      </c>
      <c r="G4688">
        <v>-417.90249999999997</v>
      </c>
      <c r="H4688" s="1">
        <v>-9.8783940000000004E-6</v>
      </c>
      <c r="I4688">
        <v>139.3853</v>
      </c>
      <c r="J4688">
        <v>-401.88400000000001</v>
      </c>
      <c r="K4688">
        <v>1.121237</v>
      </c>
      <c r="L4688">
        <v>141.4068</v>
      </c>
      <c r="M4688">
        <v>-0.99973100000000004</v>
      </c>
      <c r="N4688">
        <v>-1.393958E-2</v>
      </c>
      <c r="O4688">
        <v>-1.8535840000000001E-2</v>
      </c>
      <c r="P4688">
        <v>-0.99273750000000005</v>
      </c>
      <c r="Q4688">
        <v>-0.1098203</v>
      </c>
      <c r="R4688">
        <v>-4.910871E-2</v>
      </c>
      <c r="S4688">
        <v>-2.9815369999999999</v>
      </c>
      <c r="T4688">
        <v>-0.20511560000000001</v>
      </c>
      <c r="U4688">
        <v>-0.37081910000000001</v>
      </c>
      <c r="V4688">
        <v>-3.0635099999999998E-2</v>
      </c>
      <c r="W4688">
        <v>-9.5980930000000006E-2</v>
      </c>
      <c r="X4688">
        <v>0.99491160000000001</v>
      </c>
      <c r="Y4688">
        <v>-0.10473739999999999</v>
      </c>
      <c r="Z4688">
        <v>-3.3074290000000002E-3</v>
      </c>
      <c r="AA4688">
        <v>0.9944944</v>
      </c>
      <c r="AB4688">
        <v>26</v>
      </c>
      <c r="AC4688">
        <v>-16.0184999999999</v>
      </c>
      <c r="AD4688">
        <v>-1.1212468783939999</v>
      </c>
      <c r="AE4688">
        <v>-2.0215000000000001</v>
      </c>
      <c r="AF4688">
        <v>-1.71593187269547</v>
      </c>
      <c r="AG4688">
        <v>-1.1212468783939999</v>
      </c>
      <c r="AH4688">
        <v>15.976171832127401</v>
      </c>
      <c r="AI4688">
        <v>93.991692268005494</v>
      </c>
      <c r="AJ4688">
        <v>96.1303918556913</v>
      </c>
      <c r="AK4688">
        <v>16.107131438083599</v>
      </c>
      <c r="AL4688">
        <v>95.507781137285093</v>
      </c>
      <c r="AM4688">
        <v>91.7636818279029</v>
      </c>
      <c r="AN4688">
        <v>0.99999997004511698</v>
      </c>
    </row>
    <row r="4689" spans="1:40" x14ac:dyDescent="0.25">
      <c r="A4689" t="str">
        <f>"20190303154609020"</f>
        <v>20190303154609020</v>
      </c>
      <c r="B4689" t="str">
        <f>"1551599169016353"</f>
        <v>1551599169016353</v>
      </c>
      <c r="C4689" t="s">
        <v>40</v>
      </c>
      <c r="D4689">
        <v>4.943079</v>
      </c>
      <c r="E4689">
        <v>0.47073159999999997</v>
      </c>
      <c r="F4689" t="s">
        <v>61</v>
      </c>
      <c r="G4689">
        <v>-418.0942</v>
      </c>
      <c r="H4689" s="1">
        <v>-9.8429250000000003E-6</v>
      </c>
      <c r="I4689">
        <v>139.34270000000001</v>
      </c>
      <c r="J4689">
        <v>-402.13490000000002</v>
      </c>
      <c r="K4689">
        <v>1.1212679999999999</v>
      </c>
      <c r="L4689">
        <v>141.40170000000001</v>
      </c>
      <c r="M4689">
        <v>-0.99972269999999996</v>
      </c>
      <c r="N4689">
        <v>-1.393724E-2</v>
      </c>
      <c r="O4689">
        <v>-1.8984290000000001E-2</v>
      </c>
      <c r="P4689">
        <v>-0.99246529999999999</v>
      </c>
      <c r="Q4689">
        <v>-0.11085639999999899</v>
      </c>
      <c r="R4689">
        <v>-5.2190359999999998E-2</v>
      </c>
      <c r="S4689">
        <v>-2.9803769999999998</v>
      </c>
      <c r="T4689">
        <v>-0.20615040000000001</v>
      </c>
      <c r="U4689">
        <v>-0.37950129999999999</v>
      </c>
      <c r="V4689">
        <v>-3.3266950000000003E-2</v>
      </c>
      <c r="W4689">
        <v>-9.7026509999999996E-2</v>
      </c>
      <c r="X4689">
        <v>0.99472559999999999</v>
      </c>
      <c r="Y4689">
        <v>-0.1071816</v>
      </c>
      <c r="Z4689">
        <v>-3.396109E-3</v>
      </c>
      <c r="AA4689">
        <v>0.9942337</v>
      </c>
      <c r="AB4689">
        <v>26</v>
      </c>
      <c r="AC4689">
        <v>-15.959299999999899</v>
      </c>
      <c r="AD4689">
        <v>-1.1212778429250001</v>
      </c>
      <c r="AE4689">
        <v>-2.0589999999999899</v>
      </c>
      <c r="AF4689">
        <v>-1.7471403170128501</v>
      </c>
      <c r="AG4689">
        <v>-1.1212778429250001</v>
      </c>
      <c r="AH4689">
        <v>15.9182255952162</v>
      </c>
      <c r="AI4689">
        <v>94.005278454913196</v>
      </c>
      <c r="AJ4689">
        <v>96.263554616329102</v>
      </c>
      <c r="AK4689">
        <v>16.053026798350601</v>
      </c>
      <c r="AL4689">
        <v>95.567969627764796</v>
      </c>
      <c r="AM4689">
        <v>91.9154485365531</v>
      </c>
      <c r="AN4689">
        <v>0.99999992645021796</v>
      </c>
    </row>
    <row r="4690" spans="1:40" x14ac:dyDescent="0.25">
      <c r="A4690" t="str">
        <f>"20190303154609040"</f>
        <v>20190303154609040</v>
      </c>
      <c r="B4690" t="str">
        <f>"1551599169035873"</f>
        <v>1551599169035873</v>
      </c>
      <c r="C4690" t="s">
        <v>40</v>
      </c>
      <c r="D4690">
        <v>4.9455049999999998</v>
      </c>
      <c r="E4690">
        <v>0.47065230000000002</v>
      </c>
      <c r="F4690" t="s">
        <v>61</v>
      </c>
      <c r="G4690">
        <v>-417.92059999999998</v>
      </c>
      <c r="H4690" s="1">
        <v>-9.8575490000000008E-6</v>
      </c>
      <c r="I4690">
        <v>139.34129999999999</v>
      </c>
      <c r="J4690">
        <v>-402.37490000000003</v>
      </c>
      <c r="K4690">
        <v>1.1213010000000001</v>
      </c>
      <c r="L4690">
        <v>141.39660000000001</v>
      </c>
      <c r="M4690">
        <v>-0.99971330000000003</v>
      </c>
      <c r="N4690">
        <v>-1.3935100000000001E-2</v>
      </c>
      <c r="O4690">
        <v>-1.9476540000000001E-2</v>
      </c>
      <c r="P4690">
        <v>-0.99206070000000002</v>
      </c>
      <c r="Q4690">
        <v>-0.113472</v>
      </c>
      <c r="R4690">
        <v>-5.4221129999999999E-2</v>
      </c>
      <c r="S4690">
        <v>-2.978729</v>
      </c>
      <c r="T4690">
        <v>-0.2115831</v>
      </c>
      <c r="U4690">
        <v>-0.38879390000000003</v>
      </c>
      <c r="V4690">
        <v>-3.4803170000000001E-2</v>
      </c>
      <c r="W4690">
        <v>-9.9653829999999999E-2</v>
      </c>
      <c r="X4690">
        <v>0.99441329999999994</v>
      </c>
      <c r="Y4690">
        <v>-0.1097915</v>
      </c>
      <c r="Z4690">
        <v>-3.5421229999999999E-3</v>
      </c>
      <c r="AA4690">
        <v>0.99394830000000001</v>
      </c>
      <c r="AB4690">
        <v>26</v>
      </c>
      <c r="AC4690">
        <v>-15.545699999999901</v>
      </c>
      <c r="AD4690">
        <v>-1.1213108575489901</v>
      </c>
      <c r="AE4690">
        <v>-2.0553000000000101</v>
      </c>
      <c r="AF4690">
        <v>-1.74319069434804</v>
      </c>
      <c r="AG4690">
        <v>-1.1213108575489901</v>
      </c>
      <c r="AH4690">
        <v>15.5035097214065</v>
      </c>
      <c r="AI4690">
        <v>94.110971104760594</v>
      </c>
      <c r="AJ4690">
        <v>96.415304561049496</v>
      </c>
      <c r="AK4690">
        <v>15.641447040407201</v>
      </c>
      <c r="AL4690">
        <v>95.719236946326802</v>
      </c>
      <c r="AM4690">
        <v>92.004459479734805</v>
      </c>
      <c r="AN4690">
        <v>0.99999997884630298</v>
      </c>
    </row>
    <row r="4691" spans="1:40" x14ac:dyDescent="0.25">
      <c r="A4691" t="str">
        <f>"20190303154609063"</f>
        <v>20190303154609063</v>
      </c>
      <c r="B4691" t="str">
        <f>"1551599169055393"</f>
        <v>1551599169055393</v>
      </c>
      <c r="C4691" t="s">
        <v>40</v>
      </c>
      <c r="D4691">
        <v>4.9713830000000003</v>
      </c>
      <c r="E4691">
        <v>0.4706225</v>
      </c>
      <c r="F4691" t="s">
        <v>61</v>
      </c>
      <c r="G4691">
        <v>-417.37849999999997</v>
      </c>
      <c r="H4691" s="1">
        <v>-9.9328200000000006E-6</v>
      </c>
      <c r="I4691">
        <v>139.40450000000001</v>
      </c>
      <c r="J4691">
        <v>-402.6293</v>
      </c>
      <c r="K4691">
        <v>1.1213599999999999</v>
      </c>
      <c r="L4691">
        <v>141.39099999999999</v>
      </c>
      <c r="M4691">
        <v>-0.99970110000000001</v>
      </c>
      <c r="N4691">
        <v>-1.3932780000000001E-2</v>
      </c>
      <c r="O4691">
        <v>-2.0084230000000002E-2</v>
      </c>
      <c r="P4691">
        <v>-0.99166350000000003</v>
      </c>
      <c r="Q4691">
        <v>-0.1163964</v>
      </c>
      <c r="R4691">
        <v>-5.5274190000000001E-2</v>
      </c>
      <c r="S4691">
        <v>-2.9769290000000002</v>
      </c>
      <c r="T4691">
        <v>-0.22248299999999999</v>
      </c>
      <c r="U4691">
        <v>-0.3952484</v>
      </c>
      <c r="V4691">
        <v>-3.524352E-2</v>
      </c>
      <c r="W4691">
        <v>-0.10259070000000001</v>
      </c>
      <c r="X4691">
        <v>0.99409910000000001</v>
      </c>
      <c r="Y4691">
        <v>-0.11135109999999999</v>
      </c>
      <c r="Z4691">
        <v>-3.7040760000000002E-3</v>
      </c>
      <c r="AA4691">
        <v>0.99377420000000005</v>
      </c>
      <c r="AB4691">
        <v>26</v>
      </c>
      <c r="AC4691">
        <v>-14.749199999999901</v>
      </c>
      <c r="AD4691">
        <v>-1.12136993282</v>
      </c>
      <c r="AE4691">
        <v>-1.98649999999997</v>
      </c>
      <c r="AF4691">
        <v>-1.68030427159457</v>
      </c>
      <c r="AG4691">
        <v>-1.12136993282</v>
      </c>
      <c r="AH4691">
        <v>14.702652008520401</v>
      </c>
      <c r="AI4691">
        <v>94.333400389937395</v>
      </c>
      <c r="AJ4691">
        <v>96.5198063096677</v>
      </c>
      <c r="AK4691">
        <v>14.840783977102401</v>
      </c>
      <c r="AL4691">
        <v>95.888374205657698</v>
      </c>
      <c r="AM4691">
        <v>92.030440999440401</v>
      </c>
      <c r="AN4691">
        <v>0.99999998902464504</v>
      </c>
    </row>
    <row r="4692" spans="1:40" x14ac:dyDescent="0.25">
      <c r="A4692" t="str">
        <f>"20190303154609084"</f>
        <v>20190303154609084</v>
      </c>
      <c r="B4692" t="str">
        <f>"1551599169075889"</f>
        <v>1551599169075889</v>
      </c>
      <c r="C4692" t="s">
        <v>40</v>
      </c>
      <c r="D4692">
        <v>4.9785909999999998</v>
      </c>
      <c r="E4692">
        <v>0.47050150000000002</v>
      </c>
      <c r="F4692" t="s">
        <v>61</v>
      </c>
      <c r="G4692">
        <v>-416.86540000000002</v>
      </c>
      <c r="H4692" s="1">
        <v>-1.0012760000000001E-5</v>
      </c>
      <c r="I4692">
        <v>139.48429999999999</v>
      </c>
      <c r="J4692">
        <v>-402.88119999999998</v>
      </c>
      <c r="K4692">
        <v>1.121435</v>
      </c>
      <c r="L4692">
        <v>141.3852</v>
      </c>
      <c r="M4692">
        <v>-0.99968679999999999</v>
      </c>
      <c r="N4692">
        <v>-1.393086E-2</v>
      </c>
      <c r="O4692">
        <v>-2.0790590000000001E-2</v>
      </c>
      <c r="P4692">
        <v>-0.9915813</v>
      </c>
      <c r="Q4692">
        <v>-0.1166252</v>
      </c>
      <c r="R4692">
        <v>-5.6258679999999998E-2</v>
      </c>
      <c r="S4692">
        <v>-2.9754939999999999</v>
      </c>
      <c r="T4692">
        <v>-0.23437669999999999</v>
      </c>
      <c r="U4692">
        <v>-0.39851379999999997</v>
      </c>
      <c r="V4692">
        <v>-3.5509989999999998E-2</v>
      </c>
      <c r="W4692">
        <v>-0.1028283</v>
      </c>
      <c r="X4692">
        <v>0.99406510000000003</v>
      </c>
      <c r="Y4692">
        <v>-0.11175119999999999</v>
      </c>
      <c r="Z4692">
        <v>-3.8191789999999998E-3</v>
      </c>
      <c r="AA4692">
        <v>0.99372890000000003</v>
      </c>
      <c r="AB4692">
        <v>26</v>
      </c>
      <c r="AC4692">
        <v>-13.9842</v>
      </c>
      <c r="AD4692">
        <v>-1.12144501276</v>
      </c>
      <c r="AE4692">
        <v>-1.9009</v>
      </c>
      <c r="AF4692">
        <v>-1.5996204847353701</v>
      </c>
      <c r="AG4692">
        <v>-1.12144501276</v>
      </c>
      <c r="AH4692">
        <v>13.932725198964899</v>
      </c>
      <c r="AI4692">
        <v>94.571911517608299</v>
      </c>
      <c r="AJ4692">
        <v>96.5494695334597</v>
      </c>
      <c r="AK4692">
        <v>14.069017594761201</v>
      </c>
      <c r="AL4692">
        <v>95.902059873620402</v>
      </c>
      <c r="AM4692">
        <v>92.045849720124806</v>
      </c>
      <c r="AN4692">
        <v>1.00000002085434</v>
      </c>
    </row>
    <row r="4693" spans="1:40" x14ac:dyDescent="0.25">
      <c r="A4693" t="str">
        <f>"20190303154609107"</f>
        <v>20190303154609107</v>
      </c>
      <c r="B4693" t="str">
        <f>"1551599169095409"</f>
        <v>1551599169095409</v>
      </c>
      <c r="C4693" t="s">
        <v>40</v>
      </c>
      <c r="D4693">
        <v>4.9913970000000001</v>
      </c>
      <c r="E4693">
        <v>0.47034239999999999</v>
      </c>
      <c r="F4693" t="s">
        <v>61</v>
      </c>
      <c r="G4693">
        <v>-416.89499999999998</v>
      </c>
      <c r="H4693" s="1">
        <v>-1.001256E-5</v>
      </c>
      <c r="I4693">
        <v>139.4898</v>
      </c>
      <c r="J4693">
        <v>-403.1336</v>
      </c>
      <c r="K4693">
        <v>1.1215139999999999</v>
      </c>
      <c r="L4693">
        <v>141.37909999999999</v>
      </c>
      <c r="M4693">
        <v>-0.99966980000000005</v>
      </c>
      <c r="N4693">
        <v>-1.392913E-2</v>
      </c>
      <c r="O4693">
        <v>-2.1590680000000001E-2</v>
      </c>
      <c r="P4693">
        <v>-0.99176850000000005</v>
      </c>
      <c r="Q4693">
        <v>-0.1149345</v>
      </c>
      <c r="R4693">
        <v>-5.6439919999999998E-2</v>
      </c>
      <c r="S4693">
        <v>-2.97464</v>
      </c>
      <c r="T4693">
        <v>-0.2380428</v>
      </c>
      <c r="U4693">
        <v>-0.40232849999999998</v>
      </c>
      <c r="V4693">
        <v>-3.4876610000000002E-2</v>
      </c>
      <c r="W4693">
        <v>-0.1011416</v>
      </c>
      <c r="X4693">
        <v>0.99426049999999999</v>
      </c>
      <c r="Y4693">
        <v>-0.1122349</v>
      </c>
      <c r="Z4693">
        <v>-3.8326649999999999E-3</v>
      </c>
      <c r="AA4693">
        <v>0.99367430000000001</v>
      </c>
      <c r="AB4693">
        <v>26</v>
      </c>
      <c r="AC4693">
        <v>-13.761399999999901</v>
      </c>
      <c r="AD4693">
        <v>-1.1215240125599999</v>
      </c>
      <c r="AE4693">
        <v>-1.88929999999999</v>
      </c>
      <c r="AF4693">
        <v>-1.5814034784719</v>
      </c>
      <c r="AG4693">
        <v>-1.1215240125599999</v>
      </c>
      <c r="AH4693">
        <v>13.7096135016169</v>
      </c>
      <c r="AI4693">
        <v>94.646034482675802</v>
      </c>
      <c r="AJ4693">
        <v>96.579985579831799</v>
      </c>
      <c r="AK4693">
        <v>13.846015868696201</v>
      </c>
      <c r="AL4693">
        <v>95.804912827938495</v>
      </c>
      <c r="AM4693">
        <v>92.008994179889797</v>
      </c>
      <c r="AN4693">
        <v>0.99999997151794995</v>
      </c>
    </row>
    <row r="4694" spans="1:40" x14ac:dyDescent="0.25">
      <c r="A4694" t="str">
        <f>"20190303154609129"</f>
        <v>20190303154609129</v>
      </c>
      <c r="B4694" t="str">
        <f>"1551599169125665"</f>
        <v>1551599169125665</v>
      </c>
      <c r="C4694" t="s">
        <v>40</v>
      </c>
      <c r="D4694">
        <v>4.8236290000000004</v>
      </c>
      <c r="E4694">
        <v>0.42314879999999999</v>
      </c>
      <c r="F4694" t="s">
        <v>61</v>
      </c>
      <c r="G4694">
        <v>-417.4622</v>
      </c>
      <c r="H4694" s="1">
        <v>-9.9382000000000008E-6</v>
      </c>
      <c r="I4694">
        <v>139.43369999999999</v>
      </c>
      <c r="J4694">
        <v>-403.39830000000001</v>
      </c>
      <c r="K4694">
        <v>1.1215999999999999</v>
      </c>
      <c r="L4694">
        <v>141.3723</v>
      </c>
      <c r="M4694">
        <v>-0.99964869999999995</v>
      </c>
      <c r="N4694">
        <v>-1.392731E-2</v>
      </c>
      <c r="O4694">
        <v>-2.2550420000000002E-2</v>
      </c>
      <c r="P4694">
        <v>-0.99195529999999998</v>
      </c>
      <c r="Q4694">
        <v>-0.1128651</v>
      </c>
      <c r="R4694">
        <v>-5.7328110000000002E-2</v>
      </c>
      <c r="S4694">
        <v>-2.974945</v>
      </c>
      <c r="T4694">
        <v>-0.23285339999999999</v>
      </c>
      <c r="U4694">
        <v>-0.40391539999999998</v>
      </c>
      <c r="V4694">
        <v>-3.4791429999999998E-2</v>
      </c>
      <c r="W4694">
        <v>-9.907755E-2</v>
      </c>
      <c r="X4694">
        <v>0.99447129999999995</v>
      </c>
      <c r="Y4694">
        <v>-0.1118056</v>
      </c>
      <c r="Z4694">
        <v>-3.6914339999999999E-3</v>
      </c>
      <c r="AA4694">
        <v>0.99372329999999998</v>
      </c>
      <c r="AB4694">
        <v>26</v>
      </c>
      <c r="AC4694">
        <v>-14.063899999999901</v>
      </c>
      <c r="AD4694">
        <v>-1.1216099382</v>
      </c>
      <c r="AE4694">
        <v>-1.9386000000000001</v>
      </c>
      <c r="AF4694">
        <v>-1.6108748406047999</v>
      </c>
      <c r="AG4694">
        <v>-1.1216099382</v>
      </c>
      <c r="AH4694">
        <v>14.0165573253578</v>
      </c>
      <c r="AI4694">
        <v>94.545288004942506</v>
      </c>
      <c r="AJ4694">
        <v>96.5560439866655</v>
      </c>
      <c r="AK4694">
        <v>14.1533319702678</v>
      </c>
      <c r="AL4694">
        <v>95.686054273851596</v>
      </c>
      <c r="AM4694">
        <v>92.0036671052179</v>
      </c>
      <c r="AN4694">
        <v>0.99999998551956804</v>
      </c>
    </row>
    <row r="4695" spans="1:40" x14ac:dyDescent="0.25">
      <c r="A4695" t="str">
        <f>"20190303154609152"</f>
        <v>20190303154609152</v>
      </c>
      <c r="B4695" t="str">
        <f>"1551599169146161"</f>
        <v>1551599169146161</v>
      </c>
      <c r="C4695" t="s">
        <v>40</v>
      </c>
      <c r="D4695">
        <v>4.8208890000000002</v>
      </c>
      <c r="E4695">
        <v>0.41497410000000001</v>
      </c>
      <c r="F4695" t="s">
        <v>61</v>
      </c>
      <c r="G4695">
        <v>-417.68040000000002</v>
      </c>
      <c r="H4695" s="1">
        <v>-9.1121280000000003E-6</v>
      </c>
      <c r="I4695">
        <v>137.58760000000001</v>
      </c>
      <c r="J4695">
        <v>-403.65269999999998</v>
      </c>
      <c r="K4695">
        <v>1.1216950000000001</v>
      </c>
      <c r="L4695">
        <v>141.3655</v>
      </c>
      <c r="M4695">
        <v>-0.99962430000000002</v>
      </c>
      <c r="N4695">
        <v>-1.392581E-2</v>
      </c>
      <c r="O4695">
        <v>-2.3610929999999999E-2</v>
      </c>
      <c r="P4695">
        <v>-0.99209749999999997</v>
      </c>
      <c r="Q4695">
        <v>-0.1109103</v>
      </c>
      <c r="R4695">
        <v>-5.8667179999999999E-2</v>
      </c>
      <c r="S4695">
        <v>-2.9526979999999998</v>
      </c>
      <c r="T4695">
        <v>-0.2318829</v>
      </c>
      <c r="U4695">
        <v>-0.78245540000000002</v>
      </c>
      <c r="V4695">
        <v>-3.505569E-2</v>
      </c>
      <c r="W4695">
        <v>-9.7129289999999993E-2</v>
      </c>
      <c r="X4695">
        <v>0.99465420000000004</v>
      </c>
      <c r="Y4695">
        <v>-0.23251089999999999</v>
      </c>
      <c r="Z4695">
        <v>-9.1156520000000001E-3</v>
      </c>
      <c r="AA4695">
        <v>0.97255100000000005</v>
      </c>
      <c r="AB4695">
        <v>26</v>
      </c>
      <c r="AC4695">
        <v>-14.027699999999999</v>
      </c>
      <c r="AD4695">
        <v>-1.121704112128</v>
      </c>
      <c r="AE4695">
        <v>-3.7778999999999798</v>
      </c>
      <c r="AF4695">
        <v>-3.4251873657631</v>
      </c>
      <c r="AG4695">
        <v>-1.121704112128</v>
      </c>
      <c r="AH4695">
        <v>14.0293575402358</v>
      </c>
      <c r="AI4695">
        <v>94.441398802147802</v>
      </c>
      <c r="AJ4695">
        <v>103.720038612153</v>
      </c>
      <c r="AK4695">
        <v>14.4849232513507</v>
      </c>
      <c r="AL4695">
        <v>95.573886085143698</v>
      </c>
      <c r="AM4695">
        <v>92.018502580392607</v>
      </c>
      <c r="AN4695">
        <v>0.99999998897746001</v>
      </c>
    </row>
    <row r="4696" spans="1:40" x14ac:dyDescent="0.25">
      <c r="A4696" t="str">
        <f>"20190303154609173"</f>
        <v>20190303154609173</v>
      </c>
      <c r="B4696" t="str">
        <f>"1551599169165682"</f>
        <v>1551599169165682</v>
      </c>
      <c r="C4696" t="s">
        <v>40</v>
      </c>
      <c r="D4696">
        <v>4.7902940000000003</v>
      </c>
      <c r="E4696">
        <v>0.41068329999999997</v>
      </c>
      <c r="F4696" t="s">
        <v>61</v>
      </c>
      <c r="G4696">
        <v>-418.75479999999999</v>
      </c>
      <c r="H4696" s="1">
        <v>-8.8056329999999995E-6</v>
      </c>
      <c r="I4696">
        <v>137.00640000000001</v>
      </c>
      <c r="J4696">
        <v>-403.90010000000001</v>
      </c>
      <c r="K4696">
        <v>1.1217980000000001</v>
      </c>
      <c r="L4696">
        <v>141.35839999999999</v>
      </c>
      <c r="M4696">
        <v>-0.99959580000000003</v>
      </c>
      <c r="N4696">
        <v>-1.3925109999999999E-2</v>
      </c>
      <c r="O4696">
        <v>-2.4790220000000002E-2</v>
      </c>
      <c r="P4696">
        <v>-0.99204700000000001</v>
      </c>
      <c r="Q4696">
        <v>-0.1102844</v>
      </c>
      <c r="R4696">
        <v>-6.0669279999999999E-2</v>
      </c>
      <c r="S4696">
        <v>-2.9490660000000002</v>
      </c>
      <c r="T4696">
        <v>-0.2190404</v>
      </c>
      <c r="U4696">
        <v>-0.85121150000000001</v>
      </c>
      <c r="V4696">
        <v>-3.5864119999999999E-2</v>
      </c>
      <c r="W4696">
        <v>-9.6513760000000004E-2</v>
      </c>
      <c r="X4696">
        <v>0.99468529999999999</v>
      </c>
      <c r="Y4696">
        <v>-0.25268269999999998</v>
      </c>
      <c r="Z4696">
        <v>-9.5195079999999994E-3</v>
      </c>
      <c r="AA4696">
        <v>0.96750239999999998</v>
      </c>
      <c r="AB4696">
        <v>26</v>
      </c>
      <c r="AC4696">
        <v>-14.8546999999999</v>
      </c>
      <c r="AD4696">
        <v>-1.1218068056329999</v>
      </c>
      <c r="AE4696">
        <v>-4.3519999999999701</v>
      </c>
      <c r="AF4696">
        <v>-3.96156815577559</v>
      </c>
      <c r="AG4696">
        <v>-1.1218068056329999</v>
      </c>
      <c r="AH4696">
        <v>14.879878492933599</v>
      </c>
      <c r="AI4696">
        <v>94.166812285745493</v>
      </c>
      <c r="AJ4696">
        <v>104.908409259468</v>
      </c>
      <c r="AK4696">
        <v>15.4390173497696</v>
      </c>
      <c r="AL4696">
        <v>95.538452311584095</v>
      </c>
      <c r="AM4696">
        <v>92.064947530505293</v>
      </c>
      <c r="AN4696">
        <v>0.99999999350440005</v>
      </c>
    </row>
    <row r="4697" spans="1:40" x14ac:dyDescent="0.25">
      <c r="A4697" t="str">
        <f>"20190303154609197"</f>
        <v>20190303154609197</v>
      </c>
      <c r="B4697" t="str">
        <f>"1551599169186178"</f>
        <v>1551599169186178</v>
      </c>
      <c r="C4697" t="s">
        <v>40</v>
      </c>
      <c r="D4697">
        <v>4.8070890000000004</v>
      </c>
      <c r="E4697">
        <v>0.40796349999999998</v>
      </c>
      <c r="F4697" t="s">
        <v>61</v>
      </c>
      <c r="G4697">
        <v>-419.21199999999999</v>
      </c>
      <c r="H4697" s="1">
        <v>-8.6645449999999996E-6</v>
      </c>
      <c r="I4697">
        <v>136.7252</v>
      </c>
      <c r="J4697">
        <v>-404.17070000000001</v>
      </c>
      <c r="K4697">
        <v>1.121934</v>
      </c>
      <c r="L4697">
        <v>141.3501</v>
      </c>
      <c r="M4697">
        <v>-0.99955819999999995</v>
      </c>
      <c r="N4697">
        <v>-1.392497E-2</v>
      </c>
      <c r="O4697">
        <v>-2.626239E-2</v>
      </c>
      <c r="P4697">
        <v>-0.99190849999999997</v>
      </c>
      <c r="Q4697">
        <v>-0.1102037</v>
      </c>
      <c r="R4697">
        <v>-6.3032690000000002E-2</v>
      </c>
      <c r="S4697">
        <v>-2.9455260000000001</v>
      </c>
      <c r="T4697">
        <v>-0.21579980000000001</v>
      </c>
      <c r="U4697">
        <v>-0.89128109999999905</v>
      </c>
      <c r="V4697">
        <v>-3.6738010000000001E-2</v>
      </c>
      <c r="W4697">
        <v>-9.6446749999999998E-2</v>
      </c>
      <c r="X4697">
        <v>0.99465990000000004</v>
      </c>
      <c r="Y4697">
        <v>-0.2636443</v>
      </c>
      <c r="Z4697">
        <v>-9.7932109999999996E-3</v>
      </c>
      <c r="AA4697">
        <v>0.96457029999999999</v>
      </c>
      <c r="AB4697">
        <v>26</v>
      </c>
      <c r="AC4697">
        <v>-15.0412999999999</v>
      </c>
      <c r="AD4697">
        <v>-1.1219426645449999</v>
      </c>
      <c r="AE4697">
        <v>-4.6248999999999896</v>
      </c>
      <c r="AF4697">
        <v>-4.2068614144935204</v>
      </c>
      <c r="AG4697">
        <v>-1.1219426645449999</v>
      </c>
      <c r="AH4697">
        <v>15.080924318448201</v>
      </c>
      <c r="AI4697">
        <v>94.0987516621434</v>
      </c>
      <c r="AJ4697">
        <v>105.586576836855</v>
      </c>
      <c r="AK4697">
        <v>15.6968377898875</v>
      </c>
      <c r="AL4697">
        <v>95.534594963411706</v>
      </c>
      <c r="AM4697">
        <v>92.115272276959701</v>
      </c>
      <c r="AN4697">
        <v>0.99999998681616598</v>
      </c>
    </row>
    <row r="4698" spans="1:40" x14ac:dyDescent="0.25">
      <c r="A4698" t="str">
        <f>"20190303154609221"</f>
        <v>20190303154609221</v>
      </c>
      <c r="B4698" t="str">
        <f>"1551599169216433"</f>
        <v>1551599169216433</v>
      </c>
      <c r="C4698" t="s">
        <v>40</v>
      </c>
      <c r="D4698">
        <v>4.8284039999999999</v>
      </c>
      <c r="E4698">
        <v>0.40538859999999999</v>
      </c>
      <c r="F4698" t="s">
        <v>61</v>
      </c>
      <c r="G4698">
        <v>-419.596</v>
      </c>
      <c r="H4698" s="1">
        <v>-8.5622069999999999E-6</v>
      </c>
      <c r="I4698">
        <v>136.52860000000001</v>
      </c>
      <c r="J4698">
        <v>-404.43790000000001</v>
      </c>
      <c r="K4698">
        <v>1.1220969999999999</v>
      </c>
      <c r="L4698">
        <v>141.34139999999999</v>
      </c>
      <c r="M4698">
        <v>-0.99951310000000004</v>
      </c>
      <c r="N4698">
        <v>-1.3925710000000001E-2</v>
      </c>
      <c r="O4698">
        <v>-2.792412E-2</v>
      </c>
      <c r="P4698">
        <v>-0.99189039999999995</v>
      </c>
      <c r="Q4698">
        <v>-0.1085744</v>
      </c>
      <c r="R4698">
        <v>-6.6069299999999997E-2</v>
      </c>
      <c r="S4698">
        <v>-2.9422609999999998</v>
      </c>
      <c r="T4698">
        <v>-0.21400230000000001</v>
      </c>
      <c r="U4698">
        <v>-0.91966250000000005</v>
      </c>
      <c r="V4698">
        <v>-3.809328E-2</v>
      </c>
      <c r="W4698">
        <v>-9.4831670000000007E-2</v>
      </c>
      <c r="X4698">
        <v>0.99476419999999999</v>
      </c>
      <c r="Y4698">
        <v>-0.27082309999999998</v>
      </c>
      <c r="Z4698">
        <v>-9.9411180000000005E-3</v>
      </c>
      <c r="AA4698">
        <v>0.96257780000000004</v>
      </c>
      <c r="AB4698">
        <v>26</v>
      </c>
      <c r="AC4698">
        <v>-15.1580999999999</v>
      </c>
      <c r="AD4698">
        <v>-1.122105562207</v>
      </c>
      <c r="AE4698">
        <v>-4.8127999999999798</v>
      </c>
      <c r="AF4698">
        <v>-4.36587140922214</v>
      </c>
      <c r="AG4698">
        <v>-1.122105562207</v>
      </c>
      <c r="AH4698">
        <v>15.210872579320901</v>
      </c>
      <c r="AI4698">
        <v>94.055884890552704</v>
      </c>
      <c r="AJ4698">
        <v>106.01470048867</v>
      </c>
      <c r="AK4698">
        <v>15.864759647688899</v>
      </c>
      <c r="AL4698">
        <v>95.441631590660904</v>
      </c>
      <c r="AM4698">
        <v>92.193000363857195</v>
      </c>
      <c r="AN4698">
        <v>0.999999978608893</v>
      </c>
    </row>
    <row r="4699" spans="1:40" x14ac:dyDescent="0.25">
      <c r="A4699" t="str">
        <f>"20190303154609240"</f>
        <v>20190303154609240</v>
      </c>
      <c r="B4699" t="str">
        <f>"1551599169235953"</f>
        <v>1551599169235953</v>
      </c>
      <c r="C4699" t="s">
        <v>40</v>
      </c>
      <c r="D4699">
        <v>4.8262239999999998</v>
      </c>
      <c r="E4699">
        <v>0.40409319999999999</v>
      </c>
      <c r="F4699" t="s">
        <v>61</v>
      </c>
      <c r="G4699">
        <v>-420.0598</v>
      </c>
      <c r="H4699" s="1">
        <v>-8.4604699999999993E-6</v>
      </c>
      <c r="I4699">
        <v>136.2944</v>
      </c>
      <c r="J4699">
        <v>-404.6696</v>
      </c>
      <c r="K4699">
        <v>1.12225</v>
      </c>
      <c r="L4699">
        <v>141.3331</v>
      </c>
      <c r="M4699">
        <v>-0.99946579999999996</v>
      </c>
      <c r="N4699">
        <v>-1.3927E-2</v>
      </c>
      <c r="O4699">
        <v>-2.956694E-2</v>
      </c>
      <c r="P4699">
        <v>-0.99219500000000005</v>
      </c>
      <c r="Q4699">
        <v>-0.1046002</v>
      </c>
      <c r="R4699">
        <v>-6.7883789999999999E-2</v>
      </c>
      <c r="S4699">
        <v>-2.938202</v>
      </c>
      <c r="T4699">
        <v>-0.21104719999999999</v>
      </c>
      <c r="U4699">
        <v>-0.94923400000000002</v>
      </c>
      <c r="V4699">
        <v>-3.8245040000000001E-2</v>
      </c>
      <c r="W4699">
        <v>-9.0864020000000004E-2</v>
      </c>
      <c r="X4699">
        <v>0.99512860000000003</v>
      </c>
      <c r="Y4699">
        <v>-0.27840910000000002</v>
      </c>
      <c r="Z4699">
        <v>-1.006455E-2</v>
      </c>
      <c r="AA4699">
        <v>0.96040990000000004</v>
      </c>
      <c r="AB4699">
        <v>26</v>
      </c>
      <c r="AC4699">
        <v>-15.390199999999901</v>
      </c>
      <c r="AD4699">
        <v>-1.1222584604700001</v>
      </c>
      <c r="AE4699">
        <v>-5.0387000000000004</v>
      </c>
      <c r="AF4699">
        <v>-4.5595139370748301</v>
      </c>
      <c r="AG4699">
        <v>-1.1222584604700001</v>
      </c>
      <c r="AH4699">
        <v>15.4582239876959</v>
      </c>
      <c r="AI4699">
        <v>93.983279092853394</v>
      </c>
      <c r="AJ4699">
        <v>106.43380146390599</v>
      </c>
      <c r="AK4699">
        <v>16.155659078114201</v>
      </c>
      <c r="AL4699">
        <v>95.213315769231599</v>
      </c>
      <c r="AM4699">
        <v>92.200923042909906</v>
      </c>
      <c r="AN4699">
        <v>0.99999994187655905</v>
      </c>
    </row>
    <row r="4700" spans="1:40" x14ac:dyDescent="0.25">
      <c r="A4700" t="str">
        <f>"20190303154609264"</f>
        <v>20190303154609264</v>
      </c>
      <c r="B4700" t="str">
        <f>"1551599169256450"</f>
        <v>1551599169256450</v>
      </c>
      <c r="C4700" t="s">
        <v>40</v>
      </c>
      <c r="D4700">
        <v>4.7996460000000001</v>
      </c>
      <c r="E4700">
        <v>0.40305459999999999</v>
      </c>
      <c r="F4700" t="s">
        <v>61</v>
      </c>
      <c r="G4700">
        <v>-421.29349999999999</v>
      </c>
      <c r="H4700" s="1">
        <v>-8.4657979999999905E-6</v>
      </c>
      <c r="I4700">
        <v>135.8725</v>
      </c>
      <c r="J4700">
        <v>-404.92099999999999</v>
      </c>
      <c r="K4700">
        <v>1.122422</v>
      </c>
      <c r="L4700">
        <v>141.3235</v>
      </c>
      <c r="M4700">
        <v>-0.99940399999999996</v>
      </c>
      <c r="N4700">
        <v>-1.392957E-2</v>
      </c>
      <c r="O4700">
        <v>-3.1586139999999999E-2</v>
      </c>
      <c r="P4700">
        <v>-0.99228819999999995</v>
      </c>
      <c r="Q4700">
        <v>-0.10282479999999999</v>
      </c>
      <c r="R4700">
        <v>-6.9221909999999998E-2</v>
      </c>
      <c r="S4700">
        <v>-2.9367070000000002</v>
      </c>
      <c r="T4700">
        <v>-0.19825329999999999</v>
      </c>
      <c r="U4700">
        <v>-0.96464539999999999</v>
      </c>
      <c r="V4700">
        <v>-3.7542600000000002E-2</v>
      </c>
      <c r="W4700">
        <v>-8.9095820000000006E-2</v>
      </c>
      <c r="X4700">
        <v>0.99531530000000001</v>
      </c>
      <c r="Y4700">
        <v>-0.28124110000000002</v>
      </c>
      <c r="Z4700">
        <v>-9.6081069999999994E-3</v>
      </c>
      <c r="AA4700">
        <v>0.95958909999999997</v>
      </c>
      <c r="AB4700">
        <v>26</v>
      </c>
      <c r="AC4700">
        <v>-16.372499999999999</v>
      </c>
      <c r="AD4700">
        <v>-1.122430465798</v>
      </c>
      <c r="AE4700">
        <v>-5.4509999999999899</v>
      </c>
      <c r="AF4700">
        <v>-4.9103102386584201</v>
      </c>
      <c r="AG4700">
        <v>-1.122430465798</v>
      </c>
      <c r="AH4700">
        <v>16.466851901631301</v>
      </c>
      <c r="AI4700">
        <v>93.737292427116301</v>
      </c>
      <c r="AJ4700">
        <v>106.604245034446</v>
      </c>
      <c r="AK4700">
        <v>17.2199944349783</v>
      </c>
      <c r="AL4700">
        <v>95.111592273419006</v>
      </c>
      <c r="AM4700">
        <v>92.160132852048406</v>
      </c>
      <c r="AN4700">
        <v>1.0000000291851601</v>
      </c>
    </row>
    <row r="4701" spans="1:40" x14ac:dyDescent="0.25">
      <c r="A4701" t="str">
        <f>"20190303154609286"</f>
        <v>20190303154609286</v>
      </c>
      <c r="B4701" t="str">
        <f>"1551599169275970"</f>
        <v>1551599169275970</v>
      </c>
      <c r="C4701" t="s">
        <v>40</v>
      </c>
      <c r="D4701">
        <v>4.8248569999999997</v>
      </c>
      <c r="E4701">
        <v>0.40221440000000003</v>
      </c>
      <c r="F4701" t="s">
        <v>61</v>
      </c>
      <c r="G4701">
        <v>-421.97399999999999</v>
      </c>
      <c r="H4701" s="1">
        <v>-8.4720949999999994E-6</v>
      </c>
      <c r="I4701">
        <v>135.6481</v>
      </c>
      <c r="J4701">
        <v>-405.17430000000002</v>
      </c>
      <c r="K4701">
        <v>1.1225849999999999</v>
      </c>
      <c r="L4701">
        <v>141.31299999999999</v>
      </c>
      <c r="M4701">
        <v>-0.99932940000000003</v>
      </c>
      <c r="N4701">
        <v>-1.393324E-2</v>
      </c>
      <c r="O4701">
        <v>-3.3860840000000003E-2</v>
      </c>
      <c r="P4701">
        <v>-0.99208050000000003</v>
      </c>
      <c r="Q4701">
        <v>-0.1031884</v>
      </c>
      <c r="R4701">
        <v>-7.1615239999999997E-2</v>
      </c>
      <c r="S4701">
        <v>-2.9351500000000001</v>
      </c>
      <c r="T4701">
        <v>-0.19319149999999999</v>
      </c>
      <c r="U4701">
        <v>-0.97685239999999995</v>
      </c>
      <c r="V4701">
        <v>-3.7642420000000003E-2</v>
      </c>
      <c r="W4701">
        <v>-8.9471620000000002E-2</v>
      </c>
      <c r="X4701">
        <v>0.99527779999999999</v>
      </c>
      <c r="Y4701">
        <v>-0.28283409999999998</v>
      </c>
      <c r="Z4701">
        <v>-9.3742630000000007E-3</v>
      </c>
      <c r="AA4701">
        <v>0.95912310000000001</v>
      </c>
      <c r="AB4701">
        <v>25</v>
      </c>
      <c r="AC4701">
        <v>-16.799699999999898</v>
      </c>
      <c r="AD4701">
        <v>-1.1225934720949999</v>
      </c>
      <c r="AE4701">
        <v>-5.6648999999999798</v>
      </c>
      <c r="AF4701">
        <v>-5.0724067345122803</v>
      </c>
      <c r="AG4701">
        <v>-1.1225934720949999</v>
      </c>
      <c r="AH4701">
        <v>16.914087236565699</v>
      </c>
      <c r="AI4701">
        <v>93.637576492258802</v>
      </c>
      <c r="AJ4701">
        <v>106.693589693511</v>
      </c>
      <c r="AK4701">
        <v>17.693950187283502</v>
      </c>
      <c r="AL4701">
        <v>95.133210458726893</v>
      </c>
      <c r="AM4701">
        <v>92.165952378259703</v>
      </c>
      <c r="AN4701">
        <v>1.00000001087086</v>
      </c>
    </row>
    <row r="4702" spans="1:40" x14ac:dyDescent="0.25">
      <c r="A4702" t="str">
        <f>"20190303154609308"</f>
        <v>20190303154609308</v>
      </c>
      <c r="B4702" t="str">
        <f>"1551599169296466"</f>
        <v>1551599169296466</v>
      </c>
      <c r="C4702" t="s">
        <v>40</v>
      </c>
      <c r="D4702">
        <v>4.8478479999999999</v>
      </c>
      <c r="E4702">
        <v>0.40153949999999999</v>
      </c>
      <c r="F4702" t="s">
        <v>61</v>
      </c>
      <c r="G4702">
        <v>-421.90249999999997</v>
      </c>
      <c r="H4702" s="1">
        <v>-8.4667630000000004E-6</v>
      </c>
      <c r="I4702">
        <v>135.6602</v>
      </c>
      <c r="J4702">
        <v>-405.42520000000002</v>
      </c>
      <c r="K4702">
        <v>1.1227229999999999</v>
      </c>
      <c r="L4702">
        <v>141.30179999999999</v>
      </c>
      <c r="M4702">
        <v>-0.9992434</v>
      </c>
      <c r="N4702">
        <v>-1.393719E-2</v>
      </c>
      <c r="O4702">
        <v>-3.6311780000000002E-2</v>
      </c>
      <c r="P4702">
        <v>-0.99164249999999998</v>
      </c>
      <c r="Q4702">
        <v>-0.1045659</v>
      </c>
      <c r="R4702">
        <v>-7.5572920000000002E-2</v>
      </c>
      <c r="S4702">
        <v>-2.9319760000000001</v>
      </c>
      <c r="T4702">
        <v>-0.19675819999999999</v>
      </c>
      <c r="U4702">
        <v>-0.99078370000000004</v>
      </c>
      <c r="V4702">
        <v>-3.9138050000000001E-2</v>
      </c>
      <c r="W4702">
        <v>-9.0867509999999999E-2</v>
      </c>
      <c r="X4702">
        <v>0.99509360000000002</v>
      </c>
      <c r="Y4702">
        <v>-0.28486549999999999</v>
      </c>
      <c r="Z4702">
        <v>-9.4600229999999997E-3</v>
      </c>
      <c r="AA4702">
        <v>0.95852079999999995</v>
      </c>
      <c r="AB4702">
        <v>25</v>
      </c>
      <c r="AC4702">
        <v>-16.4772999999999</v>
      </c>
      <c r="AD4702">
        <v>-1.122731466763</v>
      </c>
      <c r="AE4702">
        <v>-5.64159999999998</v>
      </c>
      <c r="AF4702">
        <v>-5.0186448613851304</v>
      </c>
      <c r="AG4702">
        <v>-1.122731466763</v>
      </c>
      <c r="AH4702">
        <v>16.602314475974701</v>
      </c>
      <c r="AI4702">
        <v>93.703710583625394</v>
      </c>
      <c r="AJ4702">
        <v>106.819324442595</v>
      </c>
      <c r="AK4702">
        <v>17.380568694675301</v>
      </c>
      <c r="AL4702">
        <v>95.213516352159203</v>
      </c>
      <c r="AM4702">
        <v>92.252340738587307</v>
      </c>
      <c r="AN4702">
        <v>0.99999998204618101</v>
      </c>
    </row>
    <row r="4703" spans="1:40" x14ac:dyDescent="0.25">
      <c r="A4703" t="str">
        <f>"20190303154609330"</f>
        <v>20190303154609330</v>
      </c>
      <c r="B4703" t="str">
        <f>"1551599169325745"</f>
        <v>1551599169325745</v>
      </c>
      <c r="C4703" t="s">
        <v>40</v>
      </c>
      <c r="D4703">
        <v>4.8256009999999998</v>
      </c>
      <c r="E4703">
        <v>0.40059410000000001</v>
      </c>
      <c r="F4703" t="s">
        <v>61</v>
      </c>
      <c r="G4703">
        <v>-421.55810000000002</v>
      </c>
      <c r="H4703" s="1">
        <v>-8.4521860000000002E-6</v>
      </c>
      <c r="I4703">
        <v>135.7458</v>
      </c>
      <c r="J4703">
        <v>-405.67430000000002</v>
      </c>
      <c r="K4703">
        <v>1.122849</v>
      </c>
      <c r="L4703">
        <v>141.28989999999999</v>
      </c>
      <c r="M4703">
        <v>-0.99914409999999998</v>
      </c>
      <c r="N4703">
        <v>-1.394083E-2</v>
      </c>
      <c r="O4703">
        <v>-3.894558E-2</v>
      </c>
      <c r="P4703">
        <v>-0.99111190000000005</v>
      </c>
      <c r="Q4703">
        <v>-0.1057997</v>
      </c>
      <c r="R4703">
        <v>-8.0645519999999998E-2</v>
      </c>
      <c r="S4703">
        <v>-2.9270019999999999</v>
      </c>
      <c r="T4703">
        <v>-0.20369719999999999</v>
      </c>
      <c r="U4703">
        <v>-1.0080260000000001</v>
      </c>
      <c r="V4703">
        <v>-4.1573449999999998E-2</v>
      </c>
      <c r="W4703">
        <v>-9.2124259999999999E-2</v>
      </c>
      <c r="X4703">
        <v>0.99487919999999996</v>
      </c>
      <c r="Y4703">
        <v>-0.2878425</v>
      </c>
      <c r="Z4703">
        <v>-9.6913889999999999E-3</v>
      </c>
      <c r="AA4703">
        <v>0.9576287</v>
      </c>
      <c r="AB4703">
        <v>25</v>
      </c>
      <c r="AC4703">
        <v>-15.883800000000001</v>
      </c>
      <c r="AD4703">
        <v>-1.122857452186</v>
      </c>
      <c r="AE4703">
        <v>-5.5440999999999798</v>
      </c>
      <c r="AF4703">
        <v>-4.8994040195880597</v>
      </c>
      <c r="AG4703">
        <v>-1.122857452186</v>
      </c>
      <c r="AH4703">
        <v>16.016339146209599</v>
      </c>
      <c r="AI4703">
        <v>93.835397114231796</v>
      </c>
      <c r="AJ4703">
        <v>107.00889076186</v>
      </c>
      <c r="AK4703">
        <v>16.786544857459301</v>
      </c>
      <c r="AL4703">
        <v>95.285826428755698</v>
      </c>
      <c r="AM4703">
        <v>92.3928515248124</v>
      </c>
      <c r="AN4703">
        <v>0.99999992680904204</v>
      </c>
    </row>
    <row r="4704" spans="1:40" x14ac:dyDescent="0.25">
      <c r="A4704" t="str">
        <f>"20190303154609352"</f>
        <v>20190303154609352</v>
      </c>
      <c r="B4704" t="str">
        <f>"1551599169346241"</f>
        <v>1551599169346241</v>
      </c>
      <c r="C4704" t="s">
        <v>40</v>
      </c>
      <c r="D4704">
        <v>4.824802</v>
      </c>
      <c r="E4704">
        <v>0.39992369999999999</v>
      </c>
      <c r="F4704" t="s">
        <v>61</v>
      </c>
      <c r="G4704">
        <v>-421.4821</v>
      </c>
      <c r="H4704" s="1">
        <v>-8.4277779999999905E-6</v>
      </c>
      <c r="I4704">
        <v>135.71270000000001</v>
      </c>
      <c r="J4704">
        <v>-405.92770000000002</v>
      </c>
      <c r="K4704">
        <v>1.122986</v>
      </c>
      <c r="L4704">
        <v>141.27680000000001</v>
      </c>
      <c r="M4704">
        <v>-0.999027</v>
      </c>
      <c r="N4704">
        <v>-1.394483E-2</v>
      </c>
      <c r="O4704">
        <v>-4.1840049999999997E-2</v>
      </c>
      <c r="P4704">
        <v>-0.99053820000000004</v>
      </c>
      <c r="Q4704">
        <v>-0.1062211</v>
      </c>
      <c r="R4704">
        <v>-8.6899370000000004E-2</v>
      </c>
      <c r="S4704">
        <v>-2.9209589999999999</v>
      </c>
      <c r="T4704">
        <v>-0.20748030000000001</v>
      </c>
      <c r="U4704">
        <v>-1.030548</v>
      </c>
      <c r="V4704">
        <v>-4.493573E-2</v>
      </c>
      <c r="W4704">
        <v>-9.2573810000000006E-2</v>
      </c>
      <c r="X4704">
        <v>0.9946914</v>
      </c>
      <c r="Y4704">
        <v>-0.29222599999999999</v>
      </c>
      <c r="Z4704">
        <v>-9.8541970000000003E-3</v>
      </c>
      <c r="AA4704">
        <v>0.95629850000000005</v>
      </c>
      <c r="AB4704">
        <v>25</v>
      </c>
      <c r="AC4704">
        <v>-15.5543999999999</v>
      </c>
      <c r="AD4704">
        <v>-1.122994427778</v>
      </c>
      <c r="AE4704">
        <v>-5.5640999999999901</v>
      </c>
      <c r="AF4704">
        <v>-4.8857883666011199</v>
      </c>
      <c r="AG4704">
        <v>-1.122994427778</v>
      </c>
      <c r="AH4704">
        <v>15.701044032512099</v>
      </c>
      <c r="AI4704">
        <v>93.906862416948499</v>
      </c>
      <c r="AJ4704">
        <v>107.284889033876</v>
      </c>
      <c r="AK4704">
        <v>16.481954621916699</v>
      </c>
      <c r="AL4704">
        <v>95.311693603264104</v>
      </c>
      <c r="AM4704">
        <v>92.586609636468907</v>
      </c>
      <c r="AN4704">
        <v>1.0000000556812501</v>
      </c>
    </row>
    <row r="4705" spans="1:40" x14ac:dyDescent="0.25">
      <c r="A4705" t="str">
        <f>"20190303154609374"</f>
        <v>20190303154609374</v>
      </c>
      <c r="B4705" t="str">
        <f>"1551599169365761"</f>
        <v>1551599169365761</v>
      </c>
      <c r="C4705" t="s">
        <v>40</v>
      </c>
      <c r="D4705">
        <v>4.8138899999999998</v>
      </c>
      <c r="E4705">
        <v>0.3992887</v>
      </c>
      <c r="F4705" t="s">
        <v>61</v>
      </c>
      <c r="G4705">
        <v>-421.68029999999999</v>
      </c>
      <c r="H4705" s="1">
        <v>-8.4012530000000001E-6</v>
      </c>
      <c r="I4705">
        <v>135.57769999999999</v>
      </c>
      <c r="J4705">
        <v>-406.17349999999999</v>
      </c>
      <c r="K4705">
        <v>1.123124</v>
      </c>
      <c r="L4705">
        <v>141.26320000000001</v>
      </c>
      <c r="M4705">
        <v>-0.9988958</v>
      </c>
      <c r="N4705">
        <v>-1.394989E-2</v>
      </c>
      <c r="O4705">
        <v>-4.4862600000000002E-2</v>
      </c>
      <c r="P4705">
        <v>-0.98964719999999995</v>
      </c>
      <c r="Q4705">
        <v>-0.108164</v>
      </c>
      <c r="R4705">
        <v>-9.4335840000000004E-2</v>
      </c>
      <c r="S4705">
        <v>-2.91391</v>
      </c>
      <c r="T4705">
        <v>-0.207731</v>
      </c>
      <c r="U4705">
        <v>-1.054214</v>
      </c>
      <c r="V4705">
        <v>-4.935842E-2</v>
      </c>
      <c r="W4705">
        <v>-9.4555180000000003E-2</v>
      </c>
      <c r="X4705">
        <v>0.99429520000000005</v>
      </c>
      <c r="Y4705">
        <v>-0.29693009999999997</v>
      </c>
      <c r="Z4705">
        <v>-9.9024479999999995E-3</v>
      </c>
      <c r="AA4705">
        <v>0.95484789999999997</v>
      </c>
      <c r="AB4705">
        <v>25</v>
      </c>
      <c r="AC4705">
        <v>-15.506799999999901</v>
      </c>
      <c r="AD4705">
        <v>-1.123132401253</v>
      </c>
      <c r="AE4705">
        <v>-5.68550000000001</v>
      </c>
      <c r="AF4705">
        <v>-4.9610902309701501</v>
      </c>
      <c r="AG4705">
        <v>-1.123132401253</v>
      </c>
      <c r="AH4705">
        <v>15.6737959525764</v>
      </c>
      <c r="AI4705">
        <v>93.908158114739507</v>
      </c>
      <c r="AJ4705">
        <v>107.563688516659</v>
      </c>
      <c r="AK4705">
        <v>16.4785230598368</v>
      </c>
      <c r="AL4705">
        <v>95.425718582791305</v>
      </c>
      <c r="AM4705">
        <v>92.841922147663297</v>
      </c>
      <c r="AN4705">
        <v>0.99999994021638205</v>
      </c>
    </row>
    <row r="4706" spans="1:40" x14ac:dyDescent="0.25">
      <c r="A4706" t="str">
        <f>"20190303154609398"</f>
        <v>20190303154609398</v>
      </c>
      <c r="B4706" t="str">
        <f>"1551599169386257"</f>
        <v>1551599169386257</v>
      </c>
      <c r="C4706" t="s">
        <v>40</v>
      </c>
      <c r="D4706">
        <v>4.8088199999999999</v>
      </c>
      <c r="E4706">
        <v>0.39870640000000002</v>
      </c>
      <c r="F4706" t="s">
        <v>61</v>
      </c>
      <c r="G4706">
        <v>-421.4042</v>
      </c>
      <c r="H4706" s="1">
        <v>-8.3680420000000001E-6</v>
      </c>
      <c r="I4706">
        <v>135.59350000000001</v>
      </c>
      <c r="J4706">
        <v>-406.43770000000001</v>
      </c>
      <c r="K4706">
        <v>1.1232949999999999</v>
      </c>
      <c r="L4706">
        <v>141.2475</v>
      </c>
      <c r="M4706">
        <v>-0.99873330000000005</v>
      </c>
      <c r="N4706">
        <v>-1.3956990000000001E-2</v>
      </c>
      <c r="O4706">
        <v>-4.8344379999999999E-2</v>
      </c>
      <c r="P4706">
        <v>-0.98859600000000003</v>
      </c>
      <c r="Q4706">
        <v>-0.10875269999999999</v>
      </c>
      <c r="R4706">
        <v>-0.1041694</v>
      </c>
      <c r="S4706">
        <v>-2.9049070000000001</v>
      </c>
      <c r="T4706">
        <v>-0.2142117</v>
      </c>
      <c r="U4706">
        <v>-1.0813600000000001</v>
      </c>
      <c r="V4706">
        <v>-5.5729399999999998E-2</v>
      </c>
      <c r="W4706">
        <v>-9.5196870000000003E-2</v>
      </c>
      <c r="X4706">
        <v>0.99389729999999998</v>
      </c>
      <c r="Y4706">
        <v>-0.30235139999999999</v>
      </c>
      <c r="Z4706">
        <v>-1.0171940000000001E-2</v>
      </c>
      <c r="AA4706">
        <v>0.9531423</v>
      </c>
      <c r="AB4706">
        <v>25</v>
      </c>
      <c r="AC4706">
        <v>-14.9664999999999</v>
      </c>
      <c r="AD4706">
        <v>-1.1233033680419999</v>
      </c>
      <c r="AE4706">
        <v>-5.6539999999999901</v>
      </c>
      <c r="AF4706">
        <v>-4.8996176932960802</v>
      </c>
      <c r="AG4706">
        <v>-1.1233033680419999</v>
      </c>
      <c r="AH4706">
        <v>15.147689682573899</v>
      </c>
      <c r="AI4706">
        <v>94.035960447258304</v>
      </c>
      <c r="AJ4706">
        <v>107.92413457489801</v>
      </c>
      <c r="AK4706">
        <v>15.9599676289355</v>
      </c>
      <c r="AL4706">
        <v>95.462650841581393</v>
      </c>
      <c r="AM4706">
        <v>93.209304786843305</v>
      </c>
      <c r="AN4706">
        <v>1.00000002651472</v>
      </c>
    </row>
    <row r="4707" spans="1:40" x14ac:dyDescent="0.25">
      <c r="A4707" t="str">
        <f>"20190303154609423"</f>
        <v>20190303154609423</v>
      </c>
      <c r="B4707" t="str">
        <f>"1551599169416514"</f>
        <v>1551599169416514</v>
      </c>
      <c r="C4707" t="s">
        <v>40</v>
      </c>
      <c r="D4707">
        <v>4.7955370000000004</v>
      </c>
      <c r="E4707">
        <v>0.3981943</v>
      </c>
      <c r="F4707" t="s">
        <v>61</v>
      </c>
      <c r="G4707">
        <v>-421.27409999999998</v>
      </c>
      <c r="H4707" s="1">
        <v>-8.3228930000000004E-6</v>
      </c>
      <c r="I4707">
        <v>135.52850000000001</v>
      </c>
      <c r="J4707">
        <v>-406.70830000000001</v>
      </c>
      <c r="K4707">
        <v>1.123489</v>
      </c>
      <c r="L4707">
        <v>141.23009999999999</v>
      </c>
      <c r="M4707">
        <v>-0.99854010000000004</v>
      </c>
      <c r="N4707">
        <v>-1.396564E-2</v>
      </c>
      <c r="O4707">
        <v>-5.2178799999999997E-2</v>
      </c>
      <c r="P4707">
        <v>-0.98754109999999995</v>
      </c>
      <c r="Q4707">
        <v>-0.1063114</v>
      </c>
      <c r="R4707">
        <v>-0.1160197</v>
      </c>
      <c r="S4707">
        <v>-2.893005</v>
      </c>
      <c r="T4707">
        <v>-0.21903719999999999</v>
      </c>
      <c r="U4707">
        <v>-1.1151580000000001</v>
      </c>
      <c r="V4707">
        <v>-6.3780149999999994E-2</v>
      </c>
      <c r="W4707">
        <v>-9.2822249999999995E-2</v>
      </c>
      <c r="X4707">
        <v>0.99363780000000002</v>
      </c>
      <c r="Y4707">
        <v>-0.30964809999999998</v>
      </c>
      <c r="Z4707">
        <v>-1.044864E-2</v>
      </c>
      <c r="AA4707">
        <v>0.95079380000000002</v>
      </c>
      <c r="AB4707">
        <v>25</v>
      </c>
      <c r="AC4707">
        <v>-14.5657999999999</v>
      </c>
      <c r="AD4707">
        <v>-1.1234973228930001</v>
      </c>
      <c r="AE4707">
        <v>-5.7015999999999796</v>
      </c>
      <c r="AF4707">
        <v>-4.9084091572008202</v>
      </c>
      <c r="AG4707">
        <v>-1.1234973228930001</v>
      </c>
      <c r="AH4707">
        <v>14.7673017638821</v>
      </c>
      <c r="AI4707">
        <v>94.129386303809298</v>
      </c>
      <c r="AJ4707">
        <v>108.385961556467</v>
      </c>
      <c r="AK4707">
        <v>15.602177029972401</v>
      </c>
      <c r="AL4707">
        <v>95.325990138232001</v>
      </c>
      <c r="AM4707">
        <v>93.672693370287405</v>
      </c>
      <c r="AN4707">
        <v>0.99999997760896198</v>
      </c>
    </row>
    <row r="4708" spans="1:40" x14ac:dyDescent="0.25">
      <c r="A4708" t="str">
        <f>"20190303154609442"</f>
        <v>20190303154609442</v>
      </c>
      <c r="B4708" t="str">
        <f>"1551599169436033"</f>
        <v>1551599169436033</v>
      </c>
      <c r="C4708" t="s">
        <v>40</v>
      </c>
      <c r="D4708">
        <v>4.7909439999999996</v>
      </c>
      <c r="E4708">
        <v>0.39797379999999999</v>
      </c>
      <c r="F4708" t="s">
        <v>61</v>
      </c>
      <c r="G4708">
        <v>-421.9006</v>
      </c>
      <c r="H4708" s="1">
        <v>-8.2552509999999997E-6</v>
      </c>
      <c r="I4708">
        <v>135.14160000000001</v>
      </c>
      <c r="J4708">
        <v>-406.94099999999997</v>
      </c>
      <c r="K4708">
        <v>1.123659</v>
      </c>
      <c r="L4708">
        <v>141.214</v>
      </c>
      <c r="M4708">
        <v>-0.99834820000000002</v>
      </c>
      <c r="N4708">
        <v>-1.3974439999999999E-2</v>
      </c>
      <c r="O4708">
        <v>-5.572887E-2</v>
      </c>
      <c r="P4708">
        <v>-0.98636789999999996</v>
      </c>
      <c r="Q4708">
        <v>-0.1043177</v>
      </c>
      <c r="R4708">
        <v>-0.12726580000000001</v>
      </c>
      <c r="S4708">
        <v>-2.8793639999999998</v>
      </c>
      <c r="T4708">
        <v>-0.21293390000000001</v>
      </c>
      <c r="U4708">
        <v>-1.1539459999999999</v>
      </c>
      <c r="V4708">
        <v>-7.1521929999999997E-2</v>
      </c>
      <c r="W4708">
        <v>-9.0898569999999998E-2</v>
      </c>
      <c r="X4708">
        <v>0.99328850000000002</v>
      </c>
      <c r="Y4708">
        <v>-0.31886880000000001</v>
      </c>
      <c r="Z4708">
        <v>-1.0452700000000001E-2</v>
      </c>
      <c r="AA4708">
        <v>0.94774119999999995</v>
      </c>
      <c r="AB4708">
        <v>25</v>
      </c>
      <c r="AC4708">
        <v>-14.9596</v>
      </c>
      <c r="AD4708">
        <v>-1.1236672552510001</v>
      </c>
      <c r="AE4708">
        <v>-6.0723999999999796</v>
      </c>
      <c r="AF4708">
        <v>-5.2039907109024703</v>
      </c>
      <c r="AG4708">
        <v>-1.1236672552510001</v>
      </c>
      <c r="AH4708">
        <v>15.2011555065494</v>
      </c>
      <c r="AI4708">
        <v>94.000480532294603</v>
      </c>
      <c r="AJ4708">
        <v>108.89821833427899</v>
      </c>
      <c r="AK4708">
        <v>16.1064979481568</v>
      </c>
      <c r="AL4708">
        <v>95.215303310972899</v>
      </c>
      <c r="AM4708">
        <v>94.118485697938695</v>
      </c>
      <c r="AN4708">
        <v>0.99999999036560905</v>
      </c>
    </row>
    <row r="4709" spans="1:40" x14ac:dyDescent="0.25">
      <c r="A4709" t="str">
        <f>"20190303154609487"</f>
        <v>20190303154609487</v>
      </c>
      <c r="B4709" t="str">
        <f>"1551599169476050"</f>
        <v>1551599169476050</v>
      </c>
      <c r="C4709" t="s">
        <v>40</v>
      </c>
      <c r="D4709">
        <v>4.8559679999999998</v>
      </c>
      <c r="E4709">
        <v>0.39807369999999997</v>
      </c>
      <c r="F4709" t="s">
        <v>61</v>
      </c>
      <c r="G4709">
        <v>-422.48110000000003</v>
      </c>
      <c r="H4709" s="1">
        <v>-8.1867219999999992E-6</v>
      </c>
      <c r="I4709">
        <v>134.76859999999999</v>
      </c>
      <c r="J4709">
        <v>-407.42669999999998</v>
      </c>
      <c r="K4709">
        <v>1.1239539999999999</v>
      </c>
      <c r="L4709">
        <v>141.17679999999999</v>
      </c>
      <c r="M4709">
        <v>-0.99786410000000003</v>
      </c>
      <c r="N4709">
        <v>-1.399449E-2</v>
      </c>
      <c r="O4709">
        <v>-6.3808249999999997E-2</v>
      </c>
      <c r="P4709">
        <v>-0.98307069999999996</v>
      </c>
      <c r="Q4709">
        <v>-0.1098296</v>
      </c>
      <c r="R4709">
        <v>-0.1466604</v>
      </c>
      <c r="S4709">
        <v>-2.8661799999999999</v>
      </c>
      <c r="T4709">
        <v>-0.20724670000000001</v>
      </c>
      <c r="U4709">
        <v>-1.188766</v>
      </c>
      <c r="V4709">
        <v>-8.2947370000000006E-2</v>
      </c>
      <c r="W4709">
        <v>-9.6546430000000003E-2</v>
      </c>
      <c r="X4709">
        <v>0.99186620000000003</v>
      </c>
      <c r="Y4709">
        <v>-0.32260420000000001</v>
      </c>
      <c r="Z4709">
        <v>-9.9886060000000006E-3</v>
      </c>
      <c r="AA4709">
        <v>0.94648129999999997</v>
      </c>
      <c r="AB4709">
        <v>25</v>
      </c>
      <c r="AC4709">
        <v>-15.054399999999999</v>
      </c>
      <c r="AD4709">
        <v>-1.123962186722</v>
      </c>
      <c r="AE4709">
        <v>-6.4081999999999901</v>
      </c>
      <c r="AF4709">
        <v>-5.4089247025659102</v>
      </c>
      <c r="AG4709">
        <v>-1.123962186722</v>
      </c>
      <c r="AH4709">
        <v>15.3601663700607</v>
      </c>
      <c r="AI4709">
        <v>93.948267787398805</v>
      </c>
      <c r="AJ4709">
        <v>109.399191078713</v>
      </c>
      <c r="AK4709">
        <v>16.323433105543501</v>
      </c>
      <c r="AL4709">
        <v>95.540332805354794</v>
      </c>
      <c r="AM4709">
        <v>94.780384105667807</v>
      </c>
      <c r="AN4709">
        <v>1.0000000190190499</v>
      </c>
    </row>
    <row r="4710" spans="1:40" x14ac:dyDescent="0.25">
      <c r="A4710" t="str">
        <f>"20190303154609510"</f>
        <v>20190303154609510</v>
      </c>
      <c r="B4710" t="str">
        <f>"1551599169506306"</f>
        <v>1551599169506306</v>
      </c>
      <c r="C4710" t="s">
        <v>40</v>
      </c>
      <c r="D4710">
        <v>4.8471089999999997</v>
      </c>
      <c r="E4710">
        <v>0.39842080000000002</v>
      </c>
      <c r="F4710" t="s">
        <v>61</v>
      </c>
      <c r="G4710">
        <v>-421.34879999999998</v>
      </c>
      <c r="H4710" s="1">
        <v>-8.1489389999999992E-6</v>
      </c>
      <c r="I4710">
        <v>135.07509999999999</v>
      </c>
      <c r="J4710">
        <v>-407.68189999999998</v>
      </c>
      <c r="K4710">
        <v>1.124117</v>
      </c>
      <c r="L4710">
        <v>141.15520000000001</v>
      </c>
      <c r="M4710">
        <v>-0.99755539999999998</v>
      </c>
      <c r="N4710">
        <v>-1.400672E-2</v>
      </c>
      <c r="O4710">
        <v>-6.846323E-2</v>
      </c>
      <c r="P4710">
        <v>-0.98101459999999996</v>
      </c>
      <c r="Q4710">
        <v>-0.1132423</v>
      </c>
      <c r="R4710">
        <v>-0.15743699999999999</v>
      </c>
      <c r="S4710">
        <v>-2.840363</v>
      </c>
      <c r="T4710">
        <v>-0.2293087</v>
      </c>
      <c r="U4710">
        <v>-1.244858</v>
      </c>
      <c r="V4710">
        <v>-8.9152640000000005E-2</v>
      </c>
      <c r="W4710">
        <v>-0.1000405</v>
      </c>
      <c r="X4710">
        <v>0.99098120000000001</v>
      </c>
      <c r="Y4710">
        <v>-0.33679039999999999</v>
      </c>
      <c r="Z4710">
        <v>-1.111065E-2</v>
      </c>
      <c r="AA4710">
        <v>0.94151410000000002</v>
      </c>
      <c r="AB4710">
        <v>25</v>
      </c>
      <c r="AC4710">
        <v>-13.666899999999901</v>
      </c>
      <c r="AD4710">
        <v>-1.1241251489390001</v>
      </c>
      <c r="AE4710">
        <v>-6.0801000000000096</v>
      </c>
      <c r="AF4710">
        <v>-5.1012495208614803</v>
      </c>
      <c r="AG4710">
        <v>-1.1241251489390001</v>
      </c>
      <c r="AH4710">
        <v>13.9722210116061</v>
      </c>
      <c r="AI4710">
        <v>94.321903615062197</v>
      </c>
      <c r="AJ4710">
        <v>110.057107689002</v>
      </c>
      <c r="AK4710">
        <v>14.916747769595499</v>
      </c>
      <c r="AL4710">
        <v>95.741502554435002</v>
      </c>
      <c r="AM4710">
        <v>95.140718896460598</v>
      </c>
      <c r="AN4710">
        <v>1.0000000168063199</v>
      </c>
    </row>
    <row r="4711" spans="1:40" x14ac:dyDescent="0.25">
      <c r="A4711" t="str">
        <f>"20190303154609533"</f>
        <v>20190303154609533</v>
      </c>
      <c r="B4711" t="str">
        <f>"1551599169525825"</f>
        <v>1551599169525825</v>
      </c>
      <c r="C4711" t="s">
        <v>40</v>
      </c>
      <c r="D4711">
        <v>4.8812379999999997</v>
      </c>
      <c r="E4711">
        <v>0.40919519999999998</v>
      </c>
      <c r="F4711" t="s">
        <v>61</v>
      </c>
      <c r="G4711">
        <v>-420.738</v>
      </c>
      <c r="H4711" s="1">
        <v>-8.1407809999999997E-6</v>
      </c>
      <c r="I4711">
        <v>135.2704</v>
      </c>
      <c r="J4711">
        <v>-407.94260000000003</v>
      </c>
      <c r="K4711">
        <v>1.124304</v>
      </c>
      <c r="L4711">
        <v>141.13159999999999</v>
      </c>
      <c r="M4711">
        <v>-0.99719389999999997</v>
      </c>
      <c r="N4711">
        <v>-1.402174E-2</v>
      </c>
      <c r="O4711">
        <v>-7.3540049999999996E-2</v>
      </c>
      <c r="P4711">
        <v>-0.97905019999999998</v>
      </c>
      <c r="Q4711">
        <v>-0.1135087</v>
      </c>
      <c r="R4711">
        <v>-0.1690469</v>
      </c>
      <c r="S4711">
        <v>-2.8255620000000001</v>
      </c>
      <c r="T4711">
        <v>-0.24328040000000001</v>
      </c>
      <c r="U4711">
        <v>-1.2735749999999999</v>
      </c>
      <c r="V4711">
        <v>-9.5788159999999997E-2</v>
      </c>
      <c r="W4711">
        <v>-0.1003961</v>
      </c>
      <c r="X4711">
        <v>0.99032580000000003</v>
      </c>
      <c r="Y4711">
        <v>-0.34167249999999999</v>
      </c>
      <c r="Z4711">
        <v>-1.150282E-2</v>
      </c>
      <c r="AA4711">
        <v>0.93974869999999999</v>
      </c>
      <c r="AB4711">
        <v>25</v>
      </c>
      <c r="AC4711">
        <v>-12.795400000000001</v>
      </c>
      <c r="AD4711">
        <v>-1.1243121407809999</v>
      </c>
      <c r="AE4711">
        <v>-5.8611999999999904</v>
      </c>
      <c r="AF4711">
        <v>-4.8731601742349602</v>
      </c>
      <c r="AG4711">
        <v>-1.1243121407809999</v>
      </c>
      <c r="AH4711">
        <v>13.1081683637306</v>
      </c>
      <c r="AI4711">
        <v>94.596458835846605</v>
      </c>
      <c r="AJ4711">
        <v>110.393379930902</v>
      </c>
      <c r="AK4711">
        <v>14.029819875022101</v>
      </c>
      <c r="AL4711">
        <v>95.761980302339396</v>
      </c>
      <c r="AM4711">
        <v>95.524684484188896</v>
      </c>
      <c r="AN4711">
        <v>0.99999996931851698</v>
      </c>
    </row>
    <row r="4712" spans="1:40" x14ac:dyDescent="0.25">
      <c r="A4712" t="str">
        <f>"20190303154609553"</f>
        <v>20190303154609553</v>
      </c>
      <c r="B4712" t="str">
        <f>"1551599169546321"</f>
        <v>1551599169546321</v>
      </c>
      <c r="C4712" t="s">
        <v>40</v>
      </c>
      <c r="D4712">
        <v>4.8754460000000002</v>
      </c>
      <c r="E4712">
        <v>0.41035319999999997</v>
      </c>
      <c r="F4712" t="s">
        <v>61</v>
      </c>
      <c r="G4712">
        <v>-420.93869999999998</v>
      </c>
      <c r="H4712" s="1">
        <v>-8.2660690000000006E-6</v>
      </c>
      <c r="I4712">
        <v>135.50729999999999</v>
      </c>
      <c r="J4712">
        <v>-408.16359999999997</v>
      </c>
      <c r="K4712">
        <v>1.1245339999999999</v>
      </c>
      <c r="L4712">
        <v>141.11019999999999</v>
      </c>
      <c r="M4712">
        <v>-0.996838</v>
      </c>
      <c r="N4712">
        <v>-1.4038800000000001E-2</v>
      </c>
      <c r="O4712">
        <v>-7.8211340000000004E-2</v>
      </c>
      <c r="P4712">
        <v>-0.97698070000000004</v>
      </c>
      <c r="Q4712">
        <v>-0.1124713</v>
      </c>
      <c r="R4712">
        <v>-0.18127099999999999</v>
      </c>
      <c r="S4712">
        <v>-2.8247990000000001</v>
      </c>
      <c r="T4712">
        <v>-0.24437890000000001</v>
      </c>
      <c r="U4712">
        <v>-1.222504</v>
      </c>
      <c r="V4712">
        <v>-0.1034577</v>
      </c>
      <c r="W4712">
        <v>-9.9468349999999997E-2</v>
      </c>
      <c r="X4712">
        <v>0.98964770000000002</v>
      </c>
      <c r="Y4712">
        <v>-0.32314720000000002</v>
      </c>
      <c r="Z4712">
        <v>-1.034705E-2</v>
      </c>
      <c r="AA4712">
        <v>0.94629209999999997</v>
      </c>
      <c r="AB4712">
        <v>25</v>
      </c>
      <c r="AC4712">
        <v>-12.7751</v>
      </c>
      <c r="AD4712">
        <v>-1.1245422660690001</v>
      </c>
      <c r="AE4712">
        <v>-5.6029</v>
      </c>
      <c r="AF4712">
        <v>-4.5568645595128201</v>
      </c>
      <c r="AG4712">
        <v>-1.1245422660690001</v>
      </c>
      <c r="AH4712">
        <v>13.089152207299</v>
      </c>
      <c r="AI4712">
        <v>94.638682762119004</v>
      </c>
      <c r="AJ4712">
        <v>109.195078972216</v>
      </c>
      <c r="AK4712">
        <v>13.905233382714499</v>
      </c>
      <c r="AL4712">
        <v>95.708556485362806</v>
      </c>
      <c r="AM4712">
        <v>95.968019012967304</v>
      </c>
      <c r="AN4712">
        <v>1.00000000922815</v>
      </c>
    </row>
    <row r="4713" spans="1:40" x14ac:dyDescent="0.25">
      <c r="A4713" t="str">
        <f>"20190303154609575"</f>
        <v>20190303154609575</v>
      </c>
      <c r="B4713" t="str">
        <f>"1551599169565841"</f>
        <v>1551599169565841</v>
      </c>
      <c r="C4713" t="s">
        <v>40</v>
      </c>
      <c r="D4713">
        <v>4.9101309999999998</v>
      </c>
      <c r="E4713">
        <v>0.41198469999999998</v>
      </c>
      <c r="F4713" t="s">
        <v>61</v>
      </c>
      <c r="G4713">
        <v>-420.8974</v>
      </c>
      <c r="H4713" s="1">
        <v>-8.237902E-6</v>
      </c>
      <c r="I4713">
        <v>135.45269999999999</v>
      </c>
      <c r="J4713">
        <v>-408.40350000000001</v>
      </c>
      <c r="K4713">
        <v>1.124881</v>
      </c>
      <c r="L4713">
        <v>141.08539999999999</v>
      </c>
      <c r="M4713">
        <v>-0.99638899999999997</v>
      </c>
      <c r="N4713">
        <v>-1.4065899999999999E-2</v>
      </c>
      <c r="O4713">
        <v>-8.37315E-2</v>
      </c>
      <c r="P4713">
        <v>-0.97499480000000005</v>
      </c>
      <c r="Q4713">
        <v>-0.10452839999999999</v>
      </c>
      <c r="R4713">
        <v>-0.1961097</v>
      </c>
      <c r="S4713">
        <v>-2.810425</v>
      </c>
      <c r="T4713">
        <v>-0.24819350000000001</v>
      </c>
      <c r="U4713">
        <v>-1.2486569999999999</v>
      </c>
      <c r="V4713">
        <v>-0.1129338</v>
      </c>
      <c r="W4713">
        <v>-9.1667719999999994E-2</v>
      </c>
      <c r="X4713">
        <v>0.98936489999999999</v>
      </c>
      <c r="Y4713">
        <v>-0.32701210000000003</v>
      </c>
      <c r="Z4713">
        <v>-1.0291379999999999E-2</v>
      </c>
      <c r="AA4713">
        <v>0.94496409999999997</v>
      </c>
      <c r="AB4713">
        <v>25</v>
      </c>
      <c r="AC4713">
        <v>-12.493899999999901</v>
      </c>
      <c r="AD4713">
        <v>-1.1248892379019999</v>
      </c>
      <c r="AE4713">
        <v>-5.6326999999999998</v>
      </c>
      <c r="AF4713">
        <v>-4.5361196151240302</v>
      </c>
      <c r="AG4713">
        <v>-1.1248892379019999</v>
      </c>
      <c r="AH4713">
        <v>12.8352273232837</v>
      </c>
      <c r="AI4713">
        <v>94.723743959542503</v>
      </c>
      <c r="AJ4713">
        <v>109.464004494798</v>
      </c>
      <c r="AK4713">
        <v>13.6596053164295</v>
      </c>
      <c r="AL4713">
        <v>95.259557283634607</v>
      </c>
      <c r="AM4713">
        <v>96.512000073569794</v>
      </c>
      <c r="AN4713">
        <v>0.999999959712223</v>
      </c>
    </row>
    <row r="4714" spans="1:40" x14ac:dyDescent="0.25">
      <c r="A4714" t="str">
        <f>"20190303154609599"</f>
        <v>20190303154609599</v>
      </c>
      <c r="B4714" t="str">
        <f>"1551599169596097"</f>
        <v>1551599169596097</v>
      </c>
      <c r="C4714" t="s">
        <v>40</v>
      </c>
      <c r="D4714">
        <v>4.7992460000000001</v>
      </c>
      <c r="E4714">
        <v>0.41341800000000001</v>
      </c>
      <c r="F4714" t="s">
        <v>61</v>
      </c>
      <c r="G4714">
        <v>-422.96719999999999</v>
      </c>
      <c r="H4714" s="1">
        <v>-8.1184949999999999E-6</v>
      </c>
      <c r="I4714">
        <v>134.4297</v>
      </c>
      <c r="J4714">
        <v>-408.6628</v>
      </c>
      <c r="K4714">
        <v>1.125356</v>
      </c>
      <c r="L4714">
        <v>141.0564</v>
      </c>
      <c r="M4714">
        <v>-0.99581699999999995</v>
      </c>
      <c r="N4714">
        <v>-1.410642E-2</v>
      </c>
      <c r="O4714">
        <v>-9.0274900000000005E-2</v>
      </c>
      <c r="P4714">
        <v>-0.97231809999999996</v>
      </c>
      <c r="Q4714">
        <v>-9.2632190000000003E-2</v>
      </c>
      <c r="R4714">
        <v>-0.21451619999999999</v>
      </c>
      <c r="S4714">
        <v>-2.7967219999999999</v>
      </c>
      <c r="T4714">
        <v>-0.21601699999999999</v>
      </c>
      <c r="U4714">
        <v>-1.2781070000000001</v>
      </c>
      <c r="V4714">
        <v>-0.1250453</v>
      </c>
      <c r="W4714">
        <v>-7.9970869999999999E-2</v>
      </c>
      <c r="X4714">
        <v>0.98892279999999999</v>
      </c>
      <c r="Y4714">
        <v>-0.33100600000000002</v>
      </c>
      <c r="Z4714">
        <v>-9.2358160000000009E-3</v>
      </c>
      <c r="AA4714">
        <v>0.94358350000000002</v>
      </c>
      <c r="AB4714">
        <v>25</v>
      </c>
      <c r="AC4714">
        <v>-14.3043999999999</v>
      </c>
      <c r="AD4714">
        <v>-1.1253641184950001</v>
      </c>
      <c r="AE4714">
        <v>-6.6266999999999996</v>
      </c>
      <c r="AF4714">
        <v>-5.2812681989286299</v>
      </c>
      <c r="AG4714">
        <v>-1.1253641184950001</v>
      </c>
      <c r="AH4714">
        <v>14.769006718349299</v>
      </c>
      <c r="AI4714">
        <v>94.1038457012192</v>
      </c>
      <c r="AJ4714">
        <v>109.676607766443</v>
      </c>
      <c r="AK4714">
        <v>15.7251962669741</v>
      </c>
      <c r="AL4714">
        <v>94.586891410628795</v>
      </c>
      <c r="AM4714">
        <v>97.206575019132799</v>
      </c>
      <c r="AN4714">
        <v>0.99999998573024296</v>
      </c>
    </row>
    <row r="4715" spans="1:40" x14ac:dyDescent="0.25">
      <c r="A4715" t="str">
        <f>"20190303154609625"</f>
        <v>20190303154609625</v>
      </c>
      <c r="B4715" t="str">
        <f>"1551599169616594"</f>
        <v>1551599169616594</v>
      </c>
      <c r="C4715" t="s">
        <v>40</v>
      </c>
      <c r="D4715">
        <v>4.7706210000000002</v>
      </c>
      <c r="E4715">
        <v>0.39071230000000001</v>
      </c>
      <c r="F4715" t="s">
        <v>61</v>
      </c>
      <c r="G4715">
        <v>-426.67149999999998</v>
      </c>
      <c r="H4715" s="1">
        <v>-7.9159209999999905E-6</v>
      </c>
      <c r="I4715">
        <v>132.50819999999999</v>
      </c>
      <c r="J4715">
        <v>-408.93700000000001</v>
      </c>
      <c r="K4715">
        <v>1.125893</v>
      </c>
      <c r="L4715">
        <v>141.02289999999999</v>
      </c>
      <c r="M4715">
        <v>-0.99508859999999999</v>
      </c>
      <c r="N4715">
        <v>-1.4160789999999999E-2</v>
      </c>
      <c r="O4715">
        <v>-9.797198E-2</v>
      </c>
      <c r="P4715">
        <v>-0.9685975</v>
      </c>
      <c r="Q4715">
        <v>-8.1405160000000004E-2</v>
      </c>
      <c r="R4715">
        <v>-0.23493059999999999</v>
      </c>
      <c r="S4715">
        <v>-2.7779850000000001</v>
      </c>
      <c r="T4715">
        <v>-0.17359639999999901</v>
      </c>
      <c r="U4715">
        <v>-1.318619</v>
      </c>
      <c r="V4715">
        <v>-0.13812070000000001</v>
      </c>
      <c r="W4715">
        <v>-6.8993899999999997E-2</v>
      </c>
      <c r="X4715">
        <v>0.98800940000000004</v>
      </c>
      <c r="Y4715">
        <v>-0.33764850000000002</v>
      </c>
      <c r="Z4715">
        <v>-8.0784759999999994E-3</v>
      </c>
      <c r="AA4715">
        <v>0.94123760000000001</v>
      </c>
      <c r="AB4715">
        <v>25</v>
      </c>
      <c r="AC4715">
        <v>-17.734500000000001</v>
      </c>
      <c r="AD4715">
        <v>-1.1259009159209901</v>
      </c>
      <c r="AE4715">
        <v>-8.5146999999999995</v>
      </c>
      <c r="AF4715">
        <v>-6.7140791877766697</v>
      </c>
      <c r="AG4715">
        <v>-1.1259009159209901</v>
      </c>
      <c r="AH4715">
        <v>18.423106241854299</v>
      </c>
      <c r="AI4715">
        <v>93.286274543622099</v>
      </c>
      <c r="AJ4715">
        <v>110.023660112512</v>
      </c>
      <c r="AK4715">
        <v>19.640706601618501</v>
      </c>
      <c r="AL4715">
        <v>93.956202097300505</v>
      </c>
      <c r="AM4715">
        <v>97.958199770215501</v>
      </c>
      <c r="AN4715">
        <v>1.00000003024702</v>
      </c>
    </row>
    <row r="4716" spans="1:40" x14ac:dyDescent="0.25">
      <c r="A4716" t="str">
        <f>"20190303154609644"</f>
        <v>20190303154609644</v>
      </c>
      <c r="B4716" t="str">
        <f>"1551599169636114"</f>
        <v>1551599169636114</v>
      </c>
      <c r="C4716" t="s">
        <v>40</v>
      </c>
      <c r="D4716">
        <v>4.698207</v>
      </c>
      <c r="E4716">
        <v>0.33198650000000002</v>
      </c>
      <c r="F4716" t="s">
        <v>42</v>
      </c>
      <c r="G4716">
        <v>-409.88650000000001</v>
      </c>
      <c r="H4716">
        <v>1.064548</v>
      </c>
      <c r="I4716">
        <v>140.47829999999999</v>
      </c>
      <c r="J4716">
        <v>-409.16149999999999</v>
      </c>
      <c r="K4716">
        <v>1.126312</v>
      </c>
      <c r="L4716">
        <v>140.9932</v>
      </c>
      <c r="M4716">
        <v>-0.99438289999999996</v>
      </c>
      <c r="N4716">
        <v>-1.421156E-2</v>
      </c>
      <c r="O4716">
        <v>-0.1048848</v>
      </c>
      <c r="P4716">
        <v>-0.96466160000000001</v>
      </c>
      <c r="Q4716">
        <v>-7.56526E-2</v>
      </c>
      <c r="R4716">
        <v>-0.25239859999999997</v>
      </c>
      <c r="S4716">
        <v>-2.7060849999999999</v>
      </c>
      <c r="T4716">
        <v>-0.17485249999999999</v>
      </c>
      <c r="U4716">
        <v>-1.5522</v>
      </c>
      <c r="V4716">
        <v>-0.14904729999999999</v>
      </c>
      <c r="W4716">
        <v>-6.3474879999999997E-2</v>
      </c>
      <c r="X4716">
        <v>0.98679070000000002</v>
      </c>
      <c r="Y4716">
        <v>-0.4031209</v>
      </c>
      <c r="Z4716">
        <v>-1.03184E-2</v>
      </c>
      <c r="AA4716">
        <v>0.91508860000000003</v>
      </c>
      <c r="AB4716">
        <v>25</v>
      </c>
      <c r="AC4716">
        <v>-0.72500000000002196</v>
      </c>
      <c r="AD4716">
        <v>-6.1763999999999902E-2</v>
      </c>
      <c r="AE4716">
        <v>-0.51490000000001102</v>
      </c>
      <c r="AF4716">
        <v>-0.43391693625553002</v>
      </c>
      <c r="AG4716">
        <v>-6.1763999999999902E-2</v>
      </c>
      <c r="AH4716">
        <v>0.77129007318695297</v>
      </c>
      <c r="AI4716">
        <v>93.992323578533203</v>
      </c>
      <c r="AJ4716">
        <v>119.36149306878499</v>
      </c>
      <c r="AK4716">
        <v>0.88712292060464804</v>
      </c>
      <c r="AL4716">
        <v>93.639289264593401</v>
      </c>
      <c r="AM4716">
        <v>98.589171189173598</v>
      </c>
      <c r="AN4716">
        <v>1.0000000218173899</v>
      </c>
    </row>
    <row r="4717" spans="1:40" x14ac:dyDescent="0.25">
      <c r="A4717" t="str">
        <f>"20190303154609664"</f>
        <v>20190303154609664</v>
      </c>
      <c r="B4717" t="str">
        <f>"1551599169656610"</f>
        <v>1551599169656610</v>
      </c>
      <c r="C4717" t="s">
        <v>40</v>
      </c>
      <c r="D4717">
        <v>4.6896300000000002</v>
      </c>
      <c r="E4717">
        <v>0.32630100000000001</v>
      </c>
      <c r="F4717" t="s">
        <v>42</v>
      </c>
      <c r="G4717">
        <v>-409.9744</v>
      </c>
      <c r="H4717">
        <v>1.033609</v>
      </c>
      <c r="I4717">
        <v>140.33869999999999</v>
      </c>
      <c r="J4717">
        <v>-409.37270000000001</v>
      </c>
      <c r="K4717">
        <v>1.126668</v>
      </c>
      <c r="L4717">
        <v>140.9633</v>
      </c>
      <c r="M4717">
        <v>-0.9936239</v>
      </c>
      <c r="N4717">
        <v>-1.426257E-2</v>
      </c>
      <c r="O4717">
        <v>-0.1118408</v>
      </c>
      <c r="P4717">
        <v>-0.96096250000000005</v>
      </c>
      <c r="Q4717">
        <v>-7.3059479999999996E-2</v>
      </c>
      <c r="R4717">
        <v>-0.2668585</v>
      </c>
      <c r="S4717">
        <v>-2.5498660000000002</v>
      </c>
      <c r="T4717">
        <v>-0.29079080000000002</v>
      </c>
      <c r="U4717">
        <v>-2.053223</v>
      </c>
      <c r="V4717">
        <v>-0.15690899999999999</v>
      </c>
      <c r="W4717">
        <v>-6.1073849999999999E-2</v>
      </c>
      <c r="X4717">
        <v>0.98572280000000001</v>
      </c>
      <c r="Y4717">
        <v>-0.53400419999999904</v>
      </c>
      <c r="Z4717">
        <v>-2.129122E-2</v>
      </c>
      <c r="AA4717">
        <v>0.84521380000000002</v>
      </c>
      <c r="AB4717">
        <v>25</v>
      </c>
      <c r="AC4717">
        <v>-0.60169999999999302</v>
      </c>
      <c r="AD4717">
        <v>-9.3059000000000003E-2</v>
      </c>
      <c r="AE4717">
        <v>-0.62460000000001503</v>
      </c>
      <c r="AF4717">
        <v>-0.54708036915448599</v>
      </c>
      <c r="AG4717">
        <v>-9.3059000000000003E-2</v>
      </c>
      <c r="AH4717">
        <v>0.66018615125354696</v>
      </c>
      <c r="AI4717">
        <v>96.194389464158206</v>
      </c>
      <c r="AJ4717">
        <v>129.64772476616801</v>
      </c>
      <c r="AK4717">
        <v>0.86243994695409398</v>
      </c>
      <c r="AL4717">
        <v>93.501453090440407</v>
      </c>
      <c r="AM4717">
        <v>99.044554498047503</v>
      </c>
      <c r="AN4717">
        <v>0.99999994393732905</v>
      </c>
    </row>
    <row r="4718" spans="1:40" x14ac:dyDescent="0.25">
      <c r="A4718" t="str">
        <f>"20190303154609687"</f>
        <v>20190303154609687</v>
      </c>
      <c r="B4718" t="str">
        <f>"1551599169666370"</f>
        <v>1551599169666370</v>
      </c>
      <c r="C4718" t="s">
        <v>40</v>
      </c>
      <c r="D4718">
        <v>4.6841030000000003</v>
      </c>
      <c r="E4718">
        <v>0.2745609</v>
      </c>
      <c r="F4718" t="s">
        <v>42</v>
      </c>
      <c r="G4718">
        <v>-410.17720000000003</v>
      </c>
      <c r="H4718">
        <v>1.0296829999999999</v>
      </c>
      <c r="I4718">
        <v>140.2782</v>
      </c>
      <c r="J4718">
        <v>-409.62079999999997</v>
      </c>
      <c r="K4718">
        <v>1.12704</v>
      </c>
      <c r="L4718">
        <v>140.9255</v>
      </c>
      <c r="M4718">
        <v>-0.99259529999999996</v>
      </c>
      <c r="N4718">
        <v>-1.43234E-2</v>
      </c>
      <c r="O4718">
        <v>-0.12062109999999999</v>
      </c>
      <c r="P4718">
        <v>-0.95696400000000004</v>
      </c>
      <c r="Q4718">
        <v>-7.3316889999999996E-2</v>
      </c>
      <c r="R4718">
        <v>-0.28079280000000001</v>
      </c>
      <c r="S4718">
        <v>-2.505951</v>
      </c>
      <c r="T4718">
        <v>-0.302097</v>
      </c>
      <c r="U4718">
        <v>-2.1352389999999999</v>
      </c>
      <c r="V4718">
        <v>-0.16245229999999999</v>
      </c>
      <c r="W4718">
        <v>-6.1505589999999999E-2</v>
      </c>
      <c r="X4718">
        <v>0.98479760000000005</v>
      </c>
      <c r="Y4718">
        <v>-0.54971499999999995</v>
      </c>
      <c r="Z4718">
        <v>-2.218875E-2</v>
      </c>
      <c r="AA4718">
        <v>0.83505759999999996</v>
      </c>
      <c r="AB4718">
        <v>25</v>
      </c>
      <c r="AC4718">
        <v>-0.55640000000005296</v>
      </c>
      <c r="AD4718">
        <v>-9.7357000000000096E-2</v>
      </c>
      <c r="AE4718">
        <v>-0.64730000000000099</v>
      </c>
      <c r="AF4718">
        <v>-0.56806221542194701</v>
      </c>
      <c r="AG4718">
        <v>-9.7357000000000096E-2</v>
      </c>
      <c r="AH4718">
        <v>0.62232661011410495</v>
      </c>
      <c r="AI4718">
        <v>96.590883923485606</v>
      </c>
      <c r="AJ4718">
        <v>132.38995377755899</v>
      </c>
      <c r="AK4718">
        <v>0.84821192852683003</v>
      </c>
      <c r="AL4718">
        <v>93.526236365816203</v>
      </c>
      <c r="AM4718">
        <v>99.367158971187195</v>
      </c>
      <c r="AN4718">
        <v>1.00000000017114</v>
      </c>
    </row>
    <row r="4719" spans="1:40" x14ac:dyDescent="0.25">
      <c r="A4719" t="str">
        <f>"20190303154609710"</f>
        <v>20190303154609710</v>
      </c>
      <c r="B4719" t="str">
        <f>"1551599169706386"</f>
        <v>1551599169706386</v>
      </c>
      <c r="C4719" t="s">
        <v>40</v>
      </c>
      <c r="D4719">
        <v>4.8235650000000003</v>
      </c>
      <c r="E4719">
        <v>0.2759974</v>
      </c>
      <c r="F4719" t="s">
        <v>61</v>
      </c>
      <c r="G4719">
        <v>-416.58609999999999</v>
      </c>
      <c r="H4719" s="1">
        <v>-7.4318169999999902E-6</v>
      </c>
      <c r="I4719">
        <v>133.3244</v>
      </c>
      <c r="J4719">
        <v>-409.85809999999998</v>
      </c>
      <c r="K4719">
        <v>1.1273679999999999</v>
      </c>
      <c r="L4719">
        <v>140.88679999999999</v>
      </c>
      <c r="M4719">
        <v>-0.99146129999999999</v>
      </c>
      <c r="N4719">
        <v>-1.43839E-2</v>
      </c>
      <c r="O4719">
        <v>-0.12960579999999999</v>
      </c>
      <c r="P4719">
        <v>-0.95326140000000004</v>
      </c>
      <c r="Q4719">
        <v>-7.60271E-2</v>
      </c>
      <c r="R4719">
        <v>-0.29242570000000001</v>
      </c>
      <c r="S4719">
        <v>-2.352509</v>
      </c>
      <c r="T4719">
        <v>-0.38065719999999997</v>
      </c>
      <c r="U4719">
        <v>-2.5672609999999998</v>
      </c>
      <c r="V4719">
        <v>-0.1654581</v>
      </c>
      <c r="W4719">
        <v>-6.4348530000000001E-2</v>
      </c>
      <c r="X4719">
        <v>0.98411519999999997</v>
      </c>
      <c r="Y4719">
        <v>-0.63980059999999905</v>
      </c>
      <c r="Z4719">
        <v>-3.2053089999999999E-2</v>
      </c>
      <c r="AA4719">
        <v>0.76787229999999995</v>
      </c>
      <c r="AB4719">
        <v>25</v>
      </c>
      <c r="AC4719">
        <v>-6.7279999999999998</v>
      </c>
      <c r="AD4719">
        <v>-1.127375431817</v>
      </c>
      <c r="AE4719">
        <v>-7.5623999999999896</v>
      </c>
      <c r="AF4719">
        <v>-6.5453289634773801</v>
      </c>
      <c r="AG4719">
        <v>-1.127375431817</v>
      </c>
      <c r="AH4719">
        <v>7.5577195719783097</v>
      </c>
      <c r="AI4719">
        <v>96.433487975955899</v>
      </c>
      <c r="AJ4719">
        <v>130.89405233263699</v>
      </c>
      <c r="AK4719">
        <v>10.061383191841101</v>
      </c>
      <c r="AL4719">
        <v>93.6894486406635</v>
      </c>
      <c r="AM4719">
        <v>99.543812304044906</v>
      </c>
      <c r="AN4719">
        <v>0.99999992151990202</v>
      </c>
    </row>
    <row r="4720" spans="1:40" x14ac:dyDescent="0.25">
      <c r="A4720" t="str">
        <f>"20190303154609731"</f>
        <v>20190303154609731</v>
      </c>
      <c r="B4720" t="str">
        <f>"1551599169725906"</f>
        <v>1551599169725906</v>
      </c>
      <c r="C4720" t="s">
        <v>40</v>
      </c>
      <c r="D4720">
        <v>4.8580379999999996</v>
      </c>
      <c r="E4720">
        <v>0.2836283</v>
      </c>
      <c r="F4720" t="s">
        <v>61</v>
      </c>
      <c r="G4720">
        <v>-416.5138</v>
      </c>
      <c r="H4720" s="1">
        <v>-7.4994639999999998E-6</v>
      </c>
      <c r="I4720">
        <v>133.4802</v>
      </c>
      <c r="J4720">
        <v>-410.09519999999998</v>
      </c>
      <c r="K4720">
        <v>1.127694</v>
      </c>
      <c r="L4720">
        <v>140.84520000000001</v>
      </c>
      <c r="M4720">
        <v>-0.99016559999999998</v>
      </c>
      <c r="N4720">
        <v>-1.44505E-2</v>
      </c>
      <c r="O4720">
        <v>-0.13915269999999999</v>
      </c>
      <c r="P4720">
        <v>-0.94930729999999997</v>
      </c>
      <c r="Q4720">
        <v>-7.8198190000000001E-2</v>
      </c>
      <c r="R4720">
        <v>-0.30446869999999998</v>
      </c>
      <c r="S4720">
        <v>-2.322784</v>
      </c>
      <c r="T4720">
        <v>-0.39344800000000002</v>
      </c>
      <c r="U4720">
        <v>-2.584854</v>
      </c>
      <c r="V4720">
        <v>-0.16836579999999901</v>
      </c>
      <c r="W4720">
        <v>-6.6650299999999996E-2</v>
      </c>
      <c r="X4720">
        <v>0.98346869999999997</v>
      </c>
      <c r="Y4720">
        <v>-0.63968530000000001</v>
      </c>
      <c r="Z4720">
        <v>-3.1963199999999997E-2</v>
      </c>
      <c r="AA4720">
        <v>0.76797199999999999</v>
      </c>
      <c r="AB4720">
        <v>25</v>
      </c>
      <c r="AC4720">
        <v>-6.4186000000000201</v>
      </c>
      <c r="AD4720">
        <v>-1.127701499464</v>
      </c>
      <c r="AE4720">
        <v>-7.3650000000000002</v>
      </c>
      <c r="AF4720">
        <v>-6.31591541158729</v>
      </c>
      <c r="AG4720">
        <v>-1.127701499464</v>
      </c>
      <c r="AH4720">
        <v>7.2840502792094997</v>
      </c>
      <c r="AI4720">
        <v>96.671559098352802</v>
      </c>
      <c r="AJ4720">
        <v>130.92817890959299</v>
      </c>
      <c r="AK4720">
        <v>9.7066928780234605</v>
      </c>
      <c r="AL4720">
        <v>93.821613919113304</v>
      </c>
      <c r="AM4720">
        <v>99.714627023428605</v>
      </c>
      <c r="AN4720">
        <v>0.99999999448971</v>
      </c>
    </row>
    <row r="4721" spans="1:40" x14ac:dyDescent="0.25">
      <c r="A4721" t="str">
        <f>"20190303154609776"</f>
        <v>20190303154609776</v>
      </c>
      <c r="B4721" t="str">
        <f>"1551599169765921"</f>
        <v>1551599169765921</v>
      </c>
      <c r="C4721" t="s">
        <v>40</v>
      </c>
      <c r="D4721">
        <v>4.82836</v>
      </c>
      <c r="E4721">
        <v>0.28787810000000003</v>
      </c>
      <c r="F4721" t="s">
        <v>61</v>
      </c>
      <c r="G4721">
        <v>-416.6105</v>
      </c>
      <c r="H4721" s="1">
        <v>-7.5543409999999902E-6</v>
      </c>
      <c r="I4721">
        <v>133.62870000000001</v>
      </c>
      <c r="J4721">
        <v>-410.56760000000003</v>
      </c>
      <c r="K4721">
        <v>1.128406</v>
      </c>
      <c r="L4721">
        <v>140.7534</v>
      </c>
      <c r="M4721">
        <v>-0.9870314</v>
      </c>
      <c r="N4721">
        <v>-1.4604199999999999E-2</v>
      </c>
      <c r="O4721">
        <v>-0.15986229999999901</v>
      </c>
      <c r="P4721">
        <v>-0.94141640000000004</v>
      </c>
      <c r="Q4721">
        <v>-8.0991439999999998E-2</v>
      </c>
      <c r="R4721">
        <v>-0.32737759999999999</v>
      </c>
      <c r="S4721">
        <v>-2.3075869999999998</v>
      </c>
      <c r="T4721">
        <v>-0.39940819999999999</v>
      </c>
      <c r="U4721">
        <v>-2.5559229999999999</v>
      </c>
      <c r="V4721">
        <v>-0.17146169999999999</v>
      </c>
      <c r="W4721">
        <v>-6.9655750000000002E-2</v>
      </c>
      <c r="X4721">
        <v>0.98272530000000002</v>
      </c>
      <c r="Y4721">
        <v>-0.62177380000000004</v>
      </c>
      <c r="Z4721">
        <v>-2.872125E-2</v>
      </c>
      <c r="AA4721">
        <v>0.78267010000000004</v>
      </c>
      <c r="AB4721">
        <v>25</v>
      </c>
      <c r="AC4721">
        <v>-6.0428999999999702</v>
      </c>
      <c r="AD4721">
        <v>-1.1284135543410001</v>
      </c>
      <c r="AE4721">
        <v>-7.12469999999999</v>
      </c>
      <c r="AF4721">
        <v>-5.9796782704433502</v>
      </c>
      <c r="AG4721">
        <v>-1.1284135543410001</v>
      </c>
      <c r="AH4721">
        <v>7.0021046420531796</v>
      </c>
      <c r="AI4721">
        <v>96.986645986203897</v>
      </c>
      <c r="AJ4721">
        <v>130.49676330751399</v>
      </c>
      <c r="AK4721">
        <v>9.2768172767331993</v>
      </c>
      <c r="AL4721">
        <v>93.994214775984304</v>
      </c>
      <c r="AM4721">
        <v>99.897096249988095</v>
      </c>
      <c r="AN4721">
        <v>1.00000002666752</v>
      </c>
    </row>
    <row r="4722" spans="1:40" x14ac:dyDescent="0.25">
      <c r="A4722" t="str">
        <f>"20190303154609800"</f>
        <v>20190303154609800</v>
      </c>
      <c r="B4722" t="str">
        <f>"1551599169796178"</f>
        <v>1551599169796178</v>
      </c>
      <c r="C4722" t="s">
        <v>40</v>
      </c>
      <c r="D4722">
        <v>4.8263989999999897</v>
      </c>
      <c r="E4722">
        <v>0.29231420000000002</v>
      </c>
      <c r="F4722" t="s">
        <v>61</v>
      </c>
      <c r="G4722">
        <v>-416.68049999999999</v>
      </c>
      <c r="H4722" s="1">
        <v>-7.6050619999999996E-6</v>
      </c>
      <c r="I4722">
        <v>133.76320000000001</v>
      </c>
      <c r="J4722">
        <v>-410.81119999999999</v>
      </c>
      <c r="K4722">
        <v>1.1287799999999999</v>
      </c>
      <c r="L4722">
        <v>140.7011</v>
      </c>
      <c r="M4722">
        <v>-0.98508810000000002</v>
      </c>
      <c r="N4722">
        <v>-1.4692210000000001E-2</v>
      </c>
      <c r="O4722">
        <v>-0.17142249999999901</v>
      </c>
      <c r="P4722">
        <v>-0.93705119999999997</v>
      </c>
      <c r="Q4722">
        <v>-8.1547129999999995E-2</v>
      </c>
      <c r="R4722">
        <v>-0.33953689999999997</v>
      </c>
      <c r="S4722">
        <v>-2.2544249999999999</v>
      </c>
      <c r="T4722">
        <v>-0.41615049999999998</v>
      </c>
      <c r="U4722">
        <v>-2.5779269999999999</v>
      </c>
      <c r="V4722">
        <v>-0.17259569999999999</v>
      </c>
      <c r="W4722">
        <v>-7.0309289999999997E-2</v>
      </c>
      <c r="X4722">
        <v>0.98248020000000003</v>
      </c>
      <c r="Y4722">
        <v>-0.62469379999999997</v>
      </c>
      <c r="Z4722">
        <v>-2.8735790000000001E-2</v>
      </c>
      <c r="AA4722">
        <v>0.7803409</v>
      </c>
      <c r="AB4722">
        <v>25</v>
      </c>
      <c r="AC4722">
        <v>-5.8693000000000097</v>
      </c>
      <c r="AD4722">
        <v>-1.1287876050619901</v>
      </c>
      <c r="AE4722">
        <v>-6.9378999999999804</v>
      </c>
      <c r="AF4722">
        <v>-5.7403742395176396</v>
      </c>
      <c r="AG4722">
        <v>-1.1287876050619901</v>
      </c>
      <c r="AH4722">
        <v>6.8659089544603003</v>
      </c>
      <c r="AI4722">
        <v>97.188716872673695</v>
      </c>
      <c r="AJ4722">
        <v>129.89795326644401</v>
      </c>
      <c r="AK4722">
        <v>9.0203527446545895</v>
      </c>
      <c r="AL4722">
        <v>94.031751969014607</v>
      </c>
      <c r="AM4722">
        <v>99.963681261343496</v>
      </c>
      <c r="AN4722">
        <v>1.0000000076554101</v>
      </c>
    </row>
    <row r="4723" spans="1:40" x14ac:dyDescent="0.25">
      <c r="A4723" t="str">
        <f>"20190303154609828"</f>
        <v>20190303154609828</v>
      </c>
      <c r="B4723" t="str">
        <f>"1551599169815698"</f>
        <v>1551599169815698</v>
      </c>
      <c r="C4723" t="s">
        <v>40</v>
      </c>
      <c r="D4723">
        <v>4.8462740000000002</v>
      </c>
      <c r="E4723">
        <v>0.2948287</v>
      </c>
      <c r="F4723" t="s">
        <v>42</v>
      </c>
      <c r="G4723">
        <v>-411.41430000000003</v>
      </c>
      <c r="H4723">
        <v>1.0161530000000001</v>
      </c>
      <c r="I4723">
        <v>140.006</v>
      </c>
      <c r="J4723">
        <v>-411.1053</v>
      </c>
      <c r="K4723">
        <v>1.12924</v>
      </c>
      <c r="L4723">
        <v>140.63249999999999</v>
      </c>
      <c r="M4723">
        <v>-0.98238619999999999</v>
      </c>
      <c r="N4723">
        <v>-1.480742E-2</v>
      </c>
      <c r="O4723">
        <v>-0.18627440000000001</v>
      </c>
      <c r="P4723">
        <v>-0.93095470000000002</v>
      </c>
      <c r="Q4723">
        <v>-8.192062E-2</v>
      </c>
      <c r="R4723">
        <v>-0.35582649999999999</v>
      </c>
      <c r="S4723">
        <v>-2.2327270000000001</v>
      </c>
      <c r="T4723">
        <v>-0.41697960000000001</v>
      </c>
      <c r="U4723">
        <v>-2.5735929999999998</v>
      </c>
      <c r="V4723">
        <v>-0.17481759999999999</v>
      </c>
      <c r="W4723">
        <v>-7.0809430000000007E-2</v>
      </c>
      <c r="X4723">
        <v>0.98205129999999996</v>
      </c>
      <c r="Y4723">
        <v>-0.61610379999999998</v>
      </c>
      <c r="Z4723">
        <v>-2.6392579999999999E-2</v>
      </c>
      <c r="AA4723">
        <v>0.78722259999999999</v>
      </c>
      <c r="AB4723">
        <v>24</v>
      </c>
      <c r="AC4723">
        <v>-0.30900000000002498</v>
      </c>
      <c r="AD4723">
        <v>-0.11308699999999899</v>
      </c>
      <c r="AE4723">
        <v>-0.62649999999999295</v>
      </c>
      <c r="AF4723">
        <v>-0.54371800105635903</v>
      </c>
      <c r="AG4723">
        <v>-0.11308699999999899</v>
      </c>
      <c r="AH4723">
        <v>0.409570620763199</v>
      </c>
      <c r="AI4723">
        <v>99.432342487294804</v>
      </c>
      <c r="AJ4723">
        <v>143.010102016129</v>
      </c>
      <c r="AK4723">
        <v>0.69004784445288703</v>
      </c>
      <c r="AL4723">
        <v>94.060479665945806</v>
      </c>
      <c r="AM4723">
        <v>100.093644944627</v>
      </c>
      <c r="AN4723">
        <v>0.99999996223918597</v>
      </c>
    </row>
    <row r="4724" spans="1:40" x14ac:dyDescent="0.25">
      <c r="A4724" t="str">
        <f>"20190303154609851"</f>
        <v>20190303154609851</v>
      </c>
      <c r="B4724" t="str">
        <f>"1551599169845954"</f>
        <v>1551599169845954</v>
      </c>
      <c r="C4724" t="s">
        <v>40</v>
      </c>
      <c r="D4724">
        <v>4.8602780000000001</v>
      </c>
      <c r="E4724">
        <v>0.29752099999999998</v>
      </c>
      <c r="F4724" t="s">
        <v>61</v>
      </c>
      <c r="G4724">
        <v>-416.98630000000003</v>
      </c>
      <c r="H4724" s="1">
        <v>-7.5548469999999901E-6</v>
      </c>
      <c r="I4724">
        <v>133.68350000000001</v>
      </c>
      <c r="J4724">
        <v>-411.34710000000001</v>
      </c>
      <c r="K4724">
        <v>1.129586</v>
      </c>
      <c r="L4724">
        <v>140.5719</v>
      </c>
      <c r="M4724">
        <v>-0.97986070000000003</v>
      </c>
      <c r="N4724">
        <v>-1.4906829999999999E-2</v>
      </c>
      <c r="O4724">
        <v>-0.19912569999999999</v>
      </c>
      <c r="P4724">
        <v>-0.92450639999999995</v>
      </c>
      <c r="Q4724">
        <v>-8.2354609999999995E-2</v>
      </c>
      <c r="R4724">
        <v>-0.37216379999999999</v>
      </c>
      <c r="S4724">
        <v>-2.1943969999999999</v>
      </c>
      <c r="T4724">
        <v>-0.42136000000000001</v>
      </c>
      <c r="U4724">
        <v>-2.5928960000000001</v>
      </c>
      <c r="V4724">
        <v>-0.17918020000000001</v>
      </c>
      <c r="W4724">
        <v>-7.1395829999999993E-2</v>
      </c>
      <c r="X4724">
        <v>0.98122229999999999</v>
      </c>
      <c r="Y4724">
        <v>-0.61543049999999999</v>
      </c>
      <c r="Z4724">
        <v>-2.511014E-2</v>
      </c>
      <c r="AA4724">
        <v>0.78779109999999997</v>
      </c>
      <c r="AB4724">
        <v>24</v>
      </c>
      <c r="AC4724">
        <v>-5.6392000000000104</v>
      </c>
      <c r="AD4724">
        <v>-1.129593554847</v>
      </c>
      <c r="AE4724">
        <v>-6.8883999999999901</v>
      </c>
      <c r="AF4724">
        <v>-5.5382188044879603</v>
      </c>
      <c r="AG4724">
        <v>-1.129593554847</v>
      </c>
      <c r="AH4724">
        <v>6.78875067059783</v>
      </c>
      <c r="AI4724">
        <v>97.346675842896801</v>
      </c>
      <c r="AJ4724">
        <v>129.20734269567299</v>
      </c>
      <c r="AK4724">
        <v>8.8337412681761496</v>
      </c>
      <c r="AL4724">
        <v>94.094162783867702</v>
      </c>
      <c r="AM4724">
        <v>100.34871096611801</v>
      </c>
      <c r="AN4724">
        <v>1.0000000553153501</v>
      </c>
    </row>
    <row r="4725" spans="1:40" x14ac:dyDescent="0.25">
      <c r="A4725" t="str">
        <f>"20190303154609872"</f>
        <v>20190303154609872</v>
      </c>
      <c r="B4725" t="str">
        <f>"1551599169865474"</f>
        <v>1551599169865474</v>
      </c>
      <c r="C4725" t="s">
        <v>40</v>
      </c>
      <c r="D4725">
        <v>4.8635299999999999</v>
      </c>
      <c r="E4725">
        <v>0.31288870000000002</v>
      </c>
      <c r="F4725" t="s">
        <v>61</v>
      </c>
      <c r="G4725">
        <v>-417.07220000000001</v>
      </c>
      <c r="H4725" s="1">
        <v>-7.5319690000000003E-6</v>
      </c>
      <c r="I4725">
        <v>133.6396</v>
      </c>
      <c r="J4725">
        <v>-411.5659</v>
      </c>
      <c r="K4725">
        <v>1.1298649999999999</v>
      </c>
      <c r="L4725">
        <v>140.5137</v>
      </c>
      <c r="M4725">
        <v>-0.97732490000000005</v>
      </c>
      <c r="N4725">
        <v>-1.4996900000000001E-2</v>
      </c>
      <c r="O4725">
        <v>-0.21121329999999999</v>
      </c>
      <c r="P4725">
        <v>-0.91767220000000005</v>
      </c>
      <c r="Q4725">
        <v>-8.3457980000000001E-2</v>
      </c>
      <c r="R4725">
        <v>-0.3884746</v>
      </c>
      <c r="S4725">
        <v>-2.1561279999999998</v>
      </c>
      <c r="T4725">
        <v>-0.42542029999999997</v>
      </c>
      <c r="U4725">
        <v>-2.6108090000000002</v>
      </c>
      <c r="V4725">
        <v>-0.18437480000000001</v>
      </c>
      <c r="W4725">
        <v>-7.2660069999999993E-2</v>
      </c>
      <c r="X4725">
        <v>0.9801666</v>
      </c>
      <c r="Y4725">
        <v>-0.61518260000000002</v>
      </c>
      <c r="Z4725">
        <v>-2.389575E-2</v>
      </c>
      <c r="AA4725">
        <v>0.78802240000000001</v>
      </c>
      <c r="AB4725">
        <v>24</v>
      </c>
      <c r="AC4725">
        <v>-5.5063000000000004</v>
      </c>
      <c r="AD4725">
        <v>-1.1298725319689999</v>
      </c>
      <c r="AE4725">
        <v>-6.8740999999999897</v>
      </c>
      <c r="AF4725">
        <v>-5.46589804765064</v>
      </c>
      <c r="AG4725">
        <v>-1.1298725319689999</v>
      </c>
      <c r="AH4725">
        <v>6.7234661938546596</v>
      </c>
      <c r="AI4725">
        <v>97.429223799638507</v>
      </c>
      <c r="AJ4725">
        <v>129.10967437277299</v>
      </c>
      <c r="AK4725">
        <v>8.7382865062731607</v>
      </c>
      <c r="AL4725">
        <v>94.166787022220504</v>
      </c>
      <c r="AM4725">
        <v>100.653169996164</v>
      </c>
      <c r="AN4725">
        <v>1.0000000582015001</v>
      </c>
    </row>
    <row r="4726" spans="1:40" x14ac:dyDescent="0.25">
      <c r="A4726" t="str">
        <f>"20190303154609889"</f>
        <v>20190303154609889</v>
      </c>
      <c r="B4726" t="str">
        <f>"1551599169885970"</f>
        <v>1551599169885970</v>
      </c>
      <c r="C4726" t="s">
        <v>40</v>
      </c>
      <c r="D4726">
        <v>4.6617870000000003</v>
      </c>
      <c r="E4726">
        <v>0.31288870000000002</v>
      </c>
      <c r="F4726" t="s">
        <v>42</v>
      </c>
      <c r="G4726">
        <v>-412.20549999999997</v>
      </c>
      <c r="H4726">
        <v>1.0033609999999999</v>
      </c>
      <c r="I4726">
        <v>139.7621</v>
      </c>
      <c r="J4726">
        <v>-411.74540000000002</v>
      </c>
      <c r="K4726">
        <v>1.130066</v>
      </c>
      <c r="L4726">
        <v>140.4633</v>
      </c>
      <c r="M4726">
        <v>-0.97505169999999997</v>
      </c>
      <c r="N4726">
        <v>-1.506965E-2</v>
      </c>
      <c r="O4726">
        <v>-0.22146640000000001</v>
      </c>
      <c r="P4726">
        <v>-0.91104909999999995</v>
      </c>
      <c r="Q4726">
        <v>-8.4976889999999999E-2</v>
      </c>
      <c r="R4726">
        <v>-0.40344629999999998</v>
      </c>
      <c r="S4726">
        <v>-2.1571959999999999</v>
      </c>
      <c r="T4726">
        <v>-0.4266411</v>
      </c>
      <c r="U4726">
        <v>-2.5350489999999999</v>
      </c>
      <c r="V4726">
        <v>-0.19007760000000001</v>
      </c>
      <c r="W4726">
        <v>-7.4346750000000003E-2</v>
      </c>
      <c r="X4726">
        <v>0.97894999999999999</v>
      </c>
      <c r="Y4726">
        <v>-0.59526369999999995</v>
      </c>
      <c r="Z4726">
        <v>-2.1035229999999999E-2</v>
      </c>
      <c r="AA4726">
        <v>0.8032551</v>
      </c>
      <c r="AB4726">
        <v>24</v>
      </c>
      <c r="AC4726">
        <v>-0.46009999999995399</v>
      </c>
      <c r="AD4726">
        <v>-0.12670500000000001</v>
      </c>
      <c r="AE4726">
        <v>-0.70120000000000005</v>
      </c>
      <c r="AF4726">
        <v>-0.56889089636269696</v>
      </c>
      <c r="AG4726">
        <v>-0.12670500000000001</v>
      </c>
      <c r="AH4726">
        <v>0.59050405907478998</v>
      </c>
      <c r="AI4726">
        <v>98.784216684187001</v>
      </c>
      <c r="AJ4726">
        <v>133.93202951958099</v>
      </c>
      <c r="AK4726">
        <v>0.82969033547050297</v>
      </c>
      <c r="AL4726">
        <v>94.263688968519205</v>
      </c>
      <c r="AM4726">
        <v>100.988099567937</v>
      </c>
      <c r="AN4726">
        <v>1.0000000178786601</v>
      </c>
    </row>
    <row r="4727" spans="1:40" x14ac:dyDescent="0.25">
      <c r="A4727" t="str">
        <f>"20190303154609911"</f>
        <v>20190303154609911</v>
      </c>
      <c r="B4727" t="str">
        <f>"1551599169906466"</f>
        <v>1551599169906466</v>
      </c>
      <c r="C4727" t="s">
        <v>40</v>
      </c>
      <c r="D4727">
        <v>4.7736729999999996</v>
      </c>
      <c r="E4727">
        <v>0.25491370000000002</v>
      </c>
      <c r="F4727" t="s">
        <v>61</v>
      </c>
      <c r="G4727">
        <v>-417.23970000000003</v>
      </c>
      <c r="H4727" s="1">
        <v>-7.5826729999999997E-6</v>
      </c>
      <c r="I4727">
        <v>133.78790000000001</v>
      </c>
      <c r="J4727">
        <v>-411.95679999999999</v>
      </c>
      <c r="K4727">
        <v>1.130293</v>
      </c>
      <c r="L4727">
        <v>140.40090000000001</v>
      </c>
      <c r="M4727">
        <v>-0.97213369999999999</v>
      </c>
      <c r="N4727">
        <v>-1.5155500000000001E-2</v>
      </c>
      <c r="O4727">
        <v>-0.23393630000000001</v>
      </c>
      <c r="P4727">
        <v>-0.90306690000000001</v>
      </c>
      <c r="Q4727">
        <v>-8.7997560000000002E-2</v>
      </c>
      <c r="R4727">
        <v>-0.4203885</v>
      </c>
      <c r="S4727">
        <v>-2.1145939999999999</v>
      </c>
      <c r="T4727">
        <v>-0.43492690000000001</v>
      </c>
      <c r="U4727">
        <v>-2.5691220000000001</v>
      </c>
      <c r="V4727">
        <v>-0.1957672</v>
      </c>
      <c r="W4727">
        <v>-7.7544039999999995E-2</v>
      </c>
      <c r="X4727">
        <v>0.97757969999999905</v>
      </c>
      <c r="Y4727">
        <v>-0.59805659999999905</v>
      </c>
      <c r="Z4727">
        <v>-2.0030610000000001E-2</v>
      </c>
      <c r="AA4727">
        <v>0.80120349999999996</v>
      </c>
      <c r="AB4727">
        <v>24</v>
      </c>
      <c r="AC4727">
        <v>-5.2829000000000397</v>
      </c>
      <c r="AD4727">
        <v>-1.1303005826729999</v>
      </c>
      <c r="AE4727">
        <v>-6.6130000000000004</v>
      </c>
      <c r="AF4727">
        <v>-5.1024621917634301</v>
      </c>
      <c r="AG4727">
        <v>-1.1303005826729999</v>
      </c>
      <c r="AH4727">
        <v>6.5663751158707404</v>
      </c>
      <c r="AI4727">
        <v>97.740332421475301</v>
      </c>
      <c r="AJ4727">
        <v>127.84932170661899</v>
      </c>
      <c r="AK4727">
        <v>8.3922572641627706</v>
      </c>
      <c r="AL4727">
        <v>94.447411063933799</v>
      </c>
      <c r="AM4727">
        <v>101.324091683257</v>
      </c>
      <c r="AN4727">
        <v>0.99999997229372495</v>
      </c>
    </row>
    <row r="4728" spans="1:40" x14ac:dyDescent="0.25">
      <c r="A4728" t="str">
        <f>"20190303154609932"</f>
        <v>20190303154609932</v>
      </c>
      <c r="B4728" t="str">
        <f>"1551599169925986"</f>
        <v>1551599169925986</v>
      </c>
      <c r="C4728" t="s">
        <v>40</v>
      </c>
      <c r="D4728">
        <v>4.7959709999999998</v>
      </c>
      <c r="E4728">
        <v>0.25335429999999998</v>
      </c>
      <c r="F4728" t="s">
        <v>61</v>
      </c>
      <c r="G4728">
        <v>-416.38339999999999</v>
      </c>
      <c r="H4728" s="1">
        <v>-7.4030509999999996E-6</v>
      </c>
      <c r="I4728">
        <v>133.22489999999999</v>
      </c>
      <c r="J4728">
        <v>-412.17790000000002</v>
      </c>
      <c r="K4728">
        <v>1.130514</v>
      </c>
      <c r="L4728">
        <v>140.33199999999999</v>
      </c>
      <c r="M4728">
        <v>-0.9687924</v>
      </c>
      <c r="N4728">
        <v>-1.524784E-2</v>
      </c>
      <c r="O4728">
        <v>-0.2474044</v>
      </c>
      <c r="P4728">
        <v>-0.89423019999999998</v>
      </c>
      <c r="Q4728">
        <v>-9.0665339999999997E-2</v>
      </c>
      <c r="R4728">
        <v>-0.43832919999999997</v>
      </c>
      <c r="S4728">
        <v>-1.8667910000000001</v>
      </c>
      <c r="T4728">
        <v>-0.47668120000000003</v>
      </c>
      <c r="U4728">
        <v>-3.0263369999999998</v>
      </c>
      <c r="V4728">
        <v>-0.2016616</v>
      </c>
      <c r="W4728">
        <v>-8.0395040000000001E-2</v>
      </c>
      <c r="X4728">
        <v>0.97615019999999997</v>
      </c>
      <c r="Y4728">
        <v>-0.68990379999999996</v>
      </c>
      <c r="Z4728">
        <v>-2.848581E-2</v>
      </c>
      <c r="AA4728">
        <v>0.72334039999999999</v>
      </c>
      <c r="AB4728">
        <v>24</v>
      </c>
      <c r="AC4728">
        <v>-4.2054999999999696</v>
      </c>
      <c r="AD4728">
        <v>-1.130521403051</v>
      </c>
      <c r="AE4728">
        <v>-7.1071</v>
      </c>
      <c r="AF4728">
        <v>-5.7379890196563998</v>
      </c>
      <c r="AG4728">
        <v>-1.130521403051</v>
      </c>
      <c r="AH4728">
        <v>5.7259521647236298</v>
      </c>
      <c r="AI4728">
        <v>97.9394425321547</v>
      </c>
      <c r="AJ4728">
        <v>135.06015913041799</v>
      </c>
      <c r="AK4728">
        <v>8.18468843787943</v>
      </c>
      <c r="AL4728">
        <v>94.611273055660902</v>
      </c>
      <c r="AM4728">
        <v>101.67245353954</v>
      </c>
      <c r="AN4728">
        <v>0.99999998816559998</v>
      </c>
    </row>
    <row r="4729" spans="1:40" x14ac:dyDescent="0.25">
      <c r="A4729" t="str">
        <f>"20190303154609955"</f>
        <v>20190303154609955</v>
      </c>
      <c r="B4729" t="str">
        <f>"1551599169946482"</f>
        <v>1551599169946482</v>
      </c>
      <c r="C4729" t="s">
        <v>40</v>
      </c>
      <c r="D4729">
        <v>4.7999609999999997</v>
      </c>
      <c r="E4729">
        <v>0.25252910000000001</v>
      </c>
      <c r="F4729" t="s">
        <v>61</v>
      </c>
      <c r="G4729">
        <v>-416.38240000000002</v>
      </c>
      <c r="H4729" s="1">
        <v>-7.3718399999999997E-6</v>
      </c>
      <c r="I4729">
        <v>133.1481</v>
      </c>
      <c r="J4729">
        <v>-412.40370000000001</v>
      </c>
      <c r="K4729">
        <v>1.1307290000000001</v>
      </c>
      <c r="L4729">
        <v>140.2578</v>
      </c>
      <c r="M4729">
        <v>-0.96505929999999995</v>
      </c>
      <c r="N4729">
        <v>-1.5344719999999999E-2</v>
      </c>
      <c r="O4729">
        <v>-0.2615828</v>
      </c>
      <c r="P4729">
        <v>-0.88478429999999997</v>
      </c>
      <c r="Q4729">
        <v>-9.2566029999999994E-2</v>
      </c>
      <c r="R4729">
        <v>-0.45671509999999998</v>
      </c>
      <c r="S4729">
        <v>-1.79904199999999</v>
      </c>
      <c r="T4729">
        <v>-0.48373579999999999</v>
      </c>
      <c r="U4729">
        <v>-3.0738979999999998</v>
      </c>
      <c r="V4729">
        <v>-0.20747070000000001</v>
      </c>
      <c r="W4729">
        <v>-8.24767E-2</v>
      </c>
      <c r="X4729">
        <v>0.97475820000000002</v>
      </c>
      <c r="Y4729">
        <v>-0.69597180000000003</v>
      </c>
      <c r="Z4729">
        <v>-2.7575700000000002E-2</v>
      </c>
      <c r="AA4729">
        <v>0.7175395</v>
      </c>
      <c r="AB4729">
        <v>24</v>
      </c>
      <c r="AC4729">
        <v>-3.9786999999999999</v>
      </c>
      <c r="AD4729">
        <v>-1.1307363718400001</v>
      </c>
      <c r="AE4729">
        <v>-7.1097000000000001</v>
      </c>
      <c r="AF4729">
        <v>-5.7111980416331702</v>
      </c>
      <c r="AG4729">
        <v>-1.1307363718400001</v>
      </c>
      <c r="AH4729">
        <v>5.5924060267474998</v>
      </c>
      <c r="AI4729">
        <v>98.051670387429695</v>
      </c>
      <c r="AJ4729">
        <v>135.60211154762001</v>
      </c>
      <c r="AK4729">
        <v>8.0728776146649395</v>
      </c>
      <c r="AL4729">
        <v>94.730940713376398</v>
      </c>
      <c r="AM4729">
        <v>102.015714879322</v>
      </c>
      <c r="AN4729">
        <v>1.0000000229343</v>
      </c>
    </row>
    <row r="4730" spans="1:40" x14ac:dyDescent="0.25">
      <c r="A4730" t="str">
        <f>"20190303154609977"</f>
        <v>20190303154609977</v>
      </c>
      <c r="B4730" t="str">
        <f>"1551599169966002"</f>
        <v>1551599169966002</v>
      </c>
      <c r="C4730" t="s">
        <v>40</v>
      </c>
      <c r="D4730">
        <v>4.8991319999999998</v>
      </c>
      <c r="E4730">
        <v>0.25391439999999998</v>
      </c>
      <c r="F4730" t="s">
        <v>61</v>
      </c>
      <c r="G4730">
        <v>-416.41019999999997</v>
      </c>
      <c r="H4730" s="1">
        <v>-7.3282359999999997E-6</v>
      </c>
      <c r="I4730">
        <v>133.04499999999999</v>
      </c>
      <c r="J4730">
        <v>-412.62569999999999</v>
      </c>
      <c r="K4730">
        <v>1.130946</v>
      </c>
      <c r="L4730">
        <v>140.1807</v>
      </c>
      <c r="M4730">
        <v>-0.96105110000000005</v>
      </c>
      <c r="N4730">
        <v>-1.5440280000000001E-2</v>
      </c>
      <c r="O4730">
        <v>-0.27593899999999999</v>
      </c>
      <c r="P4730">
        <v>-0.8751698</v>
      </c>
      <c r="Q4730">
        <v>-9.3793749999999995E-2</v>
      </c>
      <c r="R4730">
        <v>-0.4746377</v>
      </c>
      <c r="S4730">
        <v>-1.730988</v>
      </c>
      <c r="T4730">
        <v>-0.48852719999999999</v>
      </c>
      <c r="U4730">
        <v>-3.1162109999999998</v>
      </c>
      <c r="V4730">
        <v>-0.21274290000000001</v>
      </c>
      <c r="W4730">
        <v>-8.3871979999999999E-2</v>
      </c>
      <c r="X4730">
        <v>0.97350190000000003</v>
      </c>
      <c r="Y4730">
        <v>-0.701345199999999</v>
      </c>
      <c r="Z4730">
        <v>-2.6447490000000001E-2</v>
      </c>
      <c r="AA4730">
        <v>0.71233100000000005</v>
      </c>
      <c r="AB4730">
        <v>24</v>
      </c>
      <c r="AC4730">
        <v>-3.7844999999999702</v>
      </c>
      <c r="AD4730">
        <v>-1.130953328236</v>
      </c>
      <c r="AE4730">
        <v>-7.1357000000000097</v>
      </c>
      <c r="AF4730">
        <v>-5.7023782209479199</v>
      </c>
      <c r="AG4730">
        <v>-1.130953328236</v>
      </c>
      <c r="AH4730">
        <v>5.4989758567095297</v>
      </c>
      <c r="AI4730">
        <v>98.124851236040101</v>
      </c>
      <c r="AJ4730">
        <v>136.040304256772</v>
      </c>
      <c r="AK4730">
        <v>8.0021814699532801</v>
      </c>
      <c r="AL4730">
        <v>94.8111624514532</v>
      </c>
      <c r="AM4730">
        <v>102.327255560331</v>
      </c>
      <c r="AN4730">
        <v>0.99999999991656996</v>
      </c>
    </row>
    <row r="4731" spans="1:40" x14ac:dyDescent="0.25">
      <c r="A4731" t="str">
        <f>"20190303154610001"</f>
        <v>20190303154610001</v>
      </c>
      <c r="B4731" t="str">
        <f>"1551599169996258"</f>
        <v>1551599169996258</v>
      </c>
      <c r="C4731" t="s">
        <v>40</v>
      </c>
      <c r="D4731">
        <v>4.7356559999999996</v>
      </c>
      <c r="E4731">
        <v>0.25523370000000001</v>
      </c>
      <c r="F4731" t="s">
        <v>61</v>
      </c>
      <c r="G4731">
        <v>-416.46289999999999</v>
      </c>
      <c r="H4731" s="1">
        <v>-7.2961429999999996E-6</v>
      </c>
      <c r="I4731">
        <v>132.97370000000001</v>
      </c>
      <c r="J4731">
        <v>-412.84879999999998</v>
      </c>
      <c r="K4731">
        <v>1.1311530000000001</v>
      </c>
      <c r="L4731">
        <v>140.09899999999999</v>
      </c>
      <c r="M4731">
        <v>-0.95666220000000002</v>
      </c>
      <c r="N4731">
        <v>-1.553595E-2</v>
      </c>
      <c r="O4731">
        <v>-0.29078480000000001</v>
      </c>
      <c r="P4731">
        <v>-0.86513370000000001</v>
      </c>
      <c r="Q4731">
        <v>-9.4066259999999999E-2</v>
      </c>
      <c r="R4731">
        <v>-0.492641</v>
      </c>
      <c r="S4731">
        <v>-1.67196699999999</v>
      </c>
      <c r="T4731">
        <v>-0.49278870000000002</v>
      </c>
      <c r="U4731">
        <v>-3.1402739999999998</v>
      </c>
      <c r="V4731">
        <v>-0.2177579</v>
      </c>
      <c r="W4731">
        <v>-8.4306590000000001E-2</v>
      </c>
      <c r="X4731">
        <v>0.97235479999999996</v>
      </c>
      <c r="Y4731">
        <v>-0.70299679999999998</v>
      </c>
      <c r="Z4731">
        <v>-2.4783309999999999E-2</v>
      </c>
      <c r="AA4731">
        <v>0.71076110000000003</v>
      </c>
      <c r="AB4731">
        <v>24</v>
      </c>
      <c r="AC4731">
        <v>-3.6141000000000001</v>
      </c>
      <c r="AD4731">
        <v>-1.1311602961430001</v>
      </c>
      <c r="AE4731">
        <v>-7.1252999999999798</v>
      </c>
      <c r="AF4731">
        <v>-5.6529612629476897</v>
      </c>
      <c r="AG4731">
        <v>-1.1311602961430001</v>
      </c>
      <c r="AH4731">
        <v>5.4213964722783601</v>
      </c>
      <c r="AI4731">
        <v>98.217806315306007</v>
      </c>
      <c r="AJ4731">
        <v>136.197880034733</v>
      </c>
      <c r="AK4731">
        <v>7.9137244307335903</v>
      </c>
      <c r="AL4731">
        <v>94.836152372371203</v>
      </c>
      <c r="AM4731">
        <v>102.62305521293</v>
      </c>
      <c r="AN4731">
        <v>0.99999998060643802</v>
      </c>
    </row>
    <row r="4732" spans="1:40" x14ac:dyDescent="0.25">
      <c r="A4732" t="str">
        <f>"20190303154610045"</f>
        <v>20190303154610045</v>
      </c>
      <c r="B4732" t="str">
        <f>"1551599170036274"</f>
        <v>1551599170036274</v>
      </c>
      <c r="C4732" t="s">
        <v>40</v>
      </c>
      <c r="D4732">
        <v>4.6913349999999996</v>
      </c>
      <c r="E4732">
        <v>0.25532470000000002</v>
      </c>
      <c r="F4732" t="s">
        <v>61</v>
      </c>
      <c r="G4732">
        <v>-416.53609999999998</v>
      </c>
      <c r="H4732" s="1">
        <v>-7.2451939999999999E-6</v>
      </c>
      <c r="I4732">
        <v>132.85910000000001</v>
      </c>
      <c r="J4732">
        <v>-413.27460000000002</v>
      </c>
      <c r="K4732">
        <v>1.131532</v>
      </c>
      <c r="L4732">
        <v>139.93010000000001</v>
      </c>
      <c r="M4732">
        <v>-0.94719310000000001</v>
      </c>
      <c r="N4732">
        <v>-1.5719960000000002E-2</v>
      </c>
      <c r="O4732">
        <v>-0.32027870000000003</v>
      </c>
      <c r="P4732">
        <v>-0.84539629999999999</v>
      </c>
      <c r="Q4732">
        <v>-9.5435870000000006E-2</v>
      </c>
      <c r="R4732">
        <v>-0.52554519999999905</v>
      </c>
      <c r="S4732">
        <v>-1.6117859999999999</v>
      </c>
      <c r="T4732">
        <v>-0.4944576</v>
      </c>
      <c r="U4732">
        <v>-3.1647340000000002</v>
      </c>
      <c r="V4732">
        <v>-0.22495329999999999</v>
      </c>
      <c r="W4732">
        <v>-8.5916469999999995E-2</v>
      </c>
      <c r="X4732">
        <v>0.9705743</v>
      </c>
      <c r="Y4732">
        <v>-0.69419529999999996</v>
      </c>
      <c r="Z4732">
        <v>-1.96892E-2</v>
      </c>
      <c r="AA4732">
        <v>0.71951739999999997</v>
      </c>
      <c r="AB4732">
        <v>24</v>
      </c>
      <c r="AC4732">
        <v>-3.2614999999999501</v>
      </c>
      <c r="AD4732">
        <v>-1.1315392451940001</v>
      </c>
      <c r="AE4732">
        <v>-7.07099999999999</v>
      </c>
      <c r="AF4732">
        <v>-5.5367976920244697</v>
      </c>
      <c r="AG4732">
        <v>-1.1315392451940001</v>
      </c>
      <c r="AH4732">
        <v>5.2438932230767499</v>
      </c>
      <c r="AI4732">
        <v>98.440013850102403</v>
      </c>
      <c r="AJ4732">
        <v>136.55630677464501</v>
      </c>
      <c r="AK4732">
        <v>7.7094050276822301</v>
      </c>
      <c r="AL4732">
        <v>94.928727289756907</v>
      </c>
      <c r="AM4732">
        <v>103.049230056555</v>
      </c>
      <c r="AN4732">
        <v>1.00000004940931</v>
      </c>
    </row>
    <row r="4733" spans="1:40" x14ac:dyDescent="0.25">
      <c r="A4733" t="str">
        <f>"20190303154610067"</f>
        <v>20190303154610067</v>
      </c>
      <c r="B4733" t="str">
        <f>"1551599170055794"</f>
        <v>1551599170055794</v>
      </c>
      <c r="C4733" t="s">
        <v>40</v>
      </c>
      <c r="D4733">
        <v>4.7183149999999996</v>
      </c>
      <c r="E4733">
        <v>0.25602839999999999</v>
      </c>
      <c r="F4733" t="s">
        <v>61</v>
      </c>
      <c r="G4733">
        <v>-416.65879999999999</v>
      </c>
      <c r="H4733" s="1">
        <v>-7.13121999999999E-6</v>
      </c>
      <c r="I4733">
        <v>132.5968</v>
      </c>
      <c r="J4733">
        <v>-413.49130000000002</v>
      </c>
      <c r="K4733">
        <v>1.131677</v>
      </c>
      <c r="L4733">
        <v>139.83750000000001</v>
      </c>
      <c r="M4733">
        <v>-0.941801</v>
      </c>
      <c r="N4733">
        <v>-1.5810910000000001E-2</v>
      </c>
      <c r="O4733">
        <v>-0.33579900000000001</v>
      </c>
      <c r="P4733">
        <v>-0.83457309999999996</v>
      </c>
      <c r="Q4733">
        <v>-9.6793799999999999E-2</v>
      </c>
      <c r="R4733">
        <v>-0.54232729999999996</v>
      </c>
      <c r="S4733">
        <v>-1.4880070000000001</v>
      </c>
      <c r="T4733">
        <v>-0.49752439999999998</v>
      </c>
      <c r="U4733">
        <v>-3.224396</v>
      </c>
      <c r="V4733">
        <v>-0.22837060000000001</v>
      </c>
      <c r="W4733">
        <v>-8.7379819999999997E-2</v>
      </c>
      <c r="X4733">
        <v>0.96964510000000004</v>
      </c>
      <c r="Y4733">
        <v>-0.70988980000000002</v>
      </c>
      <c r="Z4733">
        <v>-1.943317E-2</v>
      </c>
      <c r="AA4733">
        <v>0.70404460000000002</v>
      </c>
      <c r="AB4733">
        <v>24</v>
      </c>
      <c r="AC4733">
        <v>-3.16749999999996</v>
      </c>
      <c r="AD4733">
        <v>-1.1316841312199999</v>
      </c>
      <c r="AE4733">
        <v>-7.2407000000000004</v>
      </c>
      <c r="AF4733">
        <v>-5.6407160894252799</v>
      </c>
      <c r="AG4733">
        <v>-1.1316841312199999</v>
      </c>
      <c r="AH4733">
        <v>5.3064467089392497</v>
      </c>
      <c r="AI4733">
        <v>98.313729433727502</v>
      </c>
      <c r="AJ4733">
        <v>136.748971496883</v>
      </c>
      <c r="AK4733">
        <v>7.82667002301545</v>
      </c>
      <c r="AL4733">
        <v>95.012887890043501</v>
      </c>
      <c r="AM4733">
        <v>103.252770494922</v>
      </c>
      <c r="AN4733">
        <v>0.99999999192080102</v>
      </c>
    </row>
    <row r="4734" spans="1:40" x14ac:dyDescent="0.25">
      <c r="A4734" t="str">
        <f>"20190303154610089"</f>
        <v>20190303154610089</v>
      </c>
      <c r="B4734" t="str">
        <f>"1551599170086051"</f>
        <v>1551599170086051</v>
      </c>
      <c r="C4734" t="s">
        <v>40</v>
      </c>
      <c r="D4734">
        <v>4.5457489999999998</v>
      </c>
      <c r="E4734">
        <v>0.2563396</v>
      </c>
      <c r="F4734" t="s">
        <v>61</v>
      </c>
      <c r="G4734">
        <v>-416.71069999999997</v>
      </c>
      <c r="H4734" s="1">
        <v>-7.0896639999999999E-6</v>
      </c>
      <c r="I4734">
        <v>132.50210000000001</v>
      </c>
      <c r="J4734">
        <v>-413.7047</v>
      </c>
      <c r="K4734">
        <v>1.1317820000000001</v>
      </c>
      <c r="L4734">
        <v>139.74189999999999</v>
      </c>
      <c r="M4734">
        <v>-0.9361083</v>
      </c>
      <c r="N4734">
        <v>-1.5892570000000002E-2</v>
      </c>
      <c r="O4734">
        <v>-0.35135300000000003</v>
      </c>
      <c r="P4734">
        <v>-0.82275180000000003</v>
      </c>
      <c r="Q4734">
        <v>-9.8650020000000005E-2</v>
      </c>
      <c r="R4734">
        <v>-0.55977489999999996</v>
      </c>
      <c r="S4734">
        <v>-1.425629</v>
      </c>
      <c r="T4734">
        <v>-0.50114720000000001</v>
      </c>
      <c r="U4734">
        <v>-3.2483520000000001</v>
      </c>
      <c r="V4734">
        <v>-0.23271449999999999</v>
      </c>
      <c r="W4734">
        <v>-8.9361990000000002E-2</v>
      </c>
      <c r="X4734">
        <v>0.96843089999999998</v>
      </c>
      <c r="Y4734">
        <v>-0.71150459999999904</v>
      </c>
      <c r="Z4734">
        <v>-1.7437850000000001E-2</v>
      </c>
      <c r="AA4734">
        <v>0.70246509999999995</v>
      </c>
      <c r="AB4734">
        <v>24</v>
      </c>
      <c r="AC4734">
        <v>-3.00599999999997</v>
      </c>
      <c r="AD4734">
        <v>-1.1317890896639999</v>
      </c>
      <c r="AE4734">
        <v>-7.2397999999999696</v>
      </c>
      <c r="AF4734">
        <v>-5.6049558200609102</v>
      </c>
      <c r="AG4734">
        <v>-1.1317890896639999</v>
      </c>
      <c r="AH4734">
        <v>5.2489286320677504</v>
      </c>
      <c r="AI4734">
        <v>98.384340054543799</v>
      </c>
      <c r="AJ4734">
        <v>136.87873235236901</v>
      </c>
      <c r="AK4734">
        <v>7.7619409990580204</v>
      </c>
      <c r="AL4734">
        <v>95.126903885554498</v>
      </c>
      <c r="AM4734">
        <v>103.512015787026</v>
      </c>
      <c r="AN4734">
        <v>1.00000000592091</v>
      </c>
    </row>
    <row r="4735" spans="1:40" x14ac:dyDescent="0.25">
      <c r="A4735" t="str">
        <f>"20190303154610111"</f>
        <v>20190303154610111</v>
      </c>
      <c r="B4735" t="str">
        <f>"1551599170105570"</f>
        <v>1551599170105570</v>
      </c>
      <c r="C4735" t="s">
        <v>40</v>
      </c>
      <c r="D4735">
        <v>4.7547249999999996</v>
      </c>
      <c r="E4735">
        <v>0.2565267</v>
      </c>
      <c r="F4735" t="s">
        <v>61</v>
      </c>
      <c r="G4735">
        <v>-416.7056</v>
      </c>
      <c r="H4735" s="1">
        <v>-7.0887179999999996E-6</v>
      </c>
      <c r="I4735">
        <v>132.4991</v>
      </c>
      <c r="J4735">
        <v>-413.91210000000001</v>
      </c>
      <c r="K4735">
        <v>1.131867</v>
      </c>
      <c r="L4735">
        <v>139.64449999999999</v>
      </c>
      <c r="M4735">
        <v>-0.93018540000000005</v>
      </c>
      <c r="N4735">
        <v>-1.5965099999999999E-2</v>
      </c>
      <c r="O4735">
        <v>-0.36674269999999998</v>
      </c>
      <c r="P4735">
        <v>-0.81064769999999997</v>
      </c>
      <c r="Q4735">
        <v>-9.9796510000000005E-2</v>
      </c>
      <c r="R4735">
        <v>-0.57696740000000002</v>
      </c>
      <c r="S4735">
        <v>-1.356873</v>
      </c>
      <c r="T4735">
        <v>-0.51174310000000001</v>
      </c>
      <c r="U4735">
        <v>-3.2748569999999999</v>
      </c>
      <c r="V4735">
        <v>-0.23711499999999999</v>
      </c>
      <c r="W4735">
        <v>-9.0635820000000006E-2</v>
      </c>
      <c r="X4735">
        <v>0.96724429999999995</v>
      </c>
      <c r="Y4735">
        <v>-0.71442459999999997</v>
      </c>
      <c r="Z4735">
        <v>-1.5611119999999999E-2</v>
      </c>
      <c r="AA4735">
        <v>0.6995384</v>
      </c>
      <c r="AB4735">
        <v>24</v>
      </c>
      <c r="AC4735">
        <v>-2.7934999999999901</v>
      </c>
      <c r="AD4735">
        <v>-1.1318740887180001</v>
      </c>
      <c r="AE4735">
        <v>-7.1453999999999898</v>
      </c>
      <c r="AF4735">
        <v>-5.50299113552237</v>
      </c>
      <c r="AG4735">
        <v>-1.1318740887180001</v>
      </c>
      <c r="AH4735">
        <v>5.1084719291669503</v>
      </c>
      <c r="AI4735">
        <v>98.572409668387706</v>
      </c>
      <c r="AJ4735">
        <v>137.12919547924099</v>
      </c>
      <c r="AK4735">
        <v>7.5934534858281504</v>
      </c>
      <c r="AL4735">
        <v>95.200186626257207</v>
      </c>
      <c r="AM4735">
        <v>103.774132061095</v>
      </c>
      <c r="AN4735">
        <v>0.99999995548728005</v>
      </c>
    </row>
    <row r="4736" spans="1:40" x14ac:dyDescent="0.25">
      <c r="A4736" t="str">
        <f>"20190303154610133"</f>
        <v>20190303154610133</v>
      </c>
      <c r="B4736" t="str">
        <f>"1551599170126066"</f>
        <v>1551599170126066</v>
      </c>
      <c r="C4736" t="s">
        <v>40</v>
      </c>
      <c r="D4736">
        <v>4.6510389999999999</v>
      </c>
      <c r="E4736">
        <v>0.26834849999999999</v>
      </c>
      <c r="F4736" t="s">
        <v>61</v>
      </c>
      <c r="G4736">
        <v>-416.73520000000002</v>
      </c>
      <c r="H4736" s="1">
        <v>-7.0501950000000004E-6</v>
      </c>
      <c r="I4736">
        <v>132.40870000000001</v>
      </c>
      <c r="J4736">
        <v>-414.11680000000001</v>
      </c>
      <c r="K4736">
        <v>1.1319549999999901</v>
      </c>
      <c r="L4736">
        <v>139.54399999999899</v>
      </c>
      <c r="M4736">
        <v>-0.92394339999999997</v>
      </c>
      <c r="N4736">
        <v>-1.6034619999999999E-2</v>
      </c>
      <c r="O4736">
        <v>-0.382193</v>
      </c>
      <c r="P4736">
        <v>-0.79807189999999995</v>
      </c>
      <c r="Q4736">
        <v>-0.10107670000000001</v>
      </c>
      <c r="R4736">
        <v>-0.59402440000000001</v>
      </c>
      <c r="S4736">
        <v>-1.2878419999999999</v>
      </c>
      <c r="T4736">
        <v>-0.51634599999999997</v>
      </c>
      <c r="U4736">
        <v>-3.3008730000000002</v>
      </c>
      <c r="V4736">
        <v>-0.24149970000000001</v>
      </c>
      <c r="W4736">
        <v>-9.2043589999999995E-2</v>
      </c>
      <c r="X4736">
        <v>0.96602580000000005</v>
      </c>
      <c r="Y4736">
        <v>-0.71733970000000002</v>
      </c>
      <c r="Z4736">
        <v>-1.364111E-2</v>
      </c>
      <c r="AA4736">
        <v>0.69659009999999999</v>
      </c>
      <c r="AB4736">
        <v>24</v>
      </c>
      <c r="AC4736">
        <v>-2.6183999999999998</v>
      </c>
      <c r="AD4736">
        <v>-1.1319620501949901</v>
      </c>
      <c r="AE4736">
        <v>-7.1352999999999698</v>
      </c>
      <c r="AF4736">
        <v>-5.4712429586119802</v>
      </c>
      <c r="AG4736">
        <v>-1.1319620501949901</v>
      </c>
      <c r="AH4736">
        <v>5.0352912420922902</v>
      </c>
      <c r="AI4736">
        <v>98.655949487540099</v>
      </c>
      <c r="AJ4736">
        <v>137.37603311850199</v>
      </c>
      <c r="AK4736">
        <v>7.5213027786371001</v>
      </c>
      <c r="AL4736">
        <v>95.2811843378243</v>
      </c>
      <c r="AM4736">
        <v>104.03586666917499</v>
      </c>
      <c r="AN4736">
        <v>0.99999998691290803</v>
      </c>
    </row>
    <row r="4737" spans="1:40" x14ac:dyDescent="0.25">
      <c r="A4737" t="str">
        <f>"20190303154610157"</f>
        <v>20190303154610157</v>
      </c>
      <c r="B4737" t="str">
        <f>"1551599170146562"</f>
        <v>1551599170146562</v>
      </c>
      <c r="C4737" t="s">
        <v>40</v>
      </c>
      <c r="D4737">
        <v>4.6808199999999998</v>
      </c>
      <c r="E4737">
        <v>0.26851560000000002</v>
      </c>
      <c r="F4737" t="s">
        <v>61</v>
      </c>
      <c r="G4737">
        <v>-417.00119999999998</v>
      </c>
      <c r="H4737" s="1">
        <v>-6.9430030000000001E-6</v>
      </c>
      <c r="I4737">
        <v>132.18340000000001</v>
      </c>
      <c r="J4737">
        <v>-414.33199999999999</v>
      </c>
      <c r="K4737">
        <v>1.1320380000000001</v>
      </c>
      <c r="L4737">
        <v>139.43350000000001</v>
      </c>
      <c r="M4737">
        <v>-0.91694399999999998</v>
      </c>
      <c r="N4737">
        <v>-1.6108069999999999E-2</v>
      </c>
      <c r="O4737">
        <v>-0.39869100000000002</v>
      </c>
      <c r="P4737">
        <v>-0.78463169999999904</v>
      </c>
      <c r="Q4737">
        <v>-0.1036248</v>
      </c>
      <c r="R4737">
        <v>-0.61124089999999998</v>
      </c>
      <c r="S4737">
        <v>-1.2746580000000001</v>
      </c>
      <c r="T4737">
        <v>-0.50022860000000002</v>
      </c>
      <c r="U4737">
        <v>-3.2527159999999999</v>
      </c>
      <c r="V4737">
        <v>-0.24523020000000001</v>
      </c>
      <c r="W4737">
        <v>-9.4700880000000001E-2</v>
      </c>
      <c r="X4737">
        <v>0.96482840000000003</v>
      </c>
      <c r="Y4737">
        <v>-0.70415589999999995</v>
      </c>
      <c r="Z4737">
        <v>-9.5099399999999997E-3</v>
      </c>
      <c r="AA4737">
        <v>0.70998169999999905</v>
      </c>
      <c r="AB4737">
        <v>24</v>
      </c>
      <c r="AC4737">
        <v>-2.66919999999998</v>
      </c>
      <c r="AD4737">
        <v>-1.132044943003</v>
      </c>
      <c r="AE4737">
        <v>-7.2500999999999998</v>
      </c>
      <c r="AF4737">
        <v>-5.4670938356590399</v>
      </c>
      <c r="AG4737">
        <v>-1.132044943003</v>
      </c>
      <c r="AH4737">
        <v>5.2265337296046699</v>
      </c>
      <c r="AI4737">
        <v>98.512446854952103</v>
      </c>
      <c r="AJ4737">
        <v>136.288688466319</v>
      </c>
      <c r="AK4737">
        <v>7.6476987118724198</v>
      </c>
      <c r="AL4737">
        <v>95.434104020024805</v>
      </c>
      <c r="AM4737">
        <v>104.26087790306499</v>
      </c>
      <c r="AN4737">
        <v>0.99999997455568601</v>
      </c>
    </row>
    <row r="4738" spans="1:40" x14ac:dyDescent="0.25">
      <c r="A4738" t="str">
        <f>"20190303154610181"</f>
        <v>20190303154610181</v>
      </c>
      <c r="B4738" t="str">
        <f>"1551599170175843"</f>
        <v>1551599170175843</v>
      </c>
      <c r="C4738" t="s">
        <v>40</v>
      </c>
      <c r="D4738">
        <v>4.639221</v>
      </c>
      <c r="E4738">
        <v>0.26912770000000003</v>
      </c>
      <c r="F4738" t="s">
        <v>61</v>
      </c>
      <c r="G4738">
        <v>-417.04790000000003</v>
      </c>
      <c r="H4738" s="1">
        <v>-6.8772159999999996E-6</v>
      </c>
      <c r="I4738">
        <v>132.02860000000001</v>
      </c>
      <c r="J4738">
        <v>-414.54629999999997</v>
      </c>
      <c r="K4738">
        <v>1.132118</v>
      </c>
      <c r="L4738">
        <v>139.3184</v>
      </c>
      <c r="M4738">
        <v>-0.90950949999999997</v>
      </c>
      <c r="N4738">
        <v>-1.617971E-2</v>
      </c>
      <c r="O4738">
        <v>-0.41536810000000002</v>
      </c>
      <c r="P4738">
        <v>-0.77045759999999996</v>
      </c>
      <c r="Q4738">
        <v>-0.1070641</v>
      </c>
      <c r="R4738">
        <v>-0.62843640000000001</v>
      </c>
      <c r="S4738">
        <v>-1.202698</v>
      </c>
      <c r="T4738">
        <v>-0.50130589999999997</v>
      </c>
      <c r="U4738">
        <v>-3.2791440000000001</v>
      </c>
      <c r="V4738">
        <v>-0.2490135</v>
      </c>
      <c r="W4738">
        <v>-9.8253969999999996E-2</v>
      </c>
      <c r="X4738">
        <v>0.9635032</v>
      </c>
      <c r="Y4738">
        <v>-0.70685169999999997</v>
      </c>
      <c r="Z4738">
        <v>-7.2759950000000004E-3</v>
      </c>
      <c r="AA4738">
        <v>0.70732439999999996</v>
      </c>
      <c r="AB4738">
        <v>24</v>
      </c>
      <c r="AC4738">
        <v>-2.50160000000005</v>
      </c>
      <c r="AD4738">
        <v>-1.132124877216</v>
      </c>
      <c r="AE4738">
        <v>-7.2897999999999801</v>
      </c>
      <c r="AF4738">
        <v>-5.4736793264542998</v>
      </c>
      <c r="AG4738">
        <v>-1.132124877216</v>
      </c>
      <c r="AH4738">
        <v>5.1918448428763302</v>
      </c>
      <c r="AI4738">
        <v>98.534333114453304</v>
      </c>
      <c r="AJ4738">
        <v>136.51367801584601</v>
      </c>
      <c r="AK4738">
        <v>7.62876955864877</v>
      </c>
      <c r="AL4738">
        <v>95.638635207049902</v>
      </c>
      <c r="AM4738">
        <v>104.49078219075599</v>
      </c>
      <c r="AN4738">
        <v>0.99999999110662496</v>
      </c>
    </row>
    <row r="4739" spans="1:40" x14ac:dyDescent="0.25">
      <c r="A4739" t="str">
        <f>"20190303154610206"</f>
        <v>20190303154610206</v>
      </c>
      <c r="B4739" t="str">
        <f>"1551599170196338"</f>
        <v>1551599170196338</v>
      </c>
      <c r="C4739" t="s">
        <v>40</v>
      </c>
      <c r="D4739">
        <v>5.0526999999999997</v>
      </c>
      <c r="E4739">
        <v>0.26916440000000003</v>
      </c>
      <c r="F4739" t="s">
        <v>61</v>
      </c>
      <c r="G4739">
        <v>-417.09710000000001</v>
      </c>
      <c r="H4739" s="1">
        <v>-6.8103340000000003E-6</v>
      </c>
      <c r="I4739">
        <v>131.87139999999999</v>
      </c>
      <c r="J4739">
        <v>-414.76639999999998</v>
      </c>
      <c r="K4739">
        <v>1.1321829999999999</v>
      </c>
      <c r="L4739">
        <v>139.19390000000001</v>
      </c>
      <c r="M4739">
        <v>-0.90134130000000001</v>
      </c>
      <c r="N4739">
        <v>-1.624927E-2</v>
      </c>
      <c r="O4739">
        <v>-0.4328051</v>
      </c>
      <c r="P4739">
        <v>-0.75539160000000005</v>
      </c>
      <c r="Q4739">
        <v>-0.1088599</v>
      </c>
      <c r="R4739">
        <v>-0.64616819999999997</v>
      </c>
      <c r="S4739">
        <v>-1.130951</v>
      </c>
      <c r="T4739">
        <v>-0.50193690000000002</v>
      </c>
      <c r="U4739">
        <v>-3.3016969999999999</v>
      </c>
      <c r="V4739">
        <v>-0.2528783</v>
      </c>
      <c r="W4739">
        <v>-0.1001655</v>
      </c>
      <c r="X4739">
        <v>0.96229900000000002</v>
      </c>
      <c r="Y4739">
        <v>-0.70856239999999904</v>
      </c>
      <c r="Z4739">
        <v>-4.7670079999999997E-3</v>
      </c>
      <c r="AA4739">
        <v>0.70563199999999904</v>
      </c>
      <c r="AB4739">
        <v>24</v>
      </c>
      <c r="AC4739">
        <v>-2.33070000000003</v>
      </c>
      <c r="AD4739">
        <v>-1.132189810334</v>
      </c>
      <c r="AE4739">
        <v>-7.3225000000000096</v>
      </c>
      <c r="AF4739">
        <v>-5.4732591034724303</v>
      </c>
      <c r="AG4739">
        <v>-1.132189810334</v>
      </c>
      <c r="AH4739">
        <v>5.15868406897689</v>
      </c>
      <c r="AI4739">
        <v>98.560627232122002</v>
      </c>
      <c r="AJ4739">
        <v>136.69475746176701</v>
      </c>
      <c r="AK4739">
        <v>7.6059476926865601</v>
      </c>
      <c r="AL4739">
        <v>95.748700988694296</v>
      </c>
      <c r="AM4739">
        <v>104.723610508991</v>
      </c>
      <c r="AN4739">
        <v>0.99999996370106903</v>
      </c>
    </row>
    <row r="4740" spans="1:40" x14ac:dyDescent="0.25">
      <c r="A4740" t="str">
        <f>"20190303154610230"</f>
        <v>20190303154610230</v>
      </c>
      <c r="B4740" t="str">
        <f>"1551599170226109"</f>
        <v>1551599170226109</v>
      </c>
      <c r="C4740" t="s">
        <v>40</v>
      </c>
      <c r="D4740">
        <v>5.1018030000000003</v>
      </c>
      <c r="E4740">
        <v>0.26907989999999998</v>
      </c>
      <c r="F4740" t="s">
        <v>61</v>
      </c>
      <c r="G4740">
        <v>-417.16019999999997</v>
      </c>
      <c r="H4740" s="1">
        <v>-6.7079900000000001E-6</v>
      </c>
      <c r="I4740">
        <v>131.62909999999999</v>
      </c>
      <c r="J4740">
        <v>-414.98070000000001</v>
      </c>
      <c r="K4740">
        <v>1.1322490000000001</v>
      </c>
      <c r="L4740">
        <v>139.06700000000001</v>
      </c>
      <c r="M4740">
        <v>-0.89287039999999995</v>
      </c>
      <c r="N4740">
        <v>-1.631326E-2</v>
      </c>
      <c r="O4740">
        <v>-0.45001809999999998</v>
      </c>
      <c r="P4740">
        <v>-0.74050819999999995</v>
      </c>
      <c r="Q4740">
        <v>-0.1088572</v>
      </c>
      <c r="R4740">
        <v>-0.66317269999999995</v>
      </c>
      <c r="S4740">
        <v>-1.05304</v>
      </c>
      <c r="T4740">
        <v>-0.49805949999999999</v>
      </c>
      <c r="U4740">
        <v>-3.3278050000000001</v>
      </c>
      <c r="V4740">
        <v>-0.25626300000000002</v>
      </c>
      <c r="W4740">
        <v>-0.10026069999999999</v>
      </c>
      <c r="X4740">
        <v>0.96139330000000001</v>
      </c>
      <c r="Y4740">
        <v>-0.71177429999999997</v>
      </c>
      <c r="Z4740">
        <v>-2.5369559999999999E-3</v>
      </c>
      <c r="AA4740">
        <v>0.70240369999999996</v>
      </c>
      <c r="AB4740">
        <v>24</v>
      </c>
      <c r="AC4740">
        <v>-2.17949999999996</v>
      </c>
      <c r="AD4740">
        <v>-1.13225570799</v>
      </c>
      <c r="AE4740">
        <v>-7.4379000000000097</v>
      </c>
      <c r="AF4740">
        <v>-5.5427327945958798</v>
      </c>
      <c r="AG4740">
        <v>-1.13225570799</v>
      </c>
      <c r="AH4740">
        <v>5.1832891512749697</v>
      </c>
      <c r="AI4740">
        <v>98.486091993394993</v>
      </c>
      <c r="AJ4740">
        <v>136.91934155113</v>
      </c>
      <c r="AK4740">
        <v>7.67270332062236</v>
      </c>
      <c r="AL4740">
        <v>95.754182904643898</v>
      </c>
      <c r="AM4740">
        <v>104.925377473308</v>
      </c>
      <c r="AN4740">
        <v>1.00000000520919</v>
      </c>
    </row>
    <row r="4741" spans="1:40" x14ac:dyDescent="0.25">
      <c r="A4741" t="str">
        <f>"20190303154610274"</f>
        <v>20190303154610274</v>
      </c>
      <c r="B4741" t="str">
        <f>"1551599170266125"</f>
        <v>1551599170266125</v>
      </c>
      <c r="C4741" t="s">
        <v>40</v>
      </c>
      <c r="D4741">
        <v>5.0371800000000002</v>
      </c>
      <c r="E4741">
        <v>0.26799709999999899</v>
      </c>
      <c r="F4741" t="s">
        <v>61</v>
      </c>
      <c r="G4741">
        <v>-417.22840000000002</v>
      </c>
      <c r="H4741" s="1">
        <v>-6.5924319999999998E-6</v>
      </c>
      <c r="I4741">
        <v>131.35509999999999</v>
      </c>
      <c r="J4741">
        <v>-415.3655</v>
      </c>
      <c r="K4741">
        <v>1.132388</v>
      </c>
      <c r="L4741">
        <v>138.82419999999999</v>
      </c>
      <c r="M4741">
        <v>-0.87629679999999999</v>
      </c>
      <c r="N4741">
        <v>-1.64187999999999E-2</v>
      </c>
      <c r="O4741">
        <v>-0.48149219999999998</v>
      </c>
      <c r="P4741">
        <v>-0.71211069999999999</v>
      </c>
      <c r="Q4741">
        <v>-0.1043916</v>
      </c>
      <c r="R4741">
        <v>-0.69426299999999996</v>
      </c>
      <c r="S4741">
        <v>-0.97698969999999896</v>
      </c>
      <c r="T4741">
        <v>-0.49214530000000001</v>
      </c>
      <c r="U4741">
        <v>-3.352036</v>
      </c>
      <c r="V4741">
        <v>-0.26297809999999999</v>
      </c>
      <c r="W4741">
        <v>-9.5977149999999997E-2</v>
      </c>
      <c r="X4741">
        <v>0.96001610000000004</v>
      </c>
      <c r="Y4741">
        <v>-0.70321259999999997</v>
      </c>
      <c r="Z4741">
        <v>3.211457E-3</v>
      </c>
      <c r="AA4741">
        <v>0.71097239999999995</v>
      </c>
      <c r="AB4741">
        <v>23</v>
      </c>
      <c r="AC4741">
        <v>-1.86290000000002</v>
      </c>
      <c r="AD4741">
        <v>-1.132394592432</v>
      </c>
      <c r="AE4741">
        <v>-7.4690999999999903</v>
      </c>
      <c r="AF4741">
        <v>-5.5292853050484903</v>
      </c>
      <c r="AG4741">
        <v>-1.132394592432</v>
      </c>
      <c r="AH4741">
        <v>5.11870376499414</v>
      </c>
      <c r="AI4741">
        <v>98.546869267784501</v>
      </c>
      <c r="AJ4741">
        <v>137.208204811461</v>
      </c>
      <c r="AK4741">
        <v>7.6194777860008003</v>
      </c>
      <c r="AL4741">
        <v>95.507563370842703</v>
      </c>
      <c r="AM4741">
        <v>105.31928891551399</v>
      </c>
      <c r="AN4741">
        <v>1.0000000033304699</v>
      </c>
    </row>
    <row r="4742" spans="1:40" x14ac:dyDescent="0.25">
      <c r="A4742" t="str">
        <f>"20190303154610356"</f>
        <v>20190303154610356</v>
      </c>
      <c r="B4742" t="str">
        <f>"1551599170346158"</f>
        <v>1551599170346158</v>
      </c>
      <c r="C4742" t="s">
        <v>40</v>
      </c>
      <c r="D4742">
        <v>5.0768639999999996</v>
      </c>
      <c r="E4742">
        <v>0.26878930000000001</v>
      </c>
      <c r="F4742" t="s">
        <v>61</v>
      </c>
      <c r="G4742">
        <v>-417.32650000000001</v>
      </c>
      <c r="H4742" s="1">
        <v>-6.3570289999999996E-6</v>
      </c>
      <c r="I4742">
        <v>130.7911</v>
      </c>
      <c r="J4742">
        <v>-416.04680000000002</v>
      </c>
      <c r="K4742">
        <v>1.13256</v>
      </c>
      <c r="L4742">
        <v>138.3417</v>
      </c>
      <c r="M4742">
        <v>-0.84200750000000002</v>
      </c>
      <c r="N4742">
        <v>-1.6601080000000001E-2</v>
      </c>
      <c r="O4742">
        <v>-0.53921059999999998</v>
      </c>
      <c r="P4742">
        <v>-0.66148790000000002</v>
      </c>
      <c r="Q4742">
        <v>-0.10897419999999999</v>
      </c>
      <c r="R4742">
        <v>-0.74199649999999995</v>
      </c>
      <c r="S4742">
        <v>-0.8295593</v>
      </c>
      <c r="T4742">
        <v>-0.47903980000000002</v>
      </c>
      <c r="U4742">
        <v>-3.3982540000000001</v>
      </c>
      <c r="V4742">
        <v>-0.26538279999999997</v>
      </c>
      <c r="W4742">
        <v>-0.100614</v>
      </c>
      <c r="X4742">
        <v>0.95887889999999998</v>
      </c>
      <c r="Y4742">
        <v>-0.68740269999999903</v>
      </c>
      <c r="Z4742">
        <v>1.329437E-2</v>
      </c>
      <c r="AA4742">
        <v>0.72615490000000005</v>
      </c>
      <c r="AB4742">
        <v>23</v>
      </c>
      <c r="AC4742">
        <v>-1.2796999999999901</v>
      </c>
      <c r="AD4742">
        <v>-1.1325663570290001</v>
      </c>
      <c r="AE4742">
        <v>-7.5506000000000002</v>
      </c>
      <c r="AF4742">
        <v>-5.54709476231048</v>
      </c>
      <c r="AG4742">
        <v>-1.1325663570290001</v>
      </c>
      <c r="AH4742">
        <v>5.03937414256003</v>
      </c>
      <c r="AI4742">
        <v>98.5936449821004</v>
      </c>
      <c r="AJ4742">
        <v>137.74576689813</v>
      </c>
      <c r="AK4742">
        <v>7.5794629495650296</v>
      </c>
      <c r="AL4742">
        <v>95.774528550897898</v>
      </c>
      <c r="AM4742">
        <v>105.47015257959001</v>
      </c>
      <c r="AN4742">
        <v>0.99999997619852399</v>
      </c>
    </row>
    <row r="4743" spans="1:40" x14ac:dyDescent="0.25">
      <c r="A4743" t="str">
        <f>"20190303154610404"</f>
        <v>20190303154610404</v>
      </c>
      <c r="B4743" t="str">
        <f>"1551599170395933"</f>
        <v>1551599170395933</v>
      </c>
      <c r="C4743" t="s">
        <v>40</v>
      </c>
      <c r="D4743">
        <v>4.3911309999999997</v>
      </c>
      <c r="E4743">
        <v>0.26878930000000001</v>
      </c>
      <c r="F4743" t="s">
        <v>61</v>
      </c>
      <c r="G4743">
        <v>-417.42939999999999</v>
      </c>
      <c r="H4743" s="1">
        <v>-6.1582060000000003E-6</v>
      </c>
      <c r="I4743">
        <v>130.3176</v>
      </c>
      <c r="J4743">
        <v>-416.411</v>
      </c>
      <c r="K4743">
        <v>1.1326929999999999</v>
      </c>
      <c r="L4743">
        <v>138.0523</v>
      </c>
      <c r="M4743">
        <v>-0.82063439999999999</v>
      </c>
      <c r="N4743">
        <v>-1.6699479999999999E-2</v>
      </c>
      <c r="O4743">
        <v>-0.57120979999999999</v>
      </c>
      <c r="P4743">
        <v>-0.63147810000000004</v>
      </c>
      <c r="Q4743">
        <v>-0.108126399999999</v>
      </c>
      <c r="R4743">
        <v>-0.76781809999999995</v>
      </c>
      <c r="S4743">
        <v>-0.59320069999999903</v>
      </c>
      <c r="T4743">
        <v>-0.48594860000000001</v>
      </c>
      <c r="U4743">
        <v>-3.4428709999999998</v>
      </c>
      <c r="V4743">
        <v>-0.26668340000000001</v>
      </c>
      <c r="W4743">
        <v>-9.9799390000000002E-2</v>
      </c>
      <c r="X4743">
        <v>0.95860310000000004</v>
      </c>
      <c r="Y4743">
        <v>-0.70899350000000005</v>
      </c>
      <c r="Z4743">
        <v>1.6620289999999999E-2</v>
      </c>
      <c r="AA4743">
        <v>0.70501919999999996</v>
      </c>
      <c r="AB4743">
        <v>23</v>
      </c>
      <c r="AC4743">
        <v>-1.01839999999998</v>
      </c>
      <c r="AD4743">
        <v>-1.132699158206</v>
      </c>
      <c r="AE4743">
        <v>-7.7347000000000001</v>
      </c>
      <c r="AF4743">
        <v>-5.6473949473716702</v>
      </c>
      <c r="AG4743">
        <v>-1.132699158206</v>
      </c>
      <c r="AH4743">
        <v>5.1461203787963203</v>
      </c>
      <c r="AI4743">
        <v>98.432757855906004</v>
      </c>
      <c r="AJ4743">
        <v>137.659031261118</v>
      </c>
      <c r="AK4743">
        <v>7.7239000529306701</v>
      </c>
      <c r="AL4743">
        <v>95.727618992434202</v>
      </c>
      <c r="AM4743">
        <v>105.54656815799299</v>
      </c>
      <c r="AN4743">
        <v>0.99999992870476795</v>
      </c>
    </row>
    <row r="4744" spans="1:40" x14ac:dyDescent="0.25">
      <c r="A4744" t="str">
        <f>"20190303154610432"</f>
        <v>20190303154610432</v>
      </c>
      <c r="B4744" t="str">
        <f>"1551599170426189"</f>
        <v>1551599170426189</v>
      </c>
      <c r="C4744" t="s">
        <v>40</v>
      </c>
      <c r="D4744">
        <v>4.3973870000000002</v>
      </c>
      <c r="E4744">
        <v>0.25054700000000002</v>
      </c>
      <c r="F4744" t="s">
        <v>61</v>
      </c>
      <c r="G4744">
        <v>-417.48750000000001</v>
      </c>
      <c r="H4744" s="1">
        <v>-5.9724749999999898E-6</v>
      </c>
      <c r="I4744">
        <v>129.8699</v>
      </c>
      <c r="J4744">
        <v>-416.6223</v>
      </c>
      <c r="K4744">
        <v>1.1327659999999999</v>
      </c>
      <c r="L4744">
        <v>137.8725</v>
      </c>
      <c r="M4744">
        <v>-0.8070775</v>
      </c>
      <c r="N4744">
        <v>-1.676093E-2</v>
      </c>
      <c r="O4744">
        <v>-0.590207699999999</v>
      </c>
      <c r="P4744">
        <v>-0.61266339999999997</v>
      </c>
      <c r="Q4744">
        <v>-0.10879519999999999</v>
      </c>
      <c r="R4744">
        <v>-0.78282019999999997</v>
      </c>
      <c r="S4744">
        <v>-0.4558411</v>
      </c>
      <c r="T4744">
        <v>-0.47963080000000002</v>
      </c>
      <c r="U4744">
        <v>-3.464737</v>
      </c>
      <c r="V4744">
        <v>-0.2674531</v>
      </c>
      <c r="W4744">
        <v>-0.1004898</v>
      </c>
      <c r="X4744">
        <v>0.95831659999999996</v>
      </c>
      <c r="Y4744">
        <v>-0.72054669999999998</v>
      </c>
      <c r="Z4744">
        <v>1.8083060000000001E-2</v>
      </c>
      <c r="AA4744">
        <v>0.69317059999999997</v>
      </c>
      <c r="AB4744">
        <v>23</v>
      </c>
      <c r="AC4744">
        <v>-0.86520000000001496</v>
      </c>
      <c r="AD4744">
        <v>-1.1327719724749901</v>
      </c>
      <c r="AE4744">
        <v>-8.0025999999999993</v>
      </c>
      <c r="AF4744">
        <v>-5.8333756611664098</v>
      </c>
      <c r="AG4744">
        <v>-1.1327719724749901</v>
      </c>
      <c r="AH4744">
        <v>5.3169386685845001</v>
      </c>
      <c r="AI4744">
        <v>98.167181675659293</v>
      </c>
      <c r="AJ4744">
        <v>137.651811254206</v>
      </c>
      <c r="AK4744">
        <v>7.9737871022120199</v>
      </c>
      <c r="AL4744">
        <v>95.767375835311796</v>
      </c>
      <c r="AM4744">
        <v>105.59369339413099</v>
      </c>
      <c r="AN4744">
        <v>1.0000000332196</v>
      </c>
    </row>
    <row r="4745" spans="1:40" x14ac:dyDescent="0.25">
      <c r="A4745" t="str">
        <f>"20190303154610454"</f>
        <v>20190303154610454</v>
      </c>
      <c r="B4745" t="str">
        <f>"1551599170445710"</f>
        <v>1551599170445710</v>
      </c>
      <c r="C4745" t="s">
        <v>40</v>
      </c>
      <c r="D4745">
        <v>4.3236109999999996</v>
      </c>
      <c r="E4745">
        <v>0.25185259999999998</v>
      </c>
      <c r="F4745" t="s">
        <v>61</v>
      </c>
      <c r="G4745">
        <v>-416.92169999999999</v>
      </c>
      <c r="H4745" s="1">
        <v>-7.3339189999999997E-6</v>
      </c>
      <c r="I4745">
        <v>133.1319</v>
      </c>
      <c r="J4745">
        <v>-416.79180000000002</v>
      </c>
      <c r="K4745">
        <v>1.1328279999999999</v>
      </c>
      <c r="L4745">
        <v>137.7218</v>
      </c>
      <c r="M4745">
        <v>-0.79554799999999903</v>
      </c>
      <c r="N4745">
        <v>-1.6809609999999999E-2</v>
      </c>
      <c r="O4745">
        <v>-0.60565740000000001</v>
      </c>
      <c r="P4745">
        <v>-0.59737859999999998</v>
      </c>
      <c r="Q4745">
        <v>-0.1084865</v>
      </c>
      <c r="R4745">
        <v>-0.79458769999999901</v>
      </c>
      <c r="S4745">
        <v>-0.2236023</v>
      </c>
      <c r="T4745">
        <v>-0.84582880000000005</v>
      </c>
      <c r="U4745">
        <v>-3.539749</v>
      </c>
      <c r="V4745">
        <v>-0.2675768</v>
      </c>
      <c r="W4745">
        <v>-0.10017620000000001</v>
      </c>
      <c r="X4745">
        <v>0.95831489999999997</v>
      </c>
      <c r="Y4745">
        <v>-0.74905679999999997</v>
      </c>
      <c r="Z4745">
        <v>4.1945110000000001E-2</v>
      </c>
      <c r="AA4745">
        <v>0.66117669999999995</v>
      </c>
      <c r="AB4745">
        <v>23</v>
      </c>
      <c r="AC4745">
        <v>-0.12989999999996299</v>
      </c>
      <c r="AD4745">
        <v>-1.132835333919</v>
      </c>
      <c r="AE4745">
        <v>-4.5899000000000001</v>
      </c>
      <c r="AF4745">
        <v>-3.3682985681443798</v>
      </c>
      <c r="AG4745">
        <v>-1.132835333919</v>
      </c>
      <c r="AH4745">
        <v>2.7182077188682401</v>
      </c>
      <c r="AI4745">
        <v>104.666925362757</v>
      </c>
      <c r="AJ4745">
        <v>141.096565321779</v>
      </c>
      <c r="AK4745">
        <v>4.4740813963152002</v>
      </c>
      <c r="AL4745">
        <v>95.749316763019493</v>
      </c>
      <c r="AM4745">
        <v>105.600580835779</v>
      </c>
      <c r="AN4745">
        <v>1.0000000312533399</v>
      </c>
    </row>
    <row r="4746" spans="1:40" x14ac:dyDescent="0.25">
      <c r="A4746" t="str">
        <f>"20190303154610520"</f>
        <v>20190303154610520</v>
      </c>
      <c r="B4746" t="str">
        <f>"1551599170515981"</f>
        <v>1551599170515981</v>
      </c>
      <c r="C4746" t="s">
        <v>40</v>
      </c>
      <c r="D4746">
        <v>5.0891250000000001</v>
      </c>
      <c r="E4746">
        <v>0.29971740000000002</v>
      </c>
      <c r="F4746" t="s">
        <v>61</v>
      </c>
      <c r="G4746">
        <v>-417.01400000000001</v>
      </c>
      <c r="H4746" s="1">
        <v>-7.2416149999999996E-6</v>
      </c>
      <c r="I4746">
        <v>132.91839999999999</v>
      </c>
      <c r="J4746">
        <v>-417.2645</v>
      </c>
      <c r="K4746">
        <v>1.1329979999999999</v>
      </c>
      <c r="L4746">
        <v>137.26750000000001</v>
      </c>
      <c r="M4746">
        <v>-0.75997879999999995</v>
      </c>
      <c r="N4746">
        <v>-1.6937219999999999E-2</v>
      </c>
      <c r="O4746">
        <v>-0.64972739999999995</v>
      </c>
      <c r="P4746">
        <v>-0.55188599999999999</v>
      </c>
      <c r="Q4746">
        <v>-0.1025151</v>
      </c>
      <c r="R4746">
        <v>-0.82759470000000002</v>
      </c>
      <c r="S4746">
        <v>-0.16369629999999999</v>
      </c>
      <c r="T4746">
        <v>-0.83453869999999897</v>
      </c>
      <c r="U4746">
        <v>-3.5385279999999999</v>
      </c>
      <c r="V4746">
        <v>-0.26777659999999998</v>
      </c>
      <c r="W4746">
        <v>-9.4164600000000001E-2</v>
      </c>
      <c r="X4746">
        <v>0.95886839999999995</v>
      </c>
      <c r="Y4746">
        <v>-0.72348269999999903</v>
      </c>
      <c r="Z4746">
        <v>5.8775979999999999E-2</v>
      </c>
      <c r="AA4746">
        <v>0.68783589999999994</v>
      </c>
      <c r="AB4746">
        <v>23</v>
      </c>
      <c r="AC4746">
        <v>0.25049999999998801</v>
      </c>
      <c r="AD4746">
        <v>-1.133005241615</v>
      </c>
      <c r="AE4746">
        <v>-4.3491000000000204</v>
      </c>
      <c r="AF4746">
        <v>-3.2487222262290798</v>
      </c>
      <c r="AG4746">
        <v>-1.133005241615</v>
      </c>
      <c r="AH4746">
        <v>2.4687380755408399</v>
      </c>
      <c r="AI4746">
        <v>105.51874048511699</v>
      </c>
      <c r="AJ4746">
        <v>142.76841727143801</v>
      </c>
      <c r="AK4746">
        <v>4.2346858993728196</v>
      </c>
      <c r="AL4746">
        <v>95.403239678069895</v>
      </c>
      <c r="AM4746">
        <v>105.603089322339</v>
      </c>
      <c r="AN4746">
        <v>0.99999994395963798</v>
      </c>
    </row>
    <row r="4747" spans="1:40" x14ac:dyDescent="0.25">
      <c r="A4747" t="str">
        <f>"20190303154610545"</f>
        <v>20190303154610545</v>
      </c>
      <c r="B4747" t="str">
        <f>"1551599170535503"</f>
        <v>1551599170535503</v>
      </c>
      <c r="C4747" t="s">
        <v>40</v>
      </c>
      <c r="D4747">
        <v>4.6164040000000002</v>
      </c>
      <c r="E4747">
        <v>0.30122290000000002</v>
      </c>
      <c r="F4747" t="s">
        <v>61</v>
      </c>
      <c r="G4747">
        <v>-418.04300000000001</v>
      </c>
      <c r="H4747" s="1">
        <v>-5.49379E-6</v>
      </c>
      <c r="I4747">
        <v>128.94290000000001</v>
      </c>
      <c r="J4747">
        <v>-417.42989999999998</v>
      </c>
      <c r="K4747">
        <v>1.133033</v>
      </c>
      <c r="L4747">
        <v>137.09469999999999</v>
      </c>
      <c r="M4747">
        <v>-0.74615350000000003</v>
      </c>
      <c r="N4747">
        <v>-1.698121E-2</v>
      </c>
      <c r="O4747">
        <v>-0.66555750000000002</v>
      </c>
      <c r="P4747">
        <v>-0.53528140000000002</v>
      </c>
      <c r="Q4747">
        <v>-0.10367319999999999</v>
      </c>
      <c r="R4747">
        <v>-0.83828740000000002</v>
      </c>
      <c r="S4747">
        <v>-0.31411739999999999</v>
      </c>
      <c r="T4747">
        <v>-0.45714640000000001</v>
      </c>
      <c r="U4747">
        <v>-3.3588559999999998</v>
      </c>
      <c r="V4747">
        <v>-0.26658710000000002</v>
      </c>
      <c r="W4747">
        <v>-9.5267240000000003E-2</v>
      </c>
      <c r="X4747">
        <v>0.95909089999999997</v>
      </c>
      <c r="Y4747">
        <v>-0.67891809999999997</v>
      </c>
      <c r="Z4747">
        <v>3.4100279999999997E-2</v>
      </c>
      <c r="AA4747">
        <v>0.73342180000000001</v>
      </c>
      <c r="AB4747">
        <v>23</v>
      </c>
      <c r="AC4747">
        <v>-0.61310000000003095</v>
      </c>
      <c r="AD4747">
        <v>-1.13303849379</v>
      </c>
      <c r="AE4747">
        <v>-8.1517999999999802</v>
      </c>
      <c r="AF4747">
        <v>-5.5682904269454001</v>
      </c>
      <c r="AG4747">
        <v>-1.13303849379</v>
      </c>
      <c r="AH4747">
        <v>5.7729072817851197</v>
      </c>
      <c r="AI4747">
        <v>98.040601577539903</v>
      </c>
      <c r="AJ4747">
        <v>133.96638691180999</v>
      </c>
      <c r="AK4747">
        <v>8.1003761018430094</v>
      </c>
      <c r="AL4747">
        <v>95.466701618904196</v>
      </c>
      <c r="AM4747">
        <v>105.533703030789</v>
      </c>
      <c r="AN4747">
        <v>0.99999994168321704</v>
      </c>
    </row>
    <row r="4748" spans="1:40" x14ac:dyDescent="0.25">
      <c r="A4748" t="str">
        <f>"20190303154610603"</f>
        <v>20190303154610603</v>
      </c>
      <c r="B4748" t="str">
        <f>"1551599170596013"</f>
        <v>1551599170596013</v>
      </c>
      <c r="C4748" t="s">
        <v>40</v>
      </c>
      <c r="D4748">
        <v>5.0971109999999999</v>
      </c>
      <c r="E4748">
        <v>0.2992841</v>
      </c>
      <c r="F4748" t="s">
        <v>61</v>
      </c>
      <c r="G4748">
        <v>-418.08179999999999</v>
      </c>
      <c r="H4748" s="1">
        <v>-5.3172090000000001E-6</v>
      </c>
      <c r="I4748">
        <v>128.60069999999999</v>
      </c>
      <c r="J4748">
        <v>-417.81270000000001</v>
      </c>
      <c r="K4748">
        <v>1.133086</v>
      </c>
      <c r="L4748">
        <v>136.6645</v>
      </c>
      <c r="M4748">
        <v>-0.71114599999999994</v>
      </c>
      <c r="N4748">
        <v>-1.707266E-2</v>
      </c>
      <c r="O4748">
        <v>-0.7028373</v>
      </c>
      <c r="P4748">
        <v>-0.49371009999999999</v>
      </c>
      <c r="Q4748">
        <v>-0.1039598</v>
      </c>
      <c r="R4748">
        <v>-0.86339069999999996</v>
      </c>
      <c r="S4748">
        <v>-0.25778200000000001</v>
      </c>
      <c r="T4748">
        <v>-0.44803710000000002</v>
      </c>
      <c r="U4748">
        <v>-3.358765</v>
      </c>
      <c r="V4748">
        <v>-0.26433859999999998</v>
      </c>
      <c r="W4748">
        <v>-9.5424309999999998E-2</v>
      </c>
      <c r="X4748">
        <v>0.95969749999999998</v>
      </c>
      <c r="Y4748">
        <v>-0.65355909999999995</v>
      </c>
      <c r="Z4748">
        <v>4.1485620000000001E-2</v>
      </c>
      <c r="AA4748">
        <v>0.75573769999999996</v>
      </c>
      <c r="AB4748">
        <v>23</v>
      </c>
      <c r="AC4748">
        <v>-0.26909999999998002</v>
      </c>
      <c r="AD4748">
        <v>-1.133091317209</v>
      </c>
      <c r="AE4748">
        <v>-8.0638000000000094</v>
      </c>
      <c r="AF4748">
        <v>-5.4389421310144197</v>
      </c>
      <c r="AG4748">
        <v>-1.133091317209</v>
      </c>
      <c r="AH4748">
        <v>5.74642655075849</v>
      </c>
      <c r="AI4748">
        <v>98.149770338637893</v>
      </c>
      <c r="AJ4748">
        <v>133.42534258770101</v>
      </c>
      <c r="AK4748">
        <v>7.9929597484861796</v>
      </c>
      <c r="AL4748">
        <v>95.475741973165398</v>
      </c>
      <c r="AM4748">
        <v>105.399659677676</v>
      </c>
      <c r="AN4748">
        <v>0.99999999294759301</v>
      </c>
    </row>
    <row r="4749" spans="1:40" x14ac:dyDescent="0.25">
      <c r="A4749" t="str">
        <f>"20190303154610631"</f>
        <v>20190303154610631</v>
      </c>
      <c r="B4749" t="str">
        <f>"1551599170626270"</f>
        <v>1551599170626270</v>
      </c>
      <c r="C4749" t="s">
        <v>40</v>
      </c>
      <c r="D4749">
        <v>4.9627030000000003</v>
      </c>
      <c r="E4749">
        <v>0.33399820000000002</v>
      </c>
      <c r="F4749" t="s">
        <v>61</v>
      </c>
      <c r="G4749">
        <v>-418.02510000000001</v>
      </c>
      <c r="H4749" s="1">
        <v>-4.9339450000000001E-6</v>
      </c>
      <c r="I4749">
        <v>127.8421</v>
      </c>
      <c r="J4749">
        <v>-417.98739999999998</v>
      </c>
      <c r="K4749">
        <v>1.133095</v>
      </c>
      <c r="L4749">
        <v>136.45140000000001</v>
      </c>
      <c r="M4749">
        <v>-0.69354609999999906</v>
      </c>
      <c r="N4749">
        <v>-1.7106679999999999E-2</v>
      </c>
      <c r="O4749">
        <v>-0.72020919999999999</v>
      </c>
      <c r="P4749">
        <v>-0.4734776</v>
      </c>
      <c r="Q4749">
        <v>-0.1047106</v>
      </c>
      <c r="R4749">
        <v>-0.87455989999999995</v>
      </c>
      <c r="S4749">
        <v>-8.1298830000000002E-2</v>
      </c>
      <c r="T4749">
        <v>-0.43358560000000002</v>
      </c>
      <c r="U4749">
        <v>-3.3759769999999998</v>
      </c>
      <c r="V4749">
        <v>-0.26286340000000002</v>
      </c>
      <c r="W4749">
        <v>-9.6096310000000004E-2</v>
      </c>
      <c r="X4749">
        <v>0.96003559999999999</v>
      </c>
      <c r="Y4749">
        <v>-0.67429490000000003</v>
      </c>
      <c r="Z4749">
        <v>4.0739379999999999E-2</v>
      </c>
      <c r="AA4749">
        <v>0.73733760000000004</v>
      </c>
      <c r="AB4749">
        <v>23</v>
      </c>
      <c r="AC4749">
        <v>-3.77000000000293E-2</v>
      </c>
      <c r="AD4749">
        <v>-1.1330999339450001</v>
      </c>
      <c r="AE4749">
        <v>-8.6092999999999993</v>
      </c>
      <c r="AF4749">
        <v>-5.8434452193555302</v>
      </c>
      <c r="AG4749">
        <v>-1.1330999339450001</v>
      </c>
      <c r="AH4749">
        <v>6.1215190660695802</v>
      </c>
      <c r="AI4749">
        <v>97.626089817381995</v>
      </c>
      <c r="AJ4749">
        <v>133.668647073942</v>
      </c>
      <c r="AK4749">
        <v>8.5383114939763498</v>
      </c>
      <c r="AL4749">
        <v>95.514422399965596</v>
      </c>
      <c r="AM4749">
        <v>105.31262457437499</v>
      </c>
      <c r="AN4749">
        <v>1.0000000105612601</v>
      </c>
    </row>
    <row r="4750" spans="1:40" x14ac:dyDescent="0.25">
      <c r="A4750" t="str">
        <f>"20190303154610653"</f>
        <v>20190303154610653</v>
      </c>
      <c r="B4750" t="str">
        <f>"1551599170645790"</f>
        <v>1551599170645790</v>
      </c>
      <c r="C4750" t="s">
        <v>40</v>
      </c>
      <c r="D4750">
        <v>4.9333910000000003</v>
      </c>
      <c r="E4750">
        <v>0.31932670000000002</v>
      </c>
      <c r="F4750" t="s">
        <v>61</v>
      </c>
      <c r="G4750">
        <v>-418.63209999999998</v>
      </c>
      <c r="H4750" s="1">
        <v>-4.95098E-6</v>
      </c>
      <c r="I4750">
        <v>127.94459999999999</v>
      </c>
      <c r="J4750">
        <v>-418.12209999999999</v>
      </c>
      <c r="K4750">
        <v>1.133089</v>
      </c>
      <c r="L4750">
        <v>136.27969999999999</v>
      </c>
      <c r="M4750">
        <v>-0.67925069999999999</v>
      </c>
      <c r="N4750">
        <v>-1.7129760000000001E-2</v>
      </c>
      <c r="O4750">
        <v>-0.73370639999999998</v>
      </c>
      <c r="P4750">
        <v>-0.45845200000000003</v>
      </c>
      <c r="Q4750">
        <v>-0.1057155</v>
      </c>
      <c r="R4750">
        <v>-0.88240929999999995</v>
      </c>
      <c r="S4750">
        <v>-0.2459412</v>
      </c>
      <c r="T4750">
        <v>-0.43228949999999999</v>
      </c>
      <c r="U4750">
        <v>-3.2454070000000002</v>
      </c>
      <c r="V4750">
        <v>-0.26029999999999998</v>
      </c>
      <c r="W4750">
        <v>-9.6989859999999997E-2</v>
      </c>
      <c r="X4750">
        <v>0.96064400000000005</v>
      </c>
      <c r="Y4750">
        <v>-0.6204018</v>
      </c>
      <c r="Z4750">
        <v>4.9114209999999998E-2</v>
      </c>
      <c r="AA4750">
        <v>0.78274480000000002</v>
      </c>
      <c r="AB4750">
        <v>23</v>
      </c>
      <c r="AC4750">
        <v>-0.50999999999999002</v>
      </c>
      <c r="AD4750">
        <v>-1.13309395098</v>
      </c>
      <c r="AE4750">
        <v>-8.33509999999999</v>
      </c>
      <c r="AF4750">
        <v>-5.1926048607921302</v>
      </c>
      <c r="AG4750">
        <v>-1.13309395098</v>
      </c>
      <c r="AH4750">
        <v>6.3460425991517999</v>
      </c>
      <c r="AI4750">
        <v>97.867699908954705</v>
      </c>
      <c r="AJ4750">
        <v>129.29150620638899</v>
      </c>
      <c r="AK4750">
        <v>8.2776387824257593</v>
      </c>
      <c r="AL4750">
        <v>95.565859326384896</v>
      </c>
      <c r="AM4750">
        <v>105.161046134342</v>
      </c>
      <c r="AN4750">
        <v>1.0000000088394001</v>
      </c>
    </row>
    <row r="4751" spans="1:40" x14ac:dyDescent="0.25">
      <c r="A4751" t="str">
        <f>"20190303154610675"</f>
        <v>20190303154610675</v>
      </c>
      <c r="B4751" t="str">
        <f>"1551599170666286"</f>
        <v>1551599170666286</v>
      </c>
      <c r="C4751" t="s">
        <v>40</v>
      </c>
      <c r="D4751">
        <v>4.9337689999999998</v>
      </c>
      <c r="E4751">
        <v>0.32264419999999999</v>
      </c>
      <c r="F4751" t="s">
        <v>61</v>
      </c>
      <c r="G4751">
        <v>-418.4015</v>
      </c>
      <c r="H4751" s="1">
        <v>-4.0651070000000002E-6</v>
      </c>
      <c r="I4751">
        <v>126.1798</v>
      </c>
      <c r="J4751">
        <v>-418.24759999999998</v>
      </c>
      <c r="K4751">
        <v>1.133081</v>
      </c>
      <c r="L4751">
        <v>136.1131</v>
      </c>
      <c r="M4751">
        <v>-0.66530100000000003</v>
      </c>
      <c r="N4751">
        <v>-1.714827E-2</v>
      </c>
      <c r="O4751">
        <v>-0.74637830000000005</v>
      </c>
      <c r="P4751">
        <v>-0.44383030000000001</v>
      </c>
      <c r="Q4751">
        <v>-0.1044093</v>
      </c>
      <c r="R4751">
        <v>-0.89000769999999996</v>
      </c>
      <c r="S4751">
        <v>-9.1491699999999995E-2</v>
      </c>
      <c r="T4751">
        <v>-0.3710968</v>
      </c>
      <c r="U4751">
        <v>-3.3077999999999999</v>
      </c>
      <c r="V4751">
        <v>-0.2581927</v>
      </c>
      <c r="W4751">
        <v>-9.5582200000000006E-2</v>
      </c>
      <c r="X4751">
        <v>0.96135349999999997</v>
      </c>
      <c r="Y4751">
        <v>-0.64316209999999996</v>
      </c>
      <c r="Z4751">
        <v>3.9364209999999997E-2</v>
      </c>
      <c r="AA4751">
        <v>0.7647176</v>
      </c>
      <c r="AB4751">
        <v>23</v>
      </c>
      <c r="AC4751">
        <v>-0.15390000000002099</v>
      </c>
      <c r="AD4751">
        <v>-1.1330850651069999</v>
      </c>
      <c r="AE4751">
        <v>-9.9332999999999991</v>
      </c>
      <c r="AF4751">
        <v>-6.4113187562119602</v>
      </c>
      <c r="AG4751">
        <v>-1.1330850651069999</v>
      </c>
      <c r="AH4751">
        <v>7.4209576268779802</v>
      </c>
      <c r="AI4751">
        <v>96.590695122038795</v>
      </c>
      <c r="AJ4751">
        <v>130.82529743170201</v>
      </c>
      <c r="AK4751">
        <v>9.8721579230906897</v>
      </c>
      <c r="AL4751">
        <v>95.484829962185003</v>
      </c>
      <c r="AM4751">
        <v>105.03329243597101</v>
      </c>
      <c r="AN4751">
        <v>0.99999998962618997</v>
      </c>
    </row>
    <row r="4752" spans="1:40" x14ac:dyDescent="0.25">
      <c r="A4752" t="str">
        <f>"20190303154610715"</f>
        <v>20190303154610715</v>
      </c>
      <c r="B4752" t="str">
        <f>"1551599170706301"</f>
        <v>1551599170706301</v>
      </c>
      <c r="C4752" t="s">
        <v>40</v>
      </c>
      <c r="D4752">
        <v>5.0051920000000001</v>
      </c>
      <c r="E4752">
        <v>0.35348629999999998</v>
      </c>
      <c r="F4752" t="s">
        <v>61</v>
      </c>
      <c r="G4752">
        <v>-418.43799999999999</v>
      </c>
      <c r="H4752" s="1">
        <v>-3.8793950000000001E-6</v>
      </c>
      <c r="I4752">
        <v>125.81950000000001</v>
      </c>
      <c r="J4752">
        <v>-418.47320000000002</v>
      </c>
      <c r="K4752">
        <v>1.1330469999999999</v>
      </c>
      <c r="L4752">
        <v>135.79560000000001</v>
      </c>
      <c r="M4752">
        <v>-0.63852869999999995</v>
      </c>
      <c r="N4752">
        <v>-1.7172090000000001E-2</v>
      </c>
      <c r="O4752">
        <v>-0.76940629999999999</v>
      </c>
      <c r="P4752">
        <v>-0.41623939999999998</v>
      </c>
      <c r="Q4752">
        <v>-0.1031507</v>
      </c>
      <c r="R4752">
        <v>-0.90338499999999999</v>
      </c>
      <c r="S4752">
        <v>-6.1004639999999999E-2</v>
      </c>
      <c r="T4752">
        <v>-0.3630043</v>
      </c>
      <c r="U4752">
        <v>-3.2977599999999998</v>
      </c>
      <c r="V4752">
        <v>-0.25396609999999997</v>
      </c>
      <c r="W4752">
        <v>-9.4125200000000006E-2</v>
      </c>
      <c r="X4752">
        <v>0.96262230000000004</v>
      </c>
      <c r="Y4752">
        <v>-0.62306669999999997</v>
      </c>
      <c r="Z4752">
        <v>4.2842760000000001E-2</v>
      </c>
      <c r="AA4752">
        <v>0.78099449999999904</v>
      </c>
      <c r="AB4752">
        <v>23</v>
      </c>
      <c r="AC4752">
        <v>3.51999999999748E-2</v>
      </c>
      <c r="AD4752">
        <v>-1.1330508793949901</v>
      </c>
      <c r="AE4752">
        <v>-9.9761000000000006</v>
      </c>
      <c r="AF4752">
        <v>-6.3165727577575801</v>
      </c>
      <c r="AG4752">
        <v>-1.1330508793949901</v>
      </c>
      <c r="AH4752">
        <v>7.5568479224350096</v>
      </c>
      <c r="AI4752">
        <v>96.562509015636095</v>
      </c>
      <c r="AJ4752">
        <v>129.89137392876401</v>
      </c>
      <c r="AK4752">
        <v>9.9140731398428503</v>
      </c>
      <c r="AL4752">
        <v>95.400971779898299</v>
      </c>
      <c r="AM4752">
        <v>104.779430155179</v>
      </c>
      <c r="AN4752">
        <v>1.00000001284077</v>
      </c>
    </row>
    <row r="4753" spans="1:40" x14ac:dyDescent="0.25">
      <c r="A4753" t="str">
        <f>"20190303154610738"</f>
        <v>20190303154610738</v>
      </c>
      <c r="B4753" t="str">
        <f>"1551599170725821"</f>
        <v>1551599170725821</v>
      </c>
      <c r="C4753" t="s">
        <v>40</v>
      </c>
      <c r="D4753">
        <v>5.0632890000000002</v>
      </c>
      <c r="E4753">
        <v>0.40427190000000002</v>
      </c>
      <c r="F4753" t="s">
        <v>42</v>
      </c>
      <c r="G4753">
        <v>-418.52879999999999</v>
      </c>
      <c r="H4753">
        <v>1.045658</v>
      </c>
      <c r="I4753">
        <v>134.85140000000001</v>
      </c>
      <c r="J4753">
        <v>-418.59800000000001</v>
      </c>
      <c r="K4753">
        <v>1.1330129999999901</v>
      </c>
      <c r="L4753">
        <v>135.60939999999999</v>
      </c>
      <c r="M4753">
        <v>-0.62272229999999995</v>
      </c>
      <c r="N4753">
        <v>-1.7179750000000001E-2</v>
      </c>
      <c r="O4753">
        <v>-0.78225419999999901</v>
      </c>
      <c r="P4753">
        <v>-0.40179150000000002</v>
      </c>
      <c r="Q4753">
        <v>-0.10618519999999899</v>
      </c>
      <c r="R4753">
        <v>-0.90955399999999997</v>
      </c>
      <c r="S4753">
        <v>-0.18801880000000001</v>
      </c>
      <c r="T4753">
        <v>-0.2961512</v>
      </c>
      <c r="U4753">
        <v>-3.2003780000000002</v>
      </c>
      <c r="V4753">
        <v>-0.2494036</v>
      </c>
      <c r="W4753">
        <v>-9.6982159999999998E-2</v>
      </c>
      <c r="X4753">
        <v>0.96353120000000003</v>
      </c>
      <c r="Y4753">
        <v>-0.57503309999999996</v>
      </c>
      <c r="Z4753">
        <v>3.7106390000000003E-2</v>
      </c>
      <c r="AA4753">
        <v>0.81728819999999902</v>
      </c>
      <c r="AB4753">
        <v>22</v>
      </c>
      <c r="AC4753">
        <v>6.9200000000023396E-2</v>
      </c>
      <c r="AD4753">
        <v>-8.7354999999999794E-2</v>
      </c>
      <c r="AE4753">
        <v>-0.75799999999998102</v>
      </c>
      <c r="AF4753">
        <v>-0.51939206881903599</v>
      </c>
      <c r="AG4753">
        <v>-8.7354999999999794E-2</v>
      </c>
      <c r="AH4753">
        <v>0.54278821503094099</v>
      </c>
      <c r="AI4753">
        <v>96.632479106110097</v>
      </c>
      <c r="AJ4753">
        <v>133.73817681521999</v>
      </c>
      <c r="AK4753">
        <v>0.75631875790145098</v>
      </c>
      <c r="AL4753">
        <v>95.565415917555299</v>
      </c>
      <c r="AM4753">
        <v>104.512121399666</v>
      </c>
      <c r="AN4753">
        <v>1.0000000342123301</v>
      </c>
    </row>
    <row r="4754" spans="1:40" x14ac:dyDescent="0.25">
      <c r="A4754" t="str">
        <f>"20190303154610760"</f>
        <v>20190303154610760</v>
      </c>
      <c r="B4754" t="str">
        <f>"1551599170756078"</f>
        <v>1551599170756078</v>
      </c>
      <c r="C4754" t="s">
        <v>40</v>
      </c>
      <c r="D4754">
        <v>5.0774339999999896</v>
      </c>
      <c r="E4754">
        <v>0.4084622</v>
      </c>
      <c r="F4754" t="s">
        <v>42</v>
      </c>
      <c r="G4754">
        <v>-418.74540000000002</v>
      </c>
      <c r="H4754">
        <v>1.0662160000000001</v>
      </c>
      <c r="I4754">
        <v>134.73419999999999</v>
      </c>
      <c r="J4754">
        <v>-418.71640000000002</v>
      </c>
      <c r="K4754">
        <v>1.1329689999999999</v>
      </c>
      <c r="L4754">
        <v>135.4247</v>
      </c>
      <c r="M4754">
        <v>-0.60699139999999996</v>
      </c>
      <c r="N4754">
        <v>-1.7183150000000001E-2</v>
      </c>
      <c r="O4754">
        <v>-0.79452279999999997</v>
      </c>
      <c r="P4754">
        <v>-0.39015919999999998</v>
      </c>
      <c r="Q4754">
        <v>-0.1103726</v>
      </c>
      <c r="R4754">
        <v>-0.91410820000000004</v>
      </c>
      <c r="S4754">
        <v>-0.51300049999999997</v>
      </c>
      <c r="T4754">
        <v>-0.23238149999999999</v>
      </c>
      <c r="U4754">
        <v>-3.0445859999999998</v>
      </c>
      <c r="V4754">
        <v>-0.24206359999999999</v>
      </c>
      <c r="W4754">
        <v>-0.1009032</v>
      </c>
      <c r="X4754">
        <v>0.96499939999999995</v>
      </c>
      <c r="Y4754">
        <v>-0.46619440000000001</v>
      </c>
      <c r="Z4754">
        <v>3.2183379999999998E-2</v>
      </c>
      <c r="AA4754">
        <v>0.88409669999999896</v>
      </c>
      <c r="AB4754">
        <v>22</v>
      </c>
      <c r="AC4754">
        <v>-2.89999999999963E-2</v>
      </c>
      <c r="AD4754">
        <v>-6.6753000000000007E-2</v>
      </c>
      <c r="AE4754">
        <v>-0.69050000000001399</v>
      </c>
      <c r="AF4754">
        <v>-0.39248323632884102</v>
      </c>
      <c r="AG4754">
        <v>-6.6753000000000007E-2</v>
      </c>
      <c r="AH4754">
        <v>0.56106988223050902</v>
      </c>
      <c r="AI4754">
        <v>95.568134222234406</v>
      </c>
      <c r="AJ4754">
        <v>124.97380739117099</v>
      </c>
      <c r="AK4754">
        <v>0.68796690803723903</v>
      </c>
      <c r="AL4754">
        <v>95.791182865167002</v>
      </c>
      <c r="AM4754">
        <v>104.08170786108801</v>
      </c>
      <c r="AN4754">
        <v>1.0000000421077699</v>
      </c>
    </row>
    <row r="4755" spans="1:40" x14ac:dyDescent="0.25">
      <c r="A4755" t="str">
        <f>"20190303154610784"</f>
        <v>20190303154610784</v>
      </c>
      <c r="B4755" t="str">
        <f>"1551599170775598"</f>
        <v>1551599170775598</v>
      </c>
      <c r="C4755" t="s">
        <v>40</v>
      </c>
      <c r="D4755">
        <v>4.4006800000000004</v>
      </c>
      <c r="E4755">
        <v>0.40969909999999998</v>
      </c>
      <c r="F4755" t="s">
        <v>61</v>
      </c>
      <c r="G4755">
        <v>-420.88760000000002</v>
      </c>
      <c r="H4755" s="1">
        <v>-1.984308E-6</v>
      </c>
      <c r="I4755">
        <v>122.3489</v>
      </c>
      <c r="J4755">
        <v>-418.83199999999999</v>
      </c>
      <c r="K4755">
        <v>1.1329089999999999</v>
      </c>
      <c r="L4755">
        <v>135.2355</v>
      </c>
      <c r="M4755">
        <v>-0.59085279999999996</v>
      </c>
      <c r="N4755">
        <v>-1.7182030000000001E-2</v>
      </c>
      <c r="O4755">
        <v>-0.80659639999999999</v>
      </c>
      <c r="P4755">
        <v>-0.3780848</v>
      </c>
      <c r="Q4755">
        <v>-0.1131206</v>
      </c>
      <c r="R4755">
        <v>-0.91883360000000003</v>
      </c>
      <c r="S4755">
        <v>-0.50396730000000001</v>
      </c>
      <c r="T4755">
        <v>-0.26297330000000002</v>
      </c>
      <c r="U4755">
        <v>-3.0350190000000001</v>
      </c>
      <c r="V4755">
        <v>-0.23506669999999999</v>
      </c>
      <c r="W4755">
        <v>-0.1033951</v>
      </c>
      <c r="X4755">
        <v>0.9664642</v>
      </c>
      <c r="Y4755">
        <v>-0.45040930000000001</v>
      </c>
      <c r="Z4755">
        <v>4.0519119999999999E-2</v>
      </c>
      <c r="AA4755">
        <v>0.89190230000000004</v>
      </c>
      <c r="AB4755">
        <v>22</v>
      </c>
      <c r="AC4755">
        <v>-2.0556000000000201</v>
      </c>
      <c r="AD4755">
        <v>-1.1329109843080001</v>
      </c>
      <c r="AE4755">
        <v>-12.8866</v>
      </c>
      <c r="AF4755">
        <v>-5.9123616039208899</v>
      </c>
      <c r="AG4755">
        <v>-1.1329109843080001</v>
      </c>
      <c r="AH4755">
        <v>11.5237011791186</v>
      </c>
      <c r="AI4755">
        <v>94.998975254170404</v>
      </c>
      <c r="AJ4755">
        <v>117.16059023897201</v>
      </c>
      <c r="AK4755">
        <v>13.00135361797</v>
      </c>
      <c r="AL4755">
        <v>95.934709421944802</v>
      </c>
      <c r="AM4755">
        <v>103.670233217614</v>
      </c>
      <c r="AN4755">
        <v>0.999999975017269</v>
      </c>
    </row>
    <row r="4756" spans="1:40" x14ac:dyDescent="0.25">
      <c r="A4756" t="str">
        <f>"20190303154610804"</f>
        <v>20190303154610804</v>
      </c>
      <c r="B4756" t="str">
        <f>"1551599170796093"</f>
        <v>1551599170796093</v>
      </c>
      <c r="C4756" t="s">
        <v>40</v>
      </c>
      <c r="D4756">
        <v>5.0745610000000001</v>
      </c>
      <c r="E4756">
        <v>0.41284579999999999</v>
      </c>
      <c r="F4756" t="s">
        <v>42</v>
      </c>
      <c r="G4756">
        <v>-418.98649999999998</v>
      </c>
      <c r="H4756">
        <v>1.043676</v>
      </c>
      <c r="I4756">
        <v>134.24440000000001</v>
      </c>
      <c r="J4756">
        <v>-418.93630000000002</v>
      </c>
      <c r="K4756">
        <v>1.132841</v>
      </c>
      <c r="L4756">
        <v>135.05709999999999</v>
      </c>
      <c r="M4756">
        <v>-0.57559899999999997</v>
      </c>
      <c r="N4756">
        <v>-1.717662E-2</v>
      </c>
      <c r="O4756">
        <v>-0.8175519</v>
      </c>
      <c r="P4756">
        <v>-0.36642550000000002</v>
      </c>
      <c r="Q4756">
        <v>-0.113483399999999</v>
      </c>
      <c r="R4756">
        <v>-0.92350109999999996</v>
      </c>
      <c r="S4756">
        <v>-0.47311399999999998</v>
      </c>
      <c r="T4756">
        <v>-0.27333150000000001</v>
      </c>
      <c r="U4756">
        <v>-3.036667</v>
      </c>
      <c r="V4756">
        <v>-0.22913339999999999</v>
      </c>
      <c r="W4756">
        <v>-0.10353519999999899</v>
      </c>
      <c r="X4756">
        <v>0.96787310000000004</v>
      </c>
      <c r="Y4756">
        <v>-0.44255699999999998</v>
      </c>
      <c r="Z4756">
        <v>4.4259310000000003E-2</v>
      </c>
      <c r="AA4756">
        <v>0.89564750000000004</v>
      </c>
      <c r="AB4756">
        <v>22</v>
      </c>
      <c r="AC4756">
        <v>-5.0199999999961102E-2</v>
      </c>
      <c r="AD4756">
        <v>-8.9164999999999897E-2</v>
      </c>
      <c r="AE4756">
        <v>-0.812699999999978</v>
      </c>
      <c r="AF4756">
        <v>-0.42175362407310601</v>
      </c>
      <c r="AG4756">
        <v>-8.9164999999999897E-2</v>
      </c>
      <c r="AH4756">
        <v>0.68520502253706905</v>
      </c>
      <c r="AI4756">
        <v>96.323656607877098</v>
      </c>
      <c r="AJ4756">
        <v>121.61289949491</v>
      </c>
      <c r="AK4756">
        <v>0.80952605860084903</v>
      </c>
      <c r="AL4756">
        <v>95.942779754151701</v>
      </c>
      <c r="AM4756">
        <v>103.318942466433</v>
      </c>
      <c r="AN4756">
        <v>0.99999999516910498</v>
      </c>
    </row>
    <row r="4757" spans="1:40" x14ac:dyDescent="0.25">
      <c r="A4757" t="str">
        <f>"20190303154610832"</f>
        <v>20190303154610832</v>
      </c>
      <c r="B4757" t="str">
        <f>"1551599170826350"</f>
        <v>1551599170826350</v>
      </c>
      <c r="C4757" t="s">
        <v>40</v>
      </c>
      <c r="D4757">
        <v>5.0665950000000004</v>
      </c>
      <c r="E4757">
        <v>0.41673199999999999</v>
      </c>
      <c r="F4757" t="s">
        <v>42</v>
      </c>
      <c r="G4757">
        <v>-419.08839999999998</v>
      </c>
      <c r="H4757">
        <v>1.040489</v>
      </c>
      <c r="I4757">
        <v>134.0505</v>
      </c>
      <c r="J4757">
        <v>-419.0616</v>
      </c>
      <c r="K4757">
        <v>1.13274599999999</v>
      </c>
      <c r="L4757">
        <v>134.83179999999999</v>
      </c>
      <c r="M4757">
        <v>-0.55632119999999996</v>
      </c>
      <c r="N4757">
        <v>-1.7163709999999999E-2</v>
      </c>
      <c r="O4757">
        <v>-0.83078999999999903</v>
      </c>
      <c r="P4757">
        <v>-0.34979480000000002</v>
      </c>
      <c r="Q4757">
        <v>-0.1137813</v>
      </c>
      <c r="R4757">
        <v>-0.92989100000000002</v>
      </c>
      <c r="S4757">
        <v>-0.45767210000000003</v>
      </c>
      <c r="T4757">
        <v>-0.27817890000000001</v>
      </c>
      <c r="U4757">
        <v>-3.0327299999999999</v>
      </c>
      <c r="V4757">
        <v>-0.22386420000000001</v>
      </c>
      <c r="W4757">
        <v>-0.1036286</v>
      </c>
      <c r="X4757">
        <v>0.96909540000000005</v>
      </c>
      <c r="Y4757">
        <v>-0.42583690000000002</v>
      </c>
      <c r="Z4757">
        <v>4.7500229999999997E-2</v>
      </c>
      <c r="AA4757">
        <v>0.90355220000000003</v>
      </c>
      <c r="AB4757">
        <v>22</v>
      </c>
      <c r="AC4757">
        <v>-2.67999999999801E-2</v>
      </c>
      <c r="AD4757">
        <v>-9.2256999999999798E-2</v>
      </c>
      <c r="AE4757">
        <v>-0.781299999999987</v>
      </c>
      <c r="AF4757">
        <v>-0.40678414597811402</v>
      </c>
      <c r="AG4757">
        <v>-9.2256999999999798E-2</v>
      </c>
      <c r="AH4757">
        <v>0.65498167820609698</v>
      </c>
      <c r="AI4757">
        <v>96.823316064654307</v>
      </c>
      <c r="AJ4757">
        <v>121.842839251961</v>
      </c>
      <c r="AK4757">
        <v>0.77652153495818699</v>
      </c>
      <c r="AL4757">
        <v>95.948160208698098</v>
      </c>
      <c r="AM4757">
        <v>103.007347236684</v>
      </c>
      <c r="AN4757">
        <v>0.99999998054037897</v>
      </c>
    </row>
    <row r="4758" spans="1:40" x14ac:dyDescent="0.25">
      <c r="A4758" t="str">
        <f>"20190303154610856"</f>
        <v>20190303154610856</v>
      </c>
      <c r="B4758" t="str">
        <f>"1551599170845870"</f>
        <v>1551599170845870</v>
      </c>
      <c r="C4758" t="s">
        <v>40</v>
      </c>
      <c r="D4758">
        <v>5.0581529999999999</v>
      </c>
      <c r="E4758">
        <v>0.41773460000000001</v>
      </c>
      <c r="F4758" t="s">
        <v>61</v>
      </c>
      <c r="G4758">
        <v>-420.77910000000003</v>
      </c>
      <c r="H4758" s="1">
        <v>-2.2273770000000001E-6</v>
      </c>
      <c r="I4758">
        <v>122.77670000000001</v>
      </c>
      <c r="J4758">
        <v>-419.17020000000002</v>
      </c>
      <c r="K4758">
        <v>1.1326419999999999</v>
      </c>
      <c r="L4758">
        <v>134.6266</v>
      </c>
      <c r="M4758">
        <v>-0.53875819999999996</v>
      </c>
      <c r="N4758">
        <v>-1.714618E-2</v>
      </c>
      <c r="O4758">
        <v>-0.84228599999999998</v>
      </c>
      <c r="P4758">
        <v>-0.3362521</v>
      </c>
      <c r="Q4758">
        <v>-0.1153463</v>
      </c>
      <c r="R4758">
        <v>-0.93468189999999995</v>
      </c>
      <c r="S4758">
        <v>-0.43154910000000002</v>
      </c>
      <c r="T4758">
        <v>-0.28461920000000002</v>
      </c>
      <c r="U4758">
        <v>-3.029007</v>
      </c>
      <c r="V4758">
        <v>-0.2174778</v>
      </c>
      <c r="W4758">
        <v>-0.10495989999999999</v>
      </c>
      <c r="X4758">
        <v>0.97040550000000003</v>
      </c>
      <c r="Y4758">
        <v>-0.41430889999999998</v>
      </c>
      <c r="Z4758">
        <v>5.0837399999999998E-2</v>
      </c>
      <c r="AA4758">
        <v>0.90871539999999995</v>
      </c>
      <c r="AB4758">
        <v>22</v>
      </c>
      <c r="AC4758">
        <v>-1.6089</v>
      </c>
      <c r="AD4758">
        <v>-1.1326442273770001</v>
      </c>
      <c r="AE4758">
        <v>-11.8498999999999</v>
      </c>
      <c r="AF4758">
        <v>-4.9850963984509198</v>
      </c>
      <c r="AG4758">
        <v>-1.1326442273770001</v>
      </c>
      <c r="AH4758">
        <v>10.752946284424199</v>
      </c>
      <c r="AI4758">
        <v>95.458793137382102</v>
      </c>
      <c r="AJ4758">
        <v>114.872572801419</v>
      </c>
      <c r="AK4758">
        <v>11.9062976127497</v>
      </c>
      <c r="AL4758">
        <v>96.024856207494096</v>
      </c>
      <c r="AM4758">
        <v>102.63185070627701</v>
      </c>
      <c r="AN4758">
        <v>1.0000000042655499</v>
      </c>
    </row>
    <row r="4759" spans="1:40" x14ac:dyDescent="0.25">
      <c r="A4759" t="str">
        <f>"20190303154610894"</f>
        <v>20190303154610894</v>
      </c>
      <c r="B4759" t="str">
        <f>"1551599170885902"</f>
        <v>1551599170885902</v>
      </c>
      <c r="C4759" t="s">
        <v>40</v>
      </c>
      <c r="D4759">
        <v>5.0771139999999999</v>
      </c>
      <c r="E4759">
        <v>0.43337290000000001</v>
      </c>
      <c r="F4759" t="s">
        <v>61</v>
      </c>
      <c r="G4759">
        <v>-420.69900000000001</v>
      </c>
      <c r="H4759" s="1">
        <v>-2.2771749999999999E-6</v>
      </c>
      <c r="I4759">
        <v>122.8886</v>
      </c>
      <c r="J4759">
        <v>-419.33170000000001</v>
      </c>
      <c r="K4759">
        <v>1.1323890000000001</v>
      </c>
      <c r="L4759">
        <v>134.3004</v>
      </c>
      <c r="M4759">
        <v>-0.51097510000000002</v>
      </c>
      <c r="N4759">
        <v>-1.709801E-2</v>
      </c>
      <c r="O4759">
        <v>-0.85942559999999901</v>
      </c>
      <c r="P4759">
        <v>-0.31748290000000001</v>
      </c>
      <c r="Q4759">
        <v>-0.1232864</v>
      </c>
      <c r="R4759">
        <v>-0.94021560000000004</v>
      </c>
      <c r="S4759">
        <v>-0.39483639999999998</v>
      </c>
      <c r="T4759">
        <v>-0.29252109999999998</v>
      </c>
      <c r="U4759">
        <v>-3.0315089999999998</v>
      </c>
      <c r="V4759">
        <v>-0.20453389999999999</v>
      </c>
      <c r="W4759">
        <v>-0.112451</v>
      </c>
      <c r="X4759">
        <v>0.97237879999999999</v>
      </c>
      <c r="Y4759">
        <v>-0.39547510000000002</v>
      </c>
      <c r="Z4759">
        <v>5.5427270000000001E-2</v>
      </c>
      <c r="AA4759">
        <v>0.91680280000000003</v>
      </c>
      <c r="AB4759">
        <v>22</v>
      </c>
      <c r="AC4759">
        <v>-1.3673</v>
      </c>
      <c r="AD4759">
        <v>-1.13239127717499</v>
      </c>
      <c r="AE4759">
        <v>-11.411799999999999</v>
      </c>
      <c r="AF4759">
        <v>-4.6119638426795202</v>
      </c>
      <c r="AG4759">
        <v>-1.13239127717499</v>
      </c>
      <c r="AH4759">
        <v>10.406763352247101</v>
      </c>
      <c r="AI4759">
        <v>95.681183048165096</v>
      </c>
      <c r="AJ4759">
        <v>113.90147766426099</v>
      </c>
      <c r="AK4759">
        <v>11.4391102783599</v>
      </c>
      <c r="AL4759">
        <v>96.456624762835702</v>
      </c>
      <c r="AM4759">
        <v>101.878646819568</v>
      </c>
      <c r="AN4759">
        <v>0.99999993716982205</v>
      </c>
    </row>
    <row r="4760" spans="1:40" x14ac:dyDescent="0.25">
      <c r="A4760" t="str">
        <f>"20190303154610916"</f>
        <v>20190303154610916</v>
      </c>
      <c r="B4760" t="str">
        <f>"1551599170906382"</f>
        <v>1551599170906382</v>
      </c>
      <c r="C4760" t="s">
        <v>40</v>
      </c>
      <c r="D4760">
        <v>5.133413</v>
      </c>
      <c r="E4760">
        <v>0.43432090000000001</v>
      </c>
      <c r="F4760" t="s">
        <v>61</v>
      </c>
      <c r="G4760">
        <v>-420.95139999999998</v>
      </c>
      <c r="H4760" s="1">
        <v>-2.7797630000000001E-6</v>
      </c>
      <c r="I4760">
        <v>123.5736</v>
      </c>
      <c r="J4760">
        <v>-419.42079999999999</v>
      </c>
      <c r="K4760">
        <v>1.132223</v>
      </c>
      <c r="L4760">
        <v>134.10839999999999</v>
      </c>
      <c r="M4760">
        <v>-0.49474980000000002</v>
      </c>
      <c r="N4760">
        <v>-1.7055520000000001E-2</v>
      </c>
      <c r="O4760">
        <v>-0.86886810000000003</v>
      </c>
      <c r="P4760">
        <v>-0.3050118</v>
      </c>
      <c r="Q4760">
        <v>-0.12506229999999999</v>
      </c>
      <c r="R4760">
        <v>-0.94410130000000003</v>
      </c>
      <c r="S4760">
        <v>-0.4524841</v>
      </c>
      <c r="T4760">
        <v>-0.3163301</v>
      </c>
      <c r="U4760">
        <v>-2.9964900000000001</v>
      </c>
      <c r="V4760">
        <v>-0.1990304</v>
      </c>
      <c r="W4760">
        <v>-0.11402610000000001</v>
      </c>
      <c r="X4760">
        <v>0.97333700000000001</v>
      </c>
      <c r="Y4760">
        <v>-0.35938700000000001</v>
      </c>
      <c r="Z4760">
        <v>6.4384899999999995E-2</v>
      </c>
      <c r="AA4760">
        <v>0.93096480000000004</v>
      </c>
      <c r="AB4760">
        <v>22</v>
      </c>
      <c r="AC4760">
        <v>-1.53059999999999</v>
      </c>
      <c r="AD4760">
        <v>-1.132225779763</v>
      </c>
      <c r="AE4760">
        <v>-10.534799999999899</v>
      </c>
      <c r="AF4760">
        <v>-3.8393346454781101</v>
      </c>
      <c r="AG4760">
        <v>-1.132225779763</v>
      </c>
      <c r="AH4760">
        <v>9.8011858154386093</v>
      </c>
      <c r="AI4760">
        <v>96.139202601840694</v>
      </c>
      <c r="AJ4760">
        <v>111.391343788502</v>
      </c>
      <c r="AK4760">
        <v>10.587051956285199</v>
      </c>
      <c r="AL4760">
        <v>96.547455294942907</v>
      </c>
      <c r="AM4760">
        <v>101.556669529879</v>
      </c>
      <c r="AN4760">
        <v>0.999999983587184</v>
      </c>
    </row>
    <row r="4761" spans="1:40" x14ac:dyDescent="0.25">
      <c r="A4761" t="str">
        <f>"20190303154610939"</f>
        <v>20190303154610939</v>
      </c>
      <c r="B4761" t="str">
        <f>"1551599170935662"</f>
        <v>1551599170935662</v>
      </c>
      <c r="C4761" t="s">
        <v>40</v>
      </c>
      <c r="D4761">
        <v>5.17361</v>
      </c>
      <c r="E4761">
        <v>0.43585230000000003</v>
      </c>
      <c r="F4761" t="s">
        <v>61</v>
      </c>
      <c r="G4761">
        <v>-420.90170000000001</v>
      </c>
      <c r="H4761" s="1">
        <v>-2.7403190000000001E-6</v>
      </c>
      <c r="I4761">
        <v>123.5324</v>
      </c>
      <c r="J4761">
        <v>-419.5111</v>
      </c>
      <c r="K4761">
        <v>1.132031</v>
      </c>
      <c r="L4761">
        <v>133.90479999999999</v>
      </c>
      <c r="M4761">
        <v>-0.47768529999999998</v>
      </c>
      <c r="N4761">
        <v>-1.6999650000000002E-2</v>
      </c>
      <c r="O4761">
        <v>-0.87836650000000005</v>
      </c>
      <c r="P4761">
        <v>-0.29229349999999998</v>
      </c>
      <c r="Q4761">
        <v>-0.126331</v>
      </c>
      <c r="R4761">
        <v>-0.94794789999999995</v>
      </c>
      <c r="S4761">
        <v>-0.41998289999999999</v>
      </c>
      <c r="T4761">
        <v>-0.32110539999999999</v>
      </c>
      <c r="U4761">
        <v>-2.9994200000000002</v>
      </c>
      <c r="V4761">
        <v>-0.19304850000000001</v>
      </c>
      <c r="W4761">
        <v>-0.115077399999999</v>
      </c>
      <c r="X4761">
        <v>0.97441750000000005</v>
      </c>
      <c r="Y4761">
        <v>-0.351195599999999</v>
      </c>
      <c r="Z4761">
        <v>6.7186399999999993E-2</v>
      </c>
      <c r="AA4761">
        <v>0.93388839999999995</v>
      </c>
      <c r="AB4761">
        <v>22</v>
      </c>
      <c r="AC4761">
        <v>-1.3906000000000001</v>
      </c>
      <c r="AD4761">
        <v>-1.1320337403189999</v>
      </c>
      <c r="AE4761">
        <v>-10.372400000000001</v>
      </c>
      <c r="AF4761">
        <v>-3.6906419577453802</v>
      </c>
      <c r="AG4761">
        <v>-1.1320337403189999</v>
      </c>
      <c r="AH4761">
        <v>9.6633795407431808</v>
      </c>
      <c r="AI4761">
        <v>96.245421351654599</v>
      </c>
      <c r="AJ4761">
        <v>110.902877737813</v>
      </c>
      <c r="AK4761">
        <v>10.405923438020499</v>
      </c>
      <c r="AL4761">
        <v>96.608089395160903</v>
      </c>
      <c r="AM4761">
        <v>101.206146869433</v>
      </c>
      <c r="AN4761">
        <v>0.99999999782463</v>
      </c>
    </row>
    <row r="4762" spans="1:40" x14ac:dyDescent="0.25">
      <c r="A4762" t="str">
        <f>"20190303154610961"</f>
        <v>20190303154610961</v>
      </c>
      <c r="B4762" t="str">
        <f>"1551599170956157"</f>
        <v>1551599170956157</v>
      </c>
      <c r="C4762" t="s">
        <v>40</v>
      </c>
      <c r="D4762">
        <v>5.1750230000000004</v>
      </c>
      <c r="E4762">
        <v>0.43631409999999998</v>
      </c>
      <c r="F4762" t="s">
        <v>61</v>
      </c>
      <c r="G4762">
        <v>-420.90309999999999</v>
      </c>
      <c r="H4762" s="1">
        <v>-2.5566330000000001E-6</v>
      </c>
      <c r="I4762">
        <v>123.2428</v>
      </c>
      <c r="J4762">
        <v>-419.59160000000003</v>
      </c>
      <c r="K4762">
        <v>1.1318280000000001</v>
      </c>
      <c r="L4762">
        <v>133.71420000000001</v>
      </c>
      <c r="M4762">
        <v>-0.46192250000000001</v>
      </c>
      <c r="N4762">
        <v>-1.6936730000000001E-2</v>
      </c>
      <c r="O4762">
        <v>-0.88675869999999901</v>
      </c>
      <c r="P4762">
        <v>-0.28168219999999999</v>
      </c>
      <c r="Q4762">
        <v>-0.1269303</v>
      </c>
      <c r="R4762">
        <v>-0.95107540000000002</v>
      </c>
      <c r="S4762">
        <v>-0.39184570000000002</v>
      </c>
      <c r="T4762">
        <v>-0.31868000000000002</v>
      </c>
      <c r="U4762">
        <v>-3.001465</v>
      </c>
      <c r="V4762">
        <v>-0.1865503</v>
      </c>
      <c r="W4762">
        <v>-0.11544450000000001</v>
      </c>
      <c r="X4762">
        <v>0.97563900000000003</v>
      </c>
      <c r="Y4762">
        <v>-0.34317219999999998</v>
      </c>
      <c r="Z4762">
        <v>6.7999749999999998E-2</v>
      </c>
      <c r="AA4762">
        <v>0.93680779999999997</v>
      </c>
      <c r="AB4762">
        <v>22</v>
      </c>
      <c r="AC4762">
        <v>-1.3114999999999599</v>
      </c>
      <c r="AD4762">
        <v>-1.131830556633</v>
      </c>
      <c r="AE4762">
        <v>-10.471399999999999</v>
      </c>
      <c r="AF4762">
        <v>-3.63273221337051</v>
      </c>
      <c r="AG4762">
        <v>-1.131830556633</v>
      </c>
      <c r="AH4762">
        <v>9.7803355437058599</v>
      </c>
      <c r="AI4762">
        <v>96.191435624049404</v>
      </c>
      <c r="AJ4762">
        <v>110.37662133741</v>
      </c>
      <c r="AK4762">
        <v>10.494415042796</v>
      </c>
      <c r="AL4762">
        <v>96.629264098865704</v>
      </c>
      <c r="AM4762">
        <v>100.824772042771</v>
      </c>
      <c r="AN4762">
        <v>0.99999995266566799</v>
      </c>
    </row>
    <row r="4763" spans="1:40" x14ac:dyDescent="0.25">
      <c r="A4763" t="str">
        <f>"20190303154610984"</f>
        <v>20190303154610984</v>
      </c>
      <c r="B4763" t="str">
        <f>"1551599170975677"</f>
        <v>1551599170975677</v>
      </c>
      <c r="C4763" t="s">
        <v>40</v>
      </c>
      <c r="D4763">
        <v>5.2080849999999996</v>
      </c>
      <c r="E4763">
        <v>0.44446350000000001</v>
      </c>
      <c r="F4763" t="s">
        <v>61</v>
      </c>
      <c r="G4763">
        <v>-420.86790000000002</v>
      </c>
      <c r="H4763" s="1">
        <v>-2.4660650000000001E-6</v>
      </c>
      <c r="I4763">
        <v>123.1151</v>
      </c>
      <c r="J4763">
        <v>-419.67149999999998</v>
      </c>
      <c r="K4763">
        <v>1.131572</v>
      </c>
      <c r="L4763">
        <v>133.51519999999999</v>
      </c>
      <c r="M4763">
        <v>-0.44574999999999998</v>
      </c>
      <c r="N4763">
        <v>-1.6855999999999999E-2</v>
      </c>
      <c r="O4763">
        <v>-0.89499889999999904</v>
      </c>
      <c r="P4763">
        <v>-0.27128849999999999</v>
      </c>
      <c r="Q4763">
        <v>-0.1270493</v>
      </c>
      <c r="R4763">
        <v>-0.95407620000000004</v>
      </c>
      <c r="S4763">
        <v>-0.3617554</v>
      </c>
      <c r="T4763">
        <v>-0.32082080000000002</v>
      </c>
      <c r="U4763">
        <v>-3.0043639999999998</v>
      </c>
      <c r="V4763">
        <v>-0.17955599999999999</v>
      </c>
      <c r="W4763">
        <v>-0.1153194</v>
      </c>
      <c r="X4763">
        <v>0.97696519999999998</v>
      </c>
      <c r="Y4763">
        <v>-0.33549309999999899</v>
      </c>
      <c r="Z4763">
        <v>6.9971290000000005E-2</v>
      </c>
      <c r="AA4763">
        <v>0.93944050000000001</v>
      </c>
      <c r="AB4763">
        <v>22</v>
      </c>
      <c r="AC4763">
        <v>-1.1964000000000301</v>
      </c>
      <c r="AD4763">
        <v>-1.131574466065</v>
      </c>
      <c r="AE4763">
        <v>-10.400099999999901</v>
      </c>
      <c r="AF4763">
        <v>-3.5243959661848399</v>
      </c>
      <c r="AG4763">
        <v>-1.131574466065</v>
      </c>
      <c r="AH4763">
        <v>9.7290984720062106</v>
      </c>
      <c r="AI4763">
        <v>96.240738584188804</v>
      </c>
      <c r="AJ4763">
        <v>109.913075753588</v>
      </c>
      <c r="AK4763">
        <v>10.409475720549199</v>
      </c>
      <c r="AL4763">
        <v>96.622048143664898</v>
      </c>
      <c r="AM4763">
        <v>100.414145369557</v>
      </c>
      <c r="AN4763">
        <v>0.99999996158169902</v>
      </c>
    </row>
    <row r="4764" spans="1:40" x14ac:dyDescent="0.25">
      <c r="A4764" t="str">
        <f>"20190303154611005"</f>
        <v>20190303154611005</v>
      </c>
      <c r="B4764" t="str">
        <f>"1551599170996173"</f>
        <v>1551599170996173</v>
      </c>
      <c r="C4764" t="s">
        <v>40</v>
      </c>
      <c r="D4764">
        <v>5.2125859999999999</v>
      </c>
      <c r="E4764">
        <v>0.44536520000000002</v>
      </c>
      <c r="F4764" t="s">
        <v>61</v>
      </c>
      <c r="G4764">
        <v>-421.14139999999998</v>
      </c>
      <c r="H4764" s="1">
        <v>-2.0248359999999998E-6</v>
      </c>
      <c r="I4764">
        <v>122.3064</v>
      </c>
      <c r="J4764">
        <v>-419.74669999999998</v>
      </c>
      <c r="K4764">
        <v>1.1313040000000001</v>
      </c>
      <c r="L4764">
        <v>133.31890000000001</v>
      </c>
      <c r="M4764">
        <v>-0.430091</v>
      </c>
      <c r="N4764">
        <v>-1.6764479999999998E-2</v>
      </c>
      <c r="O4764">
        <v>-0.90263009999999999</v>
      </c>
      <c r="P4764">
        <v>-0.2616154</v>
      </c>
      <c r="Q4764">
        <v>-0.1254046</v>
      </c>
      <c r="R4764">
        <v>-0.95699080000000003</v>
      </c>
      <c r="S4764">
        <v>-0.39245609999999997</v>
      </c>
      <c r="T4764">
        <v>-0.30211320000000003</v>
      </c>
      <c r="U4764">
        <v>-2.9925839999999999</v>
      </c>
      <c r="V4764">
        <v>-0.17264879999999999</v>
      </c>
      <c r="W4764">
        <v>-0.1134411</v>
      </c>
      <c r="X4764">
        <v>0.97842910000000005</v>
      </c>
      <c r="Y4764">
        <v>-0.3090658</v>
      </c>
      <c r="Z4764">
        <v>6.6940840000000001E-2</v>
      </c>
      <c r="AA4764">
        <v>0.94868180000000002</v>
      </c>
      <c r="AB4764">
        <v>22</v>
      </c>
      <c r="AC4764">
        <v>-1.3947000000000001</v>
      </c>
      <c r="AD4764">
        <v>-1.1313060248360001</v>
      </c>
      <c r="AE4764">
        <v>-11.012499999999999</v>
      </c>
      <c r="AF4764">
        <v>-3.4422137323445501</v>
      </c>
      <c r="AG4764">
        <v>-1.1313060248360001</v>
      </c>
      <c r="AH4764">
        <v>10.433174851118601</v>
      </c>
      <c r="AI4764">
        <v>95.879239155169401</v>
      </c>
      <c r="AJ4764">
        <v>108.259254976714</v>
      </c>
      <c r="AK4764">
        <v>11.0444477532824</v>
      </c>
      <c r="AL4764">
        <v>96.513718262241099</v>
      </c>
      <c r="AM4764">
        <v>100.00711892366</v>
      </c>
      <c r="AN4764">
        <v>0.99999999751873003</v>
      </c>
    </row>
    <row r="4765" spans="1:40" x14ac:dyDescent="0.25">
      <c r="A4765" t="str">
        <f>"20190303154611031"</f>
        <v>20190303154611031</v>
      </c>
      <c r="B4765" t="str">
        <f>"1551599171026430"</f>
        <v>1551599171026430</v>
      </c>
      <c r="C4765" t="s">
        <v>40</v>
      </c>
      <c r="D4765">
        <v>5.2368079999999999</v>
      </c>
      <c r="E4765">
        <v>0.44647009999999998</v>
      </c>
      <c r="F4765" t="s">
        <v>61</v>
      </c>
      <c r="G4765">
        <v>-421.16680000000002</v>
      </c>
      <c r="H4765" s="1">
        <v>-1.704939E-6</v>
      </c>
      <c r="I4765">
        <v>121.7925</v>
      </c>
      <c r="J4765">
        <v>-419.82740000000001</v>
      </c>
      <c r="K4765">
        <v>1.1310199999999999</v>
      </c>
      <c r="L4765">
        <v>133.0975</v>
      </c>
      <c r="M4765">
        <v>-0.41274690000000003</v>
      </c>
      <c r="N4765">
        <v>-1.6655880000000001E-2</v>
      </c>
      <c r="O4765">
        <v>-0.91069330000000004</v>
      </c>
      <c r="P4765">
        <v>-0.2494248</v>
      </c>
      <c r="Q4765">
        <v>-0.12320970000000001</v>
      </c>
      <c r="R4765">
        <v>-0.96052409999999999</v>
      </c>
      <c r="S4765">
        <v>-0.36904910000000002</v>
      </c>
      <c r="T4765">
        <v>-0.29399560000000002</v>
      </c>
      <c r="U4765">
        <v>-2.9954070000000002</v>
      </c>
      <c r="V4765">
        <v>-0.1666377</v>
      </c>
      <c r="W4765">
        <v>-0.1110525</v>
      </c>
      <c r="X4765">
        <v>0.97974439999999996</v>
      </c>
      <c r="Y4765">
        <v>-0.29828300000000002</v>
      </c>
      <c r="Z4765">
        <v>6.6062120000000002E-2</v>
      </c>
      <c r="AA4765">
        <v>0.95218860000000005</v>
      </c>
      <c r="AB4765">
        <v>22</v>
      </c>
      <c r="AC4765">
        <v>-1.3394000000000099</v>
      </c>
      <c r="AD4765">
        <v>-1.1310217049389999</v>
      </c>
      <c r="AE4765">
        <v>-11.3049999999999</v>
      </c>
      <c r="AF4765">
        <v>-3.4131100354566599</v>
      </c>
      <c r="AG4765">
        <v>-1.1310217049389999</v>
      </c>
      <c r="AH4765">
        <v>10.7436802167122</v>
      </c>
      <c r="AI4765">
        <v>95.729422813575795</v>
      </c>
      <c r="AJ4765">
        <v>107.62429114449399</v>
      </c>
      <c r="AK4765">
        <v>11.329395165239401</v>
      </c>
      <c r="AL4765">
        <v>96.375991542588395</v>
      </c>
      <c r="AM4765">
        <v>99.652657747906105</v>
      </c>
      <c r="AN4765">
        <v>0.99999993507444795</v>
      </c>
    </row>
    <row r="4766" spans="1:40" x14ac:dyDescent="0.25">
      <c r="A4766" t="str">
        <f>"20190303154611054"</f>
        <v>20190303154611054</v>
      </c>
      <c r="B4766" t="str">
        <f>"1551599171045950"</f>
        <v>1551599171045950</v>
      </c>
      <c r="C4766" t="s">
        <v>40</v>
      </c>
      <c r="D4766">
        <v>5.2769700000000004</v>
      </c>
      <c r="E4766">
        <v>0.44709769999999999</v>
      </c>
      <c r="F4766" t="s">
        <v>61</v>
      </c>
      <c r="G4766">
        <v>-421.1533</v>
      </c>
      <c r="H4766" s="1">
        <v>-1.4293879999999999E-6</v>
      </c>
      <c r="I4766">
        <v>121.3646</v>
      </c>
      <c r="J4766">
        <v>-419.90170000000001</v>
      </c>
      <c r="K4766">
        <v>1.130733</v>
      </c>
      <c r="L4766">
        <v>132.88290000000001</v>
      </c>
      <c r="M4766">
        <v>-0.39628540000000001</v>
      </c>
      <c r="N4766">
        <v>-1.6550039999999999E-2</v>
      </c>
      <c r="O4766">
        <v>-0.91797810000000002</v>
      </c>
      <c r="P4766">
        <v>-0.23925779999999999</v>
      </c>
      <c r="Q4766">
        <v>-0.1225123</v>
      </c>
      <c r="R4766">
        <v>-0.96319589999999999</v>
      </c>
      <c r="S4766">
        <v>-0.33883669999999999</v>
      </c>
      <c r="T4766">
        <v>-0.28902240000000001</v>
      </c>
      <c r="U4766">
        <v>-2.99823</v>
      </c>
      <c r="V4766">
        <v>-0.1594933</v>
      </c>
      <c r="W4766">
        <v>-0.1101481</v>
      </c>
      <c r="X4766">
        <v>0.98103479999999998</v>
      </c>
      <c r="Y4766">
        <v>-0.29067659999999901</v>
      </c>
      <c r="Z4766">
        <v>6.5838069999999999E-2</v>
      </c>
      <c r="AA4766">
        <v>0.95455350000000005</v>
      </c>
      <c r="AB4766">
        <v>22</v>
      </c>
      <c r="AC4766">
        <v>-1.2515999999999901</v>
      </c>
      <c r="AD4766">
        <v>-1.130734429388</v>
      </c>
      <c r="AE4766">
        <v>-11.5183</v>
      </c>
      <c r="AF4766">
        <v>-3.3838312891388802</v>
      </c>
      <c r="AG4766">
        <v>-1.130734429388</v>
      </c>
      <c r="AH4766">
        <v>10.966602818603199</v>
      </c>
      <c r="AI4766">
        <v>95.626826190507899</v>
      </c>
      <c r="AJ4766">
        <v>107.14802036158601</v>
      </c>
      <c r="AK4766">
        <v>11.5323567376385</v>
      </c>
      <c r="AL4766">
        <v>96.323852966987303</v>
      </c>
      <c r="AM4766">
        <v>99.234162007985901</v>
      </c>
      <c r="AN4766">
        <v>0.99999999774477</v>
      </c>
    </row>
    <row r="4767" spans="1:40" x14ac:dyDescent="0.25">
      <c r="A4767" t="str">
        <f>"20190303154611079"</f>
        <v>20190303154611079</v>
      </c>
      <c r="B4767" t="str">
        <f>"1551599171066446"</f>
        <v>1551599171066446</v>
      </c>
      <c r="C4767" t="s">
        <v>40</v>
      </c>
      <c r="D4767">
        <v>5.3170489999999999</v>
      </c>
      <c r="E4767">
        <v>0.4477429</v>
      </c>
      <c r="F4767" t="s">
        <v>61</v>
      </c>
      <c r="G4767">
        <v>-421.10680000000002</v>
      </c>
      <c r="H4767" s="1">
        <v>-1.369661E-6</v>
      </c>
      <c r="I4767">
        <v>121.2901</v>
      </c>
      <c r="J4767">
        <v>-419.97300000000001</v>
      </c>
      <c r="K4767">
        <v>1.1304299999999901</v>
      </c>
      <c r="L4767">
        <v>132.6662</v>
      </c>
      <c r="M4767">
        <v>-0.38006879999999998</v>
      </c>
      <c r="N4767">
        <v>-1.6438230000000002E-2</v>
      </c>
      <c r="O4767">
        <v>-0.92481230000000003</v>
      </c>
      <c r="P4767">
        <v>-0.22968269999999999</v>
      </c>
      <c r="Q4767">
        <v>-0.12395059999999999</v>
      </c>
      <c r="R4767">
        <v>-0.96534059999999999</v>
      </c>
      <c r="S4767">
        <v>-0.3118591</v>
      </c>
      <c r="T4767">
        <v>-0.29261079999999901</v>
      </c>
      <c r="U4767">
        <v>-2.9999690000000001</v>
      </c>
      <c r="V4767">
        <v>-0.15195239999999999</v>
      </c>
      <c r="W4767">
        <v>-0.1113876</v>
      </c>
      <c r="X4767">
        <v>0.98209120000000005</v>
      </c>
      <c r="Y4767">
        <v>-0.28239609999999998</v>
      </c>
      <c r="Z4767">
        <v>6.7997520000000006E-2</v>
      </c>
      <c r="AA4767">
        <v>0.95688490000000004</v>
      </c>
      <c r="AB4767">
        <v>22</v>
      </c>
      <c r="AC4767">
        <v>-1.1337999999999999</v>
      </c>
      <c r="AD4767">
        <v>-1.13043136966099</v>
      </c>
      <c r="AE4767">
        <v>-11.376099999999999</v>
      </c>
      <c r="AF4767">
        <v>-3.2438749772077</v>
      </c>
      <c r="AG4767">
        <v>-1.13043136966099</v>
      </c>
      <c r="AH4767">
        <v>10.847104569950099</v>
      </c>
      <c r="AI4767">
        <v>95.701848029382404</v>
      </c>
      <c r="AJ4767">
        <v>106.64952895041699</v>
      </c>
      <c r="AK4767">
        <v>11.3780612364629</v>
      </c>
      <c r="AL4767">
        <v>96.395311273253199</v>
      </c>
      <c r="AM4767">
        <v>98.795251037781895</v>
      </c>
      <c r="AN4767">
        <v>0.99999992720847697</v>
      </c>
    </row>
    <row r="4768" spans="1:40" x14ac:dyDescent="0.25">
      <c r="A4768" t="str">
        <f>"20190303154611118"</f>
        <v>20190303154611118</v>
      </c>
      <c r="B4768" t="str">
        <f>"1551599171106462"</f>
        <v>1551599171106462</v>
      </c>
      <c r="C4768" t="s">
        <v>40</v>
      </c>
      <c r="D4768">
        <v>5.2754219999999998</v>
      </c>
      <c r="E4768">
        <v>0.4588043</v>
      </c>
      <c r="F4768" t="s">
        <v>61</v>
      </c>
      <c r="G4768">
        <v>-421.04059999999998</v>
      </c>
      <c r="H4768" s="1">
        <v>-1.478081E-6</v>
      </c>
      <c r="I4768">
        <v>121.4884</v>
      </c>
      <c r="J4768">
        <v>-420.08170000000001</v>
      </c>
      <c r="K4768">
        <v>1.129874</v>
      </c>
      <c r="L4768">
        <v>132.3116</v>
      </c>
      <c r="M4768">
        <v>-0.35461730000000002</v>
      </c>
      <c r="N4768">
        <v>-1.622989E-2</v>
      </c>
      <c r="O4768">
        <v>-0.93487070000000005</v>
      </c>
      <c r="P4768">
        <v>-0.21500279999999999</v>
      </c>
      <c r="Q4768">
        <v>-0.1259208</v>
      </c>
      <c r="R4768">
        <v>-0.96846160000000003</v>
      </c>
      <c r="S4768">
        <v>-0.28659059999999997</v>
      </c>
      <c r="T4768">
        <v>-0.30345490000000003</v>
      </c>
      <c r="U4768">
        <v>-3.0005799999999998</v>
      </c>
      <c r="V4768">
        <v>-0.14000270000000001</v>
      </c>
      <c r="W4768">
        <v>-0.113072699999999</v>
      </c>
      <c r="X4768">
        <v>0.98367360000000004</v>
      </c>
      <c r="Y4768">
        <v>-0.26413999999999999</v>
      </c>
      <c r="Z4768">
        <v>7.3014469999999998E-2</v>
      </c>
      <c r="AA4768">
        <v>0.96171669999999998</v>
      </c>
      <c r="AB4768">
        <v>22</v>
      </c>
      <c r="AC4768">
        <v>-0.958899999999971</v>
      </c>
      <c r="AD4768">
        <v>-1.1298754780810001</v>
      </c>
      <c r="AE4768">
        <v>-10.8232</v>
      </c>
      <c r="AF4768">
        <v>-2.91056138003457</v>
      </c>
      <c r="AG4768">
        <v>-1.1298754780810001</v>
      </c>
      <c r="AH4768">
        <v>10.347819412429001</v>
      </c>
      <c r="AI4768">
        <v>96.000380876594804</v>
      </c>
      <c r="AJ4768">
        <v>105.709854768993</v>
      </c>
      <c r="AK4768">
        <v>10.808577738775799</v>
      </c>
      <c r="AL4768">
        <v>96.492473974678902</v>
      </c>
      <c r="AM4768">
        <v>98.100297732125895</v>
      </c>
      <c r="AN4768">
        <v>0.99999997141476904</v>
      </c>
    </row>
    <row r="4769" spans="1:40" x14ac:dyDescent="0.25">
      <c r="A4769" t="str">
        <f>"20190303154611140"</f>
        <v>20190303154611140</v>
      </c>
      <c r="B4769" t="str">
        <f>"1551599171135743"</f>
        <v>1551599171135743</v>
      </c>
      <c r="C4769" t="s">
        <v>40</v>
      </c>
      <c r="D4769">
        <v>5.331931</v>
      </c>
      <c r="E4769">
        <v>0.45887270000000002</v>
      </c>
      <c r="F4769" t="s">
        <v>61</v>
      </c>
      <c r="G4769">
        <v>-421.33330000000001</v>
      </c>
      <c r="H4769" s="1">
        <v>-1.1778340000000001E-6</v>
      </c>
      <c r="I4769">
        <v>120.8935</v>
      </c>
      <c r="J4769">
        <v>-420.14229999999998</v>
      </c>
      <c r="K4769">
        <v>1.12954</v>
      </c>
      <c r="L4769">
        <v>132.1011</v>
      </c>
      <c r="M4769">
        <v>-0.34005600000000002</v>
      </c>
      <c r="N4769">
        <v>-1.6101049999999999E-2</v>
      </c>
      <c r="O4769">
        <v>-0.94026730000000003</v>
      </c>
      <c r="P4769">
        <v>-0.20465900000000001</v>
      </c>
      <c r="Q4769">
        <v>-0.1257354</v>
      </c>
      <c r="R4769">
        <v>-0.97072400000000003</v>
      </c>
      <c r="S4769">
        <v>-0.32736209999999999</v>
      </c>
      <c r="T4769">
        <v>-0.29553740000000001</v>
      </c>
      <c r="U4769">
        <v>-2.9865879999999998</v>
      </c>
      <c r="V4769">
        <v>-0.13532710000000001</v>
      </c>
      <c r="W4769">
        <v>-0.1127904</v>
      </c>
      <c r="X4769">
        <v>0.98436020000000002</v>
      </c>
      <c r="Y4769">
        <v>-0.23566980000000001</v>
      </c>
      <c r="Z4769">
        <v>7.2360939999999999E-2</v>
      </c>
      <c r="AA4769">
        <v>0.96913550000000004</v>
      </c>
      <c r="AB4769">
        <v>22</v>
      </c>
      <c r="AC4769">
        <v>-1.19100000000003</v>
      </c>
      <c r="AD4769">
        <v>-1.1295411778340001</v>
      </c>
      <c r="AE4769">
        <v>-11.207599999999999</v>
      </c>
      <c r="AF4769">
        <v>-2.66493597415012</v>
      </c>
      <c r="AG4769">
        <v>-1.1295411778340001</v>
      </c>
      <c r="AH4769">
        <v>10.835732735596499</v>
      </c>
      <c r="AI4769">
        <v>95.780122919157193</v>
      </c>
      <c r="AJ4769">
        <v>103.817077285887</v>
      </c>
      <c r="AK4769">
        <v>11.215652051308499</v>
      </c>
      <c r="AL4769">
        <v>96.476194720226303</v>
      </c>
      <c r="AM4769">
        <v>97.827795311148293</v>
      </c>
      <c r="AN4769">
        <v>1.0000000508353</v>
      </c>
    </row>
    <row r="4770" spans="1:40" x14ac:dyDescent="0.25">
      <c r="A4770" t="str">
        <f>"20190303154611163"</f>
        <v>20190303154611163</v>
      </c>
      <c r="B4770" t="str">
        <f>"1551599171156238"</f>
        <v>1551599171156238</v>
      </c>
      <c r="C4770" t="s">
        <v>40</v>
      </c>
      <c r="D4770">
        <v>5.2970709999999999</v>
      </c>
      <c r="E4770">
        <v>0.45898559999999999</v>
      </c>
      <c r="F4770" t="s">
        <v>61</v>
      </c>
      <c r="G4770">
        <v>-421.1891</v>
      </c>
      <c r="H4770" s="1">
        <v>-1.53435E-6</v>
      </c>
      <c r="I4770">
        <v>121.51479999999999</v>
      </c>
      <c r="J4770">
        <v>-420.19810000000001</v>
      </c>
      <c r="K4770">
        <v>1.129213</v>
      </c>
      <c r="L4770">
        <v>131.89680000000001</v>
      </c>
      <c r="M4770">
        <v>-0.32639620000000003</v>
      </c>
      <c r="N4770">
        <v>-1.597763E-2</v>
      </c>
      <c r="O4770">
        <v>-0.94509810000000005</v>
      </c>
      <c r="P4770">
        <v>-0.1946225</v>
      </c>
      <c r="Q4770">
        <v>-0.1258811</v>
      </c>
      <c r="R4770">
        <v>-0.97276739999999995</v>
      </c>
      <c r="S4770">
        <v>-0.29534909999999998</v>
      </c>
      <c r="T4770">
        <v>-0.3187007</v>
      </c>
      <c r="U4770">
        <v>-2.986923</v>
      </c>
      <c r="V4770">
        <v>-0.13131509999999999</v>
      </c>
      <c r="W4770">
        <v>-0.1128576</v>
      </c>
      <c r="X4770">
        <v>0.98489570000000004</v>
      </c>
      <c r="Y4770">
        <v>-0.23192119999999999</v>
      </c>
      <c r="Z4770">
        <v>8.0127190000000001E-2</v>
      </c>
      <c r="AA4770">
        <v>0.96942879999999998</v>
      </c>
      <c r="AB4770">
        <v>22</v>
      </c>
      <c r="AC4770">
        <v>-0.990999999999985</v>
      </c>
      <c r="AD4770">
        <v>-1.12921453435</v>
      </c>
      <c r="AE4770">
        <v>-10.382</v>
      </c>
      <c r="AF4770">
        <v>-2.4239491471191901</v>
      </c>
      <c r="AG4770">
        <v>-1.12921453435</v>
      </c>
      <c r="AH4770">
        <v>10.019300373004301</v>
      </c>
      <c r="AI4770">
        <v>96.251469218255096</v>
      </c>
      <c r="AJ4770">
        <v>103.600136603037</v>
      </c>
      <c r="AK4770">
        <v>10.370006504187501</v>
      </c>
      <c r="AL4770">
        <v>96.480069961102501</v>
      </c>
      <c r="AM4770">
        <v>97.594396063467499</v>
      </c>
      <c r="AN4770">
        <v>1.0000000166221299</v>
      </c>
    </row>
    <row r="4771" spans="1:40" x14ac:dyDescent="0.25">
      <c r="A4771" t="str">
        <f>"20190303154611184"</f>
        <v>20190303154611184</v>
      </c>
      <c r="B4771" t="str">
        <f>"1551599171175757"</f>
        <v>1551599171175757</v>
      </c>
      <c r="C4771" t="s">
        <v>40</v>
      </c>
      <c r="D4771">
        <v>5.3201970000000003</v>
      </c>
      <c r="E4771">
        <v>0.46780729999999998</v>
      </c>
      <c r="F4771" t="s">
        <v>61</v>
      </c>
      <c r="G4771">
        <v>-421.137</v>
      </c>
      <c r="H4771" s="1">
        <v>-1.396236E-6</v>
      </c>
      <c r="I4771">
        <v>121.3193</v>
      </c>
      <c r="J4771">
        <v>-420.24950000000001</v>
      </c>
      <c r="K4771">
        <v>1.1288879999999999</v>
      </c>
      <c r="L4771">
        <v>131.6994</v>
      </c>
      <c r="M4771">
        <v>-0.31365670000000001</v>
      </c>
      <c r="N4771">
        <v>-1.585783E-2</v>
      </c>
      <c r="O4771">
        <v>-0.94940420000000003</v>
      </c>
      <c r="P4771">
        <v>-0.185864</v>
      </c>
      <c r="Q4771">
        <v>-0.12732550000000001</v>
      </c>
      <c r="R4771">
        <v>-0.97429100000000002</v>
      </c>
      <c r="S4771">
        <v>-0.26538089999999998</v>
      </c>
      <c r="T4771">
        <v>-0.31915569999999999</v>
      </c>
      <c r="U4771">
        <v>-2.9895779999999998</v>
      </c>
      <c r="V4771">
        <v>-0.1269371</v>
      </c>
      <c r="W4771">
        <v>-0.114222</v>
      </c>
      <c r="X4771">
        <v>0.98531230000000003</v>
      </c>
      <c r="Y4771">
        <v>-0.22856599999999999</v>
      </c>
      <c r="Z4771">
        <v>8.1019540000000001E-2</v>
      </c>
      <c r="AA4771">
        <v>0.97015119999999999</v>
      </c>
      <c r="AB4771">
        <v>22</v>
      </c>
      <c r="AC4771">
        <v>-0.88749999999993101</v>
      </c>
      <c r="AD4771">
        <v>-1.1288893962359901</v>
      </c>
      <c r="AE4771">
        <v>-10.380100000000001</v>
      </c>
      <c r="AF4771">
        <v>-2.3854847660139602</v>
      </c>
      <c r="AG4771">
        <v>-1.1288893962359901</v>
      </c>
      <c r="AH4771">
        <v>10.0169361904734</v>
      </c>
      <c r="AI4771">
        <v>96.256473480428099</v>
      </c>
      <c r="AJ4771">
        <v>103.395204014847</v>
      </c>
      <c r="AK4771">
        <v>10.3587614839726</v>
      </c>
      <c r="AL4771">
        <v>96.5587531762868</v>
      </c>
      <c r="AM4771">
        <v>97.340941212684797</v>
      </c>
      <c r="AN4771">
        <v>1.00000001058585</v>
      </c>
    </row>
    <row r="4772" spans="1:40" x14ac:dyDescent="0.25">
      <c r="A4772" t="str">
        <f>"20190303154611207"</f>
        <v>20190303154611207</v>
      </c>
      <c r="B4772" t="str">
        <f>"1551599171196254"</f>
        <v>1551599171196254</v>
      </c>
      <c r="C4772" t="s">
        <v>40</v>
      </c>
      <c r="D4772">
        <v>5.3391029999999997</v>
      </c>
      <c r="E4772">
        <v>0.46911120000000001</v>
      </c>
      <c r="F4772" t="s">
        <v>61</v>
      </c>
      <c r="G4772">
        <v>-421.4357</v>
      </c>
      <c r="H4772" s="1">
        <v>-7.92702E-7</v>
      </c>
      <c r="I4772">
        <v>120.2448</v>
      </c>
      <c r="J4772">
        <v>-420.30200000000002</v>
      </c>
      <c r="K4772">
        <v>1.128573</v>
      </c>
      <c r="L4772">
        <v>131.4881</v>
      </c>
      <c r="M4772">
        <v>-0.30044310000000002</v>
      </c>
      <c r="N4772">
        <v>-1.573049E-2</v>
      </c>
      <c r="O4772">
        <v>-0.95367009999999997</v>
      </c>
      <c r="P4772">
        <v>-0.17662729999999999</v>
      </c>
      <c r="Q4772">
        <v>-0.1278897</v>
      </c>
      <c r="R4772">
        <v>-0.97593399999999997</v>
      </c>
      <c r="S4772">
        <v>-0.30877690000000002</v>
      </c>
      <c r="T4772">
        <v>-0.29386889999999999</v>
      </c>
      <c r="U4772">
        <v>-2.9818419999999999</v>
      </c>
      <c r="V4772">
        <v>-0.1226486</v>
      </c>
      <c r="W4772">
        <v>-0.11472309999999999</v>
      </c>
      <c r="X4772">
        <v>0.98579709999999998</v>
      </c>
      <c r="Y4772">
        <v>-0.20074429999999999</v>
      </c>
      <c r="Z4772">
        <v>7.4670639999999996E-2</v>
      </c>
      <c r="AA4772">
        <v>0.97679380000000005</v>
      </c>
      <c r="AB4772">
        <v>22</v>
      </c>
      <c r="AC4772">
        <v>-1.1337000000000299</v>
      </c>
      <c r="AD4772">
        <v>-1.1285737927020001</v>
      </c>
      <c r="AE4772">
        <v>-11.2433</v>
      </c>
      <c r="AF4772">
        <v>-2.27439483031208</v>
      </c>
      <c r="AG4772">
        <v>-1.1285737927020001</v>
      </c>
      <c r="AH4772">
        <v>10.955110788247399</v>
      </c>
      <c r="AI4772">
        <v>95.759781445716698</v>
      </c>
      <c r="AJ4772">
        <v>101.72858466912299</v>
      </c>
      <c r="AK4772">
        <v>11.2454881189079</v>
      </c>
      <c r="AL4772">
        <v>96.587654173425307</v>
      </c>
      <c r="AM4772">
        <v>97.092049027860199</v>
      </c>
      <c r="AN4772">
        <v>0.99999999556198904</v>
      </c>
    </row>
    <row r="4773" spans="1:40" x14ac:dyDescent="0.25">
      <c r="A4773" t="str">
        <f>"20190303154611230"</f>
        <v>20190303154611230</v>
      </c>
      <c r="B4773" t="str">
        <f>"1551599171226511"</f>
        <v>1551599171226511</v>
      </c>
      <c r="C4773" t="s">
        <v>40</v>
      </c>
      <c r="D4773">
        <v>5.383381</v>
      </c>
      <c r="E4773">
        <v>0.47069810000000001</v>
      </c>
      <c r="F4773" t="s">
        <v>61</v>
      </c>
      <c r="G4773">
        <v>-421.4341</v>
      </c>
      <c r="H4773" s="1">
        <v>-5.6371559999999899E-7</v>
      </c>
      <c r="I4773">
        <v>119.8852</v>
      </c>
      <c r="J4773">
        <v>-420.3519</v>
      </c>
      <c r="K4773">
        <v>1.128282</v>
      </c>
      <c r="L4773">
        <v>131.27709999999999</v>
      </c>
      <c r="M4773">
        <v>-0.28766130000000001</v>
      </c>
      <c r="N4773">
        <v>-1.5608810000000001E-2</v>
      </c>
      <c r="O4773">
        <v>-0.95760500000000004</v>
      </c>
      <c r="P4773">
        <v>-0.16769289999999901</v>
      </c>
      <c r="Q4773">
        <v>-0.12737299999999999</v>
      </c>
      <c r="R4773">
        <v>-0.97757609999999995</v>
      </c>
      <c r="S4773">
        <v>-0.29107670000000002</v>
      </c>
      <c r="T4773">
        <v>-0.29017029999999999</v>
      </c>
      <c r="U4773">
        <v>-2.9832610000000002</v>
      </c>
      <c r="V4773">
        <v>-0.1185949</v>
      </c>
      <c r="W4773">
        <v>-0.11415649999999999</v>
      </c>
      <c r="X4773">
        <v>0.98635870000000003</v>
      </c>
      <c r="Y4773">
        <v>-0.19342819999999999</v>
      </c>
      <c r="Z4773">
        <v>7.4258669999999999E-2</v>
      </c>
      <c r="AA4773">
        <v>0.97830019999999995</v>
      </c>
      <c r="AB4773">
        <v>22</v>
      </c>
      <c r="AC4773">
        <v>-1.0822000000000001</v>
      </c>
      <c r="AD4773">
        <v>-1.1282825637156</v>
      </c>
      <c r="AE4773">
        <v>-11.3918999999999</v>
      </c>
      <c r="AF4773">
        <v>-2.2193854685641301</v>
      </c>
      <c r="AG4773">
        <v>-1.1282825637156</v>
      </c>
      <c r="AH4773">
        <v>11.113571873360801</v>
      </c>
      <c r="AI4773">
        <v>95.685470970838495</v>
      </c>
      <c r="AJ4773">
        <v>101.293429501292</v>
      </c>
      <c r="AK4773">
        <v>11.389037412618</v>
      </c>
      <c r="AL4773">
        <v>96.554975854728497</v>
      </c>
      <c r="AM4773">
        <v>96.856049948323502</v>
      </c>
      <c r="AN4773">
        <v>0.99999997093197401</v>
      </c>
    </row>
    <row r="4774" spans="1:40" x14ac:dyDescent="0.25">
      <c r="A4774" t="str">
        <f>"20190303154611253"</f>
        <v>20190303154611253</v>
      </c>
      <c r="B4774" t="str">
        <f>"1551599171246029"</f>
        <v>1551599171246029</v>
      </c>
      <c r="C4774" t="s">
        <v>40</v>
      </c>
      <c r="D4774">
        <v>5.3348969999999998</v>
      </c>
      <c r="E4774">
        <v>0.47815740000000001</v>
      </c>
      <c r="F4774" t="s">
        <v>41</v>
      </c>
      <c r="G4774">
        <v>-421.43650000000002</v>
      </c>
      <c r="H4774" s="1">
        <v>-4.533504E-6</v>
      </c>
      <c r="I4774">
        <v>119.5599</v>
      </c>
      <c r="J4774">
        <v>-420.39980000000003</v>
      </c>
      <c r="K4774">
        <v>1.12802</v>
      </c>
      <c r="L4774">
        <v>131.0643</v>
      </c>
      <c r="M4774">
        <v>-0.27519739999999998</v>
      </c>
      <c r="N4774">
        <v>-1.5491939999999999E-2</v>
      </c>
      <c r="O4774">
        <v>-0.96126290000000003</v>
      </c>
      <c r="P4774">
        <v>-0.159387</v>
      </c>
      <c r="Q4774">
        <v>-0.12753419999999999</v>
      </c>
      <c r="R4774">
        <v>-0.97894369999999997</v>
      </c>
      <c r="S4774">
        <v>-0.27621459999999998</v>
      </c>
      <c r="T4774">
        <v>-0.28733910000000001</v>
      </c>
      <c r="U4774">
        <v>-2.9840089999999999</v>
      </c>
      <c r="V4774">
        <v>-0.114229</v>
      </c>
      <c r="W4774">
        <v>-0.1142681</v>
      </c>
      <c r="X4774">
        <v>0.98686090000000004</v>
      </c>
      <c r="Y4774">
        <v>-0.1855378</v>
      </c>
      <c r="Z4774">
        <v>7.4075859999999993E-2</v>
      </c>
      <c r="AA4774">
        <v>0.97984110000000002</v>
      </c>
      <c r="AB4774">
        <v>22</v>
      </c>
      <c r="AC4774">
        <v>-1.03669999999999</v>
      </c>
      <c r="AD4774">
        <v>-1.128024533504</v>
      </c>
      <c r="AE4774">
        <v>-11.5044</v>
      </c>
      <c r="AF4774">
        <v>-2.14920388306856</v>
      </c>
      <c r="AG4774">
        <v>-1.128024533504</v>
      </c>
      <c r="AH4774">
        <v>11.2382363952491</v>
      </c>
      <c r="AI4774">
        <v>95.630435099606501</v>
      </c>
      <c r="AJ4774">
        <v>100.82654029204301</v>
      </c>
      <c r="AK4774">
        <v>11.4973681316501</v>
      </c>
      <c r="AL4774">
        <v>96.561412321898402</v>
      </c>
      <c r="AM4774">
        <v>96.6025951863692</v>
      </c>
      <c r="AN4774">
        <v>0.99999994953370797</v>
      </c>
    </row>
    <row r="4775" spans="1:40" x14ac:dyDescent="0.25">
      <c r="A4775" t="str">
        <f>"20190303154611276"</f>
        <v>20190303154611276</v>
      </c>
      <c r="B4775" t="str">
        <f>"1551599171266526"</f>
        <v>1551599171266526</v>
      </c>
      <c r="C4775" t="s">
        <v>40</v>
      </c>
      <c r="D4775">
        <v>5.3507379999999998</v>
      </c>
      <c r="E4775">
        <v>0.47861090000000001</v>
      </c>
      <c r="F4775" t="s">
        <v>41</v>
      </c>
      <c r="G4775">
        <v>-421.6388</v>
      </c>
      <c r="H4775" s="1">
        <v>-4.4309390000000002E-6</v>
      </c>
      <c r="I4775">
        <v>119.15309999999999</v>
      </c>
      <c r="J4775">
        <v>-420.44479999999999</v>
      </c>
      <c r="K4775">
        <v>1.1277619999999999</v>
      </c>
      <c r="L4775">
        <v>130.8544</v>
      </c>
      <c r="M4775">
        <v>-0.26335979999999998</v>
      </c>
      <c r="N4775">
        <v>-1.537817E-2</v>
      </c>
      <c r="O4775">
        <v>-0.96457519999999997</v>
      </c>
      <c r="P4775">
        <v>-0.15275459999999999</v>
      </c>
      <c r="Q4775">
        <v>-0.1267152</v>
      </c>
      <c r="R4775">
        <v>-0.98010699999999995</v>
      </c>
      <c r="S4775">
        <v>-0.30969239999999998</v>
      </c>
      <c r="T4775">
        <v>-0.28196779999999999</v>
      </c>
      <c r="U4775">
        <v>-2.9773860000000001</v>
      </c>
      <c r="V4775">
        <v>-0.1089055</v>
      </c>
      <c r="W4775">
        <v>-0.1133827</v>
      </c>
      <c r="X4775">
        <v>0.98756460000000001</v>
      </c>
      <c r="Y4775">
        <v>-0.16231679999999901</v>
      </c>
      <c r="Z4775">
        <v>7.3348399999999994E-2</v>
      </c>
      <c r="AA4775">
        <v>0.98400880000000002</v>
      </c>
      <c r="AB4775">
        <v>22</v>
      </c>
      <c r="AC4775">
        <v>-1.1940000000000099</v>
      </c>
      <c r="AD4775">
        <v>-1.1277664309389901</v>
      </c>
      <c r="AE4775">
        <v>-11.7013</v>
      </c>
      <c r="AF4775">
        <v>-1.9125942452072699</v>
      </c>
      <c r="AG4775">
        <v>-1.1277664309389901</v>
      </c>
      <c r="AH4775">
        <v>11.4969117293503</v>
      </c>
      <c r="AI4775">
        <v>95.526914929787196</v>
      </c>
      <c r="AJ4775">
        <v>99.445070404683804</v>
      </c>
      <c r="AK4775">
        <v>11.709348964909401</v>
      </c>
      <c r="AL4775">
        <v>96.510350823624293</v>
      </c>
      <c r="AM4775">
        <v>96.292969954526399</v>
      </c>
      <c r="AN4775">
        <v>0.999999941881348</v>
      </c>
    </row>
    <row r="4776" spans="1:40" x14ac:dyDescent="0.25">
      <c r="A4776" t="str">
        <f>"20190303154611296"</f>
        <v>20190303154611296</v>
      </c>
      <c r="B4776" t="str">
        <f>"1551599171286047"</f>
        <v>1551599171286047</v>
      </c>
      <c r="C4776" t="s">
        <v>40</v>
      </c>
      <c r="D4776">
        <v>5.4183709999999996</v>
      </c>
      <c r="E4776">
        <v>0.47914020000000002</v>
      </c>
      <c r="F4776" t="s">
        <v>41</v>
      </c>
      <c r="G4776">
        <v>-421.61939999999998</v>
      </c>
      <c r="H4776" s="1">
        <v>-4.3504580000000002E-6</v>
      </c>
      <c r="I4776">
        <v>118.9267</v>
      </c>
      <c r="J4776">
        <v>-420.48309999999998</v>
      </c>
      <c r="K4776">
        <v>1.1275269999999999</v>
      </c>
      <c r="L4776">
        <v>130.667</v>
      </c>
      <c r="M4776">
        <v>-0.2531872</v>
      </c>
      <c r="N4776">
        <v>-1.527537E-2</v>
      </c>
      <c r="O4776">
        <v>-0.96729670000000001</v>
      </c>
      <c r="P4776">
        <v>-0.1477763</v>
      </c>
      <c r="Q4776">
        <v>-0.1224575</v>
      </c>
      <c r="R4776">
        <v>-0.98141029999999996</v>
      </c>
      <c r="S4776">
        <v>-0.29333500000000001</v>
      </c>
      <c r="T4776">
        <v>-0.28164159999999999</v>
      </c>
      <c r="U4776">
        <v>-2.9787599999999999</v>
      </c>
      <c r="V4776">
        <v>-0.1038057</v>
      </c>
      <c r="W4776">
        <v>-0.109056</v>
      </c>
      <c r="X4776">
        <v>0.98860060000000005</v>
      </c>
      <c r="Y4776">
        <v>-0.1573262</v>
      </c>
      <c r="Z4776">
        <v>7.3729649999999994E-2</v>
      </c>
      <c r="AA4776">
        <v>0.98479059999999896</v>
      </c>
      <c r="AB4776">
        <v>22</v>
      </c>
      <c r="AC4776">
        <v>-1.1363000000000001</v>
      </c>
      <c r="AD4776">
        <v>-1.127531350458</v>
      </c>
      <c r="AE4776">
        <v>-11.7403</v>
      </c>
      <c r="AF4776">
        <v>-1.85660742820397</v>
      </c>
      <c r="AG4776">
        <v>-1.127531350458</v>
      </c>
      <c r="AH4776">
        <v>11.5399570593765</v>
      </c>
      <c r="AI4776">
        <v>95.510058264399703</v>
      </c>
      <c r="AJ4776">
        <v>99.139718110035602</v>
      </c>
      <c r="AK4776">
        <v>11.742611592869</v>
      </c>
      <c r="AL4776">
        <v>96.260901037782702</v>
      </c>
      <c r="AM4776">
        <v>95.994244113631296</v>
      </c>
      <c r="AN4776">
        <v>0.999999990404425</v>
      </c>
    </row>
    <row r="4777" spans="1:40" x14ac:dyDescent="0.25">
      <c r="A4777" t="str">
        <f>"20190303154611319"</f>
        <v>20190303154611319</v>
      </c>
      <c r="B4777" t="str">
        <f>"1551599171316303"</f>
        <v>1551599171316303</v>
      </c>
      <c r="C4777" t="s">
        <v>40</v>
      </c>
      <c r="D4777">
        <v>5.4654350000000003</v>
      </c>
      <c r="E4777">
        <v>0.47925719999999999</v>
      </c>
      <c r="F4777" t="s">
        <v>41</v>
      </c>
      <c r="G4777">
        <v>-421.64359999999999</v>
      </c>
      <c r="H4777" s="1">
        <v>-4.1749030000000003E-6</v>
      </c>
      <c r="I4777">
        <v>118.3982</v>
      </c>
      <c r="J4777">
        <v>-420.524</v>
      </c>
      <c r="K4777">
        <v>1.127232</v>
      </c>
      <c r="L4777">
        <v>130.45769999999999</v>
      </c>
      <c r="M4777">
        <v>-0.24226210000000001</v>
      </c>
      <c r="N4777">
        <v>-1.51609E-2</v>
      </c>
      <c r="O4777">
        <v>-0.97009239999999997</v>
      </c>
      <c r="P4777">
        <v>-0.14129369999999999</v>
      </c>
      <c r="Q4777">
        <v>-0.11715109999999999</v>
      </c>
      <c r="R4777">
        <v>-0.98301119999999997</v>
      </c>
      <c r="S4777">
        <v>-0.2818909</v>
      </c>
      <c r="T4777">
        <v>-0.27388810000000002</v>
      </c>
      <c r="U4777">
        <v>-2.9802089999999999</v>
      </c>
      <c r="V4777">
        <v>-9.9511530000000001E-2</v>
      </c>
      <c r="W4777">
        <v>-0.10369780000000001</v>
      </c>
      <c r="X4777">
        <v>0.9896182</v>
      </c>
      <c r="Y4777">
        <v>-0.1499743</v>
      </c>
      <c r="Z4777">
        <v>7.1805930000000004E-2</v>
      </c>
      <c r="AA4777">
        <v>0.98607889999999998</v>
      </c>
      <c r="AB4777">
        <v>22</v>
      </c>
      <c r="AC4777">
        <v>-1.1195999999999899</v>
      </c>
      <c r="AD4777">
        <v>-1.127236174903</v>
      </c>
      <c r="AE4777">
        <v>-12.0594999999999</v>
      </c>
      <c r="AF4777">
        <v>-1.81989045402233</v>
      </c>
      <c r="AG4777">
        <v>-1.127236174903</v>
      </c>
      <c r="AH4777">
        <v>11.868629424548001</v>
      </c>
      <c r="AI4777">
        <v>95.363144665517694</v>
      </c>
      <c r="AJ4777">
        <v>98.717617056753895</v>
      </c>
      <c r="AK4777">
        <v>12.060142083570099</v>
      </c>
      <c r="AL4777">
        <v>95.952146556251904</v>
      </c>
      <c r="AM4777">
        <v>95.742102766807804</v>
      </c>
      <c r="AN4777">
        <v>0.99999998004950996</v>
      </c>
    </row>
    <row r="4778" spans="1:40" x14ac:dyDescent="0.25">
      <c r="A4778" t="str">
        <f>"20190303154611340"</f>
        <v>20190303154611340</v>
      </c>
      <c r="B4778" t="str">
        <f>"1551599171335822"</f>
        <v>1551599171335822</v>
      </c>
      <c r="C4778" t="s">
        <v>40</v>
      </c>
      <c r="D4778">
        <v>5.364141</v>
      </c>
      <c r="E4778">
        <v>0.48062840000000001</v>
      </c>
      <c r="F4778" t="s">
        <v>41</v>
      </c>
      <c r="G4778">
        <v>-421.58949999999999</v>
      </c>
      <c r="H4778" s="1">
        <v>-4.1483060000000003E-6</v>
      </c>
      <c r="I4778">
        <v>118.34820000000001</v>
      </c>
      <c r="J4778">
        <v>-420.5625</v>
      </c>
      <c r="K4778">
        <v>1.126911</v>
      </c>
      <c r="L4778">
        <v>130.25219999999999</v>
      </c>
      <c r="M4778">
        <v>-0.23199649999999999</v>
      </c>
      <c r="N4778">
        <v>-1.505104E-2</v>
      </c>
      <c r="O4778">
        <v>-0.97260029999999997</v>
      </c>
      <c r="P4778">
        <v>-0.13493189999999999</v>
      </c>
      <c r="Q4778">
        <v>-0.11485090000000001</v>
      </c>
      <c r="R4778">
        <v>-0.9841763</v>
      </c>
      <c r="S4778">
        <v>-0.26229859999999999</v>
      </c>
      <c r="T4778">
        <v>-0.2774993</v>
      </c>
      <c r="U4778">
        <v>-2.9810789999999998</v>
      </c>
      <c r="V4778">
        <v>-9.5639009999999997E-2</v>
      </c>
      <c r="W4778">
        <v>-0.10135810000000001</v>
      </c>
      <c r="X4778">
        <v>0.99024219999999996</v>
      </c>
      <c r="Y4778">
        <v>-0.14599089999999901</v>
      </c>
      <c r="Z4778">
        <v>7.3403399999999994E-2</v>
      </c>
      <c r="AA4778">
        <v>0.98655899999999996</v>
      </c>
      <c r="AB4778">
        <v>22</v>
      </c>
      <c r="AC4778">
        <v>-1.0269999999999799</v>
      </c>
      <c r="AD4778">
        <v>-1.126915148306</v>
      </c>
      <c r="AE4778">
        <v>-11.9039999999999</v>
      </c>
      <c r="AF4778">
        <v>-1.74748039247547</v>
      </c>
      <c r="AG4778">
        <v>-1.126915148306</v>
      </c>
      <c r="AH4778">
        <v>11.713235029872701</v>
      </c>
      <c r="AI4778">
        <v>95.435646782257805</v>
      </c>
      <c r="AJ4778">
        <v>98.485289858421496</v>
      </c>
      <c r="AK4778">
        <v>11.896365005269701</v>
      </c>
      <c r="AL4778">
        <v>95.817381567982807</v>
      </c>
      <c r="AM4778">
        <v>95.516598017454299</v>
      </c>
      <c r="AN4778">
        <v>0.99999994966511296</v>
      </c>
    </row>
    <row r="4779" spans="1:40" x14ac:dyDescent="0.25">
      <c r="A4779" t="str">
        <f>"20190303154611364"</f>
        <v>20190303154611364</v>
      </c>
      <c r="B4779" t="str">
        <f>"1551599171356318"</f>
        <v>1551599171356318</v>
      </c>
      <c r="C4779" t="s">
        <v>40</v>
      </c>
      <c r="D4779">
        <v>5.4694330000000004</v>
      </c>
      <c r="E4779">
        <v>0.4810682</v>
      </c>
      <c r="F4779" t="s">
        <v>41</v>
      </c>
      <c r="G4779">
        <v>-421.6386</v>
      </c>
      <c r="H4779" s="1">
        <v>-3.8831689999999997E-6</v>
      </c>
      <c r="I4779">
        <v>117.6246</v>
      </c>
      <c r="J4779">
        <v>-420.60109999999997</v>
      </c>
      <c r="K4779">
        <v>1.1265459999999901</v>
      </c>
      <c r="L4779">
        <v>130.03559999999999</v>
      </c>
      <c r="M4779">
        <v>-0.221748</v>
      </c>
      <c r="N4779">
        <v>-1.49388E-2</v>
      </c>
      <c r="O4779">
        <v>-0.97498980000000002</v>
      </c>
      <c r="P4779">
        <v>-0.12868080000000001</v>
      </c>
      <c r="Q4779">
        <v>-0.1176006</v>
      </c>
      <c r="R4779">
        <v>-0.98468880000000003</v>
      </c>
      <c r="S4779">
        <v>-0.2541504</v>
      </c>
      <c r="T4779">
        <v>-0.26614949999999998</v>
      </c>
      <c r="U4779">
        <v>-2.9823300000000001</v>
      </c>
      <c r="V4779">
        <v>-9.1488319999999998E-2</v>
      </c>
      <c r="W4779">
        <v>-0.1040761</v>
      </c>
      <c r="X4779">
        <v>0.99035249999999997</v>
      </c>
      <c r="Y4779">
        <v>-0.13827809999999999</v>
      </c>
      <c r="Z4779">
        <v>7.0256579999999999E-2</v>
      </c>
      <c r="AA4779">
        <v>0.98789830000000001</v>
      </c>
      <c r="AB4779">
        <v>22</v>
      </c>
      <c r="AC4779">
        <v>-1.0375000000000201</v>
      </c>
      <c r="AD4779">
        <v>-1.12654988316899</v>
      </c>
      <c r="AE4779">
        <v>-12.4109999999999</v>
      </c>
      <c r="AF4779">
        <v>-1.7266289760659901</v>
      </c>
      <c r="AG4779">
        <v>-1.12654988316899</v>
      </c>
      <c r="AH4779">
        <v>12.2319526601181</v>
      </c>
      <c r="AI4779">
        <v>95.210668553548899</v>
      </c>
      <c r="AJ4779">
        <v>98.034631779413303</v>
      </c>
      <c r="AK4779">
        <v>12.4044761332202</v>
      </c>
      <c r="AL4779">
        <v>95.973939285024102</v>
      </c>
      <c r="AM4779">
        <v>95.277978386416294</v>
      </c>
      <c r="AN4779">
        <v>1.00000001077194</v>
      </c>
    </row>
    <row r="4780" spans="1:40" x14ac:dyDescent="0.25">
      <c r="A4780" t="str">
        <f>"20190303154611385"</f>
        <v>20190303154611385</v>
      </c>
      <c r="B4780" t="str">
        <f>"1551599171375839"</f>
        <v>1551599171375839</v>
      </c>
      <c r="C4780" t="s">
        <v>40</v>
      </c>
      <c r="D4780">
        <v>5.4498579999999999</v>
      </c>
      <c r="E4780">
        <v>0.48181010000000002</v>
      </c>
      <c r="F4780" t="s">
        <v>41</v>
      </c>
      <c r="G4780">
        <v>-421.54899999999998</v>
      </c>
      <c r="H4780" s="1">
        <v>-4.0783179999999996E-6</v>
      </c>
      <c r="I4780">
        <v>118.16370000000001</v>
      </c>
      <c r="J4780">
        <v>-420.6352</v>
      </c>
      <c r="K4780">
        <v>1.1262129999999999</v>
      </c>
      <c r="L4780">
        <v>129.83680000000001</v>
      </c>
      <c r="M4780">
        <v>-0.2128167</v>
      </c>
      <c r="N4780">
        <v>-1.4839369999999999E-2</v>
      </c>
      <c r="O4780">
        <v>-0.97697940000000005</v>
      </c>
      <c r="P4780">
        <v>-0.12442209999999999</v>
      </c>
      <c r="Q4780">
        <v>-0.1201995</v>
      </c>
      <c r="R4780">
        <v>-0.98492199999999996</v>
      </c>
      <c r="S4780">
        <v>-0.23806759999999999</v>
      </c>
      <c r="T4780">
        <v>-0.2829449</v>
      </c>
      <c r="U4780">
        <v>-2.9817499999999999</v>
      </c>
      <c r="V4780">
        <v>-8.6694489999999999E-2</v>
      </c>
      <c r="W4780">
        <v>-0.106637</v>
      </c>
      <c r="X4780">
        <v>0.99051129999999998</v>
      </c>
      <c r="Y4780">
        <v>-0.13452169999999999</v>
      </c>
      <c r="Z4780">
        <v>7.600672E-2</v>
      </c>
      <c r="AA4780">
        <v>0.98799130000000002</v>
      </c>
      <c r="AB4780">
        <v>22</v>
      </c>
      <c r="AC4780">
        <v>-0.91380000000003703</v>
      </c>
      <c r="AD4780">
        <v>-1.1262170783180001</v>
      </c>
      <c r="AE4780">
        <v>-11.6731</v>
      </c>
      <c r="AF4780">
        <v>-1.5770518687474999</v>
      </c>
      <c r="AG4780">
        <v>-1.1262170783180001</v>
      </c>
      <c r="AH4780">
        <v>11.493791615570199</v>
      </c>
      <c r="AI4780">
        <v>95.544631355302798</v>
      </c>
      <c r="AJ4780">
        <v>97.812713223953295</v>
      </c>
      <c r="AK4780">
        <v>11.6560157518067</v>
      </c>
      <c r="AL4780">
        <v>96.121489280263802</v>
      </c>
      <c r="AM4780">
        <v>95.002065443494104</v>
      </c>
      <c r="AN4780">
        <v>1.00000000989652</v>
      </c>
    </row>
    <row r="4781" spans="1:40" x14ac:dyDescent="0.25">
      <c r="A4781" t="str">
        <f>"20190303154611408"</f>
        <v>20190303154611408</v>
      </c>
      <c r="B4781" t="str">
        <f>"1551599171406094"</f>
        <v>1551599171406094</v>
      </c>
      <c r="C4781" t="s">
        <v>40</v>
      </c>
      <c r="D4781">
        <v>5.5434739999999998</v>
      </c>
      <c r="E4781">
        <v>0.453318</v>
      </c>
      <c r="F4781" t="s">
        <v>41</v>
      </c>
      <c r="G4781">
        <v>-421.51459999999997</v>
      </c>
      <c r="H4781" s="1">
        <v>-4.1878529999999999E-6</v>
      </c>
      <c r="I4781">
        <v>118.5035</v>
      </c>
      <c r="J4781">
        <v>-420.67020000000002</v>
      </c>
      <c r="K4781">
        <v>1.1259170000000001</v>
      </c>
      <c r="L4781">
        <v>129.62379999999999</v>
      </c>
      <c r="M4781">
        <v>-0.20368800000000001</v>
      </c>
      <c r="N4781">
        <v>-1.4739479999999999E-2</v>
      </c>
      <c r="O4781">
        <v>-0.97892489999999999</v>
      </c>
      <c r="P4781">
        <v>-0.11884450000000001</v>
      </c>
      <c r="Q4781">
        <v>-0.1220532</v>
      </c>
      <c r="R4781">
        <v>-0.9853826</v>
      </c>
      <c r="S4781">
        <v>-0.23129269999999999</v>
      </c>
      <c r="T4781">
        <v>-0.296186</v>
      </c>
      <c r="U4781">
        <v>-2.9805600000000001</v>
      </c>
      <c r="V4781">
        <v>-8.3067820000000001E-2</v>
      </c>
      <c r="W4781">
        <v>-0.1084812</v>
      </c>
      <c r="X4781">
        <v>0.9906218</v>
      </c>
      <c r="Y4781">
        <v>-0.12750010000000001</v>
      </c>
      <c r="Z4781">
        <v>8.0682980000000001E-2</v>
      </c>
      <c r="AA4781">
        <v>0.98855139999999997</v>
      </c>
      <c r="AB4781">
        <v>22</v>
      </c>
      <c r="AC4781">
        <v>-0.84439999999994997</v>
      </c>
      <c r="AD4781">
        <v>-1.125921187853</v>
      </c>
      <c r="AE4781">
        <v>-11.120299999999901</v>
      </c>
      <c r="AF4781">
        <v>-1.4241083479613399</v>
      </c>
      <c r="AG4781">
        <v>-1.125921187853</v>
      </c>
      <c r="AH4781">
        <v>10.9475497340487</v>
      </c>
      <c r="AI4781">
        <v>95.823322595651405</v>
      </c>
      <c r="AJ4781">
        <v>97.411682447862901</v>
      </c>
      <c r="AK4781">
        <v>11.097054937570499</v>
      </c>
      <c r="AL4781">
        <v>96.227770854478095</v>
      </c>
      <c r="AM4781">
        <v>94.793279287735103</v>
      </c>
      <c r="AN4781">
        <v>0.99999999205411605</v>
      </c>
    </row>
    <row r="4782" spans="1:40" x14ac:dyDescent="0.25">
      <c r="A4782" t="str">
        <f>"20190303154611431"</f>
        <v>20190303154611431</v>
      </c>
      <c r="B4782" t="str">
        <f>"1551599171425614"</f>
        <v>1551599171425614</v>
      </c>
      <c r="C4782" t="s">
        <v>40</v>
      </c>
      <c r="D4782">
        <v>5.4508000000000001</v>
      </c>
      <c r="E4782">
        <v>0.44998850000000001</v>
      </c>
      <c r="F4782" t="s">
        <v>41</v>
      </c>
      <c r="G4782">
        <v>-420.62740000000002</v>
      </c>
      <c r="H4782" s="1">
        <v>-4.1246649999999998E-6</v>
      </c>
      <c r="I4782">
        <v>118.8147</v>
      </c>
      <c r="J4782">
        <v>-420.7038</v>
      </c>
      <c r="K4782">
        <v>1.125661</v>
      </c>
      <c r="L4782">
        <v>129.4093</v>
      </c>
      <c r="M4782">
        <v>-0.19493930000000001</v>
      </c>
      <c r="N4782">
        <v>-1.46467E-2</v>
      </c>
      <c r="O4782">
        <v>-0.98070619999999997</v>
      </c>
      <c r="P4782">
        <v>-0.1130239</v>
      </c>
      <c r="Q4782">
        <v>-0.1220769</v>
      </c>
      <c r="R4782">
        <v>-0.98606470000000002</v>
      </c>
      <c r="S4782">
        <v>1.190186E-2</v>
      </c>
      <c r="T4782">
        <v>-0.3132356</v>
      </c>
      <c r="U4782">
        <v>-3.0071409999999998</v>
      </c>
      <c r="V4782">
        <v>-8.0141900000000002E-2</v>
      </c>
      <c r="W4782">
        <v>-0.1085071</v>
      </c>
      <c r="X4782">
        <v>0.99085999999999996</v>
      </c>
      <c r="Y4782">
        <v>-0.1986414</v>
      </c>
      <c r="Z4782">
        <v>8.5009180000000004E-2</v>
      </c>
      <c r="AA4782">
        <v>0.97637859999999999</v>
      </c>
      <c r="AB4782">
        <v>21</v>
      </c>
      <c r="AC4782">
        <v>7.6399999999978194E-2</v>
      </c>
      <c r="AD4782">
        <v>-1.125665124665</v>
      </c>
      <c r="AE4782">
        <v>-10.5946</v>
      </c>
      <c r="AF4782">
        <v>-2.1165665850024</v>
      </c>
      <c r="AG4782">
        <v>-1.125665124665</v>
      </c>
      <c r="AH4782">
        <v>10.2605829261446</v>
      </c>
      <c r="AI4782">
        <v>96.132647578046004</v>
      </c>
      <c r="AJ4782">
        <v>101.65556183062399</v>
      </c>
      <c r="AK4782">
        <v>10.536913118457701</v>
      </c>
      <c r="AL4782">
        <v>96.229263406815704</v>
      </c>
      <c r="AM4782">
        <v>94.624083066124896</v>
      </c>
      <c r="AN4782">
        <v>1.0000000272430001</v>
      </c>
    </row>
    <row r="4783" spans="1:40" x14ac:dyDescent="0.25">
      <c r="A4783" t="str">
        <f>"20190303154611453"</f>
        <v>20190303154611453</v>
      </c>
      <c r="B4783" t="str">
        <f>"1551599171446110"</f>
        <v>1551599171446110</v>
      </c>
      <c r="C4783" t="s">
        <v>40</v>
      </c>
      <c r="D4783">
        <v>5.4587599999999998</v>
      </c>
      <c r="E4783">
        <v>0.4492584</v>
      </c>
      <c r="F4783" t="s">
        <v>41</v>
      </c>
      <c r="G4783">
        <v>-420.4973</v>
      </c>
      <c r="H4783" s="1">
        <v>-3.8626190000000004E-6</v>
      </c>
      <c r="I4783">
        <v>118.28449999999999</v>
      </c>
      <c r="J4783">
        <v>-420.73520000000002</v>
      </c>
      <c r="K4783">
        <v>1.1254189999999999</v>
      </c>
      <c r="L4783">
        <v>129.20060000000001</v>
      </c>
      <c r="M4783">
        <v>-0.18685889999999999</v>
      </c>
      <c r="N4783">
        <v>-1.456153E-2</v>
      </c>
      <c r="O4783">
        <v>-0.98227889999999995</v>
      </c>
      <c r="P4783">
        <v>-0.107893</v>
      </c>
      <c r="Q4783">
        <v>-0.1246081</v>
      </c>
      <c r="R4783">
        <v>-0.98632249999999999</v>
      </c>
      <c r="S4783">
        <v>5.5908199999999998E-2</v>
      </c>
      <c r="T4783">
        <v>-0.304678</v>
      </c>
      <c r="U4783">
        <v>-3.0110929999999998</v>
      </c>
      <c r="V4783">
        <v>-7.7116710000000005E-2</v>
      </c>
      <c r="W4783">
        <v>-0.1110445</v>
      </c>
      <c r="X4783">
        <v>0.99081889999999995</v>
      </c>
      <c r="Y4783">
        <v>-0.2048355</v>
      </c>
      <c r="Z4783">
        <v>8.2414600000000005E-2</v>
      </c>
      <c r="AA4783">
        <v>0.97532059999999998</v>
      </c>
      <c r="AB4783">
        <v>21</v>
      </c>
      <c r="AC4783">
        <v>0.23790000000002401</v>
      </c>
      <c r="AD4783">
        <v>-1.1254228626189999</v>
      </c>
      <c r="AE4783">
        <v>-10.9161</v>
      </c>
      <c r="AF4783">
        <v>-2.2497935888205798</v>
      </c>
      <c r="AG4783">
        <v>-1.1254228626189999</v>
      </c>
      <c r="AH4783">
        <v>10.5670674920728</v>
      </c>
      <c r="AI4783">
        <v>95.946944357523407</v>
      </c>
      <c r="AJ4783">
        <v>102.019162382117</v>
      </c>
      <c r="AK4783">
        <v>10.8623691335742</v>
      </c>
      <c r="AL4783">
        <v>96.375530034341097</v>
      </c>
      <c r="AM4783">
        <v>94.450432245259606</v>
      </c>
      <c r="AN4783">
        <v>0.999999980269341</v>
      </c>
    </row>
    <row r="4784" spans="1:40" x14ac:dyDescent="0.25">
      <c r="A4784" t="str">
        <f>"20190303154611477"</f>
        <v>20190303154611477</v>
      </c>
      <c r="B4784" t="str">
        <f>"1551599171465630"</f>
        <v>1551599171465630</v>
      </c>
      <c r="C4784" t="s">
        <v>40</v>
      </c>
      <c r="D4784">
        <v>5.4137380000000004</v>
      </c>
      <c r="E4784">
        <v>0.44915509999999997</v>
      </c>
      <c r="F4784" t="s">
        <v>41</v>
      </c>
      <c r="G4784">
        <v>-420.4504</v>
      </c>
      <c r="H4784" s="1">
        <v>-3.737292E-6</v>
      </c>
      <c r="I4784">
        <v>118.0214</v>
      </c>
      <c r="J4784">
        <v>-420.76679999999999</v>
      </c>
      <c r="K4784">
        <v>1.1251500000000001</v>
      </c>
      <c r="L4784">
        <v>128.98179999999999</v>
      </c>
      <c r="M4784">
        <v>-0.17884849999999999</v>
      </c>
      <c r="N4784">
        <v>-1.4474890000000001E-2</v>
      </c>
      <c r="O4784">
        <v>-0.98377029999999999</v>
      </c>
      <c r="P4784">
        <v>-0.10462730000000001</v>
      </c>
      <c r="Q4784">
        <v>-0.1281465</v>
      </c>
      <c r="R4784">
        <v>-0.98622080000000001</v>
      </c>
      <c r="S4784">
        <v>7.6721189999999995E-2</v>
      </c>
      <c r="T4784">
        <v>-0.30319190000000001</v>
      </c>
      <c r="U4784">
        <v>-3.0116879999999999</v>
      </c>
      <c r="V4784">
        <v>-7.2280839999999999E-2</v>
      </c>
      <c r="W4784">
        <v>-0.1145711</v>
      </c>
      <c r="X4784">
        <v>0.99078200000000005</v>
      </c>
      <c r="Y4784">
        <v>-0.2035971</v>
      </c>
      <c r="Z4784">
        <v>8.2234329999999994E-2</v>
      </c>
      <c r="AA4784">
        <v>0.97559510000000005</v>
      </c>
      <c r="AB4784">
        <v>21</v>
      </c>
      <c r="AC4784">
        <v>0.31639999999998702</v>
      </c>
      <c r="AD4784">
        <v>-1.125153737292</v>
      </c>
      <c r="AE4784">
        <v>-10.9603999999999</v>
      </c>
      <c r="AF4784">
        <v>-2.2480824116898899</v>
      </c>
      <c r="AG4784">
        <v>-1.125153737292</v>
      </c>
      <c r="AH4784">
        <v>10.615276578463501</v>
      </c>
      <c r="AI4784">
        <v>95.920070174583898</v>
      </c>
      <c r="AJ4784">
        <v>101.95731514966999</v>
      </c>
      <c r="AK4784">
        <v>10.9088928081436</v>
      </c>
      <c r="AL4784">
        <v>96.578887286464294</v>
      </c>
      <c r="AM4784">
        <v>94.172525706898895</v>
      </c>
      <c r="AN4784">
        <v>1.0000000141551499</v>
      </c>
    </row>
    <row r="4785" spans="1:40" x14ac:dyDescent="0.25">
      <c r="A4785" t="str">
        <f>"20190303154611499"</f>
        <v>20190303154611499</v>
      </c>
      <c r="B4785" t="str">
        <f>"1551599171495887"</f>
        <v>1551599171495887</v>
      </c>
      <c r="C4785" t="s">
        <v>40</v>
      </c>
      <c r="D4785">
        <v>5.4366620000000001</v>
      </c>
      <c r="E4785">
        <v>0.44960080000000002</v>
      </c>
      <c r="F4785" t="s">
        <v>41</v>
      </c>
      <c r="G4785">
        <v>-420.4504</v>
      </c>
      <c r="H4785" s="1">
        <v>-3.754614E-6</v>
      </c>
      <c r="I4785">
        <v>118.06189999999999</v>
      </c>
      <c r="J4785">
        <v>-420.79570000000001</v>
      </c>
      <c r="K4785">
        <v>1.1248769999999999</v>
      </c>
      <c r="L4785">
        <v>128.77359999999999</v>
      </c>
      <c r="M4785">
        <v>-0.17165359999999999</v>
      </c>
      <c r="N4785">
        <v>-1.439491E-2</v>
      </c>
      <c r="O4785">
        <v>-0.98505229999999999</v>
      </c>
      <c r="P4785">
        <v>-0.10337929999999999</v>
      </c>
      <c r="Q4785">
        <v>-0.13138339999999901</v>
      </c>
      <c r="R4785">
        <v>-0.985927</v>
      </c>
      <c r="S4785">
        <v>8.7249759999999996E-2</v>
      </c>
      <c r="T4785">
        <v>-0.31022680000000002</v>
      </c>
      <c r="U4785">
        <v>-3.0108489999999999</v>
      </c>
      <c r="V4785">
        <v>-6.6271499999999997E-2</v>
      </c>
      <c r="W4785">
        <v>-0.1177811</v>
      </c>
      <c r="X4785">
        <v>0.99082579999999998</v>
      </c>
      <c r="Y4785">
        <v>-0.1998509</v>
      </c>
      <c r="Z4785">
        <v>8.4793149999999998E-2</v>
      </c>
      <c r="AA4785">
        <v>0.97615050000000003</v>
      </c>
      <c r="AB4785">
        <v>21</v>
      </c>
      <c r="AC4785">
        <v>0.34530000000000799</v>
      </c>
      <c r="AD4785">
        <v>-1.1248807546140001</v>
      </c>
      <c r="AE4785">
        <v>-10.711699999999899</v>
      </c>
      <c r="AF4785">
        <v>-2.15532179686035</v>
      </c>
      <c r="AG4785">
        <v>-1.1248807546140001</v>
      </c>
      <c r="AH4785">
        <v>10.379057622405901</v>
      </c>
      <c r="AI4785">
        <v>96.057329628588107</v>
      </c>
      <c r="AJ4785">
        <v>101.731345007122</v>
      </c>
      <c r="AK4785">
        <v>10.660000276235699</v>
      </c>
      <c r="AL4785">
        <v>96.764060571589297</v>
      </c>
      <c r="AM4785">
        <v>93.826535579132994</v>
      </c>
      <c r="AN4785">
        <v>1.00000003258754</v>
      </c>
    </row>
    <row r="4786" spans="1:40" x14ac:dyDescent="0.25">
      <c r="A4786" t="str">
        <f>"20190303154611522"</f>
        <v>20190303154611522</v>
      </c>
      <c r="B4786" t="str">
        <f>"1551599171516382"</f>
        <v>1551599171516382</v>
      </c>
      <c r="C4786" t="s">
        <v>40</v>
      </c>
      <c r="D4786">
        <v>5.4152050000000003</v>
      </c>
      <c r="E4786">
        <v>0.45001649999999999</v>
      </c>
      <c r="F4786" t="s">
        <v>41</v>
      </c>
      <c r="G4786">
        <v>-420.48680000000002</v>
      </c>
      <c r="H4786" s="1">
        <v>-3.804193E-6</v>
      </c>
      <c r="I4786">
        <v>118.1549</v>
      </c>
      <c r="J4786">
        <v>-420.82319999999999</v>
      </c>
      <c r="K4786">
        <v>1.1245969999999901</v>
      </c>
      <c r="L4786">
        <v>128.5685</v>
      </c>
      <c r="M4786">
        <v>-0.164970799999999</v>
      </c>
      <c r="N4786">
        <v>-1.432054E-2</v>
      </c>
      <c r="O4786">
        <v>-0.98619480000000004</v>
      </c>
      <c r="P4786">
        <v>-0.1037078</v>
      </c>
      <c r="Q4786">
        <v>-0.1345652</v>
      </c>
      <c r="R4786">
        <v>-0.98546339999999999</v>
      </c>
      <c r="S4786">
        <v>8.7554930000000003E-2</v>
      </c>
      <c r="T4786">
        <v>-0.31880999999999998</v>
      </c>
      <c r="U4786">
        <v>-3.0095209999999999</v>
      </c>
      <c r="V4786">
        <v>-5.921473E-2</v>
      </c>
      <c r="W4786">
        <v>-0.1209264</v>
      </c>
      <c r="X4786">
        <v>0.99089380000000005</v>
      </c>
      <c r="Y4786">
        <v>-0.1933098</v>
      </c>
      <c r="Z4786">
        <v>8.7879890000000002E-2</v>
      </c>
      <c r="AA4786">
        <v>0.97719420000000001</v>
      </c>
      <c r="AB4786">
        <v>21</v>
      </c>
      <c r="AC4786">
        <v>0.336399999999969</v>
      </c>
      <c r="AD4786">
        <v>-1.12460080419299</v>
      </c>
      <c r="AE4786">
        <v>-10.413600000000001</v>
      </c>
      <c r="AF4786">
        <v>-2.0262981686215</v>
      </c>
      <c r="AG4786">
        <v>-1.12460080419299</v>
      </c>
      <c r="AH4786">
        <v>10.097743251046699</v>
      </c>
      <c r="AI4786">
        <v>96.231704779501499</v>
      </c>
      <c r="AJ4786">
        <v>101.346752312096</v>
      </c>
      <c r="AK4786">
        <v>10.3602620623713</v>
      </c>
      <c r="AL4786">
        <v>96.945570404136106</v>
      </c>
      <c r="AM4786">
        <v>93.419866078156701</v>
      </c>
      <c r="AN4786">
        <v>1.00000005067218</v>
      </c>
    </row>
    <row r="4787" spans="1:40" x14ac:dyDescent="0.25">
      <c r="A4787" t="str">
        <f>"20190303154611543"</f>
        <v>20190303154611543</v>
      </c>
      <c r="B4787" t="str">
        <f>"1551599171535903"</f>
        <v>1551599171535903</v>
      </c>
      <c r="C4787" t="s">
        <v>40</v>
      </c>
      <c r="D4787">
        <v>5.3861840000000001</v>
      </c>
      <c r="E4787">
        <v>0.45058589999999998</v>
      </c>
      <c r="F4787" t="s">
        <v>41</v>
      </c>
      <c r="G4787">
        <v>-420.53969999999998</v>
      </c>
      <c r="H4787" s="1">
        <v>-3.869486E-6</v>
      </c>
      <c r="I4787">
        <v>118.27419999999999</v>
      </c>
      <c r="J4787">
        <v>-420.8492</v>
      </c>
      <c r="K4787">
        <v>1.1243160000000001</v>
      </c>
      <c r="L4787">
        <v>128.36760000000001</v>
      </c>
      <c r="M4787">
        <v>-0.15884509999999999</v>
      </c>
      <c r="N4787">
        <v>-1.4252809999999999E-2</v>
      </c>
      <c r="O4787">
        <v>-0.98720059999999998</v>
      </c>
      <c r="P4787">
        <v>-0.1035087</v>
      </c>
      <c r="Q4787">
        <v>-0.13556209999999999</v>
      </c>
      <c r="R4787">
        <v>-0.98534699999999997</v>
      </c>
      <c r="S4787">
        <v>8.2824709999999996E-2</v>
      </c>
      <c r="T4787">
        <v>-0.32862269999999999</v>
      </c>
      <c r="U4787">
        <v>-3.0081180000000001</v>
      </c>
      <c r="V4787">
        <v>-5.3324299999999998E-2</v>
      </c>
      <c r="W4787">
        <v>-0.12189759999999999</v>
      </c>
      <c r="X4787">
        <v>0.99110929999999997</v>
      </c>
      <c r="Y4787">
        <v>-0.18568609999999999</v>
      </c>
      <c r="Z4787">
        <v>9.1358010000000003E-2</v>
      </c>
      <c r="AA4787">
        <v>0.97835289999999997</v>
      </c>
      <c r="AB4787">
        <v>21</v>
      </c>
      <c r="AC4787">
        <v>0.30950000000001399</v>
      </c>
      <c r="AD4787">
        <v>-1.1243198694859999</v>
      </c>
      <c r="AE4787">
        <v>-10.093400000000001</v>
      </c>
      <c r="AF4787">
        <v>-1.88564443347049</v>
      </c>
      <c r="AG4787">
        <v>-1.1243198694859999</v>
      </c>
      <c r="AH4787">
        <v>9.7946370115616492</v>
      </c>
      <c r="AI4787">
        <v>96.431203827252702</v>
      </c>
      <c r="AJ4787">
        <v>100.897149460523</v>
      </c>
      <c r="AK4787">
        <v>10.037662291920901</v>
      </c>
      <c r="AL4787">
        <v>97.001630615595104</v>
      </c>
      <c r="AM4787">
        <v>93.079695047282101</v>
      </c>
      <c r="AN4787">
        <v>1.00000007520136</v>
      </c>
    </row>
    <row r="4788" spans="1:40" x14ac:dyDescent="0.25">
      <c r="A4788" t="str">
        <f>"20190303154611565"</f>
        <v>20190303154611565</v>
      </c>
      <c r="B4788" t="str">
        <f>"1551599171556398"</f>
        <v>1551599171556398</v>
      </c>
      <c r="C4788" t="s">
        <v>40</v>
      </c>
      <c r="D4788">
        <v>5.4406230000000004</v>
      </c>
      <c r="E4788">
        <v>0.45069579999999998</v>
      </c>
      <c r="F4788" t="s">
        <v>41</v>
      </c>
      <c r="G4788">
        <v>-420.5795</v>
      </c>
      <c r="H4788" s="1">
        <v>-3.8162790000000003E-6</v>
      </c>
      <c r="I4788">
        <v>118.1255</v>
      </c>
      <c r="J4788">
        <v>-420.87479999999999</v>
      </c>
      <c r="K4788">
        <v>1.124072</v>
      </c>
      <c r="L4788">
        <v>128.16309999999999</v>
      </c>
      <c r="M4788">
        <v>-0.1530041</v>
      </c>
      <c r="N4788">
        <v>-1.418898E-2</v>
      </c>
      <c r="O4788">
        <v>-0.98812370000000005</v>
      </c>
      <c r="P4788">
        <v>-0.10198790000000001</v>
      </c>
      <c r="Q4788">
        <v>-0.13346669999999999</v>
      </c>
      <c r="R4788">
        <v>-0.98579190000000005</v>
      </c>
      <c r="S4788">
        <v>7.9193120000000006E-2</v>
      </c>
      <c r="T4788">
        <v>-0.3301501</v>
      </c>
      <c r="U4788">
        <v>-3.0075069999999999</v>
      </c>
      <c r="V4788">
        <v>-4.9136550000000001E-2</v>
      </c>
      <c r="W4788">
        <v>-0.1197916</v>
      </c>
      <c r="X4788">
        <v>0.99158230000000003</v>
      </c>
      <c r="Y4788">
        <v>-0.17870079999999999</v>
      </c>
      <c r="Z4788">
        <v>9.2154239999999998E-2</v>
      </c>
      <c r="AA4788">
        <v>0.97957830000000001</v>
      </c>
      <c r="AB4788">
        <v>21</v>
      </c>
      <c r="AC4788">
        <v>0.29529999999999701</v>
      </c>
      <c r="AD4788">
        <v>-1.1240758162790001</v>
      </c>
      <c r="AE4788">
        <v>-10.0375999999999</v>
      </c>
      <c r="AF4788">
        <v>-1.80515205875096</v>
      </c>
      <c r="AG4788">
        <v>-1.1240758162790001</v>
      </c>
      <c r="AH4788">
        <v>9.7520082520614206</v>
      </c>
      <c r="AI4788">
        <v>96.466347737791196</v>
      </c>
      <c r="AJ4788">
        <v>100.487072334788</v>
      </c>
      <c r="AK4788">
        <v>9.9811715416693492</v>
      </c>
      <c r="AL4788">
        <v>96.8800757757177</v>
      </c>
      <c r="AM4788">
        <v>92.836896064265602</v>
      </c>
      <c r="AN4788">
        <v>0.99999994282487403</v>
      </c>
    </row>
    <row r="4789" spans="1:40" x14ac:dyDescent="0.25">
      <c r="A4789" t="str">
        <f>"20190303154611586"</f>
        <v>20190303154611586</v>
      </c>
      <c r="B4789" t="str">
        <f>"1551599171575918"</f>
        <v>1551599171575918</v>
      </c>
      <c r="C4789" t="s">
        <v>40</v>
      </c>
      <c r="D4789">
        <v>5.4427750000000001</v>
      </c>
      <c r="E4789">
        <v>0.45072040000000002</v>
      </c>
      <c r="F4789" t="s">
        <v>41</v>
      </c>
      <c r="G4789">
        <v>-420.59230000000002</v>
      </c>
      <c r="H4789" s="1">
        <v>-3.7278090000000002E-6</v>
      </c>
      <c r="I4789">
        <v>117.9114</v>
      </c>
      <c r="J4789">
        <v>-420.8997</v>
      </c>
      <c r="K4789">
        <v>1.123885</v>
      </c>
      <c r="L4789">
        <v>127.9581</v>
      </c>
      <c r="M4789">
        <v>-0.1474683</v>
      </c>
      <c r="N4789">
        <v>-1.413088E-2</v>
      </c>
      <c r="O4789">
        <v>-0.98896589999999995</v>
      </c>
      <c r="P4789">
        <v>-9.9090579999999998E-2</v>
      </c>
      <c r="Q4789">
        <v>-0.1303938</v>
      </c>
      <c r="R4789">
        <v>-0.98649799999999999</v>
      </c>
      <c r="S4789">
        <v>8.2855219999999993E-2</v>
      </c>
      <c r="T4789">
        <v>-0.32972780000000002</v>
      </c>
      <c r="U4789">
        <v>-3.0071720000000002</v>
      </c>
      <c r="V4789">
        <v>-4.6644270000000002E-2</v>
      </c>
      <c r="W4789">
        <v>-0.116726</v>
      </c>
      <c r="X4789">
        <v>0.99206819999999896</v>
      </c>
      <c r="Y4789">
        <v>-0.1743894</v>
      </c>
      <c r="Z4789">
        <v>9.2266849999999997E-2</v>
      </c>
      <c r="AA4789">
        <v>0.9803444</v>
      </c>
      <c r="AB4789">
        <v>21</v>
      </c>
      <c r="AC4789">
        <v>0.30739999999997197</v>
      </c>
      <c r="AD4789">
        <v>-1.123888727809</v>
      </c>
      <c r="AE4789">
        <v>-10.0467</v>
      </c>
      <c r="AF4789">
        <v>-1.76370551814258</v>
      </c>
      <c r="AG4789">
        <v>-1.123888727809</v>
      </c>
      <c r="AH4789">
        <v>9.7693584981958992</v>
      </c>
      <c r="AI4789">
        <v>96.459072483918305</v>
      </c>
      <c r="AJ4789">
        <v>100.23363028489899</v>
      </c>
      <c r="AK4789">
        <v>9.9907031030601292</v>
      </c>
      <c r="AL4789">
        <v>96.703188247230301</v>
      </c>
      <c r="AM4789">
        <v>92.691904761487606</v>
      </c>
      <c r="AN4789">
        <v>0.99999998022553604</v>
      </c>
    </row>
    <row r="4790" spans="1:40" x14ac:dyDescent="0.25">
      <c r="A4790" t="str">
        <f>"20190303154611610"</f>
        <v>20190303154611610</v>
      </c>
      <c r="B4790" t="str">
        <f>"1551599171606174"</f>
        <v>1551599171606174</v>
      </c>
      <c r="C4790" t="s">
        <v>40</v>
      </c>
      <c r="D4790">
        <v>5.4397419999999999</v>
      </c>
      <c r="E4790">
        <v>0.4509901</v>
      </c>
      <c r="F4790" t="s">
        <v>41</v>
      </c>
      <c r="G4790">
        <v>-420.57960000000003</v>
      </c>
      <c r="H4790" s="1">
        <v>-3.563223E-6</v>
      </c>
      <c r="I4790">
        <v>117.5356</v>
      </c>
      <c r="J4790">
        <v>-420.9246</v>
      </c>
      <c r="K4790">
        <v>1.1237360000000001</v>
      </c>
      <c r="L4790">
        <v>127.7454</v>
      </c>
      <c r="M4790">
        <v>-0.14204539999999999</v>
      </c>
      <c r="N4790">
        <v>-1.4076689999999999E-2</v>
      </c>
      <c r="O4790">
        <v>-0.98976019999999998</v>
      </c>
      <c r="P4790">
        <v>-9.5880489999999999E-2</v>
      </c>
      <c r="Q4790">
        <v>-0.12803899999999999</v>
      </c>
      <c r="R4790">
        <v>-0.98712409999999995</v>
      </c>
      <c r="S4790">
        <v>9.2346189999999995E-2</v>
      </c>
      <c r="T4790">
        <v>-0.32430550000000002</v>
      </c>
      <c r="U4790">
        <v>-3.0074920000000001</v>
      </c>
      <c r="V4790">
        <v>-4.4543699999999999E-2</v>
      </c>
      <c r="W4790">
        <v>-0.11438619999999999</v>
      </c>
      <c r="X4790">
        <v>0.99243720000000002</v>
      </c>
      <c r="Y4790">
        <v>-0.1720902</v>
      </c>
      <c r="Z4790">
        <v>9.0720709999999996E-2</v>
      </c>
      <c r="AA4790">
        <v>0.98089490000000001</v>
      </c>
      <c r="AB4790">
        <v>21</v>
      </c>
      <c r="AC4790">
        <v>0.34499999999997</v>
      </c>
      <c r="AD4790">
        <v>-1.1237395632230001</v>
      </c>
      <c r="AE4790">
        <v>-10.2098</v>
      </c>
      <c r="AF4790">
        <v>-1.77047612208113</v>
      </c>
      <c r="AG4790">
        <v>-1.1237395632230001</v>
      </c>
      <c r="AH4790">
        <v>9.9370008824332903</v>
      </c>
      <c r="AI4790">
        <v>96.352754548622897</v>
      </c>
      <c r="AJ4790">
        <v>100.102384475579</v>
      </c>
      <c r="AK4790">
        <v>10.1558536245011</v>
      </c>
      <c r="AL4790">
        <v>96.568223479693899</v>
      </c>
      <c r="AM4790">
        <v>92.569889868996498</v>
      </c>
      <c r="AN4790">
        <v>0.99999996995198404</v>
      </c>
    </row>
    <row r="4791" spans="1:40" x14ac:dyDescent="0.25">
      <c r="A4791" t="str">
        <f>"20190303154611632"</f>
        <v>20190303154611632</v>
      </c>
      <c r="B4791" t="str">
        <f>"1551599171626670"</f>
        <v>1551599171626670</v>
      </c>
      <c r="C4791" t="s">
        <v>40</v>
      </c>
      <c r="D4791">
        <v>5.399343</v>
      </c>
      <c r="E4791">
        <v>0.45125209999999999</v>
      </c>
      <c r="F4791" t="s">
        <v>41</v>
      </c>
      <c r="G4791">
        <v>-420.57479999999998</v>
      </c>
      <c r="H4791" s="1">
        <v>-3.4218789999999999E-6</v>
      </c>
      <c r="I4791">
        <v>117.20910000000001</v>
      </c>
      <c r="J4791">
        <v>-420.94839999999999</v>
      </c>
      <c r="K4791">
        <v>1.123594</v>
      </c>
      <c r="L4791">
        <v>127.5361</v>
      </c>
      <c r="M4791">
        <v>-0.13702619999999999</v>
      </c>
      <c r="N4791">
        <v>-1.402779E-2</v>
      </c>
      <c r="O4791">
        <v>-0.99046829999999997</v>
      </c>
      <c r="P4791">
        <v>-9.3064960000000002E-2</v>
      </c>
      <c r="Q4791">
        <v>-0.12742490000000001</v>
      </c>
      <c r="R4791">
        <v>-0.98747280000000004</v>
      </c>
      <c r="S4791">
        <v>9.9853520000000001E-2</v>
      </c>
      <c r="T4791">
        <v>-0.32073000000000002</v>
      </c>
      <c r="U4791">
        <v>-3.0072019999999999</v>
      </c>
      <c r="V4791">
        <v>-4.2401370000000001E-2</v>
      </c>
      <c r="W4791">
        <v>-0.1137885</v>
      </c>
      <c r="X4791">
        <v>0.99259980000000003</v>
      </c>
      <c r="Y4791">
        <v>-0.16955290000000001</v>
      </c>
      <c r="Z4791">
        <v>8.9765990000000004E-2</v>
      </c>
      <c r="AA4791">
        <v>0.98142450000000003</v>
      </c>
      <c r="AB4791">
        <v>21</v>
      </c>
      <c r="AC4791">
        <v>0.37360000000000998</v>
      </c>
      <c r="AD4791">
        <v>-1.1235974218789999</v>
      </c>
      <c r="AE4791">
        <v>-10.3269999999999</v>
      </c>
      <c r="AF4791">
        <v>-1.76442411759187</v>
      </c>
      <c r="AG4791">
        <v>-1.1235974218789999</v>
      </c>
      <c r="AH4791">
        <v>10.059445903653801</v>
      </c>
      <c r="AI4791">
        <v>96.278218288809001</v>
      </c>
      <c r="AJ4791">
        <v>99.948466404151901</v>
      </c>
      <c r="AK4791">
        <v>10.2746345687684</v>
      </c>
      <c r="AL4791">
        <v>96.533752321371097</v>
      </c>
      <c r="AM4791">
        <v>92.446044660283306</v>
      </c>
      <c r="AN4791">
        <v>1.0000000309350801</v>
      </c>
    </row>
    <row r="4792" spans="1:40" x14ac:dyDescent="0.25">
      <c r="A4792" t="str">
        <f>"20190303154611654"</f>
        <v>20190303154611654</v>
      </c>
      <c r="B4792" t="str">
        <f>"1551599171646191"</f>
        <v>1551599171646191</v>
      </c>
      <c r="C4792" t="s">
        <v>40</v>
      </c>
      <c r="D4792">
        <v>5.4120350000000004</v>
      </c>
      <c r="E4792">
        <v>0.4514087</v>
      </c>
      <c r="F4792" t="s">
        <v>41</v>
      </c>
      <c r="G4792">
        <v>-420.57499999999999</v>
      </c>
      <c r="H4792" s="1">
        <v>-3.3373359999999999E-6</v>
      </c>
      <c r="I4792">
        <v>117.0119</v>
      </c>
      <c r="J4792">
        <v>-420.97179999999997</v>
      </c>
      <c r="K4792">
        <v>1.1234390000000001</v>
      </c>
      <c r="L4792">
        <v>127.3232</v>
      </c>
      <c r="M4792">
        <v>-0.1322451</v>
      </c>
      <c r="N4792">
        <v>-1.3980599999999999E-2</v>
      </c>
      <c r="O4792">
        <v>-0.99111859999999996</v>
      </c>
      <c r="P4792">
        <v>-8.9632260000000005E-2</v>
      </c>
      <c r="Q4792">
        <v>-0.1266013</v>
      </c>
      <c r="R4792">
        <v>-0.98789610000000005</v>
      </c>
      <c r="S4792">
        <v>0.10668950000000001</v>
      </c>
      <c r="T4792">
        <v>-0.32100509999999999</v>
      </c>
      <c r="U4792">
        <v>-3.0066989999999998</v>
      </c>
      <c r="V4792">
        <v>-4.1127190000000001E-2</v>
      </c>
      <c r="W4792">
        <v>-0.1129848</v>
      </c>
      <c r="X4792">
        <v>0.99274519999999999</v>
      </c>
      <c r="Y4792">
        <v>-0.16703309999999999</v>
      </c>
      <c r="Z4792">
        <v>9.0039530000000007E-2</v>
      </c>
      <c r="AA4792">
        <v>0.98183140000000002</v>
      </c>
      <c r="AB4792">
        <v>21</v>
      </c>
      <c r="AC4792">
        <v>0.396799999999984</v>
      </c>
      <c r="AD4792">
        <v>-1.1234423373360001</v>
      </c>
      <c r="AE4792">
        <v>-10.311299999999999</v>
      </c>
      <c r="AF4792">
        <v>-1.7364834996001699</v>
      </c>
      <c r="AG4792">
        <v>-1.1234423373360001</v>
      </c>
      <c r="AH4792">
        <v>10.0491252801157</v>
      </c>
      <c r="AI4792">
        <v>96.286493560979807</v>
      </c>
      <c r="AJ4792">
        <v>99.803865254318296</v>
      </c>
      <c r="AK4792">
        <v>10.259747390904</v>
      </c>
      <c r="AL4792">
        <v>96.487404867300697</v>
      </c>
      <c r="AM4792">
        <v>92.372278128673102</v>
      </c>
      <c r="AN4792">
        <v>1.0000000214556799</v>
      </c>
    </row>
    <row r="4793" spans="1:40" x14ac:dyDescent="0.25">
      <c r="A4793" t="str">
        <f>"20190303154611678"</f>
        <v>20190303154611678</v>
      </c>
      <c r="B4793" t="str">
        <f>"1551599171665710"</f>
        <v>1551599171665710</v>
      </c>
      <c r="C4793" t="s">
        <v>40</v>
      </c>
      <c r="D4793">
        <v>5.4016760000000001</v>
      </c>
      <c r="E4793">
        <v>0.45177719999999999</v>
      </c>
      <c r="F4793" t="s">
        <v>41</v>
      </c>
      <c r="G4793">
        <v>-420.5641</v>
      </c>
      <c r="H4793" s="1">
        <v>-3.234673E-6</v>
      </c>
      <c r="I4793">
        <v>116.77930000000001</v>
      </c>
      <c r="J4793">
        <v>-420.99459999999999</v>
      </c>
      <c r="K4793">
        <v>1.1232439999999999</v>
      </c>
      <c r="L4793">
        <v>127.11020000000001</v>
      </c>
      <c r="M4793">
        <v>-0.12777859999999999</v>
      </c>
      <c r="N4793">
        <v>-1.3935599999999999E-2</v>
      </c>
      <c r="O4793">
        <v>-0.99170480000000005</v>
      </c>
      <c r="P4793">
        <v>-8.5864789999999996E-2</v>
      </c>
      <c r="Q4793">
        <v>-0.12683729999999999</v>
      </c>
      <c r="R4793">
        <v>-0.98820030000000003</v>
      </c>
      <c r="S4793">
        <v>0.1162415</v>
      </c>
      <c r="T4793">
        <v>-0.32031480000000001</v>
      </c>
      <c r="U4793">
        <v>-3.006256</v>
      </c>
      <c r="V4793">
        <v>-4.0489299999999999E-2</v>
      </c>
      <c r="W4793">
        <v>-0.1132422</v>
      </c>
      <c r="X4793">
        <v>0.99274209999999996</v>
      </c>
      <c r="Y4793">
        <v>-0.16571420000000001</v>
      </c>
      <c r="Z4793">
        <v>8.9975040000000006E-2</v>
      </c>
      <c r="AA4793">
        <v>0.98206070000000001</v>
      </c>
      <c r="AB4793">
        <v>21</v>
      </c>
      <c r="AC4793">
        <v>0.430499999999995</v>
      </c>
      <c r="AD4793">
        <v>-1.123247234673</v>
      </c>
      <c r="AE4793">
        <v>-10.3309</v>
      </c>
      <c r="AF4793">
        <v>-1.72678859907316</v>
      </c>
      <c r="AG4793">
        <v>-1.123247234673</v>
      </c>
      <c r="AH4793">
        <v>10.0723201155471</v>
      </c>
      <c r="AI4793">
        <v>96.272466754229598</v>
      </c>
      <c r="AJ4793">
        <v>99.728159617451396</v>
      </c>
      <c r="AK4793">
        <v>10.280812989552199</v>
      </c>
      <c r="AL4793">
        <v>96.502248019212601</v>
      </c>
      <c r="AM4793">
        <v>92.335532024796393</v>
      </c>
      <c r="AN4793">
        <v>1.0000000281938599</v>
      </c>
    </row>
    <row r="4794" spans="1:40" x14ac:dyDescent="0.25">
      <c r="A4794" t="str">
        <f>"20190303154611698"</f>
        <v>20190303154611698</v>
      </c>
      <c r="B4794" t="str">
        <f>"1551599171695967"</f>
        <v>1551599171695967</v>
      </c>
      <c r="C4794" t="s">
        <v>40</v>
      </c>
      <c r="D4794">
        <v>5.3700710000000003</v>
      </c>
      <c r="E4794">
        <v>0.45224989999999998</v>
      </c>
      <c r="F4794" t="s">
        <v>41</v>
      </c>
      <c r="G4794">
        <v>-420.5609</v>
      </c>
      <c r="H4794" s="1">
        <v>-3.169596E-6</v>
      </c>
      <c r="I4794">
        <v>116.6296</v>
      </c>
      <c r="J4794">
        <v>-421.01549999999997</v>
      </c>
      <c r="K4794">
        <v>1.1230469999999999</v>
      </c>
      <c r="L4794">
        <v>126.9101</v>
      </c>
      <c r="M4794">
        <v>-0.12386759999999999</v>
      </c>
      <c r="N4794">
        <v>-1.389658E-2</v>
      </c>
      <c r="O4794">
        <v>-0.99220160000000002</v>
      </c>
      <c r="P4794">
        <v>-8.1977410000000001E-2</v>
      </c>
      <c r="Q4794">
        <v>-0.1283792</v>
      </c>
      <c r="R4794">
        <v>-0.98833139999999997</v>
      </c>
      <c r="S4794">
        <v>0.1243591</v>
      </c>
      <c r="T4794">
        <v>-0.3220886</v>
      </c>
      <c r="U4794">
        <v>-3.00528</v>
      </c>
      <c r="V4794">
        <v>-4.050281E-2</v>
      </c>
      <c r="W4794">
        <v>-0.11480509999999999</v>
      </c>
      <c r="X4794">
        <v>0.99256200000000006</v>
      </c>
      <c r="Y4794">
        <v>-0.16448489999999999</v>
      </c>
      <c r="Z4794">
        <v>9.0700370000000002E-2</v>
      </c>
      <c r="AA4794">
        <v>0.98220070000000004</v>
      </c>
      <c r="AB4794">
        <v>21</v>
      </c>
      <c r="AC4794">
        <v>0.45459999999996997</v>
      </c>
      <c r="AD4794">
        <v>-1.123050169596</v>
      </c>
      <c r="AE4794">
        <v>-10.2805</v>
      </c>
      <c r="AF4794">
        <v>-1.70434279885212</v>
      </c>
      <c r="AG4794">
        <v>-1.123050169596</v>
      </c>
      <c r="AH4794">
        <v>10.025588944910799</v>
      </c>
      <c r="AI4794">
        <v>96.301865394529699</v>
      </c>
      <c r="AJ4794">
        <v>99.648004647756807</v>
      </c>
      <c r="AK4794">
        <v>10.2312491784604</v>
      </c>
      <c r="AL4794">
        <v>96.592383605667493</v>
      </c>
      <c r="AM4794">
        <v>92.336733907411599</v>
      </c>
      <c r="AN4794">
        <v>1.00000000622395</v>
      </c>
    </row>
    <row r="4795" spans="1:40" x14ac:dyDescent="0.25">
      <c r="A4795" t="str">
        <f>"20190303154611721"</f>
        <v>20190303154611721</v>
      </c>
      <c r="B4795" t="str">
        <f>"1551599171716463"</f>
        <v>1551599171716463</v>
      </c>
      <c r="C4795" t="s">
        <v>40</v>
      </c>
      <c r="D4795">
        <v>5.3713730000000002</v>
      </c>
      <c r="E4795">
        <v>0.45263900000000001</v>
      </c>
      <c r="F4795" t="s">
        <v>41</v>
      </c>
      <c r="G4795">
        <v>-420.56270000000001</v>
      </c>
      <c r="H4795" s="1">
        <v>-3.1740009999999998E-6</v>
      </c>
      <c r="I4795">
        <v>116.6388</v>
      </c>
      <c r="J4795">
        <v>-421.03620000000001</v>
      </c>
      <c r="K4795">
        <v>1.122835</v>
      </c>
      <c r="L4795">
        <v>126.7075</v>
      </c>
      <c r="M4795">
        <v>-0.1201873</v>
      </c>
      <c r="N4795">
        <v>-1.3860829999999999E-2</v>
      </c>
      <c r="O4795">
        <v>-0.99265460000000005</v>
      </c>
      <c r="P4795">
        <v>-7.7860429999999994E-2</v>
      </c>
      <c r="Q4795">
        <v>-0.13038459999999999</v>
      </c>
      <c r="R4795">
        <v>-0.98840150000000004</v>
      </c>
      <c r="S4795">
        <v>0.1324158</v>
      </c>
      <c r="T4795">
        <v>-0.3284262</v>
      </c>
      <c r="U4795">
        <v>-3.0037539999999998</v>
      </c>
      <c r="V4795">
        <v>-4.0971559999999997E-2</v>
      </c>
      <c r="W4795">
        <v>-0.1168314</v>
      </c>
      <c r="X4795">
        <v>0.99230629999999997</v>
      </c>
      <c r="Y4795">
        <v>-0.16346720000000001</v>
      </c>
      <c r="Z4795">
        <v>9.2901590000000006E-2</v>
      </c>
      <c r="AA4795">
        <v>0.98216490000000001</v>
      </c>
      <c r="AB4795">
        <v>21</v>
      </c>
      <c r="AC4795">
        <v>0.47350000000000098</v>
      </c>
      <c r="AD4795">
        <v>-1.1228381740009901</v>
      </c>
      <c r="AE4795">
        <v>-10.0686999999999</v>
      </c>
      <c r="AF4795">
        <v>-1.6597179884938</v>
      </c>
      <c r="AG4795">
        <v>-1.1228381740009901</v>
      </c>
      <c r="AH4795">
        <v>9.8169697944725804</v>
      </c>
      <c r="AI4795">
        <v>96.434450360374598</v>
      </c>
      <c r="AJ4795">
        <v>99.596038497880997</v>
      </c>
      <c r="AK4795">
        <v>10.0193974525372</v>
      </c>
      <c r="AL4795">
        <v>96.709268565489495</v>
      </c>
      <c r="AM4795">
        <v>92.364355467832794</v>
      </c>
      <c r="AN4795">
        <v>1.00000001888724</v>
      </c>
    </row>
    <row r="4796" spans="1:40" x14ac:dyDescent="0.25">
      <c r="A4796" t="str">
        <f>"20190303154611743"</f>
        <v>20190303154611743</v>
      </c>
      <c r="B4796" t="str">
        <f>"1551599171735983"</f>
        <v>1551599171735983</v>
      </c>
      <c r="C4796" t="s">
        <v>40</v>
      </c>
      <c r="D4796">
        <v>5.3810830000000003</v>
      </c>
      <c r="E4796">
        <v>0.45294570000000001</v>
      </c>
      <c r="F4796" t="s">
        <v>41</v>
      </c>
      <c r="G4796">
        <v>-420.56169999999997</v>
      </c>
      <c r="H4796" s="1">
        <v>-3.186104E-6</v>
      </c>
      <c r="I4796">
        <v>116.66759999999999</v>
      </c>
      <c r="J4796">
        <v>-421.05709999999999</v>
      </c>
      <c r="K4796">
        <v>1.122652</v>
      </c>
      <c r="L4796">
        <v>126.49939999999999</v>
      </c>
      <c r="M4796">
        <v>-0.11670469999999999</v>
      </c>
      <c r="N4796">
        <v>-1.3827839999999999E-2</v>
      </c>
      <c r="O4796">
        <v>-0.99307040000000002</v>
      </c>
      <c r="P4796">
        <v>-7.3860759999999998E-2</v>
      </c>
      <c r="Q4796">
        <v>-0.1308453</v>
      </c>
      <c r="R4796">
        <v>-0.98864759999999996</v>
      </c>
      <c r="S4796">
        <v>0.14187620000000001</v>
      </c>
      <c r="T4796">
        <v>-0.33574500000000002</v>
      </c>
      <c r="U4796">
        <v>-3.0020899999999999</v>
      </c>
      <c r="V4796">
        <v>-4.1546930000000003E-2</v>
      </c>
      <c r="W4796">
        <v>-0.1173102</v>
      </c>
      <c r="X4796">
        <v>0.99222589999999999</v>
      </c>
      <c r="Y4796">
        <v>-0.1631061</v>
      </c>
      <c r="Z4796">
        <v>9.5410250000000002E-2</v>
      </c>
      <c r="AA4796">
        <v>0.98198439999999998</v>
      </c>
      <c r="AB4796">
        <v>21</v>
      </c>
      <c r="AC4796">
        <v>0.49540000000001699</v>
      </c>
      <c r="AD4796">
        <v>-1.1226551861039999</v>
      </c>
      <c r="AE4796">
        <v>-9.8317999999999994</v>
      </c>
      <c r="AF4796">
        <v>-1.6184918688151</v>
      </c>
      <c r="AG4796">
        <v>-1.1226551861039999</v>
      </c>
      <c r="AH4796">
        <v>9.5821616830434504</v>
      </c>
      <c r="AI4796">
        <v>96.589860340453598</v>
      </c>
      <c r="AJ4796">
        <v>99.587155608926906</v>
      </c>
      <c r="AK4796">
        <v>9.7825197733658005</v>
      </c>
      <c r="AL4796">
        <v>96.736891634155597</v>
      </c>
      <c r="AM4796">
        <v>92.397714047169103</v>
      </c>
      <c r="AN4796">
        <v>1.0000000335236301</v>
      </c>
    </row>
    <row r="4797" spans="1:40" x14ac:dyDescent="0.25">
      <c r="A4797" t="str">
        <f>"20190303154611765"</f>
        <v>20190303154611765</v>
      </c>
      <c r="B4797" t="str">
        <f>"1551599171756478"</f>
        <v>1551599171756478</v>
      </c>
      <c r="C4797" t="s">
        <v>40</v>
      </c>
      <c r="D4797">
        <v>5.3894950000000001</v>
      </c>
      <c r="E4797">
        <v>0.47253830000000002</v>
      </c>
      <c r="F4797" t="s">
        <v>41</v>
      </c>
      <c r="G4797">
        <v>-420.55160000000001</v>
      </c>
      <c r="H4797" s="1">
        <v>-3.1222290000000001E-6</v>
      </c>
      <c r="I4797">
        <v>116.52500000000001</v>
      </c>
      <c r="J4797">
        <v>-421.0772</v>
      </c>
      <c r="K4797">
        <v>1.1225259999999999</v>
      </c>
      <c r="L4797">
        <v>126.2955</v>
      </c>
      <c r="M4797">
        <v>-0.1135463</v>
      </c>
      <c r="N4797">
        <v>-1.3798599999999999E-2</v>
      </c>
      <c r="O4797">
        <v>-0.99343709999999996</v>
      </c>
      <c r="P4797">
        <v>-7.0629310000000001E-2</v>
      </c>
      <c r="Q4797">
        <v>-0.12929959999999999</v>
      </c>
      <c r="R4797">
        <v>-0.9890873</v>
      </c>
      <c r="S4797">
        <v>0.1520996</v>
      </c>
      <c r="T4797">
        <v>-0.33778520000000001</v>
      </c>
      <c r="U4797">
        <v>-3.001099</v>
      </c>
      <c r="V4797">
        <v>-4.1701149999999999E-2</v>
      </c>
      <c r="W4797">
        <v>-0.1157779</v>
      </c>
      <c r="X4797">
        <v>0.99239929999999998</v>
      </c>
      <c r="Y4797">
        <v>-0.16331709999999999</v>
      </c>
      <c r="Z4797">
        <v>9.6180219999999997E-2</v>
      </c>
      <c r="AA4797">
        <v>0.98187420000000003</v>
      </c>
      <c r="AB4797">
        <v>21</v>
      </c>
      <c r="AC4797">
        <v>0.52559999999999696</v>
      </c>
      <c r="AD4797">
        <v>-1.1225291222289999</v>
      </c>
      <c r="AE4797">
        <v>-9.7704999999999895</v>
      </c>
      <c r="AF4797">
        <v>-1.6105128281783501</v>
      </c>
      <c r="AG4797">
        <v>-1.1225291222289999</v>
      </c>
      <c r="AH4797">
        <v>9.5222857160547605</v>
      </c>
      <c r="AI4797">
        <v>96.629949400155198</v>
      </c>
      <c r="AJ4797">
        <v>99.599641729273799</v>
      </c>
      <c r="AK4797">
        <v>9.7225381695398791</v>
      </c>
      <c r="AL4797">
        <v>96.648495556865299</v>
      </c>
      <c r="AM4797">
        <v>92.406183782398898</v>
      </c>
      <c r="AN4797">
        <v>0.999999939340109</v>
      </c>
    </row>
    <row r="4798" spans="1:40" x14ac:dyDescent="0.25">
      <c r="A4798" t="str">
        <f>"20190303154611788"</f>
        <v>20190303154611788</v>
      </c>
      <c r="B4798" t="str">
        <f>"1551599171775999"</f>
        <v>1551599171775999</v>
      </c>
      <c r="C4798" t="s">
        <v>40</v>
      </c>
      <c r="D4798">
        <v>5.336106</v>
      </c>
      <c r="E4798">
        <v>0.48438199999999998</v>
      </c>
      <c r="F4798" t="s">
        <v>41</v>
      </c>
      <c r="G4798">
        <v>-421.0566</v>
      </c>
      <c r="H4798" s="1">
        <v>-1.9551690000000001E-6</v>
      </c>
      <c r="I4798">
        <v>113.4913</v>
      </c>
      <c r="J4798">
        <v>-421.09769999999997</v>
      </c>
      <c r="K4798">
        <v>1.1224459999999901</v>
      </c>
      <c r="L4798">
        <v>126.08199999999999</v>
      </c>
      <c r="M4798">
        <v>-0.1104337</v>
      </c>
      <c r="N4798">
        <v>-1.3771439999999999E-2</v>
      </c>
      <c r="O4798">
        <v>-0.99378820000000001</v>
      </c>
      <c r="P4798">
        <v>-6.864294E-2</v>
      </c>
      <c r="Q4798">
        <v>-0.12729080000000001</v>
      </c>
      <c r="R4798">
        <v>-0.98948780000000003</v>
      </c>
      <c r="S4798">
        <v>4.8217770000000002E-3</v>
      </c>
      <c r="T4798">
        <v>-0.26292650000000001</v>
      </c>
      <c r="U4798">
        <v>-2.9990839999999999</v>
      </c>
      <c r="V4798">
        <v>-4.0646790000000002E-2</v>
      </c>
      <c r="W4798">
        <v>-0.11377959999999999</v>
      </c>
      <c r="X4798">
        <v>0.99267419999999995</v>
      </c>
      <c r="Y4798">
        <v>-0.111958</v>
      </c>
      <c r="Z4798">
        <v>7.2530659999999997E-2</v>
      </c>
      <c r="AA4798">
        <v>0.99106240000000001</v>
      </c>
      <c r="AB4798">
        <v>21</v>
      </c>
      <c r="AC4798">
        <v>4.1099999999971701E-2</v>
      </c>
      <c r="AD4798">
        <v>-1.1224479551690001</v>
      </c>
      <c r="AE4798">
        <v>-12.5907</v>
      </c>
      <c r="AF4798">
        <v>-1.42013142173399</v>
      </c>
      <c r="AG4798">
        <v>-1.1224479551690001</v>
      </c>
      <c r="AH4798">
        <v>12.4105030996145</v>
      </c>
      <c r="AI4798">
        <v>95.134636996944195</v>
      </c>
      <c r="AJ4798">
        <v>96.527950841277104</v>
      </c>
      <c r="AK4798">
        <v>12.5418200374826</v>
      </c>
      <c r="AL4798">
        <v>96.533239172382096</v>
      </c>
      <c r="AM4798">
        <v>92.344766548903905</v>
      </c>
      <c r="AN4798">
        <v>1.0000000131295499</v>
      </c>
    </row>
    <row r="4799" spans="1:40" x14ac:dyDescent="0.25">
      <c r="A4799" t="str">
        <f>"20190303154611810"</f>
        <v>20190303154611810</v>
      </c>
      <c r="B4799" t="str">
        <f>"1551599171806255"</f>
        <v>1551599171806255</v>
      </c>
      <c r="C4799" t="s">
        <v>40</v>
      </c>
      <c r="D4799">
        <v>5.3676769999999996</v>
      </c>
      <c r="E4799">
        <v>0.49170910000000001</v>
      </c>
      <c r="F4799" t="s">
        <v>41</v>
      </c>
      <c r="G4799">
        <v>-421.50700000000001</v>
      </c>
      <c r="H4799" s="1">
        <v>-1.1840400000000001E-6</v>
      </c>
      <c r="I4799">
        <v>111.4145</v>
      </c>
      <c r="J4799">
        <v>-421.11689999999999</v>
      </c>
      <c r="K4799">
        <v>1.1224149999999999</v>
      </c>
      <c r="L4799">
        <v>125.87730000000001</v>
      </c>
      <c r="M4799">
        <v>-0.1075802</v>
      </c>
      <c r="N4799">
        <v>-1.374887E-2</v>
      </c>
      <c r="O4799">
        <v>-0.99410149999999997</v>
      </c>
      <c r="P4799">
        <v>-6.7961499999999994E-2</v>
      </c>
      <c r="Q4799">
        <v>-0.1262626</v>
      </c>
      <c r="R4799">
        <v>-0.9896663</v>
      </c>
      <c r="S4799">
        <v>-8.3618159999999997E-2</v>
      </c>
      <c r="T4799">
        <v>-0.2293152</v>
      </c>
      <c r="U4799">
        <v>-2.9965670000000002</v>
      </c>
      <c r="V4799">
        <v>-3.8513110000000003E-2</v>
      </c>
      <c r="W4799">
        <v>-0.1127594</v>
      </c>
      <c r="X4799">
        <v>0.99287559999999997</v>
      </c>
      <c r="Y4799">
        <v>-7.9820219999999997E-2</v>
      </c>
      <c r="Z4799">
        <v>6.1807889999999997E-2</v>
      </c>
      <c r="AA4799">
        <v>0.99489119999999998</v>
      </c>
      <c r="AB4799">
        <v>21</v>
      </c>
      <c r="AC4799">
        <v>-0.39009999999996098</v>
      </c>
      <c r="AD4799">
        <v>-1.12241618404</v>
      </c>
      <c r="AE4799">
        <v>-14.4628</v>
      </c>
      <c r="AF4799">
        <v>-1.1612332872412101</v>
      </c>
      <c r="AG4799">
        <v>-1.12241618404</v>
      </c>
      <c r="AH4799">
        <v>14.3345466738142</v>
      </c>
      <c r="AI4799">
        <v>94.462649162170706</v>
      </c>
      <c r="AJ4799">
        <v>94.631384243837303</v>
      </c>
      <c r="AK4799">
        <v>14.425238617830599</v>
      </c>
      <c r="AL4799">
        <v>96.474407806318396</v>
      </c>
      <c r="AM4799">
        <v>92.221358786233907</v>
      </c>
      <c r="AN4799">
        <v>0.99999994950279403</v>
      </c>
    </row>
    <row r="4800" spans="1:40" x14ac:dyDescent="0.25">
      <c r="A4800" t="str">
        <f>"20190303154611835"</f>
        <v>20190303154611835</v>
      </c>
      <c r="B4800" t="str">
        <f>"1551599171825774"</f>
        <v>1551599171825774</v>
      </c>
      <c r="C4800" t="s">
        <v>40</v>
      </c>
      <c r="D4800">
        <v>5.3312520000000001</v>
      </c>
      <c r="E4800">
        <v>0.49386380000000002</v>
      </c>
      <c r="F4800" t="s">
        <v>41</v>
      </c>
      <c r="G4800">
        <v>-421.87920000000003</v>
      </c>
      <c r="H4800" s="1">
        <v>-5.1173550000000004E-7</v>
      </c>
      <c r="I4800">
        <v>109.6165</v>
      </c>
      <c r="J4800">
        <v>-421.13749999999999</v>
      </c>
      <c r="K4800">
        <v>1.1223890000000001</v>
      </c>
      <c r="L4800">
        <v>125.6524</v>
      </c>
      <c r="M4800">
        <v>-0.10454620000000001</v>
      </c>
      <c r="N4800">
        <v>-1.3727609999999999E-2</v>
      </c>
      <c r="O4800">
        <v>-0.99442540000000001</v>
      </c>
      <c r="P4800">
        <v>-6.6921410000000001E-2</v>
      </c>
      <c r="Q4800">
        <v>-0.1266081</v>
      </c>
      <c r="R4800">
        <v>-0.98969309999999999</v>
      </c>
      <c r="S4800">
        <v>-0.14041139999999999</v>
      </c>
      <c r="T4800">
        <v>-0.2067544</v>
      </c>
      <c r="U4800">
        <v>-2.9953159999999999</v>
      </c>
      <c r="V4800">
        <v>-3.6529249999999999E-2</v>
      </c>
      <c r="W4800">
        <v>-0.11311649999999999</v>
      </c>
      <c r="X4800">
        <v>0.99290999999999996</v>
      </c>
      <c r="Y4800">
        <v>-5.7909410000000001E-2</v>
      </c>
      <c r="Z4800">
        <v>5.4533989999999997E-2</v>
      </c>
      <c r="AA4800">
        <v>0.99683120000000003</v>
      </c>
      <c r="AB4800">
        <v>21</v>
      </c>
      <c r="AC4800">
        <v>-0.741700000000037</v>
      </c>
      <c r="AD4800">
        <v>-1.1223895117354901</v>
      </c>
      <c r="AE4800">
        <v>-16.035899999999899</v>
      </c>
      <c r="AF4800">
        <v>-0.93444744956051995</v>
      </c>
      <c r="AG4800">
        <v>-1.1223895117354901</v>
      </c>
      <c r="AH4800">
        <v>15.947597135422299</v>
      </c>
      <c r="AI4800">
        <v>94.018959401084601</v>
      </c>
      <c r="AJ4800">
        <v>93.353404691638701</v>
      </c>
      <c r="AK4800">
        <v>16.014331226928299</v>
      </c>
      <c r="AL4800">
        <v>96.494999558651401</v>
      </c>
      <c r="AM4800">
        <v>92.106966727290498</v>
      </c>
      <c r="AN4800">
        <v>0.99999999838890596</v>
      </c>
    </row>
    <row r="4801" spans="1:40" x14ac:dyDescent="0.25">
      <c r="A4801" t="str">
        <f>"20190303154611856"</f>
        <v>20190303154611856</v>
      </c>
      <c r="B4801" t="str">
        <f>"1551599171845802"</f>
        <v>1551599171845802</v>
      </c>
      <c r="C4801" t="s">
        <v>40</v>
      </c>
      <c r="D4801">
        <v>5.3270339999999896</v>
      </c>
      <c r="E4801">
        <v>0.49553130000000001</v>
      </c>
      <c r="F4801" t="s">
        <v>41</v>
      </c>
      <c r="G4801">
        <v>-421.98239999999998</v>
      </c>
      <c r="H4801" s="1">
        <v>-4.9262759999999999E-6</v>
      </c>
      <c r="I4801">
        <v>109.1987</v>
      </c>
      <c r="J4801">
        <v>-421.15530000000001</v>
      </c>
      <c r="K4801">
        <v>1.1223669999999999</v>
      </c>
      <c r="L4801">
        <v>125.4512</v>
      </c>
      <c r="M4801">
        <v>-0.10188120000000001</v>
      </c>
      <c r="N4801">
        <v>-1.371114E-2</v>
      </c>
      <c r="O4801">
        <v>-0.99470219999999998</v>
      </c>
      <c r="P4801">
        <v>-6.6487309999999994E-2</v>
      </c>
      <c r="Q4801">
        <v>-0.12837390000000001</v>
      </c>
      <c r="R4801">
        <v>-0.98949450000000005</v>
      </c>
      <c r="S4801">
        <v>-0.1537781</v>
      </c>
      <c r="T4801">
        <v>-0.20428589999999999</v>
      </c>
      <c r="U4801">
        <v>-2.99472</v>
      </c>
      <c r="V4801">
        <v>-3.428221E-2</v>
      </c>
      <c r="W4801">
        <v>-0.1148916</v>
      </c>
      <c r="X4801">
        <v>0.99278630000000001</v>
      </c>
      <c r="Y4801">
        <v>-5.0787430000000001E-2</v>
      </c>
      <c r="Z4801">
        <v>5.3788790000000003E-2</v>
      </c>
      <c r="AA4801">
        <v>0.99726000000000004</v>
      </c>
      <c r="AB4801">
        <v>21</v>
      </c>
      <c r="AC4801">
        <v>-0.82709999999997297</v>
      </c>
      <c r="AD4801">
        <v>-1.1223719262759999</v>
      </c>
      <c r="AE4801">
        <v>-16.252499999999898</v>
      </c>
      <c r="AF4801">
        <v>-0.82923975143036599</v>
      </c>
      <c r="AG4801">
        <v>-1.1223719262759999</v>
      </c>
      <c r="AH4801">
        <v>16.175247687726301</v>
      </c>
      <c r="AI4801">
        <v>93.964101779225501</v>
      </c>
      <c r="AJ4801">
        <v>92.934754433014206</v>
      </c>
      <c r="AK4801">
        <v>16.235331689421599</v>
      </c>
      <c r="AL4801">
        <v>96.597372787095395</v>
      </c>
      <c r="AM4801">
        <v>91.977712405736</v>
      </c>
      <c r="AN4801">
        <v>0.99999999357036695</v>
      </c>
    </row>
    <row r="4802" spans="1:40" x14ac:dyDescent="0.25">
      <c r="A4802" t="str">
        <f>"20190303154611878"</f>
        <v>20190303154611878</v>
      </c>
      <c r="B4802" t="str">
        <f>"1551599171866298"</f>
        <v>1551599171866298</v>
      </c>
      <c r="C4802" t="s">
        <v>40</v>
      </c>
      <c r="D4802">
        <v>5.3168530000000001</v>
      </c>
      <c r="E4802">
        <v>0.4974133</v>
      </c>
      <c r="F4802" t="s">
        <v>41</v>
      </c>
      <c r="G4802">
        <v>-422.04320000000001</v>
      </c>
      <c r="H4802" s="1">
        <v>-5.0272120000000002E-6</v>
      </c>
      <c r="I4802">
        <v>109.4335</v>
      </c>
      <c r="J4802">
        <v>-421.17259999999999</v>
      </c>
      <c r="K4802">
        <v>1.1223559999999999</v>
      </c>
      <c r="L4802">
        <v>125.2513</v>
      </c>
      <c r="M4802">
        <v>-9.9250690000000003E-2</v>
      </c>
      <c r="N4802">
        <v>-1.369686E-2</v>
      </c>
      <c r="O4802">
        <v>-0.99496810000000002</v>
      </c>
      <c r="P4802">
        <v>-6.5477830000000001E-2</v>
      </c>
      <c r="Q4802">
        <v>-0.1288841</v>
      </c>
      <c r="R4802">
        <v>-0.98949529999999997</v>
      </c>
      <c r="S4802">
        <v>-0.16592409999999999</v>
      </c>
      <c r="T4802">
        <v>-0.20975469999999999</v>
      </c>
      <c r="U4802">
        <v>-2.993484</v>
      </c>
      <c r="V4802">
        <v>-3.2667790000000002E-2</v>
      </c>
      <c r="W4802">
        <v>-0.1154096</v>
      </c>
      <c r="X4802">
        <v>0.99278069999999896</v>
      </c>
      <c r="Y4802">
        <v>-4.4098610000000003E-2</v>
      </c>
      <c r="Z4802">
        <v>5.5663009999999999E-2</v>
      </c>
      <c r="AA4802">
        <v>0.99747529999999995</v>
      </c>
      <c r="AB4802">
        <v>21</v>
      </c>
      <c r="AC4802">
        <v>-0.87060000000002402</v>
      </c>
      <c r="AD4802">
        <v>-1.1223610272119999</v>
      </c>
      <c r="AE4802">
        <v>-15.8178</v>
      </c>
      <c r="AF4802">
        <v>-0.7002594734905</v>
      </c>
      <c r="AG4802">
        <v>-1.1223610272119999</v>
      </c>
      <c r="AH4802">
        <v>15.7470578907958</v>
      </c>
      <c r="AI4802">
        <v>94.072812792633798</v>
      </c>
      <c r="AJ4802">
        <v>92.546221447859395</v>
      </c>
      <c r="AK4802">
        <v>15.802527956681301</v>
      </c>
      <c r="AL4802">
        <v>96.627250443952903</v>
      </c>
      <c r="AM4802">
        <v>91.884657293405695</v>
      </c>
      <c r="AN4802">
        <v>1.00000003928406</v>
      </c>
    </row>
    <row r="4803" spans="1:40" x14ac:dyDescent="0.25">
      <c r="A4803" t="str">
        <f>"20190303154612080"</f>
        <v>20190303154612080</v>
      </c>
      <c r="B4803" t="str">
        <f>"1551599172076138"</f>
        <v>1551599172076138</v>
      </c>
      <c r="C4803" t="s">
        <v>40</v>
      </c>
      <c r="D4803">
        <v>5.4574379999999998</v>
      </c>
      <c r="E4803">
        <v>0.51970859999999997</v>
      </c>
      <c r="F4803" t="s">
        <v>41</v>
      </c>
      <c r="G4803">
        <v>-422.12329999999997</v>
      </c>
      <c r="H4803" s="1">
        <v>-4.9579149999999998E-6</v>
      </c>
      <c r="I4803">
        <v>109.21599999999999</v>
      </c>
      <c r="J4803">
        <v>-421.30799999999999</v>
      </c>
      <c r="K4803">
        <v>1.122514</v>
      </c>
      <c r="L4803">
        <v>123.3954</v>
      </c>
      <c r="M4803">
        <v>-7.4570120000000004E-2</v>
      </c>
      <c r="N4803">
        <v>-1.362843E-2</v>
      </c>
      <c r="O4803">
        <v>-0.99712279999999998</v>
      </c>
      <c r="P4803">
        <v>-4.0977760000000002E-2</v>
      </c>
      <c r="Q4803">
        <v>-0.12343460000000001</v>
      </c>
      <c r="R4803">
        <v>-0.99150660000000002</v>
      </c>
      <c r="S4803">
        <v>-0.17742920000000001</v>
      </c>
      <c r="T4803">
        <v>-0.20947650000000001</v>
      </c>
      <c r="U4803">
        <v>-2.9928129999999999</v>
      </c>
      <c r="V4803">
        <v>-3.2675080000000002E-2</v>
      </c>
      <c r="W4803">
        <v>-0.1100276</v>
      </c>
      <c r="X4803">
        <v>0.99339129999999998</v>
      </c>
      <c r="Y4803">
        <v>-1.551394E-2</v>
      </c>
      <c r="Z4803">
        <v>5.5894729999999997E-2</v>
      </c>
      <c r="AA4803">
        <v>0.99831610000000004</v>
      </c>
      <c r="AB4803">
        <v>21</v>
      </c>
      <c r="AC4803">
        <v>-0.81529999999992198</v>
      </c>
      <c r="AD4803">
        <v>-1.1225189579149999</v>
      </c>
      <c r="AE4803">
        <v>-14.1793999999999</v>
      </c>
      <c r="AF4803">
        <v>-0.24291065603741699</v>
      </c>
      <c r="AG4803">
        <v>-1.1225189579149999</v>
      </c>
      <c r="AH4803">
        <v>14.112562236028401</v>
      </c>
      <c r="AI4803">
        <v>94.547084382612198</v>
      </c>
      <c r="AJ4803">
        <v>90.986098835206406</v>
      </c>
      <c r="AK4803">
        <v>14.159218455249199</v>
      </c>
      <c r="AL4803">
        <v>96.316906563220996</v>
      </c>
      <c r="AM4803">
        <v>91.8839197112557</v>
      </c>
      <c r="AN4803">
        <v>1.00000000426522</v>
      </c>
    </row>
    <row r="4804" spans="1:40" x14ac:dyDescent="0.25">
      <c r="A4804" t="str">
        <f>"20190303154612101"</f>
        <v>20190303154612101</v>
      </c>
      <c r="B4804" t="str">
        <f>"1551599172095658"</f>
        <v>1551599172095658</v>
      </c>
      <c r="C4804" t="s">
        <v>40</v>
      </c>
      <c r="D4804">
        <v>5.5145330000000001</v>
      </c>
      <c r="E4804">
        <v>0.51684059999999998</v>
      </c>
      <c r="F4804" t="s">
        <v>64</v>
      </c>
      <c r="G4804">
        <v>-433.2955</v>
      </c>
      <c r="H4804">
        <v>2.8903629999999998</v>
      </c>
      <c r="I4804">
        <v>-4.7745569999999997</v>
      </c>
      <c r="J4804">
        <v>-421.31950000000001</v>
      </c>
      <c r="K4804">
        <v>1.1225149999999999</v>
      </c>
      <c r="L4804">
        <v>123.2012</v>
      </c>
      <c r="M4804">
        <v>-7.1954279999999995E-2</v>
      </c>
      <c r="N4804">
        <v>-1.362447E-2</v>
      </c>
      <c r="O4804">
        <v>-0.99731479999999995</v>
      </c>
      <c r="P4804">
        <v>-3.8274210000000003E-2</v>
      </c>
      <c r="Q4804">
        <v>-0.1231072</v>
      </c>
      <c r="R4804">
        <v>-0.99165510000000001</v>
      </c>
      <c r="S4804">
        <v>-0.2823792</v>
      </c>
      <c r="T4804">
        <v>4.1643140000000002E-2</v>
      </c>
      <c r="U4804">
        <v>-3.019196</v>
      </c>
      <c r="V4804">
        <v>-3.2780959999999998E-2</v>
      </c>
      <c r="W4804">
        <v>-0.1097041</v>
      </c>
      <c r="X4804">
        <v>0.99342359999999996</v>
      </c>
      <c r="Y4804">
        <v>2.11971E-2</v>
      </c>
      <c r="Z4804">
        <v>-2.728266E-2</v>
      </c>
      <c r="AA4804">
        <v>0.99940300000000004</v>
      </c>
      <c r="AB4804">
        <v>21</v>
      </c>
      <c r="AC4804">
        <v>-11.976000000000001</v>
      </c>
      <c r="AD4804">
        <v>1.7678480000000001</v>
      </c>
      <c r="AE4804">
        <v>-127.975757</v>
      </c>
      <c r="AF4804">
        <v>2.73517530305373</v>
      </c>
      <c r="AG4804">
        <v>1.7678480000000001</v>
      </c>
      <c r="AH4804">
        <v>128.48147326306599</v>
      </c>
      <c r="AI4804">
        <v>89.2118638204376</v>
      </c>
      <c r="AJ4804">
        <v>88.780444142494702</v>
      </c>
      <c r="AK4804">
        <v>128.52274289921399</v>
      </c>
      <c r="AL4804">
        <v>96.298258423362995</v>
      </c>
      <c r="AM4804">
        <v>91.8899585181112</v>
      </c>
      <c r="AN4804">
        <v>1.0000000149661401</v>
      </c>
    </row>
    <row r="4805" spans="1:40" x14ac:dyDescent="0.25">
      <c r="A4805" t="str">
        <f>"20190303154612123"</f>
        <v>20190303154612123</v>
      </c>
      <c r="B4805" t="str">
        <f>"1551599172116154"</f>
        <v>1551599172116154</v>
      </c>
      <c r="C4805" t="s">
        <v>40</v>
      </c>
      <c r="D4805">
        <v>5.3914589999999896</v>
      </c>
      <c r="E4805">
        <v>0.51369790000000004</v>
      </c>
      <c r="F4805" t="s">
        <v>64</v>
      </c>
      <c r="G4805">
        <v>-431.91269999999997</v>
      </c>
      <c r="H4805">
        <v>0.36037039999999998</v>
      </c>
      <c r="I4805">
        <v>-3.6434250000000001</v>
      </c>
      <c r="J4805">
        <v>-421.33139999999997</v>
      </c>
      <c r="K4805">
        <v>1.122517</v>
      </c>
      <c r="L4805">
        <v>122.9905</v>
      </c>
      <c r="M4805">
        <v>-6.9116940000000002E-2</v>
      </c>
      <c r="N4805">
        <v>-1.362039E-2</v>
      </c>
      <c r="O4805">
        <v>-0.99751590000000001</v>
      </c>
      <c r="P4805">
        <v>-3.6879240000000001E-2</v>
      </c>
      <c r="Q4805">
        <v>-0.12259100000000001</v>
      </c>
      <c r="R4805">
        <v>-0.99177210000000005</v>
      </c>
      <c r="S4805">
        <v>-0.25164789999999998</v>
      </c>
      <c r="T4805">
        <v>-1.8105860000000001E-2</v>
      </c>
      <c r="U4805">
        <v>-3.0132750000000001</v>
      </c>
      <c r="V4805">
        <v>-3.1361609999999998E-2</v>
      </c>
      <c r="W4805">
        <v>-0.109185199999999</v>
      </c>
      <c r="X4805">
        <v>0.99352660000000004</v>
      </c>
      <c r="Y4805">
        <v>1.413649E-2</v>
      </c>
      <c r="Z4805">
        <v>-7.6051139999999996E-3</v>
      </c>
      <c r="AA4805">
        <v>0.99987110000000001</v>
      </c>
      <c r="AB4805">
        <v>21</v>
      </c>
      <c r="AC4805">
        <v>-10.581300000000001</v>
      </c>
      <c r="AD4805">
        <v>-0.76214659999999901</v>
      </c>
      <c r="AE4805">
        <v>-126.633925</v>
      </c>
      <c r="AF4805">
        <v>1.8025673970174501</v>
      </c>
      <c r="AG4805">
        <v>-0.76214659999999901</v>
      </c>
      <c r="AH4805">
        <v>127.057876375986</v>
      </c>
      <c r="AI4805">
        <v>90.343645489561496</v>
      </c>
      <c r="AJ4805">
        <v>89.187200519285696</v>
      </c>
      <c r="AK4805">
        <v>127.07294781280601</v>
      </c>
      <c r="AL4805">
        <v>96.268347862850206</v>
      </c>
      <c r="AM4805">
        <v>91.807995313305995</v>
      </c>
      <c r="AN4805">
        <v>1.0000000316941899</v>
      </c>
    </row>
    <row r="4806" spans="1:40" x14ac:dyDescent="0.25">
      <c r="A4806" t="str">
        <f>"20190303154612145"</f>
        <v>20190303154612145</v>
      </c>
      <c r="B4806" t="str">
        <f>"1551599172135674"</f>
        <v>1551599172135674</v>
      </c>
      <c r="C4806" t="s">
        <v>40</v>
      </c>
      <c r="D4806">
        <v>5.4001799999999998</v>
      </c>
      <c r="E4806">
        <v>0.51235200000000003</v>
      </c>
      <c r="F4806" t="s">
        <v>41</v>
      </c>
      <c r="G4806">
        <v>-425.59559999999999</v>
      </c>
      <c r="H4806" s="1">
        <v>-3.8545080000000003E-6</v>
      </c>
      <c r="I4806">
        <v>65.39676</v>
      </c>
      <c r="J4806">
        <v>-421.34190000000001</v>
      </c>
      <c r="K4806">
        <v>1.122517</v>
      </c>
      <c r="L4806">
        <v>122.79340000000001</v>
      </c>
      <c r="M4806">
        <v>-6.6464889999999999E-2</v>
      </c>
      <c r="N4806">
        <v>-1.361674E-2</v>
      </c>
      <c r="O4806">
        <v>-0.99769609999999997</v>
      </c>
      <c r="P4806">
        <v>-3.6932619999999999E-2</v>
      </c>
      <c r="Q4806">
        <v>-0.1230728</v>
      </c>
      <c r="R4806">
        <v>-0.99171069999999995</v>
      </c>
      <c r="S4806">
        <v>-0.2228088</v>
      </c>
      <c r="T4806">
        <v>-5.8653240000000002E-2</v>
      </c>
      <c r="U4806">
        <v>-3.0093540000000001</v>
      </c>
      <c r="V4806">
        <v>-2.8665779999999998E-2</v>
      </c>
      <c r="W4806">
        <v>-0.1096602</v>
      </c>
      <c r="X4806">
        <v>0.99355570000000004</v>
      </c>
      <c r="Y4806">
        <v>7.3808679999999996E-3</v>
      </c>
      <c r="Z4806">
        <v>5.8127079999999998E-3</v>
      </c>
      <c r="AA4806">
        <v>0.99995590000000001</v>
      </c>
      <c r="AB4806">
        <v>21</v>
      </c>
      <c r="AC4806">
        <v>-4.2536999999999798</v>
      </c>
      <c r="AD4806">
        <v>-1.1225208545080001</v>
      </c>
      <c r="AE4806">
        <v>-57.396639999999998</v>
      </c>
      <c r="AF4806">
        <v>0.42891505094542698</v>
      </c>
      <c r="AG4806">
        <v>-1.1225208545080001</v>
      </c>
      <c r="AH4806">
        <v>57.530562399070902</v>
      </c>
      <c r="AI4806">
        <v>91.117766940644401</v>
      </c>
      <c r="AJ4806">
        <v>89.572843270465498</v>
      </c>
      <c r="AK4806">
        <v>57.5431110659054</v>
      </c>
      <c r="AL4806">
        <v>96.295727917032195</v>
      </c>
      <c r="AM4806">
        <v>91.652622703779699</v>
      </c>
      <c r="AN4806">
        <v>1.0000000077047599</v>
      </c>
    </row>
    <row r="4807" spans="1:40" x14ac:dyDescent="0.25">
      <c r="A4807" t="str">
        <f>"20190303154612167"</f>
        <v>20190303154612167</v>
      </c>
      <c r="B4807" t="str">
        <f>"1551599172156170"</f>
        <v>1551599172156170</v>
      </c>
      <c r="C4807" t="s">
        <v>40</v>
      </c>
      <c r="D4807">
        <v>5.4264979999999996</v>
      </c>
      <c r="E4807">
        <v>0.5110304</v>
      </c>
      <c r="F4807" t="s">
        <v>41</v>
      </c>
      <c r="G4807">
        <v>-424.27910000000003</v>
      </c>
      <c r="H4807" s="1">
        <v>-1.810574E-6</v>
      </c>
      <c r="I4807">
        <v>81.155619999999999</v>
      </c>
      <c r="J4807">
        <v>-421.35210000000001</v>
      </c>
      <c r="K4807">
        <v>1.1225039999999999</v>
      </c>
      <c r="L4807">
        <v>122.5899</v>
      </c>
      <c r="M4807">
        <v>-6.3729380000000002E-2</v>
      </c>
      <c r="N4807">
        <v>-1.3613170000000001E-2</v>
      </c>
      <c r="O4807">
        <v>-0.99787440000000005</v>
      </c>
      <c r="P4807">
        <v>-3.6701940000000002E-2</v>
      </c>
      <c r="Q4807">
        <v>-0.1241956</v>
      </c>
      <c r="R4807">
        <v>-0.99157890000000004</v>
      </c>
      <c r="S4807">
        <v>-0.2121277</v>
      </c>
      <c r="T4807">
        <v>-8.1069589999999997E-2</v>
      </c>
      <c r="U4807">
        <v>-3.007126</v>
      </c>
      <c r="V4807">
        <v>-2.6165219999999999E-2</v>
      </c>
      <c r="W4807">
        <v>-0.1107779</v>
      </c>
      <c r="X4807">
        <v>0.99350070000000001</v>
      </c>
      <c r="Y4807">
        <v>6.6384230000000001E-3</v>
      </c>
      <c r="Z4807">
        <v>1.325347E-2</v>
      </c>
      <c r="AA4807">
        <v>0.9998901</v>
      </c>
      <c r="AB4807">
        <v>21</v>
      </c>
      <c r="AC4807">
        <v>-2.92700000000002</v>
      </c>
      <c r="AD4807">
        <v>-1.122505810574</v>
      </c>
      <c r="AE4807">
        <v>-41.434280000000001</v>
      </c>
      <c r="AF4807">
        <v>0.28001885510643998</v>
      </c>
      <c r="AG4807">
        <v>-1.122505810574</v>
      </c>
      <c r="AH4807">
        <v>41.506279004808398</v>
      </c>
      <c r="AI4807">
        <v>91.549108028425906</v>
      </c>
      <c r="AJ4807">
        <v>89.613464382628706</v>
      </c>
      <c r="AK4807">
        <v>41.522399095897399</v>
      </c>
      <c r="AL4807">
        <v>96.360160017077703</v>
      </c>
      <c r="AM4807">
        <v>91.508615154991304</v>
      </c>
      <c r="AN4807">
        <v>1.0000000013832699</v>
      </c>
    </row>
    <row r="4808" spans="1:40" x14ac:dyDescent="0.25">
      <c r="A4808" t="str">
        <f>"20190303154612190"</f>
        <v>20190303154612190</v>
      </c>
      <c r="B4808" t="str">
        <f>"1551599172186426"</f>
        <v>1551599172186426</v>
      </c>
      <c r="C4808" t="s">
        <v>40</v>
      </c>
      <c r="D4808">
        <v>5.4082559999999997</v>
      </c>
      <c r="E4808">
        <v>0.50963800000000004</v>
      </c>
      <c r="F4808" t="s">
        <v>41</v>
      </c>
      <c r="G4808">
        <v>-423.66039999999998</v>
      </c>
      <c r="H4808" s="1">
        <v>-4.4138419999999999E-6</v>
      </c>
      <c r="I4808">
        <v>88.049099999999996</v>
      </c>
      <c r="J4808">
        <v>-421.36180000000002</v>
      </c>
      <c r="K4808">
        <v>1.122495</v>
      </c>
      <c r="L4808">
        <v>122.3869</v>
      </c>
      <c r="M4808">
        <v>-6.1002180000000003E-2</v>
      </c>
      <c r="N4808">
        <v>-1.3609799999999899E-2</v>
      </c>
      <c r="O4808">
        <v>-0.99804470000000001</v>
      </c>
      <c r="P4808">
        <v>-3.6296099999999998E-2</v>
      </c>
      <c r="Q4808">
        <v>-0.12534429999999999</v>
      </c>
      <c r="R4808">
        <v>-0.99144909999999997</v>
      </c>
      <c r="S4808">
        <v>-0.20086670000000001</v>
      </c>
      <c r="T4808">
        <v>-9.7682599999999994E-2</v>
      </c>
      <c r="U4808">
        <v>-3.005798</v>
      </c>
      <c r="V4808">
        <v>-2.3848339999999999E-2</v>
      </c>
      <c r="W4808">
        <v>-0.1119222</v>
      </c>
      <c r="X4808">
        <v>0.9934307</v>
      </c>
      <c r="Y4808">
        <v>5.6678609999999997E-3</v>
      </c>
      <c r="Z4808">
        <v>1.8776000000000001E-2</v>
      </c>
      <c r="AA4808">
        <v>0.99980769999999997</v>
      </c>
      <c r="AB4808">
        <v>20</v>
      </c>
      <c r="AC4808">
        <v>-2.29859999999996</v>
      </c>
      <c r="AD4808">
        <v>-1.1224994138419999</v>
      </c>
      <c r="AE4808">
        <v>-34.337800000000001</v>
      </c>
      <c r="AF4808">
        <v>0.19923143644872299</v>
      </c>
      <c r="AG4808">
        <v>-1.1224994138419999</v>
      </c>
      <c r="AH4808">
        <v>34.377498214476603</v>
      </c>
      <c r="AI4808">
        <v>91.870134867650094</v>
      </c>
      <c r="AJ4808">
        <v>89.667951618017696</v>
      </c>
      <c r="AK4808">
        <v>34.396396345920898</v>
      </c>
      <c r="AL4808">
        <v>96.426134259241493</v>
      </c>
      <c r="AM4808">
        <v>91.375180813732996</v>
      </c>
      <c r="AN4808">
        <v>0.99999993893804096</v>
      </c>
    </row>
    <row r="4809" spans="1:40" x14ac:dyDescent="0.25">
      <c r="A4809" t="str">
        <f>"20190303154612212"</f>
        <v>20190303154612212</v>
      </c>
      <c r="B4809" t="str">
        <f>"1551599172205946"</f>
        <v>1551599172205946</v>
      </c>
      <c r="C4809" t="s">
        <v>40</v>
      </c>
      <c r="D4809">
        <v>5.4351690000000001</v>
      </c>
      <c r="E4809">
        <v>0.5092563</v>
      </c>
      <c r="F4809" t="s">
        <v>41</v>
      </c>
      <c r="G4809">
        <v>-423.1721</v>
      </c>
      <c r="H4809" s="1">
        <v>-2.555734E-6</v>
      </c>
      <c r="I4809">
        <v>93.579149999999998</v>
      </c>
      <c r="J4809">
        <v>-421.37110000000001</v>
      </c>
      <c r="K4809">
        <v>1.1224809999999901</v>
      </c>
      <c r="L4809">
        <v>122.1827</v>
      </c>
      <c r="M4809">
        <v>-5.8264040000000003E-2</v>
      </c>
      <c r="N4809">
        <v>-1.360655E-2</v>
      </c>
      <c r="O4809">
        <v>-0.99820850000000005</v>
      </c>
      <c r="P4809">
        <v>-3.5481609999999997E-2</v>
      </c>
      <c r="Q4809">
        <v>-0.12603490000000001</v>
      </c>
      <c r="R4809">
        <v>-0.99139109999999997</v>
      </c>
      <c r="S4809">
        <v>-0.1887817</v>
      </c>
      <c r="T4809">
        <v>-0.1170578</v>
      </c>
      <c r="U4809">
        <v>-3.0041660000000001</v>
      </c>
      <c r="V4809">
        <v>-2.1937069999999999E-2</v>
      </c>
      <c r="W4809">
        <v>-0.11260920000000001</v>
      </c>
      <c r="X4809">
        <v>0.99339719999999998</v>
      </c>
      <c r="Y4809">
        <v>4.4334190000000001E-3</v>
      </c>
      <c r="Z4809">
        <v>2.5223099999999998E-2</v>
      </c>
      <c r="AA4809">
        <v>0.99967200000000001</v>
      </c>
      <c r="AB4809">
        <v>20</v>
      </c>
      <c r="AC4809">
        <v>-1.80099999999998</v>
      </c>
      <c r="AD4809">
        <v>-1.1224835557339901</v>
      </c>
      <c r="AE4809">
        <v>-28.603549999999998</v>
      </c>
      <c r="AF4809">
        <v>0.131026288890632</v>
      </c>
      <c r="AG4809">
        <v>-1.1224835557339901</v>
      </c>
      <c r="AH4809">
        <v>28.6159982051357</v>
      </c>
      <c r="AI4809">
        <v>92.246293895164399</v>
      </c>
      <c r="AJ4809">
        <v>89.737657206928702</v>
      </c>
      <c r="AK4809">
        <v>28.638304602360801</v>
      </c>
      <c r="AL4809">
        <v>96.465746281104202</v>
      </c>
      <c r="AM4809">
        <v>91.265050147933593</v>
      </c>
      <c r="AN4809">
        <v>1.00000003196633</v>
      </c>
    </row>
    <row r="4810" spans="1:40" x14ac:dyDescent="0.25">
      <c r="A4810" t="str">
        <f>"20190303154612236"</f>
        <v>20190303154612236</v>
      </c>
      <c r="B4810" t="str">
        <f>"1551599172226442"</f>
        <v>1551599172226442</v>
      </c>
      <c r="C4810" t="s">
        <v>40</v>
      </c>
      <c r="D4810">
        <v>5.4494220000000002</v>
      </c>
      <c r="E4810">
        <v>0.50897769999999998</v>
      </c>
      <c r="F4810" t="s">
        <v>41</v>
      </c>
      <c r="G4810">
        <v>-423.01859999999999</v>
      </c>
      <c r="H4810" s="1">
        <v>-3.1879180000000001E-6</v>
      </c>
      <c r="I4810">
        <v>95.148030000000006</v>
      </c>
      <c r="J4810">
        <v>-421.37970000000001</v>
      </c>
      <c r="K4810">
        <v>1.1224700000000001</v>
      </c>
      <c r="L4810">
        <v>121.97799999999999</v>
      </c>
      <c r="M4810">
        <v>-5.5525079999999997E-2</v>
      </c>
      <c r="N4810">
        <v>-1.360331E-2</v>
      </c>
      <c r="O4810">
        <v>-0.99836469999999999</v>
      </c>
      <c r="P4810">
        <v>-3.495562E-2</v>
      </c>
      <c r="Q4810">
        <v>-0.12635179999999999</v>
      </c>
      <c r="R4810">
        <v>-0.99136930000000001</v>
      </c>
      <c r="S4810">
        <v>-0.1830444</v>
      </c>
      <c r="T4810">
        <v>-0.1247125</v>
      </c>
      <c r="U4810">
        <v>-3.0036619999999998</v>
      </c>
      <c r="V4810">
        <v>-1.9740770000000001E-2</v>
      </c>
      <c r="W4810">
        <v>-0.112920699999999</v>
      </c>
      <c r="X4810">
        <v>0.99340790000000001</v>
      </c>
      <c r="Y4810">
        <v>5.2808350000000002E-3</v>
      </c>
      <c r="Z4810">
        <v>2.7777429999999999E-2</v>
      </c>
      <c r="AA4810">
        <v>0.99960020000000005</v>
      </c>
      <c r="AB4810">
        <v>20</v>
      </c>
      <c r="AC4810">
        <v>-1.63889999999997</v>
      </c>
      <c r="AD4810">
        <v>-1.1224731879180001</v>
      </c>
      <c r="AE4810">
        <v>-26.8299699999999</v>
      </c>
      <c r="AF4810">
        <v>0.146242204196736</v>
      </c>
      <c r="AG4810">
        <v>-1.1224731879180001</v>
      </c>
      <c r="AH4810">
        <v>26.832789278500901</v>
      </c>
      <c r="AI4810">
        <v>92.395373328570102</v>
      </c>
      <c r="AJ4810">
        <v>89.687733614347195</v>
      </c>
      <c r="AK4810">
        <v>26.8566549165065</v>
      </c>
      <c r="AL4810">
        <v>96.483708567940397</v>
      </c>
      <c r="AM4810">
        <v>91.138418528678301</v>
      </c>
      <c r="AN4810">
        <v>1.00000001913554</v>
      </c>
    </row>
    <row r="4811" spans="1:40" x14ac:dyDescent="0.25">
      <c r="A4811" t="str">
        <f>"20190303154612258"</f>
        <v>20190303154612258</v>
      </c>
      <c r="B4811" t="str">
        <f>"1551599172245963"</f>
        <v>1551599172245963</v>
      </c>
      <c r="C4811" t="s">
        <v>40</v>
      </c>
      <c r="D4811">
        <v>5.45946</v>
      </c>
      <c r="E4811">
        <v>0.50872740000000005</v>
      </c>
      <c r="F4811" t="s">
        <v>41</v>
      </c>
      <c r="G4811">
        <v>-422.92770000000002</v>
      </c>
      <c r="H4811" s="1">
        <v>-3.5712569999999999E-6</v>
      </c>
      <c r="I4811">
        <v>96.097970000000004</v>
      </c>
      <c r="J4811">
        <v>-421.3879</v>
      </c>
      <c r="K4811">
        <v>1.122455</v>
      </c>
      <c r="L4811">
        <v>121.7719</v>
      </c>
      <c r="M4811">
        <v>-5.2777739999999997E-2</v>
      </c>
      <c r="N4811">
        <v>-1.3600050000000001E-2</v>
      </c>
      <c r="O4811">
        <v>-0.9985136</v>
      </c>
      <c r="P4811">
        <v>-3.4301949999999998E-2</v>
      </c>
      <c r="Q4811">
        <v>-0.1267916</v>
      </c>
      <c r="R4811">
        <v>-0.9913362</v>
      </c>
      <c r="S4811">
        <v>-0.17962649999999999</v>
      </c>
      <c r="T4811">
        <v>-0.13025429999999999</v>
      </c>
      <c r="U4811">
        <v>-3.003174</v>
      </c>
      <c r="V4811">
        <v>-1.766413E-2</v>
      </c>
      <c r="W4811">
        <v>-0.113356</v>
      </c>
      <c r="X4811">
        <v>0.99339739999999999</v>
      </c>
      <c r="Y4811">
        <v>6.9048800000000004E-3</v>
      </c>
      <c r="Z4811">
        <v>2.9632039999999998E-2</v>
      </c>
      <c r="AA4811">
        <v>0.99953709999999996</v>
      </c>
      <c r="AB4811">
        <v>20</v>
      </c>
      <c r="AC4811">
        <v>-1.53980000000001</v>
      </c>
      <c r="AD4811">
        <v>-1.1224585712570001</v>
      </c>
      <c r="AE4811">
        <v>-25.673929999999999</v>
      </c>
      <c r="AF4811">
        <v>0.182169178026858</v>
      </c>
      <c r="AG4811">
        <v>-1.1224585712570001</v>
      </c>
      <c r="AH4811">
        <v>25.670524617205299</v>
      </c>
      <c r="AI4811">
        <v>92.503633401536902</v>
      </c>
      <c r="AJ4811">
        <v>89.593411119945102</v>
      </c>
      <c r="AK4811">
        <v>25.695698725198199</v>
      </c>
      <c r="AL4811">
        <v>96.508810724301</v>
      </c>
      <c r="AM4811">
        <v>91.018699515930507</v>
      </c>
      <c r="AN4811">
        <v>0.99999999927570804</v>
      </c>
    </row>
    <row r="4812" spans="1:40" x14ac:dyDescent="0.25">
      <c r="A4812" t="str">
        <f>"20190303154612281"</f>
        <v>20190303154612281</v>
      </c>
      <c r="B4812" t="str">
        <f>"1551599172276218"</f>
        <v>1551599172276218</v>
      </c>
      <c r="C4812" t="s">
        <v>40</v>
      </c>
      <c r="D4812">
        <v>5.4949379999999897</v>
      </c>
      <c r="E4812">
        <v>0.50850269999999997</v>
      </c>
      <c r="F4812" t="s">
        <v>41</v>
      </c>
      <c r="G4812">
        <v>-422.84989999999999</v>
      </c>
      <c r="H4812" s="1">
        <v>-3.8324150000000001E-6</v>
      </c>
      <c r="I4812">
        <v>96.763019999999997</v>
      </c>
      <c r="J4812">
        <v>-421.3956</v>
      </c>
      <c r="K4812">
        <v>1.1224369999999999</v>
      </c>
      <c r="L4812">
        <v>121.5668</v>
      </c>
      <c r="M4812">
        <v>-5.0056400000000001E-2</v>
      </c>
      <c r="N4812">
        <v>-1.3590420000000001E-2</v>
      </c>
      <c r="O4812">
        <v>-0.99865409999999999</v>
      </c>
      <c r="P4812">
        <v>-3.3232310000000001E-2</v>
      </c>
      <c r="Q4812">
        <v>-0.12721289999999999</v>
      </c>
      <c r="R4812">
        <v>-0.9913187</v>
      </c>
      <c r="S4812">
        <v>-0.1755371</v>
      </c>
      <c r="T4812">
        <v>-0.13477729999999999</v>
      </c>
      <c r="U4812">
        <v>-3.0028990000000002</v>
      </c>
      <c r="V4812">
        <v>-1.603098E-2</v>
      </c>
      <c r="W4812">
        <v>-0.1137808</v>
      </c>
      <c r="X4812">
        <v>0.99337660000000005</v>
      </c>
      <c r="Y4812">
        <v>8.2757290000000008E-3</v>
      </c>
      <c r="Z4812">
        <v>3.11531E-2</v>
      </c>
      <c r="AA4812">
        <v>0.99948040000000005</v>
      </c>
      <c r="AB4812">
        <v>20</v>
      </c>
      <c r="AC4812">
        <v>-1.4542999999999799</v>
      </c>
      <c r="AD4812">
        <v>-1.1224408324149999</v>
      </c>
      <c r="AE4812">
        <v>-24.80378</v>
      </c>
      <c r="AF4812">
        <v>0.210344880825032</v>
      </c>
      <c r="AG4812">
        <v>-1.1224408324149999</v>
      </c>
      <c r="AH4812">
        <v>24.794882364792301</v>
      </c>
      <c r="AI4812">
        <v>92.591862928578493</v>
      </c>
      <c r="AJ4812">
        <v>89.513948699897995</v>
      </c>
      <c r="AK4812">
        <v>24.8211665695843</v>
      </c>
      <c r="AL4812">
        <v>96.533308029166605</v>
      </c>
      <c r="AM4812">
        <v>90.924551446092593</v>
      </c>
      <c r="AN4812">
        <v>1.00000006609797</v>
      </c>
    </row>
    <row r="4813" spans="1:40" x14ac:dyDescent="0.25">
      <c r="A4813" t="str">
        <f>"20190303154612303"</f>
        <v>20190303154612303</v>
      </c>
      <c r="B4813" t="str">
        <f>"1551599172295738"</f>
        <v>1551599172295738</v>
      </c>
      <c r="C4813" t="s">
        <v>40</v>
      </c>
      <c r="D4813">
        <v>5.4613639999999997</v>
      </c>
      <c r="E4813">
        <v>0.50851859999999904</v>
      </c>
      <c r="F4813" t="s">
        <v>41</v>
      </c>
      <c r="G4813">
        <v>-422.75049999999999</v>
      </c>
      <c r="H4813" s="1">
        <v>-4.1230210000000001E-6</v>
      </c>
      <c r="I4813">
        <v>97.668790000000001</v>
      </c>
      <c r="J4813">
        <v>-421.40230000000003</v>
      </c>
      <c r="K4813">
        <v>1.122398</v>
      </c>
      <c r="L4813">
        <v>121.36969999999999</v>
      </c>
      <c r="M4813">
        <v>-4.7454900000000001E-2</v>
      </c>
      <c r="N4813">
        <v>-1.3556510000000001E-2</v>
      </c>
      <c r="O4813">
        <v>-0.99878140000000004</v>
      </c>
      <c r="P4813">
        <v>-3.112912E-2</v>
      </c>
      <c r="Q4813">
        <v>-0.12779009999999999</v>
      </c>
      <c r="R4813">
        <v>-0.99131270000000005</v>
      </c>
      <c r="S4813">
        <v>-0.17022709999999999</v>
      </c>
      <c r="T4813">
        <v>-0.14102029999999999</v>
      </c>
      <c r="U4813">
        <v>-3.002472</v>
      </c>
      <c r="V4813">
        <v>-1.554957E-2</v>
      </c>
      <c r="W4813">
        <v>-0.1143902</v>
      </c>
      <c r="X4813">
        <v>0.99331420000000004</v>
      </c>
      <c r="Y4813">
        <v>9.1226669999999992E-3</v>
      </c>
      <c r="Z4813">
        <v>3.3270960000000002E-2</v>
      </c>
      <c r="AA4813">
        <v>0.99940469999999904</v>
      </c>
      <c r="AB4813">
        <v>20</v>
      </c>
      <c r="AC4813">
        <v>-1.3481999999999601</v>
      </c>
      <c r="AD4813">
        <v>-1.122402123021</v>
      </c>
      <c r="AE4813">
        <v>-23.70091</v>
      </c>
      <c r="AF4813">
        <v>0.22135831868510999</v>
      </c>
      <c r="AG4813">
        <v>-1.122402123021</v>
      </c>
      <c r="AH4813">
        <v>23.685240740778902</v>
      </c>
      <c r="AI4813">
        <v>92.712998767171797</v>
      </c>
      <c r="AJ4813">
        <v>89.464538768339693</v>
      </c>
      <c r="AK4813">
        <v>23.7128533706863</v>
      </c>
      <c r="AL4813">
        <v>96.568453956072005</v>
      </c>
      <c r="AM4813">
        <v>90.896848116909595</v>
      </c>
      <c r="AN4813">
        <v>1.0000000034524299</v>
      </c>
    </row>
    <row r="4814" spans="1:40" x14ac:dyDescent="0.25">
      <c r="A4814" t="str">
        <f>"20190303154612325"</f>
        <v>20190303154612325</v>
      </c>
      <c r="B4814" t="str">
        <f>"1551599172316235"</f>
        <v>1551599172316235</v>
      </c>
      <c r="C4814" t="s">
        <v>40</v>
      </c>
      <c r="D4814">
        <v>5.521808</v>
      </c>
      <c r="E4814">
        <v>0.49549310000000002</v>
      </c>
      <c r="F4814" t="s">
        <v>41</v>
      </c>
      <c r="G4814">
        <v>-422.67360000000002</v>
      </c>
      <c r="H4814" s="1">
        <v>-4.2461190000000002E-6</v>
      </c>
      <c r="I4814">
        <v>98.070610000000002</v>
      </c>
      <c r="J4814">
        <v>-421.40859999999998</v>
      </c>
      <c r="K4814">
        <v>1.1223639999999999</v>
      </c>
      <c r="L4814">
        <v>121.1721</v>
      </c>
      <c r="M4814">
        <v>-4.4859580000000003E-2</v>
      </c>
      <c r="N4814">
        <v>-1.3489849999999999E-2</v>
      </c>
      <c r="O4814">
        <v>-0.99890230000000002</v>
      </c>
      <c r="P4814">
        <v>-2.8968810000000001E-2</v>
      </c>
      <c r="Q4814">
        <v>-0.12799459999999999</v>
      </c>
      <c r="R4814">
        <v>-0.99135209999999996</v>
      </c>
      <c r="S4814">
        <v>-0.1638184</v>
      </c>
      <c r="T4814">
        <v>-0.14464160000000001</v>
      </c>
      <c r="U4814">
        <v>-3.0025019999999998</v>
      </c>
      <c r="V4814">
        <v>-1.513513E-2</v>
      </c>
      <c r="W4814">
        <v>-0.11465939999999999</v>
      </c>
      <c r="X4814">
        <v>0.99328959999999999</v>
      </c>
      <c r="Y4814">
        <v>9.5911420000000004E-3</v>
      </c>
      <c r="Z4814">
        <v>3.4546439999999998E-2</v>
      </c>
      <c r="AA4814">
        <v>0.99935700000000005</v>
      </c>
      <c r="AB4814">
        <v>20</v>
      </c>
      <c r="AC4814">
        <v>-1.2650000000000401</v>
      </c>
      <c r="AD4814">
        <v>-1.1223682461190001</v>
      </c>
      <c r="AE4814">
        <v>-23.101489999999998</v>
      </c>
      <c r="AF4814">
        <v>0.22677524913934299</v>
      </c>
      <c r="AG4814">
        <v>-1.1223682461190001</v>
      </c>
      <c r="AH4814">
        <v>23.080664702771202</v>
      </c>
      <c r="AI4814">
        <v>92.783856143615907</v>
      </c>
      <c r="AJ4814">
        <v>89.437067920090897</v>
      </c>
      <c r="AK4814">
        <v>23.109050621245</v>
      </c>
      <c r="AL4814">
        <v>96.583979895638294</v>
      </c>
      <c r="AM4814">
        <v>90.872969945029993</v>
      </c>
      <c r="AN4814">
        <v>1.00000003981831</v>
      </c>
    </row>
    <row r="4815" spans="1:40" x14ac:dyDescent="0.25">
      <c r="A4815" t="str">
        <f>"20190303154612346"</f>
        <v>20190303154612346</v>
      </c>
      <c r="B4815" t="str">
        <f>"1551599172335755"</f>
        <v>1551599172335755</v>
      </c>
      <c r="C4815" t="s">
        <v>40</v>
      </c>
      <c r="D4815">
        <v>5.5508009999999999</v>
      </c>
      <c r="E4815">
        <v>0.49444900000000003</v>
      </c>
      <c r="F4815" t="s">
        <v>41</v>
      </c>
      <c r="G4815">
        <v>-421.72500000000002</v>
      </c>
      <c r="H4815" s="1">
        <v>-2.1199409999999999E-6</v>
      </c>
      <c r="I4815">
        <v>103.1054</v>
      </c>
      <c r="J4815">
        <v>-421.41419999999999</v>
      </c>
      <c r="K4815">
        <v>1.1223259999999999</v>
      </c>
      <c r="L4815">
        <v>120.97790000000001</v>
      </c>
      <c r="M4815">
        <v>-4.232139E-2</v>
      </c>
      <c r="N4815">
        <v>-1.340883E-2</v>
      </c>
      <c r="O4815">
        <v>-0.99901419999999996</v>
      </c>
      <c r="P4815">
        <v>-2.655896E-2</v>
      </c>
      <c r="Q4815">
        <v>-0.12804939999999901</v>
      </c>
      <c r="R4815">
        <v>-0.99141250000000003</v>
      </c>
      <c r="S4815">
        <v>-5.2551269999999997E-2</v>
      </c>
      <c r="T4815">
        <v>-0.18640470000000001</v>
      </c>
      <c r="U4815">
        <v>-3.0005649999999999</v>
      </c>
      <c r="V4815">
        <v>-1.502738E-2</v>
      </c>
      <c r="W4815">
        <v>-0.1147941</v>
      </c>
      <c r="X4815">
        <v>0.99327560000000004</v>
      </c>
      <c r="Y4815">
        <v>-2.483136E-2</v>
      </c>
      <c r="Z4815">
        <v>4.8522490000000001E-2</v>
      </c>
      <c r="AA4815">
        <v>0.9985134</v>
      </c>
      <c r="AB4815">
        <v>20</v>
      </c>
      <c r="AC4815">
        <v>-0.310800000000028</v>
      </c>
      <c r="AD4815">
        <v>-1.122328119941</v>
      </c>
      <c r="AE4815">
        <v>-17.872499999999999</v>
      </c>
      <c r="AF4815">
        <v>-0.444184400042414</v>
      </c>
      <c r="AG4815">
        <v>-1.122328119941</v>
      </c>
      <c r="AH4815">
        <v>17.799469974382401</v>
      </c>
      <c r="AI4815">
        <v>93.606832790774902</v>
      </c>
      <c r="AJ4815">
        <v>91.429515064205901</v>
      </c>
      <c r="AK4815">
        <v>17.840348975258099</v>
      </c>
      <c r="AL4815">
        <v>96.591749446716904</v>
      </c>
      <c r="AM4815">
        <v>90.8667682648057</v>
      </c>
      <c r="AN4815">
        <v>0.99999996254991597</v>
      </c>
    </row>
    <row r="4816" spans="1:40" x14ac:dyDescent="0.25">
      <c r="A4816" t="str">
        <f>"20190303154612368"</f>
        <v>20190303154612368</v>
      </c>
      <c r="B4816" t="str">
        <f>"1551599172366010"</f>
        <v>1551599172366010</v>
      </c>
      <c r="C4816" t="s">
        <v>40</v>
      </c>
      <c r="D4816">
        <v>5.5164330000000001</v>
      </c>
      <c r="E4816">
        <v>0.49442330000000001</v>
      </c>
      <c r="F4816" t="s">
        <v>41</v>
      </c>
      <c r="G4816">
        <v>-421.6422</v>
      </c>
      <c r="H4816" s="1">
        <v>-1.609299E-6</v>
      </c>
      <c r="I4816">
        <v>102.07170000000001</v>
      </c>
      <c r="J4816">
        <v>-421.41969999999998</v>
      </c>
      <c r="K4816">
        <v>1.122282</v>
      </c>
      <c r="L4816">
        <v>120.77160000000001</v>
      </c>
      <c r="M4816">
        <v>-3.9640540000000002E-2</v>
      </c>
      <c r="N4816">
        <v>-1.330341E-2</v>
      </c>
      <c r="O4816">
        <v>-0.99912559999999995</v>
      </c>
      <c r="P4816">
        <v>-2.4382210000000001E-2</v>
      </c>
      <c r="Q4816">
        <v>-0.12923419999999999</v>
      </c>
      <c r="R4816">
        <v>-0.99131440000000004</v>
      </c>
      <c r="S4816">
        <v>-3.619385E-2</v>
      </c>
      <c r="T4816">
        <v>-0.17820629999999901</v>
      </c>
      <c r="U4816">
        <v>-3.0019840000000002</v>
      </c>
      <c r="V4816">
        <v>-1.45364E-2</v>
      </c>
      <c r="W4816">
        <v>-0.1160833</v>
      </c>
      <c r="X4816">
        <v>0.99313309999999999</v>
      </c>
      <c r="Y4816">
        <v>-2.7594250000000001E-2</v>
      </c>
      <c r="Z4816">
        <v>4.589319E-2</v>
      </c>
      <c r="AA4816">
        <v>0.99856509999999998</v>
      </c>
      <c r="AB4816">
        <v>20</v>
      </c>
      <c r="AC4816">
        <v>-0.22250000000002401</v>
      </c>
      <c r="AD4816">
        <v>-1.1222836092990001</v>
      </c>
      <c r="AE4816">
        <v>-18.6999</v>
      </c>
      <c r="AF4816">
        <v>-0.51715209022127795</v>
      </c>
      <c r="AG4816">
        <v>-1.1222836092990001</v>
      </c>
      <c r="AH4816">
        <v>18.626938069491999</v>
      </c>
      <c r="AI4816">
        <v>93.446610270251796</v>
      </c>
      <c r="AJ4816">
        <v>91.590332358363199</v>
      </c>
      <c r="AK4816">
        <v>18.6678812035221</v>
      </c>
      <c r="AL4816">
        <v>96.666112089009701</v>
      </c>
      <c r="AM4816">
        <v>90.838573297840995</v>
      </c>
      <c r="AN4816">
        <v>0.99999999688972896</v>
      </c>
    </row>
    <row r="4817" spans="1:40" x14ac:dyDescent="0.25">
      <c r="A4817" t="str">
        <f>"20190303154612391"</f>
        <v>20190303154612391</v>
      </c>
      <c r="B4817" t="str">
        <f>"1551599172386507"</f>
        <v>1551599172386507</v>
      </c>
      <c r="C4817" t="s">
        <v>40</v>
      </c>
      <c r="D4817">
        <v>5.5218540000000003</v>
      </c>
      <c r="E4817">
        <v>0.49435849999999998</v>
      </c>
      <c r="F4817" t="s">
        <v>41</v>
      </c>
      <c r="G4817">
        <v>-421.6078</v>
      </c>
      <c r="H4817" s="1">
        <v>-1.4251839999999999E-6</v>
      </c>
      <c r="I4817">
        <v>101.7016</v>
      </c>
      <c r="J4817">
        <v>-421.4246</v>
      </c>
      <c r="K4817">
        <v>1.122223</v>
      </c>
      <c r="L4817">
        <v>120.571</v>
      </c>
      <c r="M4817">
        <v>-3.7059559999999998E-2</v>
      </c>
      <c r="N4817">
        <v>-1.3176220000000001E-2</v>
      </c>
      <c r="O4817">
        <v>-0.99922650000000002</v>
      </c>
      <c r="P4817">
        <v>-2.368955E-2</v>
      </c>
      <c r="Q4817">
        <v>-0.13212349999999901</v>
      </c>
      <c r="R4817">
        <v>-0.99095029999999995</v>
      </c>
      <c r="S4817">
        <v>-2.9602050000000001E-2</v>
      </c>
      <c r="T4817">
        <v>-0.17670139999999901</v>
      </c>
      <c r="U4817">
        <v>-3.0025330000000001</v>
      </c>
      <c r="V4817">
        <v>-1.2648E-2</v>
      </c>
      <c r="W4817">
        <v>-0.11909640000000001</v>
      </c>
      <c r="X4817">
        <v>0.99280210000000002</v>
      </c>
      <c r="Y4817">
        <v>-2.7206500000000002E-2</v>
      </c>
      <c r="Z4817">
        <v>4.5520199999999997E-2</v>
      </c>
      <c r="AA4817">
        <v>0.99859290000000001</v>
      </c>
      <c r="AB4817">
        <v>20</v>
      </c>
      <c r="AC4817">
        <v>-0.183199999999999</v>
      </c>
      <c r="AD4817">
        <v>-1.1222244251839999</v>
      </c>
      <c r="AE4817">
        <v>-18.869399999999999</v>
      </c>
      <c r="AF4817">
        <v>-0.51445852164028805</v>
      </c>
      <c r="AG4817">
        <v>-1.1222244251839999</v>
      </c>
      <c r="AH4817">
        <v>18.796746402737199</v>
      </c>
      <c r="AI4817">
        <v>93.415405207168902</v>
      </c>
      <c r="AJ4817">
        <v>91.567768407462296</v>
      </c>
      <c r="AK4817">
        <v>18.837243178336401</v>
      </c>
      <c r="AL4817">
        <v>96.839956363830197</v>
      </c>
      <c r="AM4817">
        <v>90.729891504145996</v>
      </c>
      <c r="AN4817">
        <v>0.99999996708068395</v>
      </c>
    </row>
    <row r="4818" spans="1:40" x14ac:dyDescent="0.25">
      <c r="A4818" t="str">
        <f>"20190303154612412"</f>
        <v>20190303154612412</v>
      </c>
      <c r="B4818" t="str">
        <f>"1551599172406026"</f>
        <v>1551599172406026</v>
      </c>
      <c r="C4818" t="s">
        <v>40</v>
      </c>
      <c r="D4818">
        <v>5.5239240000000001</v>
      </c>
      <c r="E4818">
        <v>0.49455100000000002</v>
      </c>
      <c r="F4818" t="s">
        <v>41</v>
      </c>
      <c r="G4818">
        <v>-421.58670000000001</v>
      </c>
      <c r="H4818" s="1">
        <v>-1.790522E-6</v>
      </c>
      <c r="I4818">
        <v>102.4863</v>
      </c>
      <c r="J4818">
        <v>-421.42899999999997</v>
      </c>
      <c r="K4818">
        <v>1.12216</v>
      </c>
      <c r="L4818">
        <v>120.3717</v>
      </c>
      <c r="M4818">
        <v>-3.4536520000000001E-2</v>
      </c>
      <c r="N4818">
        <v>-1.30256E-2</v>
      </c>
      <c r="O4818">
        <v>-0.99931879999999995</v>
      </c>
      <c r="P4818">
        <v>-2.324149E-2</v>
      </c>
      <c r="Q4818">
        <v>-0.13427700000000001</v>
      </c>
      <c r="R4818">
        <v>-0.99067150000000004</v>
      </c>
      <c r="S4818">
        <v>-2.6916499999999999E-2</v>
      </c>
      <c r="T4818">
        <v>-0.18628110000000001</v>
      </c>
      <c r="U4818">
        <v>-3.0019230000000001</v>
      </c>
      <c r="V4818">
        <v>-1.058427E-2</v>
      </c>
      <c r="W4818">
        <v>-0.1213948</v>
      </c>
      <c r="X4818">
        <v>0.99254790000000004</v>
      </c>
      <c r="Y4818">
        <v>-2.5575549999999999E-2</v>
      </c>
      <c r="Z4818">
        <v>4.886422E-2</v>
      </c>
      <c r="AA4818">
        <v>0.99847790000000003</v>
      </c>
      <c r="AB4818">
        <v>20</v>
      </c>
      <c r="AC4818">
        <v>-0.157699999999977</v>
      </c>
      <c r="AD4818">
        <v>-1.122161790522</v>
      </c>
      <c r="AE4818">
        <v>-17.885400000000001</v>
      </c>
      <c r="AF4818">
        <v>-0.45834168607876702</v>
      </c>
      <c r="AG4818">
        <v>-1.122161790522</v>
      </c>
      <c r="AH4818">
        <v>17.810070846534899</v>
      </c>
      <c r="AI4818">
        <v>93.604087772180193</v>
      </c>
      <c r="AJ4818">
        <v>91.474179931726795</v>
      </c>
      <c r="AK4818">
        <v>17.851273000654501</v>
      </c>
      <c r="AL4818">
        <v>96.972607078175599</v>
      </c>
      <c r="AM4818">
        <v>90.610963979527199</v>
      </c>
      <c r="AN4818">
        <v>1.0000000290164399</v>
      </c>
    </row>
    <row r="4819" spans="1:40" x14ac:dyDescent="0.25">
      <c r="A4819" t="str">
        <f>"20190303154612437"</f>
        <v>20190303154612437</v>
      </c>
      <c r="B4819" t="str">
        <f>"1551599172426522"</f>
        <v>1551599172426522</v>
      </c>
      <c r="C4819" t="s">
        <v>40</v>
      </c>
      <c r="D4819">
        <v>5.5148809999999999</v>
      </c>
      <c r="E4819">
        <v>0.49473410000000001</v>
      </c>
      <c r="F4819" t="s">
        <v>41</v>
      </c>
      <c r="G4819">
        <v>-421.5872</v>
      </c>
      <c r="H4819" s="1">
        <v>-1.902852E-6</v>
      </c>
      <c r="I4819">
        <v>102.72369999999999</v>
      </c>
      <c r="J4819">
        <v>-421.43310000000002</v>
      </c>
      <c r="K4819">
        <v>1.1220939999999999</v>
      </c>
      <c r="L4819">
        <v>120.1619</v>
      </c>
      <c r="M4819">
        <v>-3.1947080000000003E-2</v>
      </c>
      <c r="N4819">
        <v>-1.285305E-2</v>
      </c>
      <c r="O4819">
        <v>-0.99940700000000005</v>
      </c>
      <c r="P4819">
        <v>-2.1803960000000001E-2</v>
      </c>
      <c r="Q4819">
        <v>-0.13299349999999999</v>
      </c>
      <c r="R4819">
        <v>-0.99087720000000001</v>
      </c>
      <c r="S4819">
        <v>-2.6916499999999999E-2</v>
      </c>
      <c r="T4819">
        <v>-0.1908685</v>
      </c>
      <c r="U4819">
        <v>-3.0017550000000002</v>
      </c>
      <c r="V4819">
        <v>-9.4771349999999994E-3</v>
      </c>
      <c r="W4819">
        <v>-0.12027549999999999</v>
      </c>
      <c r="X4819">
        <v>0.99269529999999995</v>
      </c>
      <c r="Y4819">
        <v>-2.2986639999999999E-2</v>
      </c>
      <c r="Z4819">
        <v>5.0568729999999999E-2</v>
      </c>
      <c r="AA4819">
        <v>0.99845600000000001</v>
      </c>
      <c r="AB4819">
        <v>20</v>
      </c>
      <c r="AC4819">
        <v>-0.15409999999997101</v>
      </c>
      <c r="AD4819">
        <v>-1.1220959028519999</v>
      </c>
      <c r="AE4819">
        <v>-17.438199999999998</v>
      </c>
      <c r="AF4819">
        <v>-0.40146207871727002</v>
      </c>
      <c r="AG4819">
        <v>-1.1220959028519999</v>
      </c>
      <c r="AH4819">
        <v>17.3623370763069</v>
      </c>
      <c r="AI4819">
        <v>93.696792870330995</v>
      </c>
      <c r="AJ4819">
        <v>91.3245903805783</v>
      </c>
      <c r="AK4819">
        <v>17.4031899307899</v>
      </c>
      <c r="AL4819">
        <v>96.908002829684307</v>
      </c>
      <c r="AM4819">
        <v>90.546978857905401</v>
      </c>
      <c r="AN4819">
        <v>0.99999998531507395</v>
      </c>
    </row>
    <row r="4820" spans="1:40" x14ac:dyDescent="0.25">
      <c r="A4820" t="str">
        <f>"20190303154612459"</f>
        <v>20190303154612459</v>
      </c>
      <c r="B4820" t="str">
        <f>"1551599172455803"</f>
        <v>1551599172455803</v>
      </c>
      <c r="C4820" t="s">
        <v>40</v>
      </c>
      <c r="D4820">
        <v>5.5504730000000002</v>
      </c>
      <c r="E4820">
        <v>0.4950157</v>
      </c>
      <c r="F4820" t="s">
        <v>41</v>
      </c>
      <c r="G4820">
        <v>-421.58210000000003</v>
      </c>
      <c r="H4820" s="1">
        <v>-1.6272149999999901E-6</v>
      </c>
      <c r="I4820">
        <v>102.1435</v>
      </c>
      <c r="J4820">
        <v>-421.43680000000001</v>
      </c>
      <c r="K4820">
        <v>1.1220289999999999</v>
      </c>
      <c r="L4820">
        <v>119.9532</v>
      </c>
      <c r="M4820">
        <v>-2.9467489999999999E-2</v>
      </c>
      <c r="N4820">
        <v>-1.268467E-2</v>
      </c>
      <c r="O4820">
        <v>-0.99948530000000002</v>
      </c>
      <c r="P4820">
        <v>-1.9304640000000001E-2</v>
      </c>
      <c r="Q4820">
        <v>-0.12863869999999999</v>
      </c>
      <c r="R4820">
        <v>-0.99150389999999999</v>
      </c>
      <c r="S4820">
        <v>-2.4810789999999999E-2</v>
      </c>
      <c r="T4820">
        <v>-0.18694769999999999</v>
      </c>
      <c r="U4820">
        <v>-3.0019840000000002</v>
      </c>
      <c r="V4820">
        <v>-9.5662019999999993E-3</v>
      </c>
      <c r="W4820">
        <v>-0.11607960000000001</v>
      </c>
      <c r="X4820">
        <v>0.99319389999999996</v>
      </c>
      <c r="Y4820">
        <v>-2.1207960000000001E-2</v>
      </c>
      <c r="Z4820">
        <v>4.9442220000000002E-2</v>
      </c>
      <c r="AA4820">
        <v>0.99855179999999999</v>
      </c>
      <c r="AB4820">
        <v>20</v>
      </c>
      <c r="AC4820">
        <v>-0.14530000000002</v>
      </c>
      <c r="AD4820">
        <v>-1.122030627215</v>
      </c>
      <c r="AE4820">
        <v>-17.8096999999999</v>
      </c>
      <c r="AF4820">
        <v>-0.378111787000663</v>
      </c>
      <c r="AG4820">
        <v>-1.122030627215</v>
      </c>
      <c r="AH4820">
        <v>17.7358552977201</v>
      </c>
      <c r="AI4820">
        <v>93.619081923624904</v>
      </c>
      <c r="AJ4820">
        <v>91.221307231341399</v>
      </c>
      <c r="AK4820">
        <v>17.775333594437601</v>
      </c>
      <c r="AL4820">
        <v>96.665898266781397</v>
      </c>
      <c r="AM4820">
        <v>90.551841943659198</v>
      </c>
      <c r="AN4820">
        <v>1.00000005437703</v>
      </c>
    </row>
    <row r="4821" spans="1:40" x14ac:dyDescent="0.25">
      <c r="A4821" t="str">
        <f>"20190303154612483"</f>
        <v>20190303154612483</v>
      </c>
      <c r="B4821" t="str">
        <f>"1551599172476298"</f>
        <v>1551599172476298</v>
      </c>
      <c r="C4821" t="s">
        <v>40</v>
      </c>
      <c r="D4821">
        <v>5.5479760000000002</v>
      </c>
      <c r="E4821">
        <v>0.49520009999999998</v>
      </c>
      <c r="F4821" t="s">
        <v>41</v>
      </c>
      <c r="G4821">
        <v>-421.56130000000002</v>
      </c>
      <c r="H4821" s="1">
        <v>-7.3231090000000001E-7</v>
      </c>
      <c r="I4821">
        <v>100.262</v>
      </c>
      <c r="J4821">
        <v>-421.44009999999997</v>
      </c>
      <c r="K4821">
        <v>1.121936</v>
      </c>
      <c r="L4821">
        <v>119.7492</v>
      </c>
      <c r="M4821">
        <v>-2.7174170000000001E-2</v>
      </c>
      <c r="N4821">
        <v>-1.252844E-2</v>
      </c>
      <c r="O4821">
        <v>-0.99955240000000001</v>
      </c>
      <c r="P4821">
        <v>-1.6670170000000002E-2</v>
      </c>
      <c r="Q4821">
        <v>-0.1249615</v>
      </c>
      <c r="R4821">
        <v>-0.99202159999999995</v>
      </c>
      <c r="S4821">
        <v>-1.8981930000000001E-2</v>
      </c>
      <c r="T4821">
        <v>-0.17112179999999999</v>
      </c>
      <c r="U4821">
        <v>-3.0031279999999998</v>
      </c>
      <c r="V4821">
        <v>-9.9718810000000001E-3</v>
      </c>
      <c r="W4821">
        <v>-0.11255130000000001</v>
      </c>
      <c r="X4821">
        <v>0.99359589999999998</v>
      </c>
      <c r="Y4821">
        <v>-2.0854640000000001E-2</v>
      </c>
      <c r="Z4821">
        <v>4.4339139999999999E-2</v>
      </c>
      <c r="AA4821">
        <v>0.99879879999999999</v>
      </c>
      <c r="AB4821">
        <v>20</v>
      </c>
      <c r="AC4821">
        <v>-0.12120000000004399</v>
      </c>
      <c r="AD4821">
        <v>-1.1219367323109</v>
      </c>
      <c r="AE4821">
        <v>-19.487200000000001</v>
      </c>
      <c r="AF4821">
        <v>-0.40708541509680601</v>
      </c>
      <c r="AG4821">
        <v>-1.1219367323109</v>
      </c>
      <c r="AH4821">
        <v>19.418931793088301</v>
      </c>
      <c r="AI4821">
        <v>93.305886514397997</v>
      </c>
      <c r="AJ4821">
        <v>91.200934254863398</v>
      </c>
      <c r="AK4821">
        <v>19.4555743310525</v>
      </c>
      <c r="AL4821">
        <v>96.462407688623202</v>
      </c>
      <c r="AM4821">
        <v>90.575009934540901</v>
      </c>
      <c r="AN4821">
        <v>1.00000002301958</v>
      </c>
    </row>
    <row r="4822" spans="1:40" x14ac:dyDescent="0.25">
      <c r="A4822" t="str">
        <f>"20190303154612504"</f>
        <v>20190303154612504</v>
      </c>
      <c r="B4822" t="str">
        <f>"1551599172495819"</f>
        <v>1551599172495819</v>
      </c>
      <c r="C4822" t="s">
        <v>40</v>
      </c>
      <c r="D4822">
        <v>5.556819</v>
      </c>
      <c r="E4822">
        <v>0.49530809999999997</v>
      </c>
      <c r="F4822" t="s">
        <v>41</v>
      </c>
      <c r="G4822">
        <v>-421.52850000000001</v>
      </c>
      <c r="H4822" s="1">
        <v>-4.1435009999999996E-6</v>
      </c>
      <c r="I4822">
        <v>98.365939999999995</v>
      </c>
      <c r="J4822">
        <v>-421.44290000000001</v>
      </c>
      <c r="K4822">
        <v>1.1218330000000001</v>
      </c>
      <c r="L4822">
        <v>119.55070000000001</v>
      </c>
      <c r="M4822">
        <v>-2.5097089999999999E-2</v>
      </c>
      <c r="N4822">
        <v>-1.2383770000000001E-2</v>
      </c>
      <c r="O4822">
        <v>-0.99960839999999995</v>
      </c>
      <c r="P4822">
        <v>-1.5165100000000001E-2</v>
      </c>
      <c r="Q4822">
        <v>-0.12256930000000001</v>
      </c>
      <c r="R4822">
        <v>-0.99234440000000002</v>
      </c>
      <c r="S4822">
        <v>-1.242065E-2</v>
      </c>
      <c r="T4822">
        <v>-0.15761800000000001</v>
      </c>
      <c r="U4822">
        <v>-3.0040740000000001</v>
      </c>
      <c r="V4822">
        <v>-9.4545459999999994E-3</v>
      </c>
      <c r="W4822">
        <v>-0.1102955</v>
      </c>
      <c r="X4822">
        <v>0.99385389999999996</v>
      </c>
      <c r="Y4822">
        <v>-2.0960429999999999E-2</v>
      </c>
      <c r="Z4822">
        <v>3.9995169999999997E-2</v>
      </c>
      <c r="AA4822">
        <v>0.99897999999999998</v>
      </c>
      <c r="AB4822">
        <v>20</v>
      </c>
      <c r="AC4822">
        <v>-8.5599999999999399E-2</v>
      </c>
      <c r="AD4822">
        <v>-1.1218371435009999</v>
      </c>
      <c r="AE4822">
        <v>-21.184760000000001</v>
      </c>
      <c r="AF4822">
        <v>-0.44489595429586498</v>
      </c>
      <c r="AG4822">
        <v>-1.1218371435009999</v>
      </c>
      <c r="AH4822">
        <v>21.121007597525001</v>
      </c>
      <c r="AI4822">
        <v>93.039721254794799</v>
      </c>
      <c r="AJ4822">
        <v>91.206708123939194</v>
      </c>
      <c r="AK4822">
        <v>21.1554582300029</v>
      </c>
      <c r="AL4822">
        <v>96.332349931990805</v>
      </c>
      <c r="AM4822">
        <v>90.545039107771302</v>
      </c>
      <c r="AN4822">
        <v>1.0000000301527601</v>
      </c>
    </row>
    <row r="4823" spans="1:40" x14ac:dyDescent="0.25">
      <c r="A4823" t="str">
        <f>"20190303154612548"</f>
        <v>20190303154612548</v>
      </c>
      <c r="B4823" t="str">
        <f>"1551599172535835"</f>
        <v>1551599172535835</v>
      </c>
      <c r="C4823" t="s">
        <v>40</v>
      </c>
      <c r="D4823">
        <v>5.4832519999999896</v>
      </c>
      <c r="E4823">
        <v>0.49591560000000001</v>
      </c>
      <c r="F4823" t="s">
        <v>41</v>
      </c>
      <c r="G4823">
        <v>-421.5059</v>
      </c>
      <c r="H4823" s="1">
        <v>-3.6181920000000001E-6</v>
      </c>
      <c r="I4823">
        <v>97.089200000000005</v>
      </c>
      <c r="J4823">
        <v>-421.4479</v>
      </c>
      <c r="K4823">
        <v>1.121658</v>
      </c>
      <c r="L4823">
        <v>119.1519</v>
      </c>
      <c r="M4823">
        <v>-2.1320039999999998E-2</v>
      </c>
      <c r="N4823">
        <v>-1.2118479999999999E-2</v>
      </c>
      <c r="O4823">
        <v>-0.99969949999999996</v>
      </c>
      <c r="P4823">
        <v>-1.3011129999999999E-2</v>
      </c>
      <c r="Q4823">
        <v>-0.1203714</v>
      </c>
      <c r="R4823">
        <v>-0.99264399999999997</v>
      </c>
      <c r="S4823">
        <v>-8.4228519999999998E-3</v>
      </c>
      <c r="T4823">
        <v>-0.15005929999999901</v>
      </c>
      <c r="U4823">
        <v>-3.0045009999999999</v>
      </c>
      <c r="V4823">
        <v>-7.9141460000000004E-3</v>
      </c>
      <c r="W4823">
        <v>-0.10835060000000001</v>
      </c>
      <c r="X4823">
        <v>0.99408129999999995</v>
      </c>
      <c r="Y4823">
        <v>-1.8513789999999999E-2</v>
      </c>
      <c r="Z4823">
        <v>3.7754599999999999E-2</v>
      </c>
      <c r="AA4823">
        <v>0.99911550000000005</v>
      </c>
      <c r="AB4823">
        <v>20</v>
      </c>
      <c r="AC4823">
        <v>-5.7999999999992703E-2</v>
      </c>
      <c r="AD4823">
        <v>-1.1216616181919901</v>
      </c>
      <c r="AE4823">
        <v>-22.0626999999999</v>
      </c>
      <c r="AF4823">
        <v>-0.41136202812619299</v>
      </c>
      <c r="AG4823">
        <v>-1.1216616181919901</v>
      </c>
      <c r="AH4823">
        <v>22.002053289706499</v>
      </c>
      <c r="AI4823">
        <v>92.917895302038204</v>
      </c>
      <c r="AJ4823">
        <v>91.071107411285197</v>
      </c>
      <c r="AK4823">
        <v>22.0344660127491</v>
      </c>
      <c r="AL4823">
        <v>96.220243241801398</v>
      </c>
      <c r="AM4823">
        <v>90.4561373245038</v>
      </c>
      <c r="AN4823">
        <v>1.0000000586184701</v>
      </c>
    </row>
    <row r="4824" spans="1:40" x14ac:dyDescent="0.25">
      <c r="A4824" t="str">
        <f>"20190303154612569"</f>
        <v>20190303154612569</v>
      </c>
      <c r="B4824" t="str">
        <f>"1551599172566091"</f>
        <v>1551599172566091</v>
      </c>
      <c r="C4824" t="s">
        <v>40</v>
      </c>
      <c r="D4824">
        <v>5.6622329999999996</v>
      </c>
      <c r="E4824">
        <v>0.49647629999999998</v>
      </c>
      <c r="F4824" t="s">
        <v>41</v>
      </c>
      <c r="G4824">
        <v>-421.4975</v>
      </c>
      <c r="H4824" s="1">
        <v>-2.9951119999999998E-6</v>
      </c>
      <c r="I4824">
        <v>95.641970000000001</v>
      </c>
      <c r="J4824">
        <v>-421.45010000000002</v>
      </c>
      <c r="K4824">
        <v>1.1215820000000001</v>
      </c>
      <c r="L4824">
        <v>118.9524</v>
      </c>
      <c r="M4824">
        <v>-1.9626000000000001E-2</v>
      </c>
      <c r="N4824">
        <v>-1.199909E-2</v>
      </c>
      <c r="O4824">
        <v>-0.99973540000000005</v>
      </c>
      <c r="P4824">
        <v>-1.162213E-2</v>
      </c>
      <c r="Q4824">
        <v>-0.1192261</v>
      </c>
      <c r="R4824">
        <v>-0.99279890000000004</v>
      </c>
      <c r="S4824">
        <v>-6.3476560000000001E-3</v>
      </c>
      <c r="T4824">
        <v>-0.14335800000000001</v>
      </c>
      <c r="U4824">
        <v>-3.0047760000000001</v>
      </c>
      <c r="V4824">
        <v>-7.6443419999999897E-3</v>
      </c>
      <c r="W4824">
        <v>-0.1073204</v>
      </c>
      <c r="X4824">
        <v>0.9941951</v>
      </c>
      <c r="Y4824">
        <v>-1.7510330000000001E-2</v>
      </c>
      <c r="Z4824">
        <v>3.5649729999999998E-2</v>
      </c>
      <c r="AA4824">
        <v>0.99921099999999996</v>
      </c>
      <c r="AB4824">
        <v>20</v>
      </c>
      <c r="AC4824">
        <v>-4.7399999999981901E-2</v>
      </c>
      <c r="AD4824">
        <v>-1.121584995112</v>
      </c>
      <c r="AE4824">
        <v>-23.31043</v>
      </c>
      <c r="AF4824">
        <v>-0.40918527365060298</v>
      </c>
      <c r="AG4824">
        <v>-1.121584995112</v>
      </c>
      <c r="AH4824">
        <v>23.253037757863801</v>
      </c>
      <c r="AI4824">
        <v>92.761032645886701</v>
      </c>
      <c r="AJ4824">
        <v>91.008133646336603</v>
      </c>
      <c r="AK4824">
        <v>23.283667032022102</v>
      </c>
      <c r="AL4824">
        <v>96.160871274865301</v>
      </c>
      <c r="AM4824">
        <v>90.440537176974502</v>
      </c>
      <c r="AN4824">
        <v>1.0000000005423899</v>
      </c>
    </row>
    <row r="4825" spans="1:40" x14ac:dyDescent="0.25">
      <c r="A4825" t="str">
        <f>"20190303154612592"</f>
        <v>20190303154612592</v>
      </c>
      <c r="B4825" t="str">
        <f>"1551599172585610"</f>
        <v>1551599172585610</v>
      </c>
      <c r="C4825" t="s">
        <v>40</v>
      </c>
      <c r="D4825">
        <v>5.4447729999999996</v>
      </c>
      <c r="E4825">
        <v>0.49674089999999999</v>
      </c>
      <c r="F4825" t="s">
        <v>41</v>
      </c>
      <c r="G4825">
        <v>-421.50049999999999</v>
      </c>
      <c r="H4825" s="1">
        <v>-2.8587459999999998E-6</v>
      </c>
      <c r="I4825">
        <v>95.32226</v>
      </c>
      <c r="J4825">
        <v>-421.45209999999997</v>
      </c>
      <c r="K4825">
        <v>1.1215120000000001</v>
      </c>
      <c r="L4825">
        <v>118.7473</v>
      </c>
      <c r="M4825">
        <v>-1.801144E-2</v>
      </c>
      <c r="N4825">
        <v>-1.188665E-2</v>
      </c>
      <c r="O4825">
        <v>-0.99976719999999997</v>
      </c>
      <c r="P4825">
        <v>-1.0075499999999999E-2</v>
      </c>
      <c r="Q4825">
        <v>-0.1196716</v>
      </c>
      <c r="R4825">
        <v>-0.99276260000000005</v>
      </c>
      <c r="S4825">
        <v>-6.4086909999999898E-3</v>
      </c>
      <c r="T4825">
        <v>-0.14260909999999999</v>
      </c>
      <c r="U4825">
        <v>-3.004562</v>
      </c>
      <c r="V4825">
        <v>-7.601216E-3</v>
      </c>
      <c r="W4825">
        <v>-0.1078771</v>
      </c>
      <c r="X4825">
        <v>0.9941352</v>
      </c>
      <c r="Y4825">
        <v>-1.5875779999999999E-2</v>
      </c>
      <c r="Z4825">
        <v>3.5519839999999997E-2</v>
      </c>
      <c r="AA4825">
        <v>0.99924279999999999</v>
      </c>
      <c r="AB4825">
        <v>20</v>
      </c>
      <c r="AC4825">
        <v>-4.8400000000015098E-2</v>
      </c>
      <c r="AD4825">
        <v>-1.121514858746</v>
      </c>
      <c r="AE4825">
        <v>-23.425039999999999</v>
      </c>
      <c r="AF4825">
        <v>-0.37270203382212902</v>
      </c>
      <c r="AG4825">
        <v>-1.121514858746</v>
      </c>
      <c r="AH4825">
        <v>23.3685465208703</v>
      </c>
      <c r="AI4825">
        <v>92.747310325467794</v>
      </c>
      <c r="AJ4825">
        <v>90.913725772719602</v>
      </c>
      <c r="AK4825">
        <v>23.398411674352701</v>
      </c>
      <c r="AL4825">
        <v>96.192953965184898</v>
      </c>
      <c r="AM4825">
        <v>90.438078351070999</v>
      </c>
      <c r="AN4825">
        <v>1.0000000215340601</v>
      </c>
    </row>
    <row r="4826" spans="1:40" x14ac:dyDescent="0.25">
      <c r="A4826" t="str">
        <f>"20190303154612614"</f>
        <v>20190303154612614</v>
      </c>
      <c r="B4826" t="str">
        <f>"1551599172606107"</f>
        <v>1551599172606107</v>
      </c>
      <c r="C4826" t="s">
        <v>40</v>
      </c>
      <c r="D4826">
        <v>5.4582160000000002</v>
      </c>
      <c r="E4826">
        <v>0.49701079999999997</v>
      </c>
      <c r="F4826" t="s">
        <v>41</v>
      </c>
      <c r="G4826">
        <v>-421.48360000000002</v>
      </c>
      <c r="H4826" s="1">
        <v>-2.9670289999999999E-6</v>
      </c>
      <c r="I4826">
        <v>95.585130000000007</v>
      </c>
      <c r="J4826">
        <v>-421.45389999999998</v>
      </c>
      <c r="K4826">
        <v>1.121435</v>
      </c>
      <c r="L4826">
        <v>118.54470000000001</v>
      </c>
      <c r="M4826">
        <v>-1.6554320000000001E-2</v>
      </c>
      <c r="N4826">
        <v>-1.1782610000000001E-2</v>
      </c>
      <c r="O4826">
        <v>-0.99979359999999995</v>
      </c>
      <c r="P4826">
        <v>-8.8745019999999994E-3</v>
      </c>
      <c r="Q4826">
        <v>-0.1201995</v>
      </c>
      <c r="R4826">
        <v>-0.99270999999999998</v>
      </c>
      <c r="S4826">
        <v>-4.0893550000000002E-3</v>
      </c>
      <c r="T4826">
        <v>-0.1454686</v>
      </c>
      <c r="U4826">
        <v>-3.0043030000000002</v>
      </c>
      <c r="V4826">
        <v>-7.3707969999999897E-3</v>
      </c>
      <c r="W4826">
        <v>-0.10850750000000001</v>
      </c>
      <c r="X4826">
        <v>0.99406830000000002</v>
      </c>
      <c r="Y4826">
        <v>-1.519E-2</v>
      </c>
      <c r="Z4826">
        <v>3.6578619999999999E-2</v>
      </c>
      <c r="AA4826">
        <v>0.99921530000000003</v>
      </c>
      <c r="AB4826">
        <v>20</v>
      </c>
      <c r="AC4826">
        <v>-2.9700000000048001E-2</v>
      </c>
      <c r="AD4826">
        <v>-1.121437967029</v>
      </c>
      <c r="AE4826">
        <v>-22.959569999999999</v>
      </c>
      <c r="AF4826">
        <v>-0.34957650575433502</v>
      </c>
      <c r="AG4826">
        <v>-1.121437967029</v>
      </c>
      <c r="AH4826">
        <v>22.902276289373301</v>
      </c>
      <c r="AI4826">
        <v>92.802992860238803</v>
      </c>
      <c r="AJ4826">
        <v>90.874485263309097</v>
      </c>
      <c r="AK4826">
        <v>22.932380732973598</v>
      </c>
      <c r="AL4826">
        <v>96.229286658924494</v>
      </c>
      <c r="AM4826">
        <v>90.424827771405702</v>
      </c>
      <c r="AN4826">
        <v>0.99999999563477704</v>
      </c>
    </row>
    <row r="4827" spans="1:40" x14ac:dyDescent="0.25">
      <c r="A4827" t="str">
        <f>"20190303154612637"</f>
        <v>20190303154612637</v>
      </c>
      <c r="B4827" t="str">
        <f>"1551599172625627"</f>
        <v>1551599172625627</v>
      </c>
      <c r="C4827" t="s">
        <v>40</v>
      </c>
      <c r="D4827">
        <v>5.46469</v>
      </c>
      <c r="E4827">
        <v>0.49726740000000003</v>
      </c>
      <c r="F4827" t="s">
        <v>41</v>
      </c>
      <c r="G4827">
        <v>-421.4726</v>
      </c>
      <c r="H4827" s="1">
        <v>-3.1007100000000001E-6</v>
      </c>
      <c r="I4827">
        <v>95.903620000000004</v>
      </c>
      <c r="J4827">
        <v>-421.4556</v>
      </c>
      <c r="K4827">
        <v>1.121354</v>
      </c>
      <c r="L4827">
        <v>118.3437</v>
      </c>
      <c r="M4827">
        <v>-1.5239849999999999E-2</v>
      </c>
      <c r="N4827">
        <v>-1.1687589999999999E-2</v>
      </c>
      <c r="O4827">
        <v>-0.99981560000000003</v>
      </c>
      <c r="P4827">
        <v>-6.845996E-3</v>
      </c>
      <c r="Q4827">
        <v>-0.11969879999999999</v>
      </c>
      <c r="R4827">
        <v>-0.99278670000000002</v>
      </c>
      <c r="S4827">
        <v>-2.4719239999999999E-3</v>
      </c>
      <c r="T4827">
        <v>-0.14879129999999999</v>
      </c>
      <c r="U4827">
        <v>-3.0039980000000002</v>
      </c>
      <c r="V4827">
        <v>-8.1167719999999995E-3</v>
      </c>
      <c r="W4827">
        <v>-0.1081003</v>
      </c>
      <c r="X4827">
        <v>0.99410679999999996</v>
      </c>
      <c r="Y4827">
        <v>-1.4413530000000001E-2</v>
      </c>
      <c r="Z4827">
        <v>3.7782669999999997E-2</v>
      </c>
      <c r="AA4827">
        <v>0.99918200000000001</v>
      </c>
      <c r="AB4827">
        <v>20</v>
      </c>
      <c r="AC4827">
        <v>-1.69999999999959E-2</v>
      </c>
      <c r="AD4827">
        <v>-1.1213571007100001</v>
      </c>
      <c r="AE4827">
        <v>-22.440079999999998</v>
      </c>
      <c r="AF4827">
        <v>-0.32419920946953401</v>
      </c>
      <c r="AG4827">
        <v>-1.1213571007100001</v>
      </c>
      <c r="AH4827">
        <v>22.381842628666998</v>
      </c>
      <c r="AI4827">
        <v>92.867888541257201</v>
      </c>
      <c r="AJ4827">
        <v>90.829866771331595</v>
      </c>
      <c r="AK4827">
        <v>22.412260625138899</v>
      </c>
      <c r="AL4827">
        <v>96.205818095186999</v>
      </c>
      <c r="AM4827">
        <v>90.467803303308898</v>
      </c>
      <c r="AN4827">
        <v>0.99999994332701303</v>
      </c>
    </row>
    <row r="4828" spans="1:40" x14ac:dyDescent="0.25">
      <c r="A4828" t="str">
        <f>"20190303154612660"</f>
        <v>20190303154612660</v>
      </c>
      <c r="B4828" t="str">
        <f>"1551599172655884"</f>
        <v>1551599172655884</v>
      </c>
      <c r="C4828" t="s">
        <v>40</v>
      </c>
      <c r="D4828">
        <v>5.4447340000000004</v>
      </c>
      <c r="E4828">
        <v>0.49768200000000001</v>
      </c>
      <c r="F4828" t="s">
        <v>41</v>
      </c>
      <c r="G4828">
        <v>-421.44479999999999</v>
      </c>
      <c r="H4828" s="1">
        <v>-3.0688460000000002E-6</v>
      </c>
      <c r="I4828">
        <v>95.846540000000005</v>
      </c>
      <c r="J4828">
        <v>-421.4572</v>
      </c>
      <c r="K4828">
        <v>1.121259</v>
      </c>
      <c r="L4828">
        <v>118.1266</v>
      </c>
      <c r="M4828">
        <v>-1.395801E-2</v>
      </c>
      <c r="N4828">
        <v>-1.159644E-2</v>
      </c>
      <c r="O4828">
        <v>-0.99983560000000005</v>
      </c>
      <c r="P4828">
        <v>-4.4956099999999997E-3</v>
      </c>
      <c r="Q4828">
        <v>-0.117558</v>
      </c>
      <c r="R4828">
        <v>-0.9930561</v>
      </c>
      <c r="S4828">
        <v>1.4343260000000001E-3</v>
      </c>
      <c r="T4828">
        <v>-0.14972050000000001</v>
      </c>
      <c r="U4828">
        <v>-3.0037539999999998</v>
      </c>
      <c r="V4828">
        <v>-9.2256720000000007E-3</v>
      </c>
      <c r="W4828">
        <v>-0.1060469</v>
      </c>
      <c r="X4828">
        <v>0.99431829999999999</v>
      </c>
      <c r="Y4828">
        <v>-1.443093E-2</v>
      </c>
      <c r="Z4828">
        <v>3.818738E-2</v>
      </c>
      <c r="AA4828">
        <v>0.99916640000000001</v>
      </c>
      <c r="AB4828">
        <v>20</v>
      </c>
      <c r="AC4828">
        <v>1.24000000000137E-2</v>
      </c>
      <c r="AD4828">
        <v>-1.121262068846</v>
      </c>
      <c r="AE4828">
        <v>-22.280059999999899</v>
      </c>
      <c r="AF4828">
        <v>-0.32258790799352299</v>
      </c>
      <c r="AG4828">
        <v>-1.121262068846</v>
      </c>
      <c r="AH4828">
        <v>22.221436215790501</v>
      </c>
      <c r="AI4828">
        <v>92.888309863362295</v>
      </c>
      <c r="AJ4828">
        <v>90.831702652158199</v>
      </c>
      <c r="AK4828">
        <v>22.252045278532499</v>
      </c>
      <c r="AL4828">
        <v>96.087486474910506</v>
      </c>
      <c r="AM4828">
        <v>90.531597277238902</v>
      </c>
      <c r="AN4828">
        <v>0.99999996986917505</v>
      </c>
    </row>
    <row r="4829" spans="1:40" x14ac:dyDescent="0.25">
      <c r="A4829" t="str">
        <f>"20190303154612683"</f>
        <v>20190303154612683</v>
      </c>
      <c r="B4829" t="str">
        <f>"1551599172676380"</f>
        <v>1551599172676380</v>
      </c>
      <c r="C4829" t="s">
        <v>40</v>
      </c>
      <c r="D4829">
        <v>5.4056280000000001</v>
      </c>
      <c r="E4829">
        <v>0.49789709999999998</v>
      </c>
      <c r="F4829" t="s">
        <v>41</v>
      </c>
      <c r="G4829">
        <v>-421.41419999999999</v>
      </c>
      <c r="H4829" s="1">
        <v>-2.6917539999999998E-6</v>
      </c>
      <c r="I4829">
        <v>94.986530000000002</v>
      </c>
      <c r="J4829">
        <v>-421.45870000000002</v>
      </c>
      <c r="K4829">
        <v>1.1211770000000001</v>
      </c>
      <c r="L4829">
        <v>117.9273</v>
      </c>
      <c r="M4829">
        <v>-1.2920859999999999E-2</v>
      </c>
      <c r="N4829">
        <v>-1.152396E-2</v>
      </c>
      <c r="O4829">
        <v>-0.99985029999999997</v>
      </c>
      <c r="P4829">
        <v>-2.7173840000000002E-3</v>
      </c>
      <c r="Q4829">
        <v>-0.1162154</v>
      </c>
      <c r="R4829">
        <v>-0.99322069999999996</v>
      </c>
      <c r="S4829">
        <v>5.5847170000000003E-3</v>
      </c>
      <c r="T4829">
        <v>-0.1455497</v>
      </c>
      <c r="U4829">
        <v>-3.003784</v>
      </c>
      <c r="V4829">
        <v>-9.9993809999999999E-3</v>
      </c>
      <c r="W4829">
        <v>-0.10477359999999999</v>
      </c>
      <c r="X4829">
        <v>0.99444580000000005</v>
      </c>
      <c r="Y4829">
        <v>-1.47744E-2</v>
      </c>
      <c r="Z4829">
        <v>3.6876100000000002E-2</v>
      </c>
      <c r="AA4829">
        <v>0.99921059999999995</v>
      </c>
      <c r="AB4829">
        <v>20</v>
      </c>
      <c r="AC4829">
        <v>4.4500000000027698E-2</v>
      </c>
      <c r="AD4829">
        <v>-1.121179691754</v>
      </c>
      <c r="AE4829">
        <v>-22.940770000000001</v>
      </c>
      <c r="AF4829">
        <v>-0.34011800504785999</v>
      </c>
      <c r="AG4829">
        <v>-1.121179691754</v>
      </c>
      <c r="AH4829">
        <v>22.883621201363798</v>
      </c>
      <c r="AI4829">
        <v>92.804646117794903</v>
      </c>
      <c r="AJ4829">
        <v>90.851521325283599</v>
      </c>
      <c r="AK4829">
        <v>22.9135951663214</v>
      </c>
      <c r="AL4829">
        <v>96.014123017662797</v>
      </c>
      <c r="AM4829">
        <v>90.576102811507695</v>
      </c>
      <c r="AN4829">
        <v>0.99999997200749102</v>
      </c>
    </row>
    <row r="4830" spans="1:40" x14ac:dyDescent="0.25">
      <c r="A4830" t="str">
        <f>"20190303154612704"</f>
        <v>20190303154612704</v>
      </c>
      <c r="B4830" t="str">
        <f>"1551599172695899"</f>
        <v>1551599172695899</v>
      </c>
      <c r="C4830" t="s">
        <v>40</v>
      </c>
      <c r="D4830">
        <v>5.457376</v>
      </c>
      <c r="E4830">
        <v>0.49812299999999998</v>
      </c>
      <c r="F4830" t="s">
        <v>41</v>
      </c>
      <c r="G4830">
        <v>-421.37959999999998</v>
      </c>
      <c r="H4830" s="1">
        <v>-2.4629429999999999E-6</v>
      </c>
      <c r="I4830">
        <v>94.474599999999995</v>
      </c>
      <c r="J4830">
        <v>-421.46019999999999</v>
      </c>
      <c r="K4830">
        <v>1.1210899999999999</v>
      </c>
      <c r="L4830">
        <v>117.72499999999999</v>
      </c>
      <c r="M4830">
        <v>-1.200672E-2</v>
      </c>
      <c r="N4830">
        <v>-1.1459209999999999E-2</v>
      </c>
      <c r="O4830">
        <v>-0.99986240000000004</v>
      </c>
      <c r="P4830">
        <v>-1.9869499999999999E-3</v>
      </c>
      <c r="Q4830">
        <v>-0.1147788</v>
      </c>
      <c r="R4830">
        <v>-0.99338939999999998</v>
      </c>
      <c r="S4830">
        <v>1.013184E-2</v>
      </c>
      <c r="T4830">
        <v>-0.14359569999999999</v>
      </c>
      <c r="U4830">
        <v>-3.0037229999999999</v>
      </c>
      <c r="V4830">
        <v>-9.846222E-3</v>
      </c>
      <c r="W4830">
        <v>-0.1033975</v>
      </c>
      <c r="X4830">
        <v>0.99459140000000001</v>
      </c>
      <c r="Y4830">
        <v>-1.5372830000000001E-2</v>
      </c>
      <c r="Z4830">
        <v>3.6293739999999998E-2</v>
      </c>
      <c r="AA4830">
        <v>0.99922290000000002</v>
      </c>
      <c r="AB4830">
        <v>20</v>
      </c>
      <c r="AC4830">
        <v>8.0600000000004002E-2</v>
      </c>
      <c r="AD4830">
        <v>-1.1210924629429999</v>
      </c>
      <c r="AE4830">
        <v>-23.250399999999999</v>
      </c>
      <c r="AF4830">
        <v>-0.35893900029417602</v>
      </c>
      <c r="AG4830">
        <v>-1.1210924629429999</v>
      </c>
      <c r="AH4830">
        <v>23.1938311192634</v>
      </c>
      <c r="AI4830">
        <v>92.766952964695307</v>
      </c>
      <c r="AJ4830">
        <v>90.886617142155302</v>
      </c>
      <c r="AK4830">
        <v>23.223683762601301</v>
      </c>
      <c r="AL4830">
        <v>95.934847392831202</v>
      </c>
      <c r="AM4830">
        <v>90.567196273789307</v>
      </c>
      <c r="AN4830">
        <v>1.00000002202394</v>
      </c>
    </row>
    <row r="4831" spans="1:40" x14ac:dyDescent="0.25">
      <c r="A4831" t="str">
        <f>"20190303154612727"</f>
        <v>20190303154612727</v>
      </c>
      <c r="B4831" t="str">
        <f>"1551599172716395"</f>
        <v>1551599172716395</v>
      </c>
      <c r="C4831" t="s">
        <v>40</v>
      </c>
      <c r="D4831">
        <v>5.364954</v>
      </c>
      <c r="E4831">
        <v>0.49835390000000002</v>
      </c>
      <c r="F4831" t="s">
        <v>41</v>
      </c>
      <c r="G4831">
        <v>-421.37299999999999</v>
      </c>
      <c r="H4831" s="1">
        <v>-2.2393809999999998E-6</v>
      </c>
      <c r="I4831">
        <v>93.957589999999996</v>
      </c>
      <c r="J4831">
        <v>-421.4615</v>
      </c>
      <c r="K4831">
        <v>1.1210199999999999</v>
      </c>
      <c r="L4831">
        <v>117.5235</v>
      </c>
      <c r="M4831">
        <v>-1.120955E-2</v>
      </c>
      <c r="N4831">
        <v>-1.1402000000000001E-2</v>
      </c>
      <c r="O4831">
        <v>-0.99987230000000005</v>
      </c>
      <c r="P4831">
        <v>-1.8672319999999999E-3</v>
      </c>
      <c r="Q4831">
        <v>-0.1139835</v>
      </c>
      <c r="R4831">
        <v>-0.99348110000000001</v>
      </c>
      <c r="S4831">
        <v>1.101685E-2</v>
      </c>
      <c r="T4831">
        <v>-0.14167829999999901</v>
      </c>
      <c r="U4831">
        <v>-3.0036160000000001</v>
      </c>
      <c r="V4831">
        <v>-9.1924539999999992E-3</v>
      </c>
      <c r="W4831">
        <v>-0.10265589999999999</v>
      </c>
      <c r="X4831">
        <v>0.99467439999999996</v>
      </c>
      <c r="Y4831">
        <v>-1.48705E-2</v>
      </c>
      <c r="Z4831">
        <v>3.5717029999999997E-2</v>
      </c>
      <c r="AA4831">
        <v>0.99925129999999995</v>
      </c>
      <c r="AB4831">
        <v>20</v>
      </c>
      <c r="AC4831">
        <v>8.8499999999953602E-2</v>
      </c>
      <c r="AD4831">
        <v>-1.1210222393809901</v>
      </c>
      <c r="AE4831">
        <v>-23.565909999999999</v>
      </c>
      <c r="AF4831">
        <v>-0.35187857690816698</v>
      </c>
      <c r="AG4831">
        <v>-1.1210222393809901</v>
      </c>
      <c r="AH4831">
        <v>23.5102371644419</v>
      </c>
      <c r="AI4831">
        <v>92.729621764133697</v>
      </c>
      <c r="AJ4831">
        <v>90.857483996054</v>
      </c>
      <c r="AK4831">
        <v>23.5395786054547</v>
      </c>
      <c r="AL4831">
        <v>95.892129958068395</v>
      </c>
      <c r="AM4831">
        <v>90.529493695394905</v>
      </c>
      <c r="AN4831">
        <v>0.99999994851535401</v>
      </c>
    </row>
    <row r="4832" spans="1:40" x14ac:dyDescent="0.25">
      <c r="A4832" t="str">
        <f>"20190303154612749"</f>
        <v>20190303154612749</v>
      </c>
      <c r="B4832" t="str">
        <f>"1551599172745675"</f>
        <v>1551599172745675</v>
      </c>
      <c r="C4832" t="s">
        <v>40</v>
      </c>
      <c r="D4832">
        <v>5.4356260000000001</v>
      </c>
      <c r="E4832">
        <v>0.49852269999999999</v>
      </c>
      <c r="F4832" t="s">
        <v>41</v>
      </c>
      <c r="G4832">
        <v>-421.38869999999997</v>
      </c>
      <c r="H4832" s="1">
        <v>-2.1305519999999999E-6</v>
      </c>
      <c r="I4832">
        <v>93.694180000000003</v>
      </c>
      <c r="J4832">
        <v>-421.46300000000002</v>
      </c>
      <c r="K4832">
        <v>1.120962</v>
      </c>
      <c r="L4832">
        <v>117.3156</v>
      </c>
      <c r="M4832">
        <v>-1.0498270000000001E-2</v>
      </c>
      <c r="N4832">
        <v>-1.1350290000000001E-2</v>
      </c>
      <c r="O4832">
        <v>-0.99988060000000001</v>
      </c>
      <c r="P4832">
        <v>-1.4634839999999999E-3</v>
      </c>
      <c r="Q4832">
        <v>-0.1123701</v>
      </c>
      <c r="R4832">
        <v>-0.99366560000000004</v>
      </c>
      <c r="S4832">
        <v>9.1857910000000004E-3</v>
      </c>
      <c r="T4832">
        <v>-0.14129610000000001</v>
      </c>
      <c r="U4832">
        <v>-3.0034939999999999</v>
      </c>
      <c r="V4832">
        <v>-8.9050380000000005E-3</v>
      </c>
      <c r="W4832">
        <v>-0.1010906</v>
      </c>
      <c r="X4832">
        <v>0.99483730000000004</v>
      </c>
      <c r="Y4832">
        <v>-1.3550649999999999E-2</v>
      </c>
      <c r="Z4832">
        <v>3.5644839999999997E-2</v>
      </c>
      <c r="AA4832">
        <v>0.99927259999999996</v>
      </c>
      <c r="AB4832">
        <v>21</v>
      </c>
      <c r="AC4832">
        <v>7.4300000000050603E-2</v>
      </c>
      <c r="AD4832">
        <v>-1.1209641305519999</v>
      </c>
      <c r="AE4832">
        <v>-23.621420000000001</v>
      </c>
      <c r="AF4832">
        <v>-0.32157171590215999</v>
      </c>
      <c r="AG4832">
        <v>-1.1209641305519999</v>
      </c>
      <c r="AH4832">
        <v>23.566266943532501</v>
      </c>
      <c r="AI4832">
        <v>92.723052209146402</v>
      </c>
      <c r="AJ4832">
        <v>90.781776713244099</v>
      </c>
      <c r="AK4832">
        <v>23.595103445509299</v>
      </c>
      <c r="AL4832">
        <v>95.801975923381804</v>
      </c>
      <c r="AM4832">
        <v>90.512855184785195</v>
      </c>
      <c r="AN4832">
        <v>0.99999993129071296</v>
      </c>
    </row>
    <row r="4833" spans="1:40" x14ac:dyDescent="0.25">
      <c r="A4833" t="str">
        <f>"20190303154612772"</f>
        <v>20190303154612772</v>
      </c>
      <c r="B4833" t="str">
        <f>"1551599172766171"</f>
        <v>1551599172766171</v>
      </c>
      <c r="C4833" t="s">
        <v>40</v>
      </c>
      <c r="D4833">
        <v>5.4545159999999999</v>
      </c>
      <c r="E4833">
        <v>0.49973770000000001</v>
      </c>
      <c r="F4833" t="s">
        <v>41</v>
      </c>
      <c r="G4833">
        <v>-421.38529999999997</v>
      </c>
      <c r="H4833" s="1">
        <v>-2.0482839999999999E-6</v>
      </c>
      <c r="I4833">
        <v>93.504499999999993</v>
      </c>
      <c r="J4833">
        <v>-421.46429999999998</v>
      </c>
      <c r="K4833">
        <v>1.1209229999999999</v>
      </c>
      <c r="L4833">
        <v>117.1108</v>
      </c>
      <c r="M4833">
        <v>-9.9017240000000006E-3</v>
      </c>
      <c r="N4833">
        <v>-1.130607E-2</v>
      </c>
      <c r="O4833">
        <v>-0.99988719999999998</v>
      </c>
      <c r="P4833">
        <v>-7.9628869999999897E-4</v>
      </c>
      <c r="Q4833">
        <v>-0.1115565</v>
      </c>
      <c r="R4833">
        <v>-0.99375780000000002</v>
      </c>
      <c r="S4833">
        <v>9.7961430000000002E-3</v>
      </c>
      <c r="T4833">
        <v>-0.14138000000000001</v>
      </c>
      <c r="U4833">
        <v>-3.0031430000000001</v>
      </c>
      <c r="V4833">
        <v>-8.99160699999999E-3</v>
      </c>
      <c r="W4833">
        <v>-0.10031909999999999</v>
      </c>
      <c r="X4833">
        <v>0.99491470000000004</v>
      </c>
      <c r="Y4833">
        <v>-1.315766E-2</v>
      </c>
      <c r="Z4833">
        <v>3.5722869999999997E-2</v>
      </c>
      <c r="AA4833">
        <v>0.99927509999999997</v>
      </c>
      <c r="AB4833">
        <v>21</v>
      </c>
      <c r="AC4833">
        <v>7.9000000000007703E-2</v>
      </c>
      <c r="AD4833">
        <v>-1.1209250482840001</v>
      </c>
      <c r="AE4833">
        <v>-23.606300000000001</v>
      </c>
      <c r="AF4833">
        <v>-0.31205051526592797</v>
      </c>
      <c r="AG4833">
        <v>-1.1209250482840001</v>
      </c>
      <c r="AH4833">
        <v>23.551258835575599</v>
      </c>
      <c r="AI4833">
        <v>92.724704481502002</v>
      </c>
      <c r="AJ4833">
        <v>90.759115743019805</v>
      </c>
      <c r="AK4833">
        <v>23.579983910686298</v>
      </c>
      <c r="AL4833">
        <v>95.757545873942504</v>
      </c>
      <c r="AM4833">
        <v>90.517800276320898</v>
      </c>
      <c r="AN4833">
        <v>1.0000000155486699</v>
      </c>
    </row>
    <row r="4834" spans="1:40" x14ac:dyDescent="0.25">
      <c r="A4834" t="str">
        <f>"20190303154612793"</f>
        <v>20190303154612793</v>
      </c>
      <c r="B4834" t="str">
        <f>"1551599172785691"</f>
        <v>1551599172785691</v>
      </c>
      <c r="C4834" t="s">
        <v>40</v>
      </c>
      <c r="D4834">
        <v>5.3653969999999997</v>
      </c>
      <c r="E4834">
        <v>0.50230620000000004</v>
      </c>
      <c r="F4834" t="s">
        <v>41</v>
      </c>
      <c r="G4834">
        <v>-421.46260000000001</v>
      </c>
      <c r="H4834" s="1">
        <v>-2.2003220000000001E-6</v>
      </c>
      <c r="I4834">
        <v>103.42310000000001</v>
      </c>
      <c r="J4834">
        <v>-421.46559999999999</v>
      </c>
      <c r="K4834">
        <v>1.120879</v>
      </c>
      <c r="L4834">
        <v>116.91079999999999</v>
      </c>
      <c r="M4834">
        <v>-9.4097959999999998E-3</v>
      </c>
      <c r="N4834">
        <v>-1.1265809999999999E-2</v>
      </c>
      <c r="O4834">
        <v>-0.99989240000000001</v>
      </c>
      <c r="P4834">
        <v>-4.9141210000000002E-4</v>
      </c>
      <c r="Q4834">
        <v>-0.1106172</v>
      </c>
      <c r="R4834">
        <v>-0.99386319999999995</v>
      </c>
      <c r="S4834">
        <v>3.6621089999999999E-4</v>
      </c>
      <c r="T4834">
        <v>-0.24496979999999999</v>
      </c>
      <c r="U4834">
        <v>-2.9913639999999999</v>
      </c>
      <c r="V4834">
        <v>-8.8192489999999995E-3</v>
      </c>
      <c r="W4834">
        <v>-9.9417690000000003E-2</v>
      </c>
      <c r="X4834">
        <v>0.99500670000000002</v>
      </c>
      <c r="Y4834">
        <v>-9.5275120000000001E-3</v>
      </c>
      <c r="Z4834">
        <v>7.0378490000000002E-2</v>
      </c>
      <c r="AA4834">
        <v>0.99747479999999999</v>
      </c>
      <c r="AB4834">
        <v>21</v>
      </c>
      <c r="AC4834">
        <v>2.9999999999858998E-3</v>
      </c>
      <c r="AD4834">
        <v>-1.1208812003219999</v>
      </c>
      <c r="AE4834">
        <v>-13.487699999999901</v>
      </c>
      <c r="AF4834">
        <v>-0.12903327184855901</v>
      </c>
      <c r="AG4834">
        <v>-1.1208812003219999</v>
      </c>
      <c r="AH4834">
        <v>13.394568089482</v>
      </c>
      <c r="AI4834">
        <v>94.783246624902901</v>
      </c>
      <c r="AJ4834">
        <v>90.551927704277503</v>
      </c>
      <c r="AK4834">
        <v>13.442004261056001</v>
      </c>
      <c r="AL4834">
        <v>95.705639505573004</v>
      </c>
      <c r="AM4834">
        <v>90.507828253045204</v>
      </c>
      <c r="AN4834">
        <v>0.99999999464137501</v>
      </c>
    </row>
    <row r="4835" spans="1:40" x14ac:dyDescent="0.25">
      <c r="A4835" t="str">
        <f>"20190303154612816"</f>
        <v>20190303154612816</v>
      </c>
      <c r="B4835" t="str">
        <f>"1551599172806187"</f>
        <v>1551599172806187</v>
      </c>
      <c r="C4835" t="s">
        <v>40</v>
      </c>
      <c r="D4835">
        <v>5.364668</v>
      </c>
      <c r="E4835">
        <v>0.50402519999999995</v>
      </c>
      <c r="F4835" t="s">
        <v>41</v>
      </c>
      <c r="G4835">
        <v>-421.56380000000001</v>
      </c>
      <c r="H4835" s="1">
        <v>-1.1603660000000001E-6</v>
      </c>
      <c r="I4835">
        <v>101.1661</v>
      </c>
      <c r="J4835">
        <v>-421.46710000000002</v>
      </c>
      <c r="K4835">
        <v>1.1208340000000001</v>
      </c>
      <c r="L4835">
        <v>116.6962</v>
      </c>
      <c r="M4835">
        <v>-8.9683190000000006E-3</v>
      </c>
      <c r="N4835">
        <v>-1.1218550000000001E-2</v>
      </c>
      <c r="O4835">
        <v>-0.99989680000000003</v>
      </c>
      <c r="P4835">
        <v>-6.524476E-4</v>
      </c>
      <c r="Q4835">
        <v>-0.1106811</v>
      </c>
      <c r="R4835">
        <v>-0.99385590000000001</v>
      </c>
      <c r="S4835">
        <v>-1.8676760000000001E-2</v>
      </c>
      <c r="T4835">
        <v>-0.21320149999999999</v>
      </c>
      <c r="U4835">
        <v>-2.9947810000000001</v>
      </c>
      <c r="V4835">
        <v>-8.2308309999999992E-3</v>
      </c>
      <c r="W4835">
        <v>-9.952743E-2</v>
      </c>
      <c r="X4835">
        <v>0.99500080000000002</v>
      </c>
      <c r="Y4835">
        <v>-2.7425510000000002E-3</v>
      </c>
      <c r="Z4835">
        <v>5.981181E-2</v>
      </c>
      <c r="AA4835">
        <v>0.99820589999999998</v>
      </c>
      <c r="AB4835">
        <v>21</v>
      </c>
      <c r="AC4835">
        <v>-9.6699999999998398E-2</v>
      </c>
      <c r="AD4835">
        <v>-1.1208351603659901</v>
      </c>
      <c r="AE4835">
        <v>-15.530099999999999</v>
      </c>
      <c r="AF4835">
        <v>-4.2370861395385602E-2</v>
      </c>
      <c r="AG4835">
        <v>-1.1208351603659901</v>
      </c>
      <c r="AH4835">
        <v>15.4498709823037</v>
      </c>
      <c r="AI4835">
        <v>94.149327630802205</v>
      </c>
      <c r="AJ4835">
        <v>90.157131761734107</v>
      </c>
      <c r="AK4835">
        <v>15.490531950725201</v>
      </c>
      <c r="AL4835">
        <v>95.711958316687003</v>
      </c>
      <c r="AM4835">
        <v>90.4739504950807</v>
      </c>
      <c r="AN4835">
        <v>1.0000000239509901</v>
      </c>
    </row>
    <row r="4836" spans="1:40" x14ac:dyDescent="0.25">
      <c r="A4836" t="str">
        <f>"20190303154612839"</f>
        <v>20190303154612839</v>
      </c>
      <c r="B4836" t="str">
        <f>"1551599172836443"</f>
        <v>1551599172836443</v>
      </c>
      <c r="C4836" t="s">
        <v>40</v>
      </c>
      <c r="D4836">
        <v>5.347054</v>
      </c>
      <c r="E4836">
        <v>0.50538879999999997</v>
      </c>
      <c r="F4836" t="s">
        <v>41</v>
      </c>
      <c r="G4836">
        <v>-421.65429999999998</v>
      </c>
      <c r="H4836" s="1">
        <v>-5.1634809999999897E-7</v>
      </c>
      <c r="I4836">
        <v>99.752780000000001</v>
      </c>
      <c r="J4836">
        <v>-421.46850000000001</v>
      </c>
      <c r="K4836">
        <v>1.120789</v>
      </c>
      <c r="L4836">
        <v>116.48869999999999</v>
      </c>
      <c r="M4836">
        <v>-8.6153080000000003E-3</v>
      </c>
      <c r="N4836">
        <v>-1.1165059999999999E-2</v>
      </c>
      <c r="O4836">
        <v>-0.99990060000000003</v>
      </c>
      <c r="P4836">
        <v>-1.5510260000000001E-3</v>
      </c>
      <c r="Q4836">
        <v>-0.11018650000000001</v>
      </c>
      <c r="R4836">
        <v>-0.99390999999999996</v>
      </c>
      <c r="S4836">
        <v>-3.311157E-2</v>
      </c>
      <c r="T4836">
        <v>-0.19822039999999999</v>
      </c>
      <c r="U4836">
        <v>-2.9964599999999999</v>
      </c>
      <c r="V4836">
        <v>-6.9923379999999999E-3</v>
      </c>
      <c r="W4836">
        <v>-9.9084240000000004E-2</v>
      </c>
      <c r="X4836">
        <v>0.99505449999999995</v>
      </c>
      <c r="Y4836">
        <v>2.4161400000000002E-3</v>
      </c>
      <c r="Z4836">
        <v>5.485719E-2</v>
      </c>
      <c r="AA4836">
        <v>0.99849129999999997</v>
      </c>
      <c r="AB4836">
        <v>21</v>
      </c>
      <c r="AC4836">
        <v>-0.18579999999997199</v>
      </c>
      <c r="AD4836">
        <v>-1.1207895163481001</v>
      </c>
      <c r="AE4836">
        <v>-16.735919999999901</v>
      </c>
      <c r="AF4836">
        <v>4.1413307005995798E-2</v>
      </c>
      <c r="AG4836">
        <v>-1.1207895163481001</v>
      </c>
      <c r="AH4836">
        <v>16.662181286185199</v>
      </c>
      <c r="AI4836">
        <v>93.848218925174905</v>
      </c>
      <c r="AJ4836">
        <v>89.857593505895593</v>
      </c>
      <c r="AK4836">
        <v>16.6998853114521</v>
      </c>
      <c r="AL4836">
        <v>95.686439288829206</v>
      </c>
      <c r="AM4836">
        <v>90.402615999556204</v>
      </c>
      <c r="AN4836">
        <v>1.00000001868866</v>
      </c>
    </row>
    <row r="4837" spans="1:40" x14ac:dyDescent="0.25">
      <c r="A4837" t="str">
        <f>"20190303154612860"</f>
        <v>20190303154612860</v>
      </c>
      <c r="B4837" t="str">
        <f>"1551599172855963"</f>
        <v>1551599172855963</v>
      </c>
      <c r="C4837" t="s">
        <v>40</v>
      </c>
      <c r="D4837">
        <v>5.4760150000000003</v>
      </c>
      <c r="E4837">
        <v>0.51979249999999999</v>
      </c>
      <c r="F4837" t="s">
        <v>41</v>
      </c>
      <c r="G4837">
        <v>-421.7441</v>
      </c>
      <c r="H4837" s="1">
        <v>-4.341097E-6</v>
      </c>
      <c r="I4837">
        <v>98.834199999999996</v>
      </c>
      <c r="J4837">
        <v>-421.4699</v>
      </c>
      <c r="K4837">
        <v>1.1207549999999999</v>
      </c>
      <c r="L4837">
        <v>116.2882</v>
      </c>
      <c r="M4837">
        <v>-8.3331289999999999E-3</v>
      </c>
      <c r="N4837">
        <v>-1.1106929999999999E-2</v>
      </c>
      <c r="O4837">
        <v>-0.99990389999999996</v>
      </c>
      <c r="P4837">
        <v>-2.0827440000000001E-3</v>
      </c>
      <c r="Q4837">
        <v>-0.1073958</v>
      </c>
      <c r="R4837">
        <v>-0.99421440000000005</v>
      </c>
      <c r="S4837">
        <v>-4.6783449999999997E-2</v>
      </c>
      <c r="T4837">
        <v>-0.19027720000000001</v>
      </c>
      <c r="U4837">
        <v>-2.9972080000000001</v>
      </c>
      <c r="V4837">
        <v>-6.191663E-3</v>
      </c>
      <c r="W4837">
        <v>-9.6347379999999996E-2</v>
      </c>
      <c r="X4837">
        <v>0.99532849999999995</v>
      </c>
      <c r="Y4837">
        <v>7.2496050000000001E-3</v>
      </c>
      <c r="Z4837">
        <v>5.2261519999999999E-2</v>
      </c>
      <c r="AA4837">
        <v>0.99860709999999997</v>
      </c>
      <c r="AB4837">
        <v>21</v>
      </c>
      <c r="AC4837">
        <v>-0.27420000000000699</v>
      </c>
      <c r="AD4837">
        <v>-1.120759341097</v>
      </c>
      <c r="AE4837">
        <v>-17.454000000000001</v>
      </c>
      <c r="AF4837">
        <v>0.12820662555513801</v>
      </c>
      <c r="AG4837">
        <v>-1.120759341097</v>
      </c>
      <c r="AH4837">
        <v>17.384018822302298</v>
      </c>
      <c r="AI4837">
        <v>93.688692129582606</v>
      </c>
      <c r="AJ4837">
        <v>89.577452978429406</v>
      </c>
      <c r="AK4837">
        <v>17.420581185874799</v>
      </c>
      <c r="AL4837">
        <v>95.528874832894402</v>
      </c>
      <c r="AM4837">
        <v>90.356416582190704</v>
      </c>
      <c r="AN4837">
        <v>0.99999998861790895</v>
      </c>
    </row>
    <row r="4838" spans="1:40" x14ac:dyDescent="0.25">
      <c r="A4838" t="str">
        <f>"20190303154612885"</f>
        <v>20190303154612885</v>
      </c>
      <c r="B4838" t="str">
        <f>"1551599172876459"</f>
        <v>1551599172876459</v>
      </c>
      <c r="C4838" t="s">
        <v>40</v>
      </c>
      <c r="D4838">
        <v>5.430212</v>
      </c>
      <c r="E4838">
        <v>0.51887759999999905</v>
      </c>
      <c r="F4838" t="s">
        <v>41</v>
      </c>
      <c r="G4838">
        <v>-422.39139999999998</v>
      </c>
      <c r="H4838" s="1">
        <v>-4.635182E-6</v>
      </c>
      <c r="I4838">
        <v>99.360960000000006</v>
      </c>
      <c r="J4838">
        <v>-421.47129999999999</v>
      </c>
      <c r="K4838">
        <v>1.120733</v>
      </c>
      <c r="L4838">
        <v>116.07429999999999</v>
      </c>
      <c r="M4838">
        <v>-8.0893019999999996E-3</v>
      </c>
      <c r="N4838">
        <v>-1.104553E-2</v>
      </c>
      <c r="O4838">
        <v>-0.99990650000000003</v>
      </c>
      <c r="P4838">
        <v>-2.696497E-3</v>
      </c>
      <c r="Q4838">
        <v>-0.10434789999999999</v>
      </c>
      <c r="R4838">
        <v>-0.99453760000000002</v>
      </c>
      <c r="S4838">
        <v>-0.16308590000000001</v>
      </c>
      <c r="T4838">
        <v>-0.19834779999999999</v>
      </c>
      <c r="U4838">
        <v>-2.9957120000000002</v>
      </c>
      <c r="V4838">
        <v>-5.3441139999999996E-3</v>
      </c>
      <c r="W4838">
        <v>-9.3356709999999996E-2</v>
      </c>
      <c r="X4838">
        <v>0.99561840000000001</v>
      </c>
      <c r="Y4838">
        <v>4.6177860000000001E-2</v>
      </c>
      <c r="Z4838">
        <v>5.4955789999999997E-2</v>
      </c>
      <c r="AA4838">
        <v>0.99742039999999998</v>
      </c>
      <c r="AB4838">
        <v>21</v>
      </c>
      <c r="AC4838">
        <v>-0.92009999999999004</v>
      </c>
      <c r="AD4838">
        <v>-1.120737635182</v>
      </c>
      <c r="AE4838">
        <v>-16.713339999999999</v>
      </c>
      <c r="AF4838">
        <v>0.78135959660584497</v>
      </c>
      <c r="AG4838">
        <v>-1.120737635182</v>
      </c>
      <c r="AH4838">
        <v>16.6456144866291</v>
      </c>
      <c r="AI4838">
        <v>93.847647526088494</v>
      </c>
      <c r="AJ4838">
        <v>87.312459153481399</v>
      </c>
      <c r="AK4838">
        <v>16.701588466478199</v>
      </c>
      <c r="AL4838">
        <v>95.356745781644406</v>
      </c>
      <c r="AM4838">
        <v>90.307539753023804</v>
      </c>
      <c r="AN4838">
        <v>1.00000001663751</v>
      </c>
    </row>
    <row r="4839" spans="1:40" x14ac:dyDescent="0.25">
      <c r="A4839" t="str">
        <f>"20190303154612905"</f>
        <v>20190303154612905</v>
      </c>
      <c r="B4839" t="str">
        <f>"1551599172895979"</f>
        <v>1551599172895979</v>
      </c>
      <c r="C4839" t="s">
        <v>40</v>
      </c>
      <c r="D4839">
        <v>5.4348190000000001</v>
      </c>
      <c r="E4839">
        <v>0.51847790000000005</v>
      </c>
      <c r="F4839" t="s">
        <v>41</v>
      </c>
      <c r="G4839">
        <v>-422.27719999999999</v>
      </c>
      <c r="H4839" s="1">
        <v>-1.187711E-6</v>
      </c>
      <c r="I4839">
        <v>100.8224</v>
      </c>
      <c r="J4839">
        <v>-421.47269999999997</v>
      </c>
      <c r="K4839">
        <v>1.120727</v>
      </c>
      <c r="L4839">
        <v>115.8817</v>
      </c>
      <c r="M4839">
        <v>-7.9030430000000002E-3</v>
      </c>
      <c r="N4839">
        <v>-1.099544E-2</v>
      </c>
      <c r="O4839">
        <v>-0.99990840000000003</v>
      </c>
      <c r="P4839">
        <v>-3.7250479999999999E-3</v>
      </c>
      <c r="Q4839">
        <v>-0.1023627</v>
      </c>
      <c r="R4839">
        <v>-0.99474019999999996</v>
      </c>
      <c r="S4839">
        <v>-0.15814210000000001</v>
      </c>
      <c r="T4839">
        <v>-0.21992919999999999</v>
      </c>
      <c r="U4839">
        <v>-2.9929809999999999</v>
      </c>
      <c r="V4839">
        <v>-4.1337750000000001E-3</v>
      </c>
      <c r="W4839">
        <v>-9.141908E-2</v>
      </c>
      <c r="X4839">
        <v>0.99580400000000002</v>
      </c>
      <c r="Y4839">
        <v>4.4746880000000003E-2</v>
      </c>
      <c r="Z4839">
        <v>6.2225160000000002E-2</v>
      </c>
      <c r="AA4839">
        <v>0.99705860000000002</v>
      </c>
      <c r="AB4839">
        <v>21</v>
      </c>
      <c r="AC4839">
        <v>-0.80450000000001798</v>
      </c>
      <c r="AD4839">
        <v>-1.120728187711</v>
      </c>
      <c r="AE4839">
        <v>-15.059299999999901</v>
      </c>
      <c r="AF4839">
        <v>0.68168861411417703</v>
      </c>
      <c r="AG4839">
        <v>-1.120728187711</v>
      </c>
      <c r="AH4839">
        <v>14.982444126156199</v>
      </c>
      <c r="AI4839">
        <v>94.273510652796105</v>
      </c>
      <c r="AJ4839">
        <v>87.394886880025595</v>
      </c>
      <c r="AK4839">
        <v>15.0397594073421</v>
      </c>
      <c r="AL4839">
        <v>95.245250603157302</v>
      </c>
      <c r="AM4839">
        <v>90.237844495989705</v>
      </c>
      <c r="AN4839">
        <v>1.00000007134989</v>
      </c>
    </row>
    <row r="4840" spans="1:40" x14ac:dyDescent="0.25">
      <c r="A4840" t="str">
        <f>"20190303154612928"</f>
        <v>20190303154612928</v>
      </c>
      <c r="B4840" t="str">
        <f>"1551599172916475"</f>
        <v>1551599172916475</v>
      </c>
      <c r="C4840" t="s">
        <v>40</v>
      </c>
      <c r="D4840">
        <v>5.4365920000000001</v>
      </c>
      <c r="E4840">
        <v>0.51892519999999998</v>
      </c>
      <c r="F4840" t="s">
        <v>41</v>
      </c>
      <c r="G4840">
        <v>-422.29149999999998</v>
      </c>
      <c r="H4840" s="1">
        <v>-9.8548639999999993E-7</v>
      </c>
      <c r="I4840">
        <v>100.3865</v>
      </c>
      <c r="J4840">
        <v>-421.47410000000002</v>
      </c>
      <c r="K4840">
        <v>1.12073</v>
      </c>
      <c r="L4840">
        <v>115.6687</v>
      </c>
      <c r="M4840">
        <v>-7.71995699999999E-3</v>
      </c>
      <c r="N4840">
        <v>-1.094589E-2</v>
      </c>
      <c r="O4840">
        <v>-0.99991039999999998</v>
      </c>
      <c r="P4840">
        <v>-5.1192049999999999E-3</v>
      </c>
      <c r="Q4840">
        <v>-0.1009404</v>
      </c>
      <c r="R4840">
        <v>-0.99487950000000003</v>
      </c>
      <c r="S4840">
        <v>-0.1581726</v>
      </c>
      <c r="T4840">
        <v>-0.21647620000000001</v>
      </c>
      <c r="U4840">
        <v>-2.9929960000000002</v>
      </c>
      <c r="V4840">
        <v>-2.5585849999999999E-3</v>
      </c>
      <c r="W4840">
        <v>-9.0044490000000005E-2</v>
      </c>
      <c r="X4840">
        <v>0.99593449999999994</v>
      </c>
      <c r="Y4840">
        <v>4.4943539999999997E-2</v>
      </c>
      <c r="Z4840">
        <v>6.1129990000000002E-2</v>
      </c>
      <c r="AA4840">
        <v>0.99711749999999999</v>
      </c>
      <c r="AB4840">
        <v>21</v>
      </c>
      <c r="AC4840">
        <v>-0.81739999999996305</v>
      </c>
      <c r="AD4840">
        <v>-1.1207309854863901</v>
      </c>
      <c r="AE4840">
        <v>-15.2822</v>
      </c>
      <c r="AF4840">
        <v>0.69565998257154205</v>
      </c>
      <c r="AG4840">
        <v>-1.1207309854863901</v>
      </c>
      <c r="AH4840">
        <v>15.206506007514699</v>
      </c>
      <c r="AI4840">
        <v>94.210733356026495</v>
      </c>
      <c r="AJ4840">
        <v>87.380686257685994</v>
      </c>
      <c r="AK4840">
        <v>15.2636105070118</v>
      </c>
      <c r="AL4840">
        <v>95.166166352488204</v>
      </c>
      <c r="AM4840">
        <v>90.147194217611201</v>
      </c>
      <c r="AN4840">
        <v>1.0000000424133999</v>
      </c>
    </row>
    <row r="4841" spans="1:40" x14ac:dyDescent="0.25">
      <c r="A4841" t="str">
        <f>"20190303154612949"</f>
        <v>20190303154612949</v>
      </c>
      <c r="B4841" t="str">
        <f>"1551599172945758"</f>
        <v>1551599172945758</v>
      </c>
      <c r="C4841" t="s">
        <v>40</v>
      </c>
      <c r="D4841">
        <v>5.3974900000000003</v>
      </c>
      <c r="E4841">
        <v>0.51902190000000004</v>
      </c>
      <c r="F4841" t="s">
        <v>41</v>
      </c>
      <c r="G4841">
        <v>-422.3494</v>
      </c>
      <c r="H4841" s="1">
        <v>-7.600126E-7</v>
      </c>
      <c r="I4841">
        <v>99.877009999999999</v>
      </c>
      <c r="J4841">
        <v>-421.47550000000001</v>
      </c>
      <c r="K4841">
        <v>1.120736</v>
      </c>
      <c r="L4841">
        <v>115.4669</v>
      </c>
      <c r="M4841">
        <v>-7.556526E-3</v>
      </c>
      <c r="N4841">
        <v>-1.0902810000000001E-2</v>
      </c>
      <c r="O4841">
        <v>-0.99991200000000002</v>
      </c>
      <c r="P4841">
        <v>-6.16447E-3</v>
      </c>
      <c r="Q4841">
        <v>-0.1003897</v>
      </c>
      <c r="R4841">
        <v>-0.99492910000000001</v>
      </c>
      <c r="S4841">
        <v>-0.1658936</v>
      </c>
      <c r="T4841">
        <v>-0.21241450000000001</v>
      </c>
      <c r="U4841">
        <v>-2.993042</v>
      </c>
      <c r="V4841">
        <v>-1.349079E-3</v>
      </c>
      <c r="W4841">
        <v>-8.9536089999999999E-2</v>
      </c>
      <c r="X4841">
        <v>0.99598260000000005</v>
      </c>
      <c r="Y4841">
        <v>4.7674139999999997E-2</v>
      </c>
      <c r="Z4841">
        <v>5.9816729999999999E-2</v>
      </c>
      <c r="AA4841">
        <v>0.99707029999999996</v>
      </c>
      <c r="AB4841">
        <v>21</v>
      </c>
      <c r="AC4841">
        <v>-0.87389999999999102</v>
      </c>
      <c r="AD4841">
        <v>-1.1207367600125999</v>
      </c>
      <c r="AE4841">
        <v>-15.589889999999899</v>
      </c>
      <c r="AF4841">
        <v>0.75218751728824496</v>
      </c>
      <c r="AG4841">
        <v>-1.1207367600125999</v>
      </c>
      <c r="AH4841">
        <v>15.516113039309801</v>
      </c>
      <c r="AI4841">
        <v>94.126499402432103</v>
      </c>
      <c r="AJ4841">
        <v>87.2245976379468</v>
      </c>
      <c r="AK4841">
        <v>15.574710295701999</v>
      </c>
      <c r="AL4841">
        <v>95.136919591122705</v>
      </c>
      <c r="AM4841">
        <v>90.077608269117405</v>
      </c>
      <c r="AN4841">
        <v>0.99999993546469601</v>
      </c>
    </row>
    <row r="4842" spans="1:40" x14ac:dyDescent="0.25">
      <c r="A4842" t="str">
        <f>"20190303154612972"</f>
        <v>20190303154612972</v>
      </c>
      <c r="B4842" t="str">
        <f>"1551599172966254"</f>
        <v>1551599172966254</v>
      </c>
      <c r="C4842" t="s">
        <v>40</v>
      </c>
      <c r="D4842">
        <v>5.4661249999999999</v>
      </c>
      <c r="E4842">
        <v>0.51931899999999998</v>
      </c>
      <c r="F4842" t="s">
        <v>41</v>
      </c>
      <c r="G4842">
        <v>-422.36500000000001</v>
      </c>
      <c r="H4842" s="1">
        <v>-7.05183E-7</v>
      </c>
      <c r="I4842">
        <v>99.752219999999994</v>
      </c>
      <c r="J4842">
        <v>-421.4769</v>
      </c>
      <c r="K4842">
        <v>1.1207480000000001</v>
      </c>
      <c r="L4842">
        <v>115.2597</v>
      </c>
      <c r="M4842">
        <v>-7.3906019999999996E-3</v>
      </c>
      <c r="N4842">
        <v>-1.086233E-2</v>
      </c>
      <c r="O4842">
        <v>-0.99991390000000002</v>
      </c>
      <c r="P4842">
        <v>-7.0860109999999997E-3</v>
      </c>
      <c r="Q4842">
        <v>-9.9635050000000003E-2</v>
      </c>
      <c r="R4842">
        <v>-0.99499910000000003</v>
      </c>
      <c r="S4842">
        <v>-0.1694031</v>
      </c>
      <c r="T4842">
        <v>-0.21343309999999999</v>
      </c>
      <c r="U4842">
        <v>-2.9927060000000001</v>
      </c>
      <c r="V4842">
        <v>-2.6057469999999998E-4</v>
      </c>
      <c r="W4842">
        <v>-8.8820930000000006E-2</v>
      </c>
      <c r="X4842">
        <v>0.99604760000000003</v>
      </c>
      <c r="Y4842">
        <v>4.9009730000000001E-2</v>
      </c>
      <c r="Z4842">
        <v>6.0198120000000001E-2</v>
      </c>
      <c r="AA4842">
        <v>0.99698260000000005</v>
      </c>
      <c r="AB4842">
        <v>21</v>
      </c>
      <c r="AC4842">
        <v>-0.88810000000000799</v>
      </c>
      <c r="AD4842">
        <v>-1.1207487051829901</v>
      </c>
      <c r="AE4842">
        <v>-15.507479999999999</v>
      </c>
      <c r="AF4842">
        <v>0.76945354436719204</v>
      </c>
      <c r="AG4842">
        <v>-1.1207487051829901</v>
      </c>
      <c r="AH4842">
        <v>15.433273339184099</v>
      </c>
      <c r="AI4842">
        <v>94.148336143199899</v>
      </c>
      <c r="AJ4842">
        <v>87.145779415475104</v>
      </c>
      <c r="AK4842">
        <v>15.4930327043829</v>
      </c>
      <c r="AL4842">
        <v>95.0957795741013</v>
      </c>
      <c r="AM4842">
        <v>90.014989073029497</v>
      </c>
      <c r="AN4842">
        <v>1.00000002348549</v>
      </c>
    </row>
    <row r="4843" spans="1:40" x14ac:dyDescent="0.25">
      <c r="A4843" t="str">
        <f>"20190303154612994"</f>
        <v>20190303154612994</v>
      </c>
      <c r="B4843" t="str">
        <f>"1551599172985774"</f>
        <v>1551599172985774</v>
      </c>
      <c r="C4843" t="s">
        <v>40</v>
      </c>
      <c r="D4843">
        <v>5.4559389999999999</v>
      </c>
      <c r="E4843">
        <v>0.51961359999999901</v>
      </c>
      <c r="F4843" t="s">
        <v>41</v>
      </c>
      <c r="G4843">
        <v>-422.39510000000001</v>
      </c>
      <c r="H4843" s="1">
        <v>-4.6986509999999997E-6</v>
      </c>
      <c r="I4843">
        <v>99.545519999999996</v>
      </c>
      <c r="J4843">
        <v>-421.47820000000002</v>
      </c>
      <c r="K4843">
        <v>1.1207510000000001</v>
      </c>
      <c r="L4843">
        <v>115.05589999999999</v>
      </c>
      <c r="M4843">
        <v>-7.2266580000000004E-3</v>
      </c>
      <c r="N4843">
        <v>-1.082382E-2</v>
      </c>
      <c r="O4843">
        <v>-0.99991560000000002</v>
      </c>
      <c r="P4843">
        <v>-8.3016369999999902E-3</v>
      </c>
      <c r="Q4843">
        <v>-9.7705479999999997E-2</v>
      </c>
      <c r="R4843">
        <v>-0.99518110000000004</v>
      </c>
      <c r="S4843">
        <v>-0.17486570000000001</v>
      </c>
      <c r="T4843">
        <v>-0.21342539999999999</v>
      </c>
      <c r="U4843">
        <v>-2.9924620000000002</v>
      </c>
      <c r="V4843">
        <v>1.1184630000000001E-3</v>
      </c>
      <c r="W4843">
        <v>-8.6927619999999997E-2</v>
      </c>
      <c r="X4843">
        <v>0.99621400000000004</v>
      </c>
      <c r="Y4843">
        <v>5.0991050000000003E-2</v>
      </c>
      <c r="Z4843">
        <v>6.0232670000000002E-2</v>
      </c>
      <c r="AA4843">
        <v>0.99688109999999996</v>
      </c>
      <c r="AB4843">
        <v>21</v>
      </c>
      <c r="AC4843">
        <v>-0.91689999999999805</v>
      </c>
      <c r="AD4843">
        <v>-1.1207556986509899</v>
      </c>
      <c r="AE4843">
        <v>-15.5103799999999</v>
      </c>
      <c r="AF4843">
        <v>0.80061562786691598</v>
      </c>
      <c r="AG4843">
        <v>-1.1207556986509899</v>
      </c>
      <c r="AH4843">
        <v>15.4362849444533</v>
      </c>
      <c r="AI4843">
        <v>94.147134207005394</v>
      </c>
      <c r="AJ4843">
        <v>87.030967610210993</v>
      </c>
      <c r="AK4843">
        <v>15.497611803307</v>
      </c>
      <c r="AL4843">
        <v>94.986879743899095</v>
      </c>
      <c r="AM4843">
        <v>89.935673276508595</v>
      </c>
      <c r="AN4843">
        <v>0.99999999793717298</v>
      </c>
    </row>
    <row r="4844" spans="1:40" x14ac:dyDescent="0.25">
      <c r="A4844" t="str">
        <f>"20190303154613017"</f>
        <v>20190303154613017</v>
      </c>
      <c r="B4844" t="str">
        <f>"1551599173006270"</f>
        <v>1551599173006270</v>
      </c>
      <c r="C4844" t="s">
        <v>40</v>
      </c>
      <c r="D4844">
        <v>5.4093830000000001</v>
      </c>
      <c r="E4844">
        <v>0.51963800000000004</v>
      </c>
      <c r="F4844" t="s">
        <v>41</v>
      </c>
      <c r="G4844">
        <v>-422.45359999999999</v>
      </c>
      <c r="H4844" s="1">
        <v>-4.485084E-6</v>
      </c>
      <c r="I4844">
        <v>98.887460000000004</v>
      </c>
      <c r="J4844">
        <v>-421.47949999999997</v>
      </c>
      <c r="K4844">
        <v>1.1207560000000001</v>
      </c>
      <c r="L4844">
        <v>114.846</v>
      </c>
      <c r="M4844">
        <v>-7.0604090000000001E-3</v>
      </c>
      <c r="N4844">
        <v>-1.07832E-2</v>
      </c>
      <c r="O4844">
        <v>-0.99991699999999994</v>
      </c>
      <c r="P4844">
        <v>-9.2293440000000004E-3</v>
      </c>
      <c r="Q4844">
        <v>-9.4310190000000002E-2</v>
      </c>
      <c r="R4844">
        <v>-0.9955001</v>
      </c>
      <c r="S4844">
        <v>-0.18054200000000001</v>
      </c>
      <c r="T4844">
        <v>-0.20744290000000001</v>
      </c>
      <c r="U4844">
        <v>-2.992645</v>
      </c>
      <c r="V4844">
        <v>2.209702E-3</v>
      </c>
      <c r="W4844">
        <v>-8.3569329999999997E-2</v>
      </c>
      <c r="X4844">
        <v>0.99649949999999998</v>
      </c>
      <c r="Y4844">
        <v>5.3044349999999997E-2</v>
      </c>
      <c r="Z4844">
        <v>5.8278770000000001E-2</v>
      </c>
      <c r="AA4844">
        <v>0.9968901</v>
      </c>
      <c r="AB4844">
        <v>21</v>
      </c>
      <c r="AC4844">
        <v>-0.97410000000002095</v>
      </c>
      <c r="AD4844">
        <v>-1.1207604850839901</v>
      </c>
      <c r="AE4844">
        <v>-15.958539999999999</v>
      </c>
      <c r="AF4844">
        <v>0.85718326206528195</v>
      </c>
      <c r="AG4844">
        <v>-1.1207604850839901</v>
      </c>
      <c r="AH4844">
        <v>15.8869536068807</v>
      </c>
      <c r="AI4844">
        <v>94.029459165036698</v>
      </c>
      <c r="AJ4844">
        <v>86.911591178254497</v>
      </c>
      <c r="AK4844">
        <v>15.949487832431201</v>
      </c>
      <c r="AL4844">
        <v>94.793760864663</v>
      </c>
      <c r="AM4844">
        <v>89.872948866439103</v>
      </c>
      <c r="AN4844">
        <v>0.99999998459991302</v>
      </c>
    </row>
    <row r="4845" spans="1:40" x14ac:dyDescent="0.25">
      <c r="A4845" t="str">
        <f>"20190303154613040"</f>
        <v>20190303154613040</v>
      </c>
      <c r="B4845" t="str">
        <f>"1551599173036527"</f>
        <v>1551599173036527</v>
      </c>
      <c r="C4845" t="s">
        <v>40</v>
      </c>
      <c r="D4845">
        <v>5.4281519999999999</v>
      </c>
      <c r="E4845">
        <v>0.51962149999999996</v>
      </c>
      <c r="F4845" t="s">
        <v>41</v>
      </c>
      <c r="G4845">
        <v>-422.5213</v>
      </c>
      <c r="H4845" s="1">
        <v>-4.1556630000000003E-6</v>
      </c>
      <c r="I4845">
        <v>97.884159999999994</v>
      </c>
      <c r="J4845">
        <v>-421.48090000000002</v>
      </c>
      <c r="K4845">
        <v>1.1207579999999999</v>
      </c>
      <c r="L4845">
        <v>114.6284</v>
      </c>
      <c r="M4845">
        <v>-6.8993500000000003E-3</v>
      </c>
      <c r="N4845">
        <v>-1.074312E-2</v>
      </c>
      <c r="O4845">
        <v>-0.99991850000000004</v>
      </c>
      <c r="P4845">
        <v>-1.0534480000000001E-2</v>
      </c>
      <c r="Q4845">
        <v>-9.2605000000000007E-2</v>
      </c>
      <c r="R4845">
        <v>-0.99564710000000001</v>
      </c>
      <c r="S4845">
        <v>-0.1838379</v>
      </c>
      <c r="T4845">
        <v>-0.1977718</v>
      </c>
      <c r="U4845">
        <v>-2.9931179999999999</v>
      </c>
      <c r="V4845">
        <v>3.6730629999999998E-3</v>
      </c>
      <c r="W4845">
        <v>-8.1902399999999903E-2</v>
      </c>
      <c r="X4845">
        <v>0.99663360000000001</v>
      </c>
      <c r="Y4845">
        <v>5.4300950000000001E-2</v>
      </c>
      <c r="Z4845">
        <v>5.5097699999999999E-2</v>
      </c>
      <c r="AA4845">
        <v>0.99700330000000004</v>
      </c>
      <c r="AB4845">
        <v>21</v>
      </c>
      <c r="AC4845">
        <v>-1.04039999999997</v>
      </c>
      <c r="AD4845">
        <v>-1.1207621556630001</v>
      </c>
      <c r="AE4845">
        <v>-16.744240000000001</v>
      </c>
      <c r="AF4845">
        <v>0.92073499722522201</v>
      </c>
      <c r="AG4845">
        <v>-1.1207621556630001</v>
      </c>
      <c r="AH4845">
        <v>16.676593031024598</v>
      </c>
      <c r="AI4845">
        <v>93.838992388318601</v>
      </c>
      <c r="AJ4845">
        <v>86.839838693413</v>
      </c>
      <c r="AK4845">
        <v>16.739552439270899</v>
      </c>
      <c r="AL4845">
        <v>94.697924086740699</v>
      </c>
      <c r="AM4845">
        <v>89.788839092959194</v>
      </c>
      <c r="AN4845">
        <v>1.0000000135832601</v>
      </c>
    </row>
    <row r="4846" spans="1:40" x14ac:dyDescent="0.25">
      <c r="A4846" t="str">
        <f>"20190303154613062"</f>
        <v>20190303154613062</v>
      </c>
      <c r="B4846" t="str">
        <f>"1551599173056047"</f>
        <v>1551599173056047</v>
      </c>
      <c r="C4846" t="s">
        <v>40</v>
      </c>
      <c r="D4846">
        <v>5.4504900000000003</v>
      </c>
      <c r="E4846">
        <v>0.5197003</v>
      </c>
      <c r="F4846" t="s">
        <v>41</v>
      </c>
      <c r="G4846">
        <v>-422.55849999999998</v>
      </c>
      <c r="H4846" s="1">
        <v>-4.0179720000000004E-6</v>
      </c>
      <c r="I4846">
        <v>97.460139999999996</v>
      </c>
      <c r="J4846">
        <v>-421.4821</v>
      </c>
      <c r="K4846">
        <v>1.120741</v>
      </c>
      <c r="L4846">
        <v>114.4209</v>
      </c>
      <c r="M4846">
        <v>-6.7714539999999997E-3</v>
      </c>
      <c r="N4846">
        <v>-1.071009E-2</v>
      </c>
      <c r="O4846">
        <v>-0.99991989999999997</v>
      </c>
      <c r="P4846">
        <v>-1.1410979999999999E-2</v>
      </c>
      <c r="Q4846">
        <v>-9.2193689999999995E-2</v>
      </c>
      <c r="R4846">
        <v>-0.9956758</v>
      </c>
      <c r="S4846">
        <v>-0.18786620000000001</v>
      </c>
      <c r="T4846">
        <v>-0.195384</v>
      </c>
      <c r="U4846">
        <v>-2.992966</v>
      </c>
      <c r="V4846">
        <v>4.6740829999999999E-3</v>
      </c>
      <c r="W4846">
        <v>-8.1523719999999994E-2</v>
      </c>
      <c r="X4846">
        <v>0.99666049999999995</v>
      </c>
      <c r="Y4846">
        <v>5.5770779999999999E-2</v>
      </c>
      <c r="Z4846">
        <v>5.4336950000000002E-2</v>
      </c>
      <c r="AA4846">
        <v>0.99696399999999996</v>
      </c>
      <c r="AB4846">
        <v>21</v>
      </c>
      <c r="AC4846">
        <v>-1.07639999999997</v>
      </c>
      <c r="AD4846">
        <v>-1.120745017972</v>
      </c>
      <c r="AE4846">
        <v>-16.960760000000001</v>
      </c>
      <c r="AF4846">
        <v>0.95735631956653</v>
      </c>
      <c r="AG4846">
        <v>-1.120745017972</v>
      </c>
      <c r="AH4846">
        <v>16.894189527667201</v>
      </c>
      <c r="AI4846">
        <v>93.789326653902407</v>
      </c>
      <c r="AJ4846">
        <v>86.756643780069496</v>
      </c>
      <c r="AK4846">
        <v>16.9583678552703</v>
      </c>
      <c r="AL4846">
        <v>94.676154312724407</v>
      </c>
      <c r="AM4846">
        <v>89.731299408698405</v>
      </c>
      <c r="AN4846">
        <v>1.00000005811738</v>
      </c>
    </row>
    <row r="4847" spans="1:40" x14ac:dyDescent="0.25">
      <c r="A4847" t="str">
        <f>"20190303154613085"</f>
        <v>20190303154613085</v>
      </c>
      <c r="B4847" t="str">
        <f>"1551599173076542"</f>
        <v>1551599173076542</v>
      </c>
      <c r="C4847" t="s">
        <v>40</v>
      </c>
      <c r="D4847">
        <v>5.4225500000000002</v>
      </c>
      <c r="E4847">
        <v>0.5196385</v>
      </c>
      <c r="F4847" t="s">
        <v>41</v>
      </c>
      <c r="G4847">
        <v>-422.5702</v>
      </c>
      <c r="H4847" s="1">
        <v>-3.9851670000000001E-6</v>
      </c>
      <c r="I4847">
        <v>97.357669999999999</v>
      </c>
      <c r="J4847">
        <v>-421.48349999999999</v>
      </c>
      <c r="K4847">
        <v>1.120711</v>
      </c>
      <c r="L4847">
        <v>114.2043</v>
      </c>
      <c r="M4847">
        <v>-6.6820559999999996E-3</v>
      </c>
      <c r="N4847">
        <v>-1.068067E-2</v>
      </c>
      <c r="O4847">
        <v>-0.99992080000000005</v>
      </c>
      <c r="P4847">
        <v>-1.240935E-2</v>
      </c>
      <c r="Q4847">
        <v>-9.210016E-2</v>
      </c>
      <c r="R4847">
        <v>-0.99567260000000002</v>
      </c>
      <c r="S4847">
        <v>-0.19082640000000001</v>
      </c>
      <c r="T4847">
        <v>-0.1965623</v>
      </c>
      <c r="U4847">
        <v>-2.992645</v>
      </c>
      <c r="V4847">
        <v>5.7570310000000001E-3</v>
      </c>
      <c r="W4847">
        <v>-8.1459680000000007E-2</v>
      </c>
      <c r="X4847">
        <v>0.99665999999999999</v>
      </c>
      <c r="Y4847">
        <v>5.6846969999999997E-2</v>
      </c>
      <c r="Z4847">
        <v>5.4760049999999998E-2</v>
      </c>
      <c r="AA4847">
        <v>0.99687999999999999</v>
      </c>
      <c r="AB4847">
        <v>21</v>
      </c>
      <c r="AC4847">
        <v>-1.0867</v>
      </c>
      <c r="AD4847">
        <v>-1.120714985167</v>
      </c>
      <c r="AE4847">
        <v>-16.846630000000001</v>
      </c>
      <c r="AF4847">
        <v>0.96982501375979602</v>
      </c>
      <c r="AG4847">
        <v>-1.120714985167</v>
      </c>
      <c r="AH4847">
        <v>16.779565065094499</v>
      </c>
      <c r="AI4847">
        <v>93.814788924490401</v>
      </c>
      <c r="AJ4847">
        <v>86.692099707830707</v>
      </c>
      <c r="AK4847">
        <v>16.844891403895499</v>
      </c>
      <c r="AL4847">
        <v>94.672473169300105</v>
      </c>
      <c r="AM4847">
        <v>89.669044699017803</v>
      </c>
      <c r="AN4847">
        <v>0.99999998923581801</v>
      </c>
    </row>
    <row r="4848" spans="1:40" x14ac:dyDescent="0.25">
      <c r="A4848" t="str">
        <f>"20190303154613106"</f>
        <v>20190303154613106</v>
      </c>
      <c r="B4848" t="str">
        <f>"1551599173096062"</f>
        <v>1551599173096062</v>
      </c>
      <c r="C4848" t="s">
        <v>40</v>
      </c>
      <c r="D4848">
        <v>5.4513550000000004</v>
      </c>
      <c r="E4848">
        <v>0.51958130000000002</v>
      </c>
      <c r="F4848" t="s">
        <v>41</v>
      </c>
      <c r="G4848">
        <v>-422.57389999999998</v>
      </c>
      <c r="H4848" s="1">
        <v>-3.986352E-6</v>
      </c>
      <c r="I4848">
        <v>97.359210000000004</v>
      </c>
      <c r="J4848">
        <v>-421.48480000000001</v>
      </c>
      <c r="K4848">
        <v>1.1206830000000001</v>
      </c>
      <c r="L4848">
        <v>114.0042</v>
      </c>
      <c r="M4848">
        <v>-6.6348960000000004E-3</v>
      </c>
      <c r="N4848">
        <v>-1.06561E-2</v>
      </c>
      <c r="O4848">
        <v>-0.99992159999999997</v>
      </c>
      <c r="P4848">
        <v>-1.3468600000000001E-2</v>
      </c>
      <c r="Q4848">
        <v>-9.1175539999999999E-2</v>
      </c>
      <c r="R4848">
        <v>-0.99574430000000003</v>
      </c>
      <c r="S4848">
        <v>-0.19369510000000001</v>
      </c>
      <c r="T4848">
        <v>-0.199074</v>
      </c>
      <c r="U4848">
        <v>-2.9922179999999998</v>
      </c>
      <c r="V4848">
        <v>6.8584149999999997E-3</v>
      </c>
      <c r="W4848">
        <v>-8.0559130000000007E-2</v>
      </c>
      <c r="X4848">
        <v>0.99672620000000001</v>
      </c>
      <c r="Y4848">
        <v>5.7851149999999997E-2</v>
      </c>
      <c r="Z4848">
        <v>5.5622919999999999E-2</v>
      </c>
      <c r="AA4848">
        <v>0.99677450000000001</v>
      </c>
      <c r="AB4848">
        <v>21</v>
      </c>
      <c r="AC4848">
        <v>-1.08909999999997</v>
      </c>
      <c r="AD4848">
        <v>-1.1206869863519999</v>
      </c>
      <c r="AE4848">
        <v>-16.6449899999999</v>
      </c>
      <c r="AF4848">
        <v>0.97423448037308003</v>
      </c>
      <c r="AG4848">
        <v>-1.1206869863519999</v>
      </c>
      <c r="AH4848">
        <v>16.577024008896402</v>
      </c>
      <c r="AI4848">
        <v>93.860945000247199</v>
      </c>
      <c r="AJ4848">
        <v>86.636586206263601</v>
      </c>
      <c r="AK4848">
        <v>16.643401008677699</v>
      </c>
      <c r="AL4848">
        <v>94.620705423635798</v>
      </c>
      <c r="AM4848">
        <v>89.605757296256101</v>
      </c>
      <c r="AN4848">
        <v>0.99999996452455298</v>
      </c>
    </row>
    <row r="4849" spans="1:40" x14ac:dyDescent="0.25">
      <c r="A4849" t="str">
        <f>"20190303154613129"</f>
        <v>20190303154613129</v>
      </c>
      <c r="B4849" t="str">
        <f>"1551599173126318"</f>
        <v>1551599173126318</v>
      </c>
      <c r="C4849" t="s">
        <v>40</v>
      </c>
      <c r="D4849">
        <v>5.4397289999999998</v>
      </c>
      <c r="E4849">
        <v>0.51939329999999995</v>
      </c>
      <c r="F4849" t="s">
        <v>41</v>
      </c>
      <c r="G4849">
        <v>-422.59440000000001</v>
      </c>
      <c r="H4849" s="1">
        <v>-3.8993909999999998E-6</v>
      </c>
      <c r="I4849">
        <v>97.092979999999997</v>
      </c>
      <c r="J4849">
        <v>-421.48610000000002</v>
      </c>
      <c r="K4849">
        <v>1.1206739999999999</v>
      </c>
      <c r="L4849">
        <v>113.79649999999999</v>
      </c>
      <c r="M4849">
        <v>-6.6205269999999898E-3</v>
      </c>
      <c r="N4849">
        <v>-1.063304E-2</v>
      </c>
      <c r="O4849">
        <v>-0.99992159999999997</v>
      </c>
      <c r="P4849">
        <v>-1.3324590000000001E-2</v>
      </c>
      <c r="Q4849">
        <v>-8.9585830000000005E-2</v>
      </c>
      <c r="R4849">
        <v>-0.99588989999999999</v>
      </c>
      <c r="S4849">
        <v>-0.19631960000000001</v>
      </c>
      <c r="T4849">
        <v>-0.1982776</v>
      </c>
      <c r="U4849">
        <v>-2.9920200000000001</v>
      </c>
      <c r="V4849">
        <v>6.7239630000000003E-3</v>
      </c>
      <c r="W4849">
        <v>-7.8991290000000006E-2</v>
      </c>
      <c r="X4849">
        <v>0.99685259999999998</v>
      </c>
      <c r="Y4849">
        <v>5.8741040000000001E-2</v>
      </c>
      <c r="Z4849">
        <v>5.5382649999999999E-2</v>
      </c>
      <c r="AA4849">
        <v>0.99673579999999995</v>
      </c>
      <c r="AB4849">
        <v>21</v>
      </c>
      <c r="AC4849">
        <v>-1.1082999999999801</v>
      </c>
      <c r="AD4849">
        <v>-1.120677899391</v>
      </c>
      <c r="AE4849">
        <v>-16.703519999999902</v>
      </c>
      <c r="AF4849">
        <v>0.99323203883440403</v>
      </c>
      <c r="AG4849">
        <v>-1.120677899391</v>
      </c>
      <c r="AH4849">
        <v>16.635935408424501</v>
      </c>
      <c r="AI4849">
        <v>93.847071164451606</v>
      </c>
      <c r="AJ4849">
        <v>86.583268132538294</v>
      </c>
      <c r="AK4849">
        <v>16.703196572824702</v>
      </c>
      <c r="AL4849">
        <v>94.530587550851706</v>
      </c>
      <c r="AM4849">
        <v>89.613534780431095</v>
      </c>
      <c r="AN4849">
        <v>0.99999997085052394</v>
      </c>
    </row>
    <row r="4850" spans="1:40" x14ac:dyDescent="0.25">
      <c r="A4850" t="str">
        <f>"20190303154613150"</f>
        <v>20190303154613150</v>
      </c>
      <c r="B4850" t="str">
        <f>"1551599173145839"</f>
        <v>1551599173145839</v>
      </c>
      <c r="C4850" t="s">
        <v>40</v>
      </c>
      <c r="D4850">
        <v>5.4520780000000002</v>
      </c>
      <c r="E4850">
        <v>0.51930719999999997</v>
      </c>
      <c r="F4850" t="s">
        <v>41</v>
      </c>
      <c r="G4850">
        <v>-422.58370000000002</v>
      </c>
      <c r="H4850" s="1">
        <v>-3.8149690000000001E-6</v>
      </c>
      <c r="I4850">
        <v>96.879390000000001</v>
      </c>
      <c r="J4850">
        <v>-421.48750000000001</v>
      </c>
      <c r="K4850">
        <v>1.1206689999999999</v>
      </c>
      <c r="L4850">
        <v>113.5956</v>
      </c>
      <c r="M4850">
        <v>-6.6475179999999998E-3</v>
      </c>
      <c r="N4850">
        <v>-1.061337E-2</v>
      </c>
      <c r="O4850">
        <v>-0.99992159999999997</v>
      </c>
      <c r="P4850">
        <v>-1.315902E-2</v>
      </c>
      <c r="Q4850">
        <v>-8.7881169999999995E-2</v>
      </c>
      <c r="R4850">
        <v>-0.99604400000000004</v>
      </c>
      <c r="S4850">
        <v>-0.1941223</v>
      </c>
      <c r="T4850">
        <v>-0.19820189999999999</v>
      </c>
      <c r="U4850">
        <v>-2.991943</v>
      </c>
      <c r="V4850">
        <v>6.5270149999999997E-3</v>
      </c>
      <c r="W4850">
        <v>-7.7304999999999999E-2</v>
      </c>
      <c r="X4850">
        <v>0.99698620000000004</v>
      </c>
      <c r="Y4850">
        <v>5.7987190000000001E-2</v>
      </c>
      <c r="Z4850">
        <v>5.5381850000000003E-2</v>
      </c>
      <c r="AA4850">
        <v>0.99678</v>
      </c>
      <c r="AB4850">
        <v>21</v>
      </c>
      <c r="AC4850">
        <v>-1.0962000000000101</v>
      </c>
      <c r="AD4850">
        <v>-1.120672814969</v>
      </c>
      <c r="AE4850">
        <v>-16.71621</v>
      </c>
      <c r="AF4850">
        <v>0.98065950519312906</v>
      </c>
      <c r="AG4850">
        <v>-1.120672814969</v>
      </c>
      <c r="AH4850">
        <v>16.648621099470098</v>
      </c>
      <c r="AI4850">
        <v>93.844312576280103</v>
      </c>
      <c r="AJ4850">
        <v>86.628981918376297</v>
      </c>
      <c r="AK4850">
        <v>16.715088547090001</v>
      </c>
      <c r="AL4850">
        <v>94.433673392522394</v>
      </c>
      <c r="AM4850">
        <v>89.624904467403198</v>
      </c>
      <c r="AN4850">
        <v>1.00000007397012</v>
      </c>
    </row>
    <row r="4851" spans="1:40" x14ac:dyDescent="0.25">
      <c r="A4851" t="str">
        <f>"20190303154613173"</f>
        <v>20190303154613173</v>
      </c>
      <c r="B4851" t="str">
        <f>"1551599173166334"</f>
        <v>1551599173166334</v>
      </c>
      <c r="C4851" t="s">
        <v>40</v>
      </c>
      <c r="D4851">
        <v>5.3403470000000004</v>
      </c>
      <c r="E4851">
        <v>0.51933830000000003</v>
      </c>
      <c r="F4851" t="s">
        <v>41</v>
      </c>
      <c r="G4851">
        <v>-422.59320000000002</v>
      </c>
      <c r="H4851" s="1">
        <v>-3.632088E-6</v>
      </c>
      <c r="I4851">
        <v>96.447230000000005</v>
      </c>
      <c r="J4851">
        <v>-421.48899999999998</v>
      </c>
      <c r="K4851">
        <v>1.1206449999999999</v>
      </c>
      <c r="L4851">
        <v>113.38030000000001</v>
      </c>
      <c r="M4851">
        <v>-6.7347569999999897E-3</v>
      </c>
      <c r="N4851">
        <v>-1.059527E-2</v>
      </c>
      <c r="O4851">
        <v>-0.99992130000000001</v>
      </c>
      <c r="P4851">
        <v>-1.3108979999999999E-2</v>
      </c>
      <c r="Q4851">
        <v>-8.6554249999999999E-2</v>
      </c>
      <c r="R4851">
        <v>-0.99616099999999996</v>
      </c>
      <c r="S4851">
        <v>-0.1929321</v>
      </c>
      <c r="T4851">
        <v>-0.19553880000000001</v>
      </c>
      <c r="U4851">
        <v>-2.992111</v>
      </c>
      <c r="V4851">
        <v>6.3844699999999997E-3</v>
      </c>
      <c r="W4851">
        <v>-7.5995380000000001E-2</v>
      </c>
      <c r="X4851">
        <v>0.99708770000000002</v>
      </c>
      <c r="Y4851">
        <v>5.7505239999999999E-2</v>
      </c>
      <c r="Z4851">
        <v>5.4514769999999997E-2</v>
      </c>
      <c r="AA4851">
        <v>0.99685570000000001</v>
      </c>
      <c r="AB4851">
        <v>21</v>
      </c>
      <c r="AC4851">
        <v>-1.1041999999999901</v>
      </c>
      <c r="AD4851">
        <v>-1.120648632088</v>
      </c>
      <c r="AE4851">
        <v>-16.933070000000001</v>
      </c>
      <c r="AF4851">
        <v>0.98582887288732601</v>
      </c>
      <c r="AG4851">
        <v>-1.120648632088</v>
      </c>
      <c r="AH4851">
        <v>16.866561260058599</v>
      </c>
      <c r="AI4851">
        <v>93.794803567860498</v>
      </c>
      <c r="AJ4851">
        <v>86.654940898984194</v>
      </c>
      <c r="AK4851">
        <v>16.932471782422301</v>
      </c>
      <c r="AL4851">
        <v>94.358416743395196</v>
      </c>
      <c r="AM4851">
        <v>89.633133388115496</v>
      </c>
      <c r="AN4851">
        <v>0.99999997036490695</v>
      </c>
    </row>
    <row r="4852" spans="1:40" x14ac:dyDescent="0.25">
      <c r="A4852" t="str">
        <f>"20190303154613194"</f>
        <v>20190303154613194</v>
      </c>
      <c r="B4852" t="str">
        <f>"1551599173185855"</f>
        <v>1551599173185855</v>
      </c>
      <c r="C4852" t="s">
        <v>40</v>
      </c>
      <c r="D4852">
        <v>5.3311019999999996</v>
      </c>
      <c r="E4852">
        <v>0.50142399999999998</v>
      </c>
      <c r="F4852" t="s">
        <v>41</v>
      </c>
      <c r="G4852">
        <v>-422.62790000000001</v>
      </c>
      <c r="H4852" s="1">
        <v>-3.3366540000000002E-6</v>
      </c>
      <c r="I4852">
        <v>95.737020000000001</v>
      </c>
      <c r="J4852">
        <v>-421.49040000000002</v>
      </c>
      <c r="K4852">
        <v>1.1206130000000001</v>
      </c>
      <c r="L4852">
        <v>113.1798</v>
      </c>
      <c r="M4852">
        <v>-6.8796119999999898E-3</v>
      </c>
      <c r="N4852">
        <v>-1.0580900000000001E-2</v>
      </c>
      <c r="O4852">
        <v>-0.9999207</v>
      </c>
      <c r="P4852">
        <v>-1.289302E-2</v>
      </c>
      <c r="Q4852">
        <v>-8.6763430000000002E-2</v>
      </c>
      <c r="R4852">
        <v>-0.99614570000000002</v>
      </c>
      <c r="S4852">
        <v>-0.1931763</v>
      </c>
      <c r="T4852">
        <v>-0.1900743</v>
      </c>
      <c r="U4852">
        <v>-2.9924930000000001</v>
      </c>
      <c r="V4852">
        <v>6.0176619999999896E-3</v>
      </c>
      <c r="W4852">
        <v>-7.6219490000000001E-2</v>
      </c>
      <c r="X4852">
        <v>0.99707290000000004</v>
      </c>
      <c r="Y4852">
        <v>5.7440310000000001E-2</v>
      </c>
      <c r="Z4852">
        <v>5.2708320000000003E-2</v>
      </c>
      <c r="AA4852">
        <v>0.99695659999999997</v>
      </c>
      <c r="AB4852">
        <v>21</v>
      </c>
      <c r="AC4852">
        <v>-1.13749999999998</v>
      </c>
      <c r="AD4852">
        <v>-1.1206163366539901</v>
      </c>
      <c r="AE4852">
        <v>-17.442779999999999</v>
      </c>
      <c r="AF4852">
        <v>1.0133021939376701</v>
      </c>
      <c r="AG4852">
        <v>-1.1206163366539901</v>
      </c>
      <c r="AH4852">
        <v>17.378766825435701</v>
      </c>
      <c r="AI4852">
        <v>93.683196053456697</v>
      </c>
      <c r="AJ4852">
        <v>86.663038267465694</v>
      </c>
      <c r="AK4852">
        <v>17.4443142222066</v>
      </c>
      <c r="AL4852">
        <v>94.371294542034207</v>
      </c>
      <c r="AM4852">
        <v>89.654205375632799</v>
      </c>
      <c r="AN4852">
        <v>0.99999999541310802</v>
      </c>
    </row>
    <row r="4853" spans="1:40" x14ac:dyDescent="0.25">
      <c r="A4853" t="str">
        <f>"20190303154613218"</f>
        <v>20190303154613218</v>
      </c>
      <c r="B4853" t="str">
        <f>"1551599173206350"</f>
        <v>1551599173206350</v>
      </c>
      <c r="C4853" t="s">
        <v>40</v>
      </c>
      <c r="D4853">
        <v>5.3247080000000002</v>
      </c>
      <c r="E4853">
        <v>0.50164799999999998</v>
      </c>
      <c r="F4853" t="s">
        <v>41</v>
      </c>
      <c r="G4853">
        <v>-421.7996</v>
      </c>
      <c r="H4853" s="1">
        <v>-2.5422340000000001E-6</v>
      </c>
      <c r="I4853">
        <v>94.398939999999996</v>
      </c>
      <c r="J4853">
        <v>-421.49209999999999</v>
      </c>
      <c r="K4853">
        <v>1.1205540000000001</v>
      </c>
      <c r="L4853">
        <v>112.9637</v>
      </c>
      <c r="M4853">
        <v>-7.1071700000000003E-3</v>
      </c>
      <c r="N4853">
        <v>-1.056752E-2</v>
      </c>
      <c r="O4853">
        <v>-0.999919</v>
      </c>
      <c r="P4853">
        <v>-1.246018E-2</v>
      </c>
      <c r="Q4853">
        <v>-8.6375579999999993E-2</v>
      </c>
      <c r="R4853">
        <v>-0.99618459999999998</v>
      </c>
      <c r="S4853">
        <v>-4.9316409999999998E-2</v>
      </c>
      <c r="T4853">
        <v>-0.1787301</v>
      </c>
      <c r="U4853">
        <v>-2.9954070000000002</v>
      </c>
      <c r="V4853">
        <v>5.3487810000000004E-3</v>
      </c>
      <c r="W4853">
        <v>-7.5845060000000006E-2</v>
      </c>
      <c r="X4853">
        <v>0.99710520000000002</v>
      </c>
      <c r="Y4853">
        <v>9.3315120000000001E-3</v>
      </c>
      <c r="Z4853">
        <v>4.9003089999999999E-2</v>
      </c>
      <c r="AA4853">
        <v>0.99875499999999995</v>
      </c>
      <c r="AB4853">
        <v>21</v>
      </c>
      <c r="AC4853">
        <v>-0.30750000000000399</v>
      </c>
      <c r="AD4853">
        <v>-1.120556542234</v>
      </c>
      <c r="AE4853">
        <v>-18.56476</v>
      </c>
      <c r="AF4853">
        <v>0.174904924848337</v>
      </c>
      <c r="AG4853">
        <v>-1.120556542234</v>
      </c>
      <c r="AH4853">
        <v>18.499098309341399</v>
      </c>
      <c r="AI4853">
        <v>93.466220304410598</v>
      </c>
      <c r="AJ4853">
        <v>89.458297088489601</v>
      </c>
      <c r="AK4853">
        <v>18.533830606643601</v>
      </c>
      <c r="AL4853">
        <v>94.349779283020695</v>
      </c>
      <c r="AM4853">
        <v>89.692650647774997</v>
      </c>
      <c r="AN4853">
        <v>0.99999993122581199</v>
      </c>
    </row>
    <row r="4854" spans="1:40" x14ac:dyDescent="0.25">
      <c r="A4854" t="str">
        <f>"20190303154613240"</f>
        <v>20190303154613240</v>
      </c>
      <c r="B4854" t="str">
        <f>"1551599173236606"</f>
        <v>1551599173236606</v>
      </c>
      <c r="C4854" t="s">
        <v>40</v>
      </c>
      <c r="D4854">
        <v>5.3281519999999896</v>
      </c>
      <c r="E4854">
        <v>0.50169090000000005</v>
      </c>
      <c r="F4854" t="s">
        <v>41</v>
      </c>
      <c r="G4854">
        <v>-421.80880000000002</v>
      </c>
      <c r="H4854" s="1">
        <v>-2.362428E-6</v>
      </c>
      <c r="I4854">
        <v>93.974109999999996</v>
      </c>
      <c r="J4854">
        <v>-421.49400000000003</v>
      </c>
      <c r="K4854">
        <v>1.1204970000000001</v>
      </c>
      <c r="L4854">
        <v>112.74850000000001</v>
      </c>
      <c r="M4854">
        <v>-7.409166E-3</v>
      </c>
      <c r="N4854">
        <v>-1.055622E-2</v>
      </c>
      <c r="O4854">
        <v>-0.9999169</v>
      </c>
      <c r="P4854">
        <v>-1.227932E-2</v>
      </c>
      <c r="Q4854">
        <v>-8.5085240000000006E-2</v>
      </c>
      <c r="R4854">
        <v>-0.99629829999999997</v>
      </c>
      <c r="S4854">
        <v>-4.995728E-2</v>
      </c>
      <c r="T4854">
        <v>-0.17676339999999999</v>
      </c>
      <c r="U4854">
        <v>-2.9955289999999999</v>
      </c>
      <c r="V4854">
        <v>4.8565739999999998E-3</v>
      </c>
      <c r="W4854">
        <v>-7.4565339999999994E-2</v>
      </c>
      <c r="X4854">
        <v>0.99720430000000004</v>
      </c>
      <c r="Y4854">
        <v>9.2430459999999996E-3</v>
      </c>
      <c r="Z4854">
        <v>4.8358320000000003E-2</v>
      </c>
      <c r="AA4854">
        <v>0.99878730000000004</v>
      </c>
      <c r="AB4854">
        <v>21</v>
      </c>
      <c r="AC4854">
        <v>-0.31479999999999098</v>
      </c>
      <c r="AD4854">
        <v>-1.12049936242799</v>
      </c>
      <c r="AE4854">
        <v>-18.77439</v>
      </c>
      <c r="AF4854">
        <v>0.17505766798549999</v>
      </c>
      <c r="AG4854">
        <v>-1.12049936242799</v>
      </c>
      <c r="AH4854">
        <v>18.709582713474699</v>
      </c>
      <c r="AI4854">
        <v>93.427147197016097</v>
      </c>
      <c r="AJ4854">
        <v>89.463923219449796</v>
      </c>
      <c r="AK4854">
        <v>18.743922997085601</v>
      </c>
      <c r="AL4854">
        <v>94.2762482065759</v>
      </c>
      <c r="AM4854">
        <v>89.720960897258394</v>
      </c>
      <c r="AN4854">
        <v>0.99999999608941104</v>
      </c>
    </row>
    <row r="4855" spans="1:40" x14ac:dyDescent="0.25">
      <c r="A4855" t="str">
        <f>"20190303154613263"</f>
        <v>20190303154613263</v>
      </c>
      <c r="B4855" t="str">
        <f>"1551599173256126"</f>
        <v>1551599173256126</v>
      </c>
      <c r="C4855" t="s">
        <v>40</v>
      </c>
      <c r="D4855">
        <v>5.3122590000000001</v>
      </c>
      <c r="E4855">
        <v>0.50175919999999996</v>
      </c>
      <c r="F4855" t="s">
        <v>41</v>
      </c>
      <c r="G4855">
        <v>-421.81479999999999</v>
      </c>
      <c r="H4855" s="1">
        <v>-2.1077379999999999E-6</v>
      </c>
      <c r="I4855">
        <v>93.376689999999996</v>
      </c>
      <c r="J4855">
        <v>-421.49590000000001</v>
      </c>
      <c r="K4855">
        <v>1.1204459999999901</v>
      </c>
      <c r="L4855">
        <v>112.5342</v>
      </c>
      <c r="M4855">
        <v>-7.7874909999999997E-3</v>
      </c>
      <c r="N4855">
        <v>-1.05468E-2</v>
      </c>
      <c r="O4855">
        <v>-0.99991410000000003</v>
      </c>
      <c r="P4855">
        <v>-1.221682E-2</v>
      </c>
      <c r="Q4855">
        <v>-8.3741309999999999E-2</v>
      </c>
      <c r="R4855">
        <v>-0.99641270000000004</v>
      </c>
      <c r="S4855">
        <v>-4.9621579999999998E-2</v>
      </c>
      <c r="T4855">
        <v>-0.1732786</v>
      </c>
      <c r="U4855">
        <v>-2.995743</v>
      </c>
      <c r="V4855">
        <v>4.4076380000000002E-3</v>
      </c>
      <c r="W4855">
        <v>-7.3229970000000005E-2</v>
      </c>
      <c r="X4855">
        <v>0.99730529999999995</v>
      </c>
      <c r="Y4855">
        <v>8.7527790000000005E-3</v>
      </c>
      <c r="Z4855">
        <v>4.720568E-2</v>
      </c>
      <c r="AA4855">
        <v>0.99884680000000003</v>
      </c>
      <c r="AB4855">
        <v>21</v>
      </c>
      <c r="AC4855">
        <v>-0.31889999999998497</v>
      </c>
      <c r="AD4855">
        <v>-1.12044810773799</v>
      </c>
      <c r="AE4855">
        <v>-19.157509999999998</v>
      </c>
      <c r="AF4855">
        <v>0.169114782654917</v>
      </c>
      <c r="AG4855">
        <v>-1.12044810773799</v>
      </c>
      <c r="AH4855">
        <v>19.0941168852973</v>
      </c>
      <c r="AI4855">
        <v>93.358149847335596</v>
      </c>
      <c r="AJ4855">
        <v>89.492549982576094</v>
      </c>
      <c r="AK4855">
        <v>19.127710354384899</v>
      </c>
      <c r="AL4855">
        <v>94.199527525342404</v>
      </c>
      <c r="AM4855">
        <v>89.746780237897397</v>
      </c>
      <c r="AN4855">
        <v>0.99999995859351398</v>
      </c>
    </row>
    <row r="4856" spans="1:40" x14ac:dyDescent="0.25">
      <c r="A4856" t="str">
        <f>"20190303154613286"</f>
        <v>20190303154613286</v>
      </c>
      <c r="B4856" t="str">
        <f>"1551599173276622"</f>
        <v>1551599173276622</v>
      </c>
      <c r="C4856" t="s">
        <v>40</v>
      </c>
      <c r="D4856">
        <v>5.333907</v>
      </c>
      <c r="E4856">
        <v>0.50185059999999904</v>
      </c>
      <c r="F4856" t="s">
        <v>41</v>
      </c>
      <c r="G4856">
        <v>-421.82369999999997</v>
      </c>
      <c r="H4856" s="1">
        <v>-1.926779E-6</v>
      </c>
      <c r="I4856">
        <v>92.949340000000007</v>
      </c>
      <c r="J4856">
        <v>-421.49810000000002</v>
      </c>
      <c r="K4856">
        <v>1.120403</v>
      </c>
      <c r="L4856">
        <v>112.32340000000001</v>
      </c>
      <c r="M4856">
        <v>-8.2205330000000004E-3</v>
      </c>
      <c r="N4856">
        <v>-1.053902E-2</v>
      </c>
      <c r="O4856">
        <v>-0.99991079999999999</v>
      </c>
      <c r="P4856">
        <v>-1.2870960000000001E-2</v>
      </c>
      <c r="Q4856">
        <v>-8.3414710000000003E-2</v>
      </c>
      <c r="R4856">
        <v>-0.99643190000000004</v>
      </c>
      <c r="S4856">
        <v>-5.0140379999999998E-2</v>
      </c>
      <c r="T4856">
        <v>-0.17138809999999999</v>
      </c>
      <c r="U4856">
        <v>-2.9957729999999998</v>
      </c>
      <c r="V4856">
        <v>4.6234309999999999E-3</v>
      </c>
      <c r="W4856">
        <v>-7.2911459999999997E-2</v>
      </c>
      <c r="X4856">
        <v>0.99732770000000004</v>
      </c>
      <c r="Y4856">
        <v>8.4930919999999903E-3</v>
      </c>
      <c r="Z4856">
        <v>4.6584430000000003E-2</v>
      </c>
      <c r="AA4856">
        <v>0.99887820000000005</v>
      </c>
      <c r="AB4856">
        <v>21</v>
      </c>
      <c r="AC4856">
        <v>-0.32559999999995098</v>
      </c>
      <c r="AD4856">
        <v>-1.1204049267789999</v>
      </c>
      <c r="AE4856">
        <v>-19.37406</v>
      </c>
      <c r="AF4856">
        <v>0.16576087022414801</v>
      </c>
      <c r="AG4856">
        <v>-1.1204049267789999</v>
      </c>
      <c r="AH4856">
        <v>19.3115162584429</v>
      </c>
      <c r="AI4856">
        <v>93.320310762996002</v>
      </c>
      <c r="AJ4856">
        <v>89.508212358407604</v>
      </c>
      <c r="AK4856">
        <v>19.3447006714023</v>
      </c>
      <c r="AL4856">
        <v>94.181229160465307</v>
      </c>
      <c r="AM4856">
        <v>89.734389022251193</v>
      </c>
      <c r="AN4856">
        <v>0.99999999915041604</v>
      </c>
    </row>
    <row r="4857" spans="1:40" x14ac:dyDescent="0.25">
      <c r="A4857" t="str">
        <f>"20190303154613306"</f>
        <v>20190303154613306</v>
      </c>
      <c r="B4857" t="str">
        <f>"1551599173296143"</f>
        <v>1551599173296143</v>
      </c>
      <c r="C4857" t="s">
        <v>40</v>
      </c>
      <c r="D4857">
        <v>5.3288409999999997</v>
      </c>
      <c r="E4857">
        <v>0.50191160000000001</v>
      </c>
      <c r="F4857" t="s">
        <v>41</v>
      </c>
      <c r="G4857">
        <v>-421.8451</v>
      </c>
      <c r="H4857" s="1">
        <v>-1.8210330000000001E-6</v>
      </c>
      <c r="I4857">
        <v>92.689610000000002</v>
      </c>
      <c r="J4857">
        <v>-421.50020000000001</v>
      </c>
      <c r="K4857">
        <v>1.1203780000000001</v>
      </c>
      <c r="L4857">
        <v>112.1207</v>
      </c>
      <c r="M4857">
        <v>-8.6765090000000007E-3</v>
      </c>
      <c r="N4857">
        <v>-1.053259E-2</v>
      </c>
      <c r="O4857">
        <v>-0.99990710000000005</v>
      </c>
      <c r="P4857">
        <v>-1.36375E-2</v>
      </c>
      <c r="Q4857">
        <v>-8.4283709999999998E-2</v>
      </c>
      <c r="R4857">
        <v>-0.99634860000000003</v>
      </c>
      <c r="S4857">
        <v>-5.2948000000000002E-2</v>
      </c>
      <c r="T4857">
        <v>-0.17095360000000001</v>
      </c>
      <c r="U4857">
        <v>-2.9957579999999999</v>
      </c>
      <c r="V4857">
        <v>4.9317140000000002E-3</v>
      </c>
      <c r="W4857">
        <v>-7.3788099999999995E-2</v>
      </c>
      <c r="X4857">
        <v>0.99726179999999998</v>
      </c>
      <c r="Y4857">
        <v>8.9729949999999992E-3</v>
      </c>
      <c r="Z4857">
        <v>4.6445920000000002E-2</v>
      </c>
      <c r="AA4857">
        <v>0.99888049999999995</v>
      </c>
      <c r="AB4857">
        <v>21</v>
      </c>
      <c r="AC4857">
        <v>-0.34489999999999499</v>
      </c>
      <c r="AD4857">
        <v>-1.120379821033</v>
      </c>
      <c r="AE4857">
        <v>-19.431090000000001</v>
      </c>
      <c r="AF4857">
        <v>0.175699729231413</v>
      </c>
      <c r="AG4857">
        <v>-1.120379821033</v>
      </c>
      <c r="AH4857">
        <v>19.368977842727599</v>
      </c>
      <c r="AI4857">
        <v>93.310394166438002</v>
      </c>
      <c r="AJ4857">
        <v>89.480273201829704</v>
      </c>
      <c r="AK4857">
        <v>19.402149984223399</v>
      </c>
      <c r="AL4857">
        <v>94.231592377024597</v>
      </c>
      <c r="AM4857">
        <v>89.716660064026598</v>
      </c>
      <c r="AN4857">
        <v>1.0000000516219101</v>
      </c>
    </row>
    <row r="4858" spans="1:40" x14ac:dyDescent="0.25">
      <c r="A4858" t="str">
        <f>"20190303154613329"</f>
        <v>20190303154613329</v>
      </c>
      <c r="B4858" t="str">
        <f>"1551599173326398"</f>
        <v>1551599173326398</v>
      </c>
      <c r="C4858" t="s">
        <v>40</v>
      </c>
      <c r="D4858">
        <v>5.295121</v>
      </c>
      <c r="E4858">
        <v>0.50177769999999999</v>
      </c>
      <c r="F4858" t="s">
        <v>41</v>
      </c>
      <c r="G4858">
        <v>-421.85649999999998</v>
      </c>
      <c r="H4858" s="1">
        <v>-1.9034399999999999E-6</v>
      </c>
      <c r="I4858">
        <v>92.874610000000004</v>
      </c>
      <c r="J4858">
        <v>-421.5027</v>
      </c>
      <c r="K4858">
        <v>1.120371</v>
      </c>
      <c r="L4858">
        <v>111.90519999999999</v>
      </c>
      <c r="M4858">
        <v>-9.1861089999999996E-3</v>
      </c>
      <c r="N4858">
        <v>-1.052677E-2</v>
      </c>
      <c r="O4858">
        <v>-0.99990250000000003</v>
      </c>
      <c r="P4858">
        <v>-1.511968E-2</v>
      </c>
      <c r="Q4858">
        <v>-8.5220389999999993E-2</v>
      </c>
      <c r="R4858">
        <v>-0.99624760000000001</v>
      </c>
      <c r="S4858">
        <v>-5.5450439999999997E-2</v>
      </c>
      <c r="T4858">
        <v>-0.17437739999999999</v>
      </c>
      <c r="U4858">
        <v>-2.9954830000000001</v>
      </c>
      <c r="V4858">
        <v>5.9049069999999896E-3</v>
      </c>
      <c r="W4858">
        <v>-7.4732320000000005E-2</v>
      </c>
      <c r="X4858">
        <v>0.99718609999999996</v>
      </c>
      <c r="Y4858">
        <v>9.2980119999999996E-3</v>
      </c>
      <c r="Z4858">
        <v>4.7593879999999998E-2</v>
      </c>
      <c r="AA4858">
        <v>0.99882349999999998</v>
      </c>
      <c r="AB4858">
        <v>21</v>
      </c>
      <c r="AC4858">
        <v>-0.35379999999997802</v>
      </c>
      <c r="AD4858">
        <v>-1.1203729034400001</v>
      </c>
      <c r="AE4858">
        <v>-19.030589999999901</v>
      </c>
      <c r="AF4858">
        <v>0.17834042447879001</v>
      </c>
      <c r="AG4858">
        <v>-1.1203729034400001</v>
      </c>
      <c r="AH4858">
        <v>18.967320347748998</v>
      </c>
      <c r="AI4858">
        <v>93.380304014360306</v>
      </c>
      <c r="AJ4858">
        <v>89.461291719209996</v>
      </c>
      <c r="AK4858">
        <v>19.0012179063317</v>
      </c>
      <c r="AL4858">
        <v>94.285842410164705</v>
      </c>
      <c r="AM4858">
        <v>89.660723013355394</v>
      </c>
      <c r="AN4858">
        <v>0.99999995280623399</v>
      </c>
    </row>
    <row r="4859" spans="1:40" x14ac:dyDescent="0.25">
      <c r="A4859" t="str">
        <f>"20190303154613352"</f>
        <v>20190303154613352</v>
      </c>
      <c r="B4859" t="str">
        <f>"1551599173345704"</f>
        <v>1551599173345704</v>
      </c>
      <c r="C4859" t="s">
        <v>40</v>
      </c>
      <c r="D4859">
        <v>5.3237420000000002</v>
      </c>
      <c r="E4859">
        <v>0.50177070000000001</v>
      </c>
      <c r="F4859" t="s">
        <v>41</v>
      </c>
      <c r="G4859">
        <v>-421.87220000000002</v>
      </c>
      <c r="H4859" s="1">
        <v>-2.0859260000000001E-6</v>
      </c>
      <c r="I4859">
        <v>93.29025</v>
      </c>
      <c r="J4859">
        <v>-421.5052</v>
      </c>
      <c r="K4859">
        <v>1.120376</v>
      </c>
      <c r="L4859">
        <v>111.69459999999999</v>
      </c>
      <c r="M4859">
        <v>-9.6921409999999996E-3</v>
      </c>
      <c r="N4859">
        <v>-1.0521910000000001E-2</v>
      </c>
      <c r="O4859">
        <v>-0.99989779999999995</v>
      </c>
      <c r="P4859">
        <v>-1.6343130000000001E-2</v>
      </c>
      <c r="Q4859">
        <v>-8.4812890000000002E-2</v>
      </c>
      <c r="R4859">
        <v>-0.99626309999999996</v>
      </c>
      <c r="S4859">
        <v>-5.9448239999999999E-2</v>
      </c>
      <c r="T4859">
        <v>-0.180258</v>
      </c>
      <c r="U4859">
        <v>-2.99498</v>
      </c>
      <c r="V4859">
        <v>6.6250909999999996E-3</v>
      </c>
      <c r="W4859">
        <v>-7.4329889999999996E-2</v>
      </c>
      <c r="X4859">
        <v>0.99721170000000003</v>
      </c>
      <c r="Y4859">
        <v>1.0125530000000001E-2</v>
      </c>
      <c r="Z4859">
        <v>4.9561130000000002E-2</v>
      </c>
      <c r="AA4859">
        <v>0.99871980000000005</v>
      </c>
      <c r="AB4859">
        <v>21</v>
      </c>
      <c r="AC4859">
        <v>-0.36700000000001798</v>
      </c>
      <c r="AD4859">
        <v>-1.120378085926</v>
      </c>
      <c r="AE4859">
        <v>-18.404349999999901</v>
      </c>
      <c r="AF4859">
        <v>0.18789930253239301</v>
      </c>
      <c r="AG4859">
        <v>-1.120378085926</v>
      </c>
      <c r="AH4859">
        <v>18.3391076342117</v>
      </c>
      <c r="AI4859">
        <v>93.495802363078795</v>
      </c>
      <c r="AJ4859">
        <v>89.412977963516795</v>
      </c>
      <c r="AK4859">
        <v>18.374259768015602</v>
      </c>
      <c r="AL4859">
        <v>94.262720359911896</v>
      </c>
      <c r="AM4859">
        <v>89.619354477481593</v>
      </c>
      <c r="AN4859">
        <v>0.99999999949753005</v>
      </c>
    </row>
    <row r="4860" spans="1:40" x14ac:dyDescent="0.25">
      <c r="A4860" t="str">
        <f>"20190303154613374"</f>
        <v>20190303154613374</v>
      </c>
      <c r="B4860" t="str">
        <f>"1551599173366200"</f>
        <v>1551599173366200</v>
      </c>
      <c r="C4860" t="s">
        <v>40</v>
      </c>
      <c r="D4860">
        <v>5.3441489999999998</v>
      </c>
      <c r="E4860">
        <v>0.50179560000000001</v>
      </c>
      <c r="F4860" t="s">
        <v>41</v>
      </c>
      <c r="G4860">
        <v>-421.89609999999999</v>
      </c>
      <c r="H4860" s="1">
        <v>-2.018676E-6</v>
      </c>
      <c r="I4860">
        <v>93.118660000000006</v>
      </c>
      <c r="J4860">
        <v>-421.50779999999997</v>
      </c>
      <c r="K4860">
        <v>1.1203879999999999</v>
      </c>
      <c r="L4860">
        <v>111.4855</v>
      </c>
      <c r="M4860">
        <v>-1.018809E-2</v>
      </c>
      <c r="N4860">
        <v>-1.051787E-2</v>
      </c>
      <c r="O4860">
        <v>-0.99989300000000003</v>
      </c>
      <c r="P4860">
        <v>-1.734782E-2</v>
      </c>
      <c r="Q4860">
        <v>-8.4376370000000006E-2</v>
      </c>
      <c r="R4860">
        <v>-0.99628329999999998</v>
      </c>
      <c r="S4860">
        <v>-6.30188E-2</v>
      </c>
      <c r="T4860">
        <v>-0.18062980000000001</v>
      </c>
      <c r="U4860">
        <v>-2.9948579999999998</v>
      </c>
      <c r="V4860">
        <v>7.1374350000000001E-3</v>
      </c>
      <c r="W4860">
        <v>-7.3897320000000002E-2</v>
      </c>
      <c r="X4860">
        <v>0.99724029999999997</v>
      </c>
      <c r="Y4860">
        <v>1.0820160000000001E-2</v>
      </c>
      <c r="Z4860">
        <v>4.9689839999999999E-2</v>
      </c>
      <c r="AA4860">
        <v>0.99870610000000004</v>
      </c>
      <c r="AB4860">
        <v>21</v>
      </c>
      <c r="AC4860">
        <v>-0.38830000000001502</v>
      </c>
      <c r="AD4860">
        <v>-1.1203900186760001</v>
      </c>
      <c r="AE4860">
        <v>-18.36684</v>
      </c>
      <c r="AF4860">
        <v>0.20040113907758</v>
      </c>
      <c r="AG4860">
        <v>-1.1203900186760001</v>
      </c>
      <c r="AH4860">
        <v>18.301770892756402</v>
      </c>
      <c r="AI4860">
        <v>93.502927424331205</v>
      </c>
      <c r="AJ4860">
        <v>89.372646467845399</v>
      </c>
      <c r="AK4860">
        <v>18.337127698236699</v>
      </c>
      <c r="AL4860">
        <v>94.237867629903704</v>
      </c>
      <c r="AM4860">
        <v>89.589930411470903</v>
      </c>
      <c r="AN4860">
        <v>0.99999998641282495</v>
      </c>
    </row>
    <row r="4861" spans="1:40" x14ac:dyDescent="0.25">
      <c r="A4861" t="str">
        <f>"20190303154613396"</f>
        <v>20190303154613396</v>
      </c>
      <c r="B4861" t="str">
        <f>"1551599173385721"</f>
        <v>1551599173385721</v>
      </c>
      <c r="C4861" t="s">
        <v>40</v>
      </c>
      <c r="D4861">
        <v>5.3312470000000003</v>
      </c>
      <c r="E4861">
        <v>0.50169419999999998</v>
      </c>
      <c r="F4861" t="s">
        <v>41</v>
      </c>
      <c r="G4861">
        <v>-421.91629999999998</v>
      </c>
      <c r="H4861" s="1">
        <v>-1.9336220000000002E-6</v>
      </c>
      <c r="I4861">
        <v>92.907880000000006</v>
      </c>
      <c r="J4861">
        <v>-421.5104</v>
      </c>
      <c r="K4861">
        <v>1.1204069999999999</v>
      </c>
      <c r="L4861">
        <v>111.27509999999999</v>
      </c>
      <c r="M4861">
        <v>-1.067271E-2</v>
      </c>
      <c r="N4861">
        <v>-1.051449E-2</v>
      </c>
      <c r="O4861">
        <v>-0.99988790000000005</v>
      </c>
      <c r="P4861">
        <v>-1.7944959999999999E-2</v>
      </c>
      <c r="Q4861">
        <v>-8.3347320000000003E-2</v>
      </c>
      <c r="R4861">
        <v>-0.99635929999999995</v>
      </c>
      <c r="S4861">
        <v>-6.5856929999999994E-2</v>
      </c>
      <c r="T4861">
        <v>-0.18060799999999999</v>
      </c>
      <c r="U4861">
        <v>-2.9947360000000001</v>
      </c>
      <c r="V4861">
        <v>7.2535719999999998E-3</v>
      </c>
      <c r="W4861">
        <v>-7.2870690000000002E-2</v>
      </c>
      <c r="X4861">
        <v>0.99731499999999995</v>
      </c>
      <c r="Y4861">
        <v>1.1282250000000001E-2</v>
      </c>
      <c r="Z4861">
        <v>4.9687309999999998E-2</v>
      </c>
      <c r="AA4861">
        <v>0.99870110000000001</v>
      </c>
      <c r="AB4861">
        <v>21</v>
      </c>
      <c r="AC4861">
        <v>-0.405899999999974</v>
      </c>
      <c r="AD4861">
        <v>-1.120408933622</v>
      </c>
      <c r="AE4861">
        <v>-18.3672199999999</v>
      </c>
      <c r="AF4861">
        <v>0.20906051065588199</v>
      </c>
      <c r="AG4861">
        <v>-1.120408933622</v>
      </c>
      <c r="AH4861">
        <v>18.302434920383799</v>
      </c>
      <c r="AI4861">
        <v>93.502841165522995</v>
      </c>
      <c r="AJ4861">
        <v>89.345564452927704</v>
      </c>
      <c r="AK4861">
        <v>18.337888277840001</v>
      </c>
      <c r="AL4861">
        <v>94.178887059210297</v>
      </c>
      <c r="AM4861">
        <v>89.583289397924602</v>
      </c>
      <c r="AN4861">
        <v>0.99999998049641703</v>
      </c>
    </row>
    <row r="4862" spans="1:40" x14ac:dyDescent="0.25">
      <c r="A4862" t="str">
        <f>"20190303154613418"</f>
        <v>20190303154613418</v>
      </c>
      <c r="B4862" t="str">
        <f>"1551599173415976"</f>
        <v>1551599173415976</v>
      </c>
      <c r="C4862" t="s">
        <v>40</v>
      </c>
      <c r="D4862">
        <v>5.3410469999999997</v>
      </c>
      <c r="E4862">
        <v>0.50127920000000004</v>
      </c>
      <c r="F4862" t="s">
        <v>41</v>
      </c>
      <c r="G4862">
        <v>-421.93049999999999</v>
      </c>
      <c r="H4862" s="1">
        <v>-1.76869E-6</v>
      </c>
      <c r="I4862">
        <v>92.514650000000003</v>
      </c>
      <c r="J4862">
        <v>-421.51330000000002</v>
      </c>
      <c r="K4862">
        <v>1.1204209999999999</v>
      </c>
      <c r="L4862">
        <v>111.05880000000001</v>
      </c>
      <c r="M4862">
        <v>-1.115267E-2</v>
      </c>
      <c r="N4862">
        <v>-1.0511609999999999E-2</v>
      </c>
      <c r="O4862">
        <v>-0.99988270000000001</v>
      </c>
      <c r="P4862">
        <v>-1.8473280000000002E-2</v>
      </c>
      <c r="Q4862">
        <v>-8.3125610000000003E-2</v>
      </c>
      <c r="R4862">
        <v>-0.99636789999999997</v>
      </c>
      <c r="S4862">
        <v>-6.7047120000000002E-2</v>
      </c>
      <c r="T4862">
        <v>-0.17885529999999999</v>
      </c>
      <c r="U4862">
        <v>-2.994812</v>
      </c>
      <c r="V4862">
        <v>7.3053140000000003E-3</v>
      </c>
      <c r="W4862">
        <v>-7.2651530000000006E-2</v>
      </c>
      <c r="X4862">
        <v>0.99733059999999996</v>
      </c>
      <c r="Y4862">
        <v>1.119912E-2</v>
      </c>
      <c r="Z4862">
        <v>4.9105719999999999E-2</v>
      </c>
      <c r="AA4862">
        <v>0.99873080000000003</v>
      </c>
      <c r="AB4862">
        <v>21</v>
      </c>
      <c r="AC4862">
        <v>-0.41719999999997898</v>
      </c>
      <c r="AD4862">
        <v>-1.1204227686899999</v>
      </c>
      <c r="AE4862">
        <v>-18.544149999999998</v>
      </c>
      <c r="AF4862">
        <v>0.209581182975067</v>
      </c>
      <c r="AG4862">
        <v>-1.1204227686899999</v>
      </c>
      <c r="AH4862">
        <v>18.480222152077602</v>
      </c>
      <c r="AI4862">
        <v>93.469271068137701</v>
      </c>
      <c r="AJ4862">
        <v>89.350245771699704</v>
      </c>
      <c r="AK4862">
        <v>18.515341807349799</v>
      </c>
      <c r="AL4862">
        <v>94.166296791711403</v>
      </c>
      <c r="AM4862">
        <v>89.580323541027994</v>
      </c>
      <c r="AN4862">
        <v>0.99999996906016897</v>
      </c>
    </row>
    <row r="4863" spans="1:40" x14ac:dyDescent="0.25">
      <c r="A4863" t="str">
        <f>"20190303154613440"</f>
        <v>20190303154613440</v>
      </c>
      <c r="B4863" t="str">
        <f>"1551599173436472"</f>
        <v>1551599173436472</v>
      </c>
      <c r="C4863" t="s">
        <v>40</v>
      </c>
      <c r="D4863">
        <v>5.2911659999999996</v>
      </c>
      <c r="E4863">
        <v>0.50109399999999904</v>
      </c>
      <c r="F4863" t="s">
        <v>41</v>
      </c>
      <c r="G4863">
        <v>-421.91849999999999</v>
      </c>
      <c r="H4863" s="1">
        <v>-1.732825E-6</v>
      </c>
      <c r="I4863">
        <v>92.438479999999998</v>
      </c>
      <c r="J4863">
        <v>-421.51609999999999</v>
      </c>
      <c r="K4863">
        <v>1.120422</v>
      </c>
      <c r="L4863">
        <v>110.8522</v>
      </c>
      <c r="M4863">
        <v>-1.159603E-2</v>
      </c>
      <c r="N4863">
        <v>-1.050938E-2</v>
      </c>
      <c r="O4863">
        <v>-0.99987769999999998</v>
      </c>
      <c r="P4863">
        <v>-1.85319E-2</v>
      </c>
      <c r="Q4863">
        <v>-8.2884020000000003E-2</v>
      </c>
      <c r="R4863">
        <v>-0.99638709999999997</v>
      </c>
      <c r="S4863">
        <v>-6.5155030000000003E-2</v>
      </c>
      <c r="T4863">
        <v>-0.18019650000000001</v>
      </c>
      <c r="U4863">
        <v>-2.9946899999999999</v>
      </c>
      <c r="V4863">
        <v>6.9233510000000003E-3</v>
      </c>
      <c r="W4863">
        <v>-7.2411539999999996E-2</v>
      </c>
      <c r="X4863">
        <v>0.99735079999999998</v>
      </c>
      <c r="Y4863">
        <v>1.0125820000000001E-2</v>
      </c>
      <c r="Z4863">
        <v>4.9556299999999998E-2</v>
      </c>
      <c r="AA4863">
        <v>0.99872000000000005</v>
      </c>
      <c r="AB4863">
        <v>21</v>
      </c>
      <c r="AC4863">
        <v>-0.40239999999999998</v>
      </c>
      <c r="AD4863">
        <v>-1.120423732825</v>
      </c>
      <c r="AE4863">
        <v>-18.413720000000001</v>
      </c>
      <c r="AF4863">
        <v>0.18813890414317899</v>
      </c>
      <c r="AG4863">
        <v>-1.120423732825</v>
      </c>
      <c r="AH4863">
        <v>18.349244761631699</v>
      </c>
      <c r="AI4863">
        <v>93.494017607894307</v>
      </c>
      <c r="AJ4863">
        <v>89.412554163037697</v>
      </c>
      <c r="AK4863">
        <v>18.384382744889699</v>
      </c>
      <c r="AL4863">
        <v>94.152509972904596</v>
      </c>
      <c r="AM4863">
        <v>89.602273923194105</v>
      </c>
      <c r="AN4863">
        <v>0.99999999108743998</v>
      </c>
    </row>
    <row r="4864" spans="1:40" x14ac:dyDescent="0.25">
      <c r="A4864" t="str">
        <f>"20190303154613464"</f>
        <v>20190303154613464</v>
      </c>
      <c r="B4864" t="str">
        <f>"1551599173456082"</f>
        <v>1551599173456082</v>
      </c>
      <c r="C4864" t="s">
        <v>40</v>
      </c>
      <c r="D4864">
        <v>5.337739</v>
      </c>
      <c r="E4864">
        <v>0.50100659999999997</v>
      </c>
      <c r="F4864" t="s">
        <v>41</v>
      </c>
      <c r="G4864">
        <v>-421.9085</v>
      </c>
      <c r="H4864" s="1">
        <v>-1.7222969999999999E-6</v>
      </c>
      <c r="I4864">
        <v>92.420090000000002</v>
      </c>
      <c r="J4864">
        <v>-421.51929999999999</v>
      </c>
      <c r="K4864">
        <v>1.1204190000000001</v>
      </c>
      <c r="L4864">
        <v>110.62909999999999</v>
      </c>
      <c r="M4864">
        <v>-1.206348E-2</v>
      </c>
      <c r="N4864">
        <v>-1.0507310000000001E-2</v>
      </c>
      <c r="O4864">
        <v>-0.99987219999999999</v>
      </c>
      <c r="P4864">
        <v>-1.779551E-2</v>
      </c>
      <c r="Q4864">
        <v>-8.4326090000000006E-2</v>
      </c>
      <c r="R4864">
        <v>-0.99627949999999998</v>
      </c>
      <c r="S4864">
        <v>-6.3751219999999997E-2</v>
      </c>
      <c r="T4864">
        <v>-0.18202769999999999</v>
      </c>
      <c r="U4864">
        <v>-2.9945369999999998</v>
      </c>
      <c r="V4864">
        <v>5.7225519999999997E-3</v>
      </c>
      <c r="W4864">
        <v>-7.3855799999999999E-2</v>
      </c>
      <c r="X4864">
        <v>0.99725249999999999</v>
      </c>
      <c r="Y4864">
        <v>9.191131E-3</v>
      </c>
      <c r="Z4864">
        <v>5.0169890000000002E-2</v>
      </c>
      <c r="AA4864">
        <v>0.99869839999999999</v>
      </c>
      <c r="AB4864">
        <v>21</v>
      </c>
      <c r="AC4864">
        <v>-0.38920000000001598</v>
      </c>
      <c r="AD4864">
        <v>-1.120420722297</v>
      </c>
      <c r="AE4864">
        <v>-18.2090099999999</v>
      </c>
      <c r="AF4864">
        <v>0.168856547368751</v>
      </c>
      <c r="AG4864">
        <v>-1.120420722297</v>
      </c>
      <c r="AH4864">
        <v>18.1437180447647</v>
      </c>
      <c r="AI4864">
        <v>93.533520251163196</v>
      </c>
      <c r="AJ4864">
        <v>89.466785794525904</v>
      </c>
      <c r="AK4864">
        <v>18.179063771725499</v>
      </c>
      <c r="AL4864">
        <v>94.235482184855698</v>
      </c>
      <c r="AM4864">
        <v>89.671222204112397</v>
      </c>
      <c r="AN4864">
        <v>0.99999998777564103</v>
      </c>
    </row>
    <row r="4865" spans="1:40" x14ac:dyDescent="0.25">
      <c r="A4865" t="str">
        <f>"20190303154613487"</f>
        <v>20190303154613487</v>
      </c>
      <c r="B4865" t="str">
        <f>"1551599173476579"</f>
        <v>1551599173476579</v>
      </c>
      <c r="C4865" t="s">
        <v>40</v>
      </c>
      <c r="D4865">
        <v>5.3341059999999896</v>
      </c>
      <c r="E4865">
        <v>0.50093859999999901</v>
      </c>
      <c r="F4865" t="s">
        <v>41</v>
      </c>
      <c r="G4865">
        <v>-421.88029999999998</v>
      </c>
      <c r="H4865" s="1">
        <v>-1.8868249999999999E-6</v>
      </c>
      <c r="I4865">
        <v>92.821129999999997</v>
      </c>
      <c r="J4865">
        <v>-421.52249999999998</v>
      </c>
      <c r="K4865">
        <v>1.120414</v>
      </c>
      <c r="L4865">
        <v>110.41070000000001</v>
      </c>
      <c r="M4865">
        <v>-1.251651E-2</v>
      </c>
      <c r="N4865">
        <v>-1.05059E-2</v>
      </c>
      <c r="O4865">
        <v>-0.9998667</v>
      </c>
      <c r="P4865">
        <v>-1.7257499999999999E-2</v>
      </c>
      <c r="Q4865">
        <v>-8.4632929999999995E-2</v>
      </c>
      <c r="R4865">
        <v>-0.99626300000000001</v>
      </c>
      <c r="S4865">
        <v>-6.0699459999999997E-2</v>
      </c>
      <c r="T4865">
        <v>-0.1883833</v>
      </c>
      <c r="U4865">
        <v>-2.9941710000000001</v>
      </c>
      <c r="V4865">
        <v>4.7340409999999996E-3</v>
      </c>
      <c r="W4865">
        <v>-7.4163469999999995E-2</v>
      </c>
      <c r="X4865">
        <v>0.99723490000000004</v>
      </c>
      <c r="Y4865">
        <v>7.7214469999999898E-3</v>
      </c>
      <c r="Z4865">
        <v>5.2290499999999997E-2</v>
      </c>
      <c r="AA4865">
        <v>0.99860210000000005</v>
      </c>
      <c r="AB4865">
        <v>21</v>
      </c>
      <c r="AC4865">
        <v>-0.35779999999999701</v>
      </c>
      <c r="AD4865">
        <v>-1.120415886825</v>
      </c>
      <c r="AE4865">
        <v>-17.589569999999899</v>
      </c>
      <c r="AF4865">
        <v>0.13704402633672899</v>
      </c>
      <c r="AG4865">
        <v>-1.120415886825</v>
      </c>
      <c r="AH4865">
        <v>17.521607822917801</v>
      </c>
      <c r="AI4865">
        <v>93.658674718153506</v>
      </c>
      <c r="AJ4865">
        <v>89.551874218042499</v>
      </c>
      <c r="AK4865">
        <v>17.557928508931202</v>
      </c>
      <c r="AL4865">
        <v>94.253158638857101</v>
      </c>
      <c r="AM4865">
        <v>89.728009386909093</v>
      </c>
      <c r="AN4865">
        <v>1.00000003860231</v>
      </c>
    </row>
    <row r="4866" spans="1:40" x14ac:dyDescent="0.25">
      <c r="A4866" t="str">
        <f>"20190303154613508"</f>
        <v>20190303154613508</v>
      </c>
      <c r="B4866" t="str">
        <f>"1551599173496099"</f>
        <v>1551599173496099</v>
      </c>
      <c r="C4866" t="s">
        <v>40</v>
      </c>
      <c r="D4866">
        <v>5.3373869999999997</v>
      </c>
      <c r="E4866">
        <v>0.50087060000000005</v>
      </c>
      <c r="F4866" t="s">
        <v>41</v>
      </c>
      <c r="G4866">
        <v>-421.86799999999999</v>
      </c>
      <c r="H4866" s="1">
        <v>-1.8954600000000001E-6</v>
      </c>
      <c r="I4866">
        <v>92.8489</v>
      </c>
      <c r="J4866">
        <v>-421.52550000000002</v>
      </c>
      <c r="K4866">
        <v>1.12042</v>
      </c>
      <c r="L4866">
        <v>110.2025</v>
      </c>
      <c r="M4866">
        <v>-1.2947790000000001E-2</v>
      </c>
      <c r="N4866">
        <v>-1.050506E-2</v>
      </c>
      <c r="O4866">
        <v>-0.99986120000000001</v>
      </c>
      <c r="P4866">
        <v>-1.7207139999999999E-2</v>
      </c>
      <c r="Q4866">
        <v>-8.4502740000000007E-2</v>
      </c>
      <c r="R4866">
        <v>-0.99627509999999997</v>
      </c>
      <c r="S4866">
        <v>-5.8898930000000002E-2</v>
      </c>
      <c r="T4866">
        <v>-0.19101299999999999</v>
      </c>
      <c r="U4866">
        <v>-2.9940030000000002</v>
      </c>
      <c r="V4866">
        <v>4.2545689999999997E-3</v>
      </c>
      <c r="W4866">
        <v>-7.4033619999999994E-2</v>
      </c>
      <c r="X4866">
        <v>0.99724669999999904</v>
      </c>
      <c r="Y4866">
        <v>6.6904099999999999E-3</v>
      </c>
      <c r="Z4866">
        <v>5.3168310000000003E-2</v>
      </c>
      <c r="AA4866">
        <v>0.99856319999999998</v>
      </c>
      <c r="AB4866">
        <v>21</v>
      </c>
      <c r="AC4866">
        <v>-0.342500000000029</v>
      </c>
      <c r="AD4866">
        <v>-1.12042189546</v>
      </c>
      <c r="AE4866">
        <v>-17.3536</v>
      </c>
      <c r="AF4866">
        <v>0.11727947223306601</v>
      </c>
      <c r="AG4866">
        <v>-1.12042189546</v>
      </c>
      <c r="AH4866">
        <v>17.284556699874901</v>
      </c>
      <c r="AI4866">
        <v>93.7087607744553</v>
      </c>
      <c r="AJ4866">
        <v>89.611241654610893</v>
      </c>
      <c r="AK4866">
        <v>17.321229748768499</v>
      </c>
      <c r="AL4866">
        <v>94.245698311970003</v>
      </c>
      <c r="AM4866">
        <v>89.7555596139035</v>
      </c>
      <c r="AN4866">
        <v>1.0000000294542799</v>
      </c>
    </row>
    <row r="4867" spans="1:40" x14ac:dyDescent="0.25">
      <c r="A4867" t="str">
        <f>"20190303154613531"</f>
        <v>20190303154613531</v>
      </c>
      <c r="B4867" t="str">
        <f>"1551599173526356"</f>
        <v>1551599173526356</v>
      </c>
      <c r="C4867" t="s">
        <v>40</v>
      </c>
      <c r="D4867">
        <v>5.3273699999999904</v>
      </c>
      <c r="E4867">
        <v>0.50067890000000004</v>
      </c>
      <c r="F4867" t="s">
        <v>41</v>
      </c>
      <c r="G4867">
        <v>-421.86599999999999</v>
      </c>
      <c r="H4867" s="1">
        <v>-1.8445789999999999E-6</v>
      </c>
      <c r="I4867">
        <v>92.731489999999994</v>
      </c>
      <c r="J4867">
        <v>-421.529</v>
      </c>
      <c r="K4867">
        <v>1.1204289999999999</v>
      </c>
      <c r="L4867">
        <v>109.983</v>
      </c>
      <c r="M4867">
        <v>-1.3404299999999999E-2</v>
      </c>
      <c r="N4867">
        <v>-1.050452E-2</v>
      </c>
      <c r="O4867">
        <v>-0.99985500000000005</v>
      </c>
      <c r="P4867">
        <v>-1.799943E-2</v>
      </c>
      <c r="Q4867">
        <v>-8.4516430000000003E-2</v>
      </c>
      <c r="R4867">
        <v>-0.99625960000000002</v>
      </c>
      <c r="S4867">
        <v>-5.8349610000000003E-2</v>
      </c>
      <c r="T4867">
        <v>-0.1920019</v>
      </c>
      <c r="U4867">
        <v>-2.9939269999999998</v>
      </c>
      <c r="V4867">
        <v>4.5926300000000003E-3</v>
      </c>
      <c r="W4867">
        <v>-7.4048089999999997E-2</v>
      </c>
      <c r="X4867">
        <v>0.99724409999999997</v>
      </c>
      <c r="Y4867">
        <v>6.0510859999999998E-3</v>
      </c>
      <c r="Z4867">
        <v>5.3498610000000002E-2</v>
      </c>
      <c r="AA4867">
        <v>0.99854960000000004</v>
      </c>
      <c r="AB4867">
        <v>21</v>
      </c>
      <c r="AC4867">
        <v>-0.33699999999998898</v>
      </c>
      <c r="AD4867">
        <v>-1.1204308445790001</v>
      </c>
      <c r="AE4867">
        <v>-17.2515099999999</v>
      </c>
      <c r="AF4867">
        <v>0.105268686452167</v>
      </c>
      <c r="AG4867">
        <v>-1.1204308445790001</v>
      </c>
      <c r="AH4867">
        <v>17.182029714060999</v>
      </c>
      <c r="AI4867">
        <v>93.730874554955506</v>
      </c>
      <c r="AJ4867">
        <v>89.648971856940705</v>
      </c>
      <c r="AK4867">
        <v>17.218844092119099</v>
      </c>
      <c r="AL4867">
        <v>94.246529774461095</v>
      </c>
      <c r="AM4867">
        <v>89.736136362612001</v>
      </c>
      <c r="AN4867">
        <v>1.0000000034338801</v>
      </c>
    </row>
    <row r="4868" spans="1:40" x14ac:dyDescent="0.25">
      <c r="A4868" t="str">
        <f>"20190303154613554"</f>
        <v>20190303154613554</v>
      </c>
      <c r="B4868" t="str">
        <f>"1551599173546383"</f>
        <v>1551599173546383</v>
      </c>
      <c r="C4868" t="s">
        <v>40</v>
      </c>
      <c r="D4868">
        <v>5.3502890000000001</v>
      </c>
      <c r="E4868">
        <v>0.50064609999999998</v>
      </c>
      <c r="F4868" t="s">
        <v>41</v>
      </c>
      <c r="G4868">
        <v>-421.87360000000001</v>
      </c>
      <c r="H4868" s="1">
        <v>-1.8092829999999999E-6</v>
      </c>
      <c r="I4868">
        <v>92.64452</v>
      </c>
      <c r="J4868">
        <v>-421.5324</v>
      </c>
      <c r="K4868">
        <v>1.120422</v>
      </c>
      <c r="L4868">
        <v>109.7657</v>
      </c>
      <c r="M4868">
        <v>-1.385812E-2</v>
      </c>
      <c r="N4868">
        <v>-1.050421E-2</v>
      </c>
      <c r="O4868">
        <v>-0.99984899999999999</v>
      </c>
      <c r="P4868">
        <v>-1.9263639999999999E-2</v>
      </c>
      <c r="Q4868">
        <v>-8.5488830000000002E-2</v>
      </c>
      <c r="R4868">
        <v>-0.99615310000000001</v>
      </c>
      <c r="S4868">
        <v>-5.9509279999999998E-2</v>
      </c>
      <c r="T4868">
        <v>-0.1934612</v>
      </c>
      <c r="U4868">
        <v>-2.9937740000000002</v>
      </c>
      <c r="V4868">
        <v>5.4056299999999998E-3</v>
      </c>
      <c r="W4868">
        <v>-7.5022179999999994E-2</v>
      </c>
      <c r="X4868">
        <v>0.99716720000000003</v>
      </c>
      <c r="Y4868">
        <v>5.9843469999999897E-3</v>
      </c>
      <c r="Z4868">
        <v>5.3985999999999999E-2</v>
      </c>
      <c r="AA4868">
        <v>0.99852379999999996</v>
      </c>
      <c r="AB4868">
        <v>21</v>
      </c>
      <c r="AC4868">
        <v>-0.34120000000001399</v>
      </c>
      <c r="AD4868">
        <v>-1.1204238092829999</v>
      </c>
      <c r="AE4868">
        <v>-17.121179999999899</v>
      </c>
      <c r="AF4868">
        <v>0.103443999140376</v>
      </c>
      <c r="AG4868">
        <v>-1.1204238092829999</v>
      </c>
      <c r="AH4868">
        <v>17.051271287345699</v>
      </c>
      <c r="AI4868">
        <v>93.759381031081702</v>
      </c>
      <c r="AJ4868">
        <v>89.652411145373406</v>
      </c>
      <c r="AK4868">
        <v>17.088355763151299</v>
      </c>
      <c r="AL4868">
        <v>94.302496773471205</v>
      </c>
      <c r="AM4868">
        <v>89.689403391185294</v>
      </c>
      <c r="AN4868">
        <v>0.99999998654174405</v>
      </c>
    </row>
    <row r="4869" spans="1:40" x14ac:dyDescent="0.25">
      <c r="A4869" t="str">
        <f>"20190303154613574"</f>
        <v>20190303154613574</v>
      </c>
      <c r="B4869" t="str">
        <f>"1551599173565902"</f>
        <v>1551599173565902</v>
      </c>
      <c r="C4869" t="s">
        <v>40</v>
      </c>
      <c r="D4869">
        <v>5.3518589999999904</v>
      </c>
      <c r="E4869">
        <v>0.50057229999999997</v>
      </c>
      <c r="F4869" t="s">
        <v>41</v>
      </c>
      <c r="G4869">
        <v>-421.88799999999998</v>
      </c>
      <c r="H4869" s="1">
        <v>-1.8688880000000001E-6</v>
      </c>
      <c r="I4869">
        <v>92.774519999999995</v>
      </c>
      <c r="J4869">
        <v>-421.53559999999999</v>
      </c>
      <c r="K4869">
        <v>1.120411</v>
      </c>
      <c r="L4869">
        <v>109.5673</v>
      </c>
      <c r="M4869">
        <v>-1.4274820000000001E-2</v>
      </c>
      <c r="N4869">
        <v>-1.0504060000000001E-2</v>
      </c>
      <c r="O4869">
        <v>-0.99984309999999998</v>
      </c>
      <c r="P4869">
        <v>-2.0617340000000001E-2</v>
      </c>
      <c r="Q4869">
        <v>-8.6441229999999994E-2</v>
      </c>
      <c r="R4869">
        <v>-0.99604380000000003</v>
      </c>
      <c r="S4869">
        <v>-6.2652589999999994E-2</v>
      </c>
      <c r="T4869">
        <v>-0.1973906</v>
      </c>
      <c r="U4869">
        <v>-2.9934229999999999</v>
      </c>
      <c r="V4869">
        <v>6.3450030000000001E-3</v>
      </c>
      <c r="W4869">
        <v>-7.5976219999999997E-2</v>
      </c>
      <c r="X4869">
        <v>0.99708940000000001</v>
      </c>
      <c r="Y4869">
        <v>6.6161930000000002E-3</v>
      </c>
      <c r="Z4869">
        <v>5.5297209999999999E-2</v>
      </c>
      <c r="AA4869">
        <v>0.998448</v>
      </c>
      <c r="AB4869">
        <v>21</v>
      </c>
      <c r="AC4869">
        <v>-0.35240000000004501</v>
      </c>
      <c r="AD4869">
        <v>-1.120412868888</v>
      </c>
      <c r="AE4869">
        <v>-16.79278</v>
      </c>
      <c r="AF4869">
        <v>0.112138024151637</v>
      </c>
      <c r="AG4869">
        <v>-1.120412868888</v>
      </c>
      <c r="AH4869">
        <v>16.721694864110599</v>
      </c>
      <c r="AI4869">
        <v>93.833204886716103</v>
      </c>
      <c r="AJ4869">
        <v>89.615772250037793</v>
      </c>
      <c r="AK4869">
        <v>16.759563808812398</v>
      </c>
      <c r="AL4869">
        <v>94.357315825751101</v>
      </c>
      <c r="AM4869">
        <v>89.635401814647196</v>
      </c>
      <c r="AN4869">
        <v>0.99999995833045796</v>
      </c>
    </row>
    <row r="4870" spans="1:40" x14ac:dyDescent="0.25">
      <c r="A4870" t="str">
        <f>"20190303154613597"</f>
        <v>20190303154613597</v>
      </c>
      <c r="B4870" t="str">
        <f>"1551599173586398"</f>
        <v>1551599173586398</v>
      </c>
      <c r="C4870" t="s">
        <v>40</v>
      </c>
      <c r="D4870">
        <v>5.3279759999999996</v>
      </c>
      <c r="E4870">
        <v>0.50045289999999998</v>
      </c>
      <c r="F4870" t="s">
        <v>41</v>
      </c>
      <c r="G4870">
        <v>-421.90199999999999</v>
      </c>
      <c r="H4870" s="1">
        <v>-1.9203800000000002E-6</v>
      </c>
      <c r="I4870">
        <v>92.885890000000003</v>
      </c>
      <c r="J4870">
        <v>-421.53919999999999</v>
      </c>
      <c r="K4870">
        <v>1.120411</v>
      </c>
      <c r="L4870">
        <v>109.3515</v>
      </c>
      <c r="M4870">
        <v>-1.4729229999999999E-2</v>
      </c>
      <c r="N4870">
        <v>-1.050414E-2</v>
      </c>
      <c r="O4870">
        <v>-0.99983659999999996</v>
      </c>
      <c r="P4870">
        <v>-2.1591610000000001E-2</v>
      </c>
      <c r="Q4870">
        <v>-8.6738800000000005E-2</v>
      </c>
      <c r="R4870">
        <v>-0.99599760000000004</v>
      </c>
      <c r="S4870">
        <v>-6.5734860000000006E-2</v>
      </c>
      <c r="T4870">
        <v>-0.20103409999999999</v>
      </c>
      <c r="U4870">
        <v>-2.9931179999999999</v>
      </c>
      <c r="V4870">
        <v>6.8668089999999998E-3</v>
      </c>
      <c r="W4870">
        <v>-7.6274359999999999E-2</v>
      </c>
      <c r="X4870">
        <v>0.99706320000000004</v>
      </c>
      <c r="Y4870">
        <v>7.1898029999999998E-3</v>
      </c>
      <c r="Z4870">
        <v>5.6512119999999999E-2</v>
      </c>
      <c r="AA4870">
        <v>0.99837600000000004</v>
      </c>
      <c r="AB4870">
        <v>21</v>
      </c>
      <c r="AC4870">
        <v>-0.36279999999999202</v>
      </c>
      <c r="AD4870">
        <v>-1.12041292038</v>
      </c>
      <c r="AE4870">
        <v>-16.465609999999899</v>
      </c>
      <c r="AF4870">
        <v>0.11966774566631699</v>
      </c>
      <c r="AG4870">
        <v>-1.12041292038</v>
      </c>
      <c r="AH4870">
        <v>16.393300088179501</v>
      </c>
      <c r="AI4870">
        <v>93.909740779764604</v>
      </c>
      <c r="AJ4870">
        <v>89.581759929311303</v>
      </c>
      <c r="AK4870">
        <v>16.431978981930701</v>
      </c>
      <c r="AL4870">
        <v>94.374447616596797</v>
      </c>
      <c r="AM4870">
        <v>89.605408208664798</v>
      </c>
      <c r="AN4870">
        <v>0.999999977926745</v>
      </c>
    </row>
    <row r="4871" spans="1:40" x14ac:dyDescent="0.25">
      <c r="A4871" t="str">
        <f>"20190303154613619"</f>
        <v>20190303154613619</v>
      </c>
      <c r="B4871" t="str">
        <f>"1551599173615678"</f>
        <v>1551599173615678</v>
      </c>
      <c r="C4871" t="s">
        <v>40</v>
      </c>
      <c r="D4871">
        <v>5.332198</v>
      </c>
      <c r="E4871">
        <v>0.50029769999999996</v>
      </c>
      <c r="F4871" t="s">
        <v>41</v>
      </c>
      <c r="G4871">
        <v>-421.91559999999998</v>
      </c>
      <c r="H4871" s="1">
        <v>-1.90033E-6</v>
      </c>
      <c r="I4871">
        <v>92.830730000000003</v>
      </c>
      <c r="J4871">
        <v>-421.54289999999997</v>
      </c>
      <c r="K4871">
        <v>1.12042</v>
      </c>
      <c r="L4871">
        <v>109.1365</v>
      </c>
      <c r="M4871">
        <v>-1.5184130000000001E-2</v>
      </c>
      <c r="N4871">
        <v>-1.050441E-2</v>
      </c>
      <c r="O4871">
        <v>-0.99982969999999904</v>
      </c>
      <c r="P4871">
        <v>-2.1443670000000001E-2</v>
      </c>
      <c r="Q4871">
        <v>-8.5965890000000003E-2</v>
      </c>
      <c r="R4871">
        <v>-0.99606760000000005</v>
      </c>
      <c r="S4871">
        <v>-6.8176269999999997E-2</v>
      </c>
      <c r="T4871">
        <v>-0.2029736</v>
      </c>
      <c r="U4871">
        <v>-2.9929049999999999</v>
      </c>
      <c r="V4871">
        <v>6.2649639999999996E-3</v>
      </c>
      <c r="W4871">
        <v>-7.5500079999999997E-2</v>
      </c>
      <c r="X4871">
        <v>0.99712610000000002</v>
      </c>
      <c r="Y4871">
        <v>7.5493849999999996E-3</v>
      </c>
      <c r="Z4871">
        <v>5.71592E-2</v>
      </c>
      <c r="AA4871">
        <v>0.99833660000000002</v>
      </c>
      <c r="AB4871">
        <v>21</v>
      </c>
      <c r="AC4871">
        <v>-0.37270000000000802</v>
      </c>
      <c r="AD4871">
        <v>-1.12042190033</v>
      </c>
      <c r="AE4871">
        <v>-16.3057699999999</v>
      </c>
      <c r="AF4871">
        <v>0.124467111408888</v>
      </c>
      <c r="AG4871">
        <v>-1.12042190033</v>
      </c>
      <c r="AH4871">
        <v>16.232945480112701</v>
      </c>
      <c r="AI4871">
        <v>93.948261699550002</v>
      </c>
      <c r="AJ4871">
        <v>89.56068968324</v>
      </c>
      <c r="AK4871">
        <v>16.272042166147202</v>
      </c>
      <c r="AL4871">
        <v>94.329956310418595</v>
      </c>
      <c r="AM4871">
        <v>89.640014164016804</v>
      </c>
      <c r="AN4871">
        <v>0.99999998557756797</v>
      </c>
    </row>
    <row r="4872" spans="1:40" x14ac:dyDescent="0.25">
      <c r="A4872" t="str">
        <f>"20190303154613642"</f>
        <v>20190303154613642</v>
      </c>
      <c r="B4872" t="str">
        <f>"1551599173636175"</f>
        <v>1551599173636175</v>
      </c>
      <c r="C4872" t="s">
        <v>40</v>
      </c>
      <c r="D4872">
        <v>5.3528500000000001</v>
      </c>
      <c r="E4872">
        <v>0.50021170000000004</v>
      </c>
      <c r="F4872" t="s">
        <v>41</v>
      </c>
      <c r="G4872">
        <v>-421.91320000000002</v>
      </c>
      <c r="H4872" s="1">
        <v>-1.7440989999999999E-6</v>
      </c>
      <c r="I4872">
        <v>92.468000000000004</v>
      </c>
      <c r="J4872">
        <v>-421.54669999999999</v>
      </c>
      <c r="K4872">
        <v>1.1204190000000001</v>
      </c>
      <c r="L4872">
        <v>108.9229</v>
      </c>
      <c r="M4872">
        <v>-1.5636810000000001E-2</v>
      </c>
      <c r="N4872">
        <v>-1.050479E-2</v>
      </c>
      <c r="O4872">
        <v>-0.99982280000000001</v>
      </c>
      <c r="P4872">
        <v>-2.0736520000000001E-2</v>
      </c>
      <c r="Q4872">
        <v>-8.532112E-2</v>
      </c>
      <c r="R4872">
        <v>-0.99613819999999997</v>
      </c>
      <c r="S4872">
        <v>-6.6497799999999996E-2</v>
      </c>
      <c r="T4872">
        <v>-0.20118559999999999</v>
      </c>
      <c r="U4872">
        <v>-2.993042</v>
      </c>
      <c r="V4872">
        <v>5.1059429999999999E-3</v>
      </c>
      <c r="W4872">
        <v>-7.4853539999999996E-2</v>
      </c>
      <c r="X4872">
        <v>0.99718150000000005</v>
      </c>
      <c r="Y4872">
        <v>6.5372099999999999E-3</v>
      </c>
      <c r="Z4872">
        <v>5.6562170000000002E-2</v>
      </c>
      <c r="AA4872">
        <v>0.99837770000000003</v>
      </c>
      <c r="AB4872">
        <v>21</v>
      </c>
      <c r="AC4872">
        <v>-0.36650000000003002</v>
      </c>
      <c r="AD4872">
        <v>-1.1204207440989999</v>
      </c>
      <c r="AE4872">
        <v>-16.454899999999999</v>
      </c>
      <c r="AF4872">
        <v>0.10863548915063601</v>
      </c>
      <c r="AG4872">
        <v>-1.1204207440989999</v>
      </c>
      <c r="AH4872">
        <v>16.382701666184399</v>
      </c>
      <c r="AI4872">
        <v>93.912307645961107</v>
      </c>
      <c r="AJ4872">
        <v>89.620070979057104</v>
      </c>
      <c r="AK4872">
        <v>16.421329367518101</v>
      </c>
      <c r="AL4872">
        <v>94.292806965830493</v>
      </c>
      <c r="AM4872">
        <v>89.706626699684705</v>
      </c>
      <c r="AN4872">
        <v>1.0000000335233401</v>
      </c>
    </row>
    <row r="4873" spans="1:40" x14ac:dyDescent="0.25">
      <c r="A4873" t="str">
        <f>"20190303154613664"</f>
        <v>20190303154613664</v>
      </c>
      <c r="B4873" t="str">
        <f>"1551599173656202"</f>
        <v>1551599173656202</v>
      </c>
      <c r="C4873" t="s">
        <v>40</v>
      </c>
      <c r="D4873">
        <v>5.3528370000000001</v>
      </c>
      <c r="E4873">
        <v>0.50019089999999999</v>
      </c>
      <c r="F4873" t="s">
        <v>41</v>
      </c>
      <c r="G4873">
        <v>-421.90170000000001</v>
      </c>
      <c r="H4873" s="1">
        <v>-1.5978430000000001E-6</v>
      </c>
      <c r="I4873">
        <v>92.134230000000002</v>
      </c>
      <c r="J4873">
        <v>-421.55059999999997</v>
      </c>
      <c r="K4873">
        <v>1.1204160000000001</v>
      </c>
      <c r="L4873">
        <v>108.7072</v>
      </c>
      <c r="M4873">
        <v>-1.609406E-2</v>
      </c>
      <c r="N4873">
        <v>-1.050534E-2</v>
      </c>
      <c r="O4873">
        <v>-0.99981560000000003</v>
      </c>
      <c r="P4873">
        <v>-2.0591040000000001E-2</v>
      </c>
      <c r="Q4873">
        <v>-8.5732729999999993E-2</v>
      </c>
      <c r="R4873">
        <v>-0.99610600000000005</v>
      </c>
      <c r="S4873">
        <v>-6.3293459999999996E-2</v>
      </c>
      <c r="T4873">
        <v>-0.19975589999999999</v>
      </c>
      <c r="U4873">
        <v>-2.9931950000000001</v>
      </c>
      <c r="V4873">
        <v>4.5047960000000001E-3</v>
      </c>
      <c r="W4873">
        <v>-7.5264510000000007E-2</v>
      </c>
      <c r="X4873">
        <v>0.99715339999999997</v>
      </c>
      <c r="Y4873">
        <v>5.0116500000000003E-3</v>
      </c>
      <c r="Z4873">
        <v>5.6083920000000002E-2</v>
      </c>
      <c r="AA4873">
        <v>0.99841349999999995</v>
      </c>
      <c r="AB4873">
        <v>22</v>
      </c>
      <c r="AC4873">
        <v>-0.35110000000003</v>
      </c>
      <c r="AD4873">
        <v>-1.120417597843</v>
      </c>
      <c r="AE4873">
        <v>-16.572969999999899</v>
      </c>
      <c r="AF4873">
        <v>8.3930083978642295E-2</v>
      </c>
      <c r="AG4873">
        <v>-1.120417597843</v>
      </c>
      <c r="AH4873">
        <v>16.5010905947094</v>
      </c>
      <c r="AI4873">
        <v>93.884348762262107</v>
      </c>
      <c r="AJ4873">
        <v>89.708576951949098</v>
      </c>
      <c r="AK4873">
        <v>16.539297768265701</v>
      </c>
      <c r="AL4873">
        <v>94.316420691781701</v>
      </c>
      <c r="AM4873">
        <v>89.741159141134503</v>
      </c>
      <c r="AN4873">
        <v>0.99999997139204999</v>
      </c>
    </row>
    <row r="4874" spans="1:40" x14ac:dyDescent="0.25">
      <c r="A4874" t="str">
        <f>"20190303154613688"</f>
        <v>20190303154613688</v>
      </c>
      <c r="B4874" t="str">
        <f>"1551599173675721"</f>
        <v>1551599173675721</v>
      </c>
      <c r="C4874" t="s">
        <v>40</v>
      </c>
      <c r="D4874">
        <v>5.4696300000000004</v>
      </c>
      <c r="E4874">
        <v>0.52225710000000003</v>
      </c>
      <c r="F4874" t="s">
        <v>41</v>
      </c>
      <c r="G4874">
        <v>-421.90129999999999</v>
      </c>
      <c r="H4874" s="1">
        <v>-1.550455E-6</v>
      </c>
      <c r="I4874">
        <v>92.023989999999998</v>
      </c>
      <c r="J4874">
        <v>-421.5548</v>
      </c>
      <c r="K4874">
        <v>1.1204149999999999</v>
      </c>
      <c r="L4874">
        <v>108.47799999999999</v>
      </c>
      <c r="M4874">
        <v>-1.6580549999999999E-2</v>
      </c>
      <c r="N4874">
        <v>-1.050598E-2</v>
      </c>
      <c r="O4874">
        <v>-0.99980749999999996</v>
      </c>
      <c r="P4874">
        <v>-2.0569090000000002E-2</v>
      </c>
      <c r="Q4874">
        <v>-8.6169480000000007E-2</v>
      </c>
      <c r="R4874">
        <v>-0.99606839999999996</v>
      </c>
      <c r="S4874">
        <v>-6.2927250000000004E-2</v>
      </c>
      <c r="T4874">
        <v>-0.20101450000000001</v>
      </c>
      <c r="U4874">
        <v>-2.993134</v>
      </c>
      <c r="V4874">
        <v>3.9982150000000003E-3</v>
      </c>
      <c r="W4874">
        <v>-7.5700660000000003E-2</v>
      </c>
      <c r="X4874">
        <v>0.99712259999999997</v>
      </c>
      <c r="Y4874">
        <v>4.4031419999999996E-3</v>
      </c>
      <c r="Z4874">
        <v>5.6501879999999997E-2</v>
      </c>
      <c r="AA4874">
        <v>0.99839279999999997</v>
      </c>
      <c r="AB4874">
        <v>22</v>
      </c>
      <c r="AC4874">
        <v>-0.34649999999999098</v>
      </c>
      <c r="AD4874">
        <v>-1.1204165504550001</v>
      </c>
      <c r="AE4874">
        <v>-16.454009999999901</v>
      </c>
      <c r="AF4874">
        <v>7.32811769632781E-2</v>
      </c>
      <c r="AG4874">
        <v>-1.1204165504550001</v>
      </c>
      <c r="AH4874">
        <v>16.381569454698699</v>
      </c>
      <c r="AI4874">
        <v>93.912609332612107</v>
      </c>
      <c r="AJ4874">
        <v>89.743695244669595</v>
      </c>
      <c r="AK4874">
        <v>16.420003689906601</v>
      </c>
      <c r="AL4874">
        <v>94.341481498875197</v>
      </c>
      <c r="AM4874">
        <v>89.770259326818703</v>
      </c>
      <c r="AN4874">
        <v>1.00000002753919</v>
      </c>
    </row>
    <row r="4875" spans="1:40" x14ac:dyDescent="0.25">
      <c r="A4875" t="str">
        <f>"20190303154613710"</f>
        <v>20190303154613710</v>
      </c>
      <c r="B4875" t="str">
        <f>"1551599173705977"</f>
        <v>1551599173705977</v>
      </c>
      <c r="C4875" t="s">
        <v>40</v>
      </c>
      <c r="D4875">
        <v>5.4893400000000003</v>
      </c>
      <c r="E4875">
        <v>0.52461579999999997</v>
      </c>
      <c r="F4875" t="s">
        <v>41</v>
      </c>
      <c r="G4875">
        <v>-423.02390000000003</v>
      </c>
      <c r="H4875" s="1">
        <v>-1.006752E-6</v>
      </c>
      <c r="I4875">
        <v>90.060360000000003</v>
      </c>
      <c r="J4875">
        <v>-421.55900000000003</v>
      </c>
      <c r="K4875">
        <v>1.120417</v>
      </c>
      <c r="L4875">
        <v>108.2627</v>
      </c>
      <c r="M4875">
        <v>-1.7036409999999998E-2</v>
      </c>
      <c r="N4875">
        <v>-1.050659E-2</v>
      </c>
      <c r="O4875">
        <v>-0.99979969999999996</v>
      </c>
      <c r="P4875">
        <v>-2.1507200000000001E-2</v>
      </c>
      <c r="Q4875">
        <v>-8.563983E-2</v>
      </c>
      <c r="R4875">
        <v>-0.99609409999999998</v>
      </c>
      <c r="S4875">
        <v>-0.2385864</v>
      </c>
      <c r="T4875">
        <v>-0.18196399999999999</v>
      </c>
      <c r="U4875">
        <v>-2.9911650000000001</v>
      </c>
      <c r="V4875">
        <v>4.4817640000000001E-3</v>
      </c>
      <c r="W4875">
        <v>-7.5170329999999994E-2</v>
      </c>
      <c r="X4875">
        <v>0.99716059999999995</v>
      </c>
      <c r="Y4875">
        <v>6.2393200000000003E-2</v>
      </c>
      <c r="Z4875">
        <v>5.0069950000000002E-2</v>
      </c>
      <c r="AA4875">
        <v>0.99679490000000004</v>
      </c>
      <c r="AB4875">
        <v>22</v>
      </c>
      <c r="AC4875">
        <v>-1.4649000000000001</v>
      </c>
      <c r="AD4875">
        <v>-1.120418006752</v>
      </c>
      <c r="AE4875">
        <v>-18.2023399999999</v>
      </c>
      <c r="AF4875">
        <v>1.1502377249359801</v>
      </c>
      <c r="AG4875">
        <v>-1.120418006752</v>
      </c>
      <c r="AH4875">
        <v>18.156307438054998</v>
      </c>
      <c r="AI4875">
        <v>93.524173194988904</v>
      </c>
      <c r="AJ4875">
        <v>86.375044243824703</v>
      </c>
      <c r="AK4875">
        <v>18.2271743042878</v>
      </c>
      <c r="AL4875">
        <v>94.311009279608101</v>
      </c>
      <c r="AM4875">
        <v>89.7424843772381</v>
      </c>
      <c r="AN4875">
        <v>0.99999996345660902</v>
      </c>
    </row>
    <row r="4876" spans="1:40" x14ac:dyDescent="0.25">
      <c r="A4876" t="str">
        <f>"20190303154613731"</f>
        <v>20190303154613731</v>
      </c>
      <c r="B4876" t="str">
        <f>"1551599173726474"</f>
        <v>1551599173726474</v>
      </c>
      <c r="C4876" t="s">
        <v>40</v>
      </c>
      <c r="D4876">
        <v>5.4754379999999996</v>
      </c>
      <c r="E4876">
        <v>0.52492620000000001</v>
      </c>
      <c r="F4876" t="s">
        <v>41</v>
      </c>
      <c r="G4876">
        <v>-422.87139999999999</v>
      </c>
      <c r="H4876" s="1">
        <v>-2.321303E-6</v>
      </c>
      <c r="I4876">
        <v>93.219220000000007</v>
      </c>
      <c r="J4876">
        <v>-421.56299999999999</v>
      </c>
      <c r="K4876">
        <v>1.120414</v>
      </c>
      <c r="L4876">
        <v>108.0575</v>
      </c>
      <c r="M4876">
        <v>-1.7467219999999999E-2</v>
      </c>
      <c r="N4876">
        <v>-1.050712E-2</v>
      </c>
      <c r="O4876">
        <v>-0.99979249999999997</v>
      </c>
      <c r="P4876">
        <v>-2.2116730000000001E-2</v>
      </c>
      <c r="Q4876">
        <v>-8.4273730000000005E-2</v>
      </c>
      <c r="R4876">
        <v>-0.99619760000000002</v>
      </c>
      <c r="S4876">
        <v>-0.26058959999999998</v>
      </c>
      <c r="T4876">
        <v>-0.2224669</v>
      </c>
      <c r="U4876">
        <v>-2.9869840000000001</v>
      </c>
      <c r="V4876">
        <v>4.6611669999999999E-3</v>
      </c>
      <c r="W4876">
        <v>-7.3802640000000003E-2</v>
      </c>
      <c r="X4876">
        <v>0.99726199999999998</v>
      </c>
      <c r="Y4876">
        <v>6.9289749999999997E-2</v>
      </c>
      <c r="Z4876">
        <v>6.3552769999999995E-2</v>
      </c>
      <c r="AA4876">
        <v>0.99557019999999996</v>
      </c>
      <c r="AB4876">
        <v>22</v>
      </c>
      <c r="AC4876">
        <v>-1.3083999999999401</v>
      </c>
      <c r="AD4876">
        <v>-1.1204163213030001</v>
      </c>
      <c r="AE4876">
        <v>-14.838279999999999</v>
      </c>
      <c r="AF4876">
        <v>1.04310123299785</v>
      </c>
      <c r="AG4876">
        <v>-1.1204163213030001</v>
      </c>
      <c r="AH4876">
        <v>14.7752795229986</v>
      </c>
      <c r="AI4876">
        <v>94.325740976008504</v>
      </c>
      <c r="AJ4876">
        <v>85.961747921208996</v>
      </c>
      <c r="AK4876">
        <v>14.854368983503299</v>
      </c>
      <c r="AL4876">
        <v>94.232427842259398</v>
      </c>
      <c r="AM4876">
        <v>89.732203521273703</v>
      </c>
      <c r="AN4876">
        <v>1.00000002639638</v>
      </c>
    </row>
    <row r="4877" spans="1:40" x14ac:dyDescent="0.25">
      <c r="A4877" t="str">
        <f>"20190303154613754"</f>
        <v>20190303154613754</v>
      </c>
      <c r="B4877" t="str">
        <f>"1551599173746297"</f>
        <v>1551599173746297</v>
      </c>
      <c r="C4877" t="s">
        <v>40</v>
      </c>
      <c r="D4877">
        <v>5.4136739999999897</v>
      </c>
      <c r="E4877">
        <v>0.52529389999999998</v>
      </c>
      <c r="F4877" t="s">
        <v>41</v>
      </c>
      <c r="G4877">
        <v>-422.90320000000003</v>
      </c>
      <c r="H4877" s="1">
        <v>-2.2095109999999999E-6</v>
      </c>
      <c r="I4877">
        <v>92.938900000000004</v>
      </c>
      <c r="J4877">
        <v>-421.56729999999999</v>
      </c>
      <c r="K4877">
        <v>1.1204209999999999</v>
      </c>
      <c r="L4877">
        <v>107.8403</v>
      </c>
      <c r="M4877">
        <v>-1.791622E-2</v>
      </c>
      <c r="N4877">
        <v>-1.0507789999999999E-2</v>
      </c>
      <c r="O4877">
        <v>-0.99978440000000002</v>
      </c>
      <c r="P4877">
        <v>-2.2746479999999999E-2</v>
      </c>
      <c r="Q4877">
        <v>-8.3473329999999998E-2</v>
      </c>
      <c r="R4877">
        <v>-0.99625070000000004</v>
      </c>
      <c r="S4877">
        <v>-0.26477050000000002</v>
      </c>
      <c r="T4877">
        <v>-0.22135009999999999</v>
      </c>
      <c r="U4877">
        <v>-2.986847</v>
      </c>
      <c r="V4877">
        <v>4.843539E-3</v>
      </c>
      <c r="W4877">
        <v>-7.3000999999999996E-2</v>
      </c>
      <c r="X4877">
        <v>0.99732010000000004</v>
      </c>
      <c r="Y4877">
        <v>7.0230360000000006E-2</v>
      </c>
      <c r="Z4877">
        <v>6.3178129999999999E-2</v>
      </c>
      <c r="AA4877">
        <v>0.99552810000000003</v>
      </c>
      <c r="AB4877">
        <v>22</v>
      </c>
      <c r="AC4877">
        <v>-1.3359000000000301</v>
      </c>
      <c r="AD4877">
        <v>-1.1204232095109901</v>
      </c>
      <c r="AE4877">
        <v>-14.901399999999899</v>
      </c>
      <c r="AF4877">
        <v>1.0627339231530699</v>
      </c>
      <c r="AG4877">
        <v>-1.1204232095109901</v>
      </c>
      <c r="AH4877">
        <v>14.839717498087399</v>
      </c>
      <c r="AI4877">
        <v>94.306746133499203</v>
      </c>
      <c r="AJ4877">
        <v>85.903803818266098</v>
      </c>
      <c r="AK4877">
        <v>14.9198514397052</v>
      </c>
      <c r="AL4877">
        <v>94.186373154671898</v>
      </c>
      <c r="AM4877">
        <v>89.721742135940801</v>
      </c>
      <c r="AN4877">
        <v>0.99999999386752703</v>
      </c>
    </row>
    <row r="4878" spans="1:40" x14ac:dyDescent="0.25">
      <c r="A4878" t="str">
        <f>"20190303154613776"</f>
        <v>20190303154613776</v>
      </c>
      <c r="B4878" t="str">
        <f>"1551599173765819"</f>
        <v>1551599173765819</v>
      </c>
      <c r="C4878" t="s">
        <v>40</v>
      </c>
      <c r="D4878">
        <v>5.5760940000000003</v>
      </c>
      <c r="E4878">
        <v>0.52604969999999995</v>
      </c>
      <c r="F4878" t="s">
        <v>41</v>
      </c>
      <c r="G4878">
        <v>-422.9443</v>
      </c>
      <c r="H4878" s="1">
        <v>-2.0654889999999999E-6</v>
      </c>
      <c r="I4878">
        <v>92.577659999999995</v>
      </c>
      <c r="J4878">
        <v>-421.57170000000002</v>
      </c>
      <c r="K4878">
        <v>1.12043</v>
      </c>
      <c r="L4878">
        <v>107.6204</v>
      </c>
      <c r="M4878">
        <v>-1.8358300000000001E-2</v>
      </c>
      <c r="N4878">
        <v>-1.050857E-2</v>
      </c>
      <c r="O4878">
        <v>-0.99977629999999995</v>
      </c>
      <c r="P4878">
        <v>-2.3219030000000002E-2</v>
      </c>
      <c r="Q4878">
        <v>-8.2871539999999994E-2</v>
      </c>
      <c r="R4878">
        <v>-0.99628989999999995</v>
      </c>
      <c r="S4878">
        <v>-0.26947019999999999</v>
      </c>
      <c r="T4878">
        <v>-0.21925810000000001</v>
      </c>
      <c r="U4878">
        <v>-2.9867710000000001</v>
      </c>
      <c r="V4878">
        <v>4.8762930000000003E-3</v>
      </c>
      <c r="W4878">
        <v>-7.2397899999999904E-2</v>
      </c>
      <c r="X4878">
        <v>0.99736389999999997</v>
      </c>
      <c r="Y4878">
        <v>7.1349259999999998E-2</v>
      </c>
      <c r="Z4878">
        <v>6.2477850000000001E-2</v>
      </c>
      <c r="AA4878">
        <v>0.99549279999999996</v>
      </c>
      <c r="AB4878">
        <v>22</v>
      </c>
      <c r="AC4878">
        <v>-1.3725999999999701</v>
      </c>
      <c r="AD4878">
        <v>-1.1204320654889901</v>
      </c>
      <c r="AE4878">
        <v>-15.04274</v>
      </c>
      <c r="AF4878">
        <v>1.09019608642717</v>
      </c>
      <c r="AG4878">
        <v>-1.1204320654889901</v>
      </c>
      <c r="AH4878">
        <v>14.9829691270255</v>
      </c>
      <c r="AI4878">
        <v>94.265405375844395</v>
      </c>
      <c r="AJ4878">
        <v>85.838358343303099</v>
      </c>
      <c r="AK4878">
        <v>15.064304145284501</v>
      </c>
      <c r="AL4878">
        <v>94.151726399760193</v>
      </c>
      <c r="AM4878">
        <v>89.719872774215304</v>
      </c>
      <c r="AN4878">
        <v>0.99999999159052</v>
      </c>
    </row>
    <row r="4879" spans="1:40" x14ac:dyDescent="0.25">
      <c r="A4879" t="str">
        <f>"20190303154613798"</f>
        <v>20190303154613798</v>
      </c>
      <c r="B4879" t="str">
        <f>"1551599173796073"</f>
        <v>1551599173796073</v>
      </c>
      <c r="C4879" t="s">
        <v>40</v>
      </c>
      <c r="D4879">
        <v>4.8612849999999996</v>
      </c>
      <c r="E4879">
        <v>0.52604839999999997</v>
      </c>
      <c r="F4879" t="s">
        <v>41</v>
      </c>
      <c r="G4879">
        <v>-423.00049999999999</v>
      </c>
      <c r="H4879" s="1">
        <v>-1.9364350000000001E-6</v>
      </c>
      <c r="I4879">
        <v>92.242019999999997</v>
      </c>
      <c r="J4879">
        <v>-421.57619999999997</v>
      </c>
      <c r="K4879">
        <v>1.1204430000000001</v>
      </c>
      <c r="L4879">
        <v>107.4067</v>
      </c>
      <c r="M4879">
        <v>-1.877289E-2</v>
      </c>
      <c r="N4879">
        <v>-1.0509360000000001E-2</v>
      </c>
      <c r="O4879">
        <v>-0.99976860000000001</v>
      </c>
      <c r="P4879">
        <v>-2.3803149999999999E-2</v>
      </c>
      <c r="Q4879">
        <v>-8.2956559999999999E-2</v>
      </c>
      <c r="R4879">
        <v>-0.99626930000000002</v>
      </c>
      <c r="S4879">
        <v>-0.27746579999999998</v>
      </c>
      <c r="T4879">
        <v>-0.2175974</v>
      </c>
      <c r="U4879">
        <v>-2.986618</v>
      </c>
      <c r="V4879">
        <v>5.0492169999999999E-3</v>
      </c>
      <c r="W4879">
        <v>-7.2482190000000002E-2</v>
      </c>
      <c r="X4879">
        <v>0.99735700000000005</v>
      </c>
      <c r="Y4879">
        <v>7.3585410000000004E-2</v>
      </c>
      <c r="Z4879">
        <v>6.1915619999999998E-2</v>
      </c>
      <c r="AA4879">
        <v>0.9953651</v>
      </c>
      <c r="AB4879">
        <v>22</v>
      </c>
      <c r="AC4879">
        <v>-1.4243000000000099</v>
      </c>
      <c r="AD4879">
        <v>-1.120444936435</v>
      </c>
      <c r="AE4879">
        <v>-15.164680000000001</v>
      </c>
      <c r="AF4879">
        <v>1.13321624456475</v>
      </c>
      <c r="AG4879">
        <v>-1.120444936435</v>
      </c>
      <c r="AH4879">
        <v>15.106998745414501</v>
      </c>
      <c r="AI4879">
        <v>94.229865157313398</v>
      </c>
      <c r="AJ4879">
        <v>85.710125047639494</v>
      </c>
      <c r="AK4879">
        <v>15.190819168381999</v>
      </c>
      <c r="AL4879">
        <v>94.156568239639299</v>
      </c>
      <c r="AM4879">
        <v>89.709937011102497</v>
      </c>
      <c r="AN4879">
        <v>1.0000000739542501</v>
      </c>
    </row>
    <row r="4880" spans="1:40" x14ac:dyDescent="0.25">
      <c r="A4880" t="str">
        <f>"20190303154613822"</f>
        <v>20190303154613822</v>
      </c>
      <c r="B4880" t="str">
        <f>"1551599173816569"</f>
        <v>1551599173816569</v>
      </c>
      <c r="C4880" t="s">
        <v>40</v>
      </c>
      <c r="D4880">
        <v>5.457967</v>
      </c>
      <c r="E4880">
        <v>0.52608710000000003</v>
      </c>
      <c r="F4880" t="s">
        <v>41</v>
      </c>
      <c r="G4880">
        <v>-422.99900000000002</v>
      </c>
      <c r="H4880" s="1">
        <v>-1.9111650000000001E-6</v>
      </c>
      <c r="I4880">
        <v>92.184010000000001</v>
      </c>
      <c r="J4880">
        <v>-421.58089999999999</v>
      </c>
      <c r="K4880">
        <v>1.1204529999999999</v>
      </c>
      <c r="L4880">
        <v>107.1798</v>
      </c>
      <c r="M4880">
        <v>-1.919156E-2</v>
      </c>
      <c r="N4880">
        <v>-1.0510169999999999E-2</v>
      </c>
      <c r="O4880">
        <v>-0.99976069999999995</v>
      </c>
      <c r="P4880">
        <v>-2.454661E-2</v>
      </c>
      <c r="Q4880">
        <v>-8.3706920000000004E-2</v>
      </c>
      <c r="R4880">
        <v>-0.99618830000000003</v>
      </c>
      <c r="S4880">
        <v>-0.27911380000000002</v>
      </c>
      <c r="T4880">
        <v>-0.2198</v>
      </c>
      <c r="U4880">
        <v>-2.9862669999999998</v>
      </c>
      <c r="V4880">
        <v>5.3788119999999898E-3</v>
      </c>
      <c r="W4880">
        <v>-7.3232389999999994E-2</v>
      </c>
      <c r="X4880">
        <v>0.99730039999999998</v>
      </c>
      <c r="Y4880">
        <v>7.3718489999999998E-2</v>
      </c>
      <c r="Z4880">
        <v>6.2649910000000003E-2</v>
      </c>
      <c r="AA4880">
        <v>0.99530929999999995</v>
      </c>
      <c r="AB4880">
        <v>22</v>
      </c>
      <c r="AC4880">
        <v>-1.4181000000000299</v>
      </c>
      <c r="AD4880">
        <v>-1.120454911165</v>
      </c>
      <c r="AE4880">
        <v>-14.99579</v>
      </c>
      <c r="AF4880">
        <v>1.1238119481105799</v>
      </c>
      <c r="AG4880">
        <v>-1.120454911165</v>
      </c>
      <c r="AH4880">
        <v>14.937590860947401</v>
      </c>
      <c r="AI4880">
        <v>94.277626712041993</v>
      </c>
      <c r="AJ4880">
        <v>85.697525222680795</v>
      </c>
      <c r="AK4880">
        <v>15.0216508157968</v>
      </c>
      <c r="AL4880">
        <v>94.199666375166601</v>
      </c>
      <c r="AM4880">
        <v>89.690985546326303</v>
      </c>
      <c r="AN4880">
        <v>1.0000000012018999</v>
      </c>
    </row>
    <row r="4881" spans="1:40" x14ac:dyDescent="0.25">
      <c r="A4881" t="str">
        <f>"20190303154613843"</f>
        <v>20190303154613843</v>
      </c>
      <c r="B4881" t="str">
        <f>"1551599173836089"</f>
        <v>1551599173836089</v>
      </c>
      <c r="C4881" t="s">
        <v>40</v>
      </c>
      <c r="D4881">
        <v>5.434501</v>
      </c>
      <c r="E4881">
        <v>0.52598319999999998</v>
      </c>
      <c r="F4881" t="s">
        <v>42</v>
      </c>
      <c r="G4881">
        <v>-421.66840000000002</v>
      </c>
      <c r="H4881">
        <v>1.051596</v>
      </c>
      <c r="I4881">
        <v>106.2551</v>
      </c>
      <c r="J4881">
        <v>-421.58539999999999</v>
      </c>
      <c r="K4881">
        <v>1.120463</v>
      </c>
      <c r="L4881">
        <v>106.9689</v>
      </c>
      <c r="M4881">
        <v>-1.9553729999999998E-2</v>
      </c>
      <c r="N4881">
        <v>-1.051097E-2</v>
      </c>
      <c r="O4881">
        <v>-0.99975380000000003</v>
      </c>
      <c r="P4881">
        <v>-2.5180310000000001E-2</v>
      </c>
      <c r="Q4881">
        <v>-8.3812159999999997E-2</v>
      </c>
      <c r="R4881">
        <v>-0.99616380000000004</v>
      </c>
      <c r="S4881">
        <v>-0.28149410000000002</v>
      </c>
      <c r="T4881">
        <v>-0.222358</v>
      </c>
      <c r="U4881">
        <v>-2.9858699999999998</v>
      </c>
      <c r="V4881">
        <v>5.654699E-3</v>
      </c>
      <c r="W4881">
        <v>-7.3336879999999993E-2</v>
      </c>
      <c r="X4881">
        <v>0.99729120000000004</v>
      </c>
      <c r="Y4881">
        <v>7.4150419999999995E-2</v>
      </c>
      <c r="Z4881">
        <v>6.3501409999999994E-2</v>
      </c>
      <c r="AA4881">
        <v>0.99522319999999997</v>
      </c>
      <c r="AB4881">
        <v>22</v>
      </c>
      <c r="AC4881">
        <v>-8.3000000000026802E-2</v>
      </c>
      <c r="AD4881">
        <v>-6.8866999999999998E-2</v>
      </c>
      <c r="AE4881">
        <v>-0.71380000000000599</v>
      </c>
      <c r="AF4881">
        <v>6.8397737538492306E-2</v>
      </c>
      <c r="AG4881">
        <v>-6.8866999999999998E-2</v>
      </c>
      <c r="AH4881">
        <v>0.70877708162853104</v>
      </c>
      <c r="AI4881">
        <v>95.524114910260707</v>
      </c>
      <c r="AJ4881">
        <v>84.487964624522206</v>
      </c>
      <c r="AK4881">
        <v>0.715392106212559</v>
      </c>
      <c r="AL4881">
        <v>94.205669334272798</v>
      </c>
      <c r="AM4881">
        <v>89.675133085367094</v>
      </c>
      <c r="AN4881">
        <v>1.0000000055931699</v>
      </c>
    </row>
    <row r="4882" spans="1:40" x14ac:dyDescent="0.25">
      <c r="A4882" t="str">
        <f>"20190303154613866"</f>
        <v>20190303154613866</v>
      </c>
      <c r="B4882" t="str">
        <f>"1551599173856585"</f>
        <v>1551599173856585</v>
      </c>
      <c r="C4882" t="s">
        <v>40</v>
      </c>
      <c r="D4882">
        <v>5.5185550000000001</v>
      </c>
      <c r="E4882">
        <v>0.52648450000000002</v>
      </c>
      <c r="F4882" t="s">
        <v>42</v>
      </c>
      <c r="G4882">
        <v>-421.67149999999998</v>
      </c>
      <c r="H4882">
        <v>1.0520449999999999</v>
      </c>
      <c r="I4882">
        <v>106.0598</v>
      </c>
      <c r="J4882">
        <v>-421.59019999999998</v>
      </c>
      <c r="K4882">
        <v>1.1204780000000001</v>
      </c>
      <c r="L4882">
        <v>106.74639999999999</v>
      </c>
      <c r="M4882">
        <v>-1.9911109999999999E-2</v>
      </c>
      <c r="N4882">
        <v>-1.051179E-2</v>
      </c>
      <c r="O4882">
        <v>-0.99974660000000004</v>
      </c>
      <c r="P4882">
        <v>-2.5854889999999998E-2</v>
      </c>
      <c r="Q4882">
        <v>-8.3942660000000002E-2</v>
      </c>
      <c r="R4882">
        <v>-0.9961354</v>
      </c>
      <c r="S4882">
        <v>-0.28274539999999998</v>
      </c>
      <c r="T4882">
        <v>-0.22469649999999999</v>
      </c>
      <c r="U4882">
        <v>-2.9855040000000002</v>
      </c>
      <c r="V4882">
        <v>5.9763899999999998E-3</v>
      </c>
      <c r="W4882">
        <v>-7.3466630000000005E-2</v>
      </c>
      <c r="X4882">
        <v>0.99727980000000005</v>
      </c>
      <c r="Y4882">
        <v>7.4213710000000002E-2</v>
      </c>
      <c r="Z4882">
        <v>6.4281720000000001E-2</v>
      </c>
      <c r="AA4882">
        <v>0.99516839999999995</v>
      </c>
      <c r="AB4882">
        <v>22</v>
      </c>
      <c r="AC4882">
        <v>-8.1299999999998804E-2</v>
      </c>
      <c r="AD4882">
        <v>-6.8432999999999897E-2</v>
      </c>
      <c r="AE4882">
        <v>-0.68659999999999799</v>
      </c>
      <c r="AF4882">
        <v>6.6956213586757504E-2</v>
      </c>
      <c r="AG4882">
        <v>-6.8432999999999897E-2</v>
      </c>
      <c r="AH4882">
        <v>0.68140723763280497</v>
      </c>
      <c r="AI4882">
        <v>95.707619116980595</v>
      </c>
      <c r="AJ4882">
        <v>84.388036545522098</v>
      </c>
      <c r="AK4882">
        <v>0.68810030774970998</v>
      </c>
      <c r="AL4882">
        <v>94.213123461597206</v>
      </c>
      <c r="AM4882">
        <v>89.656648189651506</v>
      </c>
      <c r="AN4882">
        <v>1.0000000312245101</v>
      </c>
    </row>
    <row r="4883" spans="1:40" x14ac:dyDescent="0.25">
      <c r="A4883" t="str">
        <f>"20190303154613889"</f>
        <v>20190303154613889</v>
      </c>
      <c r="B4883" t="str">
        <f>"1551599173876105"</f>
        <v>1551599173876105</v>
      </c>
      <c r="C4883" t="s">
        <v>40</v>
      </c>
      <c r="D4883">
        <v>5.4673020000000001</v>
      </c>
      <c r="E4883">
        <v>0.56224090000000004</v>
      </c>
      <c r="F4883" t="s">
        <v>42</v>
      </c>
      <c r="G4883">
        <v>-421.67610000000002</v>
      </c>
      <c r="H4883">
        <v>1.053539</v>
      </c>
      <c r="I4883">
        <v>105.8634</v>
      </c>
      <c r="J4883">
        <v>-421.5951</v>
      </c>
      <c r="K4883">
        <v>1.1204970000000001</v>
      </c>
      <c r="L4883">
        <v>106.5248</v>
      </c>
      <c r="M4883">
        <v>-2.0239790000000001E-2</v>
      </c>
      <c r="N4883">
        <v>-1.051269E-2</v>
      </c>
      <c r="O4883">
        <v>-0.99973990000000001</v>
      </c>
      <c r="P4883">
        <v>-2.6365019999999999E-2</v>
      </c>
      <c r="Q4883">
        <v>-8.43608E-2</v>
      </c>
      <c r="R4883">
        <v>-0.99608669999999999</v>
      </c>
      <c r="S4883">
        <v>-0.28903200000000001</v>
      </c>
      <c r="T4883">
        <v>-0.22633239999999999</v>
      </c>
      <c r="U4883">
        <v>-2.9850620000000001</v>
      </c>
      <c r="V4883">
        <v>6.1625159999999998E-3</v>
      </c>
      <c r="W4883">
        <v>-7.3884069999999996E-2</v>
      </c>
      <c r="X4883">
        <v>0.99724780000000002</v>
      </c>
      <c r="Y4883">
        <v>7.5972029999999996E-2</v>
      </c>
      <c r="Z4883">
        <v>6.4820619999999995E-2</v>
      </c>
      <c r="AA4883">
        <v>0.99500080000000002</v>
      </c>
      <c r="AB4883">
        <v>22</v>
      </c>
      <c r="AC4883">
        <v>-8.1000000000017197E-2</v>
      </c>
      <c r="AD4883">
        <v>-6.6957999999999795E-2</v>
      </c>
      <c r="AE4883">
        <v>-0.66139999999999999</v>
      </c>
      <c r="AF4883">
        <v>6.6920344886327601E-2</v>
      </c>
      <c r="AG4883">
        <v>-6.6957999999999795E-2</v>
      </c>
      <c r="AH4883">
        <v>0.65627729355117903</v>
      </c>
      <c r="AI4883">
        <v>95.795711031984695</v>
      </c>
      <c r="AJ4883">
        <v>84.1776953285096</v>
      </c>
      <c r="AK4883">
        <v>0.66306982464485997</v>
      </c>
      <c r="AL4883">
        <v>94.237106307271006</v>
      </c>
      <c r="AM4883">
        <v>89.645943903101099</v>
      </c>
      <c r="AN4883">
        <v>1.00000000350402</v>
      </c>
    </row>
    <row r="4884" spans="1:40" x14ac:dyDescent="0.25">
      <c r="A4884" t="str">
        <f>"20190303154613914"</f>
        <v>20190303154613914</v>
      </c>
      <c r="B4884" t="str">
        <f>"1551599173906361"</f>
        <v>1551599173906361</v>
      </c>
      <c r="C4884" t="s">
        <v>40</v>
      </c>
      <c r="D4884">
        <v>5.3649550000000001</v>
      </c>
      <c r="E4884">
        <v>0.56610019999999905</v>
      </c>
      <c r="F4884" t="s">
        <v>42</v>
      </c>
      <c r="G4884">
        <v>-421.75670000000002</v>
      </c>
      <c r="H4884">
        <v>1.0094730000000001</v>
      </c>
      <c r="I4884">
        <v>105.6932</v>
      </c>
      <c r="J4884">
        <v>-421.60050000000001</v>
      </c>
      <c r="K4884">
        <v>1.1205160000000001</v>
      </c>
      <c r="L4884">
        <v>106.28019999999999</v>
      </c>
      <c r="M4884">
        <v>-2.056728E-2</v>
      </c>
      <c r="N4884">
        <v>-1.0513710000000001E-2</v>
      </c>
      <c r="O4884">
        <v>-0.99973330000000005</v>
      </c>
      <c r="P4884">
        <v>-2.720206E-2</v>
      </c>
      <c r="Q4884">
        <v>-8.4784129999999999E-2</v>
      </c>
      <c r="R4884">
        <v>-0.99602820000000003</v>
      </c>
      <c r="S4884">
        <v>-0.57562259999999998</v>
      </c>
      <c r="T4884">
        <v>-0.39558349999999998</v>
      </c>
      <c r="U4884">
        <v>-2.9630429999999999</v>
      </c>
      <c r="V4884">
        <v>6.6774969999999897E-3</v>
      </c>
      <c r="W4884">
        <v>-7.4306709999999998E-2</v>
      </c>
      <c r="X4884">
        <v>0.99721309999999996</v>
      </c>
      <c r="Y4884">
        <v>0.16897470000000001</v>
      </c>
      <c r="Z4884">
        <v>0.1197351</v>
      </c>
      <c r="AA4884">
        <v>0.97832050000000004</v>
      </c>
      <c r="AB4884">
        <v>22</v>
      </c>
      <c r="AC4884">
        <v>-0.156200000000012</v>
      </c>
      <c r="AD4884">
        <v>-0.111043</v>
      </c>
      <c r="AE4884">
        <v>-0.58699999999998898</v>
      </c>
      <c r="AF4884">
        <v>0.13943355673802699</v>
      </c>
      <c r="AG4884">
        <v>-0.111043</v>
      </c>
      <c r="AH4884">
        <v>0.57100611325649597</v>
      </c>
      <c r="AI4884">
        <v>100.698128337947</v>
      </c>
      <c r="AJ4884">
        <v>76.277529441067003</v>
      </c>
      <c r="AK4884">
        <v>0.59818078034145095</v>
      </c>
      <c r="AL4884">
        <v>94.261388466964107</v>
      </c>
      <c r="AM4884">
        <v>89.616344111734506</v>
      </c>
      <c r="AN4884">
        <v>1.0000000214644</v>
      </c>
    </row>
    <row r="4885" spans="1:40" x14ac:dyDescent="0.25">
      <c r="A4885" t="str">
        <f>"20190303154613933"</f>
        <v>20190303154613933</v>
      </c>
      <c r="B4885" t="str">
        <f>"1551599173925881"</f>
        <v>1551599173925881</v>
      </c>
      <c r="C4885" t="s">
        <v>40</v>
      </c>
      <c r="D4885">
        <v>5.3237620000000003</v>
      </c>
      <c r="E4885">
        <v>0.56704840000000001</v>
      </c>
      <c r="F4885" t="s">
        <v>42</v>
      </c>
      <c r="G4885">
        <v>-421.7611</v>
      </c>
      <c r="H4885">
        <v>1.000445</v>
      </c>
      <c r="I4885">
        <v>105.5021</v>
      </c>
      <c r="J4885">
        <v>-421.6046</v>
      </c>
      <c r="K4885">
        <v>1.1205320000000001</v>
      </c>
      <c r="L4885">
        <v>106.0925</v>
      </c>
      <c r="M4885">
        <v>-2.0791919999999998E-2</v>
      </c>
      <c r="N4885">
        <v>-1.0514549999999999E-2</v>
      </c>
      <c r="O4885">
        <v>-0.99972870000000003</v>
      </c>
      <c r="P4885">
        <v>-2.8319130000000001E-2</v>
      </c>
      <c r="Q4885">
        <v>-8.5080009999999998E-2</v>
      </c>
      <c r="R4885">
        <v>-0.99597199999999997</v>
      </c>
      <c r="S4885">
        <v>-0.60910030000000004</v>
      </c>
      <c r="T4885">
        <v>-0.45619340000000003</v>
      </c>
      <c r="U4885">
        <v>-2.9564970000000002</v>
      </c>
      <c r="V4885">
        <v>7.5744469999999998E-3</v>
      </c>
      <c r="W4885">
        <v>-7.4602150000000006E-2</v>
      </c>
      <c r="X4885">
        <v>0.99718459999999998</v>
      </c>
      <c r="Y4885">
        <v>0.17925659999999999</v>
      </c>
      <c r="Z4885">
        <v>0.1392997</v>
      </c>
      <c r="AA4885">
        <v>0.97389049999999999</v>
      </c>
      <c r="AB4885">
        <v>22</v>
      </c>
      <c r="AC4885">
        <v>-0.15649999999999401</v>
      </c>
      <c r="AD4885">
        <v>-0.120086999999999</v>
      </c>
      <c r="AE4885">
        <v>-0.59040000000000203</v>
      </c>
      <c r="AF4885">
        <v>0.13882367857884401</v>
      </c>
      <c r="AG4885">
        <v>-0.120086999999999</v>
      </c>
      <c r="AH4885">
        <v>0.57143743014402704</v>
      </c>
      <c r="AI4885">
        <v>101.54164223110701</v>
      </c>
      <c r="AJ4885">
        <v>76.345223977416893</v>
      </c>
      <c r="AK4885">
        <v>0.60019466664805698</v>
      </c>
      <c r="AL4885">
        <v>94.278363182033402</v>
      </c>
      <c r="AM4885">
        <v>89.564799236710499</v>
      </c>
      <c r="AN4885">
        <v>0.99999998975456905</v>
      </c>
    </row>
    <row r="4886" spans="1:40" x14ac:dyDescent="0.25">
      <c r="A4886" t="str">
        <f>"20190303154613954"</f>
        <v>20190303154613954</v>
      </c>
      <c r="B4886" t="str">
        <f>"1551599173945910"</f>
        <v>1551599173945910</v>
      </c>
      <c r="C4886" t="s">
        <v>40</v>
      </c>
      <c r="D4886">
        <v>5.1879970000000002</v>
      </c>
      <c r="E4886">
        <v>0.56666879999999997</v>
      </c>
      <c r="F4886" t="s">
        <v>42</v>
      </c>
      <c r="G4886">
        <v>-421.76949999999999</v>
      </c>
      <c r="H4886">
        <v>0.99660749999999998</v>
      </c>
      <c r="I4886">
        <v>105.3083</v>
      </c>
      <c r="J4886">
        <v>-421.60930000000002</v>
      </c>
      <c r="K4886">
        <v>1.1205459999999901</v>
      </c>
      <c r="L4886">
        <v>105.87990000000001</v>
      </c>
      <c r="M4886">
        <v>-2.1020069999999998E-2</v>
      </c>
      <c r="N4886">
        <v>-1.0515500000000001E-2</v>
      </c>
      <c r="O4886">
        <v>-0.9997239</v>
      </c>
      <c r="P4886">
        <v>-2.8936779999999999E-2</v>
      </c>
      <c r="Q4886">
        <v>-8.4708770000000003E-2</v>
      </c>
      <c r="R4886">
        <v>-0.99598589999999998</v>
      </c>
      <c r="S4886">
        <v>-0.62020869999999995</v>
      </c>
      <c r="T4886">
        <v>-0.46693990000000002</v>
      </c>
      <c r="U4886">
        <v>-2.9546049999999999</v>
      </c>
      <c r="V4886">
        <v>7.967956E-3</v>
      </c>
      <c r="W4886">
        <v>-7.4229459999999997E-2</v>
      </c>
      <c r="X4886">
        <v>0.99720940000000002</v>
      </c>
      <c r="Y4886">
        <v>0.18255730000000001</v>
      </c>
      <c r="Z4886">
        <v>0.14273710000000001</v>
      </c>
      <c r="AA4886">
        <v>0.97277899999999995</v>
      </c>
      <c r="AB4886">
        <v>22</v>
      </c>
      <c r="AC4886">
        <v>-0.160199999999974</v>
      </c>
      <c r="AD4886">
        <v>-0.12393849999999899</v>
      </c>
      <c r="AE4886">
        <v>-0.57160000000000299</v>
      </c>
      <c r="AF4886">
        <v>0.14196077732839901</v>
      </c>
      <c r="AG4886">
        <v>-0.12393849999999899</v>
      </c>
      <c r="AH4886">
        <v>0.55083052063836802</v>
      </c>
      <c r="AI4886">
        <v>102.29169081883801</v>
      </c>
      <c r="AJ4886">
        <v>75.548142513905702</v>
      </c>
      <c r="AK4886">
        <v>0.58217512532628002</v>
      </c>
      <c r="AL4886">
        <v>94.256950013554899</v>
      </c>
      <c r="AM4886">
        <v>89.542201933794004</v>
      </c>
      <c r="AN4886">
        <v>1.00000004425153</v>
      </c>
    </row>
    <row r="4887" spans="1:40" x14ac:dyDescent="0.25">
      <c r="A4887" t="str">
        <f>"20190303154613977"</f>
        <v>20190303154613977</v>
      </c>
      <c r="B4887" t="str">
        <f>"1551599173966405"</f>
        <v>1551599173966405</v>
      </c>
      <c r="C4887" t="s">
        <v>40</v>
      </c>
      <c r="D4887">
        <v>5.2161369999999998</v>
      </c>
      <c r="E4887">
        <v>0.56719459999999999</v>
      </c>
      <c r="F4887" t="s">
        <v>42</v>
      </c>
      <c r="G4887">
        <v>-421.77080000000001</v>
      </c>
      <c r="H4887">
        <v>1.0011699999999999</v>
      </c>
      <c r="I4887">
        <v>105.11020000000001</v>
      </c>
      <c r="J4887">
        <v>-421.61410000000001</v>
      </c>
      <c r="K4887">
        <v>1.1205620000000001</v>
      </c>
      <c r="L4887">
        <v>105.666</v>
      </c>
      <c r="M4887">
        <v>-2.122369E-2</v>
      </c>
      <c r="N4887">
        <v>-1.05164E-2</v>
      </c>
      <c r="O4887">
        <v>-0.99971960000000004</v>
      </c>
      <c r="P4887">
        <v>-2.920035E-2</v>
      </c>
      <c r="Q4887">
        <v>-8.4207989999999996E-2</v>
      </c>
      <c r="R4887">
        <v>-0.99602080000000004</v>
      </c>
      <c r="S4887">
        <v>-0.61849980000000004</v>
      </c>
      <c r="T4887">
        <v>-0.45838580000000001</v>
      </c>
      <c r="U4887">
        <v>-2.955139</v>
      </c>
      <c r="V4887">
        <v>8.0313390000000002E-3</v>
      </c>
      <c r="W4887">
        <v>-7.3727029999999999E-2</v>
      </c>
      <c r="X4887">
        <v>0.99724610000000002</v>
      </c>
      <c r="Y4887">
        <v>0.18186659999999999</v>
      </c>
      <c r="Z4887">
        <v>0.13998339999999901</v>
      </c>
      <c r="AA4887">
        <v>0.97330839999999996</v>
      </c>
      <c r="AB4887">
        <v>22</v>
      </c>
      <c r="AC4887">
        <v>-0.15670000000000001</v>
      </c>
      <c r="AD4887">
        <v>-0.119391999999999</v>
      </c>
      <c r="AE4887">
        <v>-0.55579999999998997</v>
      </c>
      <c r="AF4887">
        <v>0.13892925101124301</v>
      </c>
      <c r="AG4887">
        <v>-0.119391999999999</v>
      </c>
      <c r="AH4887">
        <v>0.53608522381933199</v>
      </c>
      <c r="AI4887">
        <v>102.166125346653</v>
      </c>
      <c r="AJ4887">
        <v>75.471133950350506</v>
      </c>
      <c r="AK4887">
        <v>0.56651844952125596</v>
      </c>
      <c r="AL4887">
        <v>94.228084067774105</v>
      </c>
      <c r="AM4887">
        <v>89.538577407965505</v>
      </c>
      <c r="AN4887">
        <v>0.99999998066198104</v>
      </c>
    </row>
    <row r="4888" spans="1:40" x14ac:dyDescent="0.25">
      <c r="A4888" t="str">
        <f>"20190303154613999"</f>
        <v>20190303154613999</v>
      </c>
      <c r="B4888" t="str">
        <f>"1551599173996661"</f>
        <v>1551599173996661</v>
      </c>
      <c r="C4888" t="s">
        <v>40</v>
      </c>
      <c r="D4888">
        <v>5.0970380000000004</v>
      </c>
      <c r="E4888">
        <v>0.5672488</v>
      </c>
      <c r="F4888" t="s">
        <v>42</v>
      </c>
      <c r="G4888">
        <v>-421.77319999999997</v>
      </c>
      <c r="H4888">
        <v>1.003763</v>
      </c>
      <c r="I4888">
        <v>104.91289999999999</v>
      </c>
      <c r="J4888">
        <v>-421.6191</v>
      </c>
      <c r="K4888">
        <v>1.120582</v>
      </c>
      <c r="L4888">
        <v>105.44199999999999</v>
      </c>
      <c r="M4888">
        <v>-2.1411949999999999E-2</v>
      </c>
      <c r="N4888">
        <v>-1.0517449999999999E-2</v>
      </c>
      <c r="O4888">
        <v>-0.99971560000000004</v>
      </c>
      <c r="P4888">
        <v>-2.8354460000000001E-2</v>
      </c>
      <c r="Q4888">
        <v>-8.4507440000000003E-2</v>
      </c>
      <c r="R4888">
        <v>-0.99601980000000001</v>
      </c>
      <c r="S4888">
        <v>-0.62368769999999996</v>
      </c>
      <c r="T4888">
        <v>-0.45826790000000001</v>
      </c>
      <c r="U4888">
        <v>-2.9549560000000001</v>
      </c>
      <c r="V4888">
        <v>7.0010089999999999E-3</v>
      </c>
      <c r="W4888">
        <v>-7.4025010000000002E-2</v>
      </c>
      <c r="X4888">
        <v>0.9972318</v>
      </c>
      <c r="Y4888">
        <v>0.1833311</v>
      </c>
      <c r="Z4888">
        <v>0.13990610000000001</v>
      </c>
      <c r="AA4888">
        <v>0.97304469999999998</v>
      </c>
      <c r="AB4888">
        <v>22</v>
      </c>
      <c r="AC4888">
        <v>-0.15409999999997101</v>
      </c>
      <c r="AD4888">
        <v>-0.11681900000000001</v>
      </c>
      <c r="AE4888">
        <v>-0.529100000000013</v>
      </c>
      <c r="AF4888">
        <v>0.13659690496399601</v>
      </c>
      <c r="AG4888">
        <v>-0.11681900000000001</v>
      </c>
      <c r="AH4888">
        <v>0.50938871988732703</v>
      </c>
      <c r="AI4888">
        <v>102.48968841932999</v>
      </c>
      <c r="AJ4888">
        <v>74.988812543973395</v>
      </c>
      <c r="AK4888">
        <v>0.54016873396670495</v>
      </c>
      <c r="AL4888">
        <v>94.245203807547</v>
      </c>
      <c r="AM4888">
        <v>89.597764854527796</v>
      </c>
      <c r="AN4888">
        <v>0.99999998958187897</v>
      </c>
    </row>
    <row r="4889" spans="1:40" x14ac:dyDescent="0.25">
      <c r="A4889" t="str">
        <f>"20190303154614023"</f>
        <v>20190303154614023</v>
      </c>
      <c r="B4889" t="str">
        <f>"1551599174016181"</f>
        <v>1551599174016181</v>
      </c>
      <c r="C4889" t="s">
        <v>40</v>
      </c>
      <c r="D4889">
        <v>5.0385839999999904</v>
      </c>
      <c r="E4889">
        <v>0.56683569999999905</v>
      </c>
      <c r="F4889" t="s">
        <v>42</v>
      </c>
      <c r="G4889">
        <v>-421.7724</v>
      </c>
      <c r="H4889">
        <v>1.0072540000000001</v>
      </c>
      <c r="I4889">
        <v>104.715</v>
      </c>
      <c r="J4889">
        <v>-421.6241</v>
      </c>
      <c r="K4889">
        <v>1.1205989999999999</v>
      </c>
      <c r="L4889">
        <v>105.21769999999999</v>
      </c>
      <c r="M4889">
        <v>-2.15769E-2</v>
      </c>
      <c r="N4889">
        <v>-1.051855E-2</v>
      </c>
      <c r="O4889">
        <v>-0.99971220000000005</v>
      </c>
      <c r="P4889">
        <v>-2.7545010000000002E-2</v>
      </c>
      <c r="Q4889">
        <v>-8.5130189999999994E-2</v>
      </c>
      <c r="R4889">
        <v>-0.99598960000000003</v>
      </c>
      <c r="S4889">
        <v>-0.62194819999999995</v>
      </c>
      <c r="T4889">
        <v>-0.4607366</v>
      </c>
      <c r="U4889">
        <v>-2.9552</v>
      </c>
      <c r="V4889">
        <v>6.030138E-3</v>
      </c>
      <c r="W4889">
        <v>-7.4646690000000002E-2</v>
      </c>
      <c r="X4889">
        <v>0.99719179999999996</v>
      </c>
      <c r="Y4889">
        <v>0.18258079999999999</v>
      </c>
      <c r="Z4889">
        <v>0.140704</v>
      </c>
      <c r="AA4889">
        <v>0.97307069999999996</v>
      </c>
      <c r="AB4889">
        <v>22</v>
      </c>
      <c r="AC4889">
        <v>-0.14830000000000601</v>
      </c>
      <c r="AD4889">
        <v>-0.113344999999999</v>
      </c>
      <c r="AE4889">
        <v>-0.50269999999999004</v>
      </c>
      <c r="AF4889">
        <v>0.131278572944732</v>
      </c>
      <c r="AG4889">
        <v>-0.113344999999999</v>
      </c>
      <c r="AH4889">
        <v>0.48318552065188097</v>
      </c>
      <c r="AI4889">
        <v>102.75519734567099</v>
      </c>
      <c r="AJ4889">
        <v>74.800003035672106</v>
      </c>
      <c r="AK4889">
        <v>0.51337062645522902</v>
      </c>
      <c r="AL4889">
        <v>94.280922277200503</v>
      </c>
      <c r="AM4889">
        <v>89.653529796393002</v>
      </c>
      <c r="AN4889">
        <v>0.99999998843974702</v>
      </c>
    </row>
    <row r="4890" spans="1:40" x14ac:dyDescent="0.25">
      <c r="A4890" t="str">
        <f>"20190303154614043"</f>
        <v>20190303154614043</v>
      </c>
      <c r="B4890" t="str">
        <f>"1551599174035701"</f>
        <v>1551599174035701</v>
      </c>
      <c r="C4890" t="s">
        <v>40</v>
      </c>
      <c r="D4890">
        <v>4.9405159999999997</v>
      </c>
      <c r="E4890">
        <v>0.56641379999999997</v>
      </c>
      <c r="F4890" t="s">
        <v>42</v>
      </c>
      <c r="G4890">
        <v>-421.80869999999999</v>
      </c>
      <c r="H4890">
        <v>0.98161350000000003</v>
      </c>
      <c r="I4890">
        <v>104.334</v>
      </c>
      <c r="J4890">
        <v>-421.62880000000001</v>
      </c>
      <c r="K4890">
        <v>1.1206069999999999</v>
      </c>
      <c r="L4890">
        <v>105.0056</v>
      </c>
      <c r="M4890">
        <v>-2.1717110000000001E-2</v>
      </c>
      <c r="N4890">
        <v>-1.051962E-2</v>
      </c>
      <c r="O4890">
        <v>-0.99970890000000001</v>
      </c>
      <c r="P4890">
        <v>-2.7014050000000001E-2</v>
      </c>
      <c r="Q4890">
        <v>-8.5535130000000001E-2</v>
      </c>
      <c r="R4890">
        <v>-0.99596910000000005</v>
      </c>
      <c r="S4890">
        <v>-0.61608890000000005</v>
      </c>
      <c r="T4890">
        <v>-0.4647578</v>
      </c>
      <c r="U4890">
        <v>-2.955292</v>
      </c>
      <c r="V4890">
        <v>5.3613530000000001E-3</v>
      </c>
      <c r="W4890">
        <v>-7.5050599999999995E-2</v>
      </c>
      <c r="X4890">
        <v>0.99716530000000003</v>
      </c>
      <c r="Y4890">
        <v>0.1805496</v>
      </c>
      <c r="Z4890">
        <v>0.14204610000000001</v>
      </c>
      <c r="AA4890">
        <v>0.97325470000000003</v>
      </c>
      <c r="AB4890">
        <v>22</v>
      </c>
      <c r="AC4890">
        <v>-0.179899999999975</v>
      </c>
      <c r="AD4890">
        <v>-0.13899349999999899</v>
      </c>
      <c r="AE4890">
        <v>-0.67159999999999698</v>
      </c>
      <c r="AF4890">
        <v>0.15892039840175101</v>
      </c>
      <c r="AG4890">
        <v>-0.13899349999999899</v>
      </c>
      <c r="AH4890">
        <v>0.64939601851448003</v>
      </c>
      <c r="AI4890">
        <v>101.744501633303</v>
      </c>
      <c r="AJ4890">
        <v>76.248817626653903</v>
      </c>
      <c r="AK4890">
        <v>0.68285435850763998</v>
      </c>
      <c r="AL4890">
        <v>94.304129725090604</v>
      </c>
      <c r="AM4890">
        <v>89.691946822215897</v>
      </c>
      <c r="AN4890">
        <v>0.99999998609522001</v>
      </c>
    </row>
    <row r="4891" spans="1:40" x14ac:dyDescent="0.25">
      <c r="A4891" t="str">
        <f>"20190303154614065"</f>
        <v>20190303154614065</v>
      </c>
      <c r="B4891" t="str">
        <f>"1551599174056197"</f>
        <v>1551599174056197</v>
      </c>
      <c r="C4891" t="s">
        <v>40</v>
      </c>
      <c r="D4891">
        <v>4.8930699999999998</v>
      </c>
      <c r="E4891">
        <v>0.56607489999999905</v>
      </c>
      <c r="F4891" t="s">
        <v>42</v>
      </c>
      <c r="G4891">
        <v>-421.80860000000001</v>
      </c>
      <c r="H4891">
        <v>0.98352850000000003</v>
      </c>
      <c r="I4891">
        <v>104.13630000000001</v>
      </c>
      <c r="J4891">
        <v>-421.63369999999998</v>
      </c>
      <c r="K4891">
        <v>1.120608</v>
      </c>
      <c r="L4891">
        <v>104.78870000000001</v>
      </c>
      <c r="M4891">
        <v>-2.185047E-2</v>
      </c>
      <c r="N4891">
        <v>-1.0520740000000001E-2</v>
      </c>
      <c r="O4891">
        <v>-0.99970599999999998</v>
      </c>
      <c r="P4891">
        <v>-2.6557529999999999E-2</v>
      </c>
      <c r="Q4891">
        <v>-8.4977869999999997E-2</v>
      </c>
      <c r="R4891">
        <v>-0.99602930000000001</v>
      </c>
      <c r="S4891">
        <v>-0.61105350000000003</v>
      </c>
      <c r="T4891">
        <v>-0.4660261</v>
      </c>
      <c r="U4891">
        <v>-2.9555359999999999</v>
      </c>
      <c r="V4891">
        <v>4.7714230000000003E-3</v>
      </c>
      <c r="W4891">
        <v>-7.4491539999999995E-2</v>
      </c>
      <c r="X4891">
        <v>0.99721020000000005</v>
      </c>
      <c r="Y4891">
        <v>0.1788006</v>
      </c>
      <c r="Z4891">
        <v>0.14248920000000001</v>
      </c>
      <c r="AA4891">
        <v>0.97351279999999996</v>
      </c>
      <c r="AB4891">
        <v>22</v>
      </c>
      <c r="AC4891">
        <v>-0.174900000000036</v>
      </c>
      <c r="AD4891">
        <v>-0.13707949999999999</v>
      </c>
      <c r="AE4891">
        <v>-0.65239999999999998</v>
      </c>
      <c r="AF4891">
        <v>0.15424893970050699</v>
      </c>
      <c r="AG4891">
        <v>-0.13707949999999999</v>
      </c>
      <c r="AH4891">
        <v>0.63011275581905501</v>
      </c>
      <c r="AI4891">
        <v>101.93155741272</v>
      </c>
      <c r="AJ4891">
        <v>76.244738531731997</v>
      </c>
      <c r="AK4891">
        <v>0.66304269075593103</v>
      </c>
      <c r="AL4891">
        <v>94.272008099318697</v>
      </c>
      <c r="AM4891">
        <v>89.725854876008498</v>
      </c>
      <c r="AN4891">
        <v>0.99999996949652703</v>
      </c>
    </row>
    <row r="4892" spans="1:40" x14ac:dyDescent="0.25">
      <c r="A4892" t="str">
        <f>"20190303154614090"</f>
        <v>20190303154614090</v>
      </c>
      <c r="B4892" t="str">
        <f>"1551599174086453"</f>
        <v>1551599174086453</v>
      </c>
      <c r="C4892" t="s">
        <v>40</v>
      </c>
      <c r="D4892">
        <v>4.8258479999999997</v>
      </c>
      <c r="E4892">
        <v>0.56611469999999997</v>
      </c>
      <c r="F4892" t="s">
        <v>42</v>
      </c>
      <c r="G4892">
        <v>-421.80880000000002</v>
      </c>
      <c r="H4892">
        <v>0.9873672</v>
      </c>
      <c r="I4892">
        <v>103.9374</v>
      </c>
      <c r="J4892">
        <v>-421.63900000000001</v>
      </c>
      <c r="K4892">
        <v>1.1206</v>
      </c>
      <c r="L4892">
        <v>104.5557</v>
      </c>
      <c r="M4892">
        <v>-2.1990340000000001E-2</v>
      </c>
      <c r="N4892">
        <v>-1.052194E-2</v>
      </c>
      <c r="O4892">
        <v>-0.99970289999999995</v>
      </c>
      <c r="P4892">
        <v>-2.6272319999999998E-2</v>
      </c>
      <c r="Q4892">
        <v>-8.5067589999999998E-2</v>
      </c>
      <c r="R4892">
        <v>-0.99602930000000001</v>
      </c>
      <c r="S4892">
        <v>-0.6071472</v>
      </c>
      <c r="T4892">
        <v>-0.46273180000000003</v>
      </c>
      <c r="U4892">
        <v>-2.956299</v>
      </c>
      <c r="V4892">
        <v>4.3468270000000002E-3</v>
      </c>
      <c r="W4892">
        <v>-7.4580049999999995E-2</v>
      </c>
      <c r="X4892">
        <v>0.99720560000000003</v>
      </c>
      <c r="Y4892">
        <v>0.17741170000000001</v>
      </c>
      <c r="Z4892">
        <v>0.14143169999999999</v>
      </c>
      <c r="AA4892">
        <v>0.97392109999999998</v>
      </c>
      <c r="AB4892">
        <v>22</v>
      </c>
      <c r="AC4892">
        <v>-0.169800000000009</v>
      </c>
      <c r="AD4892">
        <v>-0.13323280000000001</v>
      </c>
      <c r="AE4892">
        <v>-0.61830000000000496</v>
      </c>
      <c r="AF4892">
        <v>0.14969813051386399</v>
      </c>
      <c r="AG4892">
        <v>-0.13323280000000001</v>
      </c>
      <c r="AH4892">
        <v>0.59614523188069302</v>
      </c>
      <c r="AI4892">
        <v>102.23027960853901</v>
      </c>
      <c r="AJ4892">
        <v>75.903905783392005</v>
      </c>
      <c r="AK4892">
        <v>0.628927377977196</v>
      </c>
      <c r="AL4892">
        <v>94.277093176728201</v>
      </c>
      <c r="AM4892">
        <v>89.750248831369007</v>
      </c>
      <c r="AN4892">
        <v>1.0000000437171599</v>
      </c>
    </row>
    <row r="4893" spans="1:40" x14ac:dyDescent="0.25">
      <c r="A4893" t="str">
        <f>"20190303154614112"</f>
        <v>20190303154614112</v>
      </c>
      <c r="B4893" t="str">
        <f>"1551599174105973"</f>
        <v>1551599174105973</v>
      </c>
      <c r="C4893" t="s">
        <v>40</v>
      </c>
      <c r="D4893">
        <v>4.8194299999999997</v>
      </c>
      <c r="E4893">
        <v>0.56611909999999999</v>
      </c>
      <c r="F4893" t="s">
        <v>42</v>
      </c>
      <c r="G4893">
        <v>-421.80689999999998</v>
      </c>
      <c r="H4893">
        <v>0.99313589999999996</v>
      </c>
      <c r="I4893">
        <v>103.7375</v>
      </c>
      <c r="J4893">
        <v>-421.64400000000001</v>
      </c>
      <c r="K4893">
        <v>1.1205959999999999</v>
      </c>
      <c r="L4893">
        <v>104.3325</v>
      </c>
      <c r="M4893">
        <v>-2.212505E-2</v>
      </c>
      <c r="N4893">
        <v>-1.052316E-2</v>
      </c>
      <c r="O4893">
        <v>-0.99969980000000003</v>
      </c>
      <c r="P4893">
        <v>-2.6092110000000002E-2</v>
      </c>
      <c r="Q4893">
        <v>-8.5334370000000007E-2</v>
      </c>
      <c r="R4893">
        <v>-0.99601079999999997</v>
      </c>
      <c r="S4893">
        <v>-0.60644529999999996</v>
      </c>
      <c r="T4893">
        <v>-0.46061609999999997</v>
      </c>
      <c r="U4893">
        <v>-2.956604</v>
      </c>
      <c r="V4893">
        <v>4.0322520000000001E-3</v>
      </c>
      <c r="W4893">
        <v>-7.4845809999999999E-2</v>
      </c>
      <c r="X4893">
        <v>0.99718700000000005</v>
      </c>
      <c r="Y4893">
        <v>0.1770581</v>
      </c>
      <c r="Z4893">
        <v>0.14074420000000001</v>
      </c>
      <c r="AA4893">
        <v>0.97408499999999998</v>
      </c>
      <c r="AB4893">
        <v>22</v>
      </c>
      <c r="AC4893">
        <v>-0.16289999999997901</v>
      </c>
      <c r="AD4893">
        <v>-0.12746009999999899</v>
      </c>
      <c r="AE4893">
        <v>-0.59499999999999797</v>
      </c>
      <c r="AF4893">
        <v>0.14356617898928101</v>
      </c>
      <c r="AG4893">
        <v>-0.12746009999999899</v>
      </c>
      <c r="AH4893">
        <v>0.57395663119261198</v>
      </c>
      <c r="AI4893">
        <v>102.157720353095</v>
      </c>
      <c r="AJ4893">
        <v>75.956520322578498</v>
      </c>
      <c r="AK4893">
        <v>0.60521363115148397</v>
      </c>
      <c r="AL4893">
        <v>94.292362823030501</v>
      </c>
      <c r="AM4893">
        <v>89.768318517634199</v>
      </c>
      <c r="AN4893">
        <v>1.00000003364987</v>
      </c>
    </row>
    <row r="4894" spans="1:40" x14ac:dyDescent="0.25">
      <c r="A4894" t="str">
        <f>"20190303154614134"</f>
        <v>20190303154614134</v>
      </c>
      <c r="B4894" t="str">
        <f>"1551599174126469"</f>
        <v>1551599174126469</v>
      </c>
      <c r="C4894" t="s">
        <v>40</v>
      </c>
      <c r="D4894">
        <v>4.7791920000000001</v>
      </c>
      <c r="E4894">
        <v>0.56599250000000001</v>
      </c>
      <c r="F4894" t="s">
        <v>42</v>
      </c>
      <c r="G4894">
        <v>-421.8073</v>
      </c>
      <c r="H4894">
        <v>0.99676589999999998</v>
      </c>
      <c r="I4894">
        <v>103.53830000000001</v>
      </c>
      <c r="J4894">
        <v>-421.64890000000003</v>
      </c>
      <c r="K4894">
        <v>1.1205969999999901</v>
      </c>
      <c r="L4894">
        <v>104.1194</v>
      </c>
      <c r="M4894">
        <v>-2.2256680000000001E-2</v>
      </c>
      <c r="N4894">
        <v>-1.052431E-2</v>
      </c>
      <c r="O4894">
        <v>-0.99969699999999995</v>
      </c>
      <c r="P4894">
        <v>-2.594426E-2</v>
      </c>
      <c r="Q4894">
        <v>-8.5468150000000007E-2</v>
      </c>
      <c r="R4894">
        <v>-0.99600330000000004</v>
      </c>
      <c r="S4894">
        <v>-0.60632319999999995</v>
      </c>
      <c r="T4894">
        <v>-0.46102880000000002</v>
      </c>
      <c r="U4894">
        <v>-2.9566349999999999</v>
      </c>
      <c r="V4894">
        <v>3.7527149999999998E-3</v>
      </c>
      <c r="W4894">
        <v>-7.4978509999999998E-2</v>
      </c>
      <c r="X4894">
        <v>0.99717809999999996</v>
      </c>
      <c r="Y4894">
        <v>0.17688419999999999</v>
      </c>
      <c r="Z4894">
        <v>0.14087649999999999</v>
      </c>
      <c r="AA4894">
        <v>0.9740974</v>
      </c>
      <c r="AB4894">
        <v>22</v>
      </c>
      <c r="AC4894">
        <v>-0.15839999999997101</v>
      </c>
      <c r="AD4894">
        <v>-0.123831099999999</v>
      </c>
      <c r="AE4894">
        <v>-0.58109999999999196</v>
      </c>
      <c r="AF4894">
        <v>0.13952882337283501</v>
      </c>
      <c r="AG4894">
        <v>-0.123831099999999</v>
      </c>
      <c r="AH4894">
        <v>0.56077769994567594</v>
      </c>
      <c r="AI4894">
        <v>102.09482036670499</v>
      </c>
      <c r="AJ4894">
        <v>76.027779890120996</v>
      </c>
      <c r="AK4894">
        <v>0.59099413079605201</v>
      </c>
      <c r="AL4894">
        <v>94.299987492260101</v>
      </c>
      <c r="AM4894">
        <v>89.7843778196073</v>
      </c>
      <c r="AN4894">
        <v>1.00000001147565</v>
      </c>
    </row>
    <row r="4895" spans="1:40" x14ac:dyDescent="0.25">
      <c r="A4895" t="str">
        <f>"20190303154614155"</f>
        <v>20190303154614155</v>
      </c>
      <c r="B4895" t="str">
        <f>"1551599174145989"</f>
        <v>1551599174145989</v>
      </c>
      <c r="C4895" t="s">
        <v>40</v>
      </c>
      <c r="D4895">
        <v>4.7889439999999999</v>
      </c>
      <c r="E4895">
        <v>0.56596499999999905</v>
      </c>
      <c r="F4895" t="s">
        <v>42</v>
      </c>
      <c r="G4895">
        <v>-421.80860000000001</v>
      </c>
      <c r="H4895">
        <v>0.99921199999999999</v>
      </c>
      <c r="I4895">
        <v>103.3394</v>
      </c>
      <c r="J4895">
        <v>-421.65390000000002</v>
      </c>
      <c r="K4895">
        <v>1.120598</v>
      </c>
      <c r="L4895">
        <v>103.9041</v>
      </c>
      <c r="M4895">
        <v>-2.2393590000000001E-2</v>
      </c>
      <c r="N4895">
        <v>-1.052549E-2</v>
      </c>
      <c r="O4895">
        <v>-0.99969390000000002</v>
      </c>
      <c r="P4895">
        <v>-2.6331529999999999E-2</v>
      </c>
      <c r="Q4895">
        <v>-8.5959229999999998E-2</v>
      </c>
      <c r="R4895">
        <v>-0.99595060000000002</v>
      </c>
      <c r="S4895">
        <v>-0.60461430000000005</v>
      </c>
      <c r="T4895">
        <v>-0.46020220000000001</v>
      </c>
      <c r="U4895">
        <v>-2.9568180000000002</v>
      </c>
      <c r="V4895">
        <v>4.0037880000000003E-3</v>
      </c>
      <c r="W4895">
        <v>-7.5468930000000004E-2</v>
      </c>
      <c r="X4895">
        <v>0.99714009999999997</v>
      </c>
      <c r="Y4895">
        <v>0.17620539999999901</v>
      </c>
      <c r="Z4895">
        <v>0.1406182</v>
      </c>
      <c r="AA4895">
        <v>0.97425779999999995</v>
      </c>
      <c r="AB4895">
        <v>22</v>
      </c>
      <c r="AC4895">
        <v>-0.15469999999999101</v>
      </c>
      <c r="AD4895">
        <v>-0.12138599999999899</v>
      </c>
      <c r="AE4895">
        <v>-0.56470000000000198</v>
      </c>
      <c r="AF4895">
        <v>0.13616248488376001</v>
      </c>
      <c r="AG4895">
        <v>-0.12138599999999899</v>
      </c>
      <c r="AH4895">
        <v>0.54461493165309705</v>
      </c>
      <c r="AI4895">
        <v>102.201141351061</v>
      </c>
      <c r="AJ4895">
        <v>75.962889952691697</v>
      </c>
      <c r="AK4895">
        <v>0.574351988823255</v>
      </c>
      <c r="AL4895">
        <v>94.3281664455493</v>
      </c>
      <c r="AM4895">
        <v>89.7699431387327</v>
      </c>
      <c r="AN4895">
        <v>0.99999998437085102</v>
      </c>
    </row>
    <row r="4896" spans="1:40" x14ac:dyDescent="0.25">
      <c r="A4896" t="str">
        <f>"20190303154614178"</f>
        <v>20190303154614178</v>
      </c>
      <c r="B4896" t="str">
        <f>"1551599174166485"</f>
        <v>1551599174166485</v>
      </c>
      <c r="C4896" t="s">
        <v>40</v>
      </c>
      <c r="D4896">
        <v>4.727563</v>
      </c>
      <c r="E4896">
        <v>0.5658917</v>
      </c>
      <c r="F4896" t="s">
        <v>42</v>
      </c>
      <c r="G4896">
        <v>-421.81060000000002</v>
      </c>
      <c r="H4896">
        <v>1.0015959999999999</v>
      </c>
      <c r="I4896">
        <v>103.1404</v>
      </c>
      <c r="J4896">
        <v>-421.6592</v>
      </c>
      <c r="K4896">
        <v>1.120595</v>
      </c>
      <c r="L4896">
        <v>103.6758</v>
      </c>
      <c r="M4896">
        <v>-2.2543130000000002E-2</v>
      </c>
      <c r="N4896">
        <v>-1.052674E-2</v>
      </c>
      <c r="O4896">
        <v>-0.99969050000000004</v>
      </c>
      <c r="P4896">
        <v>-2.7072590000000001E-2</v>
      </c>
      <c r="Q4896">
        <v>-8.6402419999999994E-2</v>
      </c>
      <c r="R4896">
        <v>-0.99589249999999996</v>
      </c>
      <c r="S4896">
        <v>-0.60562130000000003</v>
      </c>
      <c r="T4896">
        <v>-0.46070929999999999</v>
      </c>
      <c r="U4896">
        <v>-2.9564210000000002</v>
      </c>
      <c r="V4896">
        <v>4.5961480000000004E-3</v>
      </c>
      <c r="W4896">
        <v>-7.5911450000000005E-2</v>
      </c>
      <c r="X4896">
        <v>0.99710399999999999</v>
      </c>
      <c r="Y4896">
        <v>0.1763971</v>
      </c>
      <c r="Z4896">
        <v>0.140791</v>
      </c>
      <c r="AA4896">
        <v>0.97419809999999996</v>
      </c>
      <c r="AB4896">
        <v>22</v>
      </c>
      <c r="AC4896">
        <v>-0.15140000000002299</v>
      </c>
      <c r="AD4896">
        <v>-0.11899899999999999</v>
      </c>
      <c r="AE4896">
        <v>-0.53539999999999499</v>
      </c>
      <c r="AF4896">
        <v>0.133198422351433</v>
      </c>
      <c r="AG4896">
        <v>-0.11899899999999999</v>
      </c>
      <c r="AH4896">
        <v>0.51511448234535495</v>
      </c>
      <c r="AI4896">
        <v>102.60719452046401</v>
      </c>
      <c r="AJ4896">
        <v>75.502005985297998</v>
      </c>
      <c r="AK4896">
        <v>0.54520226672294203</v>
      </c>
      <c r="AL4896">
        <v>94.353593717947206</v>
      </c>
      <c r="AM4896">
        <v>89.735897140779898</v>
      </c>
      <c r="AN4896">
        <v>1.0000000298167599</v>
      </c>
    </row>
    <row r="4897" spans="1:40" x14ac:dyDescent="0.25">
      <c r="A4897" t="str">
        <f>"20190303154614200"</f>
        <v>20190303154614200</v>
      </c>
      <c r="B4897" t="str">
        <f>"1551599174195765"</f>
        <v>1551599174195765</v>
      </c>
      <c r="C4897" t="s">
        <v>40</v>
      </c>
      <c r="D4897">
        <v>4.7195410000000004</v>
      </c>
      <c r="E4897">
        <v>0.5656561</v>
      </c>
      <c r="F4897" t="s">
        <v>42</v>
      </c>
      <c r="G4897">
        <v>-421.81020000000001</v>
      </c>
      <c r="H4897">
        <v>1.0058370000000001</v>
      </c>
      <c r="I4897">
        <v>102.94029999999999</v>
      </c>
      <c r="J4897">
        <v>-421.66419999999999</v>
      </c>
      <c r="K4897">
        <v>1.12059</v>
      </c>
      <c r="L4897">
        <v>103.46250000000001</v>
      </c>
      <c r="M4897">
        <v>-2.2686109999999999E-2</v>
      </c>
      <c r="N4897">
        <v>-1.0527969999999999E-2</v>
      </c>
      <c r="O4897">
        <v>-0.9996872</v>
      </c>
      <c r="P4897">
        <v>-2.7401350000000001E-2</v>
      </c>
      <c r="Q4897">
        <v>-8.6377560000000006E-2</v>
      </c>
      <c r="R4897">
        <v>-0.99588589999999999</v>
      </c>
      <c r="S4897">
        <v>-0.60690310000000003</v>
      </c>
      <c r="T4897">
        <v>-0.46121970000000001</v>
      </c>
      <c r="U4897">
        <v>-2.9558409999999999</v>
      </c>
      <c r="V4897">
        <v>4.7819289999999999E-3</v>
      </c>
      <c r="W4897">
        <v>-7.5885430000000004E-2</v>
      </c>
      <c r="X4897">
        <v>0.99710509999999997</v>
      </c>
      <c r="Y4897">
        <v>0.17669370000000001</v>
      </c>
      <c r="Z4897">
        <v>0.14097119999999999</v>
      </c>
      <c r="AA4897">
        <v>0.97411829999999999</v>
      </c>
      <c r="AB4897">
        <v>22</v>
      </c>
      <c r="AC4897">
        <v>-0.14600000000001501</v>
      </c>
      <c r="AD4897">
        <v>-0.11475299999999899</v>
      </c>
      <c r="AE4897">
        <v>-0.52220000000001199</v>
      </c>
      <c r="AF4897">
        <v>0.12836575234294301</v>
      </c>
      <c r="AG4897">
        <v>-0.11475299999999899</v>
      </c>
      <c r="AH4897">
        <v>0.50285573024657404</v>
      </c>
      <c r="AI4897">
        <v>102.46817521378399</v>
      </c>
      <c r="AJ4897">
        <v>75.679734396874807</v>
      </c>
      <c r="AK4897">
        <v>0.53151660634958997</v>
      </c>
      <c r="AL4897">
        <v>94.352098599342099</v>
      </c>
      <c r="AM4897">
        <v>89.725222296897002</v>
      </c>
      <c r="AN4897">
        <v>1.0000000228886201</v>
      </c>
    </row>
    <row r="4898" spans="1:40" x14ac:dyDescent="0.25">
      <c r="A4898" t="str">
        <f>"20190303154614223"</f>
        <v>20190303154614223</v>
      </c>
      <c r="B4898" t="str">
        <f>"1551599174216261"</f>
        <v>1551599174216261</v>
      </c>
      <c r="C4898" t="s">
        <v>40</v>
      </c>
      <c r="D4898">
        <v>4.6891040000000004</v>
      </c>
      <c r="E4898">
        <v>0.56555440000000001</v>
      </c>
      <c r="F4898" t="s">
        <v>42</v>
      </c>
      <c r="G4898">
        <v>-421.81229999999999</v>
      </c>
      <c r="H4898">
        <v>1.0080929999999999</v>
      </c>
      <c r="I4898">
        <v>102.7409</v>
      </c>
      <c r="J4898">
        <v>-421.66950000000003</v>
      </c>
      <c r="K4898">
        <v>1.1205860000000001</v>
      </c>
      <c r="L4898">
        <v>103.2341</v>
      </c>
      <c r="M4898">
        <v>-2.2841460000000001E-2</v>
      </c>
      <c r="N4898">
        <v>-1.05292999999999E-2</v>
      </c>
      <c r="O4898">
        <v>-0.99968360000000001</v>
      </c>
      <c r="P4898">
        <v>-2.77039E-2</v>
      </c>
      <c r="Q4898">
        <v>-8.6433819999999995E-2</v>
      </c>
      <c r="R4898">
        <v>-0.99587239999999999</v>
      </c>
      <c r="S4898">
        <v>-0.60583500000000001</v>
      </c>
      <c r="T4898">
        <v>-0.46085320000000002</v>
      </c>
      <c r="U4898">
        <v>-2.9557799999999999</v>
      </c>
      <c r="V4898">
        <v>4.9293760000000001E-3</v>
      </c>
      <c r="W4898">
        <v>-7.5940480000000005E-2</v>
      </c>
      <c r="X4898">
        <v>0.99710019999999999</v>
      </c>
      <c r="Y4898">
        <v>0.17621049999999999</v>
      </c>
      <c r="Z4898">
        <v>0.14086650000000001</v>
      </c>
      <c r="AA4898">
        <v>0.974221</v>
      </c>
      <c r="AB4898">
        <v>22</v>
      </c>
      <c r="AC4898">
        <v>-0.14279999999996501</v>
      </c>
      <c r="AD4898">
        <v>-0.112492999999999</v>
      </c>
      <c r="AE4898">
        <v>-0.49320000000000103</v>
      </c>
      <c r="AF4898">
        <v>0.12547393480798599</v>
      </c>
      <c r="AG4898">
        <v>-0.112492999999999</v>
      </c>
      <c r="AH4898">
        <v>0.473600349636909</v>
      </c>
      <c r="AI4898">
        <v>102.93130946043701</v>
      </c>
      <c r="AJ4898">
        <v>75.161182065238805</v>
      </c>
      <c r="AK4898">
        <v>0.50268844679522995</v>
      </c>
      <c r="AL4898">
        <v>94.355261819726707</v>
      </c>
      <c r="AM4898">
        <v>89.716748487707704</v>
      </c>
      <c r="AN4898">
        <v>1.0000000320452</v>
      </c>
    </row>
    <row r="4899" spans="1:40" x14ac:dyDescent="0.25">
      <c r="A4899" t="str">
        <f>"20190303154614244"</f>
        <v>20190303154614244</v>
      </c>
      <c r="B4899" t="str">
        <f>"1551599174235781"</f>
        <v>1551599174235781</v>
      </c>
      <c r="C4899" t="s">
        <v>40</v>
      </c>
      <c r="D4899">
        <v>4.6778269999999997</v>
      </c>
      <c r="E4899">
        <v>0.56544030000000001</v>
      </c>
      <c r="F4899" t="s">
        <v>42</v>
      </c>
      <c r="G4899">
        <v>-421.8503</v>
      </c>
      <c r="H4899">
        <v>0.98379490000000003</v>
      </c>
      <c r="I4899">
        <v>102.3552</v>
      </c>
      <c r="J4899">
        <v>-421.6746</v>
      </c>
      <c r="K4899">
        <v>1.120584</v>
      </c>
      <c r="L4899">
        <v>103.0217</v>
      </c>
      <c r="M4899">
        <v>-2.298683E-2</v>
      </c>
      <c r="N4899">
        <v>-1.0530579999999999E-2</v>
      </c>
      <c r="O4899">
        <v>-0.99968029999999997</v>
      </c>
      <c r="P4899">
        <v>-2.8464039999999999E-2</v>
      </c>
      <c r="Q4899">
        <v>-8.6119730000000005E-2</v>
      </c>
      <c r="R4899">
        <v>-0.99587820000000005</v>
      </c>
      <c r="S4899">
        <v>-0.60659790000000002</v>
      </c>
      <c r="T4899">
        <v>-0.4600532</v>
      </c>
      <c r="U4899">
        <v>-2.9556580000000001</v>
      </c>
      <c r="V4899">
        <v>5.5440339999999998E-3</v>
      </c>
      <c r="W4899">
        <v>-7.5625049999999999E-2</v>
      </c>
      <c r="X4899">
        <v>0.99712089999999998</v>
      </c>
      <c r="Y4899">
        <v>0.17632410000000001</v>
      </c>
      <c r="Z4899">
        <v>0.14060829999999999</v>
      </c>
      <c r="AA4899">
        <v>0.97423769999999998</v>
      </c>
      <c r="AB4899">
        <v>22</v>
      </c>
      <c r="AC4899">
        <v>-0.17570000000000599</v>
      </c>
      <c r="AD4899">
        <v>-0.1367891</v>
      </c>
      <c r="AE4899">
        <v>-0.66649999999999898</v>
      </c>
      <c r="AF4899">
        <v>0.15425668545354801</v>
      </c>
      <c r="AG4899">
        <v>-0.1367891</v>
      </c>
      <c r="AH4899">
        <v>0.64496143959922902</v>
      </c>
      <c r="AI4899">
        <v>101.655003282613</v>
      </c>
      <c r="AJ4899">
        <v>76.549134961745096</v>
      </c>
      <c r="AK4899">
        <v>0.67711272433460801</v>
      </c>
      <c r="AL4899">
        <v>94.337137087935304</v>
      </c>
      <c r="AM4899">
        <v>89.681436346930397</v>
      </c>
      <c r="AN4899">
        <v>0.99999998685865199</v>
      </c>
    </row>
    <row r="4900" spans="1:40" x14ac:dyDescent="0.25">
      <c r="A4900" t="str">
        <f>"20190303154614267"</f>
        <v>20190303154614267</v>
      </c>
      <c r="B4900" t="str">
        <f>"1551599174256277"</f>
        <v>1551599174256277</v>
      </c>
      <c r="C4900" t="s">
        <v>40</v>
      </c>
      <c r="D4900">
        <v>4.6893529999999997</v>
      </c>
      <c r="E4900">
        <v>0.56531399999999998</v>
      </c>
      <c r="F4900" t="s">
        <v>42</v>
      </c>
      <c r="G4900">
        <v>-421.8528</v>
      </c>
      <c r="H4900">
        <v>0.98631159999999996</v>
      </c>
      <c r="I4900">
        <v>102.15519999999999</v>
      </c>
      <c r="J4900">
        <v>-421.68009999999998</v>
      </c>
      <c r="K4900">
        <v>1.120579</v>
      </c>
      <c r="L4900">
        <v>102.7876</v>
      </c>
      <c r="M4900">
        <v>-2.3146969999999999E-2</v>
      </c>
      <c r="N4900">
        <v>-1.053198E-2</v>
      </c>
      <c r="O4900">
        <v>-0.99967669999999997</v>
      </c>
      <c r="P4900">
        <v>-2.860683E-2</v>
      </c>
      <c r="Q4900">
        <v>-8.5863140000000004E-2</v>
      </c>
      <c r="R4900">
        <v>-0.99589629999999996</v>
      </c>
      <c r="S4900">
        <v>-0.60748290000000005</v>
      </c>
      <c r="T4900">
        <v>-0.45799529999999999</v>
      </c>
      <c r="U4900">
        <v>-2.955444</v>
      </c>
      <c r="V4900">
        <v>5.52652E-3</v>
      </c>
      <c r="W4900">
        <v>-7.5366900000000001E-2</v>
      </c>
      <c r="X4900">
        <v>0.99714049999999999</v>
      </c>
      <c r="Y4900">
        <v>0.17647950000000001</v>
      </c>
      <c r="Z4900">
        <v>0.1399493</v>
      </c>
      <c r="AA4900">
        <v>0.97430439999999996</v>
      </c>
      <c r="AB4900">
        <v>22</v>
      </c>
      <c r="AC4900">
        <v>-0.17270000000002</v>
      </c>
      <c r="AD4900">
        <v>-0.13426740000000001</v>
      </c>
      <c r="AE4900">
        <v>-0.63240000000000396</v>
      </c>
      <c r="AF4900">
        <v>0.15165309511604499</v>
      </c>
      <c r="AG4900">
        <v>-0.13426740000000001</v>
      </c>
      <c r="AH4900">
        <v>0.61061369828879897</v>
      </c>
      <c r="AI4900">
        <v>102.046553658474</v>
      </c>
      <c r="AJ4900">
        <v>76.052133134704704</v>
      </c>
      <c r="AK4900">
        <v>0.64333155098981498</v>
      </c>
      <c r="AL4900">
        <v>94.322304033647995</v>
      </c>
      <c r="AM4900">
        <v>89.682448933501504</v>
      </c>
      <c r="AN4900">
        <v>0.99999994438958295</v>
      </c>
    </row>
    <row r="4901" spans="1:40" x14ac:dyDescent="0.25">
      <c r="A4901" t="str">
        <f>"20190303154614291"</f>
        <v>20190303154614291</v>
      </c>
      <c r="B4901" t="str">
        <f>"1551599174286533"</f>
        <v>1551599174286533</v>
      </c>
      <c r="C4901" t="s">
        <v>40</v>
      </c>
      <c r="D4901">
        <v>4.6969050000000001</v>
      </c>
      <c r="E4901">
        <v>0.53298489999999998</v>
      </c>
      <c r="F4901" t="s">
        <v>42</v>
      </c>
      <c r="G4901">
        <v>-421.85160000000002</v>
      </c>
      <c r="H4901">
        <v>0.99176790000000004</v>
      </c>
      <c r="I4901">
        <v>101.95350000000001</v>
      </c>
      <c r="J4901">
        <v>-421.68560000000002</v>
      </c>
      <c r="K4901">
        <v>1.120579</v>
      </c>
      <c r="L4901">
        <v>102.55840000000001</v>
      </c>
      <c r="M4901">
        <v>-2.3303049999999999E-2</v>
      </c>
      <c r="N4901">
        <v>-1.0533310000000001E-2</v>
      </c>
      <c r="O4901">
        <v>-0.99967309999999998</v>
      </c>
      <c r="P4901">
        <v>-2.872048E-2</v>
      </c>
      <c r="Q4901">
        <v>-8.5043300000000002E-2</v>
      </c>
      <c r="R4901">
        <v>-0.99596359999999995</v>
      </c>
      <c r="S4901">
        <v>-0.60681149999999995</v>
      </c>
      <c r="T4901">
        <v>-0.45646419999999999</v>
      </c>
      <c r="U4901">
        <v>-2.9555660000000001</v>
      </c>
      <c r="V4901">
        <v>5.4829240000000001E-3</v>
      </c>
      <c r="W4901">
        <v>-7.4545029999999998E-2</v>
      </c>
      <c r="X4901">
        <v>0.99720260000000005</v>
      </c>
      <c r="Y4901">
        <v>0.17612030000000001</v>
      </c>
      <c r="Z4901">
        <v>0.13945769999999999</v>
      </c>
      <c r="AA4901">
        <v>0.97443990000000003</v>
      </c>
      <c r="AB4901">
        <v>22</v>
      </c>
      <c r="AC4901">
        <v>-0.16599999999999601</v>
      </c>
      <c r="AD4901">
        <v>-0.12881109999999901</v>
      </c>
      <c r="AE4901">
        <v>-0.60489999999999999</v>
      </c>
      <c r="AF4901">
        <v>0.145713356384821</v>
      </c>
      <c r="AG4901">
        <v>-0.12881109999999901</v>
      </c>
      <c r="AH4901">
        <v>0.58397776268746204</v>
      </c>
      <c r="AI4901">
        <v>102.07985730859301</v>
      </c>
      <c r="AJ4901">
        <v>75.989715242322802</v>
      </c>
      <c r="AK4901">
        <v>0.61551174564389399</v>
      </c>
      <c r="AL4901">
        <v>94.275081159067895</v>
      </c>
      <c r="AM4901">
        <v>89.684973505947994</v>
      </c>
      <c r="AN4901">
        <v>1.00000002470002</v>
      </c>
    </row>
    <row r="4902" spans="1:40" x14ac:dyDescent="0.25">
      <c r="A4902" t="str">
        <f>"20190303154614312"</f>
        <v>20190303154614312</v>
      </c>
      <c r="B4902" t="str">
        <f>"1551599174306053"</f>
        <v>1551599174306053</v>
      </c>
      <c r="C4902" t="s">
        <v>40</v>
      </c>
      <c r="D4902">
        <v>4.687182</v>
      </c>
      <c r="E4902">
        <v>0.51856440000000004</v>
      </c>
      <c r="F4902" t="s">
        <v>42</v>
      </c>
      <c r="G4902">
        <v>-421.78199999999998</v>
      </c>
      <c r="H4902">
        <v>1.01969</v>
      </c>
      <c r="I4902">
        <v>101.7402</v>
      </c>
      <c r="J4902">
        <v>-421.6909</v>
      </c>
      <c r="K4902">
        <v>1.1205780000000001</v>
      </c>
      <c r="L4902">
        <v>102.3391</v>
      </c>
      <c r="M4902">
        <v>-2.3451670000000001E-2</v>
      </c>
      <c r="N4902">
        <v>-1.053461E-2</v>
      </c>
      <c r="O4902">
        <v>-0.99966960000000005</v>
      </c>
      <c r="P4902">
        <v>-2.83208E-2</v>
      </c>
      <c r="Q4902">
        <v>-8.4770620000000005E-2</v>
      </c>
      <c r="R4902">
        <v>-0.9959983</v>
      </c>
      <c r="S4902">
        <v>-0.34945680000000001</v>
      </c>
      <c r="T4902">
        <v>-0.3663266</v>
      </c>
      <c r="U4902">
        <v>-2.9707949999999999</v>
      </c>
      <c r="V4902">
        <v>4.9342830000000002E-3</v>
      </c>
      <c r="W4902">
        <v>-7.4270669999999997E-2</v>
      </c>
      <c r="X4902">
        <v>0.9972259</v>
      </c>
      <c r="Y4902">
        <v>9.2711249999999995E-2</v>
      </c>
      <c r="Z4902">
        <v>0.11120770000000001</v>
      </c>
      <c r="AA4902">
        <v>0.98946319999999999</v>
      </c>
      <c r="AB4902">
        <v>22</v>
      </c>
      <c r="AC4902">
        <v>-9.1099999999983E-2</v>
      </c>
      <c r="AD4902">
        <v>-0.10088800000000001</v>
      </c>
      <c r="AE4902">
        <v>-0.59889999999999999</v>
      </c>
      <c r="AF4902">
        <v>7.4950178153109295E-2</v>
      </c>
      <c r="AG4902">
        <v>-0.10088800000000001</v>
      </c>
      <c r="AH4902">
        <v>0.58465609859158996</v>
      </c>
      <c r="AI4902">
        <v>99.712566657358806</v>
      </c>
      <c r="AJ4902">
        <v>82.694793107225394</v>
      </c>
      <c r="AK4902">
        <v>0.59801226690555598</v>
      </c>
      <c r="AL4902">
        <v>94.259317949918298</v>
      </c>
      <c r="AM4902">
        <v>89.716502265283395</v>
      </c>
      <c r="AN4902">
        <v>0.99999998760089104</v>
      </c>
    </row>
    <row r="4903" spans="1:40" x14ac:dyDescent="0.25">
      <c r="A4903" t="str">
        <f>"20190303154614336"</f>
        <v>20190303154614336</v>
      </c>
      <c r="B4903" t="str">
        <f>"1551599174326549"</f>
        <v>1551599174326549</v>
      </c>
      <c r="C4903" t="s">
        <v>40</v>
      </c>
      <c r="D4903">
        <v>4.7057529999999996</v>
      </c>
      <c r="E4903">
        <v>0.51203240000000005</v>
      </c>
      <c r="F4903" t="s">
        <v>42</v>
      </c>
      <c r="G4903">
        <v>-421.75479999999999</v>
      </c>
      <c r="H4903">
        <v>1.047739</v>
      </c>
      <c r="I4903">
        <v>101.5248</v>
      </c>
      <c r="J4903">
        <v>-421.69650000000001</v>
      </c>
      <c r="K4903">
        <v>1.120582</v>
      </c>
      <c r="L4903">
        <v>102.1063</v>
      </c>
      <c r="M4903">
        <v>-2.3609100000000001E-2</v>
      </c>
      <c r="N4903">
        <v>-1.054304E-2</v>
      </c>
      <c r="O4903">
        <v>-0.99966569999999999</v>
      </c>
      <c r="P4903">
        <v>-2.7661560000000002E-2</v>
      </c>
      <c r="Q4903">
        <v>-8.4394250000000004E-2</v>
      </c>
      <c r="R4903">
        <v>-0.99604870000000001</v>
      </c>
      <c r="S4903">
        <v>-0.23287959999999999</v>
      </c>
      <c r="T4903">
        <v>-0.26681199999999999</v>
      </c>
      <c r="U4903">
        <v>-2.9826969999999999</v>
      </c>
      <c r="V4903">
        <v>4.1170829999999997E-3</v>
      </c>
      <c r="W4903">
        <v>-7.3885320000000004E-2</v>
      </c>
      <c r="X4903">
        <v>0.99725819999999998</v>
      </c>
      <c r="Y4903">
        <v>5.4011700000000003E-2</v>
      </c>
      <c r="Z4903">
        <v>7.8364799999999998E-2</v>
      </c>
      <c r="AA4903">
        <v>0.99546060000000003</v>
      </c>
      <c r="AB4903">
        <v>22</v>
      </c>
      <c r="AC4903">
        <v>-5.8299999999974199E-2</v>
      </c>
      <c r="AD4903">
        <v>-7.2842999999999894E-2</v>
      </c>
      <c r="AE4903">
        <v>-0.58150000000000501</v>
      </c>
      <c r="AF4903">
        <v>4.3872697797369103E-2</v>
      </c>
      <c r="AG4903">
        <v>-7.2842999999999894E-2</v>
      </c>
      <c r="AH4903">
        <v>0.57379996436675096</v>
      </c>
      <c r="AI4903">
        <v>97.214075089624103</v>
      </c>
      <c r="AJ4903">
        <v>85.627676571108907</v>
      </c>
      <c r="AK4903">
        <v>0.58006664735037505</v>
      </c>
      <c r="AL4903">
        <v>94.237178332678596</v>
      </c>
      <c r="AM4903">
        <v>89.763461318579402</v>
      </c>
      <c r="AN4903">
        <v>0.99999995417558396</v>
      </c>
    </row>
    <row r="4904" spans="1:40" x14ac:dyDescent="0.25">
      <c r="A4904" t="str">
        <f>"20190303154614356"</f>
        <v>20190303154614356</v>
      </c>
      <c r="B4904" t="str">
        <f>"1551599174346069"</f>
        <v>1551599174346069</v>
      </c>
      <c r="C4904" t="s">
        <v>40</v>
      </c>
      <c r="D4904">
        <v>4.7622849999999897</v>
      </c>
      <c r="E4904">
        <v>0.50837719999999997</v>
      </c>
      <c r="F4904" t="s">
        <v>41</v>
      </c>
      <c r="G4904">
        <v>-422.6182</v>
      </c>
      <c r="H4904" s="1">
        <v>-3.7409730000000002E-6</v>
      </c>
      <c r="I4904">
        <v>86.685540000000003</v>
      </c>
      <c r="J4904">
        <v>-421.70139999999998</v>
      </c>
      <c r="K4904">
        <v>1.1205909999999999</v>
      </c>
      <c r="L4904">
        <v>101.90349999999999</v>
      </c>
      <c r="M4904">
        <v>-2.3745860000000001E-2</v>
      </c>
      <c r="N4904">
        <v>-1.056052E-2</v>
      </c>
      <c r="O4904">
        <v>-0.99966239999999995</v>
      </c>
      <c r="P4904">
        <v>-2.7289799999999999E-2</v>
      </c>
      <c r="Q4904">
        <v>-8.4235640000000001E-2</v>
      </c>
      <c r="R4904">
        <v>-0.99607239999999997</v>
      </c>
      <c r="S4904">
        <v>-0.17861939999999901</v>
      </c>
      <c r="T4904">
        <v>-0.217168</v>
      </c>
      <c r="U4904">
        <v>-2.9885250000000001</v>
      </c>
      <c r="V4904">
        <v>3.60852E-3</v>
      </c>
      <c r="W4904">
        <v>-7.3708990000000002E-2</v>
      </c>
      <c r="X4904">
        <v>0.99727330000000003</v>
      </c>
      <c r="Y4904">
        <v>3.5810330000000001E-2</v>
      </c>
      <c r="Z4904">
        <v>6.1828769999999998E-2</v>
      </c>
      <c r="AA4904">
        <v>0.9974442</v>
      </c>
      <c r="AB4904">
        <v>22</v>
      </c>
      <c r="AC4904">
        <v>-0.91680000000002304</v>
      </c>
      <c r="AD4904">
        <v>-1.1205947409729999</v>
      </c>
      <c r="AE4904">
        <v>-15.2179599999999</v>
      </c>
      <c r="AF4904">
        <v>0.55217457995421904</v>
      </c>
      <c r="AG4904">
        <v>-1.1205947409729999</v>
      </c>
      <c r="AH4904">
        <v>15.153569688292</v>
      </c>
      <c r="AI4904">
        <v>94.226485673412398</v>
      </c>
      <c r="AJ4904">
        <v>87.913146378175995</v>
      </c>
      <c r="AK4904">
        <v>15.204976278776901</v>
      </c>
      <c r="AL4904">
        <v>94.227047398562505</v>
      </c>
      <c r="AM4904">
        <v>89.792682643788595</v>
      </c>
      <c r="AN4904">
        <v>1.00000003575814</v>
      </c>
    </row>
    <row r="4905" spans="1:40" x14ac:dyDescent="0.25">
      <c r="A4905" t="str">
        <f>"20190303154614381"</f>
        <v>20190303154614381</v>
      </c>
      <c r="B4905" t="str">
        <f>"1551599174376325"</f>
        <v>1551599174376325</v>
      </c>
      <c r="C4905" t="s">
        <v>40</v>
      </c>
      <c r="D4905">
        <v>4.7627639999999998</v>
      </c>
      <c r="E4905">
        <v>0.50488329999999904</v>
      </c>
      <c r="F4905" t="s">
        <v>41</v>
      </c>
      <c r="G4905">
        <v>-422.57819999999998</v>
      </c>
      <c r="H4905" s="1">
        <v>-2.6830130000000001E-6</v>
      </c>
      <c r="I4905">
        <v>84.244240000000005</v>
      </c>
      <c r="J4905">
        <v>-421.70729999999998</v>
      </c>
      <c r="K4905">
        <v>1.1205959999999999</v>
      </c>
      <c r="L4905">
        <v>101.6636</v>
      </c>
      <c r="M4905">
        <v>-2.3906899999999998E-2</v>
      </c>
      <c r="N4905">
        <v>-1.058504E-2</v>
      </c>
      <c r="O4905">
        <v>-0.99965809999999999</v>
      </c>
      <c r="P4905">
        <v>-2.739747E-2</v>
      </c>
      <c r="Q4905">
        <v>-8.4016610000000005E-2</v>
      </c>
      <c r="R4905">
        <v>-0.99608759999999996</v>
      </c>
      <c r="S4905">
        <v>-0.1485291</v>
      </c>
      <c r="T4905">
        <v>-0.18984219999999999</v>
      </c>
      <c r="U4905">
        <v>-2.9916990000000001</v>
      </c>
      <c r="V4905">
        <v>3.5552130000000002E-3</v>
      </c>
      <c r="W4905">
        <v>-7.3465320000000001E-2</v>
      </c>
      <c r="X4905">
        <v>0.99729140000000005</v>
      </c>
      <c r="Y4905">
        <v>2.5614040000000001E-2</v>
      </c>
      <c r="Z4905">
        <v>5.269157E-2</v>
      </c>
      <c r="AA4905">
        <v>0.99828229999999996</v>
      </c>
      <c r="AB4905">
        <v>22</v>
      </c>
      <c r="AC4905">
        <v>-0.870900000000006</v>
      </c>
      <c r="AD4905">
        <v>-1.1205986830129999</v>
      </c>
      <c r="AE4905">
        <v>-17.419359999999902</v>
      </c>
      <c r="AF4905">
        <v>0.45231759101032598</v>
      </c>
      <c r="AG4905">
        <v>-1.1205986830129999</v>
      </c>
      <c r="AH4905">
        <v>17.3635238926291</v>
      </c>
      <c r="AI4905">
        <v>93.691357435750504</v>
      </c>
      <c r="AJ4905">
        <v>88.507789699152994</v>
      </c>
      <c r="AK4905">
        <v>17.405524829243401</v>
      </c>
      <c r="AL4905">
        <v>94.213048481749297</v>
      </c>
      <c r="AM4905">
        <v>89.795748928257794</v>
      </c>
      <c r="AN4905">
        <v>0.99999996464806795</v>
      </c>
    </row>
    <row r="4906" spans="1:40" x14ac:dyDescent="0.25">
      <c r="A4906" t="str">
        <f>"20190303154614401"</f>
        <v>20190303154614401</v>
      </c>
      <c r="B4906" t="str">
        <f>"1551599174395849"</f>
        <v>1551599174395849</v>
      </c>
      <c r="C4906" t="s">
        <v>40</v>
      </c>
      <c r="D4906">
        <v>4.989198</v>
      </c>
      <c r="E4906">
        <v>0.50317420000000002</v>
      </c>
      <c r="F4906" t="s">
        <v>41</v>
      </c>
      <c r="G4906">
        <v>-422.50409999999999</v>
      </c>
      <c r="H4906" s="1">
        <v>-1.682292E-6</v>
      </c>
      <c r="I4906">
        <v>81.957449999999994</v>
      </c>
      <c r="J4906">
        <v>-421.71249999999998</v>
      </c>
      <c r="K4906">
        <v>1.1206069999999999</v>
      </c>
      <c r="L4906">
        <v>101.4543</v>
      </c>
      <c r="M4906">
        <v>-2.4047470000000001E-2</v>
      </c>
      <c r="N4906">
        <v>-1.060386E-2</v>
      </c>
      <c r="O4906">
        <v>-0.9996545</v>
      </c>
      <c r="P4906">
        <v>-2.727912E-2</v>
      </c>
      <c r="Q4906">
        <v>-8.4098179999999995E-2</v>
      </c>
      <c r="R4906">
        <v>-0.99608399999999997</v>
      </c>
      <c r="S4906">
        <v>-0.1210632</v>
      </c>
      <c r="T4906">
        <v>-0.1702591</v>
      </c>
      <c r="U4906">
        <v>-2.9940799999999999</v>
      </c>
      <c r="V4906">
        <v>3.296804E-3</v>
      </c>
      <c r="W4906">
        <v>-7.3528099999999999E-2</v>
      </c>
      <c r="X4906">
        <v>0.9972877</v>
      </c>
      <c r="Y4906">
        <v>1.631144E-2</v>
      </c>
      <c r="Z4906">
        <v>4.6137249999999998E-2</v>
      </c>
      <c r="AA4906">
        <v>0.99880190000000002</v>
      </c>
      <c r="AB4906">
        <v>22</v>
      </c>
      <c r="AC4906">
        <v>-0.79160000000001596</v>
      </c>
      <c r="AD4906">
        <v>-1.1206086822919901</v>
      </c>
      <c r="AE4906">
        <v>-19.496849999999998</v>
      </c>
      <c r="AF4906">
        <v>0.321434620362122</v>
      </c>
      <c r="AG4906">
        <v>-1.1206086822919901</v>
      </c>
      <c r="AH4906">
        <v>19.446113059358801</v>
      </c>
      <c r="AI4906">
        <v>93.297650109578996</v>
      </c>
      <c r="AJ4906">
        <v>89.053015374158804</v>
      </c>
      <c r="AK4906">
        <v>19.481026593877399</v>
      </c>
      <c r="AL4906">
        <v>94.2166551015343</v>
      </c>
      <c r="AM4906">
        <v>89.8105940071205</v>
      </c>
      <c r="AN4906">
        <v>1.00000000348875</v>
      </c>
    </row>
    <row r="4907" spans="1:40" x14ac:dyDescent="0.25">
      <c r="A4907" t="str">
        <f>"20190303154614424"</f>
        <v>20190303154614424</v>
      </c>
      <c r="B4907" t="str">
        <f>"1551599174416341"</f>
        <v>1551599174416341</v>
      </c>
      <c r="C4907" t="s">
        <v>40</v>
      </c>
      <c r="D4907">
        <v>4.7943540000000002</v>
      </c>
      <c r="E4907">
        <v>0.50233809999999901</v>
      </c>
      <c r="F4907" t="s">
        <v>41</v>
      </c>
      <c r="G4907">
        <v>-422.44139999999999</v>
      </c>
      <c r="H4907" s="1">
        <v>-1.22805E-6</v>
      </c>
      <c r="I4907">
        <v>80.937479999999994</v>
      </c>
      <c r="J4907">
        <v>-421.71789999999999</v>
      </c>
      <c r="K4907">
        <v>1.1206050000000001</v>
      </c>
      <c r="L4907">
        <v>101.2337</v>
      </c>
      <c r="M4907">
        <v>-2.419553E-2</v>
      </c>
      <c r="N4907">
        <v>-1.0626979999999999E-2</v>
      </c>
      <c r="O4907">
        <v>-0.99965099999999996</v>
      </c>
      <c r="P4907">
        <v>-2.65729E-2</v>
      </c>
      <c r="Q4907">
        <v>-8.3269159999999995E-2</v>
      </c>
      <c r="R4907">
        <v>-0.99617339999999999</v>
      </c>
      <c r="S4907">
        <v>-0.1064148</v>
      </c>
      <c r="T4907">
        <v>-0.16358689999999901</v>
      </c>
      <c r="U4907">
        <v>-2.9950559999999999</v>
      </c>
      <c r="V4907">
        <v>2.4412489999999999E-3</v>
      </c>
      <c r="W4907">
        <v>-7.2675110000000001E-2</v>
      </c>
      <c r="X4907">
        <v>0.99735269999999998</v>
      </c>
      <c r="Y4907">
        <v>1.1277590000000001E-2</v>
      </c>
      <c r="Z4907">
        <v>4.3885189999999998E-2</v>
      </c>
      <c r="AA4907">
        <v>0.998973</v>
      </c>
      <c r="AB4907">
        <v>22</v>
      </c>
      <c r="AC4907">
        <v>-0.72350000000000103</v>
      </c>
      <c r="AD4907">
        <v>-1.12060622804999</v>
      </c>
      <c r="AE4907">
        <v>-20.296219999999899</v>
      </c>
      <c r="AF4907">
        <v>0.23147800579618499</v>
      </c>
      <c r="AG4907">
        <v>-1.12060622804999</v>
      </c>
      <c r="AH4907">
        <v>20.2461434139292</v>
      </c>
      <c r="AI4907">
        <v>93.167831893938597</v>
      </c>
      <c r="AJ4907">
        <v>89.344955003756994</v>
      </c>
      <c r="AK4907">
        <v>20.278453183684899</v>
      </c>
      <c r="AL4907">
        <v>94.167651195477106</v>
      </c>
      <c r="AM4907">
        <v>89.859755746290006</v>
      </c>
      <c r="AN4907">
        <v>1.00000001975374</v>
      </c>
    </row>
    <row r="4908" spans="1:40" x14ac:dyDescent="0.25">
      <c r="A4908" t="str">
        <f>"20190303154614445"</f>
        <v>20190303154614445</v>
      </c>
      <c r="B4908" t="str">
        <f>"1551599174435861"</f>
        <v>1551599174435861</v>
      </c>
      <c r="C4908" t="s">
        <v>40</v>
      </c>
      <c r="D4908">
        <v>4.7968570000000001</v>
      </c>
      <c r="E4908">
        <v>0.50157819999999997</v>
      </c>
      <c r="F4908" t="s">
        <v>41</v>
      </c>
      <c r="G4908">
        <v>-422.41759999999999</v>
      </c>
      <c r="H4908" s="1">
        <v>-7.051694E-7</v>
      </c>
      <c r="I4908">
        <v>79.733379999999997</v>
      </c>
      <c r="J4908">
        <v>-421.72340000000003</v>
      </c>
      <c r="K4908">
        <v>1.1206119999999999</v>
      </c>
      <c r="L4908">
        <v>101.0125</v>
      </c>
      <c r="M4908">
        <v>-2.4344129999999999E-2</v>
      </c>
      <c r="N4908">
        <v>-1.0654439999999999E-2</v>
      </c>
      <c r="O4908">
        <v>-0.99964710000000001</v>
      </c>
      <c r="P4908">
        <v>-2.6590860000000001E-2</v>
      </c>
      <c r="Q4908">
        <v>-8.206811E-2</v>
      </c>
      <c r="R4908">
        <v>-0.9962723</v>
      </c>
      <c r="S4908">
        <v>-9.7503660000000006E-2</v>
      </c>
      <c r="T4908">
        <v>-0.15614649999999999</v>
      </c>
      <c r="U4908">
        <v>-2.9958800000000001</v>
      </c>
      <c r="V4908">
        <v>2.30898E-3</v>
      </c>
      <c r="W4908">
        <v>-7.1445579999999995E-2</v>
      </c>
      <c r="X4908">
        <v>0.99744180000000005</v>
      </c>
      <c r="Y4908">
        <v>8.1558340000000007E-3</v>
      </c>
      <c r="Z4908">
        <v>4.1373319999999998E-2</v>
      </c>
      <c r="AA4908">
        <v>0.99911050000000001</v>
      </c>
      <c r="AB4908">
        <v>22</v>
      </c>
      <c r="AC4908">
        <v>-0.69419999999996596</v>
      </c>
      <c r="AD4908">
        <v>-1.1206127051693999</v>
      </c>
      <c r="AE4908">
        <v>-21.279119999999899</v>
      </c>
      <c r="AF4908">
        <v>0.17545721186097701</v>
      </c>
      <c r="AG4908">
        <v>-1.1206127051693999</v>
      </c>
      <c r="AH4908">
        <v>21.2308956300513</v>
      </c>
      <c r="AI4908">
        <v>93.021288752219604</v>
      </c>
      <c r="AJ4908">
        <v>89.5265047200635</v>
      </c>
      <c r="AK4908">
        <v>21.2611732348503</v>
      </c>
      <c r="AL4908">
        <v>94.097020883097898</v>
      </c>
      <c r="AM4908">
        <v>89.867366123348404</v>
      </c>
      <c r="AN4908">
        <v>0.99999997333870805</v>
      </c>
    </row>
    <row r="4909" spans="1:40" x14ac:dyDescent="0.25">
      <c r="A4909" t="str">
        <f>"20190303154614469"</f>
        <v>20190303154614469</v>
      </c>
      <c r="B4909" t="str">
        <f>"1551599174466118"</f>
        <v>1551599174466118</v>
      </c>
      <c r="C4909" t="s">
        <v>40</v>
      </c>
      <c r="D4909">
        <v>4.8077560000000004</v>
      </c>
      <c r="E4909">
        <v>0.50100820000000001</v>
      </c>
      <c r="F4909" t="s">
        <v>41</v>
      </c>
      <c r="G4909">
        <v>-422.40309999999999</v>
      </c>
      <c r="H4909" s="1">
        <v>-4.4583180000000002E-6</v>
      </c>
      <c r="I4909">
        <v>78.835139999999996</v>
      </c>
      <c r="J4909">
        <v>-421.7294</v>
      </c>
      <c r="K4909">
        <v>1.1206149999999999</v>
      </c>
      <c r="L4909">
        <v>100.7769</v>
      </c>
      <c r="M4909">
        <v>-2.4501789999999999E-2</v>
      </c>
      <c r="N4909">
        <v>-1.068329E-2</v>
      </c>
      <c r="O4909">
        <v>-0.99964280000000005</v>
      </c>
      <c r="P4909">
        <v>-2.5649410000000001E-2</v>
      </c>
      <c r="Q4909">
        <v>-8.1528719999999999E-2</v>
      </c>
      <c r="R4909">
        <v>-0.99634129999999999</v>
      </c>
      <c r="S4909">
        <v>-9.1827389999999995E-2</v>
      </c>
      <c r="T4909">
        <v>-0.15140300000000001</v>
      </c>
      <c r="U4909">
        <v>-2.9963069999999998</v>
      </c>
      <c r="V4909">
        <v>1.2090989999999999E-3</v>
      </c>
      <c r="W4909">
        <v>-7.0876670000000003E-2</v>
      </c>
      <c r="X4909">
        <v>0.99748429999999999</v>
      </c>
      <c r="Y4909">
        <v>6.1053569999999996E-3</v>
      </c>
      <c r="Z4909">
        <v>3.9761919999999999E-2</v>
      </c>
      <c r="AA4909">
        <v>0.99919049999999998</v>
      </c>
      <c r="AB4909">
        <v>22</v>
      </c>
      <c r="AC4909">
        <v>-0.67369999999999597</v>
      </c>
      <c r="AD4909">
        <v>-1.12061945831799</v>
      </c>
      <c r="AE4909">
        <v>-21.941759999999999</v>
      </c>
      <c r="AF4909">
        <v>0.13550158930084999</v>
      </c>
      <c r="AG4909">
        <v>-1.12061945831799</v>
      </c>
      <c r="AH4909">
        <v>21.894623780368399</v>
      </c>
      <c r="AI4909">
        <v>92.929922956496497</v>
      </c>
      <c r="AJ4909">
        <v>89.645412036086796</v>
      </c>
      <c r="AK4909">
        <v>21.923701766237802</v>
      </c>
      <c r="AL4909">
        <v>94.064342002406306</v>
      </c>
      <c r="AM4909">
        <v>89.930549046451901</v>
      </c>
      <c r="AN4909">
        <v>0.99999994650858304</v>
      </c>
    </row>
    <row r="4910" spans="1:40" x14ac:dyDescent="0.25">
      <c r="A4910" t="str">
        <f>"20190303154614493"</f>
        <v>20190303154614493</v>
      </c>
      <c r="B4910" t="str">
        <f>"1551599174486614"</f>
        <v>1551599174486614</v>
      </c>
      <c r="C4910" t="s">
        <v>40</v>
      </c>
      <c r="D4910">
        <v>4.8649430000000002</v>
      </c>
      <c r="E4910">
        <v>0.5006157</v>
      </c>
      <c r="F4910" t="s">
        <v>41</v>
      </c>
      <c r="G4910">
        <v>-422.3802</v>
      </c>
      <c r="H4910" s="1">
        <v>-4.0554089999999998E-6</v>
      </c>
      <c r="I4910">
        <v>77.663129999999995</v>
      </c>
      <c r="J4910">
        <v>-421.7353</v>
      </c>
      <c r="K4910">
        <v>1.120617</v>
      </c>
      <c r="L4910">
        <v>100.54349999999999</v>
      </c>
      <c r="M4910">
        <v>-2.4656109999999998E-2</v>
      </c>
      <c r="N4910">
        <v>-1.0708530000000001E-2</v>
      </c>
      <c r="O4910">
        <v>-0.99963880000000005</v>
      </c>
      <c r="P4910">
        <v>-2.4502260000000001E-2</v>
      </c>
      <c r="Q4910">
        <v>-8.1252279999999996E-2</v>
      </c>
      <c r="R4910">
        <v>-0.99639270000000002</v>
      </c>
      <c r="S4910">
        <v>-8.4381100000000001E-2</v>
      </c>
      <c r="T4910">
        <v>-0.1453004</v>
      </c>
      <c r="U4910">
        <v>-2.9969480000000002</v>
      </c>
      <c r="V4910" s="1">
        <v>-9.2639409999999993E-5</v>
      </c>
      <c r="W4910">
        <v>-7.0574449999999997E-2</v>
      </c>
      <c r="X4910">
        <v>0.99750649999999996</v>
      </c>
      <c r="Y4910">
        <v>3.4671010000000002E-3</v>
      </c>
      <c r="Z4910">
        <v>3.7699089999999998E-2</v>
      </c>
      <c r="AA4910">
        <v>0.99928309999999998</v>
      </c>
      <c r="AB4910">
        <v>22</v>
      </c>
      <c r="AC4910">
        <v>-0.64490000000000602</v>
      </c>
      <c r="AD4910">
        <v>-1.1206210554089999</v>
      </c>
      <c r="AE4910">
        <v>-22.8803699999999</v>
      </c>
      <c r="AF4910">
        <v>8.0338185744152302E-2</v>
      </c>
      <c r="AG4910">
        <v>-1.1206210554089999</v>
      </c>
      <c r="AH4910">
        <v>22.8345832281254</v>
      </c>
      <c r="AI4910">
        <v>92.809553763638405</v>
      </c>
      <c r="AJ4910">
        <v>89.798418918419799</v>
      </c>
      <c r="AK4910">
        <v>22.862205426775901</v>
      </c>
      <c r="AL4910">
        <v>94.046982425204803</v>
      </c>
      <c r="AM4910">
        <v>90.005321115395503</v>
      </c>
      <c r="AN4910">
        <v>0.99999998955855596</v>
      </c>
    </row>
    <row r="4911" spans="1:40" x14ac:dyDescent="0.25">
      <c r="A4911" t="str">
        <f>"20190303154614517"</f>
        <v>20190303154614517</v>
      </c>
      <c r="B4911" t="str">
        <f>"1551599174506133"</f>
        <v>1551599174506133</v>
      </c>
      <c r="C4911" t="s">
        <v>40</v>
      </c>
      <c r="D4911">
        <v>4.8765169999999998</v>
      </c>
      <c r="E4911">
        <v>0.50014250000000005</v>
      </c>
      <c r="F4911" t="s">
        <v>41</v>
      </c>
      <c r="G4911">
        <v>-422.34800000000001</v>
      </c>
      <c r="H4911" s="1">
        <v>-3.7792729999999999E-6</v>
      </c>
      <c r="I4911">
        <v>76.94238</v>
      </c>
      <c r="J4911">
        <v>-421.74160000000001</v>
      </c>
      <c r="K4911">
        <v>1.1206179999999999</v>
      </c>
      <c r="L4911">
        <v>100.2945</v>
      </c>
      <c r="M4911">
        <v>-2.4815070000000002E-2</v>
      </c>
      <c r="N4911">
        <v>-1.073289E-2</v>
      </c>
      <c r="O4911">
        <v>-0.99963469999999999</v>
      </c>
      <c r="P4911">
        <v>-2.3223000000000001E-2</v>
      </c>
      <c r="Q4911">
        <v>-8.2118259999999998E-2</v>
      </c>
      <c r="R4911">
        <v>-0.99635229999999997</v>
      </c>
      <c r="S4911">
        <v>-7.7819819999999998E-2</v>
      </c>
      <c r="T4911">
        <v>-0.1423188</v>
      </c>
      <c r="U4911">
        <v>-2.9973450000000001</v>
      </c>
      <c r="V4911">
        <v>-1.5284669999999999E-3</v>
      </c>
      <c r="W4911">
        <v>-7.1416519999999997E-2</v>
      </c>
      <c r="X4911">
        <v>0.99744540000000004</v>
      </c>
      <c r="Y4911">
        <v>1.120228E-3</v>
      </c>
      <c r="Z4911">
        <v>3.6678229999999999E-2</v>
      </c>
      <c r="AA4911">
        <v>0.99932650000000001</v>
      </c>
      <c r="AB4911">
        <v>22</v>
      </c>
      <c r="AC4911">
        <v>-0.60640000000000704</v>
      </c>
      <c r="AD4911">
        <v>-1.120621779273</v>
      </c>
      <c r="AE4911">
        <v>-23.352119999999999</v>
      </c>
      <c r="AF4911">
        <v>2.6634227105385499E-2</v>
      </c>
      <c r="AG4911">
        <v>-1.120621779273</v>
      </c>
      <c r="AH4911">
        <v>23.306341992303</v>
      </c>
      <c r="AI4911">
        <v>92.7527891346204</v>
      </c>
      <c r="AJ4911">
        <v>89.934523052140804</v>
      </c>
      <c r="AK4911">
        <v>23.3332826583921</v>
      </c>
      <c r="AL4911">
        <v>94.095351532121697</v>
      </c>
      <c r="AM4911">
        <v>90.087798930826295</v>
      </c>
      <c r="AN4911">
        <v>0.99999999076071999</v>
      </c>
    </row>
    <row r="4912" spans="1:40" x14ac:dyDescent="0.25">
      <c r="A4912" t="str">
        <f>"20190303154614539"</f>
        <v>20190303154614539</v>
      </c>
      <c r="B4912" t="str">
        <f>"1551599174536390"</f>
        <v>1551599174536390</v>
      </c>
      <c r="C4912" t="s">
        <v>40</v>
      </c>
      <c r="D4912">
        <v>4.9134779999999996</v>
      </c>
      <c r="E4912">
        <v>0.49909239999999999</v>
      </c>
      <c r="F4912" t="s">
        <v>41</v>
      </c>
      <c r="G4912">
        <v>-422.2901</v>
      </c>
      <c r="H4912" s="1">
        <v>-3.7460600000000002E-6</v>
      </c>
      <c r="I4912">
        <v>76.900859999999994</v>
      </c>
      <c r="J4912">
        <v>-421.74720000000002</v>
      </c>
      <c r="K4912">
        <v>1.120627</v>
      </c>
      <c r="L4912">
        <v>100.07640000000001</v>
      </c>
      <c r="M4912">
        <v>-2.4942160000000001E-2</v>
      </c>
      <c r="N4912">
        <v>-1.075276E-2</v>
      </c>
      <c r="O4912">
        <v>-0.99963120000000005</v>
      </c>
      <c r="P4912">
        <v>-2.2388689999999999E-2</v>
      </c>
      <c r="Q4912">
        <v>-8.2759369999999999E-2</v>
      </c>
      <c r="R4912">
        <v>-0.99631800000000004</v>
      </c>
      <c r="S4912">
        <v>-7.0281979999999994E-2</v>
      </c>
      <c r="T4912">
        <v>-0.14359</v>
      </c>
      <c r="U4912">
        <v>-2.997528</v>
      </c>
      <c r="V4912">
        <v>-2.487202E-3</v>
      </c>
      <c r="W4912">
        <v>-7.2038149999999995E-2</v>
      </c>
      <c r="X4912">
        <v>0.99739880000000003</v>
      </c>
      <c r="Y4912">
        <v>-1.519484E-3</v>
      </c>
      <c r="Z4912">
        <v>3.7078960000000001E-2</v>
      </c>
      <c r="AA4912">
        <v>0.99931119999999996</v>
      </c>
      <c r="AB4912">
        <v>22</v>
      </c>
      <c r="AC4912">
        <v>-0.54289999999997396</v>
      </c>
      <c r="AD4912">
        <v>-1.12063074606</v>
      </c>
      <c r="AE4912">
        <v>-23.175540000000002</v>
      </c>
      <c r="AF4912">
        <v>-3.5267872204177098E-2</v>
      </c>
      <c r="AG4912">
        <v>-1.12063074606</v>
      </c>
      <c r="AH4912">
        <v>23.1278252513181</v>
      </c>
      <c r="AI4912">
        <v>92.774024775842804</v>
      </c>
      <c r="AJ4912">
        <v>90.087370889457603</v>
      </c>
      <c r="AK4912">
        <v>23.154985595921499</v>
      </c>
      <c r="AL4912">
        <v>94.1310601478352</v>
      </c>
      <c r="AM4912">
        <v>90.142877535050999</v>
      </c>
      <c r="AN4912">
        <v>1.0000000237353199</v>
      </c>
    </row>
    <row r="4913" spans="1:40" x14ac:dyDescent="0.25">
      <c r="A4913" t="str">
        <f>"20190303154614560"</f>
        <v>20190303154614560</v>
      </c>
      <c r="B4913" t="str">
        <f>"1551599174555910"</f>
        <v>1551599174555910</v>
      </c>
      <c r="C4913" t="s">
        <v>40</v>
      </c>
      <c r="D4913">
        <v>4.9949159999999999</v>
      </c>
      <c r="E4913">
        <v>0.49860989999999999</v>
      </c>
      <c r="F4913" t="s">
        <v>41</v>
      </c>
      <c r="G4913">
        <v>-422.18669999999997</v>
      </c>
      <c r="H4913" s="1">
        <v>-4.0677390000000001E-6</v>
      </c>
      <c r="I4913">
        <v>77.800190000000001</v>
      </c>
      <c r="J4913">
        <v>-421.75259999999997</v>
      </c>
      <c r="K4913">
        <v>1.1206419999999999</v>
      </c>
      <c r="L4913">
        <v>99.864260000000002</v>
      </c>
      <c r="M4913">
        <v>-2.5046229999999999E-2</v>
      </c>
      <c r="N4913">
        <v>-1.0770500000000001E-2</v>
      </c>
      <c r="O4913">
        <v>-0.99962850000000003</v>
      </c>
      <c r="P4913">
        <v>-2.1692980000000001E-2</v>
      </c>
      <c r="Q4913">
        <v>-8.3842089999999994E-2</v>
      </c>
      <c r="R4913">
        <v>-0.9962432</v>
      </c>
      <c r="S4913">
        <v>-5.9143069999999999E-2</v>
      </c>
      <c r="T4913">
        <v>-0.15077889999999999</v>
      </c>
      <c r="U4913">
        <v>-2.997223</v>
      </c>
      <c r="V4913">
        <v>-3.2830950000000002E-3</v>
      </c>
      <c r="W4913">
        <v>-7.3103989999999994E-2</v>
      </c>
      <c r="X4913">
        <v>0.99731890000000001</v>
      </c>
      <c r="Y4913">
        <v>-5.333824E-3</v>
      </c>
      <c r="Z4913">
        <v>3.9456650000000003E-2</v>
      </c>
      <c r="AA4913">
        <v>0.99920699999999996</v>
      </c>
      <c r="AB4913">
        <v>22</v>
      </c>
      <c r="AC4913">
        <v>-0.43409999999999999</v>
      </c>
      <c r="AD4913">
        <v>-1.120646067739</v>
      </c>
      <c r="AE4913">
        <v>-22.064070000000001</v>
      </c>
      <c r="AF4913">
        <v>-0.11838462134677</v>
      </c>
      <c r="AG4913">
        <v>-1.120646067739</v>
      </c>
      <c r="AH4913">
        <v>22.011260746100099</v>
      </c>
      <c r="AI4913">
        <v>92.914506947679996</v>
      </c>
      <c r="AJ4913">
        <v>90.308154714027395</v>
      </c>
      <c r="AK4913">
        <v>22.040087616897502</v>
      </c>
      <c r="AL4913">
        <v>94.192289913371496</v>
      </c>
      <c r="AM4913">
        <v>90.188612496719003</v>
      </c>
      <c r="AN4913">
        <v>0.99999998018195402</v>
      </c>
    </row>
    <row r="4914" spans="1:40" x14ac:dyDescent="0.25">
      <c r="A4914" t="str">
        <f>"20190303154614583"</f>
        <v>20190303154614583</v>
      </c>
      <c r="B4914" t="str">
        <f>"1551599174576405"</f>
        <v>1551599174576405</v>
      </c>
      <c r="C4914" t="s">
        <v>40</v>
      </c>
      <c r="D4914">
        <v>4.9467290000000004</v>
      </c>
      <c r="E4914">
        <v>0.49839470000000002</v>
      </c>
      <c r="F4914" t="s">
        <v>41</v>
      </c>
      <c r="G4914">
        <v>-422.13319999999999</v>
      </c>
      <c r="H4914" s="1">
        <v>-4.265875E-6</v>
      </c>
      <c r="I4914">
        <v>78.410330000000002</v>
      </c>
      <c r="J4914">
        <v>-421.7586</v>
      </c>
      <c r="K4914">
        <v>1.120671</v>
      </c>
      <c r="L4914">
        <v>99.631619999999998</v>
      </c>
      <c r="M4914">
        <v>-2.512636E-2</v>
      </c>
      <c r="N4914">
        <v>-1.078775E-2</v>
      </c>
      <c r="O4914">
        <v>-0.99962620000000002</v>
      </c>
      <c r="P4914">
        <v>-2.126697E-2</v>
      </c>
      <c r="Q4914">
        <v>-8.3969470000000004E-2</v>
      </c>
      <c r="R4914">
        <v>-0.99624159999999995</v>
      </c>
      <c r="S4914">
        <v>-5.316162E-2</v>
      </c>
      <c r="T4914">
        <v>-0.15654889999999999</v>
      </c>
      <c r="U4914">
        <v>-2.9970089999999998</v>
      </c>
      <c r="V4914">
        <v>-3.7843019999999998E-3</v>
      </c>
      <c r="W4914">
        <v>-7.3214409999999994E-2</v>
      </c>
      <c r="X4914">
        <v>0.997309</v>
      </c>
      <c r="Y4914">
        <v>-7.4067050000000004E-3</v>
      </c>
      <c r="Z4914">
        <v>4.1360719999999997E-2</v>
      </c>
      <c r="AA4914">
        <v>0.99911680000000003</v>
      </c>
      <c r="AB4914">
        <v>23</v>
      </c>
      <c r="AC4914">
        <v>-0.374599999999986</v>
      </c>
      <c r="AD4914">
        <v>-1.1206752658750001</v>
      </c>
      <c r="AE4914">
        <v>-21.22129</v>
      </c>
      <c r="AF4914">
        <v>-0.15832162779193501</v>
      </c>
      <c r="AG4914">
        <v>-1.1206752658750001</v>
      </c>
      <c r="AH4914">
        <v>21.164995814728599</v>
      </c>
      <c r="AI4914">
        <v>93.0308659423374</v>
      </c>
      <c r="AJ4914">
        <v>90.428584629493699</v>
      </c>
      <c r="AK4914">
        <v>21.1952359417594</v>
      </c>
      <c r="AL4914">
        <v>94.198633613752904</v>
      </c>
      <c r="AM4914">
        <v>90.217408538752693</v>
      </c>
      <c r="AN4914">
        <v>0.99999995612713599</v>
      </c>
    </row>
    <row r="4915" spans="1:40" x14ac:dyDescent="0.25">
      <c r="A4915" t="str">
        <f>"20190303154614602"</f>
        <v>20190303154614602</v>
      </c>
      <c r="B4915" t="str">
        <f>"1551599174595925"</f>
        <v>1551599174595925</v>
      </c>
      <c r="C4915" t="s">
        <v>40</v>
      </c>
      <c r="D4915">
        <v>4.9908510000000001</v>
      </c>
      <c r="E4915">
        <v>0.49822569999999999</v>
      </c>
      <c r="F4915" t="s">
        <v>41</v>
      </c>
      <c r="G4915">
        <v>-422.12009999999998</v>
      </c>
      <c r="H4915" s="1">
        <v>-4.1940419999999999E-6</v>
      </c>
      <c r="I4915">
        <v>78.20608</v>
      </c>
      <c r="J4915">
        <v>-421.7638</v>
      </c>
      <c r="K4915">
        <v>1.1207009999999999</v>
      </c>
      <c r="L4915">
        <v>99.427980000000005</v>
      </c>
      <c r="M4915">
        <v>-2.5168200000000002E-2</v>
      </c>
      <c r="N4915">
        <v>-1.0801079999999999E-2</v>
      </c>
      <c r="O4915">
        <v>-0.99962499999999999</v>
      </c>
      <c r="P4915">
        <v>-2.1548419999999999E-2</v>
      </c>
      <c r="Q4915">
        <v>-8.2471180000000005E-2</v>
      </c>
      <c r="R4915">
        <v>-0.99636069999999999</v>
      </c>
      <c r="S4915">
        <v>-5.0567630000000002E-2</v>
      </c>
      <c r="T4915">
        <v>-0.15676189999999901</v>
      </c>
      <c r="U4915">
        <v>-2.9970400000000001</v>
      </c>
      <c r="V4915">
        <v>-3.543587E-3</v>
      </c>
      <c r="W4915">
        <v>-7.1701819999999999E-2</v>
      </c>
      <c r="X4915">
        <v>0.99741979999999997</v>
      </c>
      <c r="Y4915">
        <v>-8.3129599999999994E-3</v>
      </c>
      <c r="Z4915">
        <v>4.1417669999999997E-2</v>
      </c>
      <c r="AA4915">
        <v>0.99910739999999998</v>
      </c>
      <c r="AB4915">
        <v>23</v>
      </c>
      <c r="AC4915">
        <v>-0.35629999999997602</v>
      </c>
      <c r="AD4915">
        <v>-1.1207051940420001</v>
      </c>
      <c r="AE4915">
        <v>-21.221900000000002</v>
      </c>
      <c r="AF4915">
        <v>-0.177466220822078</v>
      </c>
      <c r="AG4915">
        <v>-1.1207051940420001</v>
      </c>
      <c r="AH4915">
        <v>21.165136447872602</v>
      </c>
      <c r="AI4915">
        <v>93.030904925733694</v>
      </c>
      <c r="AJ4915">
        <v>90.480404518253394</v>
      </c>
      <c r="AK4915">
        <v>21.195529605285898</v>
      </c>
      <c r="AL4915">
        <v>94.111740065632603</v>
      </c>
      <c r="AM4915">
        <v>90.203556942838006</v>
      </c>
      <c r="AN4915">
        <v>0.99999998271608903</v>
      </c>
    </row>
    <row r="4916" spans="1:40" x14ac:dyDescent="0.25">
      <c r="A4916" t="str">
        <f>"20190303154614624"</f>
        <v>20190303154614624</v>
      </c>
      <c r="B4916" t="str">
        <f>"1551599174616422"</f>
        <v>1551599174616422</v>
      </c>
      <c r="C4916" t="s">
        <v>40</v>
      </c>
      <c r="D4916">
        <v>5.0022859999999998</v>
      </c>
      <c r="E4916">
        <v>0.4982414</v>
      </c>
      <c r="F4916" t="s">
        <v>41</v>
      </c>
      <c r="G4916">
        <v>-422.13</v>
      </c>
      <c r="H4916" s="1">
        <v>-3.8837489999999996E-6</v>
      </c>
      <c r="I4916">
        <v>77.321129999999997</v>
      </c>
      <c r="J4916">
        <v>-421.76929999999999</v>
      </c>
      <c r="K4916">
        <v>1.1207320000000001</v>
      </c>
      <c r="L4916">
        <v>99.212190000000007</v>
      </c>
      <c r="M4916">
        <v>-2.518635E-2</v>
      </c>
      <c r="N4916">
        <v>-1.081444E-2</v>
      </c>
      <c r="O4916">
        <v>-0.99962450000000003</v>
      </c>
      <c r="P4916">
        <v>-2.2166580000000002E-2</v>
      </c>
      <c r="Q4916">
        <v>-8.0161910000000003E-2</v>
      </c>
      <c r="R4916">
        <v>-0.99653579999999997</v>
      </c>
      <c r="S4916">
        <v>-4.9652099999999998E-2</v>
      </c>
      <c r="T4916">
        <v>-0.15194859999999999</v>
      </c>
      <c r="U4916">
        <v>-2.9973139999999998</v>
      </c>
      <c r="V4916">
        <v>-2.9443310000000001E-3</v>
      </c>
      <c r="W4916">
        <v>-6.9377499999999995E-2</v>
      </c>
      <c r="X4916">
        <v>0.99758610000000003</v>
      </c>
      <c r="Y4916">
        <v>-8.636622E-3</v>
      </c>
      <c r="Z4916">
        <v>3.9800130000000003E-2</v>
      </c>
      <c r="AA4916">
        <v>0.99917040000000001</v>
      </c>
      <c r="AB4916">
        <v>23</v>
      </c>
      <c r="AC4916">
        <v>-0.36070000000000801</v>
      </c>
      <c r="AD4916">
        <v>-1.120735883749</v>
      </c>
      <c r="AE4916">
        <v>-21.89106</v>
      </c>
      <c r="AF4916">
        <v>-0.19030379938293701</v>
      </c>
      <c r="AG4916">
        <v>-1.120735883749</v>
      </c>
      <c r="AH4916">
        <v>21.8359826529204</v>
      </c>
      <c r="AI4916">
        <v>92.938027049246699</v>
      </c>
      <c r="AJ4916">
        <v>90.499328500995105</v>
      </c>
      <c r="AK4916">
        <v>21.8655528829212</v>
      </c>
      <c r="AL4916">
        <v>93.978233802592399</v>
      </c>
      <c r="AM4916">
        <v>90.169105453599499</v>
      </c>
      <c r="AN4916">
        <v>0.999999966752248</v>
      </c>
    </row>
    <row r="4917" spans="1:40" x14ac:dyDescent="0.25">
      <c r="A4917" t="str">
        <f>"20190303154614647"</f>
        <v>20190303154614647</v>
      </c>
      <c r="B4917" t="str">
        <f>"1551599174635941"</f>
        <v>1551599174635941</v>
      </c>
      <c r="C4917" t="s">
        <v>40</v>
      </c>
      <c r="D4917">
        <v>4.9862510000000002</v>
      </c>
      <c r="E4917">
        <v>0.4981119</v>
      </c>
      <c r="F4917" t="s">
        <v>41</v>
      </c>
      <c r="G4917">
        <v>-422.17419999999998</v>
      </c>
      <c r="H4917" s="1">
        <v>-3.2969530000000001E-6</v>
      </c>
      <c r="I4917">
        <v>75.925910000000002</v>
      </c>
      <c r="J4917">
        <v>-421.77510000000001</v>
      </c>
      <c r="K4917">
        <v>1.120762</v>
      </c>
      <c r="L4917">
        <v>98.978639999999999</v>
      </c>
      <c r="M4917">
        <v>-2.516444E-2</v>
      </c>
      <c r="N4917">
        <v>-1.0833479999999999E-2</v>
      </c>
      <c r="O4917">
        <v>-0.99962499999999999</v>
      </c>
      <c r="P4917">
        <v>-2.3746940000000001E-2</v>
      </c>
      <c r="Q4917">
        <v>-7.909629E-2</v>
      </c>
      <c r="R4917">
        <v>-0.99658449999999998</v>
      </c>
      <c r="S4917">
        <v>-5.212402E-2</v>
      </c>
      <c r="T4917">
        <v>-0.1442726</v>
      </c>
      <c r="U4917">
        <v>-2.9976500000000001</v>
      </c>
      <c r="V4917">
        <v>-1.3394639999999901E-3</v>
      </c>
      <c r="W4917">
        <v>-6.8292160000000005E-2</v>
      </c>
      <c r="X4917">
        <v>0.99766449999999995</v>
      </c>
      <c r="Y4917">
        <v>-7.79151699999999E-3</v>
      </c>
      <c r="Z4917">
        <v>3.722433E-2</v>
      </c>
      <c r="AA4917">
        <v>0.99927659999999996</v>
      </c>
      <c r="AB4917">
        <v>23</v>
      </c>
      <c r="AC4917">
        <v>-0.39909999999997497</v>
      </c>
      <c r="AD4917">
        <v>-1.120765296953</v>
      </c>
      <c r="AE4917">
        <v>-23.05273</v>
      </c>
      <c r="AF4917">
        <v>-0.18074218215073601</v>
      </c>
      <c r="AG4917">
        <v>-1.120765296953</v>
      </c>
      <c r="AH4917">
        <v>23.0011221522292</v>
      </c>
      <c r="AI4917">
        <v>92.789533220361506</v>
      </c>
      <c r="AJ4917">
        <v>90.450219385309595</v>
      </c>
      <c r="AK4917">
        <v>23.029120757185499</v>
      </c>
      <c r="AL4917">
        <v>93.915900282514798</v>
      </c>
      <c r="AM4917">
        <v>90.076925246810404</v>
      </c>
      <c r="AN4917">
        <v>1.00000003392076</v>
      </c>
    </row>
    <row r="4918" spans="1:40" x14ac:dyDescent="0.25">
      <c r="A4918" t="str">
        <f>"20190303154614669"</f>
        <v>20190303154614669</v>
      </c>
      <c r="B4918" t="str">
        <f>"1551599174666198"</f>
        <v>1551599174666198</v>
      </c>
      <c r="C4918" t="s">
        <v>40</v>
      </c>
      <c r="D4918">
        <v>5.009811</v>
      </c>
      <c r="E4918">
        <v>0.49796889999999999</v>
      </c>
      <c r="F4918" t="s">
        <v>41</v>
      </c>
      <c r="G4918">
        <v>-422.22050000000002</v>
      </c>
      <c r="H4918" s="1">
        <v>-2.9826550000000001E-6</v>
      </c>
      <c r="I4918">
        <v>75.164540000000002</v>
      </c>
      <c r="J4918">
        <v>-421.78059999999999</v>
      </c>
      <c r="K4918">
        <v>1.12079</v>
      </c>
      <c r="L4918">
        <v>98.758700000000005</v>
      </c>
      <c r="M4918">
        <v>-2.5085969999999999E-2</v>
      </c>
      <c r="N4918">
        <v>-1.085385E-2</v>
      </c>
      <c r="O4918">
        <v>-0.99962660000000003</v>
      </c>
      <c r="P4918">
        <v>-2.4847540000000001E-2</v>
      </c>
      <c r="Q4918">
        <v>-7.9688250000000002E-2</v>
      </c>
      <c r="R4918">
        <v>-0.99651060000000002</v>
      </c>
      <c r="S4918">
        <v>-5.6060789999999999E-2</v>
      </c>
      <c r="T4918">
        <v>-0.14108289999999901</v>
      </c>
      <c r="U4918">
        <v>-2.9977420000000001</v>
      </c>
      <c r="V4918">
        <v>-1.5395409999999999E-4</v>
      </c>
      <c r="W4918">
        <v>-6.8864220000000004E-2</v>
      </c>
      <c r="X4918">
        <v>0.99762600000000001</v>
      </c>
      <c r="Y4918">
        <v>-6.4014190000000002E-3</v>
      </c>
      <c r="Z4918">
        <v>3.6142189999999998E-2</v>
      </c>
      <c r="AA4918">
        <v>0.99932619999999905</v>
      </c>
      <c r="AB4918">
        <v>23</v>
      </c>
      <c r="AC4918">
        <v>-0.439900000000022</v>
      </c>
      <c r="AD4918">
        <v>-1.120792982655</v>
      </c>
      <c r="AE4918">
        <v>-23.594159999999999</v>
      </c>
      <c r="AF4918">
        <v>-0.151813124597382</v>
      </c>
      <c r="AG4918">
        <v>-1.120792982655</v>
      </c>
      <c r="AH4918">
        <v>23.5446591063757</v>
      </c>
      <c r="AI4918">
        <v>92.725328730269496</v>
      </c>
      <c r="AJ4918">
        <v>90.369431162036804</v>
      </c>
      <c r="AK4918">
        <v>23.571809361400501</v>
      </c>
      <c r="AL4918">
        <v>93.948754504182503</v>
      </c>
      <c r="AM4918">
        <v>90.008841910794899</v>
      </c>
      <c r="AN4918">
        <v>0.99999997018703601</v>
      </c>
    </row>
    <row r="4919" spans="1:40" x14ac:dyDescent="0.25">
      <c r="A4919" t="str">
        <f>"20190303154614692"</f>
        <v>20190303154614692</v>
      </c>
      <c r="B4919" t="str">
        <f>"1551599174685719"</f>
        <v>1551599174685719</v>
      </c>
      <c r="C4919" t="s">
        <v>40</v>
      </c>
      <c r="D4919">
        <v>5.0714370000000004</v>
      </c>
      <c r="E4919">
        <v>0.4978513</v>
      </c>
      <c r="F4919" t="s">
        <v>41</v>
      </c>
      <c r="G4919">
        <v>-422.23410000000001</v>
      </c>
      <c r="H4919" s="1">
        <v>-3.051987E-6</v>
      </c>
      <c r="I4919">
        <v>75.317729999999997</v>
      </c>
      <c r="J4919">
        <v>-421.78640000000001</v>
      </c>
      <c r="K4919">
        <v>1.1208370000000001</v>
      </c>
      <c r="L4919">
        <v>98.524230000000003</v>
      </c>
      <c r="M4919">
        <v>-2.4918220000000001E-2</v>
      </c>
      <c r="N4919">
        <v>-1.087406E-2</v>
      </c>
      <c r="O4919">
        <v>-0.99963049999999998</v>
      </c>
      <c r="P4919">
        <v>-2.5504789999999999E-2</v>
      </c>
      <c r="Q4919">
        <v>-8.1024170000000006E-2</v>
      </c>
      <c r="R4919">
        <v>-0.99638610000000005</v>
      </c>
      <c r="S4919">
        <v>-5.7983399999999997E-2</v>
      </c>
      <c r="T4919">
        <v>-0.14332510000000001</v>
      </c>
      <c r="U4919">
        <v>-2.9975890000000001</v>
      </c>
      <c r="V4919">
        <v>6.8195429999999904E-4</v>
      </c>
      <c r="W4919">
        <v>-7.0180950000000006E-2</v>
      </c>
      <c r="X4919">
        <v>0.99753400000000003</v>
      </c>
      <c r="Y4919">
        <v>-5.5926860000000004E-3</v>
      </c>
      <c r="Z4919">
        <v>3.6869989999999998E-2</v>
      </c>
      <c r="AA4919">
        <v>0.99930439999999998</v>
      </c>
      <c r="AB4919">
        <v>23</v>
      </c>
      <c r="AC4919">
        <v>-0.44769999999999699</v>
      </c>
      <c r="AD4919">
        <v>-1.1208400519869901</v>
      </c>
      <c r="AE4919">
        <v>-23.206499999999899</v>
      </c>
      <c r="AF4919">
        <v>-0.13043365203703799</v>
      </c>
      <c r="AG4919">
        <v>-1.1208400519869901</v>
      </c>
      <c r="AH4919">
        <v>23.1564518226769</v>
      </c>
      <c r="AI4919">
        <v>92.771076804207496</v>
      </c>
      <c r="AJ4919">
        <v>90.3227272809618</v>
      </c>
      <c r="AK4919">
        <v>23.183928838220599</v>
      </c>
      <c r="AL4919">
        <v>94.024380627533105</v>
      </c>
      <c r="AM4919">
        <v>89.960830310421798</v>
      </c>
      <c r="AN4919">
        <v>0.99999995598028302</v>
      </c>
    </row>
    <row r="4920" spans="1:40" x14ac:dyDescent="0.25">
      <c r="A4920" t="str">
        <f>"20190303154614737"</f>
        <v>20190303154614737</v>
      </c>
      <c r="B4920" t="str">
        <f>"1551599174725734"</f>
        <v>1551599174725734</v>
      </c>
      <c r="C4920" t="s">
        <v>40</v>
      </c>
      <c r="D4920">
        <v>5.2186899999999996</v>
      </c>
      <c r="E4920">
        <v>0.49730590000000002</v>
      </c>
      <c r="F4920" t="s">
        <v>41</v>
      </c>
      <c r="G4920">
        <v>-422.23309999999998</v>
      </c>
      <c r="H4920" s="1">
        <v>-3.2818059999999998E-6</v>
      </c>
      <c r="I4920">
        <v>75.854060000000004</v>
      </c>
      <c r="J4920">
        <v>-421.79689999999999</v>
      </c>
      <c r="K4920">
        <v>1.120987</v>
      </c>
      <c r="L4920">
        <v>98.077969999999993</v>
      </c>
      <c r="M4920">
        <v>-2.4297719999999998E-2</v>
      </c>
      <c r="N4920">
        <v>-1.0910120000000001E-2</v>
      </c>
      <c r="O4920">
        <v>-0.99964520000000001</v>
      </c>
      <c r="P4920">
        <v>-2.4657829999999999E-2</v>
      </c>
      <c r="Q4920">
        <v>-8.0867990000000001E-2</v>
      </c>
      <c r="R4920">
        <v>-0.99641979999999997</v>
      </c>
      <c r="S4920">
        <v>-5.9051510000000001E-2</v>
      </c>
      <c r="T4920">
        <v>-0.14819089999999999</v>
      </c>
      <c r="U4920">
        <v>-2.9973139999999998</v>
      </c>
      <c r="V4920">
        <v>4.7811469999999999E-4</v>
      </c>
      <c r="W4920">
        <v>-6.9988540000000002E-2</v>
      </c>
      <c r="X4920">
        <v>0.99754770000000004</v>
      </c>
      <c r="Y4920">
        <v>-4.6156779999999998E-3</v>
      </c>
      <c r="Z4920">
        <v>3.8456850000000001E-2</v>
      </c>
      <c r="AA4920">
        <v>0.99924959999999996</v>
      </c>
      <c r="AB4920">
        <v>23</v>
      </c>
      <c r="AC4920">
        <v>-0.43619999999998499</v>
      </c>
      <c r="AD4920">
        <v>-1.120990281806</v>
      </c>
      <c r="AE4920">
        <v>-22.223909999999901</v>
      </c>
      <c r="AF4920">
        <v>-0.103687589101262</v>
      </c>
      <c r="AG4920">
        <v>-1.120990281806</v>
      </c>
      <c r="AH4920">
        <v>22.171558628358</v>
      </c>
      <c r="AI4920">
        <v>92.894368759510897</v>
      </c>
      <c r="AJ4920">
        <v>90.267947690707302</v>
      </c>
      <c r="AK4920">
        <v>22.200121223514898</v>
      </c>
      <c r="AL4920">
        <v>94.013328917478802</v>
      </c>
      <c r="AM4920">
        <v>89.972538704329097</v>
      </c>
      <c r="AN4920">
        <v>1.0000000190501399</v>
      </c>
    </row>
    <row r="4921" spans="1:40" x14ac:dyDescent="0.25">
      <c r="A4921" t="str">
        <f>"20190303154614759"</f>
        <v>20190303154614759</v>
      </c>
      <c r="B4921" t="str">
        <f>"1551599174755989"</f>
        <v>1551599174755989</v>
      </c>
      <c r="C4921" t="s">
        <v>40</v>
      </c>
      <c r="D4921">
        <v>5.1391900000000001</v>
      </c>
      <c r="E4921">
        <v>0.4969674</v>
      </c>
      <c r="F4921" t="s">
        <v>41</v>
      </c>
      <c r="G4921">
        <v>-422.18049999999999</v>
      </c>
      <c r="H4921" s="1">
        <v>-3.4343630000000001E-6</v>
      </c>
      <c r="I4921">
        <v>76.242310000000003</v>
      </c>
      <c r="J4921">
        <v>-421.80200000000002</v>
      </c>
      <c r="K4921">
        <v>1.121078</v>
      </c>
      <c r="L4921">
        <v>97.847989999999996</v>
      </c>
      <c r="M4921">
        <v>-2.3815860000000001E-2</v>
      </c>
      <c r="N4921">
        <v>-1.093483E-2</v>
      </c>
      <c r="O4921">
        <v>-0.99965660000000001</v>
      </c>
      <c r="P4921">
        <v>-2.337498E-2</v>
      </c>
      <c r="Q4921">
        <v>-8.0622260000000001E-2</v>
      </c>
      <c r="R4921">
        <v>-0.99647059999999998</v>
      </c>
      <c r="S4921">
        <v>-5.264282E-2</v>
      </c>
      <c r="T4921">
        <v>-0.15385769999999999</v>
      </c>
      <c r="U4921">
        <v>-2.9969790000000001</v>
      </c>
      <c r="V4921">
        <v>-3.1091819999999999E-4</v>
      </c>
      <c r="W4921">
        <v>-6.9718479999999999E-2</v>
      </c>
      <c r="X4921">
        <v>0.99756659999999997</v>
      </c>
      <c r="Y4921">
        <v>-6.2681569999999999E-3</v>
      </c>
      <c r="Z4921">
        <v>4.0322610000000002E-2</v>
      </c>
      <c r="AA4921">
        <v>0.99916700000000003</v>
      </c>
      <c r="AB4921">
        <v>23</v>
      </c>
      <c r="AC4921">
        <v>-0.37850000000002998</v>
      </c>
      <c r="AD4921">
        <v>-1.121081434363</v>
      </c>
      <c r="AE4921">
        <v>-21.6056799999999</v>
      </c>
      <c r="AF4921">
        <v>-0.13583036752350999</v>
      </c>
      <c r="AG4921">
        <v>-1.121081434363</v>
      </c>
      <c r="AH4921">
        <v>21.5505611443111</v>
      </c>
      <c r="AI4921">
        <v>92.977839577637099</v>
      </c>
      <c r="AJ4921">
        <v>90.361123020546003</v>
      </c>
      <c r="AK4921">
        <v>21.580128801884001</v>
      </c>
      <c r="AL4921">
        <v>93.9978180371279</v>
      </c>
      <c r="AM4921">
        <v>90.0178577551182</v>
      </c>
      <c r="AN4921">
        <v>0.99999994227959699</v>
      </c>
    </row>
    <row r="4922" spans="1:40" x14ac:dyDescent="0.25">
      <c r="A4922" t="str">
        <f>"20190303154614782"</f>
        <v>20190303154614782</v>
      </c>
      <c r="B4922" t="str">
        <f>"1551599174776485"</f>
        <v>1551599174776485</v>
      </c>
      <c r="C4922" t="s">
        <v>40</v>
      </c>
      <c r="D4922">
        <v>5.2000960000000003</v>
      </c>
      <c r="E4922">
        <v>0.49033520000000003</v>
      </c>
      <c r="F4922" t="s">
        <v>41</v>
      </c>
      <c r="G4922">
        <v>-422.12990000000002</v>
      </c>
      <c r="H4922" s="1">
        <v>-3.5295670000000002E-6</v>
      </c>
      <c r="I4922">
        <v>76.495590000000007</v>
      </c>
      <c r="J4922">
        <v>-421.80680000000001</v>
      </c>
      <c r="K4922">
        <v>1.1211679999999999</v>
      </c>
      <c r="L4922">
        <v>97.621830000000003</v>
      </c>
      <c r="M4922">
        <v>-2.3216219999999999E-2</v>
      </c>
      <c r="N4922">
        <v>-1.09646E-2</v>
      </c>
      <c r="O4922">
        <v>-0.99967039999999996</v>
      </c>
      <c r="P4922">
        <v>-2.2049409999999998E-2</v>
      </c>
      <c r="Q4922">
        <v>-7.9967940000000001E-2</v>
      </c>
      <c r="R4922">
        <v>-0.99655369999999999</v>
      </c>
      <c r="S4922">
        <v>-4.6020510000000001E-2</v>
      </c>
      <c r="T4922">
        <v>-0.15734300000000001</v>
      </c>
      <c r="U4922">
        <v>-2.9967959999999998</v>
      </c>
      <c r="V4922">
        <v>-1.027336E-3</v>
      </c>
      <c r="W4922">
        <v>-6.9034700000000004E-2</v>
      </c>
      <c r="X4922">
        <v>0.99761369999999905</v>
      </c>
      <c r="Y4922">
        <v>-7.8747239999999996E-3</v>
      </c>
      <c r="Z4922">
        <v>4.1455739999999998E-2</v>
      </c>
      <c r="AA4922">
        <v>0.99910929999999998</v>
      </c>
      <c r="AB4922">
        <v>23</v>
      </c>
      <c r="AC4922">
        <v>-0.32310000000000999</v>
      </c>
      <c r="AD4922">
        <v>-1.1211715295669999</v>
      </c>
      <c r="AE4922">
        <v>-21.126239999999999</v>
      </c>
      <c r="AF4922">
        <v>-0.16701770272946401</v>
      </c>
      <c r="AG4922">
        <v>-1.1211715295669999</v>
      </c>
      <c r="AH4922">
        <v>21.0687219075933</v>
      </c>
      <c r="AI4922">
        <v>93.0460248010464</v>
      </c>
      <c r="AJ4922">
        <v>90.454190295306802</v>
      </c>
      <c r="AK4922">
        <v>21.0991934284522</v>
      </c>
      <c r="AL4922">
        <v>93.958545591687496</v>
      </c>
      <c r="AM4922">
        <v>90.059002794503101</v>
      </c>
      <c r="AN4922">
        <v>0.99999996982551698</v>
      </c>
    </row>
    <row r="4923" spans="1:40" x14ac:dyDescent="0.25">
      <c r="A4923" t="str">
        <f>"20190303154614803"</f>
        <v>20190303154614803</v>
      </c>
      <c r="B4923" t="str">
        <f>"1551599174796006"</f>
        <v>1551599174796006</v>
      </c>
      <c r="C4923" t="s">
        <v>40</v>
      </c>
      <c r="D4923">
        <v>5.1824490000000001</v>
      </c>
      <c r="E4923">
        <v>0.49052800000000002</v>
      </c>
      <c r="F4923" t="s">
        <v>41</v>
      </c>
      <c r="G4923">
        <v>-421.75349999999997</v>
      </c>
      <c r="H4923" s="1">
        <v>-2.032544E-6</v>
      </c>
      <c r="I4923">
        <v>83.239440000000002</v>
      </c>
      <c r="J4923">
        <v>-421.81130000000002</v>
      </c>
      <c r="K4923">
        <v>1.1212549999999999</v>
      </c>
      <c r="L4923">
        <v>97.395809999999997</v>
      </c>
      <c r="M4923">
        <v>-2.2473509999999999E-2</v>
      </c>
      <c r="N4923">
        <v>-1.100245E-2</v>
      </c>
      <c r="O4923">
        <v>-0.99968710000000005</v>
      </c>
      <c r="P4923">
        <v>-2.0967240000000002E-2</v>
      </c>
      <c r="Q4923">
        <v>-7.9728569999999999E-2</v>
      </c>
      <c r="R4923">
        <v>-0.9965965</v>
      </c>
      <c r="S4923">
        <v>1.107788E-2</v>
      </c>
      <c r="T4923">
        <v>-0.23323269999999999</v>
      </c>
      <c r="U4923">
        <v>-2.9919129999999998</v>
      </c>
      <c r="V4923">
        <v>-1.3565459999999999E-3</v>
      </c>
      <c r="W4923">
        <v>-6.8757940000000003E-2</v>
      </c>
      <c r="X4923">
        <v>0.99763239999999997</v>
      </c>
      <c r="Y4923">
        <v>-2.6155310000000001E-2</v>
      </c>
      <c r="Z4923">
        <v>6.6701300000000005E-2</v>
      </c>
      <c r="AA4923">
        <v>0.99743009999999999</v>
      </c>
      <c r="AB4923">
        <v>23</v>
      </c>
      <c r="AC4923">
        <v>5.78000000000429E-2</v>
      </c>
      <c r="AD4923">
        <v>-1.1212570325440001</v>
      </c>
      <c r="AE4923">
        <v>-14.1563699999999</v>
      </c>
      <c r="AF4923">
        <v>-0.373604167071097</v>
      </c>
      <c r="AG4923">
        <v>-1.1212570325440001</v>
      </c>
      <c r="AH4923">
        <v>14.063271389996499</v>
      </c>
      <c r="AI4923">
        <v>94.556917734966703</v>
      </c>
      <c r="AJ4923">
        <v>91.521758897608606</v>
      </c>
      <c r="AK4923">
        <v>14.112845198448699</v>
      </c>
      <c r="AL4923">
        <v>93.942650720212697</v>
      </c>
      <c r="AM4923">
        <v>90.077908769414705</v>
      </c>
      <c r="AN4923">
        <v>0.99999995002992503</v>
      </c>
    </row>
    <row r="4924" spans="1:40" x14ac:dyDescent="0.25">
      <c r="A4924" t="str">
        <f>"20190303154614826"</f>
        <v>20190303154614826</v>
      </c>
      <c r="B4924" t="str">
        <f>"1551599174816502"</f>
        <v>1551599174816502</v>
      </c>
      <c r="C4924" t="s">
        <v>40</v>
      </c>
      <c r="D4924">
        <v>5.1774279999999999</v>
      </c>
      <c r="E4924">
        <v>0.49076959999999997</v>
      </c>
      <c r="F4924" t="s">
        <v>41</v>
      </c>
      <c r="G4924">
        <v>-421.74900000000002</v>
      </c>
      <c r="H4924" s="1">
        <v>-1.879188E-6</v>
      </c>
      <c r="I4924">
        <v>82.884780000000006</v>
      </c>
      <c r="J4924">
        <v>-421.81529999999998</v>
      </c>
      <c r="K4924">
        <v>1.121335</v>
      </c>
      <c r="L4924">
        <v>97.176209999999998</v>
      </c>
      <c r="M4924">
        <v>-2.165334E-2</v>
      </c>
      <c r="N4924">
        <v>-1.104367E-2</v>
      </c>
      <c r="O4924">
        <v>-0.9997047</v>
      </c>
      <c r="P4924">
        <v>-2.02413E-2</v>
      </c>
      <c r="Q4924">
        <v>-7.9980720000000005E-2</v>
      </c>
      <c r="R4924">
        <v>-0.996591</v>
      </c>
      <c r="S4924">
        <v>1.2847900000000001E-2</v>
      </c>
      <c r="T4924">
        <v>-0.23119000000000001</v>
      </c>
      <c r="U4924">
        <v>-2.9920040000000001</v>
      </c>
      <c r="V4924">
        <v>-1.2523479999999999E-3</v>
      </c>
      <c r="W4924">
        <v>-6.8969290000000003E-2</v>
      </c>
      <c r="X4924">
        <v>0.997618</v>
      </c>
      <c r="Y4924">
        <v>-2.5925489999999999E-2</v>
      </c>
      <c r="Z4924">
        <v>6.5983180000000002E-2</v>
      </c>
      <c r="AA4924">
        <v>0.99748380000000003</v>
      </c>
      <c r="AB4924">
        <v>23</v>
      </c>
      <c r="AC4924">
        <v>6.6299999999955603E-2</v>
      </c>
      <c r="AD4924">
        <v>-1.1213368791880001</v>
      </c>
      <c r="AE4924">
        <v>-14.291429999999901</v>
      </c>
      <c r="AF4924">
        <v>-0.37346137359363402</v>
      </c>
      <c r="AG4924">
        <v>-1.1213368791880001</v>
      </c>
      <c r="AH4924">
        <v>14.1992300520612</v>
      </c>
      <c r="AI4924">
        <v>94.513817547529797</v>
      </c>
      <c r="AJ4924">
        <v>91.506618906535607</v>
      </c>
      <c r="AK4924">
        <v>14.2483333715053</v>
      </c>
      <c r="AL4924">
        <v>93.954788790745596</v>
      </c>
      <c r="AM4924">
        <v>90.071925543835206</v>
      </c>
      <c r="AN4924">
        <v>1.0000000026313001</v>
      </c>
    </row>
    <row r="4925" spans="1:40" x14ac:dyDescent="0.25">
      <c r="A4925" t="str">
        <f>"20190303154614848"</f>
        <v>20190303154614848</v>
      </c>
      <c r="B4925" t="str">
        <f>"1551599174836022"</f>
        <v>1551599174836022</v>
      </c>
      <c r="C4925" t="s">
        <v>40</v>
      </c>
      <c r="D4925">
        <v>5.1920900000000003</v>
      </c>
      <c r="E4925">
        <v>0.49049290000000001</v>
      </c>
      <c r="F4925" t="s">
        <v>41</v>
      </c>
      <c r="G4925">
        <v>-421.75360000000001</v>
      </c>
      <c r="H4925" s="1">
        <v>-1.8327409999999999E-6</v>
      </c>
      <c r="I4925">
        <v>82.77364</v>
      </c>
      <c r="J4925">
        <v>-421.81920000000002</v>
      </c>
      <c r="K4925">
        <v>1.121402</v>
      </c>
      <c r="L4925">
        <v>96.947299999999998</v>
      </c>
      <c r="M4925">
        <v>-2.0716209999999999E-2</v>
      </c>
      <c r="N4925">
        <v>-1.110042E-2</v>
      </c>
      <c r="O4925">
        <v>-0.99972399999999995</v>
      </c>
      <c r="P4925">
        <v>-2.04435E-2</v>
      </c>
      <c r="Q4925">
        <v>-7.9629240000000004E-2</v>
      </c>
      <c r="R4925">
        <v>-0.99661509999999998</v>
      </c>
      <c r="S4925">
        <v>1.281738E-2</v>
      </c>
      <c r="T4925">
        <v>-0.23293330000000001</v>
      </c>
      <c r="U4925">
        <v>-2.9918209999999998</v>
      </c>
      <c r="V4925">
        <v>-1.0733720000000001E-4</v>
      </c>
      <c r="W4925">
        <v>-6.8559389999999998E-2</v>
      </c>
      <c r="X4925">
        <v>0.99764699999999995</v>
      </c>
      <c r="Y4925">
        <v>-2.4978650000000002E-2</v>
      </c>
      <c r="Z4925">
        <v>6.6512150000000006E-2</v>
      </c>
      <c r="AA4925">
        <v>0.9974729</v>
      </c>
      <c r="AB4925">
        <v>23</v>
      </c>
      <c r="AC4925">
        <v>6.5600000000017603E-2</v>
      </c>
      <c r="AD4925">
        <v>-1.1214038327410001</v>
      </c>
      <c r="AE4925">
        <v>-14.1736599999999</v>
      </c>
      <c r="AF4925">
        <v>-0.356993802151232</v>
      </c>
      <c r="AG4925">
        <v>-1.1214038327410001</v>
      </c>
      <c r="AH4925">
        <v>14.081115841497001</v>
      </c>
      <c r="AI4925">
        <v>94.551903228125198</v>
      </c>
      <c r="AJ4925">
        <v>91.452289557365404</v>
      </c>
      <c r="AK4925">
        <v>14.1302092862249</v>
      </c>
      <c r="AL4925">
        <v>93.931247659076604</v>
      </c>
      <c r="AM4925">
        <v>90.006164473527207</v>
      </c>
      <c r="AN4925">
        <v>0.99999996904372201</v>
      </c>
    </row>
    <row r="4926" spans="1:40" x14ac:dyDescent="0.25">
      <c r="A4926" t="str">
        <f>"20190303154614870"</f>
        <v>20190303154614870</v>
      </c>
      <c r="B4926" t="str">
        <f>"1551599174865809"</f>
        <v>1551599174865809</v>
      </c>
      <c r="C4926" t="s">
        <v>40</v>
      </c>
      <c r="D4926">
        <v>5.1580510000000004</v>
      </c>
      <c r="E4926">
        <v>0.50784149999999995</v>
      </c>
      <c r="F4926" t="s">
        <v>41</v>
      </c>
      <c r="G4926">
        <v>-421.74990000000003</v>
      </c>
      <c r="H4926" s="1">
        <v>-1.7367039999999999E-6</v>
      </c>
      <c r="I4926">
        <v>82.552059999999997</v>
      </c>
      <c r="J4926">
        <v>-421.82279999999997</v>
      </c>
      <c r="K4926">
        <v>1.1214630000000001</v>
      </c>
      <c r="L4926">
        <v>96.723209999999995</v>
      </c>
      <c r="M4926">
        <v>-1.973544E-2</v>
      </c>
      <c r="N4926">
        <v>-1.1182879999999999E-2</v>
      </c>
      <c r="O4926">
        <v>-0.99974269999999998</v>
      </c>
      <c r="P4926">
        <v>-2.0943059999999999E-2</v>
      </c>
      <c r="Q4926">
        <v>-8.0090739999999994E-2</v>
      </c>
      <c r="R4926">
        <v>-0.9965678</v>
      </c>
      <c r="S4926">
        <v>1.44043E-2</v>
      </c>
      <c r="T4926">
        <v>-0.23306830000000001</v>
      </c>
      <c r="U4926">
        <v>-2.9918520000000002</v>
      </c>
      <c r="V4926">
        <v>1.378469E-3</v>
      </c>
      <c r="W4926">
        <v>-6.8936689999999995E-2</v>
      </c>
      <c r="X4926">
        <v>0.99762010000000001</v>
      </c>
      <c r="Y4926">
        <v>-2.4527090000000001E-2</v>
      </c>
      <c r="Z4926">
        <v>6.6476450000000006E-2</v>
      </c>
      <c r="AA4926">
        <v>0.99748650000000005</v>
      </c>
      <c r="AB4926">
        <v>23</v>
      </c>
      <c r="AC4926">
        <v>7.2899999999947299E-2</v>
      </c>
      <c r="AD4926">
        <v>-1.1214647367039901</v>
      </c>
      <c r="AE4926">
        <v>-14.1711499999999</v>
      </c>
      <c r="AF4926">
        <v>-0.35038288625889003</v>
      </c>
      <c r="AG4926">
        <v>-1.1214647367039901</v>
      </c>
      <c r="AH4926">
        <v>14.078782096016999</v>
      </c>
      <c r="AI4926">
        <v>94.552953778408593</v>
      </c>
      <c r="AJ4926">
        <v>91.425643016169502</v>
      </c>
      <c r="AK4926">
        <v>14.1277229810675</v>
      </c>
      <c r="AL4926">
        <v>93.952916440498498</v>
      </c>
      <c r="AM4926">
        <v>89.920831180501295</v>
      </c>
      <c r="AN4926">
        <v>1.0000000156644699</v>
      </c>
    </row>
    <row r="4927" spans="1:40" x14ac:dyDescent="0.25">
      <c r="A4927" t="str">
        <f>"20190303154614894"</f>
        <v>20190303154614894</v>
      </c>
      <c r="B4927" t="str">
        <f>"1551599174886305"</f>
        <v>1551599174886305</v>
      </c>
      <c r="C4927" t="s">
        <v>40</v>
      </c>
      <c r="D4927">
        <v>5.2275970000000003</v>
      </c>
      <c r="E4927">
        <v>0.50788279999999997</v>
      </c>
      <c r="F4927" t="s">
        <v>41</v>
      </c>
      <c r="G4927">
        <v>-423.19240000000002</v>
      </c>
      <c r="H4927" s="1">
        <v>-2.7735990000000002E-6</v>
      </c>
      <c r="I4927">
        <v>64.074389999999994</v>
      </c>
      <c r="J4927">
        <v>-421.82619999999997</v>
      </c>
      <c r="K4927">
        <v>1.121518</v>
      </c>
      <c r="L4927">
        <v>96.486819999999994</v>
      </c>
      <c r="M4927">
        <v>-1.8658149999999998E-2</v>
      </c>
      <c r="N4927">
        <v>-1.130949E-2</v>
      </c>
      <c r="O4927">
        <v>-0.99976189999999998</v>
      </c>
      <c r="P4927">
        <v>-2.0753460000000001E-2</v>
      </c>
      <c r="Q4927">
        <v>-8.0193500000000001E-2</v>
      </c>
      <c r="R4927">
        <v>-0.99656359999999999</v>
      </c>
      <c r="S4927">
        <v>-0.12582399999999999</v>
      </c>
      <c r="T4927">
        <v>-0.1030271</v>
      </c>
      <c r="U4927">
        <v>-2.99939</v>
      </c>
      <c r="V4927">
        <v>2.2677320000000002E-3</v>
      </c>
      <c r="W4927">
        <v>-6.8911689999999998E-2</v>
      </c>
      <c r="X4927">
        <v>0.99762019999999996</v>
      </c>
      <c r="Y4927">
        <v>2.324567E-2</v>
      </c>
      <c r="Z4927">
        <v>2.2999849999999999E-2</v>
      </c>
      <c r="AA4927">
        <v>0.99946520000000005</v>
      </c>
      <c r="AB4927">
        <v>23</v>
      </c>
      <c r="AC4927">
        <v>-1.36620000000004</v>
      </c>
      <c r="AD4927">
        <v>-1.121520773599</v>
      </c>
      <c r="AE4927">
        <v>-32.412429999999901</v>
      </c>
      <c r="AF4927">
        <v>0.76025883018799201</v>
      </c>
      <c r="AG4927">
        <v>-1.121520773599</v>
      </c>
      <c r="AH4927">
        <v>32.3935643667132</v>
      </c>
      <c r="AI4927">
        <v>91.982340726755794</v>
      </c>
      <c r="AJ4927">
        <v>88.6555469260108</v>
      </c>
      <c r="AK4927">
        <v>32.421887895600399</v>
      </c>
      <c r="AL4927">
        <v>93.951480639954099</v>
      </c>
      <c r="AM4927">
        <v>89.869758803124995</v>
      </c>
      <c r="AN4927">
        <v>1.00000001353756</v>
      </c>
    </row>
    <row r="4928" spans="1:40" x14ac:dyDescent="0.25">
      <c r="A4928" t="str">
        <f>"20190303154614939"</f>
        <v>20190303154614939</v>
      </c>
      <c r="B4928" t="str">
        <f>"1551599174926320"</f>
        <v>1551599174926320</v>
      </c>
      <c r="C4928" t="s">
        <v>40</v>
      </c>
      <c r="D4928">
        <v>5.181108</v>
      </c>
      <c r="E4928">
        <v>0.51000049999999997</v>
      </c>
      <c r="F4928" t="s">
        <v>41</v>
      </c>
      <c r="G4928">
        <v>-423.1293</v>
      </c>
      <c r="H4928" s="1">
        <v>-3.3208629999999999E-6</v>
      </c>
      <c r="I4928">
        <v>65.389209999999906</v>
      </c>
      <c r="J4928">
        <v>-421.83199999999999</v>
      </c>
      <c r="K4928">
        <v>1.121577</v>
      </c>
      <c r="L4928">
        <v>96.039490000000001</v>
      </c>
      <c r="M4928">
        <v>-1.6572139999999999E-2</v>
      </c>
      <c r="N4928">
        <v>-1.1671340000000001E-2</v>
      </c>
      <c r="O4928">
        <v>-0.99979450000000003</v>
      </c>
      <c r="P4928">
        <v>-1.827461E-2</v>
      </c>
      <c r="Q4928">
        <v>-8.1296099999999996E-2</v>
      </c>
      <c r="R4928">
        <v>-0.99652280000000004</v>
      </c>
      <c r="S4928">
        <v>-0.12567139999999999</v>
      </c>
      <c r="T4928">
        <v>-0.1081585</v>
      </c>
      <c r="U4928">
        <v>-2.9990230000000002</v>
      </c>
      <c r="V4928">
        <v>1.8707610000000001E-3</v>
      </c>
      <c r="W4928">
        <v>-6.965491E-2</v>
      </c>
      <c r="X4928">
        <v>0.99756940000000005</v>
      </c>
      <c r="Y4928">
        <v>2.5283429999999999E-2</v>
      </c>
      <c r="Z4928">
        <v>2.435E-2</v>
      </c>
      <c r="AA4928">
        <v>0.99938369999999999</v>
      </c>
      <c r="AB4928">
        <v>23</v>
      </c>
      <c r="AC4928">
        <v>-1.2972999999999999</v>
      </c>
      <c r="AD4928">
        <v>-1.121580320863</v>
      </c>
      <c r="AE4928">
        <v>-30.650279999999999</v>
      </c>
      <c r="AF4928">
        <v>0.78809306755981001</v>
      </c>
      <c r="AG4928">
        <v>-1.121580320863</v>
      </c>
      <c r="AH4928">
        <v>30.626634015633599</v>
      </c>
      <c r="AI4928">
        <v>92.096602523491001</v>
      </c>
      <c r="AJ4928">
        <v>88.525974345171505</v>
      </c>
      <c r="AK4928">
        <v>30.6572951224802</v>
      </c>
      <c r="AL4928">
        <v>93.9941666089303</v>
      </c>
      <c r="AM4928">
        <v>89.892552253381297</v>
      </c>
      <c r="AN4928">
        <v>1.0000000070250901</v>
      </c>
    </row>
    <row r="4929" spans="1:40" x14ac:dyDescent="0.25">
      <c r="A4929" t="str">
        <f>"20190303154614960"</f>
        <v>20190303154614960</v>
      </c>
      <c r="B4929" t="str">
        <f>"1551599174956576"</f>
        <v>1551599174956576</v>
      </c>
      <c r="C4929" t="s">
        <v>40</v>
      </c>
      <c r="D4929">
        <v>5.1621759999999997</v>
      </c>
      <c r="E4929">
        <v>0.51072090000000003</v>
      </c>
      <c r="F4929" t="s">
        <v>41</v>
      </c>
      <c r="G4929">
        <v>-423.47059999999999</v>
      </c>
      <c r="H4929" s="1">
        <v>-4.867707E-6</v>
      </c>
      <c r="I4929">
        <v>59.48171</v>
      </c>
      <c r="J4929">
        <v>-421.83449999999999</v>
      </c>
      <c r="K4929">
        <v>1.121586</v>
      </c>
      <c r="L4929">
        <v>95.81671</v>
      </c>
      <c r="M4929">
        <v>-1.553028E-2</v>
      </c>
      <c r="N4929">
        <v>-1.187885E-2</v>
      </c>
      <c r="O4929">
        <v>-0.99980899999999995</v>
      </c>
      <c r="P4929">
        <v>-1.7080479999999999E-2</v>
      </c>
      <c r="Q4929">
        <v>-8.2209309999999994E-2</v>
      </c>
      <c r="R4929">
        <v>-0.9964693</v>
      </c>
      <c r="S4929">
        <v>-0.134491</v>
      </c>
      <c r="T4929">
        <v>-9.2054129999999998E-2</v>
      </c>
      <c r="U4929">
        <v>-3.0004879999999998</v>
      </c>
      <c r="V4929">
        <v>1.7145540000000001E-3</v>
      </c>
      <c r="W4929">
        <v>-7.0362229999999998E-2</v>
      </c>
      <c r="X4929">
        <v>0.99751999999999996</v>
      </c>
      <c r="Y4929">
        <v>2.9241610000000001E-2</v>
      </c>
      <c r="Z4929">
        <v>1.8766519999999998E-2</v>
      </c>
      <c r="AA4929">
        <v>0.99939619999999996</v>
      </c>
      <c r="AB4929">
        <v>23</v>
      </c>
      <c r="AC4929">
        <v>-1.6360999999999899</v>
      </c>
      <c r="AD4929">
        <v>-1.1215908677069999</v>
      </c>
      <c r="AE4929">
        <v>-36.335000000000001</v>
      </c>
      <c r="AF4929">
        <v>1.07055221063001</v>
      </c>
      <c r="AG4929">
        <v>-1.1215908677069999</v>
      </c>
      <c r="AH4929">
        <v>36.321489756263702</v>
      </c>
      <c r="AI4929">
        <v>91.767937950895799</v>
      </c>
      <c r="AJ4929">
        <v>88.311733058143702</v>
      </c>
      <c r="AK4929">
        <v>36.354568711849403</v>
      </c>
      <c r="AL4929">
        <v>94.034792903715001</v>
      </c>
      <c r="AM4929">
        <v>89.901519156301404</v>
      </c>
      <c r="AN4929">
        <v>0.99999996675299496</v>
      </c>
    </row>
    <row r="4930" spans="1:40" x14ac:dyDescent="0.25">
      <c r="A4930" t="str">
        <f>"20190303154614982"</f>
        <v>20190303154614982</v>
      </c>
      <c r="B4930" t="str">
        <f>"1551599174976097"</f>
        <v>1551599174976097</v>
      </c>
      <c r="C4930" t="s">
        <v>40</v>
      </c>
      <c r="D4930">
        <v>5.1756729999999997</v>
      </c>
      <c r="E4930">
        <v>0.51113620000000004</v>
      </c>
      <c r="F4930" t="s">
        <v>41</v>
      </c>
      <c r="G4930">
        <v>-423.57350000000002</v>
      </c>
      <c r="H4930" s="1">
        <v>-4.2575770000000001E-6</v>
      </c>
      <c r="I4930">
        <v>57.635170000000002</v>
      </c>
      <c r="J4930">
        <v>-421.83679999999998</v>
      </c>
      <c r="K4930">
        <v>1.121591</v>
      </c>
      <c r="L4930">
        <v>95.588130000000007</v>
      </c>
      <c r="M4930">
        <v>-1.4483330000000001E-2</v>
      </c>
      <c r="N4930">
        <v>-1.207952E-2</v>
      </c>
      <c r="O4930">
        <v>-0.99982230000000005</v>
      </c>
      <c r="P4930">
        <v>-1.6427799999999999E-2</v>
      </c>
      <c r="Q4930">
        <v>-8.2359790000000002E-2</v>
      </c>
      <c r="R4930">
        <v>-0.99646749999999995</v>
      </c>
      <c r="S4930">
        <v>-0.13668820000000001</v>
      </c>
      <c r="T4930">
        <v>-8.8156100000000001E-2</v>
      </c>
      <c r="U4930">
        <v>-3.0010379999999999</v>
      </c>
      <c r="V4930">
        <v>2.102015E-3</v>
      </c>
      <c r="W4930">
        <v>-7.0312150000000004E-2</v>
      </c>
      <c r="X4930">
        <v>0.99752280000000004</v>
      </c>
      <c r="Y4930">
        <v>3.1011130000000001E-2</v>
      </c>
      <c r="Z4930">
        <v>1.7263190000000001E-2</v>
      </c>
      <c r="AA4930">
        <v>0.99936990000000003</v>
      </c>
      <c r="AB4930">
        <v>23</v>
      </c>
      <c r="AC4930">
        <v>-1.7367000000000401</v>
      </c>
      <c r="AD4930">
        <v>-1.1215952575770001</v>
      </c>
      <c r="AE4930">
        <v>-37.952959999999997</v>
      </c>
      <c r="AF4930">
        <v>1.1857591453421901</v>
      </c>
      <c r="AG4930">
        <v>-1.1215952575770001</v>
      </c>
      <c r="AH4930">
        <v>37.941067568756701</v>
      </c>
      <c r="AI4930">
        <v>91.692430811780497</v>
      </c>
      <c r="AJ4930">
        <v>88.209937344020602</v>
      </c>
      <c r="AK4930">
        <v>37.976158427749702</v>
      </c>
      <c r="AL4930">
        <v>94.031916366460905</v>
      </c>
      <c r="AM4930">
        <v>89.879264504320204</v>
      </c>
      <c r="AN4930">
        <v>0.99999997671226104</v>
      </c>
    </row>
    <row r="4931" spans="1:40" x14ac:dyDescent="0.25">
      <c r="A4931" t="str">
        <f>"20190303154615004"</f>
        <v>20190303154615004</v>
      </c>
      <c r="B4931" t="str">
        <f>"1551599174996592"</f>
        <v>1551599174996592</v>
      </c>
      <c r="C4931" t="s">
        <v>40</v>
      </c>
      <c r="D4931">
        <v>5.1768749999999999</v>
      </c>
      <c r="E4931">
        <v>0.51135559999999902</v>
      </c>
      <c r="F4931" t="s">
        <v>41</v>
      </c>
      <c r="G4931">
        <v>-423.64850000000001</v>
      </c>
      <c r="H4931" s="1">
        <v>-3.8666569999999996E-6</v>
      </c>
      <c r="I4931">
        <v>56.4473699999999</v>
      </c>
      <c r="J4931">
        <v>-421.83870000000002</v>
      </c>
      <c r="K4931">
        <v>1.121586</v>
      </c>
      <c r="L4931">
        <v>95.372559999999993</v>
      </c>
      <c r="M4931">
        <v>-1.3528480000000001E-2</v>
      </c>
      <c r="N4931">
        <v>-1.225409E-2</v>
      </c>
      <c r="O4931">
        <v>-0.99983339999999998</v>
      </c>
      <c r="P4931">
        <v>-1.570154E-2</v>
      </c>
      <c r="Q4931">
        <v>-8.2071859999999996E-2</v>
      </c>
      <c r="R4931">
        <v>-0.99650280000000002</v>
      </c>
      <c r="S4931">
        <v>-0.13891600000000001</v>
      </c>
      <c r="T4931">
        <v>-8.6002110000000007E-2</v>
      </c>
      <c r="U4931">
        <v>-3.0012509999999999</v>
      </c>
      <c r="V4931">
        <v>2.3230529999999998E-3</v>
      </c>
      <c r="W4931">
        <v>-6.9849540000000002E-2</v>
      </c>
      <c r="X4931">
        <v>0.99755479999999996</v>
      </c>
      <c r="Y4931">
        <v>3.2702889999999998E-2</v>
      </c>
      <c r="Z4931">
        <v>1.6369379999999999E-2</v>
      </c>
      <c r="AA4931">
        <v>0.99933110000000003</v>
      </c>
      <c r="AB4931">
        <v>23</v>
      </c>
      <c r="AC4931">
        <v>-1.8097999999999901</v>
      </c>
      <c r="AD4931">
        <v>-1.1215898666569999</v>
      </c>
      <c r="AE4931">
        <v>-38.925190000000001</v>
      </c>
      <c r="AF4931">
        <v>1.2819341344567901</v>
      </c>
      <c r="AG4931">
        <v>-1.1215898666569999</v>
      </c>
      <c r="AH4931">
        <v>38.913874554480998</v>
      </c>
      <c r="AI4931">
        <v>91.650048162036597</v>
      </c>
      <c r="AJ4931">
        <v>88.113195774828398</v>
      </c>
      <c r="AK4931">
        <v>38.951135436543503</v>
      </c>
      <c r="AL4931">
        <v>94.005345474822605</v>
      </c>
      <c r="AM4931">
        <v>89.866572852057104</v>
      </c>
      <c r="AN4931">
        <v>0.999999966908245</v>
      </c>
    </row>
    <row r="4932" spans="1:40" x14ac:dyDescent="0.25">
      <c r="A4932" t="str">
        <f>"20190303154615026"</f>
        <v>20190303154615026</v>
      </c>
      <c r="B4932" t="str">
        <f>"1551599175016113"</f>
        <v>1551599175016113</v>
      </c>
      <c r="C4932" t="s">
        <v>40</v>
      </c>
      <c r="D4932">
        <v>5.1593710000000002</v>
      </c>
      <c r="E4932">
        <v>0.51145890000000005</v>
      </c>
      <c r="F4932" t="s">
        <v>41</v>
      </c>
      <c r="G4932">
        <v>-423.71570000000003</v>
      </c>
      <c r="H4932" s="1">
        <v>-3.1389359999999999E-6</v>
      </c>
      <c r="I4932">
        <v>54.601439999999997</v>
      </c>
      <c r="J4932">
        <v>-421.84059999999999</v>
      </c>
      <c r="K4932">
        <v>1.121591</v>
      </c>
      <c r="L4932">
        <v>95.145899999999997</v>
      </c>
      <c r="M4932">
        <v>-1.255711E-2</v>
      </c>
      <c r="N4932">
        <v>-1.242476E-2</v>
      </c>
      <c r="O4932">
        <v>-0.99984410000000001</v>
      </c>
      <c r="P4932">
        <v>-1.4538519999999999E-2</v>
      </c>
      <c r="Q4932">
        <v>-8.2458190000000001E-2</v>
      </c>
      <c r="R4932">
        <v>-0.99648879999999995</v>
      </c>
      <c r="S4932">
        <v>-0.13818359999999999</v>
      </c>
      <c r="T4932">
        <v>-8.2571030000000004E-2</v>
      </c>
      <c r="U4932">
        <v>-3.0015559999999999</v>
      </c>
      <c r="V4932">
        <v>2.1256130000000002E-3</v>
      </c>
      <c r="W4932">
        <v>-7.0066379999999998E-2</v>
      </c>
      <c r="X4932">
        <v>0.99754010000000004</v>
      </c>
      <c r="Y4932">
        <v>3.3426690000000002E-2</v>
      </c>
      <c r="Z4932">
        <v>1.5054929999999999E-2</v>
      </c>
      <c r="AA4932">
        <v>0.99932779999999999</v>
      </c>
      <c r="AB4932">
        <v>23</v>
      </c>
      <c r="AC4932">
        <v>-1.87510000000003</v>
      </c>
      <c r="AD4932">
        <v>-1.121594138936</v>
      </c>
      <c r="AE4932">
        <v>-40.544460000000001</v>
      </c>
      <c r="AF4932">
        <v>1.36474950473614</v>
      </c>
      <c r="AG4932">
        <v>-1.121594138936</v>
      </c>
      <c r="AH4932">
        <v>40.5338577931687</v>
      </c>
      <c r="AI4932">
        <v>91.584104111772007</v>
      </c>
      <c r="AJ4932">
        <v>88.071615599735793</v>
      </c>
      <c r="AK4932">
        <v>40.572332225544997</v>
      </c>
      <c r="AL4932">
        <v>94.017799738552498</v>
      </c>
      <c r="AM4932">
        <v>89.877911204321606</v>
      </c>
      <c r="AN4932">
        <v>1.0000000334724599</v>
      </c>
    </row>
    <row r="4933" spans="1:40" x14ac:dyDescent="0.25">
      <c r="A4933" t="str">
        <f>"20190303154615049"</f>
        <v>20190303154615049</v>
      </c>
      <c r="B4933" t="str">
        <f>"1551599175046369"</f>
        <v>1551599175046369</v>
      </c>
      <c r="C4933" t="s">
        <v>40</v>
      </c>
      <c r="D4933">
        <v>5.1355469999999999</v>
      </c>
      <c r="E4933">
        <v>0.51151869999999999</v>
      </c>
      <c r="F4933" t="s">
        <v>41</v>
      </c>
      <c r="G4933">
        <v>-423.70830000000001</v>
      </c>
      <c r="H4933" s="1">
        <v>-2.7804749999999998E-6</v>
      </c>
      <c r="I4933">
        <v>53.770510000000002</v>
      </c>
      <c r="J4933">
        <v>-421.84230000000002</v>
      </c>
      <c r="K4933">
        <v>1.1215919999999999</v>
      </c>
      <c r="L4933">
        <v>94.922640000000001</v>
      </c>
      <c r="M4933">
        <v>-1.162475E-2</v>
      </c>
      <c r="N4933">
        <v>-1.257953E-2</v>
      </c>
      <c r="O4933">
        <v>-0.99985329999999994</v>
      </c>
      <c r="P4933">
        <v>-1.342406E-2</v>
      </c>
      <c r="Q4933">
        <v>-8.2788210000000001E-2</v>
      </c>
      <c r="R4933">
        <v>-0.99647669999999999</v>
      </c>
      <c r="S4933">
        <v>-0.13549800000000001</v>
      </c>
      <c r="T4933">
        <v>-8.1373689999999999E-2</v>
      </c>
      <c r="U4933">
        <v>-3.001862</v>
      </c>
      <c r="V4933">
        <v>1.937692E-3</v>
      </c>
      <c r="W4933">
        <v>-7.0242680000000002E-2</v>
      </c>
      <c r="X4933">
        <v>0.99752810000000003</v>
      </c>
      <c r="Y4933">
        <v>3.3462119999999998E-2</v>
      </c>
      <c r="Z4933">
        <v>1.4499929999999999E-2</v>
      </c>
      <c r="AA4933">
        <v>0.99933479999999997</v>
      </c>
      <c r="AB4933">
        <v>22</v>
      </c>
      <c r="AC4933">
        <v>-1.8659999999999799</v>
      </c>
      <c r="AD4933">
        <v>-1.1215947804749999</v>
      </c>
      <c r="AE4933">
        <v>-41.15213</v>
      </c>
      <c r="AF4933">
        <v>1.38642505677308</v>
      </c>
      <c r="AG4933">
        <v>-1.1215947804749999</v>
      </c>
      <c r="AH4933">
        <v>41.140544846315301</v>
      </c>
      <c r="AI4933">
        <v>91.560754751991993</v>
      </c>
      <c r="AJ4933">
        <v>88.069878414271898</v>
      </c>
      <c r="AK4933">
        <v>41.179176528207996</v>
      </c>
      <c r="AL4933">
        <v>94.027925868993705</v>
      </c>
      <c r="AM4933">
        <v>89.888703452105204</v>
      </c>
      <c r="AN4933">
        <v>1.00000004951673</v>
      </c>
    </row>
    <row r="4934" spans="1:40" x14ac:dyDescent="0.25">
      <c r="A4934" t="str">
        <f>"20190303154615071"</f>
        <v>20190303154615071</v>
      </c>
      <c r="B4934" t="str">
        <f>"1551599175065888"</f>
        <v>1551599175065888</v>
      </c>
      <c r="C4934" t="s">
        <v>40</v>
      </c>
      <c r="D4934">
        <v>5.1433280000000003</v>
      </c>
      <c r="E4934">
        <v>0.51158239999999999</v>
      </c>
      <c r="F4934" t="s">
        <v>41</v>
      </c>
      <c r="G4934">
        <v>-423.69189999999998</v>
      </c>
      <c r="H4934" s="1">
        <v>-2.4317369999999999E-6</v>
      </c>
      <c r="I4934">
        <v>52.967709999999997</v>
      </c>
      <c r="J4934">
        <v>-421.84379999999999</v>
      </c>
      <c r="K4934">
        <v>1.1215839999999999</v>
      </c>
      <c r="L4934">
        <v>94.696560000000005</v>
      </c>
      <c r="M4934">
        <v>-1.0699119999999999E-2</v>
      </c>
      <c r="N4934">
        <v>-1.272044E-2</v>
      </c>
      <c r="O4934">
        <v>-0.99986180000000002</v>
      </c>
      <c r="P4934">
        <v>-1.272993E-2</v>
      </c>
      <c r="Q4934">
        <v>-8.2902100000000006E-2</v>
      </c>
      <c r="R4934">
        <v>-0.99647629999999998</v>
      </c>
      <c r="S4934">
        <v>-0.13235469999999999</v>
      </c>
      <c r="T4934">
        <v>-8.0257889999999998E-2</v>
      </c>
      <c r="U4934">
        <v>-3.002167</v>
      </c>
      <c r="V4934">
        <v>2.1627299999999999E-3</v>
      </c>
      <c r="W4934">
        <v>-7.0215899999999998E-2</v>
      </c>
      <c r="X4934">
        <v>0.99752940000000001</v>
      </c>
      <c r="Y4934">
        <v>3.333883E-2</v>
      </c>
      <c r="Z4934">
        <v>1.398603E-2</v>
      </c>
      <c r="AA4934">
        <v>0.99934630000000002</v>
      </c>
      <c r="AB4934">
        <v>22</v>
      </c>
      <c r="AC4934">
        <v>-1.8480999999999801</v>
      </c>
      <c r="AD4934">
        <v>-1.1215864317369999</v>
      </c>
      <c r="AE4934">
        <v>-41.728850000000001</v>
      </c>
      <c r="AF4934">
        <v>1.40048631601538</v>
      </c>
      <c r="AG4934">
        <v>-1.1215864317369999</v>
      </c>
      <c r="AH4934">
        <v>41.716158022390402</v>
      </c>
      <c r="AI4934">
        <v>91.539224541383305</v>
      </c>
      <c r="AJ4934">
        <v>88.077199977958998</v>
      </c>
      <c r="AK4934">
        <v>41.754726177934103</v>
      </c>
      <c r="AL4934">
        <v>94.026388184498103</v>
      </c>
      <c r="AM4934">
        <v>89.875777990033995</v>
      </c>
      <c r="AN4934">
        <v>0.999999926939108</v>
      </c>
    </row>
    <row r="4935" spans="1:40" x14ac:dyDescent="0.25">
      <c r="A4935" t="str">
        <f>"20190303154615095"</f>
        <v>20190303154615095</v>
      </c>
      <c r="B4935" t="str">
        <f>"1551599175086384"</f>
        <v>1551599175086384</v>
      </c>
      <c r="C4935" t="s">
        <v>40</v>
      </c>
      <c r="D4935">
        <v>5.1622779999999997</v>
      </c>
      <c r="E4935">
        <v>0.5116503</v>
      </c>
      <c r="F4935" t="s">
        <v>41</v>
      </c>
      <c r="G4935">
        <v>-423.69690000000003</v>
      </c>
      <c r="H4935" s="1">
        <v>-2.0822839999999999E-6</v>
      </c>
      <c r="I4935">
        <v>52.150039999999997</v>
      </c>
      <c r="J4935">
        <v>-421.8451</v>
      </c>
      <c r="K4935">
        <v>1.121569</v>
      </c>
      <c r="L4935">
        <v>94.465789999999998</v>
      </c>
      <c r="M4935">
        <v>-9.7715249999999997E-3</v>
      </c>
      <c r="N4935">
        <v>-1.2847330000000001E-2</v>
      </c>
      <c r="O4935">
        <v>-0.99986980000000003</v>
      </c>
      <c r="P4935">
        <v>-1.14027E-2</v>
      </c>
      <c r="Q4935">
        <v>-8.2731940000000004E-2</v>
      </c>
      <c r="R4935">
        <v>-0.99650660000000002</v>
      </c>
      <c r="S4935">
        <v>-0.13076779999999999</v>
      </c>
      <c r="T4935">
        <v>-7.9146149999999998E-2</v>
      </c>
      <c r="U4935">
        <v>-3.0023499999999999</v>
      </c>
      <c r="V4935">
        <v>1.7558579999999999E-3</v>
      </c>
      <c r="W4935">
        <v>-6.9919609999999993E-2</v>
      </c>
      <c r="X4935">
        <v>0.99755110000000002</v>
      </c>
      <c r="Y4935">
        <v>3.3736299999999997E-2</v>
      </c>
      <c r="Z4935">
        <v>1.348807E-2</v>
      </c>
      <c r="AA4935">
        <v>0.9993398</v>
      </c>
      <c r="AB4935">
        <v>22</v>
      </c>
      <c r="AC4935">
        <v>-1.8518000000000201</v>
      </c>
      <c r="AD4935">
        <v>-1.1215710822839999</v>
      </c>
      <c r="AE4935">
        <v>-42.315750000000001</v>
      </c>
      <c r="AF4935">
        <v>1.43718037353914</v>
      </c>
      <c r="AG4935">
        <v>-1.1215710822839999</v>
      </c>
      <c r="AH4935">
        <v>42.302165122387898</v>
      </c>
      <c r="AI4935">
        <v>91.517870526932896</v>
      </c>
      <c r="AJ4935">
        <v>88.054172648722002</v>
      </c>
      <c r="AK4935">
        <v>42.341428685868301</v>
      </c>
      <c r="AL4935">
        <v>94.009369832754302</v>
      </c>
      <c r="AM4935">
        <v>89.899149879210796</v>
      </c>
      <c r="AN4935">
        <v>1.00000001600553</v>
      </c>
    </row>
    <row r="4936" spans="1:40" x14ac:dyDescent="0.25">
      <c r="A4936" t="str">
        <f>"20190303154615140"</f>
        <v>20190303154615140</v>
      </c>
      <c r="B4936" t="str">
        <f>"1551599175136161"</f>
        <v>1551599175136161</v>
      </c>
      <c r="C4936" t="s">
        <v>40</v>
      </c>
      <c r="D4936">
        <v>5.1840890000000002</v>
      </c>
      <c r="E4936">
        <v>0.48865310000000001</v>
      </c>
      <c r="F4936" t="s">
        <v>41</v>
      </c>
      <c r="G4936">
        <v>-423.69529999999997</v>
      </c>
      <c r="H4936" s="1">
        <v>-1.5208309999999999E-6</v>
      </c>
      <c r="I4936">
        <v>50.842289999999998</v>
      </c>
      <c r="J4936">
        <v>-421.84719999999999</v>
      </c>
      <c r="K4936">
        <v>1.1215520000000001</v>
      </c>
      <c r="L4936">
        <v>94.016509999999997</v>
      </c>
      <c r="M4936">
        <v>-8.027055E-3</v>
      </c>
      <c r="N4936">
        <v>-1.305075E-2</v>
      </c>
      <c r="O4936">
        <v>-0.99988250000000001</v>
      </c>
      <c r="P4936">
        <v>-8.4004319999999993E-3</v>
      </c>
      <c r="Q4936">
        <v>-7.982533E-2</v>
      </c>
      <c r="R4936">
        <v>-0.99677340000000003</v>
      </c>
      <c r="S4936">
        <v>-0.12734989999999999</v>
      </c>
      <c r="T4936">
        <v>-7.719898E-2</v>
      </c>
      <c r="U4936">
        <v>-3.0026549999999999</v>
      </c>
      <c r="V4936">
        <v>4.7951660000000002E-4</v>
      </c>
      <c r="W4936">
        <v>-6.6808919999999994E-2</v>
      </c>
      <c r="X4936">
        <v>0.99776569999999998</v>
      </c>
      <c r="Y4936">
        <v>3.434036E-2</v>
      </c>
      <c r="Z4936">
        <v>1.2634980000000001E-2</v>
      </c>
      <c r="AA4936">
        <v>0.9993303</v>
      </c>
      <c r="AB4936">
        <v>22</v>
      </c>
      <c r="AC4936">
        <v>-1.8480999999999801</v>
      </c>
      <c r="AD4936">
        <v>-1.1215535208309999</v>
      </c>
      <c r="AE4936">
        <v>-43.174219999999899</v>
      </c>
      <c r="AF4936">
        <v>1.50043837213067</v>
      </c>
      <c r="AG4936">
        <v>-1.1215535208309999</v>
      </c>
      <c r="AH4936">
        <v>43.1585936508759</v>
      </c>
      <c r="AI4936">
        <v>91.487700259021494</v>
      </c>
      <c r="AJ4936">
        <v>88.008874514154101</v>
      </c>
      <c r="AK4936">
        <v>43.199229200647501</v>
      </c>
      <c r="AL4936">
        <v>93.830722353439896</v>
      </c>
      <c r="AM4936">
        <v>89.972464201494105</v>
      </c>
      <c r="AN4936">
        <v>1.0000000269121101</v>
      </c>
    </row>
    <row r="4937" spans="1:40" x14ac:dyDescent="0.25">
      <c r="A4937" t="str">
        <f>"20190303154615162"</f>
        <v>20190303154615162</v>
      </c>
      <c r="B4937" t="str">
        <f>"1551599175156657"</f>
        <v>1551599175156657</v>
      </c>
      <c r="C4937" t="s">
        <v>40</v>
      </c>
      <c r="D4937">
        <v>5.2181259999999998</v>
      </c>
      <c r="E4937">
        <v>0.48695509999999997</v>
      </c>
      <c r="F4937" t="s">
        <v>41</v>
      </c>
      <c r="G4937">
        <v>-421.10579999999999</v>
      </c>
      <c r="H4937" s="1">
        <v>-5.1711969999999998E-7</v>
      </c>
      <c r="I4937">
        <v>60.10868</v>
      </c>
      <c r="J4937">
        <v>-421.84789999999998</v>
      </c>
      <c r="K4937">
        <v>1.121559</v>
      </c>
      <c r="L4937">
        <v>93.800049999999999</v>
      </c>
      <c r="M4937">
        <v>-7.2180919999999997E-3</v>
      </c>
      <c r="N4937">
        <v>-1.313074E-2</v>
      </c>
      <c r="O4937">
        <v>-0.99988770000000005</v>
      </c>
      <c r="P4937">
        <v>-8.3283599999999999E-3</v>
      </c>
      <c r="Q4937">
        <v>-7.7343640000000005E-2</v>
      </c>
      <c r="R4937">
        <v>-0.99696960000000001</v>
      </c>
      <c r="S4937">
        <v>6.5643309999999996E-2</v>
      </c>
      <c r="T4937">
        <v>-9.9306229999999995E-2</v>
      </c>
      <c r="U4937">
        <v>-3.002319</v>
      </c>
      <c r="V4937">
        <v>1.2065279999999999E-3</v>
      </c>
      <c r="W4937">
        <v>-6.4244200000000001E-2</v>
      </c>
      <c r="X4937">
        <v>0.99793350000000003</v>
      </c>
      <c r="Y4937">
        <v>-2.9062250000000001E-2</v>
      </c>
      <c r="Z4937">
        <v>1.9918749999999999E-2</v>
      </c>
      <c r="AA4937">
        <v>0.99937909999999996</v>
      </c>
      <c r="AB4937">
        <v>22</v>
      </c>
      <c r="AC4937">
        <v>0.74209999999999299</v>
      </c>
      <c r="AD4937">
        <v>-1.1215595171196999</v>
      </c>
      <c r="AE4937">
        <v>-33.6913699999999</v>
      </c>
      <c r="AF4937">
        <v>-0.98419891552100502</v>
      </c>
      <c r="AG4937">
        <v>-1.1215595171196999</v>
      </c>
      <c r="AH4937">
        <v>33.647865602206402</v>
      </c>
      <c r="AI4937">
        <v>91.908275650702606</v>
      </c>
      <c r="AJ4937">
        <v>91.675421887540793</v>
      </c>
      <c r="AK4937">
        <v>33.680935302332301</v>
      </c>
      <c r="AL4937">
        <v>93.683458207706195</v>
      </c>
      <c r="AM4937">
        <v>89.930727920666598</v>
      </c>
      <c r="AN4937">
        <v>1.00000002168285</v>
      </c>
    </row>
    <row r="4938" spans="1:40" x14ac:dyDescent="0.25">
      <c r="A4938" t="str">
        <f>"20190303154615183"</f>
        <v>20190303154615183</v>
      </c>
      <c r="B4938" t="str">
        <f>"1551599175176176"</f>
        <v>1551599175176176</v>
      </c>
      <c r="C4938" t="s">
        <v>40</v>
      </c>
      <c r="D4938">
        <v>5.1781280000000001</v>
      </c>
      <c r="E4938">
        <v>0.48584359999999999</v>
      </c>
      <c r="F4938" t="s">
        <v>41</v>
      </c>
      <c r="G4938">
        <v>-420.91809999999998</v>
      </c>
      <c r="H4938" s="1">
        <v>-4.1940169999999998E-6</v>
      </c>
      <c r="I4938">
        <v>58.832540000000002</v>
      </c>
      <c r="J4938">
        <v>-421.8485</v>
      </c>
      <c r="K4938">
        <v>1.1215539999999999</v>
      </c>
      <c r="L4938">
        <v>93.584810000000004</v>
      </c>
      <c r="M4938">
        <v>-6.4440399999999998E-3</v>
      </c>
      <c r="N4938">
        <v>-1.3199509999999999E-2</v>
      </c>
      <c r="O4938">
        <v>-0.99989240000000001</v>
      </c>
      <c r="P4938">
        <v>-1.1237860000000001E-2</v>
      </c>
      <c r="Q4938">
        <v>-7.5788099999999997E-2</v>
      </c>
      <c r="R4938">
        <v>-0.99706090000000003</v>
      </c>
      <c r="S4938">
        <v>7.9833979999999999E-2</v>
      </c>
      <c r="T4938">
        <v>-9.6297740000000007E-2</v>
      </c>
      <c r="U4938">
        <v>-3.002319</v>
      </c>
      <c r="V4938">
        <v>4.882089E-3</v>
      </c>
      <c r="W4938">
        <v>-6.2614660000000003E-2</v>
      </c>
      <c r="X4938">
        <v>0.99802579999999996</v>
      </c>
      <c r="Y4938">
        <v>-3.3008559999999999E-2</v>
      </c>
      <c r="Z4938">
        <v>1.884593E-2</v>
      </c>
      <c r="AA4938">
        <v>0.99927739999999998</v>
      </c>
      <c r="AB4938">
        <v>22</v>
      </c>
      <c r="AC4938">
        <v>0.93040000000001999</v>
      </c>
      <c r="AD4938">
        <v>-1.1215581940170001</v>
      </c>
      <c r="AE4938">
        <v>-34.752270000000003</v>
      </c>
      <c r="AF4938">
        <v>-1.15314495468154</v>
      </c>
      <c r="AG4938">
        <v>-1.1215581940170001</v>
      </c>
      <c r="AH4938">
        <v>34.709426783678502</v>
      </c>
      <c r="AI4938">
        <v>91.849722340217895</v>
      </c>
      <c r="AJ4938">
        <v>91.9028273519164</v>
      </c>
      <c r="AK4938">
        <v>34.746682485103698</v>
      </c>
      <c r="AL4938">
        <v>93.589904254654499</v>
      </c>
      <c r="AM4938">
        <v>89.719725818954004</v>
      </c>
      <c r="AN4938">
        <v>0.99999996395277901</v>
      </c>
    </row>
    <row r="4939" spans="1:40" x14ac:dyDescent="0.25">
      <c r="A4939" t="str">
        <f>"20190303154615205"</f>
        <v>20190303154615205</v>
      </c>
      <c r="B4939" t="str">
        <f>"1551599175196673"</f>
        <v>1551599175196673</v>
      </c>
      <c r="C4939" t="s">
        <v>40</v>
      </c>
      <c r="D4939">
        <v>5.2054499999999999</v>
      </c>
      <c r="E4939">
        <v>0.4849637</v>
      </c>
      <c r="F4939" t="s">
        <v>41</v>
      </c>
      <c r="G4939">
        <v>-420.91</v>
      </c>
      <c r="H4939" s="1">
        <v>-4.002768E-6</v>
      </c>
      <c r="I4939">
        <v>58.355240000000002</v>
      </c>
      <c r="J4939">
        <v>-421.84899999999999</v>
      </c>
      <c r="K4939">
        <v>1.1215329999999999</v>
      </c>
      <c r="L4939">
        <v>93.363309999999998</v>
      </c>
      <c r="M4939">
        <v>-5.6779839999999996E-3</v>
      </c>
      <c r="N4939">
        <v>-1.3260869999999999E-2</v>
      </c>
      <c r="O4939">
        <v>-0.99989620000000001</v>
      </c>
      <c r="P4939">
        <v>-1.475287E-2</v>
      </c>
      <c r="Q4939">
        <v>-7.637265E-2</v>
      </c>
      <c r="R4939">
        <v>-0.99697069999999999</v>
      </c>
      <c r="S4939">
        <v>7.9986570000000007E-2</v>
      </c>
      <c r="T4939">
        <v>-9.5585820000000002E-2</v>
      </c>
      <c r="U4939">
        <v>-3.002472</v>
      </c>
      <c r="V4939">
        <v>9.1586050000000002E-3</v>
      </c>
      <c r="W4939">
        <v>-6.3134620000000002E-2</v>
      </c>
      <c r="X4939">
        <v>0.99796300000000004</v>
      </c>
      <c r="Y4939">
        <v>-3.2292590000000003E-2</v>
      </c>
      <c r="Z4939">
        <v>1.8546940000000001E-2</v>
      </c>
      <c r="AA4939">
        <v>0.99930640000000004</v>
      </c>
      <c r="AB4939">
        <v>22</v>
      </c>
      <c r="AC4939">
        <v>0.93899999999996397</v>
      </c>
      <c r="AD4939">
        <v>-1.1215370027679901</v>
      </c>
      <c r="AE4939">
        <v>-35.008069999999996</v>
      </c>
      <c r="AF4939">
        <v>-1.1366118414736099</v>
      </c>
      <c r="AG4939">
        <v>-1.1215370027679901</v>
      </c>
      <c r="AH4939">
        <v>34.966311987497399</v>
      </c>
      <c r="AI4939">
        <v>91.836150931843804</v>
      </c>
      <c r="AJ4939">
        <v>91.861795974611994</v>
      </c>
      <c r="AK4939">
        <v>35.002752830795401</v>
      </c>
      <c r="AL4939">
        <v>93.619754682813294</v>
      </c>
      <c r="AM4939">
        <v>89.474194252178293</v>
      </c>
      <c r="AN4939">
        <v>1.00000000482854</v>
      </c>
    </row>
    <row r="4940" spans="1:40" x14ac:dyDescent="0.25">
      <c r="A4940" t="str">
        <f>"20190303154615227"</f>
        <v>20190303154615227</v>
      </c>
      <c r="B4940" t="str">
        <f>"1551599175216193"</f>
        <v>1551599175216193</v>
      </c>
      <c r="C4940" t="s">
        <v>40</v>
      </c>
      <c r="D4940">
        <v>5.146223</v>
      </c>
      <c r="E4940">
        <v>0.4847168</v>
      </c>
      <c r="F4940" t="s">
        <v>41</v>
      </c>
      <c r="G4940">
        <v>-421.0378</v>
      </c>
      <c r="H4940" s="1">
        <v>-1.0809920000000001E-6</v>
      </c>
      <c r="I4940">
        <v>61.46528</v>
      </c>
      <c r="J4940">
        <v>-421.8494</v>
      </c>
      <c r="K4940">
        <v>1.121505</v>
      </c>
      <c r="L4940">
        <v>93.140320000000003</v>
      </c>
      <c r="M4940">
        <v>-4.9410640000000002E-3</v>
      </c>
      <c r="N4940">
        <v>-1.331425E-2</v>
      </c>
      <c r="O4940">
        <v>-0.99989919999999999</v>
      </c>
      <c r="P4940">
        <v>-1.6014400000000002E-2</v>
      </c>
      <c r="Q4940">
        <v>-7.7607239999999994E-2</v>
      </c>
      <c r="R4940">
        <v>-0.99685559999999995</v>
      </c>
      <c r="S4940">
        <v>7.6354980000000003E-2</v>
      </c>
      <c r="T4940">
        <v>-0.1055561</v>
      </c>
      <c r="U4940">
        <v>-3.002167</v>
      </c>
      <c r="V4940">
        <v>1.115294E-2</v>
      </c>
      <c r="W4940">
        <v>-6.4315890000000001E-2</v>
      </c>
      <c r="X4940">
        <v>0.99786730000000001</v>
      </c>
      <c r="Y4940">
        <v>-3.0348819999999999E-2</v>
      </c>
      <c r="Z4940">
        <v>2.1813889999999999E-2</v>
      </c>
      <c r="AA4940">
        <v>0.99930129999999995</v>
      </c>
      <c r="AB4940">
        <v>22</v>
      </c>
      <c r="AC4940">
        <v>0.81159999999999799</v>
      </c>
      <c r="AD4940">
        <v>-1.1215060809920001</v>
      </c>
      <c r="AE4940">
        <v>-31.6750399999999</v>
      </c>
      <c r="AF4940">
        <v>-0.96690101778534698</v>
      </c>
      <c r="AG4940">
        <v>-1.1215060809920001</v>
      </c>
      <c r="AH4940">
        <v>31.631015215578799</v>
      </c>
      <c r="AI4940">
        <v>92.029675484098306</v>
      </c>
      <c r="AJ4940">
        <v>91.750879684692194</v>
      </c>
      <c r="AK4940">
        <v>31.665656428314701</v>
      </c>
      <c r="AL4940">
        <v>93.687574204929604</v>
      </c>
      <c r="AM4940">
        <v>89.359644529445504</v>
      </c>
      <c r="AN4940">
        <v>1.0000000350932099</v>
      </c>
    </row>
    <row r="4941" spans="1:40" x14ac:dyDescent="0.25">
      <c r="A4941" t="str">
        <f>"20190303154615250"</f>
        <v>20190303154615250</v>
      </c>
      <c r="B4941" t="str">
        <f>"1551599175246448"</f>
        <v>1551599175246448</v>
      </c>
      <c r="C4941" t="s">
        <v>40</v>
      </c>
      <c r="D4941">
        <v>5.1765379999999999</v>
      </c>
      <c r="E4941">
        <v>0.48452329999999999</v>
      </c>
      <c r="F4941" t="s">
        <v>41</v>
      </c>
      <c r="G4941">
        <v>-421.0976</v>
      </c>
      <c r="H4941" s="1">
        <v>-1.7145700000000001E-6</v>
      </c>
      <c r="I4941">
        <v>62.905059999999999</v>
      </c>
      <c r="J4941">
        <v>-421.84960000000001</v>
      </c>
      <c r="K4941">
        <v>1.1214789999999999</v>
      </c>
      <c r="L4941">
        <v>92.920720000000003</v>
      </c>
      <c r="M4941">
        <v>-4.2553460000000001E-3</v>
      </c>
      <c r="N4941">
        <v>-1.3359650000000001E-2</v>
      </c>
      <c r="O4941">
        <v>-0.99990179999999995</v>
      </c>
      <c r="P4941">
        <v>-1.5407529999999999E-2</v>
      </c>
      <c r="Q4941">
        <v>-7.871707E-2</v>
      </c>
      <c r="R4941">
        <v>-0.9967781</v>
      </c>
      <c r="S4941">
        <v>7.4646000000000004E-2</v>
      </c>
      <c r="T4941">
        <v>-0.1113516</v>
      </c>
      <c r="U4941">
        <v>-3.0019840000000002</v>
      </c>
      <c r="V4941">
        <v>1.122691E-2</v>
      </c>
      <c r="W4941">
        <v>-6.5382159999999995E-2</v>
      </c>
      <c r="X4941">
        <v>0.99779709999999999</v>
      </c>
      <c r="Y4941">
        <v>-2.9095280000000001E-2</v>
      </c>
      <c r="Z4941">
        <v>2.369864E-2</v>
      </c>
      <c r="AA4941">
        <v>0.99929570000000001</v>
      </c>
      <c r="AB4941">
        <v>22</v>
      </c>
      <c r="AC4941">
        <v>0.75200000000000899</v>
      </c>
      <c r="AD4941">
        <v>-1.1214807145700001</v>
      </c>
      <c r="AE4941">
        <v>-30.015659999999901</v>
      </c>
      <c r="AF4941">
        <v>-0.87850596432398098</v>
      </c>
      <c r="AG4941">
        <v>-1.1214807145700001</v>
      </c>
      <c r="AH4941">
        <v>29.9703752528576</v>
      </c>
      <c r="AI4941">
        <v>92.142068509287199</v>
      </c>
      <c r="AJ4941">
        <v>91.6790005071271</v>
      </c>
      <c r="AK4941">
        <v>30.004214445967499</v>
      </c>
      <c r="AL4941">
        <v>93.748796118833894</v>
      </c>
      <c r="AM4941">
        <v>89.355352489450297</v>
      </c>
      <c r="AN4941">
        <v>0.99999996156141102</v>
      </c>
    </row>
    <row r="4942" spans="1:40" x14ac:dyDescent="0.25">
      <c r="A4942" t="str">
        <f>"20190303154615272"</f>
        <v>20190303154615272</v>
      </c>
      <c r="B4942" t="str">
        <f>"1551599175265969"</f>
        <v>1551599175265969</v>
      </c>
      <c r="C4942" t="s">
        <v>40</v>
      </c>
      <c r="D4942">
        <v>5.1770829999999997</v>
      </c>
      <c r="E4942">
        <v>0.48426219999999998</v>
      </c>
      <c r="F4942" t="s">
        <v>41</v>
      </c>
      <c r="G4942">
        <v>-421.1001</v>
      </c>
      <c r="H4942" s="1">
        <v>-2.213344E-6</v>
      </c>
      <c r="I4942">
        <v>64.066149999999993</v>
      </c>
      <c r="J4942">
        <v>-421.84980000000002</v>
      </c>
      <c r="K4942">
        <v>1.1214489999999999</v>
      </c>
      <c r="L4942">
        <v>92.698549999999997</v>
      </c>
      <c r="M4942">
        <v>-3.6081189999999999E-3</v>
      </c>
      <c r="N4942">
        <v>-1.3399049999999999E-2</v>
      </c>
      <c r="O4942">
        <v>-0.9999036</v>
      </c>
      <c r="P4942">
        <v>-1.446246E-2</v>
      </c>
      <c r="Q4942">
        <v>-7.8834710000000002E-2</v>
      </c>
      <c r="R4942">
        <v>-0.99678279999999997</v>
      </c>
      <c r="S4942">
        <v>7.7972410000000006E-2</v>
      </c>
      <c r="T4942">
        <v>-0.1166664</v>
      </c>
      <c r="U4942">
        <v>-3.001709</v>
      </c>
      <c r="V4942">
        <v>1.0922309999999999E-2</v>
      </c>
      <c r="W4942">
        <v>-6.5461660000000005E-2</v>
      </c>
      <c r="X4942">
        <v>0.99779530000000005</v>
      </c>
      <c r="Y4942">
        <v>-2.9555560000000002E-2</v>
      </c>
      <c r="Z4942">
        <v>2.5428889999999999E-2</v>
      </c>
      <c r="AA4942">
        <v>0.99923960000000001</v>
      </c>
      <c r="AB4942">
        <v>22</v>
      </c>
      <c r="AC4942">
        <v>0.74970000000001802</v>
      </c>
      <c r="AD4942">
        <v>-1.121451213344</v>
      </c>
      <c r="AE4942">
        <v>-28.632400000000001</v>
      </c>
      <c r="AF4942">
        <v>-0.85170782833397896</v>
      </c>
      <c r="AG4942">
        <v>-1.121451213344</v>
      </c>
      <c r="AH4942">
        <v>28.585685931868401</v>
      </c>
      <c r="AI4942">
        <v>92.2456354507285</v>
      </c>
      <c r="AJ4942">
        <v>91.706617481557402</v>
      </c>
      <c r="AK4942">
        <v>28.6203511376813</v>
      </c>
      <c r="AL4942">
        <v>93.753360793590005</v>
      </c>
      <c r="AM4942">
        <v>89.372840028588499</v>
      </c>
      <c r="AN4942">
        <v>0.99999999324389099</v>
      </c>
    </row>
    <row r="4943" spans="1:40" x14ac:dyDescent="0.25">
      <c r="A4943" t="str">
        <f>"20190303154615297"</f>
        <v>20190303154615297</v>
      </c>
      <c r="B4943" t="str">
        <f>"1551599175286465"</f>
        <v>1551599175286465</v>
      </c>
      <c r="C4943" t="s">
        <v>40</v>
      </c>
      <c r="D4943">
        <v>5.1686269999999999</v>
      </c>
      <c r="E4943">
        <v>0.48394930000000003</v>
      </c>
      <c r="F4943" t="s">
        <v>41</v>
      </c>
      <c r="G4943">
        <v>-421.06869999999998</v>
      </c>
      <c r="H4943" s="1">
        <v>-2.312879E-6</v>
      </c>
      <c r="I4943">
        <v>64.317669999999893</v>
      </c>
      <c r="J4943">
        <v>-421.84989999999999</v>
      </c>
      <c r="K4943">
        <v>1.1214189999999999</v>
      </c>
      <c r="L4943">
        <v>92.463099999999997</v>
      </c>
      <c r="M4943">
        <v>-2.9773270000000001E-3</v>
      </c>
      <c r="N4943">
        <v>-1.343334E-2</v>
      </c>
      <c r="O4943">
        <v>-0.99990540000000006</v>
      </c>
      <c r="P4943">
        <v>-1.242679E-2</v>
      </c>
      <c r="Q4943">
        <v>-7.8234739999999997E-2</v>
      </c>
      <c r="R4943">
        <v>-0.99685749999999995</v>
      </c>
      <c r="S4943">
        <v>8.2611080000000003E-2</v>
      </c>
      <c r="T4943">
        <v>-0.118602</v>
      </c>
      <c r="U4943">
        <v>-3.0014949999999998</v>
      </c>
      <c r="V4943">
        <v>9.5091429999999994E-3</v>
      </c>
      <c r="W4943">
        <v>-6.4828709999999998E-2</v>
      </c>
      <c r="X4943">
        <v>0.99785109999999999</v>
      </c>
      <c r="Y4943">
        <v>-3.0469070000000001E-2</v>
      </c>
      <c r="Z4943">
        <v>2.6039639999999999E-2</v>
      </c>
      <c r="AA4943">
        <v>0.99919650000000004</v>
      </c>
      <c r="AB4943">
        <v>22</v>
      </c>
      <c r="AC4943">
        <v>0.781200000000012</v>
      </c>
      <c r="AD4943">
        <v>-1.121421312879</v>
      </c>
      <c r="AE4943">
        <v>-28.145430000000001</v>
      </c>
      <c r="AF4943">
        <v>-0.86363225574583702</v>
      </c>
      <c r="AG4943">
        <v>-1.121421312879</v>
      </c>
      <c r="AH4943">
        <v>28.098406418335401</v>
      </c>
      <c r="AI4943">
        <v>92.284412321130205</v>
      </c>
      <c r="AJ4943">
        <v>91.760488098383902</v>
      </c>
      <c r="AK4943">
        <v>28.134034365588199</v>
      </c>
      <c r="AL4943">
        <v>93.717018198952104</v>
      </c>
      <c r="AM4943">
        <v>89.454009452112899</v>
      </c>
      <c r="AN4943">
        <v>1.00000000160603</v>
      </c>
    </row>
    <row r="4944" spans="1:40" x14ac:dyDescent="0.25">
      <c r="A4944" t="str">
        <f>"20190303154615321"</f>
        <v>20190303154615321</v>
      </c>
      <c r="B4944" t="str">
        <f>"1551599175316721"</f>
        <v>1551599175316721</v>
      </c>
      <c r="C4944" t="s">
        <v>40</v>
      </c>
      <c r="D4944">
        <v>5.1396490000000004</v>
      </c>
      <c r="E4944">
        <v>0.48368220000000001</v>
      </c>
      <c r="F4944" t="s">
        <v>41</v>
      </c>
      <c r="G4944">
        <v>-420.98970000000003</v>
      </c>
      <c r="H4944" s="1">
        <v>-2.192393E-6</v>
      </c>
      <c r="I4944">
        <v>64.085769999999997</v>
      </c>
      <c r="J4944">
        <v>-421.84980000000002</v>
      </c>
      <c r="K4944">
        <v>1.121373</v>
      </c>
      <c r="L4944">
        <v>92.222930000000005</v>
      </c>
      <c r="M4944">
        <v>-2.3915609999999999E-3</v>
      </c>
      <c r="N4944">
        <v>-1.3417800000000001E-2</v>
      </c>
      <c r="O4944">
        <v>-0.99990730000000005</v>
      </c>
      <c r="P4944">
        <v>-1.0961230000000001E-2</v>
      </c>
      <c r="Q4944">
        <v>-7.8316620000000003E-2</v>
      </c>
      <c r="R4944">
        <v>-0.99686859999999999</v>
      </c>
      <c r="S4944">
        <v>9.0972899999999995E-2</v>
      </c>
      <c r="T4944">
        <v>-0.1186053</v>
      </c>
      <c r="U4944">
        <v>-3.0012819999999998</v>
      </c>
      <c r="V4944">
        <v>8.6215600000000003E-3</v>
      </c>
      <c r="W4944">
        <v>-6.4927540000000006E-2</v>
      </c>
      <c r="X4944">
        <v>0.99785270000000004</v>
      </c>
      <c r="Y4944">
        <v>-3.2666140000000003E-2</v>
      </c>
      <c r="Z4944">
        <v>2.605625E-2</v>
      </c>
      <c r="AA4944">
        <v>0.99912659999999998</v>
      </c>
      <c r="AB4944">
        <v>22</v>
      </c>
      <c r="AC4944">
        <v>0.86009999999998799</v>
      </c>
      <c r="AD4944">
        <v>-1.121375192393</v>
      </c>
      <c r="AE4944">
        <v>-28.137160000000002</v>
      </c>
      <c r="AF4944">
        <v>-0.92592601512725103</v>
      </c>
      <c r="AG4944">
        <v>-1.121375192393</v>
      </c>
      <c r="AH4944">
        <v>28.090447040067598</v>
      </c>
      <c r="AI4944">
        <v>92.284803364491793</v>
      </c>
      <c r="AJ4944">
        <v>91.887917677602204</v>
      </c>
      <c r="AK4944">
        <v>28.1280649213281</v>
      </c>
      <c r="AL4944">
        <v>93.722692836747896</v>
      </c>
      <c r="AM4944">
        <v>89.504970313484307</v>
      </c>
      <c r="AN4944">
        <v>0.99999996382228695</v>
      </c>
    </row>
    <row r="4945" spans="1:40" x14ac:dyDescent="0.25">
      <c r="A4945" t="str">
        <f>"20190303154615343"</f>
        <v>20190303154615343</v>
      </c>
      <c r="B4945" t="str">
        <f>"1551599175336241"</f>
        <v>1551599175336241</v>
      </c>
      <c r="C4945" t="s">
        <v>40</v>
      </c>
      <c r="D4945">
        <v>5.15442</v>
      </c>
      <c r="E4945">
        <v>0.48353109999999999</v>
      </c>
      <c r="F4945" t="s">
        <v>41</v>
      </c>
      <c r="G4945">
        <v>-420.93869999999998</v>
      </c>
      <c r="H4945" s="1">
        <v>-2.2109299999999999E-6</v>
      </c>
      <c r="I4945">
        <v>64.160650000000004</v>
      </c>
      <c r="J4945">
        <v>-421.84980000000002</v>
      </c>
      <c r="K4945">
        <v>1.12131</v>
      </c>
      <c r="L4945">
        <v>92.012820000000005</v>
      </c>
      <c r="M4945">
        <v>-1.937371E-3</v>
      </c>
      <c r="N4945">
        <v>-1.329994E-2</v>
      </c>
      <c r="O4945">
        <v>-0.99990979999999996</v>
      </c>
      <c r="P4945">
        <v>-9.3324800000000006E-3</v>
      </c>
      <c r="Q4945">
        <v>-7.8680680000000003E-2</v>
      </c>
      <c r="R4945">
        <v>-0.99685639999999998</v>
      </c>
      <c r="S4945">
        <v>9.7442630000000002E-2</v>
      </c>
      <c r="T4945">
        <v>-0.1199234</v>
      </c>
      <c r="U4945">
        <v>-3.0010680000000001</v>
      </c>
      <c r="V4945">
        <v>7.4411719999999898E-3</v>
      </c>
      <c r="W4945">
        <v>-6.5410830000000003E-2</v>
      </c>
      <c r="X4945">
        <v>0.99783069999999896</v>
      </c>
      <c r="Y4945">
        <v>-3.4365010000000001E-2</v>
      </c>
      <c r="Z4945">
        <v>2.6612670000000001E-2</v>
      </c>
      <c r="AA4945">
        <v>0.99905500000000003</v>
      </c>
      <c r="AB4945">
        <v>22</v>
      </c>
      <c r="AC4945">
        <v>0.91110000000003299</v>
      </c>
      <c r="AD4945">
        <v>-1.12131221093</v>
      </c>
      <c r="AE4945">
        <v>-27.852169999999902</v>
      </c>
      <c r="AF4945">
        <v>-0.96350304604974002</v>
      </c>
      <c r="AG4945">
        <v>-1.12131221093</v>
      </c>
      <c r="AH4945">
        <v>27.805333134700799</v>
      </c>
      <c r="AI4945">
        <v>92.307945336737006</v>
      </c>
      <c r="AJ4945">
        <v>91.984604111486206</v>
      </c>
      <c r="AK4945">
        <v>27.844608633015799</v>
      </c>
      <c r="AL4945">
        <v>93.750442067813395</v>
      </c>
      <c r="AM4945">
        <v>89.572733283175097</v>
      </c>
      <c r="AN4945">
        <v>1.00000002679225</v>
      </c>
    </row>
    <row r="4946" spans="1:40" x14ac:dyDescent="0.25">
      <c r="A4946" t="str">
        <f>"20190303154615361"</f>
        <v>20190303154615361</v>
      </c>
      <c r="B4946" t="str">
        <f>"1551599175355761"</f>
        <v>1551599175355761</v>
      </c>
      <c r="C4946" t="s">
        <v>40</v>
      </c>
      <c r="D4946">
        <v>5.1454639999999996</v>
      </c>
      <c r="E4946">
        <v>0.48342560000000001</v>
      </c>
      <c r="F4946" t="s">
        <v>41</v>
      </c>
      <c r="G4946">
        <v>-420.90179999999998</v>
      </c>
      <c r="H4946" s="1">
        <v>-2.325769E-6</v>
      </c>
      <c r="I4946">
        <v>64.451189999999997</v>
      </c>
      <c r="J4946">
        <v>-421.84969999999998</v>
      </c>
      <c r="K4946">
        <v>1.121232</v>
      </c>
      <c r="L4946">
        <v>91.817750000000004</v>
      </c>
      <c r="M4946">
        <v>-1.55186E-3</v>
      </c>
      <c r="N4946">
        <v>-1.311117E-2</v>
      </c>
      <c r="O4946">
        <v>-0.99991289999999999</v>
      </c>
      <c r="P4946">
        <v>-8.0462559999999999E-3</v>
      </c>
      <c r="Q4946">
        <v>-7.9306689999999999E-2</v>
      </c>
      <c r="R4946">
        <v>-0.99681810000000004</v>
      </c>
      <c r="S4946">
        <v>0.10321039999999999</v>
      </c>
      <c r="T4946">
        <v>-0.12208380000000001</v>
      </c>
      <c r="U4946">
        <v>-3.0007929999999998</v>
      </c>
      <c r="V4946">
        <v>6.5353609999999999E-3</v>
      </c>
      <c r="W4946">
        <v>-6.6226729999999998E-2</v>
      </c>
      <c r="X4946">
        <v>0.99778319999999998</v>
      </c>
      <c r="Y4946">
        <v>-3.5899420000000001E-2</v>
      </c>
      <c r="Z4946">
        <v>2.7520860000000001E-2</v>
      </c>
      <c r="AA4946">
        <v>0.99897639999999999</v>
      </c>
      <c r="AB4946">
        <v>22</v>
      </c>
      <c r="AC4946">
        <v>0.94790000000000396</v>
      </c>
      <c r="AD4946">
        <v>-1.1212343257690001</v>
      </c>
      <c r="AE4946">
        <v>-27.36656</v>
      </c>
      <c r="AF4946">
        <v>-0.98871389046511005</v>
      </c>
      <c r="AG4946">
        <v>-1.1212343257690001</v>
      </c>
      <c r="AH4946">
        <v>27.319252220382399</v>
      </c>
      <c r="AI4946">
        <v>92.348673382655804</v>
      </c>
      <c r="AJ4946">
        <v>92.072692879584693</v>
      </c>
      <c r="AK4946">
        <v>27.360121773328199</v>
      </c>
      <c r="AL4946">
        <v>93.7972913750868</v>
      </c>
      <c r="AM4946">
        <v>89.624724841729005</v>
      </c>
      <c r="AN4946">
        <v>1.00000000245606</v>
      </c>
    </row>
    <row r="4947" spans="1:40" x14ac:dyDescent="0.25">
      <c r="A4947" t="str">
        <f>"20190303154615385"</f>
        <v>20190303154615385</v>
      </c>
      <c r="B4947" t="str">
        <f>"1551599175376257"</f>
        <v>1551599175376257</v>
      </c>
      <c r="C4947" t="s">
        <v>40</v>
      </c>
      <c r="D4947">
        <v>5.1370149999999999</v>
      </c>
      <c r="E4947">
        <v>0.48336580000000001</v>
      </c>
      <c r="F4947" t="s">
        <v>41</v>
      </c>
      <c r="G4947">
        <v>-420.87630000000001</v>
      </c>
      <c r="H4947" s="1">
        <v>-2.4809569999999999E-6</v>
      </c>
      <c r="I4947">
        <v>64.828769999999906</v>
      </c>
      <c r="J4947">
        <v>-421.84949999999998</v>
      </c>
      <c r="K4947">
        <v>1.1211439999999999</v>
      </c>
      <c r="L4947">
        <v>91.594300000000004</v>
      </c>
      <c r="M4947">
        <v>-1.140538E-3</v>
      </c>
      <c r="N4947">
        <v>-1.286818E-2</v>
      </c>
      <c r="O4947">
        <v>-0.99991669999999999</v>
      </c>
      <c r="P4947">
        <v>-6.9065209999999997E-3</v>
      </c>
      <c r="Q4947">
        <v>-7.8996029999999995E-2</v>
      </c>
      <c r="R4947">
        <v>-0.99685109999999999</v>
      </c>
      <c r="S4947">
        <v>0.1082153</v>
      </c>
      <c r="T4947">
        <v>-0.12465519999999999</v>
      </c>
      <c r="U4947">
        <v>-3.0005489999999999</v>
      </c>
      <c r="V4947">
        <v>5.8011180000000001E-3</v>
      </c>
      <c r="W4947">
        <v>-6.6158999999999996E-2</v>
      </c>
      <c r="X4947">
        <v>0.99779220000000002</v>
      </c>
      <c r="Y4947">
        <v>-3.7153850000000002E-2</v>
      </c>
      <c r="Z4947">
        <v>2.8619720000000001E-2</v>
      </c>
      <c r="AA4947">
        <v>0.9988996</v>
      </c>
      <c r="AB4947">
        <v>22</v>
      </c>
      <c r="AC4947">
        <v>0.97319999999996298</v>
      </c>
      <c r="AD4947">
        <v>-1.121146480957</v>
      </c>
      <c r="AE4947">
        <v>-26.765529999999998</v>
      </c>
      <c r="AF4947">
        <v>-1.0019732737569</v>
      </c>
      <c r="AG4947">
        <v>-1.121146480957</v>
      </c>
      <c r="AH4947">
        <v>26.717586293194799</v>
      </c>
      <c r="AI4947">
        <v>92.401199366488498</v>
      </c>
      <c r="AJ4947">
        <v>92.147722028846303</v>
      </c>
      <c r="AK4947">
        <v>26.759864297252999</v>
      </c>
      <c r="AL4947">
        <v>93.7934023244987</v>
      </c>
      <c r="AM4947">
        <v>89.666888724029903</v>
      </c>
      <c r="AN4947">
        <v>0.99999997031594401</v>
      </c>
    </row>
    <row r="4948" spans="1:40" x14ac:dyDescent="0.25">
      <c r="A4948" t="str">
        <f>"20190303154615407"</f>
        <v>20190303154615407</v>
      </c>
      <c r="B4948" t="str">
        <f>"1551599175395777"</f>
        <v>1551599175395777</v>
      </c>
      <c r="C4948" t="s">
        <v>40</v>
      </c>
      <c r="D4948">
        <v>5.1588279999999997</v>
      </c>
      <c r="E4948">
        <v>0.48343180000000002</v>
      </c>
      <c r="F4948" t="s">
        <v>41</v>
      </c>
      <c r="G4948">
        <v>-420.83730000000003</v>
      </c>
      <c r="H4948" s="1">
        <v>-2.3325629999999999E-6</v>
      </c>
      <c r="I4948">
        <v>64.50703</v>
      </c>
      <c r="J4948">
        <v>-421.84930000000003</v>
      </c>
      <c r="K4948">
        <v>1.1210789999999999</v>
      </c>
      <c r="L4948">
        <v>91.373810000000006</v>
      </c>
      <c r="M4948">
        <v>-7.6147569999999998E-4</v>
      </c>
      <c r="N4948">
        <v>-1.261605E-2</v>
      </c>
      <c r="O4948">
        <v>-0.99992020000000004</v>
      </c>
      <c r="P4948">
        <v>-5.4985370000000004E-3</v>
      </c>
      <c r="Q4948">
        <v>-7.7596100000000001E-2</v>
      </c>
      <c r="R4948">
        <v>-0.99697000000000002</v>
      </c>
      <c r="S4948">
        <v>0.1121216</v>
      </c>
      <c r="T4948">
        <v>-0.1241882</v>
      </c>
      <c r="U4948">
        <v>-3.0004270000000002</v>
      </c>
      <c r="V4948">
        <v>4.7670840000000004E-3</v>
      </c>
      <c r="W4948">
        <v>-6.5010040000000005E-2</v>
      </c>
      <c r="X4948">
        <v>0.99787320000000002</v>
      </c>
      <c r="Y4948">
        <v>-3.8075110000000002E-2</v>
      </c>
      <c r="Z4948">
        <v>2.8716620000000002E-2</v>
      </c>
      <c r="AA4948">
        <v>0.99886209999999997</v>
      </c>
      <c r="AB4948">
        <v>22</v>
      </c>
      <c r="AC4948">
        <v>1.012</v>
      </c>
      <c r="AD4948">
        <v>-1.121081332563</v>
      </c>
      <c r="AE4948">
        <v>-26.866779999999899</v>
      </c>
      <c r="AF4948">
        <v>-1.0306677007879701</v>
      </c>
      <c r="AG4948">
        <v>-1.121081332563</v>
      </c>
      <c r="AH4948">
        <v>26.819370416564499</v>
      </c>
      <c r="AI4948">
        <v>92.391874150791196</v>
      </c>
      <c r="AJ4948">
        <v>92.200792305539494</v>
      </c>
      <c r="AK4948">
        <v>26.862571150293199</v>
      </c>
      <c r="AL4948">
        <v>93.727429697846503</v>
      </c>
      <c r="AM4948">
        <v>89.726286149395193</v>
      </c>
      <c r="AN4948">
        <v>0.99999997683445196</v>
      </c>
    </row>
    <row r="4949" spans="1:40" x14ac:dyDescent="0.25">
      <c r="A4949" t="str">
        <f>"20190303154615429"</f>
        <v>20190303154615429</v>
      </c>
      <c r="B4949" t="str">
        <f>"1551599175426033"</f>
        <v>1551599175426033</v>
      </c>
      <c r="C4949" t="s">
        <v>40</v>
      </c>
      <c r="D4949">
        <v>5.1543559999999999</v>
      </c>
      <c r="E4949">
        <v>0.48353269999999998</v>
      </c>
      <c r="F4949" t="s">
        <v>41</v>
      </c>
      <c r="G4949">
        <v>-420.7654</v>
      </c>
      <c r="H4949" s="1">
        <v>-1.797755E-6</v>
      </c>
      <c r="I4949">
        <v>63.305030000000002</v>
      </c>
      <c r="J4949">
        <v>-421.84910000000002</v>
      </c>
      <c r="K4949">
        <v>1.1210230000000001</v>
      </c>
      <c r="L4949">
        <v>91.145200000000003</v>
      </c>
      <c r="M4949">
        <v>-3.9660610000000001E-4</v>
      </c>
      <c r="N4949">
        <v>-1.23199E-2</v>
      </c>
      <c r="O4949">
        <v>-0.99992400000000004</v>
      </c>
      <c r="P4949">
        <v>-4.7121480000000002E-3</v>
      </c>
      <c r="Q4949">
        <v>-7.7508649999999998E-2</v>
      </c>
      <c r="R4949">
        <v>-0.99698050000000005</v>
      </c>
      <c r="S4949">
        <v>0.1158752</v>
      </c>
      <c r="T4949">
        <v>-0.1198398</v>
      </c>
      <c r="U4949">
        <v>-3.0004580000000001</v>
      </c>
      <c r="V4949">
        <v>4.3423719999999997E-3</v>
      </c>
      <c r="W4949">
        <v>-6.521834E-2</v>
      </c>
      <c r="X4949">
        <v>0.99786160000000002</v>
      </c>
      <c r="Y4949">
        <v>-3.8959569999999999E-2</v>
      </c>
      <c r="Z4949">
        <v>2.756548E-2</v>
      </c>
      <c r="AA4949">
        <v>0.99886050000000004</v>
      </c>
      <c r="AB4949">
        <v>22</v>
      </c>
      <c r="AC4949">
        <v>1.0837000000000201</v>
      </c>
      <c r="AD4949">
        <v>-1.1210247977550001</v>
      </c>
      <c r="AE4949">
        <v>-27.840170000000001</v>
      </c>
      <c r="AF4949">
        <v>-1.0929728834869601</v>
      </c>
      <c r="AG4949">
        <v>-1.1210247977550001</v>
      </c>
      <c r="AH4949">
        <v>27.794740127916299</v>
      </c>
      <c r="AI4949">
        <v>92.307835024097798</v>
      </c>
      <c r="AJ4949">
        <v>92.251882375715894</v>
      </c>
      <c r="AK4949">
        <v>27.838801430730101</v>
      </c>
      <c r="AL4949">
        <v>93.739389589868793</v>
      </c>
      <c r="AM4949">
        <v>89.750668812008001</v>
      </c>
      <c r="AN4949">
        <v>1.0000000304107499</v>
      </c>
    </row>
    <row r="4950" spans="1:40" x14ac:dyDescent="0.25">
      <c r="A4950" t="str">
        <f>"20190303154615451"</f>
        <v>20190303154615451</v>
      </c>
      <c r="B4950" t="str">
        <f>"1551599175446529"</f>
        <v>1551599175446529</v>
      </c>
      <c r="C4950" t="s">
        <v>40</v>
      </c>
      <c r="D4950">
        <v>5.1548290000000003</v>
      </c>
      <c r="E4950">
        <v>0.48361209999999999</v>
      </c>
      <c r="F4950" t="s">
        <v>41</v>
      </c>
      <c r="G4950">
        <v>-420.75740000000002</v>
      </c>
      <c r="H4950" s="1">
        <v>-1.751941E-6</v>
      </c>
      <c r="I4950">
        <v>63.203159999999997</v>
      </c>
      <c r="J4950">
        <v>-421.84879999999998</v>
      </c>
      <c r="K4950">
        <v>1.120965</v>
      </c>
      <c r="L4950">
        <v>90.930909999999997</v>
      </c>
      <c r="M4950" s="1">
        <v>-7.5219069999999896E-5</v>
      </c>
      <c r="N4950">
        <v>-1.199743E-2</v>
      </c>
      <c r="O4950">
        <v>-0.99992809999999999</v>
      </c>
      <c r="P4950">
        <v>-4.1935749999999997E-3</v>
      </c>
      <c r="Q4950">
        <v>-7.7741270000000001E-2</v>
      </c>
      <c r="R4950">
        <v>-0.99696479999999998</v>
      </c>
      <c r="S4950">
        <v>0.117218</v>
      </c>
      <c r="T4950">
        <v>-0.1203712</v>
      </c>
      <c r="U4950">
        <v>-3.000305</v>
      </c>
      <c r="V4950">
        <v>4.1433279999999999E-3</v>
      </c>
      <c r="W4950">
        <v>-6.5773100000000001E-2</v>
      </c>
      <c r="X4950">
        <v>0.99782599999999999</v>
      </c>
      <c r="Y4950">
        <v>-3.9086500000000003E-2</v>
      </c>
      <c r="Z4950">
        <v>2.8066150000000002E-2</v>
      </c>
      <c r="AA4950">
        <v>0.9988416</v>
      </c>
      <c r="AB4950">
        <v>22</v>
      </c>
      <c r="AC4950">
        <v>1.09139999999996</v>
      </c>
      <c r="AD4950">
        <v>-1.120966751941</v>
      </c>
      <c r="AE4950">
        <v>-27.72775</v>
      </c>
      <c r="AF4950">
        <v>-1.0917042899023</v>
      </c>
      <c r="AG4950">
        <v>-1.120966751941</v>
      </c>
      <c r="AH4950">
        <v>27.6824937663818</v>
      </c>
      <c r="AI4950">
        <v>92.317052411494899</v>
      </c>
      <c r="AJ4950">
        <v>92.258382214334304</v>
      </c>
      <c r="AK4950">
        <v>27.7266811183977</v>
      </c>
      <c r="AL4950">
        <v>93.771243516780999</v>
      </c>
      <c r="AM4950">
        <v>89.762088938192704</v>
      </c>
      <c r="AN4950">
        <v>0.99999999706326204</v>
      </c>
    </row>
    <row r="4951" spans="1:40" x14ac:dyDescent="0.25">
      <c r="A4951" t="str">
        <f>"20190303154615474"</f>
        <v>20190303154615474</v>
      </c>
      <c r="B4951" t="str">
        <f>"1551599175465810"</f>
        <v>1551599175465810</v>
      </c>
      <c r="C4951" t="s">
        <v>40</v>
      </c>
      <c r="D4951">
        <v>5.1543130000000001</v>
      </c>
      <c r="E4951">
        <v>0.48372860000000001</v>
      </c>
      <c r="F4951" t="s">
        <v>41</v>
      </c>
      <c r="G4951">
        <v>-420.75700000000001</v>
      </c>
      <c r="H4951" s="1">
        <v>-1.7546929999999999E-6</v>
      </c>
      <c r="I4951">
        <v>63.209859999999999</v>
      </c>
      <c r="J4951">
        <v>-421.84840000000003</v>
      </c>
      <c r="K4951">
        <v>1.120897</v>
      </c>
      <c r="L4951">
        <v>90.703130000000002</v>
      </c>
      <c r="M4951">
        <v>2.5151919999999998E-4</v>
      </c>
      <c r="N4951">
        <v>-1.1608759999999999E-2</v>
      </c>
      <c r="O4951">
        <v>-0.99993259999999995</v>
      </c>
      <c r="P4951">
        <v>-3.9098709999999997E-3</v>
      </c>
      <c r="Q4951">
        <v>-7.7384679999999997E-2</v>
      </c>
      <c r="R4951">
        <v>-0.99699369999999998</v>
      </c>
      <c r="S4951">
        <v>0.11816409999999999</v>
      </c>
      <c r="T4951">
        <v>-0.1213195</v>
      </c>
      <c r="U4951">
        <v>-3.0001829999999998</v>
      </c>
      <c r="V4951">
        <v>4.1848980000000003E-3</v>
      </c>
      <c r="W4951">
        <v>-6.5804109999999999E-2</v>
      </c>
      <c r="X4951">
        <v>0.99782380000000004</v>
      </c>
      <c r="Y4951">
        <v>-3.9075680000000002E-2</v>
      </c>
      <c r="Z4951">
        <v>2.8771339999999999E-2</v>
      </c>
      <c r="AA4951">
        <v>0.99882199999999999</v>
      </c>
      <c r="AB4951">
        <v>22</v>
      </c>
      <c r="AC4951">
        <v>1.0914000000000701</v>
      </c>
      <c r="AD4951">
        <v>-1.120898754693</v>
      </c>
      <c r="AE4951">
        <v>-27.493269999999999</v>
      </c>
      <c r="AF4951">
        <v>-1.0826876161086001</v>
      </c>
      <c r="AG4951">
        <v>-1.120898754693</v>
      </c>
      <c r="AH4951">
        <v>27.447991734523399</v>
      </c>
      <c r="AI4951">
        <v>92.336683937751005</v>
      </c>
      <c r="AJ4951">
        <v>92.258864279409096</v>
      </c>
      <c r="AK4951">
        <v>27.492196651974002</v>
      </c>
      <c r="AL4951">
        <v>93.773024048447596</v>
      </c>
      <c r="AM4951">
        <v>89.759701475122696</v>
      </c>
      <c r="AN4951">
        <v>1.0000000150552999</v>
      </c>
    </row>
    <row r="4952" spans="1:40" x14ac:dyDescent="0.25">
      <c r="A4952" t="str">
        <f>"20190303154615498"</f>
        <v>20190303154615498</v>
      </c>
      <c r="B4952" t="str">
        <f>"1551599175486306"</f>
        <v>1551599175486306</v>
      </c>
      <c r="C4952" t="s">
        <v>40</v>
      </c>
      <c r="D4952">
        <v>5.1509109999999998</v>
      </c>
      <c r="E4952">
        <v>0.48388979999999998</v>
      </c>
      <c r="F4952" t="s">
        <v>41</v>
      </c>
      <c r="G4952">
        <v>-420.74930000000001</v>
      </c>
      <c r="H4952" s="1">
        <v>-1.566155E-6</v>
      </c>
      <c r="I4952">
        <v>62.77514</v>
      </c>
      <c r="J4952">
        <v>-421.84789999999998</v>
      </c>
      <c r="K4952">
        <v>1.1208290000000001</v>
      </c>
      <c r="L4952">
        <v>90.459050000000005</v>
      </c>
      <c r="M4952">
        <v>5.9355430000000004E-4</v>
      </c>
      <c r="N4952">
        <v>-1.1150429999999999E-2</v>
      </c>
      <c r="O4952">
        <v>-0.99993779999999999</v>
      </c>
      <c r="P4952">
        <v>-4.4568860000000002E-3</v>
      </c>
      <c r="Q4952">
        <v>-7.6717030000000005E-2</v>
      </c>
      <c r="R4952">
        <v>-0.99704300000000001</v>
      </c>
      <c r="S4952">
        <v>0.1180725</v>
      </c>
      <c r="T4952">
        <v>-0.12041200000000001</v>
      </c>
      <c r="U4952">
        <v>-3.0001530000000001</v>
      </c>
      <c r="V4952">
        <v>5.0727539999999996E-3</v>
      </c>
      <c r="W4952">
        <v>-6.5592990000000004E-2</v>
      </c>
      <c r="X4952">
        <v>0.99783350000000004</v>
      </c>
      <c r="Y4952">
        <v>-3.8704410000000002E-2</v>
      </c>
      <c r="Z4952">
        <v>2.8928659999999998E-2</v>
      </c>
      <c r="AA4952">
        <v>0.99883189999999999</v>
      </c>
      <c r="AB4952">
        <v>22</v>
      </c>
      <c r="AC4952">
        <v>1.09859999999997</v>
      </c>
      <c r="AD4952">
        <v>-1.120830566155</v>
      </c>
      <c r="AE4952">
        <v>-27.683910000000001</v>
      </c>
      <c r="AF4952">
        <v>-1.08039870637556</v>
      </c>
      <c r="AG4952">
        <v>-1.120830566155</v>
      </c>
      <c r="AH4952">
        <v>27.639322815768999</v>
      </c>
      <c r="AI4952">
        <v>92.320417495434398</v>
      </c>
      <c r="AJ4952">
        <v>92.238505884645605</v>
      </c>
      <c r="AK4952">
        <v>27.683130029623701</v>
      </c>
      <c r="AL4952">
        <v>93.760901880593295</v>
      </c>
      <c r="AM4952">
        <v>89.708724059826594</v>
      </c>
      <c r="AN4952">
        <v>0.99999993344626503</v>
      </c>
    </row>
    <row r="4953" spans="1:40" x14ac:dyDescent="0.25">
      <c r="A4953" t="str">
        <f>"20190303154615542"</f>
        <v>20190303154615542</v>
      </c>
      <c r="B4953" t="str">
        <f>"1551599175536082"</f>
        <v>1551599175536082</v>
      </c>
      <c r="C4953" t="s">
        <v>40</v>
      </c>
      <c r="D4953">
        <v>5.176031</v>
      </c>
      <c r="E4953">
        <v>0.50789019999999996</v>
      </c>
      <c r="F4953" t="s">
        <v>41</v>
      </c>
      <c r="G4953">
        <v>-420.75599999999997</v>
      </c>
      <c r="H4953" s="1">
        <v>-1.2342049999999999E-6</v>
      </c>
      <c r="I4953">
        <v>61.997210000000003</v>
      </c>
      <c r="J4953">
        <v>-421.84699999999998</v>
      </c>
      <c r="K4953">
        <v>1.120714</v>
      </c>
      <c r="L4953">
        <v>90.022980000000004</v>
      </c>
      <c r="M4953">
        <v>1.2011070000000001E-3</v>
      </c>
      <c r="N4953">
        <v>-1.0251929999999999E-2</v>
      </c>
      <c r="O4953">
        <v>-0.99994689999999997</v>
      </c>
      <c r="P4953">
        <v>-5.1284709999999999E-3</v>
      </c>
      <c r="Q4953">
        <v>-7.5635809999999998E-2</v>
      </c>
      <c r="R4953">
        <v>-0.99712239999999996</v>
      </c>
      <c r="S4953">
        <v>0.1151123</v>
      </c>
      <c r="T4953">
        <v>-0.1181536</v>
      </c>
      <c r="U4953">
        <v>-3.0003359999999999</v>
      </c>
      <c r="V4953">
        <v>6.3508610000000002E-3</v>
      </c>
      <c r="W4953">
        <v>-6.5407080000000006E-2</v>
      </c>
      <c r="X4953">
        <v>0.99783840000000001</v>
      </c>
      <c r="Y4953">
        <v>-3.7112310000000003E-2</v>
      </c>
      <c r="Z4953">
        <v>2.9075759999999999E-2</v>
      </c>
      <c r="AA4953">
        <v>0.998888</v>
      </c>
      <c r="AB4953">
        <v>22</v>
      </c>
      <c r="AC4953">
        <v>1.091</v>
      </c>
      <c r="AD4953">
        <v>-1.120715234205</v>
      </c>
      <c r="AE4953">
        <v>-28.025770000000001</v>
      </c>
      <c r="AF4953">
        <v>-1.05564996629847</v>
      </c>
      <c r="AG4953">
        <v>-1.120715234205</v>
      </c>
      <c r="AH4953">
        <v>27.982381358423901</v>
      </c>
      <c r="AI4953">
        <v>92.291884293176295</v>
      </c>
      <c r="AJ4953">
        <v>92.160488679126502</v>
      </c>
      <c r="AK4953">
        <v>28.0247045653615</v>
      </c>
      <c r="AL4953">
        <v>93.750227050848807</v>
      </c>
      <c r="AM4953">
        <v>89.635339130733399</v>
      </c>
      <c r="AN4953">
        <v>0.99999994603206199</v>
      </c>
    </row>
    <row r="4954" spans="1:40" x14ac:dyDescent="0.25">
      <c r="A4954" t="str">
        <f>"20190303154615563"</f>
        <v>20190303154615563</v>
      </c>
      <c r="B4954" t="str">
        <f>"1551599175556578"</f>
        <v>1551599175556578</v>
      </c>
      <c r="C4954" t="s">
        <v>40</v>
      </c>
      <c r="D4954">
        <v>5.1749219999999996</v>
      </c>
      <c r="E4954">
        <v>0.51280800000000004</v>
      </c>
      <c r="F4954" t="s">
        <v>41</v>
      </c>
      <c r="G4954">
        <v>-422.66629999999998</v>
      </c>
      <c r="H4954" s="1">
        <v>-4.4154899999999996E-6</v>
      </c>
      <c r="I4954">
        <v>58.572099999999999</v>
      </c>
      <c r="J4954">
        <v>-421.84629999999999</v>
      </c>
      <c r="K4954">
        <v>1.12066</v>
      </c>
      <c r="L4954">
        <v>89.801509999999993</v>
      </c>
      <c r="M4954">
        <v>1.510422E-3</v>
      </c>
      <c r="N4954">
        <v>-9.8061550000000004E-3</v>
      </c>
      <c r="O4954">
        <v>-0.99995089999999998</v>
      </c>
      <c r="P4954">
        <v>-5.4289250000000002E-3</v>
      </c>
      <c r="Q4954">
        <v>-7.5034100000000006E-2</v>
      </c>
      <c r="R4954">
        <v>-0.99716629999999995</v>
      </c>
      <c r="S4954">
        <v>-7.8155520000000006E-2</v>
      </c>
      <c r="T4954">
        <v>-0.10690719999999999</v>
      </c>
      <c r="U4954">
        <v>-3.0001530000000001</v>
      </c>
      <c r="V4954">
        <v>6.9605500000000002E-3</v>
      </c>
      <c r="W4954">
        <v>-6.524953E-2</v>
      </c>
      <c r="X4954">
        <v>0.99784470000000003</v>
      </c>
      <c r="Y4954">
        <v>2.753684E-2</v>
      </c>
      <c r="Z4954">
        <v>2.5796650000000001E-2</v>
      </c>
      <c r="AA4954">
        <v>0.99928790000000001</v>
      </c>
      <c r="AB4954">
        <v>23</v>
      </c>
      <c r="AC4954">
        <v>-0.81999999999999296</v>
      </c>
      <c r="AD4954">
        <v>-1.1206644154899901</v>
      </c>
      <c r="AE4954">
        <v>-31.229409999999898</v>
      </c>
      <c r="AF4954">
        <v>0.86605643939879695</v>
      </c>
      <c r="AG4954">
        <v>-1.1206644154899901</v>
      </c>
      <c r="AH4954">
        <v>31.1880018244638</v>
      </c>
      <c r="AI4954">
        <v>92.057105752759895</v>
      </c>
      <c r="AJ4954">
        <v>88.409368114284604</v>
      </c>
      <c r="AK4954">
        <v>31.220144142702601</v>
      </c>
      <c r="AL4954">
        <v>93.741180581647797</v>
      </c>
      <c r="AM4954">
        <v>89.600334932138693</v>
      </c>
      <c r="AN4954">
        <v>0.99999999786980598</v>
      </c>
    </row>
    <row r="4955" spans="1:40" x14ac:dyDescent="0.25">
      <c r="A4955" t="str">
        <f>"20190303154615584"</f>
        <v>20190303154615584</v>
      </c>
      <c r="B4955" t="str">
        <f>"1551599175576098"</f>
        <v>1551599175576098</v>
      </c>
      <c r="C4955" t="s">
        <v>40</v>
      </c>
      <c r="D4955">
        <v>5.1787340000000004</v>
      </c>
      <c r="E4955">
        <v>0.51492079999999996</v>
      </c>
      <c r="F4955" t="s">
        <v>41</v>
      </c>
      <c r="G4955">
        <v>-422.92340000000002</v>
      </c>
      <c r="H4955" s="1">
        <v>-2.0556319999999999E-6</v>
      </c>
      <c r="I4955">
        <v>62.56765</v>
      </c>
      <c r="J4955">
        <v>-421.84570000000002</v>
      </c>
      <c r="K4955">
        <v>1.120622</v>
      </c>
      <c r="L4955">
        <v>89.581760000000003</v>
      </c>
      <c r="M4955">
        <v>1.81905E-3</v>
      </c>
      <c r="N4955">
        <v>-9.3972410000000006E-3</v>
      </c>
      <c r="O4955">
        <v>-0.99995429999999996</v>
      </c>
      <c r="P4955">
        <v>-5.4544769999999897E-3</v>
      </c>
      <c r="Q4955">
        <v>-7.5740399999999999E-2</v>
      </c>
      <c r="R4955">
        <v>-0.99711280000000002</v>
      </c>
      <c r="S4955">
        <v>-0.1185913</v>
      </c>
      <c r="T4955">
        <v>-0.123391</v>
      </c>
      <c r="U4955">
        <v>-2.998596</v>
      </c>
      <c r="V4955">
        <v>7.2950799999999998E-3</v>
      </c>
      <c r="W4955">
        <v>-6.6364149999999997E-2</v>
      </c>
      <c r="X4955">
        <v>0.99776880000000001</v>
      </c>
      <c r="Y4955">
        <v>4.1306040000000002E-2</v>
      </c>
      <c r="Z4955">
        <v>3.1689670000000003E-2</v>
      </c>
      <c r="AA4955">
        <v>0.99864390000000003</v>
      </c>
      <c r="AB4955">
        <v>23</v>
      </c>
      <c r="AC4955">
        <v>-1.0776999999999901</v>
      </c>
      <c r="AD4955">
        <v>-1.120624055632</v>
      </c>
      <c r="AE4955">
        <v>-27.014109999999999</v>
      </c>
      <c r="AF4955">
        <v>1.12490769653253</v>
      </c>
      <c r="AG4955">
        <v>-1.120624055632</v>
      </c>
      <c r="AH4955">
        <v>26.965774983587401</v>
      </c>
      <c r="AI4955">
        <v>92.377621498336694</v>
      </c>
      <c r="AJ4955">
        <v>87.6112270128136</v>
      </c>
      <c r="AK4955">
        <v>27.0124829674217</v>
      </c>
      <c r="AL4955">
        <v>93.805182336239895</v>
      </c>
      <c r="AM4955">
        <v>89.581095492677704</v>
      </c>
      <c r="AN4955">
        <v>0.99999999842543397</v>
      </c>
    </row>
    <row r="4956" spans="1:40" x14ac:dyDescent="0.25">
      <c r="A4956" t="str">
        <f>"20190303154615608"</f>
        <v>20190303154615608</v>
      </c>
      <c r="B4956" t="str">
        <f>"1551599175606354"</f>
        <v>1551599175606354</v>
      </c>
      <c r="C4956" t="s">
        <v>40</v>
      </c>
      <c r="D4956">
        <v>5.1869829999999997</v>
      </c>
      <c r="E4956">
        <v>0.51646449999999999</v>
      </c>
      <c r="F4956" t="s">
        <v>41</v>
      </c>
      <c r="G4956">
        <v>-423.04500000000002</v>
      </c>
      <c r="H4956" s="1">
        <v>-2.2795229999999999E-6</v>
      </c>
      <c r="I4956">
        <v>63.014150000000001</v>
      </c>
      <c r="J4956">
        <v>-421.8449</v>
      </c>
      <c r="K4956">
        <v>1.1205879999999999</v>
      </c>
      <c r="L4956">
        <v>89.338989999999995</v>
      </c>
      <c r="M4956">
        <v>2.162153E-3</v>
      </c>
      <c r="N4956">
        <v>-8.9740169999999904E-3</v>
      </c>
      <c r="O4956">
        <v>-0.9999574</v>
      </c>
      <c r="P4956">
        <v>-5.5410479999999998E-3</v>
      </c>
      <c r="Q4956">
        <v>-7.5706330000000002E-2</v>
      </c>
      <c r="R4956">
        <v>-0.99711499999999997</v>
      </c>
      <c r="S4956">
        <v>-0.13534549999999901</v>
      </c>
      <c r="T4956">
        <v>-0.12646949999999901</v>
      </c>
      <c r="U4956">
        <v>-2.9983219999999999</v>
      </c>
      <c r="V4956">
        <v>7.7249349999999996E-3</v>
      </c>
      <c r="W4956">
        <v>-6.6752080000000005E-2</v>
      </c>
      <c r="X4956">
        <v>0.99773970000000001</v>
      </c>
      <c r="Y4956">
        <v>4.7218839999999998E-2</v>
      </c>
      <c r="Z4956">
        <v>3.3129390000000002E-2</v>
      </c>
      <c r="AA4956">
        <v>0.99833499999999997</v>
      </c>
      <c r="AB4956">
        <v>23</v>
      </c>
      <c r="AC4956">
        <v>-1.2001000000000199</v>
      </c>
      <c r="AD4956">
        <v>-1.1205902795229901</v>
      </c>
      <c r="AE4956">
        <v>-26.324839999999899</v>
      </c>
      <c r="AF4956">
        <v>1.25474890745524</v>
      </c>
      <c r="AG4956">
        <v>-1.1205902795229901</v>
      </c>
      <c r="AH4956">
        <v>26.2746721519582</v>
      </c>
      <c r="AI4956">
        <v>92.439355031097406</v>
      </c>
      <c r="AJ4956">
        <v>87.265912963694305</v>
      </c>
      <c r="AK4956">
        <v>26.328473447737299</v>
      </c>
      <c r="AL4956">
        <v>93.827458432829701</v>
      </c>
      <c r="AM4956">
        <v>89.556400002147598</v>
      </c>
      <c r="AN4956">
        <v>1.0000000118805801</v>
      </c>
    </row>
    <row r="4957" spans="1:40" x14ac:dyDescent="0.25">
      <c r="A4957" t="str">
        <f>"20190303154615630"</f>
        <v>20190303154615630</v>
      </c>
      <c r="B4957" t="str">
        <f>"1551599175625874"</f>
        <v>1551599175625874</v>
      </c>
      <c r="C4957" t="s">
        <v>40</v>
      </c>
      <c r="D4957">
        <v>5.2105600000000001</v>
      </c>
      <c r="E4957">
        <v>0.51692039999999995</v>
      </c>
      <c r="F4957" t="s">
        <v>41</v>
      </c>
      <c r="G4957">
        <v>-423.13470000000001</v>
      </c>
      <c r="H4957" s="1">
        <v>-2.402575E-6</v>
      </c>
      <c r="I4957">
        <v>63.245359999999998</v>
      </c>
      <c r="J4957">
        <v>-421.84410000000003</v>
      </c>
      <c r="K4957">
        <v>1.120557</v>
      </c>
      <c r="L4957">
        <v>89.115840000000006</v>
      </c>
      <c r="M4957">
        <v>2.4791489999999999E-3</v>
      </c>
      <c r="N4957">
        <v>-8.6113700000000001E-3</v>
      </c>
      <c r="O4957">
        <v>-0.99995999999999996</v>
      </c>
      <c r="P4957">
        <v>-5.9290509999999899E-3</v>
      </c>
      <c r="Q4957">
        <v>-7.5348650000000003E-2</v>
      </c>
      <c r="R4957">
        <v>-0.99714000000000003</v>
      </c>
      <c r="S4957">
        <v>-0.1481934</v>
      </c>
      <c r="T4957">
        <v>-0.12875239999999999</v>
      </c>
      <c r="U4957">
        <v>-2.9980769999999999</v>
      </c>
      <c r="V4957">
        <v>8.4299560000000006E-3</v>
      </c>
      <c r="W4957">
        <v>-6.6755640000000005E-2</v>
      </c>
      <c r="X4957">
        <v>0.9977338</v>
      </c>
      <c r="Y4957">
        <v>5.180481E-2</v>
      </c>
      <c r="Z4957">
        <v>3.4244749999999997E-2</v>
      </c>
      <c r="AA4957">
        <v>0.99806989999999995</v>
      </c>
      <c r="AB4957">
        <v>23</v>
      </c>
      <c r="AC4957">
        <v>-1.29059999999998</v>
      </c>
      <c r="AD4957">
        <v>-1.1205594025749901</v>
      </c>
      <c r="AE4957">
        <v>-25.870480000000001</v>
      </c>
      <c r="AF4957">
        <v>1.3522045754694401</v>
      </c>
      <c r="AG4957">
        <v>-1.1205594025749901</v>
      </c>
      <c r="AH4957">
        <v>25.818881695466999</v>
      </c>
      <c r="AI4957">
        <v>92.481724540570497</v>
      </c>
      <c r="AJ4957">
        <v>87.002004326725995</v>
      </c>
      <c r="AK4957">
        <v>25.878538648717001</v>
      </c>
      <c r="AL4957">
        <v>93.827662686350095</v>
      </c>
      <c r="AM4957">
        <v>89.515913555911496</v>
      </c>
      <c r="AN4957">
        <v>1.0000000576462</v>
      </c>
    </row>
    <row r="4958" spans="1:40" x14ac:dyDescent="0.25">
      <c r="A4958" t="str">
        <f>"20190303154615653"</f>
        <v>20190303154615653</v>
      </c>
      <c r="B4958" t="str">
        <f>"1551599175646370"</f>
        <v>1551599175646370</v>
      </c>
      <c r="C4958" t="s">
        <v>40</v>
      </c>
      <c r="D4958">
        <v>5.2019209999999996</v>
      </c>
      <c r="E4958">
        <v>0.51687529999999904</v>
      </c>
      <c r="F4958" t="s">
        <v>41</v>
      </c>
      <c r="G4958">
        <v>-423.18700000000001</v>
      </c>
      <c r="H4958" s="1">
        <v>-2.23622E-6</v>
      </c>
      <c r="I4958">
        <v>62.825130000000001</v>
      </c>
      <c r="J4958">
        <v>-421.84309999999999</v>
      </c>
      <c r="K4958">
        <v>1.1205339999999999</v>
      </c>
      <c r="L4958">
        <v>88.883390000000006</v>
      </c>
      <c r="M4958">
        <v>2.810908E-3</v>
      </c>
      <c r="N4958">
        <v>-8.2690990000000002E-3</v>
      </c>
      <c r="O4958">
        <v>-0.99996200000000002</v>
      </c>
      <c r="P4958">
        <v>-6.7533180000000003E-3</v>
      </c>
      <c r="Q4958">
        <v>-7.5231870000000006E-2</v>
      </c>
      <c r="R4958">
        <v>-0.99714340000000001</v>
      </c>
      <c r="S4958">
        <v>-0.1531372</v>
      </c>
      <c r="T4958">
        <v>-0.12778229999999999</v>
      </c>
      <c r="U4958">
        <v>-2.9980470000000001</v>
      </c>
      <c r="V4958">
        <v>9.5859440000000008E-3</v>
      </c>
      <c r="W4958">
        <v>-6.6979780000000003E-2</v>
      </c>
      <c r="X4958">
        <v>0.99770829999999999</v>
      </c>
      <c r="Y4958">
        <v>5.3778380000000001E-2</v>
      </c>
      <c r="Z4958">
        <v>3.4260829999999999E-2</v>
      </c>
      <c r="AA4958">
        <v>0.99796499999999999</v>
      </c>
      <c r="AB4958">
        <v>23</v>
      </c>
      <c r="AC4958">
        <v>-1.3438999999999599</v>
      </c>
      <c r="AD4958">
        <v>-1.12053623622</v>
      </c>
      <c r="AE4958">
        <v>-26.058260000000001</v>
      </c>
      <c r="AF4958">
        <v>1.41453587268606</v>
      </c>
      <c r="AG4958">
        <v>-1.12053623622</v>
      </c>
      <c r="AH4958">
        <v>26.006418370809602</v>
      </c>
      <c r="AI4958">
        <v>92.463535202418598</v>
      </c>
      <c r="AJ4958">
        <v>86.886647327632204</v>
      </c>
      <c r="AK4958">
        <v>26.068952983757999</v>
      </c>
      <c r="AL4958">
        <v>93.840533927058402</v>
      </c>
      <c r="AM4958">
        <v>89.449521233499397</v>
      </c>
      <c r="AN4958">
        <v>1.00000001657005</v>
      </c>
    </row>
    <row r="4959" spans="1:40" x14ac:dyDescent="0.25">
      <c r="A4959" t="str">
        <f>"20190303154615674"</f>
        <v>20190303154615674</v>
      </c>
      <c r="B4959" t="str">
        <f>"1551599175665890"</f>
        <v>1551599175665890</v>
      </c>
      <c r="C4959" t="s">
        <v>40</v>
      </c>
      <c r="D4959">
        <v>5.243811</v>
      </c>
      <c r="E4959">
        <v>0.51704919999999999</v>
      </c>
      <c r="F4959" t="s">
        <v>41</v>
      </c>
      <c r="G4959">
        <v>-423.2081</v>
      </c>
      <c r="H4959" s="1">
        <v>-2.1106909999999999E-6</v>
      </c>
      <c r="I4959">
        <v>62.519440000000003</v>
      </c>
      <c r="J4959">
        <v>-421.84219999999999</v>
      </c>
      <c r="K4959">
        <v>1.120511</v>
      </c>
      <c r="L4959">
        <v>88.654079999999993</v>
      </c>
      <c r="M4959">
        <v>3.1387009999999998E-3</v>
      </c>
      <c r="N4959">
        <v>-7.9702260000000004E-3</v>
      </c>
      <c r="O4959">
        <v>-0.99996359999999995</v>
      </c>
      <c r="P4959">
        <v>-7.08663E-3</v>
      </c>
      <c r="Q4959">
        <v>-7.5246209999999994E-2</v>
      </c>
      <c r="R4959">
        <v>-0.99714009999999997</v>
      </c>
      <c r="S4959">
        <v>-0.1552124</v>
      </c>
      <c r="T4959">
        <v>-0.127420899999999</v>
      </c>
      <c r="U4959">
        <v>-2.9979550000000001</v>
      </c>
      <c r="V4959">
        <v>1.024685E-2</v>
      </c>
      <c r="W4959">
        <v>-6.7291980000000001E-2</v>
      </c>
      <c r="X4959">
        <v>0.99768069999999998</v>
      </c>
      <c r="Y4959">
        <v>5.4796190000000002E-2</v>
      </c>
      <c r="Z4959">
        <v>3.4438679999999999E-2</v>
      </c>
      <c r="AA4959">
        <v>0.99790350000000005</v>
      </c>
      <c r="AB4959">
        <v>23</v>
      </c>
      <c r="AC4959">
        <v>-1.3659000000000101</v>
      </c>
      <c r="AD4959">
        <v>-1.120513110691</v>
      </c>
      <c r="AE4959">
        <v>-26.134640000000001</v>
      </c>
      <c r="AF4959">
        <v>1.445275157085</v>
      </c>
      <c r="AG4959">
        <v>-1.120513110691</v>
      </c>
      <c r="AH4959">
        <v>26.082409004521399</v>
      </c>
      <c r="AI4959">
        <v>92.4561789303349</v>
      </c>
      <c r="AJ4959">
        <v>86.828376971214198</v>
      </c>
      <c r="AK4959">
        <v>26.146442002499299</v>
      </c>
      <c r="AL4959">
        <v>93.858462205910897</v>
      </c>
      <c r="AM4959">
        <v>89.411554602767197</v>
      </c>
      <c r="AN4959">
        <v>0.99999999382986604</v>
      </c>
    </row>
    <row r="4960" spans="1:40" x14ac:dyDescent="0.25">
      <c r="A4960" t="str">
        <f>"20190303154615698"</f>
        <v>20190303154615698</v>
      </c>
      <c r="B4960" t="str">
        <f>"1551599175686386"</f>
        <v>1551599175686386</v>
      </c>
      <c r="C4960" t="s">
        <v>40</v>
      </c>
      <c r="D4960">
        <v>5.3028839999999997</v>
      </c>
      <c r="E4960">
        <v>0.51702170000000003</v>
      </c>
      <c r="F4960" t="s">
        <v>41</v>
      </c>
      <c r="G4960">
        <v>-423.23390000000001</v>
      </c>
      <c r="H4960" s="1">
        <v>-1.9428989999999998E-6</v>
      </c>
      <c r="I4960">
        <v>62.112319999999997</v>
      </c>
      <c r="J4960">
        <v>-421.84109999999998</v>
      </c>
      <c r="K4960">
        <v>1.1204889999999901</v>
      </c>
      <c r="L4960">
        <v>88.413600000000002</v>
      </c>
      <c r="M4960">
        <v>3.4807890000000002E-3</v>
      </c>
      <c r="N4960">
        <v>-7.6946139999999998E-3</v>
      </c>
      <c r="O4960">
        <v>-0.99996459999999998</v>
      </c>
      <c r="P4960">
        <v>-7.7959290000000001E-3</v>
      </c>
      <c r="Q4960">
        <v>-7.5435240000000001E-2</v>
      </c>
      <c r="R4960">
        <v>-0.99712040000000002</v>
      </c>
      <c r="S4960">
        <v>-0.157196</v>
      </c>
      <c r="T4960">
        <v>-0.1265646</v>
      </c>
      <c r="U4960">
        <v>-2.9979550000000001</v>
      </c>
      <c r="V4960">
        <v>1.129779E-2</v>
      </c>
      <c r="W4960">
        <v>-6.7755629999999997E-2</v>
      </c>
      <c r="X4960">
        <v>0.99763800000000002</v>
      </c>
      <c r="Y4960">
        <v>5.5796539999999999E-2</v>
      </c>
      <c r="Z4960">
        <v>3.4427579999999999E-2</v>
      </c>
      <c r="AA4960">
        <v>0.99784850000000003</v>
      </c>
      <c r="AB4960">
        <v>23</v>
      </c>
      <c r="AC4960">
        <v>-1.39280000000002</v>
      </c>
      <c r="AD4960">
        <v>-1.12049094289899</v>
      </c>
      <c r="AE4960">
        <v>-26.301279999999998</v>
      </c>
      <c r="AF4960">
        <v>1.4816618429887101</v>
      </c>
      <c r="AG4960">
        <v>-1.12049094289899</v>
      </c>
      <c r="AH4960">
        <v>26.248765689214601</v>
      </c>
      <c r="AI4960">
        <v>92.440442404999303</v>
      </c>
      <c r="AJ4960">
        <v>86.769258420598007</v>
      </c>
      <c r="AK4960">
        <v>26.314416618602401</v>
      </c>
      <c r="AL4960">
        <v>93.885088053305395</v>
      </c>
      <c r="AM4960">
        <v>89.351179470659602</v>
      </c>
      <c r="AN4960">
        <v>1.00000002224979</v>
      </c>
    </row>
    <row r="4961" spans="1:40" x14ac:dyDescent="0.25">
      <c r="A4961" t="str">
        <f>"20190303154615720"</f>
        <v>20190303154615720</v>
      </c>
      <c r="B4961" t="str">
        <f>"1551599175716642"</f>
        <v>1551599175716642</v>
      </c>
      <c r="C4961" t="s">
        <v>40</v>
      </c>
      <c r="D4961">
        <v>5.2274900000000004</v>
      </c>
      <c r="E4961">
        <v>0.51706200000000002</v>
      </c>
      <c r="F4961" t="s">
        <v>41</v>
      </c>
      <c r="G4961">
        <v>-423.24079999999998</v>
      </c>
      <c r="H4961" s="1">
        <v>-1.942684E-6</v>
      </c>
      <c r="I4961">
        <v>62.107489999999999</v>
      </c>
      <c r="J4961">
        <v>-421.83980000000003</v>
      </c>
      <c r="K4961">
        <v>1.120474</v>
      </c>
      <c r="L4961">
        <v>88.176609999999997</v>
      </c>
      <c r="M4961">
        <v>3.8124750000000001E-3</v>
      </c>
      <c r="N4961">
        <v>-7.4565330000000004E-3</v>
      </c>
      <c r="O4961">
        <v>-0.99996510000000005</v>
      </c>
      <c r="P4961">
        <v>-7.9868449999999994E-3</v>
      </c>
      <c r="Q4961">
        <v>-7.5584719999999994E-2</v>
      </c>
      <c r="R4961">
        <v>-0.99710759999999998</v>
      </c>
      <c r="S4961">
        <v>-0.1595154</v>
      </c>
      <c r="T4961">
        <v>-0.1276881</v>
      </c>
      <c r="U4961">
        <v>-2.9977719999999999</v>
      </c>
      <c r="V4961">
        <v>1.181956E-2</v>
      </c>
      <c r="W4961">
        <v>-6.8142540000000001E-2</v>
      </c>
      <c r="X4961">
        <v>0.99760559999999998</v>
      </c>
      <c r="Y4961">
        <v>5.6899720000000001E-2</v>
      </c>
      <c r="Z4961">
        <v>3.5039069999999999E-2</v>
      </c>
      <c r="AA4961">
        <v>0.99776480000000001</v>
      </c>
      <c r="AB4961">
        <v>23</v>
      </c>
      <c r="AC4961">
        <v>-1.4009999999999501</v>
      </c>
      <c r="AD4961">
        <v>-1.1204759426840001</v>
      </c>
      <c r="AE4961">
        <v>-26.069119999999899</v>
      </c>
      <c r="AF4961">
        <v>1.4976217483068499</v>
      </c>
      <c r="AG4961">
        <v>-1.1204759426840001</v>
      </c>
      <c r="AH4961">
        <v>26.015667123222102</v>
      </c>
      <c r="AI4961">
        <v>92.462092489734204</v>
      </c>
      <c r="AJ4961">
        <v>86.7053388068353</v>
      </c>
      <c r="AK4961">
        <v>26.082815666745699</v>
      </c>
      <c r="AL4961">
        <v>93.907307724338395</v>
      </c>
      <c r="AM4961">
        <v>89.321195451487597</v>
      </c>
      <c r="AN4961">
        <v>1.0000000204538</v>
      </c>
    </row>
    <row r="4962" spans="1:40" x14ac:dyDescent="0.25">
      <c r="A4962" t="str">
        <f>"20190303154615744"</f>
        <v>20190303154615744</v>
      </c>
      <c r="B4962" t="str">
        <f>"1551599175736162"</f>
        <v>1551599175736162</v>
      </c>
      <c r="C4962" t="s">
        <v>40</v>
      </c>
      <c r="D4962">
        <v>5.2350320000000004</v>
      </c>
      <c r="E4962">
        <v>0.51703239999999995</v>
      </c>
      <c r="F4962" t="s">
        <v>41</v>
      </c>
      <c r="G4962">
        <v>-423.25760000000002</v>
      </c>
      <c r="H4962" s="1">
        <v>-1.7588929999999901E-6</v>
      </c>
      <c r="I4962">
        <v>61.66865</v>
      </c>
      <c r="J4962">
        <v>-421.83839999999998</v>
      </c>
      <c r="K4962">
        <v>1.120449</v>
      </c>
      <c r="L4962">
        <v>87.919370000000001</v>
      </c>
      <c r="M4962">
        <v>4.1585670000000002E-3</v>
      </c>
      <c r="N4962">
        <v>-7.2341269999999999E-3</v>
      </c>
      <c r="O4962">
        <v>-0.99996529999999995</v>
      </c>
      <c r="P4962">
        <v>-7.6665119999999899E-3</v>
      </c>
      <c r="Q4962">
        <v>-7.5387590000000004E-2</v>
      </c>
      <c r="R4962">
        <v>-0.99712489999999998</v>
      </c>
      <c r="S4962">
        <v>-0.16033939999999999</v>
      </c>
      <c r="T4962">
        <v>-0.12671540000000001</v>
      </c>
      <c r="U4962">
        <v>-2.9978030000000002</v>
      </c>
      <c r="V4962">
        <v>1.1843609999999999E-2</v>
      </c>
      <c r="W4962">
        <v>-6.8167309999999995E-2</v>
      </c>
      <c r="X4962">
        <v>0.99760360000000003</v>
      </c>
      <c r="Y4962">
        <v>5.7518680000000003E-2</v>
      </c>
      <c r="Z4962">
        <v>3.4936549999999997E-2</v>
      </c>
      <c r="AA4962">
        <v>0.99773290000000003</v>
      </c>
      <c r="AB4962">
        <v>23</v>
      </c>
      <c r="AC4962">
        <v>-1.41920000000004</v>
      </c>
      <c r="AD4962">
        <v>-1.1204507588929999</v>
      </c>
      <c r="AE4962">
        <v>-26.250720000000001</v>
      </c>
      <c r="AF4962">
        <v>1.5255847239306799</v>
      </c>
      <c r="AG4962">
        <v>-1.1204507588929999</v>
      </c>
      <c r="AH4962">
        <v>26.197004130802501</v>
      </c>
      <c r="AI4962">
        <v>92.444921359058696</v>
      </c>
      <c r="AJ4962">
        <v>86.667139696737493</v>
      </c>
      <c r="AK4962">
        <v>26.2652973347396</v>
      </c>
      <c r="AL4962">
        <v>93.908730336427197</v>
      </c>
      <c r="AM4962">
        <v>89.319813011425694</v>
      </c>
      <c r="AN4962">
        <v>0.99999999799171402</v>
      </c>
    </row>
    <row r="4963" spans="1:40" x14ac:dyDescent="0.25">
      <c r="A4963" t="str">
        <f>"20190303154615763"</f>
        <v>20190303154615763</v>
      </c>
      <c r="B4963" t="str">
        <f>"1551599175756191"</f>
        <v>1551599175756191</v>
      </c>
      <c r="C4963" t="s">
        <v>40</v>
      </c>
      <c r="D4963">
        <v>5.2394220000000002</v>
      </c>
      <c r="E4963">
        <v>0.51694459999999998</v>
      </c>
      <c r="F4963" t="s">
        <v>41</v>
      </c>
      <c r="G4963">
        <v>-423.26209999999998</v>
      </c>
      <c r="H4963" s="1">
        <v>-1.5233849999999999E-6</v>
      </c>
      <c r="I4963">
        <v>61.116919999999901</v>
      </c>
      <c r="J4963">
        <v>-421.8372</v>
      </c>
      <c r="K4963">
        <v>1.12042</v>
      </c>
      <c r="L4963">
        <v>87.70514</v>
      </c>
      <c r="M4963">
        <v>4.4313240000000004E-3</v>
      </c>
      <c r="N4963">
        <v>-7.0734589999999998E-3</v>
      </c>
      <c r="O4963">
        <v>-0.99996529999999995</v>
      </c>
      <c r="P4963">
        <v>-7.201519E-3</v>
      </c>
      <c r="Q4963">
        <v>-7.5503199999999895E-2</v>
      </c>
      <c r="R4963">
        <v>-0.99711989999999995</v>
      </c>
      <c r="S4963">
        <v>-0.15924070000000001</v>
      </c>
      <c r="T4963">
        <v>-0.12532660000000001</v>
      </c>
      <c r="U4963">
        <v>-2.9979550000000001</v>
      </c>
      <c r="V4963">
        <v>1.1649319999999999E-2</v>
      </c>
      <c r="W4963">
        <v>-6.8443560000000001E-2</v>
      </c>
      <c r="X4963">
        <v>0.997587</v>
      </c>
      <c r="Y4963">
        <v>5.7424620000000003E-2</v>
      </c>
      <c r="Z4963">
        <v>3.4633980000000002E-2</v>
      </c>
      <c r="AA4963">
        <v>0.99774890000000005</v>
      </c>
      <c r="AB4963">
        <v>24</v>
      </c>
      <c r="AC4963">
        <v>-1.4248999999999701</v>
      </c>
      <c r="AD4963">
        <v>-1.1204215233849999</v>
      </c>
      <c r="AE4963">
        <v>-26.58822</v>
      </c>
      <c r="AF4963">
        <v>1.5399831486033899</v>
      </c>
      <c r="AG4963">
        <v>-1.1204215233849999</v>
      </c>
      <c r="AH4963">
        <v>26.5346603259222</v>
      </c>
      <c r="AI4963">
        <v>92.413811336807498</v>
      </c>
      <c r="AJ4963">
        <v>86.678470041467904</v>
      </c>
      <c r="AK4963">
        <v>26.6029150865111</v>
      </c>
      <c r="AL4963">
        <v>93.924595242609698</v>
      </c>
      <c r="AM4963">
        <v>89.330959070577407</v>
      </c>
      <c r="AN4963">
        <v>1.0000000250654599</v>
      </c>
    </row>
    <row r="4964" spans="1:40" x14ac:dyDescent="0.25">
      <c r="A4964" t="str">
        <f>"20190303154615786"</f>
        <v>20190303154615786</v>
      </c>
      <c r="B4964" t="str">
        <f>"1551599175776687"</f>
        <v>1551599175776687</v>
      </c>
      <c r="C4964" t="s">
        <v>40</v>
      </c>
      <c r="D4964">
        <v>5.2577210000000001</v>
      </c>
      <c r="E4964">
        <v>0.5169203</v>
      </c>
      <c r="F4964" t="s">
        <v>41</v>
      </c>
      <c r="G4964">
        <v>-423.22379999999998</v>
      </c>
      <c r="H4964" s="1">
        <v>-1.5707690000000001E-6</v>
      </c>
      <c r="I4964">
        <v>61.251100000000001</v>
      </c>
      <c r="J4964">
        <v>-421.83589999999998</v>
      </c>
      <c r="K4964">
        <v>1.1204019999999999</v>
      </c>
      <c r="L4964">
        <v>87.472259999999906</v>
      </c>
      <c r="M4964">
        <v>4.7097110000000001E-3</v>
      </c>
      <c r="N4964">
        <v>-6.9217690000000004E-3</v>
      </c>
      <c r="O4964">
        <v>-0.99996499999999999</v>
      </c>
      <c r="P4964">
        <v>-6.3420000000000004E-3</v>
      </c>
      <c r="Q4964">
        <v>-7.6049240000000004E-2</v>
      </c>
      <c r="R4964">
        <v>-0.99708399999999997</v>
      </c>
      <c r="S4964">
        <v>-0.157135</v>
      </c>
      <c r="T4964">
        <v>-0.12697269999999999</v>
      </c>
      <c r="U4964">
        <v>-2.997925</v>
      </c>
      <c r="V4964">
        <v>1.106563E-2</v>
      </c>
      <c r="W4964">
        <v>-6.9141690000000006E-2</v>
      </c>
      <c r="X4964">
        <v>0.99754549999999997</v>
      </c>
      <c r="Y4964">
        <v>5.7003140000000001E-2</v>
      </c>
      <c r="Z4964">
        <v>3.53341E-2</v>
      </c>
      <c r="AA4964">
        <v>0.99774859999999999</v>
      </c>
      <c r="AB4964">
        <v>24</v>
      </c>
      <c r="AC4964">
        <v>-1.3878999999999999</v>
      </c>
      <c r="AD4964">
        <v>-1.1204035707690001</v>
      </c>
      <c r="AE4964">
        <v>-26.221159999999902</v>
      </c>
      <c r="AF4964">
        <v>1.5086349254237601</v>
      </c>
      <c r="AG4964">
        <v>-1.1204035707690001</v>
      </c>
      <c r="AH4964">
        <v>26.1666916203482</v>
      </c>
      <c r="AI4964">
        <v>92.447729175000802</v>
      </c>
      <c r="AJ4964">
        <v>86.700277208211503</v>
      </c>
      <c r="AK4964">
        <v>26.234081532502699</v>
      </c>
      <c r="AL4964">
        <v>93.964690138658199</v>
      </c>
      <c r="AM4964">
        <v>89.364452154691094</v>
      </c>
      <c r="AN4964">
        <v>1.0000000230168</v>
      </c>
    </row>
    <row r="4965" spans="1:40" x14ac:dyDescent="0.25">
      <c r="A4965" t="str">
        <f>"20190303154615808"</f>
        <v>20190303154615808</v>
      </c>
      <c r="B4965" t="str">
        <f>"1551599175805966"</f>
        <v>1551599175805966</v>
      </c>
      <c r="C4965" t="s">
        <v>40</v>
      </c>
      <c r="D4965">
        <v>5.2637739999999997</v>
      </c>
      <c r="E4965">
        <v>0.51682629999999996</v>
      </c>
      <c r="F4965" t="s">
        <v>41</v>
      </c>
      <c r="G4965">
        <v>-423.18549999999999</v>
      </c>
      <c r="H4965" s="1">
        <v>-1.557495E-6</v>
      </c>
      <c r="I4965">
        <v>61.243899999999996</v>
      </c>
      <c r="J4965">
        <v>-421.83449999999999</v>
      </c>
      <c r="K4965">
        <v>1.1203749999999999</v>
      </c>
      <c r="L4965">
        <v>87.230559999999997</v>
      </c>
      <c r="M4965">
        <v>4.9725749999999999E-3</v>
      </c>
      <c r="N4965">
        <v>-6.7859859999999999E-3</v>
      </c>
      <c r="O4965">
        <v>-0.99996450000000003</v>
      </c>
      <c r="P4965">
        <v>-5.3009110000000002E-3</v>
      </c>
      <c r="Q4965">
        <v>-7.5770950000000004E-2</v>
      </c>
      <c r="R4965">
        <v>-0.99711119999999998</v>
      </c>
      <c r="S4965">
        <v>-0.1542664</v>
      </c>
      <c r="T4965">
        <v>-0.12806699999999999</v>
      </c>
      <c r="U4965">
        <v>-2.9980159999999998</v>
      </c>
      <c r="V4965">
        <v>1.0284120000000001E-2</v>
      </c>
      <c r="W4965">
        <v>-6.8999389999999994E-2</v>
      </c>
      <c r="X4965">
        <v>0.99756369999999905</v>
      </c>
      <c r="Y4965">
        <v>5.6311189999999997E-2</v>
      </c>
      <c r="Z4965">
        <v>3.5833879999999999E-2</v>
      </c>
      <c r="AA4965">
        <v>0.99777000000000005</v>
      </c>
      <c r="AB4965">
        <v>24</v>
      </c>
      <c r="AC4965">
        <v>-1.35099999999999</v>
      </c>
      <c r="AD4965">
        <v>-1.120376557495</v>
      </c>
      <c r="AE4965">
        <v>-25.986660000000001</v>
      </c>
      <c r="AF4965">
        <v>1.4774680222001499</v>
      </c>
      <c r="AG4965">
        <v>-1.120376557495</v>
      </c>
      <c r="AH4965">
        <v>25.931549577816799</v>
      </c>
      <c r="AI4965">
        <v>92.469933547730193</v>
      </c>
      <c r="AJ4965">
        <v>86.739058763032801</v>
      </c>
      <c r="AK4965">
        <v>25.997757958985201</v>
      </c>
      <c r="AL4965">
        <v>93.956517493655497</v>
      </c>
      <c r="AM4965">
        <v>89.409345189107995</v>
      </c>
      <c r="AN4965">
        <v>1.0000000072511099</v>
      </c>
    </row>
    <row r="4966" spans="1:40" x14ac:dyDescent="0.25">
      <c r="A4966" t="str">
        <f>"20190303154615832"</f>
        <v>20190303154615832</v>
      </c>
      <c r="B4966" t="str">
        <f>"1551599175826463"</f>
        <v>1551599175826463</v>
      </c>
      <c r="C4966" t="s">
        <v>40</v>
      </c>
      <c r="D4966">
        <v>5.2710569999999999</v>
      </c>
      <c r="E4966">
        <v>0.51675280000000001</v>
      </c>
      <c r="F4966" t="s">
        <v>41</v>
      </c>
      <c r="G4966">
        <v>-423.15550000000002</v>
      </c>
      <c r="H4966" s="1">
        <v>-1.3904470000000001E-6</v>
      </c>
      <c r="I4966">
        <v>60.873150000000003</v>
      </c>
      <c r="J4966">
        <v>-421.83300000000003</v>
      </c>
      <c r="K4966">
        <v>1.120349</v>
      </c>
      <c r="L4966">
        <v>86.980469999999997</v>
      </c>
      <c r="M4966">
        <v>5.207784E-3</v>
      </c>
      <c r="N4966">
        <v>-6.6654330000000001E-3</v>
      </c>
      <c r="O4966">
        <v>-0.99996450000000003</v>
      </c>
      <c r="P4966">
        <v>-4.0839680000000003E-3</v>
      </c>
      <c r="Q4966">
        <v>-7.5424519999999995E-2</v>
      </c>
      <c r="R4966">
        <v>-0.99714369999999997</v>
      </c>
      <c r="S4966">
        <v>-0.1502686</v>
      </c>
      <c r="T4966">
        <v>-0.12744459999999999</v>
      </c>
      <c r="U4966">
        <v>-2.9981990000000001</v>
      </c>
      <c r="V4966">
        <v>9.2982310000000006E-3</v>
      </c>
      <c r="W4966">
        <v>-6.8773840000000003E-2</v>
      </c>
      <c r="X4966">
        <v>0.9975889</v>
      </c>
      <c r="Y4966">
        <v>5.5216420000000002E-2</v>
      </c>
      <c r="Z4966">
        <v>3.5747639999999997E-2</v>
      </c>
      <c r="AA4966">
        <v>0.99783429999999995</v>
      </c>
      <c r="AB4966">
        <v>24</v>
      </c>
      <c r="AC4966">
        <v>-1.32249999999999</v>
      </c>
      <c r="AD4966">
        <v>-1.120350390447</v>
      </c>
      <c r="AE4966">
        <v>-26.107319999999898</v>
      </c>
      <c r="AF4966">
        <v>1.4557723180226101</v>
      </c>
      <c r="AG4966">
        <v>-1.120350390447</v>
      </c>
      <c r="AH4966">
        <v>26.052224868485201</v>
      </c>
      <c r="AI4966">
        <v>92.458600878312296</v>
      </c>
      <c r="AJ4966">
        <v>86.801695133923403</v>
      </c>
      <c r="AK4966">
        <v>26.116907907281298</v>
      </c>
      <c r="AL4966">
        <v>93.943563862039596</v>
      </c>
      <c r="AM4966">
        <v>89.465978454237003</v>
      </c>
      <c r="AN4966">
        <v>0.99999995578564105</v>
      </c>
    </row>
    <row r="4967" spans="1:40" x14ac:dyDescent="0.25">
      <c r="A4967" t="str">
        <f>"20190303154615853"</f>
        <v>20190303154615853</v>
      </c>
      <c r="B4967" t="str">
        <f>"1551599175845983"</f>
        <v>1551599175845983</v>
      </c>
      <c r="C4967" t="s">
        <v>40</v>
      </c>
      <c r="D4967">
        <v>5.3188709999999997</v>
      </c>
      <c r="E4967">
        <v>0.51654990000000001</v>
      </c>
      <c r="F4967" t="s">
        <v>41</v>
      </c>
      <c r="G4967">
        <v>-423.12020000000001</v>
      </c>
      <c r="H4967" s="1">
        <v>-1.2470789999999999E-6</v>
      </c>
      <c r="I4967">
        <v>60.560850000000002</v>
      </c>
      <c r="J4967">
        <v>-421.83159999999998</v>
      </c>
      <c r="K4967">
        <v>1.120317</v>
      </c>
      <c r="L4967">
        <v>86.747410000000002</v>
      </c>
      <c r="M4967">
        <v>5.385056E-3</v>
      </c>
      <c r="N4967">
        <v>-6.5691839999999996E-3</v>
      </c>
      <c r="O4967">
        <v>-0.99996399999999996</v>
      </c>
      <c r="P4967">
        <v>-3.2721389999999999E-3</v>
      </c>
      <c r="Q4967">
        <v>-7.505386E-2</v>
      </c>
      <c r="R4967">
        <v>-0.99717420000000001</v>
      </c>
      <c r="S4967">
        <v>-0.14608759999999901</v>
      </c>
      <c r="T4967">
        <v>-0.12715080000000001</v>
      </c>
      <c r="U4967">
        <v>-2.9984130000000002</v>
      </c>
      <c r="V4967">
        <v>8.6590580000000007E-3</v>
      </c>
      <c r="W4967">
        <v>-6.8499679999999993E-2</v>
      </c>
      <c r="X4967">
        <v>0.99761350000000004</v>
      </c>
      <c r="Y4967">
        <v>5.400224E-2</v>
      </c>
      <c r="Z4967">
        <v>3.5746E-2</v>
      </c>
      <c r="AA4967">
        <v>0.99790080000000003</v>
      </c>
      <c r="AB4967">
        <v>24</v>
      </c>
      <c r="AC4967">
        <v>-1.2886000000000299</v>
      </c>
      <c r="AD4967">
        <v>-1.1203182470790001</v>
      </c>
      <c r="AE4967">
        <v>-26.18656</v>
      </c>
      <c r="AF4967">
        <v>1.4269948977064399</v>
      </c>
      <c r="AG4967">
        <v>-1.1203182470790001</v>
      </c>
      <c r="AH4967">
        <v>26.131527559945699</v>
      </c>
      <c r="AI4967">
        <v>92.451249862823801</v>
      </c>
      <c r="AJ4967">
        <v>86.874286882040906</v>
      </c>
      <c r="AK4967">
        <v>26.194429942814601</v>
      </c>
      <c r="AL4967">
        <v>93.927818578873797</v>
      </c>
      <c r="AM4967">
        <v>89.502698169817904</v>
      </c>
      <c r="AN4967">
        <v>0.99999994041389795</v>
      </c>
    </row>
    <row r="4968" spans="1:40" x14ac:dyDescent="0.25">
      <c r="A4968" t="str">
        <f>"20190303154615876"</f>
        <v>20190303154615876</v>
      </c>
      <c r="B4968" t="str">
        <f>"1551599175865977"</f>
        <v>1551599175865977</v>
      </c>
      <c r="C4968" t="s">
        <v>40</v>
      </c>
      <c r="D4968">
        <v>5.3130920000000001</v>
      </c>
      <c r="E4968">
        <v>0.4917917</v>
      </c>
      <c r="F4968" t="s">
        <v>41</v>
      </c>
      <c r="G4968">
        <v>-423.09829999999999</v>
      </c>
      <c r="H4968" s="1">
        <v>-9.9497389999999998E-7</v>
      </c>
      <c r="I4968">
        <v>59.9867699999999</v>
      </c>
      <c r="J4968">
        <v>-421.83</v>
      </c>
      <c r="K4968">
        <v>1.1202730000000001</v>
      </c>
      <c r="L4968">
        <v>86.501099999999994</v>
      </c>
      <c r="M4968">
        <v>5.5237209999999997E-3</v>
      </c>
      <c r="N4968">
        <v>-6.4820959999999997E-3</v>
      </c>
      <c r="O4968">
        <v>-0.99996399999999996</v>
      </c>
      <c r="P4968">
        <v>-2.6134130000000002E-3</v>
      </c>
      <c r="Q4968">
        <v>-7.5365580000000001E-2</v>
      </c>
      <c r="R4968">
        <v>-0.99715290000000001</v>
      </c>
      <c r="S4968">
        <v>-0.14193729999999999</v>
      </c>
      <c r="T4968">
        <v>-0.12553310000000001</v>
      </c>
      <c r="U4968">
        <v>-2.9985659999999998</v>
      </c>
      <c r="V4968">
        <v>8.1331530000000006E-3</v>
      </c>
      <c r="W4968">
        <v>-6.8899180000000004E-2</v>
      </c>
      <c r="X4968">
        <v>0.99759050000000005</v>
      </c>
      <c r="Y4968">
        <v>5.276132E-2</v>
      </c>
      <c r="Z4968">
        <v>3.5296170000000002E-2</v>
      </c>
      <c r="AA4968">
        <v>0.99798319999999996</v>
      </c>
      <c r="AB4968">
        <v>24</v>
      </c>
      <c r="AC4968">
        <v>-1.26830000000001</v>
      </c>
      <c r="AD4968">
        <v>-1.12027399497389</v>
      </c>
      <c r="AE4968">
        <v>-26.514329999999902</v>
      </c>
      <c r="AF4968">
        <v>1.41222609737532</v>
      </c>
      <c r="AG4968">
        <v>-1.12027399497389</v>
      </c>
      <c r="AH4968">
        <v>26.459791385487399</v>
      </c>
      <c r="AI4968">
        <v>92.420941056803898</v>
      </c>
      <c r="AJ4968">
        <v>86.944877866540395</v>
      </c>
      <c r="AK4968">
        <v>26.5211228370413</v>
      </c>
      <c r="AL4968">
        <v>93.950762114997204</v>
      </c>
      <c r="AM4968">
        <v>89.532889480365597</v>
      </c>
      <c r="AN4968">
        <v>1.0000000254363199</v>
      </c>
    </row>
    <row r="4969" spans="1:40" x14ac:dyDescent="0.25">
      <c r="A4969" t="str">
        <f>"20190303154615898"</f>
        <v>20190303154615898</v>
      </c>
      <c r="B4969" t="str">
        <f>"1551599175886473"</f>
        <v>1551599175886473</v>
      </c>
      <c r="C4969" t="s">
        <v>40</v>
      </c>
      <c r="D4969">
        <v>5.3166159999999998</v>
      </c>
      <c r="E4969">
        <v>0.4909365</v>
      </c>
      <c r="F4969" t="s">
        <v>41</v>
      </c>
      <c r="G4969">
        <v>-421.49700000000001</v>
      </c>
      <c r="H4969" s="1">
        <v>-4.4140810000000003E-6</v>
      </c>
      <c r="I4969">
        <v>69.177440000000004</v>
      </c>
      <c r="J4969">
        <v>-421.82859999999999</v>
      </c>
      <c r="K4969">
        <v>1.1202240000000001</v>
      </c>
      <c r="L4969">
        <v>86.260859999999994</v>
      </c>
      <c r="M4969">
        <v>5.6092249999999998E-3</v>
      </c>
      <c r="N4969">
        <v>-6.4098990000000002E-3</v>
      </c>
      <c r="O4969">
        <v>-0.99996399999999996</v>
      </c>
      <c r="P4969">
        <v>-1.8193549999999999E-3</v>
      </c>
      <c r="Q4969">
        <v>-7.6329430000000004E-2</v>
      </c>
      <c r="R4969">
        <v>-0.99708129999999995</v>
      </c>
      <c r="S4969">
        <v>5.755615E-2</v>
      </c>
      <c r="T4969">
        <v>-0.1936195</v>
      </c>
      <c r="U4969">
        <v>-2.9940799999999999</v>
      </c>
      <c r="V4969">
        <v>7.4183030000000002E-3</v>
      </c>
      <c r="W4969">
        <v>-6.9936199999999907E-2</v>
      </c>
      <c r="X4969">
        <v>0.99752390000000002</v>
      </c>
      <c r="Y4969">
        <v>-1.357557E-2</v>
      </c>
      <c r="Z4969">
        <v>5.8124710000000003E-2</v>
      </c>
      <c r="AA4969">
        <v>0.99821700000000002</v>
      </c>
      <c r="AB4969">
        <v>24</v>
      </c>
      <c r="AC4969">
        <v>0.33160000000003698</v>
      </c>
      <c r="AD4969">
        <v>-1.1202284140809999</v>
      </c>
      <c r="AE4969">
        <v>-17.083419999999901</v>
      </c>
      <c r="AF4969">
        <v>-0.23475902220404599</v>
      </c>
      <c r="AG4969">
        <v>-1.1202284140809999</v>
      </c>
      <c r="AH4969">
        <v>17.011888551638101</v>
      </c>
      <c r="AI4969">
        <v>93.767115256142901</v>
      </c>
      <c r="AJ4969">
        <v>90.790614599770905</v>
      </c>
      <c r="AK4969">
        <v>17.0503482542609</v>
      </c>
      <c r="AL4969">
        <v>94.010322697580406</v>
      </c>
      <c r="AM4969">
        <v>89.573915354030405</v>
      </c>
      <c r="AN4969">
        <v>1.0000000171805199</v>
      </c>
    </row>
    <row r="4970" spans="1:40" x14ac:dyDescent="0.25">
      <c r="A4970" t="str">
        <f>"20190303154615944"</f>
        <v>20190303154615944</v>
      </c>
      <c r="B4970" t="str">
        <f>"1551599175936248"</f>
        <v>1551599175936248</v>
      </c>
      <c r="C4970" t="s">
        <v>40</v>
      </c>
      <c r="D4970">
        <v>5.3522309999999997</v>
      </c>
      <c r="E4970">
        <v>0.49008679999999899</v>
      </c>
      <c r="F4970" t="s">
        <v>41</v>
      </c>
      <c r="G4970">
        <v>-421.46420000000001</v>
      </c>
      <c r="H4970" s="1">
        <v>-5.4382949999999995E-7</v>
      </c>
      <c r="I4970">
        <v>69.948650000000001</v>
      </c>
      <c r="J4970">
        <v>-421.82569999999998</v>
      </c>
      <c r="K4970">
        <v>1.1201449999999999</v>
      </c>
      <c r="L4970">
        <v>85.758849999999995</v>
      </c>
      <c r="M4970">
        <v>5.6664200000000001E-3</v>
      </c>
      <c r="N4970">
        <v>-6.2977399999999996E-3</v>
      </c>
      <c r="O4970">
        <v>-0.99996419999999997</v>
      </c>
      <c r="P4970">
        <v>-1.7653479999999999E-3</v>
      </c>
      <c r="Q4970">
        <v>-7.6208890000000001E-2</v>
      </c>
      <c r="R4970">
        <v>-0.99709060000000005</v>
      </c>
      <c r="S4970">
        <v>6.6864010000000001E-2</v>
      </c>
      <c r="T4970">
        <v>-0.2055525</v>
      </c>
      <c r="U4970">
        <v>-2.9931640000000002</v>
      </c>
      <c r="V4970">
        <v>7.4120409999999899E-3</v>
      </c>
      <c r="W4970">
        <v>-6.9928480000000001E-2</v>
      </c>
      <c r="X4970">
        <v>0.99752450000000004</v>
      </c>
      <c r="Y4970">
        <v>-1.6620670000000001E-2</v>
      </c>
      <c r="Z4970">
        <v>6.2213820000000003E-2</v>
      </c>
      <c r="AA4970">
        <v>0.99792440000000004</v>
      </c>
      <c r="AB4970">
        <v>24</v>
      </c>
      <c r="AC4970">
        <v>0.36149999999997801</v>
      </c>
      <c r="AD4970">
        <v>-1.1201455438295</v>
      </c>
      <c r="AE4970">
        <v>-15.810199999999901</v>
      </c>
      <c r="AF4970">
        <v>-0.27054784549585897</v>
      </c>
      <c r="AG4970">
        <v>-1.1201455438295</v>
      </c>
      <c r="AH4970">
        <v>15.7330612898115</v>
      </c>
      <c r="AI4970">
        <v>94.071811462617603</v>
      </c>
      <c r="AJ4970">
        <v>90.985168858482893</v>
      </c>
      <c r="AK4970">
        <v>15.775206487556</v>
      </c>
      <c r="AL4970">
        <v>94.009879239575596</v>
      </c>
      <c r="AM4970">
        <v>89.574275266982795</v>
      </c>
      <c r="AN4970">
        <v>1.00000002938357</v>
      </c>
    </row>
    <row r="4971" spans="1:40" x14ac:dyDescent="0.25">
      <c r="A4971" t="str">
        <f>"20190303154615964"</f>
        <v>20190303154615964</v>
      </c>
      <c r="B4971" t="str">
        <f>"1551599175955769"</f>
        <v>1551599175955769</v>
      </c>
      <c r="C4971" t="s">
        <v>40</v>
      </c>
      <c r="D4971">
        <v>5.3537489999999996</v>
      </c>
      <c r="E4971">
        <v>0.4898595</v>
      </c>
      <c r="F4971" t="s">
        <v>41</v>
      </c>
      <c r="G4971">
        <v>-421.42290000000003</v>
      </c>
      <c r="H4971" s="1">
        <v>-4.4519800000000002E-6</v>
      </c>
      <c r="I4971">
        <v>69.327419999999904</v>
      </c>
      <c r="J4971">
        <v>-421.82429999999999</v>
      </c>
      <c r="K4971">
        <v>1.1201289999999999</v>
      </c>
      <c r="L4971">
        <v>85.525149999999996</v>
      </c>
      <c r="M4971">
        <v>5.6578679999999999E-3</v>
      </c>
      <c r="N4971">
        <v>-6.2647110000000001E-3</v>
      </c>
      <c r="O4971">
        <v>-0.99996450000000003</v>
      </c>
      <c r="P4971">
        <v>-1.999879E-3</v>
      </c>
      <c r="Q4971">
        <v>-7.5601399999999902E-2</v>
      </c>
      <c r="R4971">
        <v>-0.99713640000000003</v>
      </c>
      <c r="S4971">
        <v>7.3364260000000001E-2</v>
      </c>
      <c r="T4971">
        <v>-0.20405570000000001</v>
      </c>
      <c r="U4971">
        <v>-2.9932859999999999</v>
      </c>
      <c r="V4971">
        <v>7.6363969999999996E-3</v>
      </c>
      <c r="W4971">
        <v>-6.9353899999999996E-2</v>
      </c>
      <c r="X4971">
        <v>0.99756290000000003</v>
      </c>
      <c r="Y4971">
        <v>-1.8794439999999999E-2</v>
      </c>
      <c r="Z4971">
        <v>6.174437E-2</v>
      </c>
      <c r="AA4971">
        <v>0.997915</v>
      </c>
      <c r="AB4971">
        <v>25</v>
      </c>
      <c r="AC4971">
        <v>0.40139999999996601</v>
      </c>
      <c r="AD4971">
        <v>-1.1201334519799999</v>
      </c>
      <c r="AE4971">
        <v>-16.19773</v>
      </c>
      <c r="AF4971">
        <v>-0.30827383602613501</v>
      </c>
      <c r="AG4971">
        <v>-1.1201334519799999</v>
      </c>
      <c r="AH4971">
        <v>16.122686632761098</v>
      </c>
      <c r="AI4971">
        <v>93.973548933635001</v>
      </c>
      <c r="AJ4971">
        <v>91.095390498225399</v>
      </c>
      <c r="AK4971">
        <v>16.164490587904002</v>
      </c>
      <c r="AL4971">
        <v>93.9768781900775</v>
      </c>
      <c r="AM4971">
        <v>89.5614063307424</v>
      </c>
      <c r="AN4971">
        <v>1.00000000873038</v>
      </c>
    </row>
    <row r="4972" spans="1:40" x14ac:dyDescent="0.25">
      <c r="A4972" t="str">
        <f>"20190303154615987"</f>
        <v>20190303154615987</v>
      </c>
      <c r="B4972" t="str">
        <f>"1551599175976264"</f>
        <v>1551599175976264</v>
      </c>
      <c r="C4972" t="s">
        <v>40</v>
      </c>
      <c r="D4972">
        <v>5.3355249999999996</v>
      </c>
      <c r="E4972">
        <v>0.48972759999999999</v>
      </c>
      <c r="F4972" t="s">
        <v>41</v>
      </c>
      <c r="G4972">
        <v>-421.41370000000001</v>
      </c>
      <c r="H4972" s="1">
        <v>-4.3614110000000004E-6</v>
      </c>
      <c r="I4972">
        <v>69.066090000000003</v>
      </c>
      <c r="J4972">
        <v>-421.8229</v>
      </c>
      <c r="K4972">
        <v>1.1201139999999901</v>
      </c>
      <c r="L4972">
        <v>85.268100000000004</v>
      </c>
      <c r="M4972">
        <v>5.6363029999999996E-3</v>
      </c>
      <c r="N4972">
        <v>-6.2406400000000004E-3</v>
      </c>
      <c r="O4972">
        <v>-0.99996470000000004</v>
      </c>
      <c r="P4972">
        <v>-2.2964109999999999E-3</v>
      </c>
      <c r="Q4972">
        <v>-7.6626410000000006E-2</v>
      </c>
      <c r="R4972">
        <v>-0.99705739999999998</v>
      </c>
      <c r="S4972">
        <v>7.4676510000000001E-2</v>
      </c>
      <c r="T4972">
        <v>-0.20371230000000001</v>
      </c>
      <c r="U4972">
        <v>-2.9933169999999998</v>
      </c>
      <c r="V4972">
        <v>7.9101699999999994E-3</v>
      </c>
      <c r="W4972">
        <v>-7.0403499999999994E-2</v>
      </c>
      <c r="X4972">
        <v>0.99748720000000002</v>
      </c>
      <c r="Y4972">
        <v>-1.9253019999999999E-2</v>
      </c>
      <c r="Z4972">
        <v>6.165313E-2</v>
      </c>
      <c r="AA4972">
        <v>0.99791189999999996</v>
      </c>
      <c r="AB4972">
        <v>25</v>
      </c>
      <c r="AC4972">
        <v>0.40919999999999801</v>
      </c>
      <c r="AD4972">
        <v>-1.12011836141099</v>
      </c>
      <c r="AE4972">
        <v>-16.202010000000001</v>
      </c>
      <c r="AF4972">
        <v>-0.31636117862319801</v>
      </c>
      <c r="AG4972">
        <v>-1.12011836141099</v>
      </c>
      <c r="AH4972">
        <v>16.127027718611501</v>
      </c>
      <c r="AI4972">
        <v>93.972391357864396</v>
      </c>
      <c r="AJ4972">
        <v>91.123817487415707</v>
      </c>
      <c r="AK4972">
        <v>16.168975619246101</v>
      </c>
      <c r="AL4972">
        <v>94.037163370660494</v>
      </c>
      <c r="AM4972">
        <v>89.545648449283604</v>
      </c>
      <c r="AN4972">
        <v>0.99999996888275899</v>
      </c>
    </row>
    <row r="4973" spans="1:40" x14ac:dyDescent="0.25">
      <c r="A4973" t="str">
        <f>"20190303154616010"</f>
        <v>20190303154616010</v>
      </c>
      <c r="B4973" t="str">
        <f>"1551599176006521"</f>
        <v>1551599176006521</v>
      </c>
      <c r="C4973" t="s">
        <v>40</v>
      </c>
      <c r="D4973">
        <v>5.3202860000000003</v>
      </c>
      <c r="E4973">
        <v>0.4895755</v>
      </c>
      <c r="F4973" t="s">
        <v>41</v>
      </c>
      <c r="G4973">
        <v>-421.41640000000001</v>
      </c>
      <c r="H4973" s="1">
        <v>-4.3664700000000001E-6</v>
      </c>
      <c r="I4973">
        <v>69.079589999999996</v>
      </c>
      <c r="J4973">
        <v>-421.82150000000001</v>
      </c>
      <c r="K4973">
        <v>1.1201080000000001</v>
      </c>
      <c r="L4973">
        <v>85.015810000000002</v>
      </c>
      <c r="M4973">
        <v>5.6116859999999899E-3</v>
      </c>
      <c r="N4973">
        <v>-6.2414870000000004E-3</v>
      </c>
      <c r="O4973">
        <v>-0.99996499999999999</v>
      </c>
      <c r="P4973">
        <v>-2.9314779999999999E-3</v>
      </c>
      <c r="Q4973">
        <v>-7.7394809999999994E-2</v>
      </c>
      <c r="R4973">
        <v>-0.99699669999999896</v>
      </c>
      <c r="S4973">
        <v>7.5164789999999995E-2</v>
      </c>
      <c r="T4973">
        <v>-0.20709939999999999</v>
      </c>
      <c r="U4973">
        <v>-2.9931030000000001</v>
      </c>
      <c r="V4973">
        <v>8.5204140000000005E-3</v>
      </c>
      <c r="W4973">
        <v>-7.1171479999999995E-2</v>
      </c>
      <c r="X4973">
        <v>0.99742770000000003</v>
      </c>
      <c r="Y4973">
        <v>-1.9440229999999999E-2</v>
      </c>
      <c r="Z4973">
        <v>6.278069E-2</v>
      </c>
      <c r="AA4973">
        <v>0.997838</v>
      </c>
      <c r="AB4973">
        <v>25</v>
      </c>
      <c r="AC4973">
        <v>0.40510000000000401</v>
      </c>
      <c r="AD4973">
        <v>-1.1201123664699999</v>
      </c>
      <c r="AE4973">
        <v>-15.93622</v>
      </c>
      <c r="AF4973">
        <v>-0.31411203379935299</v>
      </c>
      <c r="AG4973">
        <v>-1.1201123664699999</v>
      </c>
      <c r="AH4973">
        <v>15.8599402757471</v>
      </c>
      <c r="AI4973">
        <v>94.039031855867506</v>
      </c>
      <c r="AJ4973">
        <v>91.134615951182298</v>
      </c>
      <c r="AK4973">
        <v>15.9025477088912</v>
      </c>
      <c r="AL4973">
        <v>94.081275931671101</v>
      </c>
      <c r="AM4973">
        <v>89.510569149243096</v>
      </c>
      <c r="AN4973">
        <v>0.999999996873705</v>
      </c>
    </row>
    <row r="4974" spans="1:40" x14ac:dyDescent="0.25">
      <c r="A4974" t="str">
        <f>"20190303154616032"</f>
        <v>20190303154616032</v>
      </c>
      <c r="B4974" t="str">
        <f>"1551599176026041"</f>
        <v>1551599176026041</v>
      </c>
      <c r="C4974" t="s">
        <v>40</v>
      </c>
      <c r="D4974">
        <v>5.3171970000000002</v>
      </c>
      <c r="E4974">
        <v>0.48952790000000002</v>
      </c>
      <c r="F4974" t="s">
        <v>41</v>
      </c>
      <c r="G4974">
        <v>-421.42910000000001</v>
      </c>
      <c r="H4974" s="1">
        <v>-4.4052569999999999E-6</v>
      </c>
      <c r="I4974">
        <v>69.186899999999994</v>
      </c>
      <c r="J4974">
        <v>-421.82010000000002</v>
      </c>
      <c r="K4974">
        <v>1.1201179999999999</v>
      </c>
      <c r="L4974">
        <v>84.768039999999999</v>
      </c>
      <c r="M4974">
        <v>5.5906339999999997E-3</v>
      </c>
      <c r="N4974">
        <v>-6.2685650000000002E-3</v>
      </c>
      <c r="O4974">
        <v>-0.99996470000000004</v>
      </c>
      <c r="P4974">
        <v>-3.819317E-3</v>
      </c>
      <c r="Q4974">
        <v>-7.7599989999999994E-2</v>
      </c>
      <c r="R4974">
        <v>-0.99697720000000001</v>
      </c>
      <c r="S4974">
        <v>7.4188229999999994E-2</v>
      </c>
      <c r="T4974">
        <v>-0.21178159999999999</v>
      </c>
      <c r="U4974">
        <v>-2.9927980000000001</v>
      </c>
      <c r="V4974">
        <v>9.3875869999999993E-3</v>
      </c>
      <c r="W4974">
        <v>-7.134981E-2</v>
      </c>
      <c r="X4974">
        <v>0.99740720000000005</v>
      </c>
      <c r="Y4974">
        <v>-1.9135969999999999E-2</v>
      </c>
      <c r="Z4974">
        <v>6.4314479999999993E-2</v>
      </c>
      <c r="AA4974">
        <v>0.99774620000000003</v>
      </c>
      <c r="AB4974">
        <v>25</v>
      </c>
      <c r="AC4974">
        <v>0.391000000000019</v>
      </c>
      <c r="AD4974">
        <v>-1.120122405257</v>
      </c>
      <c r="AE4974">
        <v>-15.58114</v>
      </c>
      <c r="AF4974">
        <v>-0.30232227046264698</v>
      </c>
      <c r="AG4974">
        <v>-1.120122405257</v>
      </c>
      <c r="AH4974">
        <v>15.5030114879147</v>
      </c>
      <c r="AI4974">
        <v>94.131766349810604</v>
      </c>
      <c r="AJ4974">
        <v>91.117176164838597</v>
      </c>
      <c r="AK4974">
        <v>15.5463641457542</v>
      </c>
      <c r="AL4974">
        <v>94.091519425488499</v>
      </c>
      <c r="AM4974">
        <v>89.460748595682404</v>
      </c>
      <c r="AN4974">
        <v>1.00000002239427</v>
      </c>
    </row>
    <row r="4975" spans="1:40" x14ac:dyDescent="0.25">
      <c r="A4975" t="str">
        <f>"20190303154616057"</f>
        <v>20190303154616057</v>
      </c>
      <c r="B4975" t="str">
        <f>"1551599176046537"</f>
        <v>1551599176046537</v>
      </c>
      <c r="C4975" t="s">
        <v>40</v>
      </c>
      <c r="D4975">
        <v>5.3276379999999897</v>
      </c>
      <c r="E4975">
        <v>0.48940430000000001</v>
      </c>
      <c r="F4975" t="s">
        <v>41</v>
      </c>
      <c r="G4975">
        <v>-421.44279999999998</v>
      </c>
      <c r="H4975" s="1">
        <v>-4.3568350000000003E-6</v>
      </c>
      <c r="I4975">
        <v>69.037450000000007</v>
      </c>
      <c r="J4975">
        <v>-421.8186</v>
      </c>
      <c r="K4975">
        <v>1.1201319999999999</v>
      </c>
      <c r="L4975">
        <v>84.496519999999904</v>
      </c>
      <c r="M4975">
        <v>5.5744990000000001E-3</v>
      </c>
      <c r="N4975">
        <v>-6.3246839999999997E-3</v>
      </c>
      <c r="O4975">
        <v>-0.99996450000000003</v>
      </c>
      <c r="P4975">
        <v>-4.4726310000000003E-3</v>
      </c>
      <c r="Q4975">
        <v>-7.6558790000000002E-2</v>
      </c>
      <c r="R4975">
        <v>-0.99705520000000003</v>
      </c>
      <c r="S4975">
        <v>7.1777339999999995E-2</v>
      </c>
      <c r="T4975">
        <v>-0.21310509999999999</v>
      </c>
      <c r="U4975">
        <v>-2.9927670000000002</v>
      </c>
      <c r="V4975">
        <v>1.0025839999999999E-2</v>
      </c>
      <c r="W4975">
        <v>-7.0252159999999994E-2</v>
      </c>
      <c r="X4975">
        <v>0.99747889999999995</v>
      </c>
      <c r="Y4975">
        <v>-1.8348590000000001E-2</v>
      </c>
      <c r="Z4975">
        <v>6.4699370000000006E-2</v>
      </c>
      <c r="AA4975">
        <v>0.99773610000000001</v>
      </c>
      <c r="AB4975">
        <v>25</v>
      </c>
      <c r="AC4975">
        <v>0.375800000000026</v>
      </c>
      <c r="AD4975">
        <v>-1.120136356835</v>
      </c>
      <c r="AE4975">
        <v>-15.459069999999899</v>
      </c>
      <c r="AF4975">
        <v>-0.28810416178048198</v>
      </c>
      <c r="AG4975">
        <v>-1.120136356835</v>
      </c>
      <c r="AH4975">
        <v>15.3802233195785</v>
      </c>
      <c r="AI4975">
        <v>94.164749400131996</v>
      </c>
      <c r="AJ4975">
        <v>91.073145808719701</v>
      </c>
      <c r="AK4975">
        <v>15.423649983906</v>
      </c>
      <c r="AL4975">
        <v>94.028470498431602</v>
      </c>
      <c r="AM4975">
        <v>89.424129197317399</v>
      </c>
      <c r="AN4975">
        <v>1.0000000196987899</v>
      </c>
    </row>
    <row r="4976" spans="1:40" x14ac:dyDescent="0.25">
      <c r="A4976" t="str">
        <f>"20190303154616076"</f>
        <v>20190303154616076</v>
      </c>
      <c r="B4976" t="str">
        <f>"1551599176066057"</f>
        <v>1551599176066057</v>
      </c>
      <c r="C4976" t="s">
        <v>40</v>
      </c>
      <c r="D4976">
        <v>5.3461919999999896</v>
      </c>
      <c r="E4976">
        <v>0.4892109</v>
      </c>
      <c r="F4976" t="s">
        <v>41</v>
      </c>
      <c r="G4976">
        <v>-421.43979999999999</v>
      </c>
      <c r="H4976" s="1">
        <v>-4.1938359999999997E-6</v>
      </c>
      <c r="I4976">
        <v>68.560050000000004</v>
      </c>
      <c r="J4976">
        <v>-421.81740000000002</v>
      </c>
      <c r="K4976">
        <v>1.12015</v>
      </c>
      <c r="L4976">
        <v>84.270259999999993</v>
      </c>
      <c r="M4976">
        <v>5.5671969999999899E-3</v>
      </c>
      <c r="N4976">
        <v>-6.4041289999999997E-3</v>
      </c>
      <c r="O4976">
        <v>-0.99996419999999997</v>
      </c>
      <c r="P4976">
        <v>-4.5053769999999996E-3</v>
      </c>
      <c r="Q4976">
        <v>-7.6083949999999997E-2</v>
      </c>
      <c r="R4976">
        <v>-0.99709139999999996</v>
      </c>
      <c r="S4976">
        <v>7.1136469999999993E-2</v>
      </c>
      <c r="T4976">
        <v>-0.2103738</v>
      </c>
      <c r="U4976">
        <v>-2.993042</v>
      </c>
      <c r="V4976">
        <v>1.0051900000000001E-2</v>
      </c>
      <c r="W4976">
        <v>-6.9697809999999999E-2</v>
      </c>
      <c r="X4976">
        <v>0.99751749999999995</v>
      </c>
      <c r="Y4976">
        <v>-1.814174E-2</v>
      </c>
      <c r="Z4976">
        <v>6.3708009999999995E-2</v>
      </c>
      <c r="AA4976">
        <v>0.99780369999999996</v>
      </c>
      <c r="AB4976">
        <v>25</v>
      </c>
      <c r="AC4976">
        <v>0.37760000000002902</v>
      </c>
      <c r="AD4976">
        <v>-1.120154193836</v>
      </c>
      <c r="AE4976">
        <v>-15.710209999999901</v>
      </c>
      <c r="AF4976">
        <v>-0.28866386556274398</v>
      </c>
      <c r="AG4976">
        <v>-1.120154193836</v>
      </c>
      <c r="AH4976">
        <v>15.6326408295755</v>
      </c>
      <c r="AI4976">
        <v>94.097818145780906</v>
      </c>
      <c r="AJ4976">
        <v>91.057872559696406</v>
      </c>
      <c r="AK4976">
        <v>15.675379789713601</v>
      </c>
      <c r="AL4976">
        <v>93.996630637886994</v>
      </c>
      <c r="AM4976">
        <v>89.422654787407197</v>
      </c>
      <c r="AN4976">
        <v>0.99999999410932705</v>
      </c>
    </row>
    <row r="4977" spans="1:40" x14ac:dyDescent="0.25">
      <c r="A4977" t="str">
        <f>"20190303154616100"</f>
        <v>20190303154616100</v>
      </c>
      <c r="B4977" t="str">
        <f>"1551599176096313"</f>
        <v>1551599176096313</v>
      </c>
      <c r="C4977" t="s">
        <v>40</v>
      </c>
      <c r="D4977">
        <v>5.379251</v>
      </c>
      <c r="E4977">
        <v>0.48906929999999998</v>
      </c>
      <c r="F4977" t="s">
        <v>41</v>
      </c>
      <c r="G4977">
        <v>-421.43020000000001</v>
      </c>
      <c r="H4977" s="1">
        <v>-4.0887980000000001E-6</v>
      </c>
      <c r="I4977">
        <v>68.256399999999999</v>
      </c>
      <c r="J4977">
        <v>-421.8159</v>
      </c>
      <c r="K4977">
        <v>1.120174</v>
      </c>
      <c r="L4977">
        <v>84.003749999999997</v>
      </c>
      <c r="M4977">
        <v>5.5639909999999999E-3</v>
      </c>
      <c r="N4977">
        <v>-6.5519949999999997E-3</v>
      </c>
      <c r="O4977">
        <v>-0.99996300000000005</v>
      </c>
      <c r="P4977">
        <v>-4.4577150000000001E-3</v>
      </c>
      <c r="Q4977">
        <v>-7.6299729999999996E-2</v>
      </c>
      <c r="R4977">
        <v>-0.99707509999999999</v>
      </c>
      <c r="S4977">
        <v>7.2357179999999993E-2</v>
      </c>
      <c r="T4977">
        <v>-0.20936450000000001</v>
      </c>
      <c r="U4977">
        <v>-2.9931030000000001</v>
      </c>
      <c r="V4977">
        <v>1.0001289999999999E-2</v>
      </c>
      <c r="W4977">
        <v>-6.9766140000000004E-2</v>
      </c>
      <c r="X4977">
        <v>0.99751319999999999</v>
      </c>
      <c r="Y4977">
        <v>-1.8551709999999999E-2</v>
      </c>
      <c r="Z4977">
        <v>6.3223650000000006E-2</v>
      </c>
      <c r="AA4977">
        <v>0.99782689999999996</v>
      </c>
      <c r="AB4977">
        <v>25</v>
      </c>
      <c r="AC4977">
        <v>0.385699999999985</v>
      </c>
      <c r="AD4977">
        <v>-1.120178088798</v>
      </c>
      <c r="AE4977">
        <v>-15.7473499999999</v>
      </c>
      <c r="AF4977">
        <v>-0.29657423429898999</v>
      </c>
      <c r="AG4977">
        <v>-1.120178088798</v>
      </c>
      <c r="AH4977">
        <v>15.670008027718101</v>
      </c>
      <c r="AI4977">
        <v>94.088131353526194</v>
      </c>
      <c r="AJ4977">
        <v>91.084263864551204</v>
      </c>
      <c r="AK4977">
        <v>15.712794366879001</v>
      </c>
      <c r="AL4977">
        <v>94.000555339998499</v>
      </c>
      <c r="AM4977">
        <v>89.425558973577495</v>
      </c>
      <c r="AN4977">
        <v>0.99999996213320097</v>
      </c>
    </row>
    <row r="4978" spans="1:40" x14ac:dyDescent="0.25">
      <c r="A4978" t="str">
        <f>"20190303154616124"</f>
        <v>20190303154616124</v>
      </c>
      <c r="B4978" t="str">
        <f>"1551599176115833"</f>
        <v>1551599176115833</v>
      </c>
      <c r="C4978" t="s">
        <v>40</v>
      </c>
      <c r="D4978">
        <v>5.3499210000000001</v>
      </c>
      <c r="E4978">
        <v>0.48899029999999999</v>
      </c>
      <c r="F4978" t="s">
        <v>41</v>
      </c>
      <c r="G4978">
        <v>-421.42200000000003</v>
      </c>
      <c r="H4978" s="1">
        <v>-3.9776209999999998E-6</v>
      </c>
      <c r="I4978">
        <v>67.979100000000003</v>
      </c>
      <c r="J4978">
        <v>-421.81450000000001</v>
      </c>
      <c r="K4978">
        <v>1.1202080000000001</v>
      </c>
      <c r="L4978">
        <v>83.73639</v>
      </c>
      <c r="M4978">
        <v>5.5646979999999999E-3</v>
      </c>
      <c r="N4978">
        <v>-6.7759489999999999E-3</v>
      </c>
      <c r="O4978">
        <v>-0.99996160000000001</v>
      </c>
      <c r="P4978">
        <v>-4.107515E-3</v>
      </c>
      <c r="Q4978">
        <v>-7.6312740000000004E-2</v>
      </c>
      <c r="R4978">
        <v>-0.99707570000000001</v>
      </c>
      <c r="S4978">
        <v>7.3577879999999998E-2</v>
      </c>
      <c r="T4978">
        <v>-0.20923020000000001</v>
      </c>
      <c r="U4978">
        <v>-2.993134</v>
      </c>
      <c r="V4978">
        <v>9.6521009999999997E-3</v>
      </c>
      <c r="W4978">
        <v>-6.9555679999999995E-2</v>
      </c>
      <c r="X4978">
        <v>0.99753139999999996</v>
      </c>
      <c r="Y4978">
        <v>-1.8957600000000002E-2</v>
      </c>
      <c r="Z4978">
        <v>6.2954280000000001E-2</v>
      </c>
      <c r="AA4978">
        <v>0.99783639999999996</v>
      </c>
      <c r="AB4978">
        <v>25</v>
      </c>
      <c r="AC4978">
        <v>0.39250000000003998</v>
      </c>
      <c r="AD4978">
        <v>-1.120211977621</v>
      </c>
      <c r="AE4978">
        <v>-15.7572899999999</v>
      </c>
      <c r="AF4978">
        <v>-0.30327554132609003</v>
      </c>
      <c r="AG4978">
        <v>-1.120211977621</v>
      </c>
      <c r="AH4978">
        <v>15.680032080561499</v>
      </c>
      <c r="AI4978">
        <v>94.085617552764205</v>
      </c>
      <c r="AJ4978">
        <v>91.108048895589704</v>
      </c>
      <c r="AK4978">
        <v>15.7229213880948</v>
      </c>
      <c r="AL4978">
        <v>93.988467254654694</v>
      </c>
      <c r="AM4978">
        <v>89.445624074814901</v>
      </c>
      <c r="AN4978">
        <v>1.0000000248299601</v>
      </c>
    </row>
    <row r="4979" spans="1:40" x14ac:dyDescent="0.25">
      <c r="A4979" t="str">
        <f>"20190303154616148"</f>
        <v>20190303154616148</v>
      </c>
      <c r="B4979" t="str">
        <f>"1551599176136329"</f>
        <v>1551599176136329</v>
      </c>
      <c r="C4979" t="s">
        <v>40</v>
      </c>
      <c r="D4979">
        <v>5.325215</v>
      </c>
      <c r="E4979">
        <v>0.48893890000000001</v>
      </c>
      <c r="F4979" t="s">
        <v>41</v>
      </c>
      <c r="G4979">
        <v>-421.41129999999998</v>
      </c>
      <c r="H4979" s="1">
        <v>-3.864585E-6</v>
      </c>
      <c r="I4979">
        <v>67.722210000000004</v>
      </c>
      <c r="J4979">
        <v>-421.81290000000001</v>
      </c>
      <c r="K4979">
        <v>1.1202570000000001</v>
      </c>
      <c r="L4979">
        <v>83.460939999999994</v>
      </c>
      <c r="M4979">
        <v>5.567036E-3</v>
      </c>
      <c r="N4979">
        <v>-7.069606E-3</v>
      </c>
      <c r="O4979">
        <v>-0.9999595</v>
      </c>
      <c r="P4979">
        <v>-3.5123369999999999E-3</v>
      </c>
      <c r="Q4979">
        <v>-7.6628799999999997E-2</v>
      </c>
      <c r="R4979">
        <v>-0.99705370000000004</v>
      </c>
      <c r="S4979">
        <v>7.5347899999999995E-2</v>
      </c>
      <c r="T4979">
        <v>-0.20937130000000001</v>
      </c>
      <c r="U4979">
        <v>-2.9931030000000001</v>
      </c>
      <c r="V4979">
        <v>9.0594339999999999E-3</v>
      </c>
      <c r="W4979">
        <v>-6.9578849999999998E-2</v>
      </c>
      <c r="X4979">
        <v>0.99753530000000001</v>
      </c>
      <c r="Y4979">
        <v>-1.954521E-2</v>
      </c>
      <c r="Z4979">
        <v>6.2707840000000001E-2</v>
      </c>
      <c r="AA4979">
        <v>0.99784050000000002</v>
      </c>
      <c r="AB4979">
        <v>25</v>
      </c>
      <c r="AC4979">
        <v>0.40160000000002999</v>
      </c>
      <c r="AD4979">
        <v>-1.1202608645850001</v>
      </c>
      <c r="AE4979">
        <v>-15.73873</v>
      </c>
      <c r="AF4979">
        <v>-0.31239183884226202</v>
      </c>
      <c r="AG4979">
        <v>-1.1202608645850001</v>
      </c>
      <c r="AH4979">
        <v>15.661426549038501</v>
      </c>
      <c r="AI4979">
        <v>94.090584205437693</v>
      </c>
      <c r="AJ4979">
        <v>91.142703103394894</v>
      </c>
      <c r="AK4979">
        <v>15.704548851101199</v>
      </c>
      <c r="AL4979">
        <v>93.989798192176906</v>
      </c>
      <c r="AM4979">
        <v>89.479664466116503</v>
      </c>
      <c r="AN4979">
        <v>0.99999998222890596</v>
      </c>
    </row>
    <row r="4980" spans="1:40" x14ac:dyDescent="0.25">
      <c r="A4980" t="str">
        <f>"20190303154616168"</f>
        <v>20190303154616168</v>
      </c>
      <c r="B4980" t="str">
        <f>"1551599176156824"</f>
        <v>1551599176156824</v>
      </c>
      <c r="C4980" t="s">
        <v>40</v>
      </c>
      <c r="D4980">
        <v>5.2770260000000002</v>
      </c>
      <c r="E4980">
        <v>0.48886619999999997</v>
      </c>
      <c r="F4980" t="s">
        <v>41</v>
      </c>
      <c r="G4980">
        <v>-421.40109999999999</v>
      </c>
      <c r="H4980" s="1">
        <v>-3.7842749999999999E-6</v>
      </c>
      <c r="I4980">
        <v>67.541359999999997</v>
      </c>
      <c r="J4980">
        <v>-421.8116</v>
      </c>
      <c r="K4980">
        <v>1.1202970000000001</v>
      </c>
      <c r="L4980">
        <v>83.227019999999996</v>
      </c>
      <c r="M4980">
        <v>5.5691469999999896E-3</v>
      </c>
      <c r="N4980">
        <v>-7.3361959999999997E-3</v>
      </c>
      <c r="O4980">
        <v>-0.9999576</v>
      </c>
      <c r="P4980">
        <v>-3.077336E-3</v>
      </c>
      <c r="Q4980">
        <v>-7.7315389999999998E-2</v>
      </c>
      <c r="R4980">
        <v>-0.9970019</v>
      </c>
      <c r="S4980">
        <v>7.7423099999999995E-2</v>
      </c>
      <c r="T4980">
        <v>-0.21061379999999999</v>
      </c>
      <c r="U4980">
        <v>-2.99295</v>
      </c>
      <c r="V4980">
        <v>8.6264900000000005E-3</v>
      </c>
      <c r="W4980">
        <v>-6.9999749999999999E-2</v>
      </c>
      <c r="X4980">
        <v>0.99750970000000005</v>
      </c>
      <c r="Y4980">
        <v>-2.0235090000000001E-2</v>
      </c>
      <c r="Z4980">
        <v>6.2856430000000005E-2</v>
      </c>
      <c r="AA4980">
        <v>0.99781739999999997</v>
      </c>
      <c r="AB4980">
        <v>25</v>
      </c>
      <c r="AC4980">
        <v>0.41050000000001302</v>
      </c>
      <c r="AD4980">
        <v>-1.1203007842749999</v>
      </c>
      <c r="AE4980">
        <v>-15.68566</v>
      </c>
      <c r="AF4980">
        <v>-0.321496674479473</v>
      </c>
      <c r="AG4980">
        <v>-1.1203007842749999</v>
      </c>
      <c r="AH4980">
        <v>15.608138776600899</v>
      </c>
      <c r="AI4980">
        <v>94.104593987791304</v>
      </c>
      <c r="AJ4980">
        <v>91.180012452257998</v>
      </c>
      <c r="AK4980">
        <v>15.651595127289101</v>
      </c>
      <c r="AL4980">
        <v>94.013972893216106</v>
      </c>
      <c r="AM4980">
        <v>89.504516950665206</v>
      </c>
      <c r="AN4980">
        <v>0.99999999146193597</v>
      </c>
    </row>
    <row r="4981" spans="1:40" x14ac:dyDescent="0.25">
      <c r="A4981" t="str">
        <f>"20190303154616189"</f>
        <v>20190303154616189</v>
      </c>
      <c r="B4981" t="str">
        <f>"1551599176176345"</f>
        <v>1551599176176345</v>
      </c>
      <c r="C4981" t="s">
        <v>40</v>
      </c>
      <c r="D4981">
        <v>5.3104050000000003</v>
      </c>
      <c r="E4981">
        <v>0.48884450000000002</v>
      </c>
      <c r="F4981" t="s">
        <v>41</v>
      </c>
      <c r="G4981">
        <v>-421.39449999999999</v>
      </c>
      <c r="H4981" s="1">
        <v>-3.7548449999999998E-6</v>
      </c>
      <c r="I4981">
        <v>67.476819999999904</v>
      </c>
      <c r="J4981">
        <v>-421.81029999999998</v>
      </c>
      <c r="K4981">
        <v>1.1203419999999999</v>
      </c>
      <c r="L4981">
        <v>82.994839999999996</v>
      </c>
      <c r="M4981">
        <v>5.5708839999999999E-3</v>
      </c>
      <c r="N4981">
        <v>-7.6193869999999896E-3</v>
      </c>
      <c r="O4981">
        <v>-0.9999557</v>
      </c>
      <c r="P4981">
        <v>-2.5387539999999998E-3</v>
      </c>
      <c r="Q4981">
        <v>-7.7651369999999997E-2</v>
      </c>
      <c r="R4981">
        <v>-0.99697749999999996</v>
      </c>
      <c r="S4981">
        <v>7.9254149999999995E-2</v>
      </c>
      <c r="T4981">
        <v>-0.2128736</v>
      </c>
      <c r="U4981">
        <v>-2.9927670000000002</v>
      </c>
      <c r="V4981">
        <v>8.0897529999999999E-3</v>
      </c>
      <c r="W4981">
        <v>-7.005335E-2</v>
      </c>
      <c r="X4981">
        <v>0.99751040000000002</v>
      </c>
      <c r="Y4981">
        <v>-2.084372E-2</v>
      </c>
      <c r="Z4981">
        <v>6.3326690000000005E-2</v>
      </c>
      <c r="AA4981">
        <v>0.99777510000000003</v>
      </c>
      <c r="AB4981">
        <v>25</v>
      </c>
      <c r="AC4981">
        <v>0.41579999999999001</v>
      </c>
      <c r="AD4981">
        <v>-1.120345754845</v>
      </c>
      <c r="AE4981">
        <v>-15.51802</v>
      </c>
      <c r="AF4981">
        <v>-0.32763545243724201</v>
      </c>
      <c r="AG4981">
        <v>-1.120345754845</v>
      </c>
      <c r="AH4981">
        <v>15.4396767413561</v>
      </c>
      <c r="AI4981">
        <v>94.149335756609005</v>
      </c>
      <c r="AJ4981">
        <v>91.215654446673696</v>
      </c>
      <c r="AK4981">
        <v>15.483737839348301</v>
      </c>
      <c r="AL4981">
        <v>94.017051643167804</v>
      </c>
      <c r="AM4981">
        <v>89.535344651278194</v>
      </c>
      <c r="AN4981">
        <v>0.99999995702899003</v>
      </c>
    </row>
    <row r="4982" spans="1:40" x14ac:dyDescent="0.25">
      <c r="A4982" t="str">
        <f>"20190303154616211"</f>
        <v>20190303154616211</v>
      </c>
      <c r="B4982" t="str">
        <f>"1551599176206601"</f>
        <v>1551599176206601</v>
      </c>
      <c r="C4982" t="s">
        <v>40</v>
      </c>
      <c r="D4982">
        <v>5.3616380000000001</v>
      </c>
      <c r="E4982">
        <v>0.48893300000000001</v>
      </c>
      <c r="F4982" t="s">
        <v>41</v>
      </c>
      <c r="G4982">
        <v>-421.3827</v>
      </c>
      <c r="H4982" s="1">
        <v>-3.6656620000000001E-6</v>
      </c>
      <c r="I4982">
        <v>67.27628</v>
      </c>
      <c r="J4982">
        <v>-421.80889999999999</v>
      </c>
      <c r="K4982">
        <v>1.12039</v>
      </c>
      <c r="L4982">
        <v>82.740229999999997</v>
      </c>
      <c r="M4982">
        <v>5.5722200000000001E-3</v>
      </c>
      <c r="N4982">
        <v>-7.9623650000000008E-3</v>
      </c>
      <c r="O4982">
        <v>-0.99995299999999998</v>
      </c>
      <c r="P4982">
        <v>-2.737331E-3</v>
      </c>
      <c r="Q4982">
        <v>-7.8012319999999996E-2</v>
      </c>
      <c r="R4982">
        <v>-0.99694890000000003</v>
      </c>
      <c r="S4982">
        <v>8.1420899999999893E-2</v>
      </c>
      <c r="T4982">
        <v>-0.213306</v>
      </c>
      <c r="U4982">
        <v>-2.9927060000000001</v>
      </c>
      <c r="V4982">
        <v>8.2897279999999997E-3</v>
      </c>
      <c r="W4982">
        <v>-7.0072389999999998E-2</v>
      </c>
      <c r="X4982">
        <v>0.99750749999999999</v>
      </c>
      <c r="Y4982">
        <v>-2.1564570000000002E-2</v>
      </c>
      <c r="Z4982">
        <v>6.3128050000000005E-2</v>
      </c>
      <c r="AA4982">
        <v>0.99777249999999995</v>
      </c>
      <c r="AB4982">
        <v>25</v>
      </c>
      <c r="AC4982">
        <v>0.42619999999999397</v>
      </c>
      <c r="AD4982">
        <v>-1.1203936656619999</v>
      </c>
      <c r="AE4982">
        <v>-15.463950000000001</v>
      </c>
      <c r="AF4982">
        <v>-0.338247926036993</v>
      </c>
      <c r="AG4982">
        <v>-1.1203936656619999</v>
      </c>
      <c r="AH4982">
        <v>15.3853838499282</v>
      </c>
      <c r="AI4982">
        <v>94.164035706561705</v>
      </c>
      <c r="AJ4982">
        <v>91.259445800879206</v>
      </c>
      <c r="AK4982">
        <v>15.4298324629645</v>
      </c>
      <c r="AL4982">
        <v>94.018144924479998</v>
      </c>
      <c r="AM4982">
        <v>89.523857721478393</v>
      </c>
      <c r="AN4982">
        <v>1.00000003599343</v>
      </c>
    </row>
    <row r="4983" spans="1:40" x14ac:dyDescent="0.25">
      <c r="A4983" t="str">
        <f>"20190303154616233"</f>
        <v>20190303154616233</v>
      </c>
      <c r="B4983" t="str">
        <f>"1551599176226121"</f>
        <v>1551599176226121</v>
      </c>
      <c r="C4983" t="s">
        <v>40</v>
      </c>
      <c r="D4983">
        <v>5.3045349999999996</v>
      </c>
      <c r="E4983">
        <v>0.48885909999999999</v>
      </c>
      <c r="F4983" t="s">
        <v>41</v>
      </c>
      <c r="G4983">
        <v>-421.38929999999999</v>
      </c>
      <c r="H4983" s="1">
        <v>-3.5617749999999999E-6</v>
      </c>
      <c r="I4983">
        <v>67.030010000000004</v>
      </c>
      <c r="J4983">
        <v>-421.80739999999997</v>
      </c>
      <c r="K4983">
        <v>1.1204480000000001</v>
      </c>
      <c r="L4983">
        <v>82.481899999999996</v>
      </c>
      <c r="M4983">
        <v>5.5730099999999998E-3</v>
      </c>
      <c r="N4983">
        <v>-8.3435880000000007E-3</v>
      </c>
      <c r="O4983">
        <v>-0.99994989999999995</v>
      </c>
      <c r="P4983">
        <v>-2.8792879999999998E-3</v>
      </c>
      <c r="Q4983">
        <v>-7.8441640000000007E-2</v>
      </c>
      <c r="R4983">
        <v>-0.99691490000000005</v>
      </c>
      <c r="S4983">
        <v>7.9925540000000003E-2</v>
      </c>
      <c r="T4983">
        <v>-0.21342639999999999</v>
      </c>
      <c r="U4983">
        <v>-2.9926759999999999</v>
      </c>
      <c r="V4983">
        <v>8.4324510000000005E-3</v>
      </c>
      <c r="W4983">
        <v>-7.0121649999999994E-2</v>
      </c>
      <c r="X4983">
        <v>0.99750280000000002</v>
      </c>
      <c r="Y4983">
        <v>-2.106622E-2</v>
      </c>
      <c r="Z4983">
        <v>6.27891E-2</v>
      </c>
      <c r="AA4983">
        <v>0.99780449999999998</v>
      </c>
      <c r="AB4983">
        <v>25</v>
      </c>
      <c r="AC4983">
        <v>0.41809999999998099</v>
      </c>
      <c r="AD4983">
        <v>-1.1204515617749999</v>
      </c>
      <c r="AE4983">
        <v>-15.451889999999899</v>
      </c>
      <c r="AF4983">
        <v>-0.33024184146907798</v>
      </c>
      <c r="AG4983">
        <v>-1.1204515617749999</v>
      </c>
      <c r="AH4983">
        <v>15.3732065576176</v>
      </c>
      <c r="AI4983">
        <v>94.167582468153</v>
      </c>
      <c r="AJ4983">
        <v>91.230618606589402</v>
      </c>
      <c r="AK4983">
        <v>15.4175209174276</v>
      </c>
      <c r="AL4983">
        <v>94.020974443231097</v>
      </c>
      <c r="AM4983">
        <v>89.515658156725607</v>
      </c>
      <c r="AN4983">
        <v>0.99999999401821404</v>
      </c>
    </row>
    <row r="4984" spans="1:40" x14ac:dyDescent="0.25">
      <c r="A4984" t="str">
        <f>"20190303154616257"</f>
        <v>20190303154616257</v>
      </c>
      <c r="B4984" t="str">
        <f>"1551599176246617"</f>
        <v>1551599176246617</v>
      </c>
      <c r="C4984" t="s">
        <v>40</v>
      </c>
      <c r="D4984">
        <v>5.254696</v>
      </c>
      <c r="E4984">
        <v>0.48876819999999999</v>
      </c>
      <c r="F4984" t="s">
        <v>41</v>
      </c>
      <c r="G4984">
        <v>-421.38850000000002</v>
      </c>
      <c r="H4984" s="1">
        <v>-3.493114E-6</v>
      </c>
      <c r="I4984">
        <v>66.870419999999996</v>
      </c>
      <c r="J4984">
        <v>-421.80599999999998</v>
      </c>
      <c r="K4984">
        <v>1.1205020000000001</v>
      </c>
      <c r="L4984">
        <v>82.229190000000003</v>
      </c>
      <c r="M4984">
        <v>5.5732580000000002E-3</v>
      </c>
      <c r="N4984">
        <v>-8.7524730000000002E-3</v>
      </c>
      <c r="O4984">
        <v>-0.99994640000000001</v>
      </c>
      <c r="P4984">
        <v>-3.6843660000000001E-3</v>
      </c>
      <c r="Q4984">
        <v>-7.9199749999999999E-2</v>
      </c>
      <c r="R4984">
        <v>-0.99685230000000002</v>
      </c>
      <c r="S4984">
        <v>8.0291749999999995E-2</v>
      </c>
      <c r="T4984">
        <v>-0.21478510000000001</v>
      </c>
      <c r="U4984">
        <v>-2.992645</v>
      </c>
      <c r="V4984">
        <v>9.2375229999999992E-3</v>
      </c>
      <c r="W4984">
        <v>-7.0472469999999995E-2</v>
      </c>
      <c r="X4984">
        <v>0.997471</v>
      </c>
      <c r="Y4984">
        <v>-2.1187689999999999E-2</v>
      </c>
      <c r="Z4984">
        <v>6.2832230000000003E-2</v>
      </c>
      <c r="AA4984">
        <v>0.9977992</v>
      </c>
      <c r="AB4984">
        <v>25</v>
      </c>
      <c r="AC4984">
        <v>0.41749999999996101</v>
      </c>
      <c r="AD4984">
        <v>-1.1205054931139999</v>
      </c>
      <c r="AE4984">
        <v>-15.35877</v>
      </c>
      <c r="AF4984">
        <v>-0.33013601967130801</v>
      </c>
      <c r="AG4984">
        <v>-1.1205054931139999</v>
      </c>
      <c r="AH4984">
        <v>15.279592894296901</v>
      </c>
      <c r="AI4984">
        <v>94.193215139876699</v>
      </c>
      <c r="AJ4984">
        <v>91.237759284441694</v>
      </c>
      <c r="AK4984">
        <v>15.3241796311264</v>
      </c>
      <c r="AL4984">
        <v>94.041124578831798</v>
      </c>
      <c r="AM4984">
        <v>89.469402167239906</v>
      </c>
      <c r="AN4984">
        <v>1.00000004835003</v>
      </c>
    </row>
    <row r="4985" spans="1:40" x14ac:dyDescent="0.25">
      <c r="A4985" t="str">
        <f>"20190303154616278"</f>
        <v>20190303154616278</v>
      </c>
      <c r="B4985" t="str">
        <f>"1551599176266137"</f>
        <v>1551599176266137</v>
      </c>
      <c r="C4985" t="s">
        <v>40</v>
      </c>
      <c r="D4985">
        <v>5.1899639999999998</v>
      </c>
      <c r="E4985">
        <v>0.46338849999999998</v>
      </c>
      <c r="F4985" t="s">
        <v>41</v>
      </c>
      <c r="G4985">
        <v>-421.4008</v>
      </c>
      <c r="H4985" s="1">
        <v>-3.4661530000000001E-6</v>
      </c>
      <c r="I4985">
        <v>66.799959999999999</v>
      </c>
      <c r="J4985">
        <v>-421.80459999999999</v>
      </c>
      <c r="K4985">
        <v>1.1205639999999999</v>
      </c>
      <c r="L4985">
        <v>81.974180000000004</v>
      </c>
      <c r="M4985">
        <v>5.5733270000000003E-3</v>
      </c>
      <c r="N4985">
        <v>-9.2153749999999996E-3</v>
      </c>
      <c r="O4985">
        <v>-0.99994229999999995</v>
      </c>
      <c r="P4985">
        <v>-3.5865939999999998E-3</v>
      </c>
      <c r="Q4985">
        <v>-8.0669240000000003E-2</v>
      </c>
      <c r="R4985">
        <v>-0.99673469999999997</v>
      </c>
      <c r="S4985">
        <v>7.8582760000000001E-2</v>
      </c>
      <c r="T4985">
        <v>-0.21732180000000001</v>
      </c>
      <c r="U4985">
        <v>-2.9924930000000001</v>
      </c>
      <c r="V4985">
        <v>9.1391909999999996E-3</v>
      </c>
      <c r="W4985">
        <v>-7.148119E-2</v>
      </c>
      <c r="X4985">
        <v>0.99740010000000001</v>
      </c>
      <c r="Y4985">
        <v>-2.0618580000000001E-2</v>
      </c>
      <c r="Z4985">
        <v>6.3216199999999903E-2</v>
      </c>
      <c r="AA4985">
        <v>0.99778679999999997</v>
      </c>
      <c r="AB4985">
        <v>25</v>
      </c>
      <c r="AC4985">
        <v>0.403799999999989</v>
      </c>
      <c r="AD4985">
        <v>-1.1205674661529901</v>
      </c>
      <c r="AE4985">
        <v>-15.17422</v>
      </c>
      <c r="AF4985">
        <v>-0.31748911795817802</v>
      </c>
      <c r="AG4985">
        <v>-1.1205674661529901</v>
      </c>
      <c r="AH4985">
        <v>15.0939804217684</v>
      </c>
      <c r="AI4985">
        <v>94.244877760297697</v>
      </c>
      <c r="AJ4985">
        <v>91.204990595798407</v>
      </c>
      <c r="AK4985">
        <v>15.1388479006478</v>
      </c>
      <c r="AL4985">
        <v>94.099066214348596</v>
      </c>
      <c r="AM4985">
        <v>89.475012667231397</v>
      </c>
      <c r="AN4985">
        <v>1.0000000224079799</v>
      </c>
    </row>
    <row r="4986" spans="1:40" x14ac:dyDescent="0.25">
      <c r="A4986" t="str">
        <f>"20190303154616301"</f>
        <v>20190303154616301</v>
      </c>
      <c r="B4986" t="str">
        <f>"1551599176296393"</f>
        <v>1551599176296393</v>
      </c>
      <c r="C4986" t="s">
        <v>40</v>
      </c>
      <c r="D4986">
        <v>5.2336850000000004</v>
      </c>
      <c r="E4986">
        <v>0.45952280000000001</v>
      </c>
      <c r="F4986" t="s">
        <v>41</v>
      </c>
      <c r="G4986">
        <v>-420.2013</v>
      </c>
      <c r="H4986" s="1">
        <v>-2.3203719999999999E-6</v>
      </c>
      <c r="I4986">
        <v>64.87312</v>
      </c>
      <c r="J4986">
        <v>-421.8032</v>
      </c>
      <c r="K4986">
        <v>1.1206290000000001</v>
      </c>
      <c r="L4986">
        <v>81.720249999999993</v>
      </c>
      <c r="M4986">
        <v>5.5734499999999998E-3</v>
      </c>
      <c r="N4986">
        <v>-9.7097199999999998E-3</v>
      </c>
      <c r="O4986">
        <v>-0.99993750000000003</v>
      </c>
      <c r="P4986">
        <v>-3.0196680000000001E-3</v>
      </c>
      <c r="Q4986">
        <v>-8.1083160000000001E-2</v>
      </c>
      <c r="R4986">
        <v>-0.99670300000000001</v>
      </c>
      <c r="S4986">
        <v>0.28079219999999999</v>
      </c>
      <c r="T4986">
        <v>-0.19624849999999999</v>
      </c>
      <c r="U4986">
        <v>-2.9949650000000001</v>
      </c>
      <c r="V4986">
        <v>8.5722360000000004E-3</v>
      </c>
      <c r="W4986">
        <v>-7.1402279999999999E-2</v>
      </c>
      <c r="X4986">
        <v>0.99741080000000004</v>
      </c>
      <c r="Y4986">
        <v>-8.7619290000000002E-2</v>
      </c>
      <c r="Z4986">
        <v>5.5426980000000001E-2</v>
      </c>
      <c r="AA4986">
        <v>0.99461080000000002</v>
      </c>
      <c r="AB4986">
        <v>25</v>
      </c>
      <c r="AC4986">
        <v>1.6019000000000001</v>
      </c>
      <c r="AD4986">
        <v>-1.120631320372</v>
      </c>
      <c r="AE4986">
        <v>-16.8471299999999</v>
      </c>
      <c r="AF4986">
        <v>-1.5013905451274501</v>
      </c>
      <c r="AG4986">
        <v>-1.120631320372</v>
      </c>
      <c r="AH4986">
        <v>16.782207666597099</v>
      </c>
      <c r="AI4986">
        <v>93.805100216140403</v>
      </c>
      <c r="AJ4986">
        <v>95.112255692277301</v>
      </c>
      <c r="AK4986">
        <v>16.886458547901299</v>
      </c>
      <c r="AL4986">
        <v>94.0945333648434</v>
      </c>
      <c r="AM4986">
        <v>89.507584185690604</v>
      </c>
      <c r="AN4986">
        <v>1.00000003638793</v>
      </c>
    </row>
    <row r="4987" spans="1:40" x14ac:dyDescent="0.25">
      <c r="A4987" t="str">
        <f>"20190303154616324"</f>
        <v>20190303154616324</v>
      </c>
      <c r="B4987" t="str">
        <f>"1551599176315912"</f>
        <v>1551599176315912</v>
      </c>
      <c r="C4987" t="s">
        <v>40</v>
      </c>
      <c r="D4987">
        <v>5.2086690000000004</v>
      </c>
      <c r="E4987">
        <v>0.45887830000000002</v>
      </c>
      <c r="F4987" t="s">
        <v>41</v>
      </c>
      <c r="G4987">
        <v>-420.01819999999998</v>
      </c>
      <c r="H4987" s="1">
        <v>-2.1819100000000001E-6</v>
      </c>
      <c r="I4987">
        <v>64.663910000000001</v>
      </c>
      <c r="J4987">
        <v>-421.80169999999998</v>
      </c>
      <c r="K4987">
        <v>1.120684</v>
      </c>
      <c r="L4987">
        <v>81.459009999999907</v>
      </c>
      <c r="M4987">
        <v>5.5735840000000004E-3</v>
      </c>
      <c r="N4987">
        <v>-1.0199339999999999E-2</v>
      </c>
      <c r="O4987">
        <v>-0.99993279999999995</v>
      </c>
      <c r="P4987">
        <v>-1.99117E-3</v>
      </c>
      <c r="Q4987">
        <v>-8.2386749999999995E-2</v>
      </c>
      <c r="R4987">
        <v>-0.99659869999999995</v>
      </c>
      <c r="S4987">
        <v>0.31341550000000001</v>
      </c>
      <c r="T4987">
        <v>-0.19676640000000001</v>
      </c>
      <c r="U4987">
        <v>-2.9948429999999999</v>
      </c>
      <c r="V4987">
        <v>7.5432669999999898E-3</v>
      </c>
      <c r="W4987">
        <v>-7.2218370000000004E-2</v>
      </c>
      <c r="X4987">
        <v>0.99736029999999998</v>
      </c>
      <c r="Y4987">
        <v>-9.8342550000000001E-2</v>
      </c>
      <c r="Z4987">
        <v>5.5044750000000003E-2</v>
      </c>
      <c r="AA4987">
        <v>0.99362910000000004</v>
      </c>
      <c r="AB4987">
        <v>25</v>
      </c>
      <c r="AC4987">
        <v>1.7835000000000001</v>
      </c>
      <c r="AD4987">
        <v>-1.12068618191</v>
      </c>
      <c r="AE4987">
        <v>-16.795099999999898</v>
      </c>
      <c r="AF4987">
        <v>-1.6824509957706499</v>
      </c>
      <c r="AG4987">
        <v>-1.12068618191</v>
      </c>
      <c r="AH4987">
        <v>16.731115685810501</v>
      </c>
      <c r="AI4987">
        <v>93.812898332094406</v>
      </c>
      <c r="AJ4987">
        <v>95.742257631402794</v>
      </c>
      <c r="AK4987">
        <v>16.8527983125494</v>
      </c>
      <c r="AL4987">
        <v>94.141413135866301</v>
      </c>
      <c r="AM4987">
        <v>89.566667008699</v>
      </c>
      <c r="AN4987">
        <v>0.99999998092928899</v>
      </c>
    </row>
    <row r="4988" spans="1:40" x14ac:dyDescent="0.25">
      <c r="A4988" t="str">
        <f>"20190303154616349"</f>
        <v>20190303154616349</v>
      </c>
      <c r="B4988" t="str">
        <f>"1551599176336409"</f>
        <v>1551599176336409</v>
      </c>
      <c r="C4988" t="s">
        <v>40</v>
      </c>
      <c r="D4988">
        <v>5.1871419999999997</v>
      </c>
      <c r="E4988">
        <v>0.45846579999999898</v>
      </c>
      <c r="F4988" t="s">
        <v>41</v>
      </c>
      <c r="G4988">
        <v>-420.01369999999997</v>
      </c>
      <c r="H4988" s="1">
        <v>-2.2465469999999998E-6</v>
      </c>
      <c r="I4988">
        <v>64.817390000000003</v>
      </c>
      <c r="J4988">
        <v>-421.80020000000002</v>
      </c>
      <c r="K4988">
        <v>1.1207279999999999</v>
      </c>
      <c r="L4988">
        <v>81.181669999999997</v>
      </c>
      <c r="M4988">
        <v>5.5736359999999999E-3</v>
      </c>
      <c r="N4988">
        <v>-1.066894E-2</v>
      </c>
      <c r="O4988">
        <v>-0.99992780000000003</v>
      </c>
      <c r="P4988">
        <v>-1.204526E-3</v>
      </c>
      <c r="Q4988">
        <v>-8.3346130000000004E-2</v>
      </c>
      <c r="R4988">
        <v>-0.99652019999999997</v>
      </c>
      <c r="S4988">
        <v>0.32171630000000001</v>
      </c>
      <c r="T4988">
        <v>-0.2016386</v>
      </c>
      <c r="U4988">
        <v>-2.9942319999999998</v>
      </c>
      <c r="V4988">
        <v>6.7562280000000004E-3</v>
      </c>
      <c r="W4988">
        <v>-7.2710079999999996E-2</v>
      </c>
      <c r="X4988">
        <v>0.99733019999999994</v>
      </c>
      <c r="Y4988">
        <v>-0.10107629999999999</v>
      </c>
      <c r="Z4988">
        <v>5.6179560000000003E-2</v>
      </c>
      <c r="AA4988">
        <v>0.99329120000000004</v>
      </c>
      <c r="AB4988">
        <v>25</v>
      </c>
      <c r="AC4988">
        <v>1.7865000000000399</v>
      </c>
      <c r="AD4988">
        <v>-1.1207302465469999</v>
      </c>
      <c r="AE4988">
        <v>-16.364279999999901</v>
      </c>
      <c r="AF4988">
        <v>-1.68743702990488</v>
      </c>
      <c r="AG4988">
        <v>-1.1207302465469999</v>
      </c>
      <c r="AH4988">
        <v>16.2984380927779</v>
      </c>
      <c r="AI4988">
        <v>93.912790584486501</v>
      </c>
      <c r="AJ4988">
        <v>95.910981707731807</v>
      </c>
      <c r="AK4988">
        <v>16.4238413375049</v>
      </c>
      <c r="AL4988">
        <v>94.169660372060505</v>
      </c>
      <c r="AM4988">
        <v>89.611866332305496</v>
      </c>
      <c r="AN4988">
        <v>0.99999996509121603</v>
      </c>
    </row>
    <row r="4989" spans="1:40" x14ac:dyDescent="0.25">
      <c r="A4989" t="str">
        <f>"20190303154616368"</f>
        <v>20190303154616368</v>
      </c>
      <c r="B4989" t="str">
        <f>"1551599176355928"</f>
        <v>1551599176355928</v>
      </c>
      <c r="C4989" t="s">
        <v>40</v>
      </c>
      <c r="D4989">
        <v>5.2125029999999999</v>
      </c>
      <c r="E4989">
        <v>0.45845710000000001</v>
      </c>
      <c r="F4989" t="s">
        <v>41</v>
      </c>
      <c r="G4989">
        <v>-419.97829999999999</v>
      </c>
      <c r="H4989" s="1">
        <v>-2.1179589999999998E-6</v>
      </c>
      <c r="I4989">
        <v>64.539559999999994</v>
      </c>
      <c r="J4989">
        <v>-421.7989</v>
      </c>
      <c r="K4989">
        <v>1.1207510000000001</v>
      </c>
      <c r="L4989">
        <v>80.955690000000004</v>
      </c>
      <c r="M4989">
        <v>5.5736700000000002E-3</v>
      </c>
      <c r="N4989">
        <v>-1.101802E-2</v>
      </c>
      <c r="O4989">
        <v>-0.99992389999999998</v>
      </c>
      <c r="P4989">
        <v>-6.6673729999999895E-4</v>
      </c>
      <c r="Q4989">
        <v>-8.4329370000000001E-2</v>
      </c>
      <c r="R4989">
        <v>-0.99643780000000004</v>
      </c>
      <c r="S4989">
        <v>0.32775880000000002</v>
      </c>
      <c r="T4989">
        <v>-0.20162620000000001</v>
      </c>
      <c r="U4989">
        <v>-2.9940190000000002</v>
      </c>
      <c r="V4989">
        <v>6.2180050000000004E-3</v>
      </c>
      <c r="W4989">
        <v>-7.3345960000000002E-2</v>
      </c>
      <c r="X4989">
        <v>0.99728720000000004</v>
      </c>
      <c r="Y4989">
        <v>-0.1030647</v>
      </c>
      <c r="Z4989">
        <v>5.5817760000000001E-2</v>
      </c>
      <c r="AA4989">
        <v>0.99310730000000003</v>
      </c>
      <c r="AB4989">
        <v>25</v>
      </c>
      <c r="AC4989">
        <v>1.82060000000001</v>
      </c>
      <c r="AD4989">
        <v>-1.120753117959</v>
      </c>
      <c r="AE4989">
        <v>-16.416129999999999</v>
      </c>
      <c r="AF4989">
        <v>-1.7211433194669199</v>
      </c>
      <c r="AG4989">
        <v>-1.120753117959</v>
      </c>
      <c r="AH4989">
        <v>16.3507383209617</v>
      </c>
      <c r="AI4989">
        <v>93.899698235818406</v>
      </c>
      <c r="AJ4989">
        <v>96.009050908139301</v>
      </c>
      <c r="AK4989">
        <v>16.4792313388133</v>
      </c>
      <c r="AL4989">
        <v>94.2061908973063</v>
      </c>
      <c r="AM4989">
        <v>89.642770079586199</v>
      </c>
      <c r="AN4989">
        <v>1.00000002635917</v>
      </c>
    </row>
    <row r="4990" spans="1:40" x14ac:dyDescent="0.25">
      <c r="A4990" t="str">
        <f>"20190303154616390"</f>
        <v>20190303154616390</v>
      </c>
      <c r="B4990" t="str">
        <f>"1551599176386185"</f>
        <v>1551599176386185</v>
      </c>
      <c r="C4990" t="s">
        <v>40</v>
      </c>
      <c r="D4990">
        <v>5.5206339999999896</v>
      </c>
      <c r="E4990">
        <v>0.45832820000000002</v>
      </c>
      <c r="F4990" t="s">
        <v>41</v>
      </c>
      <c r="G4990">
        <v>-419.9873</v>
      </c>
      <c r="H4990" s="1">
        <v>-2.0924359999999998E-6</v>
      </c>
      <c r="I4990">
        <v>64.474500000000006</v>
      </c>
      <c r="J4990">
        <v>-421.79750000000001</v>
      </c>
      <c r="K4990">
        <v>1.1207739999999999</v>
      </c>
      <c r="L4990">
        <v>80.706760000000003</v>
      </c>
      <c r="M4990">
        <v>5.5737219999999997E-3</v>
      </c>
      <c r="N4990">
        <v>-1.1369590000000001E-2</v>
      </c>
      <c r="O4990">
        <v>-0.99992009999999998</v>
      </c>
      <c r="P4990">
        <v>-6.3445760000000004E-4</v>
      </c>
      <c r="Q4990">
        <v>-8.4868879999999994E-2</v>
      </c>
      <c r="R4990">
        <v>-0.99639230000000001</v>
      </c>
      <c r="S4990">
        <v>0.329071</v>
      </c>
      <c r="T4990">
        <v>-0.20357839999999999</v>
      </c>
      <c r="U4990">
        <v>-2.9937130000000001</v>
      </c>
      <c r="V4990">
        <v>6.1855349999999998E-3</v>
      </c>
      <c r="W4990">
        <v>-7.3535279999999995E-2</v>
      </c>
      <c r="X4990">
        <v>0.99727339999999998</v>
      </c>
      <c r="Y4990">
        <v>-0.1035017</v>
      </c>
      <c r="Z4990">
        <v>5.6114900000000002E-2</v>
      </c>
      <c r="AA4990">
        <v>0.99304510000000001</v>
      </c>
      <c r="AB4990">
        <v>25</v>
      </c>
      <c r="AC4990">
        <v>1.8102</v>
      </c>
      <c r="AD4990">
        <v>-1.120776092436</v>
      </c>
      <c r="AE4990">
        <v>-16.232259999999901</v>
      </c>
      <c r="AF4990">
        <v>-1.71163218369125</v>
      </c>
      <c r="AG4990">
        <v>-1.120776092436</v>
      </c>
      <c r="AH4990">
        <v>16.165975378951199</v>
      </c>
      <c r="AI4990">
        <v>93.943956746669102</v>
      </c>
      <c r="AJ4990">
        <v>96.043884225318095</v>
      </c>
      <c r="AK4990">
        <v>16.294925091404298</v>
      </c>
      <c r="AL4990">
        <v>94.217067759038201</v>
      </c>
      <c r="AM4990">
        <v>89.644630544702494</v>
      </c>
      <c r="AN4990">
        <v>0.99999996629773602</v>
      </c>
    </row>
    <row r="4991" spans="1:40" x14ac:dyDescent="0.25">
      <c r="A4991" t="str">
        <f>"20190303154616414"</f>
        <v>20190303154616414</v>
      </c>
      <c r="B4991" t="str">
        <f>"1551599176406681"</f>
        <v>1551599176406681</v>
      </c>
      <c r="C4991" t="s">
        <v>40</v>
      </c>
      <c r="D4991">
        <v>5.1870029999999998</v>
      </c>
      <c r="E4991">
        <v>0.45843450000000002</v>
      </c>
      <c r="F4991" t="s">
        <v>41</v>
      </c>
      <c r="G4991">
        <v>-419.98649999999998</v>
      </c>
      <c r="H4991" s="1">
        <v>-2.0123589999999999E-6</v>
      </c>
      <c r="I4991">
        <v>64.28837</v>
      </c>
      <c r="J4991">
        <v>-421.79599999999999</v>
      </c>
      <c r="K4991">
        <v>1.1207929999999999</v>
      </c>
      <c r="L4991">
        <v>80.426240000000007</v>
      </c>
      <c r="M4991">
        <v>5.5734809999999999E-3</v>
      </c>
      <c r="N4991">
        <v>-1.172488E-2</v>
      </c>
      <c r="O4991">
        <v>-0.99991580000000002</v>
      </c>
      <c r="P4991">
        <v>-3.7614560000000003E-4</v>
      </c>
      <c r="Q4991">
        <v>-8.5182759999999996E-2</v>
      </c>
      <c r="R4991">
        <v>-0.99636539999999996</v>
      </c>
      <c r="S4991">
        <v>0.33023069999999999</v>
      </c>
      <c r="T4991">
        <v>-0.20435919999999999</v>
      </c>
      <c r="U4991">
        <v>-2.9936829999999999</v>
      </c>
      <c r="V4991">
        <v>5.926878E-3</v>
      </c>
      <c r="W4991">
        <v>-7.3495080000000004E-2</v>
      </c>
      <c r="X4991">
        <v>0.997278</v>
      </c>
      <c r="Y4991">
        <v>-0.10388169999999999</v>
      </c>
      <c r="Z4991">
        <v>5.6015929999999999E-2</v>
      </c>
      <c r="AA4991">
        <v>0.99301099999999998</v>
      </c>
      <c r="AB4991">
        <v>25</v>
      </c>
      <c r="AC4991">
        <v>1.8095000000000101</v>
      </c>
      <c r="AD4991">
        <v>-1.120795012359</v>
      </c>
      <c r="AE4991">
        <v>-16.137869999999999</v>
      </c>
      <c r="AF4991">
        <v>-1.71136935171381</v>
      </c>
      <c r="AG4991">
        <v>-1.120795012359</v>
      </c>
      <c r="AH4991">
        <v>16.0711489583299</v>
      </c>
      <c r="AI4991">
        <v>93.966967785538401</v>
      </c>
      <c r="AJ4991">
        <v>96.078352843562598</v>
      </c>
      <c r="AK4991">
        <v>16.200826996130299</v>
      </c>
      <c r="AL4991">
        <v>94.214757941919402</v>
      </c>
      <c r="AM4991">
        <v>89.659492040197193</v>
      </c>
      <c r="AN4991">
        <v>1.00000003197551</v>
      </c>
    </row>
    <row r="4992" spans="1:40" x14ac:dyDescent="0.25">
      <c r="A4992" t="str">
        <f>"20190303154616434"</f>
        <v>20190303154616434</v>
      </c>
      <c r="B4992" t="str">
        <f>"1551599176426200"</f>
        <v>1551599176426200</v>
      </c>
      <c r="C4992" t="s">
        <v>40</v>
      </c>
      <c r="D4992">
        <v>5.1794349999999998</v>
      </c>
      <c r="E4992">
        <v>0.4584819</v>
      </c>
      <c r="F4992" t="s">
        <v>41</v>
      </c>
      <c r="G4992">
        <v>-419.98649999999998</v>
      </c>
      <c r="H4992" s="1">
        <v>-1.894797E-6</v>
      </c>
      <c r="I4992">
        <v>64.014290000000003</v>
      </c>
      <c r="J4992">
        <v>-421.79480000000001</v>
      </c>
      <c r="K4992">
        <v>1.1208100000000001</v>
      </c>
      <c r="L4992">
        <v>80.207369999999997</v>
      </c>
      <c r="M4992">
        <v>5.5732619999999998E-3</v>
      </c>
      <c r="N4992">
        <v>-1.1970379999999999E-2</v>
      </c>
      <c r="O4992">
        <v>-0.99991300000000005</v>
      </c>
      <c r="P4992">
        <v>-1.9901949999999999E-4</v>
      </c>
      <c r="Q4992">
        <v>-8.5436319999999996E-2</v>
      </c>
      <c r="R4992">
        <v>-0.9963436</v>
      </c>
      <c r="S4992">
        <v>0.330047599999999</v>
      </c>
      <c r="T4992">
        <v>-0.20443649999999999</v>
      </c>
      <c r="U4992">
        <v>-2.9935909999999999</v>
      </c>
      <c r="V4992">
        <v>5.7494410000000001E-3</v>
      </c>
      <c r="W4992">
        <v>-7.3504009999999995E-2</v>
      </c>
      <c r="X4992">
        <v>0.99727829999999995</v>
      </c>
      <c r="Y4992">
        <v>-0.103825399999999</v>
      </c>
      <c r="Z4992">
        <v>5.579887E-2</v>
      </c>
      <c r="AA4992">
        <v>0.9930291</v>
      </c>
      <c r="AB4992">
        <v>25</v>
      </c>
      <c r="AC4992">
        <v>1.80830000000003</v>
      </c>
      <c r="AD4992">
        <v>-1.1208118947970001</v>
      </c>
      <c r="AE4992">
        <v>-16.193079999999899</v>
      </c>
      <c r="AF4992">
        <v>-1.7099261961094101</v>
      </c>
      <c r="AG4992">
        <v>-1.1208118947970001</v>
      </c>
      <c r="AH4992">
        <v>16.1265998640358</v>
      </c>
      <c r="AI4992">
        <v>93.953618831398302</v>
      </c>
      <c r="AJ4992">
        <v>96.052537945945204</v>
      </c>
      <c r="AK4992">
        <v>16.255684854055801</v>
      </c>
      <c r="AL4992">
        <v>94.215271320254402</v>
      </c>
      <c r="AM4992">
        <v>89.669685929864997</v>
      </c>
      <c r="AN4992">
        <v>0.99999995160439004</v>
      </c>
    </row>
    <row r="4993" spans="1:40" x14ac:dyDescent="0.25">
      <c r="A4993" t="str">
        <f>"20190303154616456"</f>
        <v>20190303154616456</v>
      </c>
      <c r="B4993" t="str">
        <f>"1551599176446697"</f>
        <v>1551599176446697</v>
      </c>
      <c r="C4993" t="s">
        <v>40</v>
      </c>
      <c r="D4993">
        <v>5.1689160000000003</v>
      </c>
      <c r="E4993">
        <v>0.45838250000000003</v>
      </c>
      <c r="F4993" t="s">
        <v>41</v>
      </c>
      <c r="G4993">
        <v>-419.98669999999998</v>
      </c>
      <c r="H4993" s="1">
        <v>-1.8110910000000001E-6</v>
      </c>
      <c r="I4993">
        <v>63.819040000000001</v>
      </c>
      <c r="J4993">
        <v>-421.79340000000002</v>
      </c>
      <c r="K4993">
        <v>1.1208260000000001</v>
      </c>
      <c r="L4993">
        <v>79.956599999999995</v>
      </c>
      <c r="M4993">
        <v>5.5731610000000001E-3</v>
      </c>
      <c r="N4993">
        <v>-1.222056E-2</v>
      </c>
      <c r="O4993">
        <v>-0.99990990000000002</v>
      </c>
      <c r="P4993">
        <v>2.9604140000000001E-4</v>
      </c>
      <c r="Q4993">
        <v>-8.5042980000000004E-2</v>
      </c>
      <c r="R4993">
        <v>-0.99637719999999996</v>
      </c>
      <c r="S4993">
        <v>0.33026119999999998</v>
      </c>
      <c r="T4993">
        <v>-0.20473</v>
      </c>
      <c r="U4993">
        <v>-2.9935299999999998</v>
      </c>
      <c r="V4993">
        <v>5.2545109999999999E-3</v>
      </c>
      <c r="W4993">
        <v>-7.2860709999999995E-2</v>
      </c>
      <c r="X4993">
        <v>0.99732829999999995</v>
      </c>
      <c r="Y4993">
        <v>-0.1038973</v>
      </c>
      <c r="Z4993">
        <v>5.5646880000000003E-2</v>
      </c>
      <c r="AA4993">
        <v>0.99303010000000003</v>
      </c>
      <c r="AB4993">
        <v>25</v>
      </c>
      <c r="AC4993">
        <v>1.8067000000000299</v>
      </c>
      <c r="AD4993">
        <v>-1.1208278110909999</v>
      </c>
      <c r="AE4993">
        <v>-16.137559999999901</v>
      </c>
      <c r="AF4993">
        <v>-1.7085879113751099</v>
      </c>
      <c r="AG4993">
        <v>-1.1208278110909999</v>
      </c>
      <c r="AH4993">
        <v>16.0708141329191</v>
      </c>
      <c r="AI4993">
        <v>93.967236977128493</v>
      </c>
      <c r="AJ4993">
        <v>96.068673135810499</v>
      </c>
      <c r="AK4993">
        <v>16.2002035335315</v>
      </c>
      <c r="AL4993">
        <v>94.178313576890005</v>
      </c>
      <c r="AM4993">
        <v>89.698134989119794</v>
      </c>
      <c r="AN4993">
        <v>1.0000000154642199</v>
      </c>
    </row>
    <row r="4994" spans="1:40" x14ac:dyDescent="0.25">
      <c r="A4994" t="str">
        <f>"20190303154616491"</f>
        <v>20190303154616491</v>
      </c>
      <c r="B4994" t="str">
        <f>"1551599176486713"</f>
        <v>1551599176486713</v>
      </c>
      <c r="C4994" t="s">
        <v>40</v>
      </c>
      <c r="D4994">
        <v>5.1433790000000004</v>
      </c>
      <c r="E4994">
        <v>0.45823930000000002</v>
      </c>
      <c r="F4994" t="s">
        <v>41</v>
      </c>
      <c r="G4994">
        <v>-419.95670000000001</v>
      </c>
      <c r="H4994" s="1">
        <v>-1.637761E-6</v>
      </c>
      <c r="I4994">
        <v>63.432510000000001</v>
      </c>
      <c r="J4994">
        <v>-421.7912</v>
      </c>
      <c r="K4994">
        <v>1.1208400000000001</v>
      </c>
      <c r="L4994">
        <v>79.57611</v>
      </c>
      <c r="M4994">
        <v>5.5733379999999997E-3</v>
      </c>
      <c r="N4994">
        <v>-1.254079E-2</v>
      </c>
      <c r="O4994">
        <v>-0.99990610000000002</v>
      </c>
      <c r="P4994">
        <v>1.5027319999999999E-3</v>
      </c>
      <c r="Q4994">
        <v>-8.4741739999999996E-2</v>
      </c>
      <c r="R4994">
        <v>-0.99640209999999996</v>
      </c>
      <c r="S4994">
        <v>0.33273320000000001</v>
      </c>
      <c r="T4994">
        <v>-0.2030468</v>
      </c>
      <c r="U4994">
        <v>-2.9934690000000002</v>
      </c>
      <c r="V4994">
        <v>4.0481889999999998E-3</v>
      </c>
      <c r="W4994">
        <v>-7.2239650000000002E-2</v>
      </c>
      <c r="X4994">
        <v>0.99737909999999996</v>
      </c>
      <c r="Y4994">
        <v>-0.1047131</v>
      </c>
      <c r="Z4994">
        <v>5.4767030000000001E-2</v>
      </c>
      <c r="AA4994">
        <v>0.99299329999999997</v>
      </c>
      <c r="AB4994">
        <v>25</v>
      </c>
      <c r="AC4994">
        <v>1.83449999999999</v>
      </c>
      <c r="AD4994">
        <v>-1.120841637761</v>
      </c>
      <c r="AE4994">
        <v>-16.143599999999999</v>
      </c>
      <c r="AF4994">
        <v>-1.73622800759336</v>
      </c>
      <c r="AG4994">
        <v>-1.120841637761</v>
      </c>
      <c r="AH4994">
        <v>16.077063612843499</v>
      </c>
      <c r="AI4994">
        <v>93.965045900909701</v>
      </c>
      <c r="AJ4994">
        <v>96.163718267122306</v>
      </c>
      <c r="AK4994">
        <v>16.209341383372401</v>
      </c>
      <c r="AL4994">
        <v>94.142635454114895</v>
      </c>
      <c r="AM4994">
        <v>89.7674476328053</v>
      </c>
      <c r="AN4994">
        <v>1.00000001199155</v>
      </c>
    </row>
    <row r="4995" spans="1:40" x14ac:dyDescent="0.25">
      <c r="A4995" t="str">
        <f>"20190303154616514"</f>
        <v>20190303154616514</v>
      </c>
      <c r="B4995" t="str">
        <f>"1551599176506232"</f>
        <v>1551599176506232</v>
      </c>
      <c r="C4995" t="s">
        <v>40</v>
      </c>
      <c r="D4995">
        <v>5.1571559999999996</v>
      </c>
      <c r="E4995">
        <v>0.45812599999999998</v>
      </c>
      <c r="F4995" t="s">
        <v>41</v>
      </c>
      <c r="G4995">
        <v>-419.90559999999999</v>
      </c>
      <c r="H4995" s="1">
        <v>-1.3959489999999999E-6</v>
      </c>
      <c r="I4995">
        <v>62.847729999999999</v>
      </c>
      <c r="J4995">
        <v>-421.78969999999998</v>
      </c>
      <c r="K4995">
        <v>1.1208530000000001</v>
      </c>
      <c r="L4995">
        <v>79.315950000000001</v>
      </c>
      <c r="M4995">
        <v>5.573494E-3</v>
      </c>
      <c r="N4995">
        <v>-1.272525E-2</v>
      </c>
      <c r="O4995">
        <v>-0.99990369999999995</v>
      </c>
      <c r="P4995">
        <v>1.7029199999999999E-3</v>
      </c>
      <c r="Q4995">
        <v>-8.5073499999999996E-2</v>
      </c>
      <c r="R4995">
        <v>-0.99637359999999997</v>
      </c>
      <c r="S4995">
        <v>0.33740229999999999</v>
      </c>
      <c r="T4995">
        <v>-0.2005574</v>
      </c>
      <c r="U4995">
        <v>-2.9932859999999999</v>
      </c>
      <c r="V4995">
        <v>3.8480070000000001E-3</v>
      </c>
      <c r="W4995">
        <v>-7.2387750000000001E-2</v>
      </c>
      <c r="X4995">
        <v>0.99736919999999996</v>
      </c>
      <c r="Y4995">
        <v>-0.106254399999999</v>
      </c>
      <c r="Z4995">
        <v>5.3753960000000003E-2</v>
      </c>
      <c r="AA4995">
        <v>0.99288489999999996</v>
      </c>
      <c r="AB4995">
        <v>25</v>
      </c>
      <c r="AC4995">
        <v>1.8840999999999799</v>
      </c>
      <c r="AD4995">
        <v>-1.120854395949</v>
      </c>
      <c r="AE4995">
        <v>-16.468219999999899</v>
      </c>
      <c r="AF4995">
        <v>-1.7841198354898999</v>
      </c>
      <c r="AG4995">
        <v>-1.120854395949</v>
      </c>
      <c r="AH4995">
        <v>16.403460586297701</v>
      </c>
      <c r="AI4995">
        <v>93.886117638307198</v>
      </c>
      <c r="AJ4995">
        <v>96.207365993709502</v>
      </c>
      <c r="AK4995">
        <v>16.538225943871101</v>
      </c>
      <c r="AL4995">
        <v>94.151143044418802</v>
      </c>
      <c r="AM4995">
        <v>89.778944981760304</v>
      </c>
      <c r="AN4995">
        <v>1.0000000573082799</v>
      </c>
    </row>
    <row r="4996" spans="1:40" x14ac:dyDescent="0.25">
      <c r="A4996" t="str">
        <f>"20190303154616539"</f>
        <v>20190303154616539</v>
      </c>
      <c r="B4996" t="str">
        <f>"1551599176536489"</f>
        <v>1551599176536489</v>
      </c>
      <c r="C4996" t="s">
        <v>40</v>
      </c>
      <c r="D4996">
        <v>5.14642</v>
      </c>
      <c r="E4996">
        <v>0.45782909999999999</v>
      </c>
      <c r="F4996" t="s">
        <v>41</v>
      </c>
      <c r="G4996">
        <v>-419.9008</v>
      </c>
      <c r="H4996" s="1">
        <v>-1.303788E-6</v>
      </c>
      <c r="I4996">
        <v>62.630890000000001</v>
      </c>
      <c r="J4996">
        <v>-421.78820000000002</v>
      </c>
      <c r="K4996">
        <v>1.1208670000000001</v>
      </c>
      <c r="L4996">
        <v>79.03595</v>
      </c>
      <c r="M4996">
        <v>5.5728779999999999E-3</v>
      </c>
      <c r="N4996">
        <v>-1.289674E-2</v>
      </c>
      <c r="O4996">
        <v>-0.99990129999999999</v>
      </c>
      <c r="P4996">
        <v>2.0872099999999999E-3</v>
      </c>
      <c r="Q4996">
        <v>-8.5162760000000004E-2</v>
      </c>
      <c r="R4996">
        <v>-0.99636499999999995</v>
      </c>
      <c r="S4996">
        <v>0.33886719999999998</v>
      </c>
      <c r="T4996">
        <v>-0.20107220000000001</v>
      </c>
      <c r="U4996">
        <v>-2.9931640000000002</v>
      </c>
      <c r="V4996">
        <v>3.4630260000000001E-3</v>
      </c>
      <c r="W4996">
        <v>-7.2306029999999993E-2</v>
      </c>
      <c r="X4996">
        <v>0.9973765</v>
      </c>
      <c r="Y4996">
        <v>-0.1067381</v>
      </c>
      <c r="Z4996">
        <v>5.3751880000000002E-2</v>
      </c>
      <c r="AA4996">
        <v>0.99283319999999997</v>
      </c>
      <c r="AB4996">
        <v>25</v>
      </c>
      <c r="AC4996">
        <v>1.88740000000001</v>
      </c>
      <c r="AD4996">
        <v>-1.1208683037880001</v>
      </c>
      <c r="AE4996">
        <v>-16.405059999999999</v>
      </c>
      <c r="AF4996">
        <v>-1.7877032704764999</v>
      </c>
      <c r="AG4996">
        <v>-1.1208683037880001</v>
      </c>
      <c r="AH4996">
        <v>16.3400415159754</v>
      </c>
      <c r="AI4996">
        <v>93.900933313128306</v>
      </c>
      <c r="AJ4996">
        <v>96.243685758953205</v>
      </c>
      <c r="AK4996">
        <v>16.475715021858999</v>
      </c>
      <c r="AL4996">
        <v>94.146448692382805</v>
      </c>
      <c r="AM4996">
        <v>89.801062109647305</v>
      </c>
      <c r="AN4996">
        <v>1.0000000186378399</v>
      </c>
    </row>
    <row r="4997" spans="1:40" x14ac:dyDescent="0.25">
      <c r="A4997" t="str">
        <f>"20190303154616560"</f>
        <v>20190303154616560</v>
      </c>
      <c r="B4997" t="str">
        <f>"1551599176556009"</f>
        <v>1551599176556009</v>
      </c>
      <c r="C4997" t="s">
        <v>40</v>
      </c>
      <c r="D4997">
        <v>5.1443899999999996</v>
      </c>
      <c r="E4997">
        <v>0.45765060000000002</v>
      </c>
      <c r="F4997" t="s">
        <v>41</v>
      </c>
      <c r="G4997">
        <v>-419.87560000000002</v>
      </c>
      <c r="H4997" s="1">
        <v>-1.1775289999999999E-6</v>
      </c>
      <c r="I4997">
        <v>62.326169999999998</v>
      </c>
      <c r="J4997">
        <v>-421.78680000000003</v>
      </c>
      <c r="K4997">
        <v>1.12087</v>
      </c>
      <c r="L4997">
        <v>78.795069999999996</v>
      </c>
      <c r="M4997">
        <v>5.5691849999999999E-3</v>
      </c>
      <c r="N4997">
        <v>-1.3023450000000001E-2</v>
      </c>
      <c r="O4997">
        <v>-0.99989989999999995</v>
      </c>
      <c r="P4997">
        <v>2.3514170000000002E-3</v>
      </c>
      <c r="Q4997">
        <v>-8.6399080000000003E-2</v>
      </c>
      <c r="R4997">
        <v>-0.99625790000000003</v>
      </c>
      <c r="S4997">
        <v>0.34259030000000001</v>
      </c>
      <c r="T4997">
        <v>-0.2007689</v>
      </c>
      <c r="U4997">
        <v>-2.993042</v>
      </c>
      <c r="V4997">
        <v>3.1942289999999998E-3</v>
      </c>
      <c r="W4997">
        <v>-7.3417220000000005E-2</v>
      </c>
      <c r="X4997">
        <v>0.99729619999999997</v>
      </c>
      <c r="Y4997">
        <v>-0.10796559999999999</v>
      </c>
      <c r="Z4997">
        <v>5.3518929999999999E-2</v>
      </c>
      <c r="AA4997">
        <v>0.99271299999999996</v>
      </c>
      <c r="AB4997">
        <v>25</v>
      </c>
      <c r="AC4997">
        <v>1.9112</v>
      </c>
      <c r="AD4997">
        <v>-1.1208711775289999</v>
      </c>
      <c r="AE4997">
        <v>-16.468899999999898</v>
      </c>
      <c r="AF4997">
        <v>-1.81116614473924</v>
      </c>
      <c r="AG4997">
        <v>-1.1208711775289999</v>
      </c>
      <c r="AH4997">
        <v>16.404311868729501</v>
      </c>
      <c r="AI4997">
        <v>93.885285366964794</v>
      </c>
      <c r="AJ4997">
        <v>96.300390801118795</v>
      </c>
      <c r="AK4997">
        <v>16.5420108477478</v>
      </c>
      <c r="AL4997">
        <v>94.210284939283</v>
      </c>
      <c r="AM4997">
        <v>89.816488607216499</v>
      </c>
      <c r="AN4997">
        <v>1.00000000091293</v>
      </c>
    </row>
    <row r="4998" spans="1:40" x14ac:dyDescent="0.25">
      <c r="A4998" t="str">
        <f>"20190303154616602"</f>
        <v>20190303154616602</v>
      </c>
      <c r="B4998" t="str">
        <f>"1551599176596030"</f>
        <v>1551599176596030</v>
      </c>
      <c r="C4998" t="s">
        <v>40</v>
      </c>
      <c r="D4998">
        <v>5.1799749999999998</v>
      </c>
      <c r="E4998">
        <v>0.45739730000000001</v>
      </c>
      <c r="F4998" t="s">
        <v>41</v>
      </c>
      <c r="G4998">
        <v>-419.89350000000002</v>
      </c>
      <c r="H4998" s="1">
        <v>-1.191671E-6</v>
      </c>
      <c r="I4998">
        <v>62.366529999999997</v>
      </c>
      <c r="J4998">
        <v>-421.78429999999997</v>
      </c>
      <c r="K4998">
        <v>1.1208769999999999</v>
      </c>
      <c r="L4998">
        <v>78.328669999999903</v>
      </c>
      <c r="M4998">
        <v>5.5424369999999999E-3</v>
      </c>
      <c r="N4998">
        <v>-1.322298E-2</v>
      </c>
      <c r="O4998">
        <v>-0.99989749999999999</v>
      </c>
      <c r="P4998">
        <v>1.899429E-3</v>
      </c>
      <c r="Q4998">
        <v>-8.6140010000000003E-2</v>
      </c>
      <c r="R4998">
        <v>-0.99628150000000004</v>
      </c>
      <c r="S4998">
        <v>0.34490969999999999</v>
      </c>
      <c r="T4998">
        <v>-0.20418559999999999</v>
      </c>
      <c r="U4998">
        <v>-2.992737</v>
      </c>
      <c r="V4998">
        <v>3.6179390000000001E-3</v>
      </c>
      <c r="W4998">
        <v>-7.2958990000000001E-2</v>
      </c>
      <c r="X4998">
        <v>0.9973284</v>
      </c>
      <c r="Y4998">
        <v>-0.1087549</v>
      </c>
      <c r="Z4998">
        <v>5.4448389999999999E-2</v>
      </c>
      <c r="AA4998">
        <v>0.99257629999999997</v>
      </c>
      <c r="AB4998">
        <v>25</v>
      </c>
      <c r="AC4998">
        <v>1.8907999999999501</v>
      </c>
      <c r="AD4998">
        <v>-1.120878191671</v>
      </c>
      <c r="AE4998">
        <v>-15.9621399999999</v>
      </c>
      <c r="AF4998">
        <v>-1.79357237102355</v>
      </c>
      <c r="AG4998">
        <v>-1.120878191671</v>
      </c>
      <c r="AH4998">
        <v>15.8950813294492</v>
      </c>
      <c r="AI4998">
        <v>94.008312936293095</v>
      </c>
      <c r="AJ4998">
        <v>96.437921280338003</v>
      </c>
      <c r="AK4998">
        <v>16.035176339550102</v>
      </c>
      <c r="AL4998">
        <v>94.183959611370994</v>
      </c>
      <c r="AM4998">
        <v>89.792152989988296</v>
      </c>
      <c r="AN4998">
        <v>1.00000002057549</v>
      </c>
    </row>
    <row r="4999" spans="1:40" x14ac:dyDescent="0.25">
      <c r="A4999" t="str">
        <f>"20190303154616624"</f>
        <v>20190303154616624</v>
      </c>
      <c r="B4999" t="str">
        <f>"1551599176616522"</f>
        <v>1551599176616522</v>
      </c>
      <c r="C4999" t="s">
        <v>40</v>
      </c>
      <c r="D4999">
        <v>5.1589260000000001</v>
      </c>
      <c r="E4999">
        <v>0.45727220000000002</v>
      </c>
      <c r="F4999" t="s">
        <v>41</v>
      </c>
      <c r="G4999">
        <v>-419.86939999999998</v>
      </c>
      <c r="H4999" s="1">
        <v>-9.3181430000000001E-7</v>
      </c>
      <c r="I4999">
        <v>61.750830000000001</v>
      </c>
      <c r="J4999">
        <v>-421.78289999999998</v>
      </c>
      <c r="K4999">
        <v>1.120878</v>
      </c>
      <c r="L4999">
        <v>78.085239999999999</v>
      </c>
      <c r="M4999">
        <v>5.5166520000000004E-3</v>
      </c>
      <c r="N4999">
        <v>-1.3306709999999999E-2</v>
      </c>
      <c r="O4999">
        <v>-0.99989629999999996</v>
      </c>
      <c r="P4999">
        <v>1.695574E-3</v>
      </c>
      <c r="Q4999">
        <v>-8.6555229999999997E-2</v>
      </c>
      <c r="R4999">
        <v>-0.99624570000000001</v>
      </c>
      <c r="S4999">
        <v>0.34573359999999997</v>
      </c>
      <c r="T4999">
        <v>-0.20236850000000001</v>
      </c>
      <c r="U4999">
        <v>-2.993042</v>
      </c>
      <c r="V4999">
        <v>3.7946019999999998E-3</v>
      </c>
      <c r="W4999">
        <v>-7.3291239999999994E-2</v>
      </c>
      <c r="X4999">
        <v>0.99730339999999995</v>
      </c>
      <c r="Y4999">
        <v>-0.109042899999999</v>
      </c>
      <c r="Z4999">
        <v>5.3756209999999999E-2</v>
      </c>
      <c r="AA4999">
        <v>0.99258239999999998</v>
      </c>
      <c r="AB4999">
        <v>25</v>
      </c>
      <c r="AC4999">
        <v>1.91349999999999</v>
      </c>
      <c r="AD4999">
        <v>-1.1208789318143</v>
      </c>
      <c r="AE4999">
        <v>-16.334409999999899</v>
      </c>
      <c r="AF4999">
        <v>-1.8149212324889299</v>
      </c>
      <c r="AG4999">
        <v>-1.1208789318143</v>
      </c>
      <c r="AH4999">
        <v>16.269147303493298</v>
      </c>
      <c r="AI4999">
        <v>93.916999844826606</v>
      </c>
      <c r="AJ4999">
        <v>96.365370734335798</v>
      </c>
      <c r="AK4999">
        <v>16.408396102078001</v>
      </c>
      <c r="AL4999">
        <v>94.203047161219303</v>
      </c>
      <c r="AM4999">
        <v>89.781998506801401</v>
      </c>
      <c r="AN4999">
        <v>1.0000000382583101</v>
      </c>
    </row>
    <row r="5000" spans="1:40" x14ac:dyDescent="0.25">
      <c r="A5000" t="str">
        <f>"20190303154616646"</f>
        <v>20190303154616646</v>
      </c>
      <c r="B5000" t="str">
        <f>"1551599176636041"</f>
        <v>1551599176636041</v>
      </c>
      <c r="C5000" t="s">
        <v>40</v>
      </c>
      <c r="D5000">
        <v>5.180701</v>
      </c>
      <c r="E5000">
        <v>0.45715660000000002</v>
      </c>
      <c r="F5000" t="s">
        <v>41</v>
      </c>
      <c r="G5000">
        <v>-419.87790000000001</v>
      </c>
      <c r="H5000" s="1">
        <v>-8.6147930000000001E-7</v>
      </c>
      <c r="I5000">
        <v>61.590409999999999</v>
      </c>
      <c r="J5000">
        <v>-421.78160000000003</v>
      </c>
      <c r="K5000">
        <v>1.1208750000000001</v>
      </c>
      <c r="L5000">
        <v>77.835169999999906</v>
      </c>
      <c r="M5000">
        <v>5.4820329999999999E-3</v>
      </c>
      <c r="N5000">
        <v>-1.338076E-2</v>
      </c>
      <c r="O5000">
        <v>-0.9998956</v>
      </c>
      <c r="P5000">
        <v>2.1860159999999998E-3</v>
      </c>
      <c r="Q5000">
        <v>-8.6699269999999995E-2</v>
      </c>
      <c r="R5000">
        <v>-0.99623240000000002</v>
      </c>
      <c r="S5000">
        <v>0.345672599999999</v>
      </c>
      <c r="T5000">
        <v>-0.2033874</v>
      </c>
      <c r="U5000">
        <v>-2.993042</v>
      </c>
      <c r="V5000">
        <v>3.268441E-3</v>
      </c>
      <c r="W5000">
        <v>-7.3361549999999998E-2</v>
      </c>
      <c r="X5000">
        <v>0.99729999999999996</v>
      </c>
      <c r="Y5000">
        <v>-0.1090551</v>
      </c>
      <c r="Z5000">
        <v>5.4018549999999999E-2</v>
      </c>
      <c r="AA5000">
        <v>0.99256690000000003</v>
      </c>
      <c r="AB5000">
        <v>25</v>
      </c>
      <c r="AC5000">
        <v>1.9037000000000099</v>
      </c>
      <c r="AD5000">
        <v>-1.1208758614793</v>
      </c>
      <c r="AE5000">
        <v>-16.2447599999999</v>
      </c>
      <c r="AF5000">
        <v>-1.80612683069171</v>
      </c>
      <c r="AG5000">
        <v>-1.1208758614793</v>
      </c>
      <c r="AH5000">
        <v>16.178970071161601</v>
      </c>
      <c r="AI5000">
        <v>93.938719017146795</v>
      </c>
      <c r="AJ5000">
        <v>96.369796905836694</v>
      </c>
      <c r="AK5000">
        <v>16.318012421521701</v>
      </c>
      <c r="AL5000">
        <v>94.207086894872404</v>
      </c>
      <c r="AM5000">
        <v>89.812225805240402</v>
      </c>
      <c r="AN5000">
        <v>0.999999944862484</v>
      </c>
    </row>
    <row r="5001" spans="1:40" x14ac:dyDescent="0.25">
      <c r="A5001" t="str">
        <f>"20190303154616669"</f>
        <v>20190303154616669</v>
      </c>
      <c r="B5001" t="str">
        <f>"1551599176666297"</f>
        <v>1551599176666297</v>
      </c>
      <c r="C5001" t="s">
        <v>40</v>
      </c>
      <c r="D5001">
        <v>5.1874640000000003</v>
      </c>
      <c r="E5001">
        <v>0.45698729999999999</v>
      </c>
      <c r="F5001" t="s">
        <v>41</v>
      </c>
      <c r="G5001">
        <v>-419.86829999999998</v>
      </c>
      <c r="H5001" s="1">
        <v>-7.7932289999999995E-7</v>
      </c>
      <c r="I5001">
        <v>61.394930000000002</v>
      </c>
      <c r="J5001">
        <v>-421.78030000000001</v>
      </c>
      <c r="K5001">
        <v>1.120865</v>
      </c>
      <c r="L5001">
        <v>77.589749999999995</v>
      </c>
      <c r="M5001">
        <v>5.434899E-3</v>
      </c>
      <c r="N5001">
        <v>-1.344353E-2</v>
      </c>
      <c r="O5001">
        <v>-0.99989490000000003</v>
      </c>
      <c r="P5001">
        <v>2.5284740000000002E-3</v>
      </c>
      <c r="Q5001">
        <v>-8.7303710000000007E-2</v>
      </c>
      <c r="R5001">
        <v>-0.99617829999999996</v>
      </c>
      <c r="S5001">
        <v>0.34829710000000003</v>
      </c>
      <c r="T5001">
        <v>-0.20404729999999999</v>
      </c>
      <c r="U5001">
        <v>-2.9928279999999998</v>
      </c>
      <c r="V5001">
        <v>2.877424E-3</v>
      </c>
      <c r="W5001">
        <v>-7.3904029999999996E-2</v>
      </c>
      <c r="X5001">
        <v>0.99726119999999996</v>
      </c>
      <c r="Y5001">
        <v>-0.10996690000000001</v>
      </c>
      <c r="Z5001">
        <v>5.4171660000000003E-2</v>
      </c>
      <c r="AA5001">
        <v>0.9924579</v>
      </c>
      <c r="AB5001">
        <v>25</v>
      </c>
      <c r="AC5001">
        <v>1.9120000000000299</v>
      </c>
      <c r="AD5001">
        <v>-1.12086577932289</v>
      </c>
      <c r="AE5001">
        <v>-16.194819999999901</v>
      </c>
      <c r="AF5001">
        <v>-1.81537012662465</v>
      </c>
      <c r="AG5001">
        <v>-1.12086577932289</v>
      </c>
      <c r="AH5001">
        <v>16.128775051426999</v>
      </c>
      <c r="AI5001">
        <v>93.950501360664305</v>
      </c>
      <c r="AJ5001">
        <v>96.421884038809907</v>
      </c>
      <c r="AK5001">
        <v>16.269274521361801</v>
      </c>
      <c r="AL5001">
        <v>94.238253110233899</v>
      </c>
      <c r="AM5001">
        <v>89.834683437430698</v>
      </c>
      <c r="AN5001">
        <v>0.99999999312227805</v>
      </c>
    </row>
    <row r="5002" spans="1:40" x14ac:dyDescent="0.25">
      <c r="A5002" t="str">
        <f>"20190303154616691"</f>
        <v>20190303154616691</v>
      </c>
      <c r="B5002" t="str">
        <f>"1551599176686794"</f>
        <v>1551599176686794</v>
      </c>
      <c r="C5002" t="s">
        <v>40</v>
      </c>
      <c r="D5002">
        <v>5.2580939999999998</v>
      </c>
      <c r="E5002">
        <v>0.47986790000000001</v>
      </c>
      <c r="F5002" t="s">
        <v>41</v>
      </c>
      <c r="G5002">
        <v>-419.86430000000001</v>
      </c>
      <c r="H5002" s="1">
        <v>-7.1864029999999996E-7</v>
      </c>
      <c r="I5002">
        <v>61.251840000000001</v>
      </c>
      <c r="J5002">
        <v>-421.779</v>
      </c>
      <c r="K5002">
        <v>1.12086</v>
      </c>
      <c r="L5002">
        <v>77.337919999999997</v>
      </c>
      <c r="M5002">
        <v>5.3712229999999996E-3</v>
      </c>
      <c r="N5002">
        <v>-1.349887E-2</v>
      </c>
      <c r="O5002">
        <v>-0.99989459999999997</v>
      </c>
      <c r="P5002">
        <v>2.5815069999999998E-3</v>
      </c>
      <c r="Q5002">
        <v>-8.7517410000000004E-2</v>
      </c>
      <c r="R5002">
        <v>-0.99615989999999999</v>
      </c>
      <c r="S5002">
        <v>0.35095209999999999</v>
      </c>
      <c r="T5002">
        <v>-0.20530899999999999</v>
      </c>
      <c r="U5002">
        <v>-2.9926149999999998</v>
      </c>
      <c r="V5002">
        <v>2.7593029999999998E-3</v>
      </c>
      <c r="W5002">
        <v>-7.4062790000000003E-2</v>
      </c>
      <c r="X5002">
        <v>0.99724979999999996</v>
      </c>
      <c r="Y5002">
        <v>-0.1109035</v>
      </c>
      <c r="Z5002">
        <v>5.4530530000000001E-2</v>
      </c>
      <c r="AA5002">
        <v>0.99233400000000005</v>
      </c>
      <c r="AB5002">
        <v>25</v>
      </c>
      <c r="AC5002">
        <v>1.9146999999999801</v>
      </c>
      <c r="AD5002">
        <v>-1.1208607186402999</v>
      </c>
      <c r="AE5002">
        <v>-16.0860799999999</v>
      </c>
      <c r="AF5002">
        <v>-1.81955180266187</v>
      </c>
      <c r="AG5002">
        <v>-1.1208607186402999</v>
      </c>
      <c r="AH5002">
        <v>16.019442826553</v>
      </c>
      <c r="AI5002">
        <v>93.976903749969395</v>
      </c>
      <c r="AJ5002">
        <v>96.480109620570104</v>
      </c>
      <c r="AK5002">
        <v>16.1613627515244</v>
      </c>
      <c r="AL5002">
        <v>94.247374198203303</v>
      </c>
      <c r="AM5002">
        <v>89.841467992424896</v>
      </c>
      <c r="AN5002">
        <v>1.0000000371078299</v>
      </c>
    </row>
    <row r="5003" spans="1:40" x14ac:dyDescent="0.25">
      <c r="A5003" t="str">
        <f>"20190303154616713"</f>
        <v>20190303154616713</v>
      </c>
      <c r="B5003" t="str">
        <f>"1551599176706314"</f>
        <v>1551599176706314</v>
      </c>
      <c r="C5003" t="s">
        <v>40</v>
      </c>
      <c r="D5003">
        <v>5.2118029999999997</v>
      </c>
      <c r="E5003">
        <v>0.48920130000000001</v>
      </c>
      <c r="F5003" t="s">
        <v>41</v>
      </c>
      <c r="G5003">
        <v>-420.64519999999999</v>
      </c>
      <c r="H5003" s="1">
        <v>-3.4031110000000002E-6</v>
      </c>
      <c r="I5003">
        <v>57.121690000000001</v>
      </c>
      <c r="J5003">
        <v>-421.77780000000001</v>
      </c>
      <c r="K5003">
        <v>1.120862</v>
      </c>
      <c r="L5003">
        <v>77.094300000000004</v>
      </c>
      <c r="M5003">
        <v>5.2961220000000003E-3</v>
      </c>
      <c r="N5003">
        <v>-1.354473E-2</v>
      </c>
      <c r="O5003">
        <v>-0.99989459999999997</v>
      </c>
      <c r="P5003">
        <v>3.5181309999999999E-3</v>
      </c>
      <c r="Q5003">
        <v>-8.8610919999999996E-2</v>
      </c>
      <c r="R5003">
        <v>-0.99606039999999996</v>
      </c>
      <c r="S5003">
        <v>0.1680603</v>
      </c>
      <c r="T5003">
        <v>-0.16614000000000001</v>
      </c>
      <c r="U5003">
        <v>-2.9965519999999999</v>
      </c>
      <c r="V5003">
        <v>1.745487E-3</v>
      </c>
      <c r="W5003">
        <v>-7.5111659999999997E-2</v>
      </c>
      <c r="X5003">
        <v>0.99717359999999999</v>
      </c>
      <c r="Y5003">
        <v>-5.0635050000000001E-2</v>
      </c>
      <c r="Z5003">
        <v>4.1751679999999999E-2</v>
      </c>
      <c r="AA5003">
        <v>0.99784410000000001</v>
      </c>
      <c r="AB5003">
        <v>25</v>
      </c>
      <c r="AC5003">
        <v>1.13260000000002</v>
      </c>
      <c r="AD5003">
        <v>-1.1208654031109999</v>
      </c>
      <c r="AE5003">
        <v>-19.97261</v>
      </c>
      <c r="AF5003">
        <v>-1.0235836564190499</v>
      </c>
      <c r="AG5003">
        <v>-1.1208654031109999</v>
      </c>
      <c r="AH5003">
        <v>19.9158056323407</v>
      </c>
      <c r="AI5003">
        <v>93.216982327078</v>
      </c>
      <c r="AJ5003">
        <v>92.942158982666996</v>
      </c>
      <c r="AK5003">
        <v>19.9735669508166</v>
      </c>
      <c r="AL5003">
        <v>94.307638055145901</v>
      </c>
      <c r="AM5003">
        <v>89.899707597401402</v>
      </c>
      <c r="AN5003">
        <v>0.99999999836489095</v>
      </c>
    </row>
    <row r="5004" spans="1:40" x14ac:dyDescent="0.25">
      <c r="A5004" t="str">
        <f>"20190303154616736"</f>
        <v>20190303154616736</v>
      </c>
      <c r="B5004" t="str">
        <f>"1551599176725833"</f>
        <v>1551599176725833</v>
      </c>
      <c r="C5004" t="s">
        <v>40</v>
      </c>
      <c r="D5004">
        <v>5.2064069999999996</v>
      </c>
      <c r="E5004">
        <v>0.49191960000000001</v>
      </c>
      <c r="F5004" t="s">
        <v>41</v>
      </c>
      <c r="G5004">
        <v>-421.09890000000001</v>
      </c>
      <c r="H5004" s="1">
        <v>-3.0487199999999998E-6</v>
      </c>
      <c r="I5004">
        <v>56.014180000000003</v>
      </c>
      <c r="J5004">
        <v>-421.7765</v>
      </c>
      <c r="K5004">
        <v>1.1208549999999999</v>
      </c>
      <c r="L5004">
        <v>76.838619999999906</v>
      </c>
      <c r="M5004">
        <v>5.2050830000000001E-3</v>
      </c>
      <c r="N5004">
        <v>-1.358587E-2</v>
      </c>
      <c r="O5004">
        <v>-0.99989439999999996</v>
      </c>
      <c r="P5004">
        <v>3.6006419999999998E-3</v>
      </c>
      <c r="Q5004">
        <v>-8.9153570000000001E-2</v>
      </c>
      <c r="R5004">
        <v>-0.9960116</v>
      </c>
      <c r="S5004">
        <v>9.6527100000000005E-2</v>
      </c>
      <c r="T5004">
        <v>-0.15937379999999901</v>
      </c>
      <c r="U5004">
        <v>-2.9973450000000001</v>
      </c>
      <c r="V5004">
        <v>1.5700309999999999E-3</v>
      </c>
      <c r="W5004">
        <v>-7.5613890000000003E-2</v>
      </c>
      <c r="X5004">
        <v>0.99713589999999996</v>
      </c>
      <c r="Y5004">
        <v>-2.6946879999999999E-2</v>
      </c>
      <c r="Z5004">
        <v>3.9501729999999999E-2</v>
      </c>
      <c r="AA5004">
        <v>0.99885610000000002</v>
      </c>
      <c r="AB5004">
        <v>25</v>
      </c>
      <c r="AC5004">
        <v>0.67759999999998399</v>
      </c>
      <c r="AD5004">
        <v>-1.1208580487199999</v>
      </c>
      <c r="AE5004">
        <v>-20.8244399999999</v>
      </c>
      <c r="AF5004">
        <v>-0.56754543868228302</v>
      </c>
      <c r="AG5004">
        <v>-1.1208580487199999</v>
      </c>
      <c r="AH5004">
        <v>20.7675842381291</v>
      </c>
      <c r="AI5004">
        <v>93.088192104361696</v>
      </c>
      <c r="AJ5004">
        <v>91.5654139788912</v>
      </c>
      <c r="AK5004">
        <v>20.8055517994149</v>
      </c>
      <c r="AL5004">
        <v>94.336495929335996</v>
      </c>
      <c r="AM5004">
        <v>89.909785541102494</v>
      </c>
      <c r="AN5004">
        <v>0.99999996421353998</v>
      </c>
    </row>
    <row r="5005" spans="1:40" x14ac:dyDescent="0.25">
      <c r="A5005" t="str">
        <f>"20190303154616781"</f>
        <v>20190303154616781</v>
      </c>
      <c r="B5005" t="str">
        <f>"1551599176776586"</f>
        <v>1551599176776586</v>
      </c>
      <c r="C5005" t="s">
        <v>40</v>
      </c>
      <c r="D5005">
        <v>5.1863270000000004</v>
      </c>
      <c r="E5005">
        <v>0.49441590000000002</v>
      </c>
      <c r="F5005" t="s">
        <v>41</v>
      </c>
      <c r="G5005">
        <v>-421.24329999999998</v>
      </c>
      <c r="H5005" s="1">
        <v>-2.9245679999999999E-6</v>
      </c>
      <c r="I5005">
        <v>55.635199999999998</v>
      </c>
      <c r="J5005">
        <v>-421.77429999999998</v>
      </c>
      <c r="K5005">
        <v>1.1208610000000001</v>
      </c>
      <c r="L5005">
        <v>76.347200000000001</v>
      </c>
      <c r="M5005">
        <v>4.9966910000000002E-3</v>
      </c>
      <c r="N5005">
        <v>-1.364842E-2</v>
      </c>
      <c r="O5005">
        <v>-0.99989470000000003</v>
      </c>
      <c r="P5005">
        <v>3.0293920000000001E-3</v>
      </c>
      <c r="Q5005">
        <v>-8.8387030000000005E-2</v>
      </c>
      <c r="R5005">
        <v>-0.99608189999999996</v>
      </c>
      <c r="S5005">
        <v>7.5378420000000002E-2</v>
      </c>
      <c r="T5005">
        <v>-0.1584573</v>
      </c>
      <c r="U5005">
        <v>-2.9975589999999999</v>
      </c>
      <c r="V5005">
        <v>1.9314099999999999E-3</v>
      </c>
      <c r="W5005">
        <v>-7.4784260000000005E-2</v>
      </c>
      <c r="X5005">
        <v>0.99719789999999997</v>
      </c>
      <c r="Y5005">
        <v>-2.0114369999999999E-2</v>
      </c>
      <c r="Z5005">
        <v>3.9140319999999999E-2</v>
      </c>
      <c r="AA5005">
        <v>0.99903120000000001</v>
      </c>
      <c r="AB5005">
        <v>25</v>
      </c>
      <c r="AC5005">
        <v>0.53100000000000502</v>
      </c>
      <c r="AD5005">
        <v>-1.1208639245679901</v>
      </c>
      <c r="AE5005">
        <v>-20.712</v>
      </c>
      <c r="AF5005">
        <v>-0.42624481416667598</v>
      </c>
      <c r="AG5005">
        <v>-1.1208639245679901</v>
      </c>
      <c r="AH5005">
        <v>20.653947233010499</v>
      </c>
      <c r="AI5005">
        <v>93.105663329573403</v>
      </c>
      <c r="AJ5005">
        <v>91.182270989258299</v>
      </c>
      <c r="AK5005">
        <v>20.6887301902022</v>
      </c>
      <c r="AL5005">
        <v>94.288826355960595</v>
      </c>
      <c r="AM5005">
        <v>89.889027540939196</v>
      </c>
      <c r="AN5005">
        <v>1.0000000338263699</v>
      </c>
    </row>
    <row r="5006" spans="1:40" x14ac:dyDescent="0.25">
      <c r="A5006" t="str">
        <f>"20190303154616802"</f>
        <v>20190303154616802</v>
      </c>
      <c r="B5006" t="str">
        <f>"1551599176796105"</f>
        <v>1551599176796105</v>
      </c>
      <c r="C5006" t="s">
        <v>40</v>
      </c>
      <c r="D5006">
        <v>5.1929049999999997</v>
      </c>
      <c r="E5006">
        <v>0.49504690000000001</v>
      </c>
      <c r="F5006" t="s">
        <v>41</v>
      </c>
      <c r="G5006">
        <v>-421.36849999999998</v>
      </c>
      <c r="H5006" s="1">
        <v>-2.0760909999999999E-6</v>
      </c>
      <c r="I5006">
        <v>53.579729999999998</v>
      </c>
      <c r="J5006">
        <v>-421.77319999999997</v>
      </c>
      <c r="K5006">
        <v>1.1208670000000001</v>
      </c>
      <c r="L5006">
        <v>76.105959999999996</v>
      </c>
      <c r="M5006">
        <v>4.8806630000000004E-3</v>
      </c>
      <c r="N5006">
        <v>-1.3672210000000001E-2</v>
      </c>
      <c r="O5006">
        <v>-0.99989490000000003</v>
      </c>
      <c r="P5006">
        <v>2.4086950000000002E-3</v>
      </c>
      <c r="Q5006">
        <v>-8.7293830000000003E-2</v>
      </c>
      <c r="R5006">
        <v>-0.99618010000000001</v>
      </c>
      <c r="S5006">
        <v>5.3436280000000003E-2</v>
      </c>
      <c r="T5006">
        <v>-0.14762059999999999</v>
      </c>
      <c r="U5006">
        <v>-2.998535</v>
      </c>
      <c r="V5006">
        <v>2.4363950000000001E-3</v>
      </c>
      <c r="W5006">
        <v>-7.3666259999999997E-2</v>
      </c>
      <c r="X5006">
        <v>0.99728000000000006</v>
      </c>
      <c r="Y5006">
        <v>-1.2920620000000001E-2</v>
      </c>
      <c r="Z5006">
        <v>3.5504849999999998E-2</v>
      </c>
      <c r="AA5006">
        <v>0.99928600000000001</v>
      </c>
      <c r="AB5006">
        <v>25</v>
      </c>
      <c r="AC5006">
        <v>0.40469999999999101</v>
      </c>
      <c r="AD5006">
        <v>-1.1208690760910001</v>
      </c>
      <c r="AE5006">
        <v>-22.526229999999899</v>
      </c>
      <c r="AF5006">
        <v>-0.29401428078585901</v>
      </c>
      <c r="AG5006">
        <v>-1.1208690760910001</v>
      </c>
      <c r="AH5006">
        <v>22.472315830741199</v>
      </c>
      <c r="AI5006">
        <v>92.8551756245147</v>
      </c>
      <c r="AJ5006">
        <v>90.749580792532001</v>
      </c>
      <c r="AK5006">
        <v>22.5021725768786</v>
      </c>
      <c r="AL5006">
        <v>94.224592516669404</v>
      </c>
      <c r="AM5006">
        <v>89.860024393344105</v>
      </c>
      <c r="AN5006">
        <v>1.0000000261414901</v>
      </c>
    </row>
    <row r="5007" spans="1:40" x14ac:dyDescent="0.25">
      <c r="A5007" t="str">
        <f>"20190303154616826"</f>
        <v>20190303154616826</v>
      </c>
      <c r="B5007" t="str">
        <f>"1551599176816602"</f>
        <v>1551599176816602</v>
      </c>
      <c r="C5007" t="s">
        <v>40</v>
      </c>
      <c r="D5007">
        <v>5.1900810000000002</v>
      </c>
      <c r="E5007">
        <v>0.49533759999999999</v>
      </c>
      <c r="F5007" t="s">
        <v>41</v>
      </c>
      <c r="G5007">
        <v>-421.40649999999999</v>
      </c>
      <c r="H5007" s="1">
        <v>-1.654629E-6</v>
      </c>
      <c r="I5007">
        <v>52.573720000000002</v>
      </c>
      <c r="J5007">
        <v>-421.77210000000002</v>
      </c>
      <c r="K5007">
        <v>1.120876</v>
      </c>
      <c r="L5007">
        <v>75.850949999999997</v>
      </c>
      <c r="M5007">
        <v>4.7522049999999998E-3</v>
      </c>
      <c r="N5007">
        <v>-1.3693439999999999E-2</v>
      </c>
      <c r="O5007">
        <v>-0.99989519999999998</v>
      </c>
      <c r="P5007">
        <v>1.9857170000000001E-3</v>
      </c>
      <c r="Q5007">
        <v>-8.6437520000000004E-2</v>
      </c>
      <c r="R5007">
        <v>-0.99625540000000001</v>
      </c>
      <c r="S5007">
        <v>4.6722409999999999E-2</v>
      </c>
      <c r="T5007">
        <v>-0.14283979999999999</v>
      </c>
      <c r="U5007">
        <v>-2.9988709999999998</v>
      </c>
      <c r="V5007">
        <v>2.731448E-3</v>
      </c>
      <c r="W5007">
        <v>-7.2787959999999999E-2</v>
      </c>
      <c r="X5007">
        <v>0.99734370000000006</v>
      </c>
      <c r="Y5007">
        <v>-1.081237E-2</v>
      </c>
      <c r="Z5007">
        <v>3.3890299999999998E-2</v>
      </c>
      <c r="AA5007">
        <v>0.99936709999999995</v>
      </c>
      <c r="AB5007">
        <v>25</v>
      </c>
      <c r="AC5007">
        <v>0.36560000000002801</v>
      </c>
      <c r="AD5007">
        <v>-1.120877654629</v>
      </c>
      <c r="AE5007">
        <v>-23.277229999999999</v>
      </c>
      <c r="AF5007">
        <v>-0.25437766499560399</v>
      </c>
      <c r="AG5007">
        <v>-1.120877654629</v>
      </c>
      <c r="AH5007">
        <v>23.224865315392702</v>
      </c>
      <c r="AI5007">
        <v>92.762897559216896</v>
      </c>
      <c r="AJ5007">
        <v>90.627525009686295</v>
      </c>
      <c r="AK5007">
        <v>23.2532888777314</v>
      </c>
      <c r="AL5007">
        <v>94.174134268469601</v>
      </c>
      <c r="AM5007">
        <v>89.843083130641205</v>
      </c>
      <c r="AN5007">
        <v>1.00000000192941</v>
      </c>
    </row>
    <row r="5008" spans="1:40" x14ac:dyDescent="0.25">
      <c r="A5008" t="str">
        <f>"20190303154616846"</f>
        <v>20190303154616846</v>
      </c>
      <c r="B5008" t="str">
        <f>"1551599176836123"</f>
        <v>1551599176836123</v>
      </c>
      <c r="C5008" t="s">
        <v>40</v>
      </c>
      <c r="D5008">
        <v>5.1931560000000001</v>
      </c>
      <c r="E5008">
        <v>0.49568970000000001</v>
      </c>
      <c r="F5008" t="s">
        <v>41</v>
      </c>
      <c r="G5008">
        <v>-421.43130000000002</v>
      </c>
      <c r="H5008" s="1">
        <v>-1.3192560000000001E-6</v>
      </c>
      <c r="I5008">
        <v>51.77657</v>
      </c>
      <c r="J5008">
        <v>-421.77109999999999</v>
      </c>
      <c r="K5008">
        <v>1.120886</v>
      </c>
      <c r="L5008">
        <v>75.62012</v>
      </c>
      <c r="M5008">
        <v>4.6344289999999998E-3</v>
      </c>
      <c r="N5008">
        <v>-1.3709789999999999E-2</v>
      </c>
      <c r="O5008">
        <v>-0.9998956</v>
      </c>
      <c r="P5008">
        <v>1.6868510000000001E-3</v>
      </c>
      <c r="Q5008">
        <v>-8.5526999999999895E-2</v>
      </c>
      <c r="R5008">
        <v>-0.99633490000000002</v>
      </c>
      <c r="S5008">
        <v>4.244995E-2</v>
      </c>
      <c r="T5008">
        <v>-0.13963410000000001</v>
      </c>
      <c r="U5008">
        <v>-2.9990839999999999</v>
      </c>
      <c r="V5008">
        <v>2.913279E-3</v>
      </c>
      <c r="W5008">
        <v>-7.1860209999999994E-2</v>
      </c>
      <c r="X5008">
        <v>0.99741049999999998</v>
      </c>
      <c r="Y5008">
        <v>-9.5067889999999999E-3</v>
      </c>
      <c r="Z5008">
        <v>3.2805540000000001E-2</v>
      </c>
      <c r="AA5008">
        <v>0.99941650000000004</v>
      </c>
      <c r="AB5008">
        <v>25</v>
      </c>
      <c r="AC5008">
        <v>0.33979999999996802</v>
      </c>
      <c r="AD5008">
        <v>-1.120887319256</v>
      </c>
      <c r="AE5008">
        <v>-23.84355</v>
      </c>
      <c r="AF5008">
        <v>-0.22877927244129001</v>
      </c>
      <c r="AG5008">
        <v>-1.120887319256</v>
      </c>
      <c r="AH5008">
        <v>23.792299750622998</v>
      </c>
      <c r="AI5008">
        <v>92.697162572850701</v>
      </c>
      <c r="AJ5008">
        <v>90.550921218771194</v>
      </c>
      <c r="AK5008">
        <v>23.819787063730502</v>
      </c>
      <c r="AL5008">
        <v>94.120838373193806</v>
      </c>
      <c r="AM5008">
        <v>89.832648526792298</v>
      </c>
      <c r="AN5008">
        <v>1.0000000412430099</v>
      </c>
    </row>
    <row r="5009" spans="1:40" x14ac:dyDescent="0.25">
      <c r="A5009" t="str">
        <f>"20190303154616869"</f>
        <v>20190303154616869</v>
      </c>
      <c r="B5009" t="str">
        <f>"1551599176866377"</f>
        <v>1551599176866377</v>
      </c>
      <c r="C5009" t="s">
        <v>40</v>
      </c>
      <c r="D5009">
        <v>5.3041210000000003</v>
      </c>
      <c r="E5009">
        <v>0.49572909999999998</v>
      </c>
      <c r="F5009" t="s">
        <v>41</v>
      </c>
      <c r="G5009">
        <v>-421.44650000000001</v>
      </c>
      <c r="H5009" s="1">
        <v>-9.3258420000000005E-7</v>
      </c>
      <c r="I5009">
        <v>50.865850000000002</v>
      </c>
      <c r="J5009">
        <v>-421.77010000000001</v>
      </c>
      <c r="K5009">
        <v>1.1208959999999999</v>
      </c>
      <c r="L5009">
        <v>75.374080000000006</v>
      </c>
      <c r="M5009">
        <v>4.5088749999999999E-3</v>
      </c>
      <c r="N5009">
        <v>-1.372453E-2</v>
      </c>
      <c r="O5009">
        <v>-0.99989589999999995</v>
      </c>
      <c r="P5009">
        <v>1.6917529999999901E-3</v>
      </c>
      <c r="Q5009">
        <v>-8.4934960000000004E-2</v>
      </c>
      <c r="R5009">
        <v>-0.99638519999999997</v>
      </c>
      <c r="S5009">
        <v>3.9337160000000003E-2</v>
      </c>
      <c r="T5009">
        <v>-0.13581119999999999</v>
      </c>
      <c r="U5009">
        <v>-2.9993289999999999</v>
      </c>
      <c r="V5009">
        <v>2.7835099999999999E-3</v>
      </c>
      <c r="W5009">
        <v>-7.1252800000000005E-2</v>
      </c>
      <c r="X5009">
        <v>0.99745439999999996</v>
      </c>
      <c r="Y5009">
        <v>-8.5951540000000007E-3</v>
      </c>
      <c r="Z5009">
        <v>3.1516389999999998E-2</v>
      </c>
      <c r="AA5009">
        <v>0.99946630000000003</v>
      </c>
      <c r="AB5009">
        <v>25</v>
      </c>
      <c r="AC5009">
        <v>0.323599999999998</v>
      </c>
      <c r="AD5009">
        <v>-1.1208969325842</v>
      </c>
      <c r="AE5009">
        <v>-24.508230000000001</v>
      </c>
      <c r="AF5009">
        <v>-0.21263707961098499</v>
      </c>
      <c r="AG5009">
        <v>-1.1208969325842</v>
      </c>
      <c r="AH5009">
        <v>24.458288600072901</v>
      </c>
      <c r="AI5009">
        <v>92.623868628138993</v>
      </c>
      <c r="AJ5009">
        <v>90.498109270595606</v>
      </c>
      <c r="AK5009">
        <v>24.484883207921602</v>
      </c>
      <c r="AL5009">
        <v>94.0859470922925</v>
      </c>
      <c r="AM5009">
        <v>89.840110022833301</v>
      </c>
      <c r="AN5009">
        <v>0.99999999475755996</v>
      </c>
    </row>
    <row r="5010" spans="1:40" x14ac:dyDescent="0.25">
      <c r="A5010" t="str">
        <f>"20190303154616892"</f>
        <v>20190303154616892</v>
      </c>
      <c r="B5010" t="str">
        <f>"1551599176885898"</f>
        <v>1551599176885898</v>
      </c>
      <c r="C5010" t="s">
        <v>40</v>
      </c>
      <c r="D5010">
        <v>5.2217760000000002</v>
      </c>
      <c r="E5010">
        <v>0.495842</v>
      </c>
      <c r="F5010" t="s">
        <v>41</v>
      </c>
      <c r="G5010">
        <v>-421.45010000000002</v>
      </c>
      <c r="H5010" s="1">
        <v>-9.154454E-7</v>
      </c>
      <c r="I5010">
        <v>50.823619999999998</v>
      </c>
      <c r="J5010">
        <v>-421.76920000000001</v>
      </c>
      <c r="K5010">
        <v>1.120903</v>
      </c>
      <c r="L5010">
        <v>75.125029999999995</v>
      </c>
      <c r="M5010">
        <v>4.3828030000000002E-3</v>
      </c>
      <c r="N5010">
        <v>-1.373708E-2</v>
      </c>
      <c r="O5010">
        <v>-0.99989609999999995</v>
      </c>
      <c r="P5010">
        <v>1.2007020000000001E-3</v>
      </c>
      <c r="Q5010">
        <v>-8.4139199999999997E-2</v>
      </c>
      <c r="R5010">
        <v>-0.99645329999999999</v>
      </c>
      <c r="S5010">
        <v>3.9093019999999999E-2</v>
      </c>
      <c r="T5010">
        <v>-0.13693150000000001</v>
      </c>
      <c r="U5010">
        <v>-2.9991460000000001</v>
      </c>
      <c r="V5010">
        <v>3.1494349999999999E-3</v>
      </c>
      <c r="W5010">
        <v>-7.0443729999999996E-2</v>
      </c>
      <c r="X5010">
        <v>0.99751080000000003</v>
      </c>
      <c r="Y5010">
        <v>-8.6404910000000001E-3</v>
      </c>
      <c r="Z5010">
        <v>3.1879190000000002E-2</v>
      </c>
      <c r="AA5010">
        <v>0.99945439999999997</v>
      </c>
      <c r="AB5010">
        <v>25</v>
      </c>
      <c r="AC5010">
        <v>0.319099999999991</v>
      </c>
      <c r="AD5010">
        <v>-1.1209039154453999</v>
      </c>
      <c r="AE5010">
        <v>-24.301410000000001</v>
      </c>
      <c r="AF5010">
        <v>-0.21212737026049799</v>
      </c>
      <c r="AG5010">
        <v>-1.1209039154453999</v>
      </c>
      <c r="AH5010">
        <v>24.250989644840299</v>
      </c>
      <c r="AI5010">
        <v>92.646281105057597</v>
      </c>
      <c r="AJ5010">
        <v>90.501162766886907</v>
      </c>
      <c r="AK5010">
        <v>24.2778071984071</v>
      </c>
      <c r="AL5010">
        <v>94.039473922119498</v>
      </c>
      <c r="AM5010">
        <v>89.819100972389506</v>
      </c>
      <c r="AN5010">
        <v>1.0000000170768799</v>
      </c>
    </row>
    <row r="5011" spans="1:40" x14ac:dyDescent="0.25">
      <c r="A5011" t="str">
        <f>"20190303154616914"</f>
        <v>20190303154616914</v>
      </c>
      <c r="B5011" t="str">
        <f>"1551599176906394"</f>
        <v>1551599176906394</v>
      </c>
      <c r="C5011" t="s">
        <v>40</v>
      </c>
      <c r="D5011">
        <v>5.2335789999999998</v>
      </c>
      <c r="E5011">
        <v>0.4958999</v>
      </c>
      <c r="F5011" t="s">
        <v>41</v>
      </c>
      <c r="G5011">
        <v>-421.46379999999999</v>
      </c>
      <c r="H5011" s="1">
        <v>-6.2345300000000002E-7</v>
      </c>
      <c r="I5011">
        <v>50.134520000000002</v>
      </c>
      <c r="J5011">
        <v>-421.76819999999998</v>
      </c>
      <c r="K5011">
        <v>1.1209180000000001</v>
      </c>
      <c r="L5011">
        <v>74.885310000000004</v>
      </c>
      <c r="M5011">
        <v>4.2626770000000003E-3</v>
      </c>
      <c r="N5011">
        <v>-1.3747250000000001E-2</v>
      </c>
      <c r="O5011">
        <v>-0.99989629999999996</v>
      </c>
      <c r="P5011">
        <v>1.2019800000000001E-3</v>
      </c>
      <c r="Q5011">
        <v>-8.4490800000000005E-2</v>
      </c>
      <c r="R5011">
        <v>-0.99642330000000001</v>
      </c>
      <c r="S5011">
        <v>3.6651610000000001E-2</v>
      </c>
      <c r="T5011">
        <v>-0.1345266</v>
      </c>
      <c r="U5011">
        <v>-2.9992679999999998</v>
      </c>
      <c r="V5011">
        <v>3.0283430000000002E-3</v>
      </c>
      <c r="W5011">
        <v>-7.0785550000000003E-2</v>
      </c>
      <c r="X5011">
        <v>0.99748689999999995</v>
      </c>
      <c r="Y5011">
        <v>-7.9473010000000004E-3</v>
      </c>
      <c r="Z5011">
        <v>3.10678E-2</v>
      </c>
      <c r="AA5011">
        <v>0.99948570000000003</v>
      </c>
      <c r="AB5011">
        <v>25</v>
      </c>
      <c r="AC5011">
        <v>0.30439999999998602</v>
      </c>
      <c r="AD5011">
        <v>-1.120918623453</v>
      </c>
      <c r="AE5011">
        <v>-24.750789999999999</v>
      </c>
      <c r="AF5011">
        <v>-0.19847561149467699</v>
      </c>
      <c r="AG5011">
        <v>-1.120918623453</v>
      </c>
      <c r="AH5011">
        <v>24.701207746009899</v>
      </c>
      <c r="AI5011">
        <v>92.598164748015904</v>
      </c>
      <c r="AJ5011">
        <v>90.460364945380803</v>
      </c>
      <c r="AK5011">
        <v>24.727424355162899</v>
      </c>
      <c r="AL5011">
        <v>94.0591080899313</v>
      </c>
      <c r="AM5011">
        <v>89.826052111833306</v>
      </c>
      <c r="AN5011">
        <v>0.99999994031086703</v>
      </c>
    </row>
    <row r="5012" spans="1:40" x14ac:dyDescent="0.25">
      <c r="A5012" t="str">
        <f>"20190303154616938"</f>
        <v>20190303154616938</v>
      </c>
      <c r="B5012" t="str">
        <f>"1551599176925914"</f>
        <v>1551599176925914</v>
      </c>
      <c r="C5012" t="s">
        <v>40</v>
      </c>
      <c r="D5012">
        <v>5.2219920000000002</v>
      </c>
      <c r="E5012">
        <v>0.496008</v>
      </c>
      <c r="F5012" t="s">
        <v>41</v>
      </c>
      <c r="G5012">
        <v>-421.47250000000003</v>
      </c>
      <c r="H5012" s="1">
        <v>-6.6784339999999998E-7</v>
      </c>
      <c r="I5012">
        <v>50.232579999999999</v>
      </c>
      <c r="J5012">
        <v>-421.76729999999998</v>
      </c>
      <c r="K5012">
        <v>1.120922</v>
      </c>
      <c r="L5012">
        <v>74.622889999999998</v>
      </c>
      <c r="M5012">
        <v>4.1324029999999998E-3</v>
      </c>
      <c r="N5012">
        <v>-1.375647E-2</v>
      </c>
      <c r="O5012">
        <v>-0.99989709999999998</v>
      </c>
      <c r="P5012">
        <v>7.7726990000000001E-4</v>
      </c>
      <c r="Q5012">
        <v>-8.4459679999999995E-2</v>
      </c>
      <c r="R5012">
        <v>-0.99642679999999995</v>
      </c>
      <c r="S5012">
        <v>3.598022E-2</v>
      </c>
      <c r="T5012">
        <v>-0.13636609999999999</v>
      </c>
      <c r="U5012">
        <v>-2.9991460000000001</v>
      </c>
      <c r="V5012">
        <v>3.3234330000000002E-3</v>
      </c>
      <c r="W5012">
        <v>-7.0745260000000004E-2</v>
      </c>
      <c r="X5012">
        <v>0.99748890000000001</v>
      </c>
      <c r="Y5012">
        <v>-7.8541459999999994E-3</v>
      </c>
      <c r="Z5012">
        <v>3.1672260000000001E-2</v>
      </c>
      <c r="AA5012">
        <v>0.99946740000000001</v>
      </c>
      <c r="AB5012">
        <v>24</v>
      </c>
      <c r="AC5012">
        <v>0.29479999999995199</v>
      </c>
      <c r="AD5012">
        <v>-1.1209226678433999</v>
      </c>
      <c r="AE5012">
        <v>-24.390309999999999</v>
      </c>
      <c r="AF5012">
        <v>-0.193588559877965</v>
      </c>
      <c r="AG5012">
        <v>-1.1209226678433999</v>
      </c>
      <c r="AH5012">
        <v>24.339918961021901</v>
      </c>
      <c r="AI5012">
        <v>92.636687709019895</v>
      </c>
      <c r="AJ5012">
        <v>90.455694761546198</v>
      </c>
      <c r="AK5012">
        <v>24.366485162758199</v>
      </c>
      <c r="AL5012">
        <v>94.056793511789095</v>
      </c>
      <c r="AM5012">
        <v>89.809102657890506</v>
      </c>
      <c r="AN5012">
        <v>1.0000000213212901</v>
      </c>
    </row>
    <row r="5013" spans="1:40" x14ac:dyDescent="0.25">
      <c r="A5013" t="str">
        <f>"20190303154616963"</f>
        <v>20190303154616963</v>
      </c>
      <c r="B5013" t="str">
        <f>"1551599176956170"</f>
        <v>1551599176956170</v>
      </c>
      <c r="C5013" t="s">
        <v>40</v>
      </c>
      <c r="D5013">
        <v>5.2604480000000002</v>
      </c>
      <c r="E5013">
        <v>0.49596810000000002</v>
      </c>
      <c r="F5013" t="s">
        <v>41</v>
      </c>
      <c r="G5013">
        <v>-421.49090000000001</v>
      </c>
      <c r="H5013" s="1">
        <v>-6.2637700000000005E-7</v>
      </c>
      <c r="I5013">
        <v>50.124519999999997</v>
      </c>
      <c r="J5013">
        <v>-421.7663</v>
      </c>
      <c r="K5013">
        <v>1.1209180000000001</v>
      </c>
      <c r="L5013">
        <v>74.345309999999998</v>
      </c>
      <c r="M5013">
        <v>3.9958620000000002E-3</v>
      </c>
      <c r="N5013">
        <v>-1.376439E-2</v>
      </c>
      <c r="O5013">
        <v>-0.99989749999999999</v>
      </c>
      <c r="P5013">
        <v>8.7732640000000002E-4</v>
      </c>
      <c r="Q5013">
        <v>-8.4616380000000005E-2</v>
      </c>
      <c r="R5013">
        <v>-0.9964134</v>
      </c>
      <c r="S5013">
        <v>3.3843989999999997E-2</v>
      </c>
      <c r="T5013">
        <v>-0.1372244</v>
      </c>
      <c r="U5013">
        <v>-2.9991150000000002</v>
      </c>
      <c r="V5013">
        <v>3.0874190000000001E-3</v>
      </c>
      <c r="W5013">
        <v>-7.0894159999999998E-2</v>
      </c>
      <c r="X5013">
        <v>0.99747909999999995</v>
      </c>
      <c r="Y5013">
        <v>-7.2791219999999998E-3</v>
      </c>
      <c r="Z5013">
        <v>3.1950529999999998E-2</v>
      </c>
      <c r="AA5013">
        <v>0.99946299999999999</v>
      </c>
      <c r="AB5013">
        <v>24</v>
      </c>
      <c r="AC5013">
        <v>0.27539999999998999</v>
      </c>
      <c r="AD5013">
        <v>-1.1209186263769999</v>
      </c>
      <c r="AE5013">
        <v>-24.220789999999901</v>
      </c>
      <c r="AF5013">
        <v>-0.17822405371022201</v>
      </c>
      <c r="AG5013">
        <v>-1.1209186263769999</v>
      </c>
      <c r="AH5013">
        <v>24.169937557195201</v>
      </c>
      <c r="AI5013">
        <v>92.655206679609293</v>
      </c>
      <c r="AJ5013">
        <v>90.42247941235</v>
      </c>
      <c r="AK5013">
        <v>24.196572151835799</v>
      </c>
      <c r="AL5013">
        <v>94.065346274479197</v>
      </c>
      <c r="AM5013">
        <v>89.822657423719306</v>
      </c>
      <c r="AN5013">
        <v>1.00000003450749</v>
      </c>
    </row>
    <row r="5014" spans="1:40" x14ac:dyDescent="0.25">
      <c r="A5014" t="str">
        <f>"20190303154616984"</f>
        <v>20190303154616984</v>
      </c>
      <c r="B5014" t="str">
        <f>"1551599176976665"</f>
        <v>1551599176976665</v>
      </c>
      <c r="C5014" t="s">
        <v>40</v>
      </c>
      <c r="D5014">
        <v>5.2031159999999996</v>
      </c>
      <c r="E5014">
        <v>0.49604490000000001</v>
      </c>
      <c r="F5014" t="s">
        <v>41</v>
      </c>
      <c r="G5014">
        <v>-421.49239999999998</v>
      </c>
      <c r="H5014" s="1">
        <v>-8.3477589999999996E-7</v>
      </c>
      <c r="I5014">
        <v>50.609360000000002</v>
      </c>
      <c r="J5014">
        <v>-421.76560000000001</v>
      </c>
      <c r="K5014">
        <v>1.1209199999999999</v>
      </c>
      <c r="L5014">
        <v>74.11618</v>
      </c>
      <c r="M5014">
        <v>3.8840110000000001E-3</v>
      </c>
      <c r="N5014">
        <v>-1.376966E-2</v>
      </c>
      <c r="O5014">
        <v>-0.99989799999999995</v>
      </c>
      <c r="P5014">
        <v>8.7835270000000002E-4</v>
      </c>
      <c r="Q5014">
        <v>-8.4535639999999995E-2</v>
      </c>
      <c r="R5014">
        <v>-0.99642039999999998</v>
      </c>
      <c r="S5014">
        <v>3.4606930000000001E-2</v>
      </c>
      <c r="T5014">
        <v>-0.1416144</v>
      </c>
      <c r="U5014">
        <v>-2.9987490000000001</v>
      </c>
      <c r="V5014">
        <v>2.9751209999999998E-3</v>
      </c>
      <c r="W5014">
        <v>-7.0808040000000003E-2</v>
      </c>
      <c r="X5014">
        <v>0.99748550000000002</v>
      </c>
      <c r="Y5014">
        <v>-7.6458259999999997E-3</v>
      </c>
      <c r="Z5014">
        <v>3.3410660000000002E-2</v>
      </c>
      <c r="AA5014">
        <v>0.99941250000000004</v>
      </c>
      <c r="AB5014">
        <v>24</v>
      </c>
      <c r="AC5014">
        <v>0.27320000000003097</v>
      </c>
      <c r="AD5014">
        <v>-1.1209208347758901</v>
      </c>
      <c r="AE5014">
        <v>-23.506820000000001</v>
      </c>
      <c r="AF5014">
        <v>-0.18147597299780699</v>
      </c>
      <c r="AG5014">
        <v>-1.1209208347758901</v>
      </c>
      <c r="AH5014">
        <v>23.454379295989199</v>
      </c>
      <c r="AI5014">
        <v>92.736089688579995</v>
      </c>
      <c r="AJ5014">
        <v>90.443311661139504</v>
      </c>
      <c r="AK5014">
        <v>23.481850549024799</v>
      </c>
      <c r="AL5014">
        <v>94.060399767244505</v>
      </c>
      <c r="AM5014">
        <v>89.829108923021295</v>
      </c>
      <c r="AN5014">
        <v>0.99999997629192705</v>
      </c>
    </row>
    <row r="5015" spans="1:40" x14ac:dyDescent="0.25">
      <c r="A5015" t="str">
        <f>"20190303154617003"</f>
        <v>20190303154617003</v>
      </c>
      <c r="B5015" t="str">
        <f>"1551599176996185"</f>
        <v>1551599176996185</v>
      </c>
      <c r="C5015" t="s">
        <v>40</v>
      </c>
      <c r="D5015">
        <v>5.245285</v>
      </c>
      <c r="E5015">
        <v>0.49607639999999997</v>
      </c>
      <c r="F5015" t="s">
        <v>41</v>
      </c>
      <c r="G5015">
        <v>-421.50110000000001</v>
      </c>
      <c r="H5015" s="1">
        <v>-7.7601630000000001E-7</v>
      </c>
      <c r="I5015">
        <v>50.467019999999998</v>
      </c>
      <c r="J5015">
        <v>-421.76479999999998</v>
      </c>
      <c r="K5015">
        <v>1.120924</v>
      </c>
      <c r="L5015">
        <v>73.907290000000003</v>
      </c>
      <c r="M5015">
        <v>3.78276E-3</v>
      </c>
      <c r="N5015">
        <v>-1.377367E-2</v>
      </c>
      <c r="O5015">
        <v>-0.99989799999999995</v>
      </c>
      <c r="P5015">
        <v>5.4861410000000004E-4</v>
      </c>
      <c r="Q5015">
        <v>-8.4935659999999996E-2</v>
      </c>
      <c r="R5015">
        <v>-0.99638629999999995</v>
      </c>
      <c r="S5015">
        <v>3.3538819999999997E-2</v>
      </c>
      <c r="T5015">
        <v>-0.1421316</v>
      </c>
      <c r="U5015">
        <v>-2.998688</v>
      </c>
      <c r="V5015">
        <v>3.2038100000000001E-3</v>
      </c>
      <c r="W5015">
        <v>-7.1204539999999997E-2</v>
      </c>
      <c r="X5015">
        <v>0.99745660000000003</v>
      </c>
      <c r="Y5015">
        <v>-7.3914139999999998E-3</v>
      </c>
      <c r="Z5015">
        <v>3.3579709999999999E-2</v>
      </c>
      <c r="AA5015">
        <v>0.99940870000000004</v>
      </c>
      <c r="AB5015">
        <v>24</v>
      </c>
      <c r="AC5015">
        <v>0.26369999999997101</v>
      </c>
      <c r="AD5015">
        <v>-1.1209247760162999</v>
      </c>
      <c r="AE5015">
        <v>-23.440270000000002</v>
      </c>
      <c r="AF5015">
        <v>-0.174621513125888</v>
      </c>
      <c r="AG5015">
        <v>-1.1209247760162999</v>
      </c>
      <c r="AH5015">
        <v>23.387623876420399</v>
      </c>
      <c r="AI5015">
        <v>92.743902682436996</v>
      </c>
      <c r="AJ5015">
        <v>90.427785646586699</v>
      </c>
      <c r="AK5015">
        <v>23.415121516047002</v>
      </c>
      <c r="AL5015">
        <v>94.083174894837398</v>
      </c>
      <c r="AM5015">
        <v>89.815967772334204</v>
      </c>
      <c r="AN5015">
        <v>1.00000000989934</v>
      </c>
    </row>
    <row r="5016" spans="1:40" x14ac:dyDescent="0.25">
      <c r="A5016" t="str">
        <f>"20190303154617026"</f>
        <v>20190303154617026</v>
      </c>
      <c r="B5016" t="str">
        <f>"1551599177016681"</f>
        <v>1551599177016681</v>
      </c>
      <c r="C5016" t="s">
        <v>40</v>
      </c>
      <c r="D5016">
        <v>5.2439410000000004</v>
      </c>
      <c r="E5016">
        <v>0.49586069999999999</v>
      </c>
      <c r="F5016" t="s">
        <v>41</v>
      </c>
      <c r="G5016">
        <v>-421.51400000000001</v>
      </c>
      <c r="H5016" s="1">
        <v>-8.6080139999999998E-7</v>
      </c>
      <c r="I5016">
        <v>50.65663</v>
      </c>
      <c r="J5016">
        <v>-421.76409999999998</v>
      </c>
      <c r="K5016">
        <v>1.120924</v>
      </c>
      <c r="L5016">
        <v>73.668759999999907</v>
      </c>
      <c r="M5016">
        <v>3.6669039999999999E-3</v>
      </c>
      <c r="N5016">
        <v>-1.3777309999999999E-2</v>
      </c>
      <c r="O5016">
        <v>-0.99989870000000003</v>
      </c>
      <c r="P5016">
        <v>3.6440639999999998E-4</v>
      </c>
      <c r="Q5016">
        <v>-8.5398940000000007E-2</v>
      </c>
      <c r="R5016">
        <v>-0.99634699999999998</v>
      </c>
      <c r="S5016">
        <v>3.2348630000000003E-2</v>
      </c>
      <c r="T5016">
        <v>-0.14456079999999999</v>
      </c>
      <c r="U5016">
        <v>-2.998535</v>
      </c>
      <c r="V5016">
        <v>3.2724260000000002E-3</v>
      </c>
      <c r="W5016">
        <v>-7.1664710000000006E-2</v>
      </c>
      <c r="X5016">
        <v>0.99742339999999996</v>
      </c>
      <c r="Y5016">
        <v>-7.1109909999999997E-3</v>
      </c>
      <c r="Z5016">
        <v>3.4386439999999997E-2</v>
      </c>
      <c r="AA5016">
        <v>0.99938329999999997</v>
      </c>
      <c r="AB5016">
        <v>24</v>
      </c>
      <c r="AC5016">
        <v>0.25009999999997401</v>
      </c>
      <c r="AD5016">
        <v>-1.1209248608014</v>
      </c>
      <c r="AE5016">
        <v>-23.0121299999999</v>
      </c>
      <c r="AF5016">
        <v>-0.165314872134291</v>
      </c>
      <c r="AG5016">
        <v>-1.1209248608014</v>
      </c>
      <c r="AH5016">
        <v>22.958425848017299</v>
      </c>
      <c r="AI5016">
        <v>92.795123826531196</v>
      </c>
      <c r="AJ5016">
        <v>90.412557935384001</v>
      </c>
      <c r="AK5016">
        <v>22.986368111761799</v>
      </c>
      <c r="AL5016">
        <v>94.109608308741699</v>
      </c>
      <c r="AM5016">
        <v>89.812020125228401</v>
      </c>
      <c r="AN5016">
        <v>0.999999989149434</v>
      </c>
    </row>
    <row r="5017" spans="1:40" x14ac:dyDescent="0.25">
      <c r="A5017" t="str">
        <f>"20190303154617048"</f>
        <v>20190303154617048</v>
      </c>
      <c r="B5017" t="str">
        <f>"1551599177045962"</f>
        <v>1551599177045962</v>
      </c>
      <c r="C5017" t="s">
        <v>40</v>
      </c>
      <c r="D5017">
        <v>5.2610720000000004</v>
      </c>
      <c r="E5017">
        <v>0.495892</v>
      </c>
      <c r="F5017" t="s">
        <v>41</v>
      </c>
      <c r="G5017">
        <v>-421.51220000000001</v>
      </c>
      <c r="H5017" s="1">
        <v>-1.0635169999999999E-6</v>
      </c>
      <c r="I5017">
        <v>51.130290000000002</v>
      </c>
      <c r="J5017">
        <v>-421.76330000000002</v>
      </c>
      <c r="K5017">
        <v>1.1209169999999999</v>
      </c>
      <c r="L5017">
        <v>73.421300000000002</v>
      </c>
      <c r="M5017">
        <v>3.5466249999999999E-3</v>
      </c>
      <c r="N5017">
        <v>-1.3780219999999999E-2</v>
      </c>
      <c r="O5017">
        <v>-0.99989870000000003</v>
      </c>
      <c r="P5017">
        <v>1.5739439999999999E-4</v>
      </c>
      <c r="Q5017">
        <v>-8.5698369999999996E-2</v>
      </c>
      <c r="R5017">
        <v>-0.99632109999999996</v>
      </c>
      <c r="S5017">
        <v>3.3508299999999998E-2</v>
      </c>
      <c r="T5017">
        <v>-0.14911350000000001</v>
      </c>
      <c r="U5017">
        <v>-2.99823</v>
      </c>
      <c r="V5017">
        <v>3.3595270000000002E-3</v>
      </c>
      <c r="W5017">
        <v>-7.1961600000000001E-2</v>
      </c>
      <c r="X5017">
        <v>0.99740180000000001</v>
      </c>
      <c r="Y5017">
        <v>-7.6179780000000001E-3</v>
      </c>
      <c r="Z5017">
        <v>3.5902070000000001E-2</v>
      </c>
      <c r="AA5017">
        <v>0.9993263</v>
      </c>
      <c r="AB5017">
        <v>24</v>
      </c>
      <c r="AC5017">
        <v>0.25110000000000798</v>
      </c>
      <c r="AD5017">
        <v>-1.120918063517</v>
      </c>
      <c r="AE5017">
        <v>-22.29101</v>
      </c>
      <c r="AF5017">
        <v>-0.171599196331745</v>
      </c>
      <c r="AG5017">
        <v>-1.120918063517</v>
      </c>
      <c r="AH5017">
        <v>22.235541713934101</v>
      </c>
      <c r="AI5017">
        <v>92.885814372807204</v>
      </c>
      <c r="AJ5017">
        <v>90.442162132307999</v>
      </c>
      <c r="AK5017">
        <v>22.264438436695499</v>
      </c>
      <c r="AL5017">
        <v>94.126662616123198</v>
      </c>
      <c r="AM5017">
        <v>89.807012589785401</v>
      </c>
      <c r="AN5017">
        <v>1.0000000544697301</v>
      </c>
    </row>
    <row r="5018" spans="1:40" x14ac:dyDescent="0.25">
      <c r="A5018" t="str">
        <f>"20190303154617071"</f>
        <v>20190303154617071</v>
      </c>
      <c r="B5018" t="str">
        <f>"1551599177066459"</f>
        <v>1551599177066459</v>
      </c>
      <c r="C5018" t="s">
        <v>40</v>
      </c>
      <c r="D5018">
        <v>5.3238430000000001</v>
      </c>
      <c r="E5018">
        <v>0.49569459999999999</v>
      </c>
      <c r="F5018" t="s">
        <v>41</v>
      </c>
      <c r="G5018">
        <v>-421.51830000000001</v>
      </c>
      <c r="H5018" s="1">
        <v>-1.0400020000000001E-6</v>
      </c>
      <c r="I5018">
        <v>51.071689999999997</v>
      </c>
      <c r="J5018">
        <v>-421.76260000000002</v>
      </c>
      <c r="K5018">
        <v>1.120922</v>
      </c>
      <c r="L5018">
        <v>73.177090000000007</v>
      </c>
      <c r="M5018">
        <v>3.4276630000000001E-3</v>
      </c>
      <c r="N5018">
        <v>-1.3782310000000001E-2</v>
      </c>
      <c r="O5018">
        <v>-0.99989919999999999</v>
      </c>
      <c r="P5018" s="1">
        <v>1.4765739999999899E-5</v>
      </c>
      <c r="Q5018">
        <v>-8.5919819999999994E-2</v>
      </c>
      <c r="R5018">
        <v>-0.99630220000000003</v>
      </c>
      <c r="S5018">
        <v>3.2867430000000003E-2</v>
      </c>
      <c r="T5018">
        <v>-0.1503681</v>
      </c>
      <c r="U5018">
        <v>-2.998138</v>
      </c>
      <c r="V5018">
        <v>3.383582E-3</v>
      </c>
      <c r="W5018">
        <v>-7.2181200000000001E-2</v>
      </c>
      <c r="X5018">
        <v>0.99738579999999999</v>
      </c>
      <c r="Y5018">
        <v>-7.523559E-3</v>
      </c>
      <c r="Z5018">
        <v>3.6318709999999997E-2</v>
      </c>
      <c r="AA5018">
        <v>0.99931190000000003</v>
      </c>
      <c r="AB5018">
        <v>24</v>
      </c>
      <c r="AC5018">
        <v>0.24430000000000901</v>
      </c>
      <c r="AD5018">
        <v>-1.120923040002</v>
      </c>
      <c r="AE5018">
        <v>-22.105399999999999</v>
      </c>
      <c r="AF5018">
        <v>-0.16808935233702399</v>
      </c>
      <c r="AG5018">
        <v>-1.120923040002</v>
      </c>
      <c r="AH5018">
        <v>22.049418557336899</v>
      </c>
      <c r="AI5018">
        <v>92.910147351995207</v>
      </c>
      <c r="AJ5018">
        <v>90.436774506661905</v>
      </c>
      <c r="AK5018">
        <v>22.078532134374498</v>
      </c>
      <c r="AL5018">
        <v>94.139277782797095</v>
      </c>
      <c r="AM5018">
        <v>89.805627647266505</v>
      </c>
      <c r="AN5018">
        <v>1.0000000041511099</v>
      </c>
    </row>
    <row r="5019" spans="1:40" x14ac:dyDescent="0.25">
      <c r="A5019" t="str">
        <f>"20190303154617094"</f>
        <v>20190303154617094</v>
      </c>
      <c r="B5019" t="str">
        <f>"1551599177085978"</f>
        <v>1551599177085978</v>
      </c>
      <c r="C5019" t="s">
        <v>40</v>
      </c>
      <c r="D5019">
        <v>5.2607189999999999</v>
      </c>
      <c r="E5019">
        <v>0.4957434</v>
      </c>
      <c r="F5019" t="s">
        <v>41</v>
      </c>
      <c r="G5019">
        <v>-421.51600000000002</v>
      </c>
      <c r="H5019" s="1">
        <v>-1.141967E-6</v>
      </c>
      <c r="I5019">
        <v>51.310809999999996</v>
      </c>
      <c r="J5019">
        <v>-421.76190000000003</v>
      </c>
      <c r="K5019">
        <v>1.1209260000000001</v>
      </c>
      <c r="L5019">
        <v>72.926969999999997</v>
      </c>
      <c r="M5019">
        <v>3.3055630000000001E-3</v>
      </c>
      <c r="N5019">
        <v>-1.3783770000000001E-2</v>
      </c>
      <c r="O5019">
        <v>-0.99989969999999995</v>
      </c>
      <c r="P5019">
        <v>-4.0586920000000001E-4</v>
      </c>
      <c r="Q5019">
        <v>-8.5999439999999996E-2</v>
      </c>
      <c r="R5019">
        <v>-0.99629520000000005</v>
      </c>
      <c r="S5019">
        <v>3.381348E-2</v>
      </c>
      <c r="T5019">
        <v>-0.15367999999999901</v>
      </c>
      <c r="U5019">
        <v>-2.9978940000000001</v>
      </c>
      <c r="V5019">
        <v>3.6825709999999999E-3</v>
      </c>
      <c r="W5019">
        <v>-7.2259550000000006E-2</v>
      </c>
      <c r="X5019">
        <v>0.99737909999999996</v>
      </c>
      <c r="Y5019">
        <v>-7.9611579999999994E-3</v>
      </c>
      <c r="Z5019">
        <v>3.7422259999999999E-2</v>
      </c>
      <c r="AA5019">
        <v>0.99926780000000004</v>
      </c>
      <c r="AB5019">
        <v>24</v>
      </c>
      <c r="AC5019">
        <v>0.24590000000006201</v>
      </c>
      <c r="AD5019">
        <v>-1.1209271419669999</v>
      </c>
      <c r="AE5019">
        <v>-21.616160000000001</v>
      </c>
      <c r="AF5019">
        <v>-0.173970546902948</v>
      </c>
      <c r="AG5019">
        <v>-1.1209271419669999</v>
      </c>
      <c r="AH5019">
        <v>21.558889524565799</v>
      </c>
      <c r="AI5019">
        <v>92.976244626506002</v>
      </c>
      <c r="AJ5019">
        <v>90.4623411486387</v>
      </c>
      <c r="AK5019">
        <v>21.5887114238257</v>
      </c>
      <c r="AL5019">
        <v>94.143778525942807</v>
      </c>
      <c r="AM5019">
        <v>89.788450733275397</v>
      </c>
      <c r="AN5019">
        <v>1.0000000365060899</v>
      </c>
    </row>
    <row r="5020" spans="1:40" x14ac:dyDescent="0.25">
      <c r="A5020" t="str">
        <f>"20190303154617119"</f>
        <v>20190303154617119</v>
      </c>
      <c r="B5020" t="str">
        <f>"1551599177106473"</f>
        <v>1551599177106473</v>
      </c>
      <c r="C5020" t="s">
        <v>40</v>
      </c>
      <c r="D5020">
        <v>5.3336899999999998</v>
      </c>
      <c r="E5020">
        <v>0.49553619999999998</v>
      </c>
      <c r="F5020" t="s">
        <v>41</v>
      </c>
      <c r="G5020">
        <v>-421.52769999999998</v>
      </c>
      <c r="H5020" s="1">
        <v>-1.055096E-6</v>
      </c>
      <c r="I5020">
        <v>51.101019999999998</v>
      </c>
      <c r="J5020">
        <v>-421.76119999999997</v>
      </c>
      <c r="K5020">
        <v>1.12094</v>
      </c>
      <c r="L5020">
        <v>72.670529999999999</v>
      </c>
      <c r="M5020">
        <v>3.1802380000000002E-3</v>
      </c>
      <c r="N5020">
        <v>-1.3784650000000001E-2</v>
      </c>
      <c r="O5020">
        <v>-0.99989989999999995</v>
      </c>
      <c r="P5020">
        <v>-6.6932319999999995E-4</v>
      </c>
      <c r="Q5020">
        <v>-8.6328009999999997E-2</v>
      </c>
      <c r="R5020">
        <v>-0.99626669999999995</v>
      </c>
      <c r="S5020">
        <v>3.2165529999999998E-2</v>
      </c>
      <c r="T5020">
        <v>-0.1539645</v>
      </c>
      <c r="U5020">
        <v>-2.9978940000000001</v>
      </c>
      <c r="V5020">
        <v>3.8210309999999999E-3</v>
      </c>
      <c r="W5020">
        <v>-7.258763E-2</v>
      </c>
      <c r="X5020">
        <v>0.99735469999999904</v>
      </c>
      <c r="Y5020">
        <v>-7.5374049999999996E-3</v>
      </c>
      <c r="Z5020">
        <v>3.7516229999999998E-2</v>
      </c>
      <c r="AA5020">
        <v>0.99926760000000003</v>
      </c>
      <c r="AB5020">
        <v>24</v>
      </c>
      <c r="AC5020">
        <v>0.23349999999999199</v>
      </c>
      <c r="AD5020">
        <v>-1.1209410550959999</v>
      </c>
      <c r="AE5020">
        <v>-21.569510000000001</v>
      </c>
      <c r="AF5020">
        <v>-0.164452031053228</v>
      </c>
      <c r="AG5020">
        <v>-1.1209410550959999</v>
      </c>
      <c r="AH5020">
        <v>21.512051612140201</v>
      </c>
      <c r="AI5020">
        <v>92.982759971304205</v>
      </c>
      <c r="AJ5020">
        <v>90.437997450804602</v>
      </c>
      <c r="AK5020">
        <v>21.5418643084321</v>
      </c>
      <c r="AL5020">
        <v>94.162625849455097</v>
      </c>
      <c r="AM5020">
        <v>89.780491455483002</v>
      </c>
      <c r="AN5020">
        <v>0.99999998095950404</v>
      </c>
    </row>
    <row r="5021" spans="1:40" x14ac:dyDescent="0.25">
      <c r="A5021" t="str">
        <f>"20190303154617140"</f>
        <v>20190303154617140</v>
      </c>
      <c r="B5021" t="str">
        <f>"1551599177136730"</f>
        <v>1551599177136730</v>
      </c>
      <c r="C5021" t="s">
        <v>40</v>
      </c>
      <c r="D5021">
        <v>5.3812629999999997</v>
      </c>
      <c r="E5021">
        <v>0.49525439999999998</v>
      </c>
      <c r="F5021" t="s">
        <v>41</v>
      </c>
      <c r="G5021">
        <v>-421.52780000000001</v>
      </c>
      <c r="H5021" s="1">
        <v>-1.1619879999999999E-6</v>
      </c>
      <c r="I5021">
        <v>51.350119999999997</v>
      </c>
      <c r="J5021">
        <v>-421.76060000000001</v>
      </c>
      <c r="K5021">
        <v>1.1209389999999999</v>
      </c>
      <c r="L5021">
        <v>72.436160000000001</v>
      </c>
      <c r="M5021">
        <v>3.065361E-3</v>
      </c>
      <c r="N5021">
        <v>-1.3784950000000001E-2</v>
      </c>
      <c r="O5021">
        <v>-0.99990060000000003</v>
      </c>
      <c r="P5021">
        <v>-9.1862439999999997E-4</v>
      </c>
      <c r="Q5021">
        <v>-8.6520169999999993E-2</v>
      </c>
      <c r="R5021">
        <v>-0.99624990000000002</v>
      </c>
      <c r="S5021">
        <v>3.2806399999999999E-2</v>
      </c>
      <c r="T5021">
        <v>-0.15760279999999999</v>
      </c>
      <c r="U5021">
        <v>-2.99762</v>
      </c>
      <c r="V5021">
        <v>3.9557819999999997E-3</v>
      </c>
      <c r="W5021">
        <v>-7.2779739999999996E-2</v>
      </c>
      <c r="X5021">
        <v>0.99734020000000001</v>
      </c>
      <c r="Y5021">
        <v>-7.8661630000000007E-3</v>
      </c>
      <c r="Z5021">
        <v>3.8730029999999999E-2</v>
      </c>
      <c r="AA5021">
        <v>0.99921879999999996</v>
      </c>
      <c r="AB5021">
        <v>24</v>
      </c>
      <c r="AC5021">
        <v>0.23279999999999701</v>
      </c>
      <c r="AD5021">
        <v>-1.120940161988</v>
      </c>
      <c r="AE5021">
        <v>-21.086040000000001</v>
      </c>
      <c r="AF5021">
        <v>-0.16768264337209901</v>
      </c>
      <c r="AG5021">
        <v>-1.120940161988</v>
      </c>
      <c r="AH5021">
        <v>21.0272385015776</v>
      </c>
      <c r="AI5021">
        <v>93.051392998291504</v>
      </c>
      <c r="AJ5021">
        <v>90.456898042602305</v>
      </c>
      <c r="AK5021">
        <v>21.0577630178961</v>
      </c>
      <c r="AL5021">
        <v>94.173662024961203</v>
      </c>
      <c r="AM5021">
        <v>89.772747128060601</v>
      </c>
      <c r="AN5021">
        <v>1.0000000066508601</v>
      </c>
    </row>
    <row r="5022" spans="1:40" x14ac:dyDescent="0.25">
      <c r="A5022" t="str">
        <f>"20190303154617183"</f>
        <v>20190303154617183</v>
      </c>
      <c r="B5022" t="str">
        <f>"1551599177175961"</f>
        <v>1551599177175961</v>
      </c>
      <c r="C5022" t="s">
        <v>40</v>
      </c>
      <c r="D5022">
        <v>5.2414310000000004</v>
      </c>
      <c r="E5022">
        <v>0.49504710000000002</v>
      </c>
      <c r="F5022" t="s">
        <v>41</v>
      </c>
      <c r="G5022">
        <v>-421.517</v>
      </c>
      <c r="H5022" s="1">
        <v>-1.304056E-6</v>
      </c>
      <c r="I5022">
        <v>51.688020000000002</v>
      </c>
      <c r="J5022">
        <v>-421.75940000000003</v>
      </c>
      <c r="K5022">
        <v>1.1209359999999999</v>
      </c>
      <c r="L5022">
        <v>71.972049999999996</v>
      </c>
      <c r="M5022">
        <v>2.8319320000000001E-3</v>
      </c>
      <c r="N5022">
        <v>-1.3784660000000001E-2</v>
      </c>
      <c r="O5022">
        <v>-0.99990109999999999</v>
      </c>
      <c r="P5022">
        <v>-3.1846110000000001E-4</v>
      </c>
      <c r="Q5022">
        <v>-8.7415350000000003E-2</v>
      </c>
      <c r="R5022">
        <v>-0.99617199999999995</v>
      </c>
      <c r="S5022">
        <v>3.5186769999999999E-2</v>
      </c>
      <c r="T5022">
        <v>-0.16192979999999901</v>
      </c>
      <c r="U5022">
        <v>-2.9972530000000002</v>
      </c>
      <c r="V5022">
        <v>3.1223660000000001E-3</v>
      </c>
      <c r="W5022">
        <v>-7.3675980000000002E-2</v>
      </c>
      <c r="X5022">
        <v>0.99727730000000003</v>
      </c>
      <c r="Y5022">
        <v>-8.8931730000000007E-3</v>
      </c>
      <c r="Z5022">
        <v>4.0174670000000003E-2</v>
      </c>
      <c r="AA5022">
        <v>0.99915310000000002</v>
      </c>
      <c r="AB5022">
        <v>24</v>
      </c>
      <c r="AC5022">
        <v>0.24240000000003101</v>
      </c>
      <c r="AD5022">
        <v>-1.120937304056</v>
      </c>
      <c r="AE5022">
        <v>-20.284029999999898</v>
      </c>
      <c r="AF5022">
        <v>-0.18438756297377501</v>
      </c>
      <c r="AG5022">
        <v>-1.120937304056</v>
      </c>
      <c r="AH5022">
        <v>20.2228854144244</v>
      </c>
      <c r="AI5022">
        <v>93.172478124228206</v>
      </c>
      <c r="AJ5022">
        <v>90.522395107937101</v>
      </c>
      <c r="AK5022">
        <v>20.2547671844912</v>
      </c>
      <c r="AL5022">
        <v>94.225151245396304</v>
      </c>
      <c r="AM5022">
        <v>89.820613775777701</v>
      </c>
      <c r="AN5022">
        <v>0.99999995614684301</v>
      </c>
    </row>
    <row r="5023" spans="1:40" x14ac:dyDescent="0.25">
      <c r="A5023" t="str">
        <f>"20190303154617205"</f>
        <v>20190303154617205</v>
      </c>
      <c r="B5023" t="str">
        <f>"1551599177196458"</f>
        <v>1551599177196458</v>
      </c>
      <c r="C5023" t="s">
        <v>40</v>
      </c>
      <c r="D5023">
        <v>5.2865529999999996</v>
      </c>
      <c r="E5023">
        <v>0.49496669999999998</v>
      </c>
      <c r="F5023" t="s">
        <v>41</v>
      </c>
      <c r="G5023">
        <v>-421.5034</v>
      </c>
      <c r="H5023" s="1">
        <v>-1.385495E-6</v>
      </c>
      <c r="I5023">
        <v>51.886310000000002</v>
      </c>
      <c r="J5023">
        <v>-421.75889999999998</v>
      </c>
      <c r="K5023">
        <v>1.1209340000000001</v>
      </c>
      <c r="L5023">
        <v>71.738799999999998</v>
      </c>
      <c r="M5023">
        <v>2.7121430000000002E-3</v>
      </c>
      <c r="N5023">
        <v>-1.3783989999999999E-2</v>
      </c>
      <c r="O5023">
        <v>-0.99990140000000005</v>
      </c>
      <c r="P5023">
        <v>4.521816E-4</v>
      </c>
      <c r="Q5023">
        <v>-8.7483690000000003E-2</v>
      </c>
      <c r="R5023">
        <v>-0.99616579999999999</v>
      </c>
      <c r="S5023">
        <v>3.8208010000000001E-2</v>
      </c>
      <c r="T5023">
        <v>-0.16724749999999999</v>
      </c>
      <c r="U5023">
        <v>-2.9968569999999999</v>
      </c>
      <c r="V5023">
        <v>2.2320819999999998E-3</v>
      </c>
      <c r="W5023">
        <v>-7.3744829999999997E-2</v>
      </c>
      <c r="X5023">
        <v>0.99727460000000001</v>
      </c>
      <c r="Y5023">
        <v>-1.0020070000000001E-2</v>
      </c>
      <c r="Z5023">
        <v>4.1949359999999998E-2</v>
      </c>
      <c r="AA5023">
        <v>0.99906950000000005</v>
      </c>
      <c r="AB5023">
        <v>24</v>
      </c>
      <c r="AC5023">
        <v>0.25549999999998302</v>
      </c>
      <c r="AD5023">
        <v>-1.1209353854949999</v>
      </c>
      <c r="AE5023">
        <v>-19.85249</v>
      </c>
      <c r="AF5023">
        <v>-0.20101042290531601</v>
      </c>
      <c r="AG5023">
        <v>-1.1209353854949999</v>
      </c>
      <c r="AH5023">
        <v>19.790027958897799</v>
      </c>
      <c r="AI5023">
        <v>93.241683814338401</v>
      </c>
      <c r="AJ5023">
        <v>90.581942221407004</v>
      </c>
      <c r="AK5023">
        <v>19.8227674138232</v>
      </c>
      <c r="AL5023">
        <v>94.229106825359807</v>
      </c>
      <c r="AM5023">
        <v>89.871761835129007</v>
      </c>
      <c r="AN5023">
        <v>0.99999995497347005</v>
      </c>
    </row>
    <row r="5024" spans="1:40" x14ac:dyDescent="0.25">
      <c r="A5024" t="str">
        <f>"20190303154617228"</f>
        <v>20190303154617228</v>
      </c>
      <c r="B5024" t="str">
        <f>"1551599177215978"</f>
        <v>1551599177215978</v>
      </c>
      <c r="C5024" t="s">
        <v>40</v>
      </c>
      <c r="D5024">
        <v>5.2814040000000002</v>
      </c>
      <c r="E5024">
        <v>0.4950601</v>
      </c>
      <c r="F5024" t="s">
        <v>41</v>
      </c>
      <c r="G5024">
        <v>-421.48599999999999</v>
      </c>
      <c r="H5024" s="1">
        <v>-1.3480109999999999E-6</v>
      </c>
      <c r="I5024">
        <v>51.809710000000003</v>
      </c>
      <c r="J5024">
        <v>-421.75839999999999</v>
      </c>
      <c r="K5024">
        <v>1.120932</v>
      </c>
      <c r="L5024">
        <v>71.493589999999998</v>
      </c>
      <c r="M5024">
        <v>2.583892E-3</v>
      </c>
      <c r="N5024">
        <v>-1.378306E-2</v>
      </c>
      <c r="O5024">
        <v>-0.99990179999999995</v>
      </c>
      <c r="P5024">
        <v>1.226675E-3</v>
      </c>
      <c r="Q5024">
        <v>-8.7931480000000006E-2</v>
      </c>
      <c r="R5024">
        <v>-0.99612599999999996</v>
      </c>
      <c r="S5024">
        <v>4.1046140000000002E-2</v>
      </c>
      <c r="T5024">
        <v>-0.16855490000000001</v>
      </c>
      <c r="U5024">
        <v>-2.9967350000000001</v>
      </c>
      <c r="V5024">
        <v>1.3293339999999999E-3</v>
      </c>
      <c r="W5024">
        <v>-7.4193809999999999E-2</v>
      </c>
      <c r="X5024">
        <v>0.99724290000000004</v>
      </c>
      <c r="Y5024">
        <v>-1.1094069999999999E-2</v>
      </c>
      <c r="Z5024">
        <v>4.2386390000000003E-2</v>
      </c>
      <c r="AA5024">
        <v>0.99903969999999997</v>
      </c>
      <c r="AB5024">
        <v>24</v>
      </c>
      <c r="AC5024">
        <v>0.27240000000000397</v>
      </c>
      <c r="AD5024">
        <v>-1.120933348011</v>
      </c>
      <c r="AE5024">
        <v>-19.683879999999998</v>
      </c>
      <c r="AF5024">
        <v>-0.22081728636162701</v>
      </c>
      <c r="AG5024">
        <v>-1.120933348011</v>
      </c>
      <c r="AH5024">
        <v>19.6209010851945</v>
      </c>
      <c r="AI5024">
        <v>93.269521649785005</v>
      </c>
      <c r="AJ5024">
        <v>90.644790185138802</v>
      </c>
      <c r="AK5024">
        <v>19.654134711037901</v>
      </c>
      <c r="AL5024">
        <v>94.254902193825501</v>
      </c>
      <c r="AM5024">
        <v>89.923624241746595</v>
      </c>
      <c r="AN5024">
        <v>0.99999994508580303</v>
      </c>
    </row>
    <row r="5025" spans="1:40" x14ac:dyDescent="0.25">
      <c r="A5025" t="str">
        <f>"20190303154617250"</f>
        <v>20190303154617250</v>
      </c>
      <c r="B5025" t="str">
        <f>"1551599177246234"</f>
        <v>1551599177246234</v>
      </c>
      <c r="C5025" t="s">
        <v>40</v>
      </c>
      <c r="D5025">
        <v>5.344271</v>
      </c>
      <c r="E5025">
        <v>0.51645509999999994</v>
      </c>
      <c r="F5025" t="s">
        <v>41</v>
      </c>
      <c r="G5025">
        <v>-421.47340000000003</v>
      </c>
      <c r="H5025" s="1">
        <v>-1.2877350000000001E-6</v>
      </c>
      <c r="I5025">
        <v>51.67698</v>
      </c>
      <c r="J5025">
        <v>-421.75790000000001</v>
      </c>
      <c r="K5025">
        <v>1.1209279999999999</v>
      </c>
      <c r="L5025">
        <v>71.253969999999995</v>
      </c>
      <c r="M5025">
        <v>2.454056E-3</v>
      </c>
      <c r="N5025">
        <v>-1.3781959999999999E-2</v>
      </c>
      <c r="O5025">
        <v>-0.99990230000000002</v>
      </c>
      <c r="P5025">
        <v>1.7557930000000001E-3</v>
      </c>
      <c r="Q5025">
        <v>-8.8682230000000001E-2</v>
      </c>
      <c r="R5025">
        <v>-0.99605860000000002</v>
      </c>
      <c r="S5025">
        <v>4.3090820000000002E-2</v>
      </c>
      <c r="T5025">
        <v>-0.16950609999999999</v>
      </c>
      <c r="U5025">
        <v>-2.9966430000000002</v>
      </c>
      <c r="V5025">
        <v>6.7017309999999996E-4</v>
      </c>
      <c r="W5025">
        <v>-7.494634E-2</v>
      </c>
      <c r="X5025">
        <v>0.9971873</v>
      </c>
      <c r="Y5025">
        <v>-1.1905239999999999E-2</v>
      </c>
      <c r="Z5025">
        <v>4.2704800000000001E-2</v>
      </c>
      <c r="AA5025">
        <v>0.99901680000000004</v>
      </c>
      <c r="AB5025">
        <v>24</v>
      </c>
      <c r="AC5025">
        <v>0.28449999999997999</v>
      </c>
      <c r="AD5025">
        <v>-1.1209292877349999</v>
      </c>
      <c r="AE5025">
        <v>-19.576989999999899</v>
      </c>
      <c r="AF5025">
        <v>-0.235679071976684</v>
      </c>
      <c r="AG5025">
        <v>-1.1209292877349999</v>
      </c>
      <c r="AH5025">
        <v>19.5136687887187</v>
      </c>
      <c r="AI5025">
        <v>93.287405769106897</v>
      </c>
      <c r="AJ5025">
        <v>90.691964169787994</v>
      </c>
      <c r="AK5025">
        <v>19.547258035051399</v>
      </c>
      <c r="AL5025">
        <v>94.298139320257803</v>
      </c>
      <c r="AM5025">
        <v>89.961493608680996</v>
      </c>
      <c r="AN5025">
        <v>0.99999995714633305</v>
      </c>
    </row>
    <row r="5026" spans="1:40" x14ac:dyDescent="0.25">
      <c r="A5026" t="str">
        <f>"20190303154617271"</f>
        <v>20190303154617271</v>
      </c>
      <c r="B5026" t="str">
        <f>"1551599177266693"</f>
        <v>1551599177266693</v>
      </c>
      <c r="C5026" t="s">
        <v>40</v>
      </c>
      <c r="D5026">
        <v>5.3665520000000004</v>
      </c>
      <c r="E5026">
        <v>0.51662079999999999</v>
      </c>
      <c r="F5026" t="s">
        <v>41</v>
      </c>
      <c r="G5026">
        <v>-422.7029</v>
      </c>
      <c r="H5026" s="1">
        <v>-4.4891440000000003E-6</v>
      </c>
      <c r="I5026">
        <v>48.76943</v>
      </c>
      <c r="J5026">
        <v>-421.75749999999999</v>
      </c>
      <c r="K5026">
        <v>1.1209260000000001</v>
      </c>
      <c r="L5026">
        <v>71.020939999999996</v>
      </c>
      <c r="M5026">
        <v>2.3223670000000001E-3</v>
      </c>
      <c r="N5026">
        <v>-1.378066E-2</v>
      </c>
      <c r="O5026">
        <v>-0.99990250000000003</v>
      </c>
      <c r="P5026">
        <v>2.0103299999999998E-3</v>
      </c>
      <c r="Q5026">
        <v>-8.8157920000000001E-2</v>
      </c>
      <c r="R5026">
        <v>-0.99610469999999895</v>
      </c>
      <c r="S5026">
        <v>-0.1260376</v>
      </c>
      <c r="T5026">
        <v>-0.14949949999999901</v>
      </c>
      <c r="U5026">
        <v>-2.9987789999999999</v>
      </c>
      <c r="V5026">
        <v>2.8423000000000001E-4</v>
      </c>
      <c r="W5026">
        <v>-7.4422639999999998E-2</v>
      </c>
      <c r="X5026">
        <v>0.99722679999999997</v>
      </c>
      <c r="Y5026">
        <v>4.4266409999999999E-2</v>
      </c>
      <c r="Z5026">
        <v>3.5976149999999998E-2</v>
      </c>
      <c r="AA5026">
        <v>0.99837180000000003</v>
      </c>
      <c r="AB5026">
        <v>24</v>
      </c>
      <c r="AC5026">
        <v>-0.94540000000000601</v>
      </c>
      <c r="AD5026">
        <v>-1.120930489144</v>
      </c>
      <c r="AE5026">
        <v>-22.25151</v>
      </c>
      <c r="AF5026">
        <v>0.99455918800899101</v>
      </c>
      <c r="AG5026">
        <v>-1.120930489144</v>
      </c>
      <c r="AH5026">
        <v>22.193036666030501</v>
      </c>
      <c r="AI5026">
        <v>92.888555821886996</v>
      </c>
      <c r="AJ5026">
        <v>87.434062595561002</v>
      </c>
      <c r="AK5026">
        <v>22.2435723210037</v>
      </c>
      <c r="AL5026">
        <v>94.268049085716399</v>
      </c>
      <c r="AM5026">
        <v>89.983669533379896</v>
      </c>
      <c r="AN5026">
        <v>1.0000000503847499</v>
      </c>
    </row>
    <row r="5027" spans="1:40" x14ac:dyDescent="0.25">
      <c r="A5027" t="str">
        <f>"20190303154617294"</f>
        <v>20190303154617294</v>
      </c>
      <c r="B5027" t="str">
        <f>"1551599177286215"</f>
        <v>1551599177286215</v>
      </c>
      <c r="C5027" t="s">
        <v>40</v>
      </c>
      <c r="D5027">
        <v>5.3277979999999996</v>
      </c>
      <c r="E5027">
        <v>0.51681359999999998</v>
      </c>
      <c r="F5027" t="s">
        <v>41</v>
      </c>
      <c r="G5027">
        <v>-422.55110000000002</v>
      </c>
      <c r="H5027" s="1">
        <v>-1.816543E-6</v>
      </c>
      <c r="I5027">
        <v>52.241250000000001</v>
      </c>
      <c r="J5027">
        <v>-421.75700000000001</v>
      </c>
      <c r="K5027">
        <v>1.1209290000000001</v>
      </c>
      <c r="L5027">
        <v>70.784480000000002</v>
      </c>
      <c r="M5027">
        <v>2.1840319999999998E-3</v>
      </c>
      <c r="N5027">
        <v>-1.3779130000000001E-2</v>
      </c>
      <c r="O5027">
        <v>-0.99990279999999998</v>
      </c>
      <c r="P5027">
        <v>1.8488300000000001E-3</v>
      </c>
      <c r="Q5027">
        <v>-8.822642E-2</v>
      </c>
      <c r="R5027">
        <v>-0.99609859999999995</v>
      </c>
      <c r="S5027">
        <v>-0.12661739999999999</v>
      </c>
      <c r="T5027">
        <v>-0.17883540000000001</v>
      </c>
      <c r="U5027">
        <v>-2.9961549999999999</v>
      </c>
      <c r="V5027">
        <v>3.073506E-4</v>
      </c>
      <c r="W5027">
        <v>-7.4492729999999993E-2</v>
      </c>
      <c r="X5027">
        <v>0.99722149999999998</v>
      </c>
      <c r="Y5027">
        <v>4.4337809999999998E-2</v>
      </c>
      <c r="Z5027">
        <v>4.5765340000000002E-2</v>
      </c>
      <c r="AA5027">
        <v>0.99796779999999996</v>
      </c>
      <c r="AB5027">
        <v>24</v>
      </c>
      <c r="AC5027">
        <v>-0.79410000000007097</v>
      </c>
      <c r="AD5027">
        <v>-1.1209308165430001</v>
      </c>
      <c r="AE5027">
        <v>-18.543229999999902</v>
      </c>
      <c r="AF5027">
        <v>0.83156783920715205</v>
      </c>
      <c r="AG5027">
        <v>-1.1209308165430001</v>
      </c>
      <c r="AH5027">
        <v>18.474067748701</v>
      </c>
      <c r="AI5027">
        <v>93.468712810931805</v>
      </c>
      <c r="AJ5027">
        <v>87.422701458545404</v>
      </c>
      <c r="AK5027">
        <v>18.5267150393768</v>
      </c>
      <c r="AL5027">
        <v>94.272076380619893</v>
      </c>
      <c r="AM5027">
        <v>89.982341042934493</v>
      </c>
      <c r="AN5027">
        <v>0.99999999067474699</v>
      </c>
    </row>
    <row r="5028" spans="1:40" x14ac:dyDescent="0.25">
      <c r="A5028" t="str">
        <f>"20190303154617316"</f>
        <v>20190303154617316</v>
      </c>
      <c r="B5028" t="str">
        <f>"1551599177306709"</f>
        <v>1551599177306709</v>
      </c>
      <c r="C5028" t="s">
        <v>40</v>
      </c>
      <c r="D5028">
        <v>5.3494640000000002</v>
      </c>
      <c r="E5028">
        <v>0.51666729999999905</v>
      </c>
      <c r="F5028" t="s">
        <v>41</v>
      </c>
      <c r="G5028">
        <v>-422.51350000000002</v>
      </c>
      <c r="H5028" s="1">
        <v>-2.1940960000000002E-6</v>
      </c>
      <c r="I5028">
        <v>53.144629999999999</v>
      </c>
      <c r="J5028">
        <v>-421.75670000000002</v>
      </c>
      <c r="K5028">
        <v>1.1209290000000001</v>
      </c>
      <c r="L5028">
        <v>70.54907</v>
      </c>
      <c r="M5028">
        <v>2.0431410000000001E-3</v>
      </c>
      <c r="N5028">
        <v>-1.377748E-2</v>
      </c>
      <c r="O5028">
        <v>-0.99990299999999999</v>
      </c>
      <c r="P5028">
        <v>1.2650999999999999E-3</v>
      </c>
      <c r="Q5028">
        <v>-8.7587559999999995E-2</v>
      </c>
      <c r="R5028">
        <v>-0.99615609999999999</v>
      </c>
      <c r="S5028">
        <v>-0.12844849999999999</v>
      </c>
      <c r="T5028">
        <v>-0.19032779999999999</v>
      </c>
      <c r="U5028">
        <v>-2.9951479999999999</v>
      </c>
      <c r="V5028">
        <v>7.5047089999999905E-4</v>
      </c>
      <c r="W5028">
        <v>-7.3854929999999999E-2</v>
      </c>
      <c r="X5028">
        <v>0.99726870000000001</v>
      </c>
      <c r="Y5028">
        <v>4.4810919999999997E-2</v>
      </c>
      <c r="Z5028">
        <v>4.9600020000000002E-2</v>
      </c>
      <c r="AA5028">
        <v>0.99776339999999997</v>
      </c>
      <c r="AB5028">
        <v>24</v>
      </c>
      <c r="AC5028">
        <v>-0.75679999999999803</v>
      </c>
      <c r="AD5028">
        <v>-1.1209311940960001</v>
      </c>
      <c r="AE5028">
        <v>-17.404439999999902</v>
      </c>
      <c r="AF5028">
        <v>0.78909454055644002</v>
      </c>
      <c r="AG5028">
        <v>-1.1209311940960001</v>
      </c>
      <c r="AH5028">
        <v>17.331103679484801</v>
      </c>
      <c r="AI5028">
        <v>93.696770141653602</v>
      </c>
      <c r="AJ5028">
        <v>87.393092520387</v>
      </c>
      <c r="AK5028">
        <v>17.385232574943799</v>
      </c>
      <c r="AL5028">
        <v>94.235432204540501</v>
      </c>
      <c r="AM5028">
        <v>89.956883428607796</v>
      </c>
      <c r="AN5028">
        <v>0.99999998694578296</v>
      </c>
    </row>
    <row r="5029" spans="1:40" x14ac:dyDescent="0.25">
      <c r="A5029" t="str">
        <f>"20190303154617339"</f>
        <v>20190303154617339</v>
      </c>
      <c r="B5029" t="str">
        <f>"1551599177335990"</f>
        <v>1551599177335990</v>
      </c>
      <c r="C5029" t="s">
        <v>40</v>
      </c>
      <c r="D5029">
        <v>5.3311469999999996</v>
      </c>
      <c r="E5029">
        <v>0.51689149999999995</v>
      </c>
      <c r="F5029" t="s">
        <v>41</v>
      </c>
      <c r="G5029">
        <v>-422.49340000000001</v>
      </c>
      <c r="H5029" s="1">
        <v>-2.324035E-6</v>
      </c>
      <c r="I5029">
        <v>53.460009999999997</v>
      </c>
      <c r="J5029">
        <v>-421.75639999999999</v>
      </c>
      <c r="K5029">
        <v>1.120933</v>
      </c>
      <c r="L5029">
        <v>70.299589999999995</v>
      </c>
      <c r="M5029">
        <v>1.8907869999999999E-3</v>
      </c>
      <c r="N5029">
        <v>-1.3775890000000001E-2</v>
      </c>
      <c r="O5029">
        <v>-0.99990349999999995</v>
      </c>
      <c r="P5029">
        <v>8.86698E-4</v>
      </c>
      <c r="Q5029">
        <v>-8.7631029999999999E-2</v>
      </c>
      <c r="R5029">
        <v>-0.99615260000000005</v>
      </c>
      <c r="S5029">
        <v>-0.12908939999999999</v>
      </c>
      <c r="T5029">
        <v>-0.19641819999999999</v>
      </c>
      <c r="U5029">
        <v>-2.9944760000000001</v>
      </c>
      <c r="V5029">
        <v>9.7670169999999998E-4</v>
      </c>
      <c r="W5029">
        <v>-7.390012E-2</v>
      </c>
      <c r="X5029">
        <v>0.99726519999999996</v>
      </c>
      <c r="Y5029">
        <v>4.4876319999999997E-2</v>
      </c>
      <c r="Z5029">
        <v>5.1636330000000001E-2</v>
      </c>
      <c r="AA5029">
        <v>0.99765720000000002</v>
      </c>
      <c r="AB5029">
        <v>24</v>
      </c>
      <c r="AC5029">
        <v>-0.73700000000002297</v>
      </c>
      <c r="AD5029">
        <v>-1.120935324035</v>
      </c>
      <c r="AE5029">
        <v>-16.839580000000002</v>
      </c>
      <c r="AF5029">
        <v>0.76545652820231302</v>
      </c>
      <c r="AG5029">
        <v>-1.120935324035</v>
      </c>
      <c r="AH5029">
        <v>16.764017438159001</v>
      </c>
      <c r="AI5029">
        <v>93.821449926742801</v>
      </c>
      <c r="AJ5029">
        <v>87.385651304943195</v>
      </c>
      <c r="AK5029">
        <v>16.8188792838327</v>
      </c>
      <c r="AL5029">
        <v>94.238028311153897</v>
      </c>
      <c r="AM5029">
        <v>89.943885671172495</v>
      </c>
      <c r="AN5029">
        <v>1.0000000304066301</v>
      </c>
    </row>
    <row r="5030" spans="1:40" x14ac:dyDescent="0.25">
      <c r="A5030" t="str">
        <f>"20190303154617362"</f>
        <v>20190303154617362</v>
      </c>
      <c r="B5030" t="str">
        <f>"1551599177356486"</f>
        <v>1551599177356486</v>
      </c>
      <c r="C5030" t="s">
        <v>40</v>
      </c>
      <c r="D5030">
        <v>5.2942970000000003</v>
      </c>
      <c r="E5030">
        <v>0.51742999999999995</v>
      </c>
      <c r="F5030" t="s">
        <v>41</v>
      </c>
      <c r="G5030">
        <v>-422.49029999999999</v>
      </c>
      <c r="H5030" s="1">
        <v>-2.4235090000000002E-6</v>
      </c>
      <c r="I5030">
        <v>53.693809999999999</v>
      </c>
      <c r="J5030">
        <v>-421.7561</v>
      </c>
      <c r="K5030">
        <v>1.120935</v>
      </c>
      <c r="L5030">
        <v>70.058959999999999</v>
      </c>
      <c r="M5030">
        <v>1.7416210000000001E-3</v>
      </c>
      <c r="N5030">
        <v>-1.377426E-2</v>
      </c>
      <c r="O5030">
        <v>-0.99990369999999995</v>
      </c>
      <c r="P5030">
        <v>1.3128740000000001E-4</v>
      </c>
      <c r="Q5030">
        <v>-8.7995610000000002E-2</v>
      </c>
      <c r="R5030">
        <v>-0.99612100000000003</v>
      </c>
      <c r="S5030">
        <v>-0.1323242</v>
      </c>
      <c r="T5030">
        <v>-0.2020981</v>
      </c>
      <c r="U5030">
        <v>-2.9939269999999998</v>
      </c>
      <c r="V5030">
        <v>1.583218E-3</v>
      </c>
      <c r="W5030">
        <v>-7.4266899999999997E-2</v>
      </c>
      <c r="X5030">
        <v>0.99723709999999999</v>
      </c>
      <c r="Y5030">
        <v>4.5805520000000002E-2</v>
      </c>
      <c r="Z5030">
        <v>5.353132E-2</v>
      </c>
      <c r="AA5030">
        <v>0.99751500000000004</v>
      </c>
      <c r="AB5030">
        <v>24</v>
      </c>
      <c r="AC5030">
        <v>-0.73419999999998697</v>
      </c>
      <c r="AD5030">
        <v>-1.1209374235089999</v>
      </c>
      <c r="AE5030">
        <v>-16.36515</v>
      </c>
      <c r="AF5030">
        <v>0.75914899321194296</v>
      </c>
      <c r="AG5030">
        <v>-1.1209374235089999</v>
      </c>
      <c r="AH5030">
        <v>16.287584705989801</v>
      </c>
      <c r="AI5030">
        <v>93.932722578941394</v>
      </c>
      <c r="AJ5030">
        <v>87.331428930850393</v>
      </c>
      <c r="AK5030">
        <v>16.343751817012901</v>
      </c>
      <c r="AL5030">
        <v>94.259101480118005</v>
      </c>
      <c r="AM5030">
        <v>89.909037045215499</v>
      </c>
      <c r="AN5030">
        <v>0.99999995631562599</v>
      </c>
    </row>
    <row r="5031" spans="1:40" x14ac:dyDescent="0.25">
      <c r="A5031" t="str">
        <f>"20190303154617386"</f>
        <v>20190303154617386</v>
      </c>
      <c r="B5031" t="str">
        <f>"1551599177376511"</f>
        <v>1551599177376511</v>
      </c>
      <c r="C5031" t="s">
        <v>40</v>
      </c>
      <c r="D5031">
        <v>5.3071159999999997</v>
      </c>
      <c r="E5031">
        <v>0.51749429999999996</v>
      </c>
      <c r="F5031" t="s">
        <v>41</v>
      </c>
      <c r="G5031">
        <v>-422.5369</v>
      </c>
      <c r="H5031" s="1">
        <v>-2.221106E-6</v>
      </c>
      <c r="I5031">
        <v>53.193109999999997</v>
      </c>
      <c r="J5031">
        <v>-421.7559</v>
      </c>
      <c r="K5031">
        <v>1.1209279999999999</v>
      </c>
      <c r="L5031">
        <v>69.803560000000004</v>
      </c>
      <c r="M5031">
        <v>1.5820280000000001E-3</v>
      </c>
      <c r="N5031">
        <v>-1.37725E-2</v>
      </c>
      <c r="O5031">
        <v>-0.99990400000000002</v>
      </c>
      <c r="P5031">
        <v>-4.9165699999999897E-4</v>
      </c>
      <c r="Q5031">
        <v>-8.8480139999999999E-2</v>
      </c>
      <c r="R5031">
        <v>-0.99607800000000002</v>
      </c>
      <c r="S5031">
        <v>-0.13861080000000001</v>
      </c>
      <c r="T5031">
        <v>-0.19899639999999999</v>
      </c>
      <c r="U5031">
        <v>-2.9941409999999999</v>
      </c>
      <c r="V5031">
        <v>2.0470100000000001E-3</v>
      </c>
      <c r="W5031">
        <v>-7.475387E-2</v>
      </c>
      <c r="X5031">
        <v>0.99719990000000003</v>
      </c>
      <c r="Y5031">
        <v>4.7734819999999997E-2</v>
      </c>
      <c r="Z5031">
        <v>5.2493430000000001E-2</v>
      </c>
      <c r="AA5031">
        <v>0.99747969999999997</v>
      </c>
      <c r="AB5031">
        <v>24</v>
      </c>
      <c r="AC5031">
        <v>-0.78100000000000502</v>
      </c>
      <c r="AD5031">
        <v>-1.1209302211059999</v>
      </c>
      <c r="AE5031">
        <v>-16.61045</v>
      </c>
      <c r="AF5031">
        <v>0.80362804904114304</v>
      </c>
      <c r="AG5031">
        <v>-1.1209302211059999</v>
      </c>
      <c r="AH5031">
        <v>16.534063267419</v>
      </c>
      <c r="AI5031">
        <v>93.873885244379693</v>
      </c>
      <c r="AJ5031">
        <v>87.217363465312999</v>
      </c>
      <c r="AK5031">
        <v>16.591490310783001</v>
      </c>
      <c r="AL5031">
        <v>94.2870804553677</v>
      </c>
      <c r="AM5031">
        <v>89.882385799595099</v>
      </c>
      <c r="AN5031">
        <v>0.99999998594496298</v>
      </c>
    </row>
    <row r="5032" spans="1:40" x14ac:dyDescent="0.25">
      <c r="A5032" t="str">
        <f>"20190303154617406"</f>
        <v>20190303154617406</v>
      </c>
      <c r="B5032" t="str">
        <f>"1551599177396031"</f>
        <v>1551599177396031</v>
      </c>
      <c r="C5032" t="s">
        <v>40</v>
      </c>
      <c r="D5032">
        <v>5.2660939999999998</v>
      </c>
      <c r="E5032">
        <v>0.51750620000000003</v>
      </c>
      <c r="F5032" t="s">
        <v>41</v>
      </c>
      <c r="G5032">
        <v>-422.52679999999998</v>
      </c>
      <c r="H5032" s="1">
        <v>-2.3053979999999999E-6</v>
      </c>
      <c r="I5032">
        <v>53.395859999999999</v>
      </c>
      <c r="J5032">
        <v>-421.75560000000002</v>
      </c>
      <c r="K5032">
        <v>1.1209249999999999</v>
      </c>
      <c r="L5032">
        <v>69.584500000000006</v>
      </c>
      <c r="M5032">
        <v>1.445111E-3</v>
      </c>
      <c r="N5032">
        <v>-1.377079E-2</v>
      </c>
      <c r="O5032">
        <v>-0.99990420000000002</v>
      </c>
      <c r="P5032">
        <v>-1.01151E-3</v>
      </c>
      <c r="Q5032">
        <v>-8.7862120000000002E-2</v>
      </c>
      <c r="R5032">
        <v>-0.99613229999999997</v>
      </c>
      <c r="S5032">
        <v>-0.14065549999999999</v>
      </c>
      <c r="T5032">
        <v>-0.2045121</v>
      </c>
      <c r="U5032">
        <v>-2.9935610000000001</v>
      </c>
      <c r="V5032">
        <v>2.4308049999999999E-3</v>
      </c>
      <c r="W5032">
        <v>-7.4136980000000005E-2</v>
      </c>
      <c r="X5032">
        <v>0.9972451</v>
      </c>
      <c r="Y5032">
        <v>4.8281259999999999E-2</v>
      </c>
      <c r="Z5032">
        <v>5.4335550000000003E-2</v>
      </c>
      <c r="AA5032">
        <v>0.99735479999999999</v>
      </c>
      <c r="AB5032">
        <v>24</v>
      </c>
      <c r="AC5032">
        <v>-0.77119999999996403</v>
      </c>
      <c r="AD5032">
        <v>-1.120927305398</v>
      </c>
      <c r="AE5032">
        <v>-16.188639999999999</v>
      </c>
      <c r="AF5032">
        <v>0.79081290567544704</v>
      </c>
      <c r="AG5032">
        <v>-1.120927305398</v>
      </c>
      <c r="AH5032">
        <v>16.1104435171573</v>
      </c>
      <c r="AI5032">
        <v>93.975322069597098</v>
      </c>
      <c r="AJ5032">
        <v>87.189779275102197</v>
      </c>
      <c r="AK5032">
        <v>16.168743098808999</v>
      </c>
      <c r="AL5032">
        <v>94.2516368694302</v>
      </c>
      <c r="AM5032">
        <v>89.860340661000706</v>
      </c>
      <c r="AN5032">
        <v>0.99999999504523895</v>
      </c>
    </row>
    <row r="5033" spans="1:40" x14ac:dyDescent="0.25">
      <c r="A5033" t="str">
        <f>"20190303154617429"</f>
        <v>20190303154617429</v>
      </c>
      <c r="B5033" t="str">
        <f>"1551599177416528"</f>
        <v>1551599177416528</v>
      </c>
      <c r="C5033" t="s">
        <v>40</v>
      </c>
      <c r="D5033">
        <v>5.3045229999999997</v>
      </c>
      <c r="E5033">
        <v>0.51770550000000004</v>
      </c>
      <c r="F5033" t="s">
        <v>41</v>
      </c>
      <c r="G5033">
        <v>-422.5351</v>
      </c>
      <c r="H5033" s="1">
        <v>-2.2580039999999999E-6</v>
      </c>
      <c r="I5033">
        <v>53.280250000000002</v>
      </c>
      <c r="J5033">
        <v>-421.75549999999998</v>
      </c>
      <c r="K5033">
        <v>1.1209260000000001</v>
      </c>
      <c r="L5033">
        <v>69.355009999999993</v>
      </c>
      <c r="M5033">
        <v>1.3024320000000001E-3</v>
      </c>
      <c r="N5033">
        <v>-1.376897E-2</v>
      </c>
      <c r="O5033">
        <v>-0.99990469999999998</v>
      </c>
      <c r="P5033">
        <v>-8.9846570000000001E-4</v>
      </c>
      <c r="Q5033">
        <v>-8.7261710000000006E-2</v>
      </c>
      <c r="R5033">
        <v>-0.9961854</v>
      </c>
      <c r="S5033">
        <v>-0.1430969</v>
      </c>
      <c r="T5033">
        <v>-0.20579449999999999</v>
      </c>
      <c r="U5033">
        <v>-2.993347</v>
      </c>
      <c r="V5033">
        <v>2.1759140000000001E-3</v>
      </c>
      <c r="W5033">
        <v>-7.3537599999999995E-2</v>
      </c>
      <c r="X5033">
        <v>0.99729009999999996</v>
      </c>
      <c r="Y5033">
        <v>4.8952030000000001E-2</v>
      </c>
      <c r="Z5033">
        <v>5.4765080000000001E-2</v>
      </c>
      <c r="AA5033">
        <v>0.99729860000000004</v>
      </c>
      <c r="AB5033">
        <v>24</v>
      </c>
      <c r="AC5033">
        <v>-0.77960000000001595</v>
      </c>
      <c r="AD5033">
        <v>-1.1209282580040001</v>
      </c>
      <c r="AE5033">
        <v>-16.074759999999898</v>
      </c>
      <c r="AF5033">
        <v>0.79667280429465703</v>
      </c>
      <c r="AG5033">
        <v>-1.1209282580040001</v>
      </c>
      <c r="AH5033">
        <v>15.996130968619701</v>
      </c>
      <c r="AI5033">
        <v>94.003500943186495</v>
      </c>
      <c r="AJ5033">
        <v>87.148791500445</v>
      </c>
      <c r="AK5033">
        <v>16.055135430195801</v>
      </c>
      <c r="AL5033">
        <v>94.217200783806106</v>
      </c>
      <c r="AM5033">
        <v>89.874990746465897</v>
      </c>
      <c r="AN5033">
        <v>1.0000000283867501</v>
      </c>
    </row>
    <row r="5034" spans="1:40" x14ac:dyDescent="0.25">
      <c r="A5034" t="str">
        <f>"20190303154617450"</f>
        <v>20190303154617450</v>
      </c>
      <c r="B5034" t="str">
        <f>"1551599177446784"</f>
        <v>1551599177446784</v>
      </c>
      <c r="C5034" t="s">
        <v>40</v>
      </c>
      <c r="D5034">
        <v>5.3418479999999997</v>
      </c>
      <c r="E5034">
        <v>0.51759089999999996</v>
      </c>
      <c r="F5034" t="s">
        <v>41</v>
      </c>
      <c r="G5034">
        <v>-422.54809999999998</v>
      </c>
      <c r="H5034" s="1">
        <v>-2.1049590000000001E-6</v>
      </c>
      <c r="I5034">
        <v>52.915419999999997</v>
      </c>
      <c r="J5034">
        <v>-421.75540000000001</v>
      </c>
      <c r="K5034">
        <v>1.1209309999999999</v>
      </c>
      <c r="L5034">
        <v>69.125919999999994</v>
      </c>
      <c r="M5034">
        <v>1.161275E-3</v>
      </c>
      <c r="N5034">
        <v>-1.3767110000000001E-2</v>
      </c>
      <c r="O5034">
        <v>-0.99990469999999998</v>
      </c>
      <c r="P5034">
        <v>-4.516705E-4</v>
      </c>
      <c r="Q5034">
        <v>-8.6762399999999906E-2</v>
      </c>
      <c r="R5034">
        <v>-0.99622909999999998</v>
      </c>
      <c r="S5034">
        <v>-0.14431759999999999</v>
      </c>
      <c r="T5034">
        <v>-0.20410880000000001</v>
      </c>
      <c r="U5034">
        <v>-2.9934690000000002</v>
      </c>
      <c r="V5034">
        <v>1.5886940000000001E-3</v>
      </c>
      <c r="W5034">
        <v>-7.3039450000000006E-2</v>
      </c>
      <c r="X5034">
        <v>0.99732779999999999</v>
      </c>
      <c r="Y5034">
        <v>4.9216360000000001E-2</v>
      </c>
      <c r="Z5034">
        <v>5.4204130000000003E-2</v>
      </c>
      <c r="AA5034">
        <v>0.99731619999999999</v>
      </c>
      <c r="AB5034">
        <v>24</v>
      </c>
      <c r="AC5034">
        <v>-0.79269999999996799</v>
      </c>
      <c r="AD5034">
        <v>-1.1209331049589999</v>
      </c>
      <c r="AE5034">
        <v>-16.2104999999999</v>
      </c>
      <c r="AF5034">
        <v>0.80767339625721202</v>
      </c>
      <c r="AG5034">
        <v>-1.1209331049589999</v>
      </c>
      <c r="AH5034">
        <v>16.132613933558801</v>
      </c>
      <c r="AI5034">
        <v>93.969705570912296</v>
      </c>
      <c r="AJ5034">
        <v>87.133900821377097</v>
      </c>
      <c r="AK5034">
        <v>16.1916663648331</v>
      </c>
      <c r="AL5034">
        <v>94.188581994224094</v>
      </c>
      <c r="AM5034">
        <v>89.908730726100501</v>
      </c>
      <c r="AN5034">
        <v>1.00000001292888</v>
      </c>
    </row>
    <row r="5035" spans="1:40" x14ac:dyDescent="0.25">
      <c r="A5035" t="str">
        <f>"20190303154617474"</f>
        <v>20190303154617474</v>
      </c>
      <c r="B5035" t="str">
        <f>"1551599177466812"</f>
        <v>1551599177466812</v>
      </c>
      <c r="C5035" t="s">
        <v>40</v>
      </c>
      <c r="D5035">
        <v>5.2516669999999896</v>
      </c>
      <c r="E5035">
        <v>0.4627598</v>
      </c>
      <c r="F5035" t="s">
        <v>41</v>
      </c>
      <c r="G5035">
        <v>-422.5505</v>
      </c>
      <c r="H5035" s="1">
        <v>-1.84617E-6</v>
      </c>
      <c r="I5035">
        <v>52.310679999999998</v>
      </c>
      <c r="J5035">
        <v>-421.7552</v>
      </c>
      <c r="K5035">
        <v>1.12093</v>
      </c>
      <c r="L5035">
        <v>68.876279999999994</v>
      </c>
      <c r="M5035">
        <v>1.008517E-3</v>
      </c>
      <c r="N5035">
        <v>-1.3765009999999999E-2</v>
      </c>
      <c r="O5035">
        <v>-0.99990489999999999</v>
      </c>
      <c r="P5035">
        <v>-1.163545E-4</v>
      </c>
      <c r="Q5035">
        <v>-8.7042480000000005E-2</v>
      </c>
      <c r="R5035">
        <v>-0.99620469999999905</v>
      </c>
      <c r="S5035">
        <v>-0.141571</v>
      </c>
      <c r="T5035">
        <v>-0.19957839999999999</v>
      </c>
      <c r="U5035">
        <v>-2.9938959999999999</v>
      </c>
      <c r="V5035">
        <v>1.1010970000000001E-3</v>
      </c>
      <c r="W5035">
        <v>-7.3321800000000006E-2</v>
      </c>
      <c r="X5035">
        <v>0.99730770000000002</v>
      </c>
      <c r="Y5035">
        <v>4.8148980000000001E-2</v>
      </c>
      <c r="Z5035">
        <v>5.2697389999999997E-2</v>
      </c>
      <c r="AA5035">
        <v>0.99744909999999998</v>
      </c>
      <c r="AB5035">
        <v>24</v>
      </c>
      <c r="AC5035">
        <v>-0.79529999999999701</v>
      </c>
      <c r="AD5035">
        <v>-1.12093184617</v>
      </c>
      <c r="AE5035">
        <v>-16.5656</v>
      </c>
      <c r="AF5035">
        <v>0.80831532653532201</v>
      </c>
      <c r="AG5035">
        <v>-1.12093184617</v>
      </c>
      <c r="AH5035">
        <v>16.489462414554701</v>
      </c>
      <c r="AI5035">
        <v>93.884258552839498</v>
      </c>
      <c r="AJ5035">
        <v>87.193600819938993</v>
      </c>
      <c r="AK5035">
        <v>16.547272663248201</v>
      </c>
      <c r="AL5035">
        <v>94.204803116173807</v>
      </c>
      <c r="AM5035">
        <v>89.936741503850399</v>
      </c>
      <c r="AN5035">
        <v>0.99999997362456605</v>
      </c>
    </row>
    <row r="5036" spans="1:40" x14ac:dyDescent="0.25">
      <c r="A5036" t="str">
        <f>"20190303154617497"</f>
        <v>20190303154617497</v>
      </c>
      <c r="B5036" t="str">
        <f>"1551599177486332"</f>
        <v>1551599177486332</v>
      </c>
      <c r="C5036" t="s">
        <v>40</v>
      </c>
      <c r="D5036">
        <v>5.1648069999999997</v>
      </c>
      <c r="E5036">
        <v>0.44484580000000001</v>
      </c>
      <c r="F5036" t="s">
        <v>41</v>
      </c>
      <c r="G5036">
        <v>-419.8854</v>
      </c>
      <c r="H5036" s="1">
        <v>-1.646981E-7</v>
      </c>
      <c r="I5036">
        <v>49.969279999999998</v>
      </c>
      <c r="J5036">
        <v>-421.7552</v>
      </c>
      <c r="K5036">
        <v>1.12094</v>
      </c>
      <c r="L5036">
        <v>68.632540000000006</v>
      </c>
      <c r="M5036">
        <v>8.5964210000000001E-4</v>
      </c>
      <c r="N5036">
        <v>-1.37629E-2</v>
      </c>
      <c r="O5036">
        <v>-0.99990520000000005</v>
      </c>
      <c r="P5036">
        <v>3.4006629999999997E-4</v>
      </c>
      <c r="Q5036">
        <v>-8.7263370000000007E-2</v>
      </c>
      <c r="R5036">
        <v>-0.99618549999999995</v>
      </c>
      <c r="S5036">
        <v>0.29629519999999998</v>
      </c>
      <c r="T5036">
        <v>-0.177619</v>
      </c>
      <c r="U5036">
        <v>-2.9959410000000002</v>
      </c>
      <c r="V5036">
        <v>4.9633839999999995E-4</v>
      </c>
      <c r="W5036">
        <v>-7.3544819999999997E-2</v>
      </c>
      <c r="X5036">
        <v>0.99729179999999995</v>
      </c>
      <c r="Y5036">
        <v>-9.7414059999999997E-2</v>
      </c>
      <c r="Z5036">
        <v>4.5154840000000002E-2</v>
      </c>
      <c r="AA5036">
        <v>0.99421910000000002</v>
      </c>
      <c r="AB5036">
        <v>24</v>
      </c>
      <c r="AC5036">
        <v>1.8697999999999899</v>
      </c>
      <c r="AD5036">
        <v>-1.1209401646981001</v>
      </c>
      <c r="AE5036">
        <v>-18.663260000000001</v>
      </c>
      <c r="AF5036">
        <v>-1.84715692155428</v>
      </c>
      <c r="AG5036">
        <v>-1.1209401646981001</v>
      </c>
      <c r="AH5036">
        <v>18.598436024083</v>
      </c>
      <c r="AI5036">
        <v>93.432236970242698</v>
      </c>
      <c r="AJ5036">
        <v>95.671893926131403</v>
      </c>
      <c r="AK5036">
        <v>18.723523121666702</v>
      </c>
      <c r="AL5036">
        <v>94.217615657575394</v>
      </c>
      <c r="AM5036">
        <v>89.971484681632404</v>
      </c>
      <c r="AN5036">
        <v>1.00000001062393</v>
      </c>
    </row>
    <row r="5037" spans="1:40" x14ac:dyDescent="0.25">
      <c r="A5037" t="str">
        <f>"20190303154617519"</f>
        <v>20190303154617519</v>
      </c>
      <c r="B5037" t="str">
        <f>"1551599177516588"</f>
        <v>1551599177516588</v>
      </c>
      <c r="C5037" t="s">
        <v>40</v>
      </c>
      <c r="D5037">
        <v>5.1465699999999996</v>
      </c>
      <c r="E5037">
        <v>0.43502970000000002</v>
      </c>
      <c r="F5037" t="s">
        <v>41</v>
      </c>
      <c r="G5037">
        <v>-419.06740000000002</v>
      </c>
      <c r="H5037" s="1">
        <v>-4.895553E-7</v>
      </c>
      <c r="I5037">
        <v>50.357500000000002</v>
      </c>
      <c r="J5037">
        <v>-421.7552</v>
      </c>
      <c r="K5037">
        <v>1.1209469999999999</v>
      </c>
      <c r="L5037">
        <v>68.404269999999997</v>
      </c>
      <c r="M5037">
        <v>7.1979740000000002E-4</v>
      </c>
      <c r="N5037">
        <v>-1.376085E-2</v>
      </c>
      <c r="O5037">
        <v>-0.99990520000000005</v>
      </c>
      <c r="P5037">
        <v>3.956826E-4</v>
      </c>
      <c r="Q5037">
        <v>-8.6923199999999895E-2</v>
      </c>
      <c r="R5037">
        <v>-0.99621490000000001</v>
      </c>
      <c r="S5037">
        <v>0.4405212</v>
      </c>
      <c r="T5037">
        <v>-0.18371979999999999</v>
      </c>
      <c r="U5037">
        <v>-2.9952390000000002</v>
      </c>
      <c r="V5037">
        <v>3.0163500000000002E-4</v>
      </c>
      <c r="W5037">
        <v>-7.3206279999999999E-2</v>
      </c>
      <c r="X5037">
        <v>0.9973168</v>
      </c>
      <c r="Y5037">
        <v>-0.14456289999999999</v>
      </c>
      <c r="Z5037">
        <v>4.6835769999999999E-2</v>
      </c>
      <c r="AA5037">
        <v>0.9883866</v>
      </c>
      <c r="AB5037">
        <v>24</v>
      </c>
      <c r="AC5037">
        <v>2.6877999999999802</v>
      </c>
      <c r="AD5037">
        <v>-1.1209474895553</v>
      </c>
      <c r="AE5037">
        <v>-18.046769999999899</v>
      </c>
      <c r="AF5037">
        <v>-2.6647503268368302</v>
      </c>
      <c r="AG5037">
        <v>-1.1209474895553</v>
      </c>
      <c r="AH5037">
        <v>17.980834014965001</v>
      </c>
      <c r="AI5037">
        <v>93.528830856635395</v>
      </c>
      <c r="AJ5037">
        <v>98.429847170506903</v>
      </c>
      <c r="AK5037">
        <v>18.211749214516399</v>
      </c>
      <c r="AL5037">
        <v>94.198166256067395</v>
      </c>
      <c r="AM5037">
        <v>89.982671091145306</v>
      </c>
      <c r="AN5037">
        <v>1.00000002498867</v>
      </c>
    </row>
    <row r="5038" spans="1:40" x14ac:dyDescent="0.25">
      <c r="A5038" t="str">
        <f>"20190303154617543"</f>
        <v>20190303154617543</v>
      </c>
      <c r="B5038" t="str">
        <f>"1551599177536109"</f>
        <v>1551599177536109</v>
      </c>
      <c r="C5038" t="s">
        <v>40</v>
      </c>
      <c r="D5038">
        <v>5.0967079999999996</v>
      </c>
      <c r="E5038">
        <v>0.4316313</v>
      </c>
      <c r="F5038" t="s">
        <v>41</v>
      </c>
      <c r="G5038">
        <v>-418.61380000000003</v>
      </c>
      <c r="H5038" s="1">
        <v>-5.8203729999999999E-7</v>
      </c>
      <c r="I5038">
        <v>50.274610000000003</v>
      </c>
      <c r="J5038">
        <v>-421.7552</v>
      </c>
      <c r="K5038">
        <v>1.1209519999999999</v>
      </c>
      <c r="L5038">
        <v>68.14828</v>
      </c>
      <c r="M5038">
        <v>5.6307820000000002E-4</v>
      </c>
      <c r="N5038">
        <v>-1.3758340000000001E-2</v>
      </c>
      <c r="O5038">
        <v>-0.99990540000000006</v>
      </c>
      <c r="P5038">
        <v>2.1753380000000001E-4</v>
      </c>
      <c r="Q5038">
        <v>-8.6263519999999996E-2</v>
      </c>
      <c r="R5038">
        <v>-0.99627259999999995</v>
      </c>
      <c r="S5038">
        <v>0.51895139999999995</v>
      </c>
      <c r="T5038">
        <v>-0.18518090000000001</v>
      </c>
      <c r="U5038">
        <v>-2.9950260000000002</v>
      </c>
      <c r="V5038">
        <v>3.23951E-4</v>
      </c>
      <c r="W5038">
        <v>-7.2548399999999999E-2</v>
      </c>
      <c r="X5038">
        <v>0.99736480000000005</v>
      </c>
      <c r="Y5038">
        <v>-0.1698964</v>
      </c>
      <c r="Z5038">
        <v>4.707422E-2</v>
      </c>
      <c r="AA5038">
        <v>0.98433700000000002</v>
      </c>
      <c r="AB5038">
        <v>24</v>
      </c>
      <c r="AC5038">
        <v>3.1413999999999702</v>
      </c>
      <c r="AD5038">
        <v>-1.1209525820373001</v>
      </c>
      <c r="AE5038">
        <v>-17.873670000000001</v>
      </c>
      <c r="AF5038">
        <v>-3.11943254307613</v>
      </c>
      <c r="AG5038">
        <v>-1.1209525820373001</v>
      </c>
      <c r="AH5038">
        <v>17.807494321375799</v>
      </c>
      <c r="AI5038">
        <v>93.548037210091096</v>
      </c>
      <c r="AJ5038">
        <v>99.935988785019902</v>
      </c>
      <c r="AK5038">
        <v>18.113372079428199</v>
      </c>
      <c r="AL5038">
        <v>94.160372282400303</v>
      </c>
      <c r="AM5038">
        <v>89.981389934338594</v>
      </c>
      <c r="AN5038">
        <v>0.999999959782924</v>
      </c>
    </row>
    <row r="5039" spans="1:40" x14ac:dyDescent="0.25">
      <c r="A5039" t="str">
        <f>"20190303154617565"</f>
        <v>20190303154617565</v>
      </c>
      <c r="B5039" t="str">
        <f>"1551599177556604"</f>
        <v>1551599177556604</v>
      </c>
      <c r="C5039" t="s">
        <v>40</v>
      </c>
      <c r="D5039">
        <v>5.1043620000000001</v>
      </c>
      <c r="E5039">
        <v>0.42954229999999999</v>
      </c>
      <c r="F5039" t="s">
        <v>41</v>
      </c>
      <c r="G5039">
        <v>-418.47370000000001</v>
      </c>
      <c r="H5039" s="1">
        <v>-5.7143590000000004E-7</v>
      </c>
      <c r="I5039">
        <v>50.133839999999999</v>
      </c>
      <c r="J5039">
        <v>-421.7552</v>
      </c>
      <c r="K5039">
        <v>1.1209499999999999</v>
      </c>
      <c r="L5039">
        <v>67.906459999999996</v>
      </c>
      <c r="M5039">
        <v>4.15072E-4</v>
      </c>
      <c r="N5039">
        <v>-1.3755949999999999E-2</v>
      </c>
      <c r="O5039">
        <v>-0.99990520000000005</v>
      </c>
      <c r="P5039">
        <v>-3.601818E-4</v>
      </c>
      <c r="Q5039">
        <v>-8.6043110000000006E-2</v>
      </c>
      <c r="R5039">
        <v>-0.99629120000000004</v>
      </c>
      <c r="S5039">
        <v>0.54556269999999996</v>
      </c>
      <c r="T5039">
        <v>-0.18636230000000001</v>
      </c>
      <c r="U5039">
        <v>-2.9949650000000001</v>
      </c>
      <c r="V5039">
        <v>7.5431830000000002E-4</v>
      </c>
      <c r="W5039">
        <v>-7.2330270000000002E-2</v>
      </c>
      <c r="X5039">
        <v>0.99738039999999994</v>
      </c>
      <c r="Y5039">
        <v>-0.17851</v>
      </c>
      <c r="Z5039">
        <v>4.7370500000000003E-2</v>
      </c>
      <c r="AA5039">
        <v>0.98279709999999998</v>
      </c>
      <c r="AB5039">
        <v>24</v>
      </c>
      <c r="AC5039">
        <v>3.2814999999999901</v>
      </c>
      <c r="AD5039">
        <v>-1.1209505714358901</v>
      </c>
      <c r="AE5039">
        <v>-17.7726199999999</v>
      </c>
      <c r="AF5039">
        <v>-3.2615751398483601</v>
      </c>
      <c r="AG5039">
        <v>-1.1209505714358901</v>
      </c>
      <c r="AH5039">
        <v>17.705867908069401</v>
      </c>
      <c r="AI5039">
        <v>93.562750909886503</v>
      </c>
      <c r="AJ5039">
        <v>100.43737486542901</v>
      </c>
      <c r="AK5039">
        <v>18.038629686161901</v>
      </c>
      <c r="AL5039">
        <v>94.147841474880494</v>
      </c>
      <c r="AM5039">
        <v>89.956667238739399</v>
      </c>
      <c r="AN5039">
        <v>0.99999994962926397</v>
      </c>
    </row>
    <row r="5040" spans="1:40" x14ac:dyDescent="0.25">
      <c r="A5040" t="str">
        <f>"20190303154617590"</f>
        <v>20190303154617590</v>
      </c>
      <c r="B5040" t="str">
        <f>"1551599177586391"</f>
        <v>1551599177586391</v>
      </c>
      <c r="C5040" t="s">
        <v>40</v>
      </c>
      <c r="D5040">
        <v>5.143338</v>
      </c>
      <c r="E5040">
        <v>0.42719279999999998</v>
      </c>
      <c r="F5040" t="s">
        <v>41</v>
      </c>
      <c r="G5040">
        <v>-418.46949999999998</v>
      </c>
      <c r="H5040" s="1">
        <v>-6.4597589999999997E-7</v>
      </c>
      <c r="I5040">
        <v>50.349600000000002</v>
      </c>
      <c r="J5040">
        <v>-421.75529999999998</v>
      </c>
      <c r="K5040">
        <v>1.1209549999999999</v>
      </c>
      <c r="L5040">
        <v>67.654510000000002</v>
      </c>
      <c r="M5040">
        <v>2.6106959999999999E-4</v>
      </c>
      <c r="N5040">
        <v>-1.375354E-2</v>
      </c>
      <c r="O5040">
        <v>-0.99990559999999995</v>
      </c>
      <c r="P5040">
        <v>-1.135811E-3</v>
      </c>
      <c r="Q5040">
        <v>-8.6128869999999996E-2</v>
      </c>
      <c r="R5040">
        <v>-0.99628380000000005</v>
      </c>
      <c r="S5040">
        <v>0.56048580000000003</v>
      </c>
      <c r="T5040">
        <v>-0.1912112</v>
      </c>
      <c r="U5040">
        <v>-2.9948429999999999</v>
      </c>
      <c r="V5040">
        <v>1.3765050000000001E-3</v>
      </c>
      <c r="W5040">
        <v>-7.2418670000000004E-2</v>
      </c>
      <c r="X5040">
        <v>0.99737330000000002</v>
      </c>
      <c r="Y5040">
        <v>-0.18338409999999999</v>
      </c>
      <c r="Z5040">
        <v>4.8903759999999998E-2</v>
      </c>
      <c r="AA5040">
        <v>0.98182420000000004</v>
      </c>
      <c r="AB5040">
        <v>23</v>
      </c>
      <c r="AC5040">
        <v>3.2857999999999898</v>
      </c>
      <c r="AD5040">
        <v>-1.12095564597589</v>
      </c>
      <c r="AE5040">
        <v>-17.30491</v>
      </c>
      <c r="AF5040">
        <v>-3.2680460557509901</v>
      </c>
      <c r="AG5040">
        <v>-1.12095564597589</v>
      </c>
      <c r="AH5040">
        <v>17.235961493251601</v>
      </c>
      <c r="AI5040">
        <v>93.656082800749999</v>
      </c>
      <c r="AJ5040">
        <v>100.736191453573</v>
      </c>
      <c r="AK5040">
        <v>17.578823486786799</v>
      </c>
      <c r="AL5040">
        <v>94.152919825296195</v>
      </c>
      <c r="AM5040">
        <v>89.920924415257602</v>
      </c>
      <c r="AN5040">
        <v>0.99999992904173396</v>
      </c>
    </row>
    <row r="5041" spans="1:40" x14ac:dyDescent="0.25">
      <c r="A5041" t="str">
        <f>"20190303154617613"</f>
        <v>20190303154617613</v>
      </c>
      <c r="B5041" t="str">
        <f>"1551599177606887"</f>
        <v>1551599177606887</v>
      </c>
      <c r="C5041" t="s">
        <v>40</v>
      </c>
      <c r="D5041">
        <v>5.1463979999999996</v>
      </c>
      <c r="E5041">
        <v>0.42588740000000003</v>
      </c>
      <c r="F5041" t="s">
        <v>41</v>
      </c>
      <c r="G5041">
        <v>-418.34879999999998</v>
      </c>
      <c r="H5041" s="1">
        <v>-5.4938369999999898E-7</v>
      </c>
      <c r="I5041">
        <v>49.97139</v>
      </c>
      <c r="J5041">
        <v>-421.75540000000001</v>
      </c>
      <c r="K5041">
        <v>1.120957</v>
      </c>
      <c r="L5041">
        <v>67.412719999999993</v>
      </c>
      <c r="M5041">
        <v>1.136452E-4</v>
      </c>
      <c r="N5041">
        <v>-1.375122E-2</v>
      </c>
      <c r="O5041">
        <v>-0.99990559999999995</v>
      </c>
      <c r="P5041">
        <v>-1.784693E-3</v>
      </c>
      <c r="Q5041">
        <v>-8.6247799999999999E-2</v>
      </c>
      <c r="R5041">
        <v>-0.99627239999999995</v>
      </c>
      <c r="S5041">
        <v>0.57705689999999998</v>
      </c>
      <c r="T5041">
        <v>-0.18988559999999999</v>
      </c>
      <c r="U5041">
        <v>-2.9954529999999999</v>
      </c>
      <c r="V5041">
        <v>1.8784540000000001E-3</v>
      </c>
      <c r="W5041">
        <v>-7.2540209999999994E-2</v>
      </c>
      <c r="X5041">
        <v>0.99736369999999996</v>
      </c>
      <c r="Y5041">
        <v>-0.18873509999999999</v>
      </c>
      <c r="Z5041">
        <v>4.839719E-2</v>
      </c>
      <c r="AA5041">
        <v>0.98083469999999995</v>
      </c>
      <c r="AB5041">
        <v>23</v>
      </c>
      <c r="AC5041">
        <v>3.4066000000000201</v>
      </c>
      <c r="AD5041">
        <v>-1.1209575493836901</v>
      </c>
      <c r="AE5041">
        <v>-17.441329999999901</v>
      </c>
      <c r="AF5041">
        <v>-3.3911248320065002</v>
      </c>
      <c r="AG5041">
        <v>-1.1209575493836901</v>
      </c>
      <c r="AH5041">
        <v>17.372593823521498</v>
      </c>
      <c r="AI5041">
        <v>93.623659155960397</v>
      </c>
      <c r="AJ5041">
        <v>101.045230554293</v>
      </c>
      <c r="AK5041">
        <v>17.735932160752899</v>
      </c>
      <c r="AL5041">
        <v>94.159901704511796</v>
      </c>
      <c r="AM5041">
        <v>89.892088153049301</v>
      </c>
      <c r="AN5041">
        <v>0.99999998036698101</v>
      </c>
    </row>
    <row r="5042" spans="1:40" x14ac:dyDescent="0.25">
      <c r="A5042" t="str">
        <f>"20190303154617632"</f>
        <v>20190303154617632</v>
      </c>
      <c r="B5042" t="str">
        <f>"1551599177626408"</f>
        <v>1551599177626408</v>
      </c>
      <c r="C5042" t="s">
        <v>40</v>
      </c>
      <c r="D5042">
        <v>5.1240240000000004</v>
      </c>
      <c r="E5042">
        <v>0.42479420000000001</v>
      </c>
      <c r="F5042" t="s">
        <v>41</v>
      </c>
      <c r="G5042">
        <v>-418.32389999999998</v>
      </c>
      <c r="H5042" s="1">
        <v>-5.1468359999999898E-7</v>
      </c>
      <c r="I5042">
        <v>49.849980000000002</v>
      </c>
      <c r="J5042">
        <v>-421.75560000000002</v>
      </c>
      <c r="K5042">
        <v>1.120965</v>
      </c>
      <c r="L5042">
        <v>67.207729999999998</v>
      </c>
      <c r="M5042" s="1">
        <v>-1.143318E-5</v>
      </c>
      <c r="N5042">
        <v>-1.3749219999999999E-2</v>
      </c>
      <c r="O5042">
        <v>-0.99990590000000001</v>
      </c>
      <c r="P5042">
        <v>-1.9292230000000001E-3</v>
      </c>
      <c r="Q5042">
        <v>-8.6121420000000004E-2</v>
      </c>
      <c r="R5042">
        <v>-0.99628329999999998</v>
      </c>
      <c r="S5042">
        <v>0.58532709999999999</v>
      </c>
      <c r="T5042">
        <v>-0.19120500000000001</v>
      </c>
      <c r="U5042">
        <v>-2.9957280000000002</v>
      </c>
      <c r="V5042">
        <v>1.898395E-3</v>
      </c>
      <c r="W5042">
        <v>-7.2415690000000005E-2</v>
      </c>
      <c r="X5042">
        <v>0.9973727</v>
      </c>
      <c r="Y5042">
        <v>-0.19144439999999999</v>
      </c>
      <c r="Z5042">
        <v>4.8790920000000002E-2</v>
      </c>
      <c r="AA5042">
        <v>0.98028999999999999</v>
      </c>
      <c r="AB5042">
        <v>23</v>
      </c>
      <c r="AC5042">
        <v>3.4317000000000299</v>
      </c>
      <c r="AD5042">
        <v>-1.1209655146836</v>
      </c>
      <c r="AE5042">
        <v>-17.3577499999999</v>
      </c>
      <c r="AF5042">
        <v>-3.41817890129319</v>
      </c>
      <c r="AG5042">
        <v>-1.1209655146836</v>
      </c>
      <c r="AH5042">
        <v>17.2883204925073</v>
      </c>
      <c r="AI5042">
        <v>93.639573211780203</v>
      </c>
      <c r="AJ5042">
        <v>101.184051268944</v>
      </c>
      <c r="AK5042">
        <v>17.6586108212963</v>
      </c>
      <c r="AL5042">
        <v>94.152748466564006</v>
      </c>
      <c r="AM5042">
        <v>89.890943586089506</v>
      </c>
      <c r="AN5042">
        <v>0.99999996938351998</v>
      </c>
    </row>
    <row r="5043" spans="1:40" x14ac:dyDescent="0.25">
      <c r="A5043" t="str">
        <f>"20190303154617652"</f>
        <v>20190303154617652</v>
      </c>
      <c r="B5043" t="str">
        <f>"1551599177646903"</f>
        <v>1551599177646903</v>
      </c>
      <c r="C5043" t="s">
        <v>40</v>
      </c>
      <c r="D5043">
        <v>5.1497809999999999</v>
      </c>
      <c r="E5043">
        <v>0.42389379999999999</v>
      </c>
      <c r="F5043" t="s">
        <v>41</v>
      </c>
      <c r="G5043">
        <v>-418.31079999999997</v>
      </c>
      <c r="H5043" s="1">
        <v>-5.0858840000000005E-7</v>
      </c>
      <c r="I5043">
        <v>49.821860000000001</v>
      </c>
      <c r="J5043">
        <v>-421.75569999999999</v>
      </c>
      <c r="K5043">
        <v>1.120968</v>
      </c>
      <c r="L5043">
        <v>67.001949999999994</v>
      </c>
      <c r="M5043">
        <v>-1.373469E-4</v>
      </c>
      <c r="N5043">
        <v>-1.3747189999999999E-2</v>
      </c>
      <c r="O5043">
        <v>-0.99990590000000001</v>
      </c>
      <c r="P5043">
        <v>-1.773702E-3</v>
      </c>
      <c r="Q5043">
        <v>-8.598952E-2</v>
      </c>
      <c r="R5043">
        <v>-0.99629469999999998</v>
      </c>
      <c r="S5043">
        <v>0.59353639999999996</v>
      </c>
      <c r="T5043">
        <v>-0.1931455</v>
      </c>
      <c r="U5043">
        <v>-2.9956360000000002</v>
      </c>
      <c r="V5043">
        <v>1.6174830000000001E-3</v>
      </c>
      <c r="W5043">
        <v>-7.2285559999999999E-2</v>
      </c>
      <c r="X5043">
        <v>0.99738260000000001</v>
      </c>
      <c r="Y5043">
        <v>-0.1941512</v>
      </c>
      <c r="Z5043">
        <v>4.9393670000000001E-2</v>
      </c>
      <c r="AA5043">
        <v>0.97972729999999997</v>
      </c>
      <c r="AB5043">
        <v>23</v>
      </c>
      <c r="AC5043">
        <v>3.4449000000000098</v>
      </c>
      <c r="AD5043">
        <v>-1.12096850858839</v>
      </c>
      <c r="AE5043">
        <v>-17.1800899999999</v>
      </c>
      <c r="AF5043">
        <v>-3.4332085270716899</v>
      </c>
      <c r="AG5043">
        <v>-1.12096850858839</v>
      </c>
      <c r="AH5043">
        <v>17.109591216247502</v>
      </c>
      <c r="AI5043">
        <v>93.675430912192596</v>
      </c>
      <c r="AJ5043">
        <v>101.34628205028</v>
      </c>
      <c r="AK5043">
        <v>17.4866121011103</v>
      </c>
      <c r="AL5043">
        <v>94.145273119618196</v>
      </c>
      <c r="AM5043">
        <v>89.907081928149495</v>
      </c>
      <c r="AN5043">
        <v>0.99999993460926195</v>
      </c>
    </row>
    <row r="5044" spans="1:40" x14ac:dyDescent="0.25">
      <c r="A5044" t="str">
        <f>"20190303154617674"</f>
        <v>20190303154617674</v>
      </c>
      <c r="B5044" t="str">
        <f>"1551599177666423"</f>
        <v>1551599177666423</v>
      </c>
      <c r="C5044" t="s">
        <v>40</v>
      </c>
      <c r="D5044">
        <v>5.1509410000000004</v>
      </c>
      <c r="E5044">
        <v>0.42308069999999998</v>
      </c>
      <c r="F5044" t="s">
        <v>41</v>
      </c>
      <c r="G5044">
        <v>-418.28919999999999</v>
      </c>
      <c r="H5044" s="1">
        <v>-4.845822E-7</v>
      </c>
      <c r="I5044">
        <v>49.734409999999997</v>
      </c>
      <c r="J5044">
        <v>-421.7559</v>
      </c>
      <c r="K5044">
        <v>1.1209659999999999</v>
      </c>
      <c r="L5044">
        <v>66.779539999999997</v>
      </c>
      <c r="M5044">
        <v>-2.7396080000000001E-4</v>
      </c>
      <c r="N5044">
        <v>-1.374498E-2</v>
      </c>
      <c r="O5044">
        <v>-0.99990590000000001</v>
      </c>
      <c r="P5044">
        <v>-1.6260160000000001E-3</v>
      </c>
      <c r="Q5044">
        <v>-8.6053130000000005E-2</v>
      </c>
      <c r="R5044">
        <v>-0.9962896</v>
      </c>
      <c r="S5044">
        <v>0.60134889999999996</v>
      </c>
      <c r="T5044">
        <v>-0.19445779999999999</v>
      </c>
      <c r="U5044">
        <v>-2.9954529999999999</v>
      </c>
      <c r="V5044">
        <v>1.3337360000000001E-3</v>
      </c>
      <c r="W5044">
        <v>-7.2351369999999998E-2</v>
      </c>
      <c r="X5044">
        <v>0.99737830000000005</v>
      </c>
      <c r="Y5044">
        <v>-0.19674759999999999</v>
      </c>
      <c r="Z5044">
        <v>4.9794310000000001E-2</v>
      </c>
      <c r="AA5044">
        <v>0.97918890000000003</v>
      </c>
      <c r="AB5044">
        <v>23</v>
      </c>
      <c r="AC5044">
        <v>3.4666999999999999</v>
      </c>
      <c r="AD5044">
        <v>-1.1209664845821901</v>
      </c>
      <c r="AE5044">
        <v>-17.04513</v>
      </c>
      <c r="AF5044">
        <v>-3.45701238103746</v>
      </c>
      <c r="AG5044">
        <v>-1.1209664845821901</v>
      </c>
      <c r="AH5044">
        <v>16.973684611815099</v>
      </c>
      <c r="AI5044">
        <v>93.702612864059205</v>
      </c>
      <c r="AJ5044">
        <v>101.511918807291</v>
      </c>
      <c r="AK5044">
        <v>17.3583832704423</v>
      </c>
      <c r="AL5044">
        <v>94.149053438625003</v>
      </c>
      <c r="AM5044">
        <v>89.923381731651403</v>
      </c>
      <c r="AN5044">
        <v>0.99999998645174204</v>
      </c>
    </row>
    <row r="5045" spans="1:40" x14ac:dyDescent="0.25">
      <c r="A5045" t="str">
        <f>"20190303154617695"</f>
        <v>20190303154617695</v>
      </c>
      <c r="B5045" t="str">
        <f>"1551599177685944"</f>
        <v>1551599177685944</v>
      </c>
      <c r="C5045" t="s">
        <v>40</v>
      </c>
      <c r="D5045">
        <v>5.1289709999999999</v>
      </c>
      <c r="E5045">
        <v>0.42235689999999998</v>
      </c>
      <c r="F5045" t="s">
        <v>41</v>
      </c>
      <c r="G5045">
        <v>-418.27069999999998</v>
      </c>
      <c r="H5045" s="1">
        <v>-4.4948420000000001E-7</v>
      </c>
      <c r="I5045">
        <v>49.616779999999999</v>
      </c>
      <c r="J5045">
        <v>-421.7561</v>
      </c>
      <c r="K5045">
        <v>1.1209639999999901</v>
      </c>
      <c r="L5045">
        <v>66.552759999999907</v>
      </c>
      <c r="M5045">
        <v>-4.1336250000000003E-4</v>
      </c>
      <c r="N5045">
        <v>-1.374266E-2</v>
      </c>
      <c r="O5045">
        <v>-0.99990540000000006</v>
      </c>
      <c r="P5045">
        <v>-2.4516770000000002E-3</v>
      </c>
      <c r="Q5045">
        <v>-8.6745550000000005E-2</v>
      </c>
      <c r="R5045">
        <v>-0.99622710000000003</v>
      </c>
      <c r="S5045">
        <v>0.60824579999999995</v>
      </c>
      <c r="T5045">
        <v>-0.19563269999999999</v>
      </c>
      <c r="U5045">
        <v>-2.9952700000000001</v>
      </c>
      <c r="V5045">
        <v>2.0204039999999999E-3</v>
      </c>
      <c r="W5045">
        <v>-7.3047109999999998E-2</v>
      </c>
      <c r="X5045">
        <v>0.99732639999999995</v>
      </c>
      <c r="Y5045">
        <v>-0.19905639999999999</v>
      </c>
      <c r="Z5045">
        <v>5.0153330000000003E-2</v>
      </c>
      <c r="AA5045">
        <v>0.97870389999999996</v>
      </c>
      <c r="AB5045">
        <v>23</v>
      </c>
      <c r="AC5045">
        <v>3.4854000000000198</v>
      </c>
      <c r="AD5045">
        <v>-1.1209644494841999</v>
      </c>
      <c r="AE5045">
        <v>-16.935979999999901</v>
      </c>
      <c r="AF5045">
        <v>-3.4777843128498298</v>
      </c>
      <c r="AG5045">
        <v>-1.1209644494841999</v>
      </c>
      <c r="AH5045">
        <v>16.8636615434202</v>
      </c>
      <c r="AI5045">
        <v>93.724823997318396</v>
      </c>
      <c r="AJ5045">
        <v>101.652713372196</v>
      </c>
      <c r="AK5045">
        <v>17.254988428705001</v>
      </c>
      <c r="AL5045">
        <v>94.189022297550494</v>
      </c>
      <c r="AM5045">
        <v>89.883929209380895</v>
      </c>
      <c r="AN5045">
        <v>0.99999995522431595</v>
      </c>
    </row>
    <row r="5046" spans="1:40" x14ac:dyDescent="0.25">
      <c r="A5046" t="str">
        <f>"20190303154617719"</f>
        <v>20190303154617719</v>
      </c>
      <c r="B5046" t="str">
        <f>"1551599177716200"</f>
        <v>1551599177716200</v>
      </c>
      <c r="C5046" t="s">
        <v>40</v>
      </c>
      <c r="D5046">
        <v>5.1605610000000004</v>
      </c>
      <c r="E5046">
        <v>0.42135109999999998</v>
      </c>
      <c r="F5046" t="s">
        <v>41</v>
      </c>
      <c r="G5046">
        <v>-418.32709999999997</v>
      </c>
      <c r="H5046" s="1">
        <v>-4.8123379999999899E-7</v>
      </c>
      <c r="I5046">
        <v>49.754199999999997</v>
      </c>
      <c r="J5046">
        <v>-421.75639999999999</v>
      </c>
      <c r="K5046">
        <v>1.120959</v>
      </c>
      <c r="L5046">
        <v>66.314880000000002</v>
      </c>
      <c r="M5046">
        <v>-5.5944269999999997E-4</v>
      </c>
      <c r="N5046">
        <v>-1.374015E-2</v>
      </c>
      <c r="O5046">
        <v>-0.99990559999999995</v>
      </c>
      <c r="P5046">
        <v>-3.1303049999999999E-3</v>
      </c>
      <c r="Q5046">
        <v>-8.6632669999999995E-2</v>
      </c>
      <c r="R5046">
        <v>-0.99623569999999995</v>
      </c>
      <c r="S5046">
        <v>0.61145019999999894</v>
      </c>
      <c r="T5046">
        <v>-0.1998858</v>
      </c>
      <c r="U5046">
        <v>-2.9954529999999999</v>
      </c>
      <c r="V5046">
        <v>2.553559E-3</v>
      </c>
      <c r="W5046">
        <v>-7.2936699999999993E-2</v>
      </c>
      <c r="X5046">
        <v>0.99733329999999998</v>
      </c>
      <c r="Y5046">
        <v>-0.20017670000000001</v>
      </c>
      <c r="Z5046">
        <v>5.1521150000000002E-2</v>
      </c>
      <c r="AA5046">
        <v>0.97840419999999995</v>
      </c>
      <c r="AB5046">
        <v>23</v>
      </c>
      <c r="AC5046">
        <v>3.4293000000000098</v>
      </c>
      <c r="AD5046">
        <v>-1.1209594812338</v>
      </c>
      <c r="AE5046">
        <v>-16.560680000000001</v>
      </c>
      <c r="AF5046">
        <v>-3.4235245761812401</v>
      </c>
      <c r="AG5046">
        <v>-1.1209594812338</v>
      </c>
      <c r="AH5046">
        <v>16.486329620990201</v>
      </c>
      <c r="AI5046">
        <v>93.808734066819397</v>
      </c>
      <c r="AJ5046">
        <v>101.731220865255</v>
      </c>
      <c r="AK5046">
        <v>16.8753114061407</v>
      </c>
      <c r="AL5046">
        <v>94.182679175266998</v>
      </c>
      <c r="AM5046">
        <v>89.853300963953302</v>
      </c>
      <c r="AN5046">
        <v>0.99999999707967302</v>
      </c>
    </row>
    <row r="5047" spans="1:40" x14ac:dyDescent="0.25">
      <c r="A5047" t="str">
        <f>"20190303154617740"</f>
        <v>20190303154617740</v>
      </c>
      <c r="B5047" t="str">
        <f>"1551599177736696"</f>
        <v>1551599177736696</v>
      </c>
      <c r="C5047" t="s">
        <v>40</v>
      </c>
      <c r="D5047">
        <v>5.2036350000000002</v>
      </c>
      <c r="E5047">
        <v>0.42068359999999999</v>
      </c>
      <c r="F5047" t="s">
        <v>41</v>
      </c>
      <c r="G5047">
        <v>-418.35059999999999</v>
      </c>
      <c r="H5047" s="1">
        <v>-4.8781699999999995E-7</v>
      </c>
      <c r="I5047">
        <v>49.791930000000001</v>
      </c>
      <c r="J5047">
        <v>-421.75670000000002</v>
      </c>
      <c r="K5047">
        <v>1.1209610000000001</v>
      </c>
      <c r="L5047">
        <v>66.088440000000006</v>
      </c>
      <c r="M5047">
        <v>-6.983871E-4</v>
      </c>
      <c r="N5047">
        <v>-1.373769E-2</v>
      </c>
      <c r="O5047">
        <v>-0.99990540000000006</v>
      </c>
      <c r="P5047">
        <v>-3.8100400000000002E-3</v>
      </c>
      <c r="Q5047">
        <v>-8.6517419999999998E-2</v>
      </c>
      <c r="R5047">
        <v>-0.99624279999999998</v>
      </c>
      <c r="S5047">
        <v>0.61746219999999996</v>
      </c>
      <c r="T5047">
        <v>-0.20322970000000001</v>
      </c>
      <c r="U5047">
        <v>-2.9956049999999999</v>
      </c>
      <c r="V5047">
        <v>3.0949100000000002E-3</v>
      </c>
      <c r="W5047">
        <v>-7.2823990000000005E-2</v>
      </c>
      <c r="X5047">
        <v>0.99734</v>
      </c>
      <c r="Y5047">
        <v>-0.2021732</v>
      </c>
      <c r="Z5047">
        <v>5.2580580000000002E-2</v>
      </c>
      <c r="AA5047">
        <v>0.97793730000000001</v>
      </c>
      <c r="AB5047">
        <v>23</v>
      </c>
      <c r="AC5047">
        <v>3.4061000000000301</v>
      </c>
      <c r="AD5047">
        <v>-1.120961487817</v>
      </c>
      <c r="AE5047">
        <v>-16.296510000000001</v>
      </c>
      <c r="AF5047">
        <v>-3.4020586593817099</v>
      </c>
      <c r="AG5047">
        <v>-1.120961487817</v>
      </c>
      <c r="AH5047">
        <v>16.220592763314201</v>
      </c>
      <c r="AI5047">
        <v>93.869346160023198</v>
      </c>
      <c r="AJ5047">
        <v>101.845346692994</v>
      </c>
      <c r="AK5047">
        <v>16.611387280186001</v>
      </c>
      <c r="AL5047">
        <v>94.176204162591304</v>
      </c>
      <c r="AM5047">
        <v>89.822202346457701</v>
      </c>
      <c r="AN5047">
        <v>0.99999999379371396</v>
      </c>
    </row>
    <row r="5048" spans="1:40" x14ac:dyDescent="0.25">
      <c r="A5048" t="str">
        <f>"20190303154617765"</f>
        <v>20190303154617765</v>
      </c>
      <c r="B5048" t="str">
        <f>"1551599177756215"</f>
        <v>1551599177756215</v>
      </c>
      <c r="C5048" t="s">
        <v>40</v>
      </c>
      <c r="D5048">
        <v>5.1628069999999999</v>
      </c>
      <c r="E5048">
        <v>0.4200874</v>
      </c>
      <c r="F5048" t="s">
        <v>41</v>
      </c>
      <c r="G5048">
        <v>-418.3723</v>
      </c>
      <c r="H5048" s="1">
        <v>-4.7280209999999999E-7</v>
      </c>
      <c r="I5048">
        <v>49.764749999999999</v>
      </c>
      <c r="J5048">
        <v>-421.75700000000001</v>
      </c>
      <c r="K5048">
        <v>1.120957</v>
      </c>
      <c r="L5048">
        <v>65.845369999999903</v>
      </c>
      <c r="M5048">
        <v>-8.4733149999999995E-4</v>
      </c>
      <c r="N5048">
        <v>-1.373513E-2</v>
      </c>
      <c r="O5048">
        <v>-0.99990559999999995</v>
      </c>
      <c r="P5048">
        <v>-3.8828719999999999E-3</v>
      </c>
      <c r="Q5048">
        <v>-8.6566270000000001E-2</v>
      </c>
      <c r="R5048">
        <v>-0.99623870000000003</v>
      </c>
      <c r="S5048">
        <v>0.62112429999999996</v>
      </c>
      <c r="T5048">
        <v>-0.2057254</v>
      </c>
      <c r="U5048">
        <v>-2.995819</v>
      </c>
      <c r="V5048">
        <v>3.0193559999999999E-3</v>
      </c>
      <c r="W5048">
        <v>-7.2875399999999896E-2</v>
      </c>
      <c r="X5048">
        <v>0.99733649999999996</v>
      </c>
      <c r="Y5048">
        <v>-0.20344119999999999</v>
      </c>
      <c r="Z5048">
        <v>5.3372250000000003E-2</v>
      </c>
      <c r="AA5048">
        <v>0.97763129999999998</v>
      </c>
      <c r="AB5048">
        <v>23</v>
      </c>
      <c r="AC5048">
        <v>3.3846999999999499</v>
      </c>
      <c r="AD5048">
        <v>-1.1209574728020999</v>
      </c>
      <c r="AE5048">
        <v>-16.0806199999999</v>
      </c>
      <c r="AF5048">
        <v>-3.3825860364192599</v>
      </c>
      <c r="AG5048">
        <v>-1.1209574728020999</v>
      </c>
      <c r="AH5048">
        <v>16.0032804924709</v>
      </c>
      <c r="AI5048">
        <v>93.920426472536107</v>
      </c>
      <c r="AJ5048">
        <v>101.93484438623901</v>
      </c>
      <c r="AK5048">
        <v>16.3952255388668</v>
      </c>
      <c r="AL5048">
        <v>94.179157487531398</v>
      </c>
      <c r="AM5048">
        <v>89.826542167933198</v>
      </c>
      <c r="AN5048">
        <v>1.00000001733403</v>
      </c>
    </row>
    <row r="5049" spans="1:40" x14ac:dyDescent="0.25">
      <c r="A5049" t="str">
        <f>"20190303154617789"</f>
        <v>20190303154617789</v>
      </c>
      <c r="B5049" t="str">
        <f>"1551599177776712"</f>
        <v>1551599177776712</v>
      </c>
      <c r="C5049" t="s">
        <v>40</v>
      </c>
      <c r="D5049">
        <v>5.4695989999999997</v>
      </c>
      <c r="E5049">
        <v>0.4200006</v>
      </c>
      <c r="F5049" t="s">
        <v>41</v>
      </c>
      <c r="G5049">
        <v>-418.39800000000002</v>
      </c>
      <c r="H5049" s="1">
        <v>-4.6290050000000001E-7</v>
      </c>
      <c r="I5049">
        <v>49.755789999999998</v>
      </c>
      <c r="J5049">
        <v>-421.75749999999999</v>
      </c>
      <c r="K5049">
        <v>1.120962</v>
      </c>
      <c r="L5049">
        <v>65.583650000000006</v>
      </c>
      <c r="M5049">
        <v>-1.0077370000000001E-3</v>
      </c>
      <c r="N5049">
        <v>-1.3732370000000001E-2</v>
      </c>
      <c r="O5049">
        <v>-0.99990540000000006</v>
      </c>
      <c r="P5049">
        <v>-4.0685119999999998E-3</v>
      </c>
      <c r="Q5049">
        <v>-8.6613780000000001E-2</v>
      </c>
      <c r="R5049">
        <v>-0.99623379999999995</v>
      </c>
      <c r="S5049">
        <v>0.62539669999999903</v>
      </c>
      <c r="T5049">
        <v>-0.20870530000000001</v>
      </c>
      <c r="U5049">
        <v>-2.9956360000000002</v>
      </c>
      <c r="V5049">
        <v>3.045224E-3</v>
      </c>
      <c r="W5049">
        <v>-7.2925719999999999E-2</v>
      </c>
      <c r="X5049">
        <v>0.99733280000000002</v>
      </c>
      <c r="Y5049">
        <v>-0.2049337</v>
      </c>
      <c r="Z5049">
        <v>5.4326340000000001E-2</v>
      </c>
      <c r="AA5049">
        <v>0.977267</v>
      </c>
      <c r="AB5049">
        <v>23</v>
      </c>
      <c r="AC5049">
        <v>3.3594999999999602</v>
      </c>
      <c r="AD5049">
        <v>-1.1209624629004999</v>
      </c>
      <c r="AE5049">
        <v>-15.827859999999999</v>
      </c>
      <c r="AF5049">
        <v>-3.3593268682721802</v>
      </c>
      <c r="AG5049">
        <v>-1.1209624629004999</v>
      </c>
      <c r="AH5049">
        <v>15.748878669726199</v>
      </c>
      <c r="AI5049">
        <v>93.982008270870196</v>
      </c>
      <c r="AJ5049">
        <v>102.041065232924</v>
      </c>
      <c r="AK5049">
        <v>16.1421440089253</v>
      </c>
      <c r="AL5049">
        <v>94.182048065581895</v>
      </c>
      <c r="AM5049">
        <v>89.8250554472381</v>
      </c>
      <c r="AN5049">
        <v>1.00000007399128</v>
      </c>
    </row>
    <row r="5050" spans="1:40" x14ac:dyDescent="0.25">
      <c r="A5050" t="str">
        <f>"20190303154617810"</f>
        <v>20190303154617810</v>
      </c>
      <c r="B5050" t="str">
        <f>"1551599177805991"</f>
        <v>1551599177805991</v>
      </c>
      <c r="C5050" t="s">
        <v>40</v>
      </c>
      <c r="D5050">
        <v>5.2163000000000004</v>
      </c>
      <c r="E5050">
        <v>0.51522079999999904</v>
      </c>
      <c r="F5050" t="s">
        <v>41</v>
      </c>
      <c r="G5050">
        <v>-418.40010000000001</v>
      </c>
      <c r="H5050" s="1">
        <v>-4.5206660000000001E-6</v>
      </c>
      <c r="I5050">
        <v>49.509010000000004</v>
      </c>
      <c r="J5050">
        <v>-421.75790000000001</v>
      </c>
      <c r="K5050">
        <v>1.1209659999999999</v>
      </c>
      <c r="L5050">
        <v>65.358609999999999</v>
      </c>
      <c r="M5050">
        <v>-1.1457850000000001E-3</v>
      </c>
      <c r="N5050">
        <v>-1.3730050000000001E-2</v>
      </c>
      <c r="O5050">
        <v>-0.99990540000000006</v>
      </c>
      <c r="P5050">
        <v>-3.8623500000000001E-3</v>
      </c>
      <c r="Q5050">
        <v>-8.6701730000000005E-2</v>
      </c>
      <c r="R5050">
        <v>-0.99622719999999998</v>
      </c>
      <c r="S5050">
        <v>0.62570190000000003</v>
      </c>
      <c r="T5050">
        <v>-0.2089095</v>
      </c>
      <c r="U5050">
        <v>-2.9957579999999999</v>
      </c>
      <c r="V5050">
        <v>2.7015540000000001E-3</v>
      </c>
      <c r="W5050">
        <v>-7.3015969999999999E-2</v>
      </c>
      <c r="X5050">
        <v>0.99732710000000002</v>
      </c>
      <c r="Y5050">
        <v>-0.20515530000000001</v>
      </c>
      <c r="Z5050">
        <v>5.4389739999999999E-2</v>
      </c>
      <c r="AA5050">
        <v>0.977217</v>
      </c>
      <c r="AB5050">
        <v>23</v>
      </c>
      <c r="AC5050">
        <v>3.3577999999999899</v>
      </c>
      <c r="AD5050">
        <v>-1.1209705206659999</v>
      </c>
      <c r="AE5050">
        <v>-15.849600000000001</v>
      </c>
      <c r="AF5050">
        <v>-3.3598752329358601</v>
      </c>
      <c r="AG5050">
        <v>-1.1209705206659999</v>
      </c>
      <c r="AH5050">
        <v>15.7702460870059</v>
      </c>
      <c r="AI5050">
        <v>93.976864288204496</v>
      </c>
      <c r="AJ5050">
        <v>102.027131565646</v>
      </c>
      <c r="AK5050">
        <v>16.1631060793964</v>
      </c>
      <c r="AL5050">
        <v>94.1872331950118</v>
      </c>
      <c r="AM5050">
        <v>89.844797896557594</v>
      </c>
      <c r="AN5050">
        <v>0.99999998733173201</v>
      </c>
    </row>
    <row r="5051" spans="1:40" x14ac:dyDescent="0.25">
      <c r="A5051" t="str">
        <f>"20190303154617835"</f>
        <v>20190303154617835</v>
      </c>
      <c r="B5051" t="str">
        <f>"1551599177826487"</f>
        <v>1551599177826487</v>
      </c>
      <c r="C5051" t="s">
        <v>40</v>
      </c>
      <c r="D5051">
        <v>5.3936609999999998</v>
      </c>
      <c r="E5051">
        <v>0.51839349999999995</v>
      </c>
      <c r="F5051" t="s">
        <v>41</v>
      </c>
      <c r="G5051">
        <v>-422.73309999999998</v>
      </c>
      <c r="H5051" s="1">
        <v>-2.41751E-6</v>
      </c>
      <c r="I5051">
        <v>43.529240000000001</v>
      </c>
      <c r="J5051">
        <v>-421.75839999999999</v>
      </c>
      <c r="K5051">
        <v>1.1209659999999999</v>
      </c>
      <c r="L5051">
        <v>65.107299999999995</v>
      </c>
      <c r="M5051">
        <v>-1.3000519999999999E-3</v>
      </c>
      <c r="N5051">
        <v>-1.372747E-2</v>
      </c>
      <c r="O5051">
        <v>-0.99990520000000005</v>
      </c>
      <c r="P5051">
        <v>-4.4964569999999997E-3</v>
      </c>
      <c r="Q5051">
        <v>-8.7354860000000006E-2</v>
      </c>
      <c r="R5051">
        <v>-0.99616749999999998</v>
      </c>
      <c r="S5051">
        <v>-0.13391110000000001</v>
      </c>
      <c r="T5051">
        <v>-0.15392239999999999</v>
      </c>
      <c r="U5051">
        <v>-2.9974370000000001</v>
      </c>
      <c r="V5051">
        <v>3.18192E-3</v>
      </c>
      <c r="W5051">
        <v>-7.3672539999999995E-2</v>
      </c>
      <c r="X5051">
        <v>0.99727739999999998</v>
      </c>
      <c r="Y5051">
        <v>4.328104E-2</v>
      </c>
      <c r="Z5051">
        <v>3.7520360000000003E-2</v>
      </c>
      <c r="AA5051">
        <v>0.99835810000000003</v>
      </c>
      <c r="AB5051">
        <v>23</v>
      </c>
      <c r="AC5051">
        <v>-0.97469999999998402</v>
      </c>
      <c r="AD5051">
        <v>-1.1209684175100001</v>
      </c>
      <c r="AE5051">
        <v>-21.578059999999901</v>
      </c>
      <c r="AF5051">
        <v>0.94410123917637501</v>
      </c>
      <c r="AG5051">
        <v>-1.1209684175100001</v>
      </c>
      <c r="AH5051">
        <v>21.521346666873601</v>
      </c>
      <c r="AI5051">
        <v>92.978774003462902</v>
      </c>
      <c r="AJ5051">
        <v>87.488151732036997</v>
      </c>
      <c r="AK5051">
        <v>21.5711905025805</v>
      </c>
      <c r="AL5051">
        <v>94.224953466850295</v>
      </c>
      <c r="AM5051">
        <v>89.817192319696403</v>
      </c>
      <c r="AN5051">
        <v>0.99999999015784802</v>
      </c>
    </row>
    <row r="5052" spans="1:40" x14ac:dyDescent="0.25">
      <c r="A5052" t="str">
        <f>"20190303154617854"</f>
        <v>20190303154617854</v>
      </c>
      <c r="B5052" t="str">
        <f>"1551599177846007"</f>
        <v>1551599177846007</v>
      </c>
      <c r="C5052" t="s">
        <v>40</v>
      </c>
      <c r="D5052">
        <v>5.3066329999999997</v>
      </c>
      <c r="E5052">
        <v>0.51923009999999903</v>
      </c>
      <c r="F5052" t="s">
        <v>41</v>
      </c>
      <c r="G5052">
        <v>-422.70429999999999</v>
      </c>
      <c r="H5052" s="1">
        <v>-4.0413900000000001E-6</v>
      </c>
      <c r="I5052">
        <v>47.452970000000001</v>
      </c>
      <c r="J5052">
        <v>-421.75869999999998</v>
      </c>
      <c r="K5052">
        <v>1.1209659999999999</v>
      </c>
      <c r="L5052">
        <v>64.906679999999994</v>
      </c>
      <c r="M5052">
        <v>-1.4231889999999901E-3</v>
      </c>
      <c r="N5052">
        <v>-1.3725380000000001E-2</v>
      </c>
      <c r="O5052">
        <v>-0.99990520000000005</v>
      </c>
      <c r="P5052">
        <v>-4.7806139999999999E-3</v>
      </c>
      <c r="Q5052">
        <v>-8.7397610000000001E-2</v>
      </c>
      <c r="R5052">
        <v>-0.99616229999999995</v>
      </c>
      <c r="S5052">
        <v>-0.16043089999999999</v>
      </c>
      <c r="T5052">
        <v>-0.19011439999999999</v>
      </c>
      <c r="U5052">
        <v>-2.9941409999999999</v>
      </c>
      <c r="V5052">
        <v>3.3434419999999999E-3</v>
      </c>
      <c r="W5052">
        <v>-7.3717480000000002E-2</v>
      </c>
      <c r="X5052">
        <v>0.99727359999999998</v>
      </c>
      <c r="Y5052">
        <v>5.199024E-2</v>
      </c>
      <c r="Z5052">
        <v>4.9576469999999997E-2</v>
      </c>
      <c r="AA5052">
        <v>0.99741630000000003</v>
      </c>
      <c r="AB5052">
        <v>23</v>
      </c>
      <c r="AC5052">
        <v>-0.94560000000001299</v>
      </c>
      <c r="AD5052">
        <v>-1.1209700413899999</v>
      </c>
      <c r="AE5052">
        <v>-17.453710000000001</v>
      </c>
      <c r="AF5052">
        <v>0.91698538907111204</v>
      </c>
      <c r="AG5052">
        <v>-1.1209700413899999</v>
      </c>
      <c r="AH5052">
        <v>17.383542845167302</v>
      </c>
      <c r="AI5052">
        <v>93.6844759970284</v>
      </c>
      <c r="AJ5052">
        <v>86.980434737526195</v>
      </c>
      <c r="AK5052">
        <v>17.443766734488001</v>
      </c>
      <c r="AL5052">
        <v>94.227535151444201</v>
      </c>
      <c r="AM5052">
        <v>89.807911893051994</v>
      </c>
      <c r="AN5052">
        <v>1.0000000393594499</v>
      </c>
    </row>
    <row r="5053" spans="1:40" x14ac:dyDescent="0.25">
      <c r="A5053" t="str">
        <f>"20190303154617876"</f>
        <v>20190303154617876</v>
      </c>
      <c r="B5053" t="str">
        <f>"1551599177866503"</f>
        <v>1551599177866503</v>
      </c>
      <c r="C5053" t="s">
        <v>40</v>
      </c>
      <c r="D5053">
        <v>5.3067830000000002</v>
      </c>
      <c r="E5053">
        <v>0.52051729999999996</v>
      </c>
      <c r="F5053" t="s">
        <v>41</v>
      </c>
      <c r="G5053">
        <v>-422.68689999999998</v>
      </c>
      <c r="H5053" s="1">
        <v>-4.3579009999999996E-6</v>
      </c>
      <c r="I5053">
        <v>48.392130000000002</v>
      </c>
      <c r="J5053">
        <v>-421.75920000000002</v>
      </c>
      <c r="K5053">
        <v>1.1209659999999999</v>
      </c>
      <c r="L5053">
        <v>64.683930000000004</v>
      </c>
      <c r="M5053">
        <v>-1.559915E-3</v>
      </c>
      <c r="N5053">
        <v>-1.3723010000000001E-2</v>
      </c>
      <c r="O5053">
        <v>-0.99990489999999999</v>
      </c>
      <c r="P5053">
        <v>-5.2678930000000001E-3</v>
      </c>
      <c r="Q5053">
        <v>-8.7036920000000004E-2</v>
      </c>
      <c r="R5053">
        <v>-0.9961913</v>
      </c>
      <c r="S5053">
        <v>-0.1682129</v>
      </c>
      <c r="T5053">
        <v>-0.20315269999999999</v>
      </c>
      <c r="U5053">
        <v>-2.9929199999999998</v>
      </c>
      <c r="V5053">
        <v>3.6945979999999999E-3</v>
      </c>
      <c r="W5053">
        <v>-7.3358839999999995E-2</v>
      </c>
      <c r="X5053">
        <v>0.99729880000000004</v>
      </c>
      <c r="Y5053">
        <v>5.4445309999999997E-2</v>
      </c>
      <c r="Z5053">
        <v>5.3921160000000003E-2</v>
      </c>
      <c r="AA5053">
        <v>0.99705980000000005</v>
      </c>
      <c r="AB5053">
        <v>23</v>
      </c>
      <c r="AC5053">
        <v>-0.927699999999958</v>
      </c>
      <c r="AD5053">
        <v>-1.120970357901</v>
      </c>
      <c r="AE5053">
        <v>-16.291799999999999</v>
      </c>
      <c r="AF5053">
        <v>0.89804484443631905</v>
      </c>
      <c r="AG5053">
        <v>-1.120970357901</v>
      </c>
      <c r="AH5053">
        <v>16.216701844678902</v>
      </c>
      <c r="AI5053">
        <v>93.948218177844097</v>
      </c>
      <c r="AJ5053">
        <v>86.830324789701905</v>
      </c>
      <c r="AK5053">
        <v>16.280186663706399</v>
      </c>
      <c r="AL5053">
        <v>94.206930832459506</v>
      </c>
      <c r="AM5053">
        <v>89.787742746696495</v>
      </c>
      <c r="AN5053">
        <v>1.0000000329709799</v>
      </c>
    </row>
    <row r="5054" spans="1:40" x14ac:dyDescent="0.25">
      <c r="A5054" t="str">
        <f>"20190303154617897"</f>
        <v>20190303154617897</v>
      </c>
      <c r="B5054" t="str">
        <f>"1551599177886024"</f>
        <v>1551599177886024</v>
      </c>
      <c r="C5054" t="s">
        <v>40</v>
      </c>
      <c r="D5054">
        <v>5.300128</v>
      </c>
      <c r="E5054">
        <v>0.5211943</v>
      </c>
      <c r="F5054" t="s">
        <v>41</v>
      </c>
      <c r="G5054">
        <v>-422.71429999999998</v>
      </c>
      <c r="H5054" s="1">
        <v>-4.5070740000000001E-6</v>
      </c>
      <c r="I5054">
        <v>48.816220000000001</v>
      </c>
      <c r="J5054">
        <v>-421.75970000000001</v>
      </c>
      <c r="K5054">
        <v>1.12096</v>
      </c>
      <c r="L5054">
        <v>64.46902</v>
      </c>
      <c r="M5054">
        <v>-1.6918160000000001E-3</v>
      </c>
      <c r="N5054">
        <v>-1.372072E-2</v>
      </c>
      <c r="O5054">
        <v>-0.99990469999999998</v>
      </c>
      <c r="P5054">
        <v>-6.0350250000000003E-3</v>
      </c>
      <c r="Q5054">
        <v>-8.687657E-2</v>
      </c>
      <c r="R5054">
        <v>-0.99620089999999994</v>
      </c>
      <c r="S5054">
        <v>-0.1800842</v>
      </c>
      <c r="T5054">
        <v>-0.2113717</v>
      </c>
      <c r="U5054">
        <v>-2.992035</v>
      </c>
      <c r="V5054">
        <v>4.330375E-3</v>
      </c>
      <c r="W5054">
        <v>-7.320082E-2</v>
      </c>
      <c r="X5054">
        <v>0.99730779999999997</v>
      </c>
      <c r="Y5054">
        <v>5.8259989999999998E-2</v>
      </c>
      <c r="Z5054">
        <v>5.6653250000000002E-2</v>
      </c>
      <c r="AA5054">
        <v>0.99669260000000004</v>
      </c>
      <c r="AB5054">
        <v>23</v>
      </c>
      <c r="AC5054">
        <v>-0.95459999999997003</v>
      </c>
      <c r="AD5054">
        <v>-1.120964507074</v>
      </c>
      <c r="AE5054">
        <v>-15.652799999999999</v>
      </c>
      <c r="AF5054">
        <v>0.92339629910979704</v>
      </c>
      <c r="AG5054">
        <v>-1.120964507074</v>
      </c>
      <c r="AH5054">
        <v>15.574811608175899</v>
      </c>
      <c r="AI5054">
        <v>94.109454205788097</v>
      </c>
      <c r="AJ5054">
        <v>86.607031102040096</v>
      </c>
      <c r="AK5054">
        <v>15.642377657552601</v>
      </c>
      <c r="AL5054">
        <v>94.197852768437699</v>
      </c>
      <c r="AM5054">
        <v>89.751219581393698</v>
      </c>
      <c r="AN5054">
        <v>0.99999998006857604</v>
      </c>
    </row>
    <row r="5055" spans="1:40" x14ac:dyDescent="0.25">
      <c r="A5055" t="str">
        <f>"20190303154617920"</f>
        <v>20190303154617920</v>
      </c>
      <c r="B5055" t="str">
        <f>"1551599177916279"</f>
        <v>1551599177916279</v>
      </c>
      <c r="C5055" t="s">
        <v>40</v>
      </c>
      <c r="D5055">
        <v>5.2677769999999997</v>
      </c>
      <c r="E5055">
        <v>0.52195670000000005</v>
      </c>
      <c r="F5055" t="s">
        <v>41</v>
      </c>
      <c r="G5055">
        <v>-422.71510000000001</v>
      </c>
      <c r="H5055" s="1">
        <v>-4.6477779999999996E-6</v>
      </c>
      <c r="I5055">
        <v>49.229280000000003</v>
      </c>
      <c r="J5055">
        <v>-421.76029999999997</v>
      </c>
      <c r="K5055">
        <v>1.1209659999999999</v>
      </c>
      <c r="L5055">
        <v>64.24033</v>
      </c>
      <c r="M5055">
        <v>-1.832195E-3</v>
      </c>
      <c r="N5055">
        <v>-1.3718259999999999E-2</v>
      </c>
      <c r="O5055">
        <v>-0.99990449999999997</v>
      </c>
      <c r="P5055">
        <v>-6.1501869999999997E-3</v>
      </c>
      <c r="Q5055">
        <v>-8.7367159999999999E-2</v>
      </c>
      <c r="R5055">
        <v>-0.99615739999999997</v>
      </c>
      <c r="S5055">
        <v>-0.1875</v>
      </c>
      <c r="T5055">
        <v>-0.22001280000000001</v>
      </c>
      <c r="U5055">
        <v>-2.9911189999999999</v>
      </c>
      <c r="V5055">
        <v>4.3056739999999998E-3</v>
      </c>
      <c r="W5055">
        <v>-7.3694399999999993E-2</v>
      </c>
      <c r="X5055">
        <v>0.99727160000000004</v>
      </c>
      <c r="Y5055">
        <v>6.0586729999999998E-2</v>
      </c>
      <c r="Z5055">
        <v>5.9530689999999997E-2</v>
      </c>
      <c r="AA5055">
        <v>0.9963862</v>
      </c>
      <c r="AB5055">
        <v>23</v>
      </c>
      <c r="AC5055">
        <v>-0.95480000000003395</v>
      </c>
      <c r="AD5055">
        <v>-1.1209706477779999</v>
      </c>
      <c r="AE5055">
        <v>-15.011049999999999</v>
      </c>
      <c r="AF5055">
        <v>0.92217082701804798</v>
      </c>
      <c r="AG5055">
        <v>-1.1209706477779999</v>
      </c>
      <c r="AH5055">
        <v>14.929852615856101</v>
      </c>
      <c r="AI5055">
        <v>94.285716691094706</v>
      </c>
      <c r="AJ5055">
        <v>86.465507191488996</v>
      </c>
      <c r="AK5055">
        <v>15.000249109883701</v>
      </c>
      <c r="AL5055">
        <v>94.226209224133299</v>
      </c>
      <c r="AM5055">
        <v>89.752629659430198</v>
      </c>
      <c r="AN5055">
        <v>1.00000002379325</v>
      </c>
    </row>
    <row r="5056" spans="1:40" x14ac:dyDescent="0.25">
      <c r="A5056" t="str">
        <f>"20190303154617942"</f>
        <v>20190303154617942</v>
      </c>
      <c r="B5056" t="str">
        <f>"1551599177936776"</f>
        <v>1551599177936776</v>
      </c>
      <c r="C5056" t="s">
        <v>40</v>
      </c>
      <c r="D5056">
        <v>5.2912520000000001</v>
      </c>
      <c r="E5056">
        <v>0.52211600000000002</v>
      </c>
      <c r="F5056" t="s">
        <v>41</v>
      </c>
      <c r="G5056">
        <v>-422.71629999999999</v>
      </c>
      <c r="H5056" s="1">
        <v>-4.7456550000000004E-6</v>
      </c>
      <c r="I5056">
        <v>49.516249999999999</v>
      </c>
      <c r="J5056">
        <v>-421.76089999999999</v>
      </c>
      <c r="K5056">
        <v>1.120962</v>
      </c>
      <c r="L5056">
        <v>64.006619999999998</v>
      </c>
      <c r="M5056">
        <v>-1.9756830000000002E-3</v>
      </c>
      <c r="N5056">
        <v>-1.371578E-2</v>
      </c>
      <c r="O5056">
        <v>-0.99990400000000002</v>
      </c>
      <c r="P5056">
        <v>-6.1264269999999899E-3</v>
      </c>
      <c r="Q5056">
        <v>-8.7664080000000005E-2</v>
      </c>
      <c r="R5056">
        <v>-0.9961314</v>
      </c>
      <c r="S5056">
        <v>-0.19415279999999999</v>
      </c>
      <c r="T5056">
        <v>-0.22766600000000001</v>
      </c>
      <c r="U5056">
        <v>-2.9904169999999999</v>
      </c>
      <c r="V5056">
        <v>4.138994E-3</v>
      </c>
      <c r="W5056">
        <v>-7.399406E-2</v>
      </c>
      <c r="X5056">
        <v>0.99725010000000003</v>
      </c>
      <c r="Y5056">
        <v>6.2653260000000002E-2</v>
      </c>
      <c r="Z5056">
        <v>6.207559E-2</v>
      </c>
      <c r="AA5056">
        <v>0.99610299999999996</v>
      </c>
      <c r="AB5056">
        <v>23</v>
      </c>
      <c r="AC5056">
        <v>-0.95539999999999703</v>
      </c>
      <c r="AD5056">
        <v>-1.1209667456550001</v>
      </c>
      <c r="AE5056">
        <v>-14.49037</v>
      </c>
      <c r="AF5056">
        <v>0.92127756047832299</v>
      </c>
      <c r="AG5056">
        <v>-1.1209667456550001</v>
      </c>
      <c r="AH5056">
        <v>14.4063878739633</v>
      </c>
      <c r="AI5056">
        <v>94.440209010206004</v>
      </c>
      <c r="AJ5056">
        <v>86.340960884691398</v>
      </c>
      <c r="AK5056">
        <v>14.479272439020599</v>
      </c>
      <c r="AL5056">
        <v>94.243425552212798</v>
      </c>
      <c r="AM5056">
        <v>89.762200549334494</v>
      </c>
      <c r="AN5056">
        <v>1.0000000070683099</v>
      </c>
    </row>
    <row r="5057" spans="1:40" x14ac:dyDescent="0.25">
      <c r="A5057" t="str">
        <f>"20190303154617965"</f>
        <v>20190303154617965</v>
      </c>
      <c r="B5057" t="str">
        <f>"1551599177956296"</f>
        <v>1551599177956296</v>
      </c>
      <c r="C5057" t="s">
        <v>40</v>
      </c>
      <c r="D5057">
        <v>5.2697050000000001</v>
      </c>
      <c r="E5057">
        <v>0.52222919999999995</v>
      </c>
      <c r="F5057" t="s">
        <v>42</v>
      </c>
      <c r="G5057">
        <v>-421.8218</v>
      </c>
      <c r="H5057">
        <v>1.0488150000000001</v>
      </c>
      <c r="I5057">
        <v>63.078220000000002</v>
      </c>
      <c r="J5057">
        <v>-421.76150000000001</v>
      </c>
      <c r="K5057">
        <v>1.1209639999999901</v>
      </c>
      <c r="L5057">
        <v>63.776820000000001</v>
      </c>
      <c r="M5057">
        <v>-2.1168300000000001E-3</v>
      </c>
      <c r="N5057">
        <v>-1.371324E-2</v>
      </c>
      <c r="O5057">
        <v>-0.99990369999999995</v>
      </c>
      <c r="P5057">
        <v>-6.2275339999999998E-3</v>
      </c>
      <c r="Q5057">
        <v>-8.8067729999999997E-2</v>
      </c>
      <c r="R5057">
        <v>-0.99609499999999995</v>
      </c>
      <c r="S5057">
        <v>-0.19497680000000001</v>
      </c>
      <c r="T5057">
        <v>-0.23237749999999999</v>
      </c>
      <c r="U5057">
        <v>-2.9899900000000001</v>
      </c>
      <c r="V5057">
        <v>4.0995090000000003E-3</v>
      </c>
      <c r="W5057">
        <v>-7.4400679999999997E-2</v>
      </c>
      <c r="X5057">
        <v>0.99722</v>
      </c>
      <c r="Y5057">
        <v>6.278773E-2</v>
      </c>
      <c r="Z5057">
        <v>6.3648109999999994E-2</v>
      </c>
      <c r="AA5057">
        <v>0.99599530000000003</v>
      </c>
      <c r="AB5057">
        <v>23</v>
      </c>
      <c r="AC5057">
        <v>-6.0299999999983797E-2</v>
      </c>
      <c r="AD5057">
        <v>-7.2148999999999797E-2</v>
      </c>
      <c r="AE5057">
        <v>-0.698599999999999</v>
      </c>
      <c r="AF5057">
        <v>5.8204685531547701E-2</v>
      </c>
      <c r="AG5057">
        <v>-7.2148999999999797E-2</v>
      </c>
      <c r="AH5057">
        <v>0.69140605913547704</v>
      </c>
      <c r="AI5057">
        <v>95.936470708847494</v>
      </c>
      <c r="AJ5057">
        <v>85.1880110932143</v>
      </c>
      <c r="AK5057">
        <v>0.69759271944887502</v>
      </c>
      <c r="AL5057">
        <v>94.266787597372399</v>
      </c>
      <c r="AM5057">
        <v>89.764461963637402</v>
      </c>
      <c r="AN5057">
        <v>0.99999999777925097</v>
      </c>
    </row>
    <row r="5058" spans="1:40" x14ac:dyDescent="0.25">
      <c r="A5058" t="str">
        <f>"20190303154617991"</f>
        <v>20190303154617991</v>
      </c>
      <c r="B5058" t="str">
        <f>"1551599177986552"</f>
        <v>1551599177986552</v>
      </c>
      <c r="C5058" t="s">
        <v>40</v>
      </c>
      <c r="D5058">
        <v>5.2678440000000002</v>
      </c>
      <c r="E5058">
        <v>0.52236939999999998</v>
      </c>
      <c r="F5058" t="s">
        <v>42</v>
      </c>
      <c r="G5058">
        <v>-421.82089999999999</v>
      </c>
      <c r="H5058">
        <v>1.04941</v>
      </c>
      <c r="I5058">
        <v>62.873190000000001</v>
      </c>
      <c r="J5058">
        <v>-421.76220000000001</v>
      </c>
      <c r="K5058">
        <v>1.120968</v>
      </c>
      <c r="L5058">
        <v>63.519289999999998</v>
      </c>
      <c r="M5058">
        <v>-2.275039E-3</v>
      </c>
      <c r="N5058">
        <v>-1.3710470000000001E-2</v>
      </c>
      <c r="O5058">
        <v>-0.99990369999999995</v>
      </c>
      <c r="P5058">
        <v>-6.4956340000000001E-3</v>
      </c>
      <c r="Q5058">
        <v>-8.7779609999999994E-2</v>
      </c>
      <c r="R5058">
        <v>-0.99611910000000004</v>
      </c>
      <c r="S5058">
        <v>-0.19613649999999999</v>
      </c>
      <c r="T5058">
        <v>-0.2367398</v>
      </c>
      <c r="U5058">
        <v>-2.9895939999999999</v>
      </c>
      <c r="V5058">
        <v>4.2100669999999996E-3</v>
      </c>
      <c r="W5058">
        <v>-7.4115020000000004E-2</v>
      </c>
      <c r="X5058">
        <v>0.99724080000000004</v>
      </c>
      <c r="Y5058">
        <v>6.3016180000000005E-2</v>
      </c>
      <c r="Z5058">
        <v>6.5103809999999998E-2</v>
      </c>
      <c r="AA5058">
        <v>0.99588670000000001</v>
      </c>
      <c r="AB5058">
        <v>23</v>
      </c>
      <c r="AC5058">
        <v>-5.8699999999987498E-2</v>
      </c>
      <c r="AD5058">
        <v>-7.1557999999999997E-2</v>
      </c>
      <c r="AE5058">
        <v>-0.646100000000004</v>
      </c>
      <c r="AF5058">
        <v>5.6541920124601401E-2</v>
      </c>
      <c r="AG5058">
        <v>-7.1557999999999997E-2</v>
      </c>
      <c r="AH5058">
        <v>0.63846434490640502</v>
      </c>
      <c r="AI5058">
        <v>96.370201109973493</v>
      </c>
      <c r="AJ5058">
        <v>84.939131844907095</v>
      </c>
      <c r="AK5058">
        <v>0.64494515721272105</v>
      </c>
      <c r="AL5058">
        <v>94.250375217236297</v>
      </c>
      <c r="AM5058">
        <v>89.758114953269398</v>
      </c>
      <c r="AN5058">
        <v>0.99999998701919202</v>
      </c>
    </row>
    <row r="5059" spans="1:40" x14ac:dyDescent="0.25">
      <c r="A5059" t="str">
        <f>"20190303154618011"</f>
        <v>20190303154618011</v>
      </c>
      <c r="B5059" t="str">
        <f>"1551599178006071"</f>
        <v>1551599178006071</v>
      </c>
      <c r="C5059" t="s">
        <v>40</v>
      </c>
      <c r="D5059">
        <v>5.2915789999999996</v>
      </c>
      <c r="E5059">
        <v>0.52254899999999904</v>
      </c>
      <c r="F5059" t="s">
        <v>42</v>
      </c>
      <c r="G5059">
        <v>-421.81920000000002</v>
      </c>
      <c r="H5059">
        <v>1.0527470000000001</v>
      </c>
      <c r="I5059">
        <v>62.663200000000003</v>
      </c>
      <c r="J5059">
        <v>-421.7629</v>
      </c>
      <c r="K5059">
        <v>1.1209739999999999</v>
      </c>
      <c r="L5059">
        <v>63.29636</v>
      </c>
      <c r="M5059">
        <v>-2.4119990000000002E-3</v>
      </c>
      <c r="N5059">
        <v>-1.3708100000000001E-2</v>
      </c>
      <c r="O5059">
        <v>-0.99990319999999999</v>
      </c>
      <c r="P5059">
        <v>-6.6430619999999999E-3</v>
      </c>
      <c r="Q5059">
        <v>-8.7478650000000005E-2</v>
      </c>
      <c r="R5059">
        <v>-0.99614440000000004</v>
      </c>
      <c r="S5059">
        <v>-0.19781489999999999</v>
      </c>
      <c r="T5059">
        <v>-0.2382418</v>
      </c>
      <c r="U5059">
        <v>-2.9894099999999999</v>
      </c>
      <c r="V5059">
        <v>4.2211050000000002E-3</v>
      </c>
      <c r="W5059">
        <v>-7.3816110000000004E-2</v>
      </c>
      <c r="X5059">
        <v>0.99726300000000001</v>
      </c>
      <c r="Y5059">
        <v>6.3437560000000004E-2</v>
      </c>
      <c r="Z5059">
        <v>6.560568E-2</v>
      </c>
      <c r="AA5059">
        <v>0.99582709999999997</v>
      </c>
      <c r="AB5059">
        <v>23</v>
      </c>
      <c r="AC5059">
        <v>-5.63000000000215E-2</v>
      </c>
      <c r="AD5059">
        <v>-6.8226999999999996E-2</v>
      </c>
      <c r="AE5059">
        <v>-0.63315999999999595</v>
      </c>
      <c r="AF5059">
        <v>5.4148700042029298E-2</v>
      </c>
      <c r="AG5059">
        <v>-6.8226999999999996E-2</v>
      </c>
      <c r="AH5059">
        <v>0.62608129637214505</v>
      </c>
      <c r="AI5059">
        <v>96.196296329041601</v>
      </c>
      <c r="AJ5059">
        <v>85.056886776844493</v>
      </c>
      <c r="AK5059">
        <v>0.63211137856572996</v>
      </c>
      <c r="AL5059">
        <v>94.233201569925995</v>
      </c>
      <c r="AM5059">
        <v>89.757486182594704</v>
      </c>
      <c r="AN5059">
        <v>1.00000006349597</v>
      </c>
    </row>
    <row r="5060" spans="1:40" x14ac:dyDescent="0.25">
      <c r="A5060" t="str">
        <f>"20190303154618031"</f>
        <v>20190303154618031</v>
      </c>
      <c r="B5060" t="str">
        <f>"1551599178026567"</f>
        <v>1551599178026567</v>
      </c>
      <c r="C5060" t="s">
        <v>40</v>
      </c>
      <c r="D5060">
        <v>5.3209169999999997</v>
      </c>
      <c r="E5060">
        <v>0.52272489999999905</v>
      </c>
      <c r="F5060" t="s">
        <v>41</v>
      </c>
      <c r="G5060">
        <v>-422.70280000000002</v>
      </c>
      <c r="H5060" s="1">
        <v>-4.6463860000000001E-6</v>
      </c>
      <c r="I5060">
        <v>49.231560000000002</v>
      </c>
      <c r="J5060">
        <v>-421.76350000000002</v>
      </c>
      <c r="K5060">
        <v>1.120976</v>
      </c>
      <c r="L5060">
        <v>63.09375</v>
      </c>
      <c r="M5060">
        <v>-2.536455E-3</v>
      </c>
      <c r="N5060">
        <v>-1.370597E-2</v>
      </c>
      <c r="O5060">
        <v>-0.99990299999999999</v>
      </c>
      <c r="P5060">
        <v>-6.539001E-3</v>
      </c>
      <c r="Q5060">
        <v>-8.6792830000000001E-2</v>
      </c>
      <c r="R5060">
        <v>-0.99620500000000001</v>
      </c>
      <c r="S5060">
        <v>-0.1997681</v>
      </c>
      <c r="T5060">
        <v>-0.2382543</v>
      </c>
      <c r="U5060">
        <v>-2.9893489999999998</v>
      </c>
      <c r="V5060">
        <v>3.9931159999999997E-3</v>
      </c>
      <c r="W5060">
        <v>-7.3131580000000002E-2</v>
      </c>
      <c r="X5060">
        <v>0.99731429999999999</v>
      </c>
      <c r="Y5060">
        <v>6.3962089999999999E-2</v>
      </c>
      <c r="Z5060">
        <v>6.5610550000000004E-2</v>
      </c>
      <c r="AA5060">
        <v>0.99579320000000004</v>
      </c>
      <c r="AB5060">
        <v>23</v>
      </c>
      <c r="AC5060">
        <v>-0.93930000000000202</v>
      </c>
      <c r="AD5060">
        <v>-1.1209806463859999</v>
      </c>
      <c r="AE5060">
        <v>-13.86219</v>
      </c>
      <c r="AF5060">
        <v>0.89828553057809801</v>
      </c>
      <c r="AG5060">
        <v>-1.1209806463859999</v>
      </c>
      <c r="AH5060">
        <v>13.7748615934809</v>
      </c>
      <c r="AI5060">
        <v>94.642587453381594</v>
      </c>
      <c r="AJ5060">
        <v>86.268913671752102</v>
      </c>
      <c r="AK5060">
        <v>13.849560513733699</v>
      </c>
      <c r="AL5060">
        <v>94.193874892843397</v>
      </c>
      <c r="AM5060">
        <v>89.770596419453895</v>
      </c>
      <c r="AN5060">
        <v>0.99999999297658704</v>
      </c>
    </row>
    <row r="5061" spans="1:40" x14ac:dyDescent="0.25">
      <c r="A5061" t="str">
        <f>"20190303154618053"</f>
        <v>20190303154618053</v>
      </c>
      <c r="B5061" t="str">
        <f>"1551599178046088"</f>
        <v>1551599178046088</v>
      </c>
      <c r="C5061" t="s">
        <v>40</v>
      </c>
      <c r="D5061">
        <v>5.3146630000000004</v>
      </c>
      <c r="E5061">
        <v>0.52291529999999997</v>
      </c>
      <c r="F5061" t="s">
        <v>41</v>
      </c>
      <c r="G5061">
        <v>-422.71899999999999</v>
      </c>
      <c r="H5061" s="1">
        <v>-4.5378209999999999E-6</v>
      </c>
      <c r="I5061">
        <v>48.904110000000003</v>
      </c>
      <c r="J5061">
        <v>-421.76429999999999</v>
      </c>
      <c r="K5061">
        <v>1.1209800000000001</v>
      </c>
      <c r="L5061">
        <v>62.868870000000001</v>
      </c>
      <c r="M5061">
        <v>-2.6746320000000001E-3</v>
      </c>
      <c r="N5061">
        <v>-1.370355E-2</v>
      </c>
      <c r="O5061">
        <v>-0.99990270000000003</v>
      </c>
      <c r="P5061">
        <v>-6.4385669999999897E-3</v>
      </c>
      <c r="Q5061">
        <v>-8.6210960000000003E-2</v>
      </c>
      <c r="R5061">
        <v>-0.99625629999999998</v>
      </c>
      <c r="S5061">
        <v>-0.2012939</v>
      </c>
      <c r="T5061">
        <v>-0.23617289999999999</v>
      </c>
      <c r="U5061">
        <v>-2.9895320000000001</v>
      </c>
      <c r="V5061">
        <v>3.7550650000000001E-3</v>
      </c>
      <c r="W5061">
        <v>-7.2551389999999993E-2</v>
      </c>
      <c r="X5061">
        <v>0.99735759999999996</v>
      </c>
      <c r="Y5061">
        <v>6.4329239999999996E-2</v>
      </c>
      <c r="Z5061">
        <v>6.4916989999999994E-2</v>
      </c>
      <c r="AA5061">
        <v>0.99581500000000001</v>
      </c>
      <c r="AB5061">
        <v>23</v>
      </c>
      <c r="AC5061">
        <v>-0.95470000000000199</v>
      </c>
      <c r="AD5061">
        <v>-1.1209845378209999</v>
      </c>
      <c r="AE5061">
        <v>-13.964759999999901</v>
      </c>
      <c r="AF5061">
        <v>0.91149644391847096</v>
      </c>
      <c r="AG5061">
        <v>-1.1209845378209999</v>
      </c>
      <c r="AH5061">
        <v>13.878253089036599</v>
      </c>
      <c r="AI5061">
        <v>94.608026756400406</v>
      </c>
      <c r="AJ5061">
        <v>86.242322418168001</v>
      </c>
      <c r="AK5061">
        <v>13.9532555665215</v>
      </c>
      <c r="AL5061">
        <v>94.160543908940497</v>
      </c>
      <c r="AM5061">
        <v>89.784281626067099</v>
      </c>
      <c r="AN5061">
        <v>0.99999999349092294</v>
      </c>
    </row>
    <row r="5062" spans="1:40" x14ac:dyDescent="0.25">
      <c r="A5062" t="str">
        <f>"20190303154618076"</f>
        <v>20190303154618076</v>
      </c>
      <c r="B5062" t="str">
        <f>"1551599178066584"</f>
        <v>1551599178066584</v>
      </c>
      <c r="C5062" t="s">
        <v>40</v>
      </c>
      <c r="D5062">
        <v>5.3359959999999997</v>
      </c>
      <c r="E5062">
        <v>0.52306819999999998</v>
      </c>
      <c r="F5062" t="s">
        <v>41</v>
      </c>
      <c r="G5062">
        <v>-422.72680000000003</v>
      </c>
      <c r="H5062" s="1">
        <v>-4.4441630000000002E-6</v>
      </c>
      <c r="I5062">
        <v>48.624789999999997</v>
      </c>
      <c r="J5062">
        <v>-421.76499999999999</v>
      </c>
      <c r="K5062">
        <v>1.1209849999999999</v>
      </c>
      <c r="L5062">
        <v>62.644869999999997</v>
      </c>
      <c r="M5062">
        <v>-2.810978E-3</v>
      </c>
      <c r="N5062">
        <v>-1.370118E-2</v>
      </c>
      <c r="O5062">
        <v>-0.99990219999999996</v>
      </c>
      <c r="P5062">
        <v>-6.6155880000000004E-3</v>
      </c>
      <c r="Q5062">
        <v>-8.5729899999999998E-2</v>
      </c>
      <c r="R5062">
        <v>-0.99629659999999998</v>
      </c>
      <c r="S5062">
        <v>-0.20202639999999999</v>
      </c>
      <c r="T5062">
        <v>-0.23527590000000001</v>
      </c>
      <c r="U5062">
        <v>-2.9895939999999999</v>
      </c>
      <c r="V5062">
        <v>3.7963290000000002E-3</v>
      </c>
      <c r="W5062">
        <v>-7.2072200000000003E-2</v>
      </c>
      <c r="X5062">
        <v>0.99739219999999895</v>
      </c>
      <c r="Y5062">
        <v>6.443604E-2</v>
      </c>
      <c r="Z5062">
        <v>6.4619940000000001E-2</v>
      </c>
      <c r="AA5062">
        <v>0.99582740000000003</v>
      </c>
      <c r="AB5062">
        <v>23</v>
      </c>
      <c r="AC5062">
        <v>-0.96180000000003896</v>
      </c>
      <c r="AD5062">
        <v>-1.1209894441629999</v>
      </c>
      <c r="AE5062">
        <v>-14.020079999999901</v>
      </c>
      <c r="AF5062">
        <v>0.91655033989843104</v>
      </c>
      <c r="AG5062">
        <v>-1.1209894441629999</v>
      </c>
      <c r="AH5062">
        <v>13.934065773313</v>
      </c>
      <c r="AI5062">
        <v>94.589638594891994</v>
      </c>
      <c r="AJ5062">
        <v>86.236638687297201</v>
      </c>
      <c r="AK5062">
        <v>14.0090995725815</v>
      </c>
      <c r="AL5062">
        <v>94.1330162211691</v>
      </c>
      <c r="AM5062">
        <v>89.781918708671299</v>
      </c>
      <c r="AN5062">
        <v>1.00000000737377</v>
      </c>
    </row>
    <row r="5063" spans="1:40" x14ac:dyDescent="0.25">
      <c r="A5063" t="str">
        <f>"20190303154618104"</f>
        <v>20190303154618104</v>
      </c>
      <c r="B5063" t="str">
        <f>"1551599178096840"</f>
        <v>1551599178096840</v>
      </c>
      <c r="C5063" t="s">
        <v>40</v>
      </c>
      <c r="D5063">
        <v>5.2882730000000002</v>
      </c>
      <c r="E5063">
        <v>0.52303920000000004</v>
      </c>
      <c r="F5063" t="s">
        <v>41</v>
      </c>
      <c r="G5063">
        <v>-422.73910000000001</v>
      </c>
      <c r="H5063" s="1">
        <v>-4.3530910000000003E-6</v>
      </c>
      <c r="I5063">
        <v>48.35078</v>
      </c>
      <c r="J5063">
        <v>-421.76609999999999</v>
      </c>
      <c r="K5063">
        <v>1.1209929999999999</v>
      </c>
      <c r="L5063">
        <v>62.355530000000002</v>
      </c>
      <c r="M5063">
        <v>-2.9814669999999998E-3</v>
      </c>
      <c r="N5063">
        <v>-1.3698139999999999E-2</v>
      </c>
      <c r="O5063">
        <v>-0.99990179999999995</v>
      </c>
      <c r="P5063">
        <v>-7.1684009999999996E-3</v>
      </c>
      <c r="Q5063">
        <v>-8.5338830000000004E-2</v>
      </c>
      <c r="R5063">
        <v>-0.99632639999999995</v>
      </c>
      <c r="S5063">
        <v>-0.20373540000000001</v>
      </c>
      <c r="T5063">
        <v>-0.2344562</v>
      </c>
      <c r="U5063">
        <v>-2.9896240000000001</v>
      </c>
      <c r="V5063">
        <v>4.1798349999999998E-3</v>
      </c>
      <c r="W5063">
        <v>-7.1683830000000004E-2</v>
      </c>
      <c r="X5063">
        <v>0.99741860000000004</v>
      </c>
      <c r="Y5063">
        <v>6.4832929999999997E-2</v>
      </c>
      <c r="Z5063">
        <v>6.4348370000000002E-2</v>
      </c>
      <c r="AA5063">
        <v>0.99581929999999996</v>
      </c>
      <c r="AB5063">
        <v>23</v>
      </c>
      <c r="AC5063">
        <v>-0.97300000000001297</v>
      </c>
      <c r="AD5063">
        <v>-1.120997353091</v>
      </c>
      <c r="AE5063">
        <v>-14.00475</v>
      </c>
      <c r="AF5063">
        <v>0.92533685555411604</v>
      </c>
      <c r="AG5063">
        <v>-1.120997353091</v>
      </c>
      <c r="AH5063">
        <v>13.9188386134499</v>
      </c>
      <c r="AI5063">
        <v>94.594458610017796</v>
      </c>
      <c r="AJ5063">
        <v>86.196522102265405</v>
      </c>
      <c r="AK5063">
        <v>13.994532922150301</v>
      </c>
      <c r="AL5063">
        <v>94.110706777423502</v>
      </c>
      <c r="AM5063">
        <v>89.7598946894976</v>
      </c>
      <c r="AN5063">
        <v>0.99999995306502698</v>
      </c>
    </row>
    <row r="5064" spans="1:40" x14ac:dyDescent="0.25">
      <c r="A5064" t="str">
        <f>"20190303154618123"</f>
        <v>20190303154618123</v>
      </c>
      <c r="B5064" t="str">
        <f>"1551599178116360"</f>
        <v>1551599178116360</v>
      </c>
      <c r="C5064" t="s">
        <v>40</v>
      </c>
      <c r="D5064">
        <v>5.2310629999999998</v>
      </c>
      <c r="E5064">
        <v>0.49354160000000002</v>
      </c>
      <c r="F5064" t="s">
        <v>42</v>
      </c>
      <c r="G5064">
        <v>-421.82889999999998</v>
      </c>
      <c r="H5064">
        <v>1.050408</v>
      </c>
      <c r="I5064">
        <v>61.448619999999998</v>
      </c>
      <c r="J5064">
        <v>-421.76679999999999</v>
      </c>
      <c r="K5064">
        <v>1.1209960000000001</v>
      </c>
      <c r="L5064">
        <v>62.167819999999899</v>
      </c>
      <c r="M5064">
        <v>-3.0861450000000002E-3</v>
      </c>
      <c r="N5064">
        <v>-1.3696160000000001E-2</v>
      </c>
      <c r="O5064">
        <v>-0.99990129999999999</v>
      </c>
      <c r="P5064">
        <v>-8.3531449999999993E-3</v>
      </c>
      <c r="Q5064">
        <v>-8.5219569999999994E-2</v>
      </c>
      <c r="R5064">
        <v>-0.99632730000000003</v>
      </c>
      <c r="S5064">
        <v>-0.20593259999999999</v>
      </c>
      <c r="T5064">
        <v>-0.23269280000000001</v>
      </c>
      <c r="U5064">
        <v>-2.989655</v>
      </c>
      <c r="V5064">
        <v>5.2610519999999996E-3</v>
      </c>
      <c r="W5064">
        <v>-7.1566699999999997E-2</v>
      </c>
      <c r="X5064">
        <v>0.99742189999999997</v>
      </c>
      <c r="Y5064">
        <v>6.5458680000000005E-2</v>
      </c>
      <c r="Z5064">
        <v>6.3762330000000006E-2</v>
      </c>
      <c r="AA5064">
        <v>0.99581600000000003</v>
      </c>
      <c r="AB5064">
        <v>23</v>
      </c>
      <c r="AC5064">
        <v>-6.2099999999986701E-2</v>
      </c>
      <c r="AD5064">
        <v>-7.0587999999999804E-2</v>
      </c>
      <c r="AE5064">
        <v>-0.71919999999999296</v>
      </c>
      <c r="AF5064">
        <v>5.9312807169142702E-2</v>
      </c>
      <c r="AG5064">
        <v>-7.0587999999999804E-2</v>
      </c>
      <c r="AH5064">
        <v>0.71257479429717796</v>
      </c>
      <c r="AI5064">
        <v>95.637919500839502</v>
      </c>
      <c r="AJ5064">
        <v>85.241822291714996</v>
      </c>
      <c r="AK5064">
        <v>0.71851479616355096</v>
      </c>
      <c r="AL5064">
        <v>94.103978417452097</v>
      </c>
      <c r="AM5064">
        <v>89.697787586242498</v>
      </c>
      <c r="AN5064">
        <v>0.99999995890832205</v>
      </c>
    </row>
    <row r="5065" spans="1:40" x14ac:dyDescent="0.25">
      <c r="A5065" t="str">
        <f>"20190303154618143"</f>
        <v>20190303154618143</v>
      </c>
      <c r="B5065" t="str">
        <f>"1551599178136856"</f>
        <v>1551599178136856</v>
      </c>
      <c r="C5065" t="s">
        <v>40</v>
      </c>
      <c r="D5065">
        <v>5.2514529999999997</v>
      </c>
      <c r="E5065">
        <v>0.48948629999999999</v>
      </c>
      <c r="F5065" t="s">
        <v>41</v>
      </c>
      <c r="G5065">
        <v>-421.59780000000001</v>
      </c>
      <c r="H5065" s="1">
        <v>-1.6145189999999899E-6</v>
      </c>
      <c r="I5065">
        <v>42.361609999999999</v>
      </c>
      <c r="J5065">
        <v>-421.76749999999998</v>
      </c>
      <c r="K5065">
        <v>1.1210009999999999</v>
      </c>
      <c r="L5065">
        <v>61.95749</v>
      </c>
      <c r="M5065">
        <v>-3.1974519999999999E-3</v>
      </c>
      <c r="N5065">
        <v>-1.36938999999999E-2</v>
      </c>
      <c r="O5065">
        <v>-0.99990109999999999</v>
      </c>
      <c r="P5065">
        <v>-9.3369420000000009E-3</v>
      </c>
      <c r="Q5065">
        <v>-8.55297E-2</v>
      </c>
      <c r="R5065">
        <v>-0.99629190000000001</v>
      </c>
      <c r="S5065">
        <v>2.5573729999999999E-2</v>
      </c>
      <c r="T5065">
        <v>-0.16961180000000001</v>
      </c>
      <c r="U5065">
        <v>-2.9967649999999999</v>
      </c>
      <c r="V5065">
        <v>6.1350869999999896E-3</v>
      </c>
      <c r="W5065">
        <v>-7.1879600000000002E-2</v>
      </c>
      <c r="X5065">
        <v>0.99739440000000001</v>
      </c>
      <c r="Y5065">
        <v>-1.171759E-2</v>
      </c>
      <c r="Z5065">
        <v>4.2826959999999997E-2</v>
      </c>
      <c r="AA5065">
        <v>0.99901379999999995</v>
      </c>
      <c r="AB5065">
        <v>23</v>
      </c>
      <c r="AC5065">
        <v>0.16969999999997701</v>
      </c>
      <c r="AD5065">
        <v>-1.121002614519</v>
      </c>
      <c r="AE5065">
        <v>-19.595879999999902</v>
      </c>
      <c r="AF5065">
        <v>-0.23160402065145599</v>
      </c>
      <c r="AG5065">
        <v>-1.121002614519</v>
      </c>
      <c r="AH5065">
        <v>19.5313250864961</v>
      </c>
      <c r="AI5065">
        <v>93.284663462325199</v>
      </c>
      <c r="AJ5065">
        <v>90.679386110033306</v>
      </c>
      <c r="AK5065">
        <v>19.564839557699798</v>
      </c>
      <c r="AL5065">
        <v>94.1219525844255</v>
      </c>
      <c r="AM5065">
        <v>89.647571553620196</v>
      </c>
      <c r="AN5065">
        <v>0.99999995267000696</v>
      </c>
    </row>
    <row r="5066" spans="1:40" x14ac:dyDescent="0.25">
      <c r="A5066" t="str">
        <f>"20190303154618167"</f>
        <v>20190303154618167</v>
      </c>
      <c r="B5066" t="str">
        <f>"1551599178156375"</f>
        <v>1551599178156375</v>
      </c>
      <c r="C5066" t="s">
        <v>40</v>
      </c>
      <c r="D5066">
        <v>5.2692370000000004</v>
      </c>
      <c r="E5066">
        <v>0.4872862</v>
      </c>
      <c r="F5066" t="s">
        <v>41</v>
      </c>
      <c r="G5066">
        <v>-421.40640000000002</v>
      </c>
      <c r="H5066" s="1">
        <v>-1.521388E-6</v>
      </c>
      <c r="I5066">
        <v>42.26323</v>
      </c>
      <c r="J5066">
        <v>-421.76839999999999</v>
      </c>
      <c r="K5066">
        <v>1.121005</v>
      </c>
      <c r="L5066">
        <v>61.727110000000003</v>
      </c>
      <c r="M5066">
        <v>-3.3062149999999999E-3</v>
      </c>
      <c r="N5066">
        <v>-1.3691470000000001E-2</v>
      </c>
      <c r="O5066">
        <v>-0.99990109999999999</v>
      </c>
      <c r="P5066">
        <v>-1.025877E-2</v>
      </c>
      <c r="Q5066">
        <v>-8.5679939999999996E-2</v>
      </c>
      <c r="R5066">
        <v>-0.99627010000000005</v>
      </c>
      <c r="S5066">
        <v>5.4962160000000003E-2</v>
      </c>
      <c r="T5066">
        <v>-0.170592299999999</v>
      </c>
      <c r="U5066">
        <v>-2.9970400000000001</v>
      </c>
      <c r="V5066">
        <v>6.9501199999999997E-3</v>
      </c>
      <c r="W5066">
        <v>-7.2032509999999994E-2</v>
      </c>
      <c r="X5066">
        <v>0.99737810000000005</v>
      </c>
      <c r="Y5066">
        <v>-2.1614080000000001E-2</v>
      </c>
      <c r="Z5066">
        <v>4.314134E-2</v>
      </c>
      <c r="AA5066">
        <v>0.99883509999999998</v>
      </c>
      <c r="AB5066">
        <v>23</v>
      </c>
      <c r="AC5066">
        <v>0.36199999999996602</v>
      </c>
      <c r="AD5066">
        <v>-1.1210065213880001</v>
      </c>
      <c r="AE5066">
        <v>-19.46388</v>
      </c>
      <c r="AF5066">
        <v>-0.42494670665962297</v>
      </c>
      <c r="AG5066">
        <v>-1.1210065213880001</v>
      </c>
      <c r="AH5066">
        <v>19.398253108656501</v>
      </c>
      <c r="AI5066">
        <v>93.306598345632395</v>
      </c>
      <c r="AJ5066">
        <v>91.254945950272202</v>
      </c>
      <c r="AK5066">
        <v>19.435263285893399</v>
      </c>
      <c r="AL5066">
        <v>94.130736129904605</v>
      </c>
      <c r="AM5066">
        <v>89.600747101056896</v>
      </c>
      <c r="AN5066">
        <v>1.0000000305122601</v>
      </c>
    </row>
    <row r="5067" spans="1:40" x14ac:dyDescent="0.25">
      <c r="A5067" t="str">
        <f>"20190303154618193"</f>
        <v>20190303154618193</v>
      </c>
      <c r="B5067" t="str">
        <f>"1551599178186632"</f>
        <v>1551599178186632</v>
      </c>
      <c r="C5067" t="s">
        <v>40</v>
      </c>
      <c r="D5067">
        <v>5.1756529999999996</v>
      </c>
      <c r="E5067">
        <v>0.48576219999999998</v>
      </c>
      <c r="F5067" t="s">
        <v>41</v>
      </c>
      <c r="G5067">
        <v>-421.3476</v>
      </c>
      <c r="H5067" s="1">
        <v>-2.0846209999999999E-6</v>
      </c>
      <c r="I5067">
        <v>43.61262</v>
      </c>
      <c r="J5067">
        <v>-421.76949999999999</v>
      </c>
      <c r="K5067">
        <v>1.121019</v>
      </c>
      <c r="L5067">
        <v>61.463099999999997</v>
      </c>
      <c r="M5067">
        <v>-3.4109869999999999E-3</v>
      </c>
      <c r="N5067">
        <v>-1.368872E-2</v>
      </c>
      <c r="O5067">
        <v>-0.99990080000000003</v>
      </c>
      <c r="P5067">
        <v>-1.066023E-2</v>
      </c>
      <c r="Q5067">
        <v>-8.6473149999999999E-2</v>
      </c>
      <c r="R5067">
        <v>-0.99619760000000002</v>
      </c>
      <c r="S5067">
        <v>6.9610599999999995E-2</v>
      </c>
      <c r="T5067">
        <v>-0.18540619999999999</v>
      </c>
      <c r="U5067">
        <v>-2.9960019999999998</v>
      </c>
      <c r="V5067">
        <v>7.2495459999999999E-3</v>
      </c>
      <c r="W5067">
        <v>-7.2829190000000002E-2</v>
      </c>
      <c r="X5067">
        <v>0.99731809999999999</v>
      </c>
      <c r="Y5067">
        <v>-2.6597860000000001E-2</v>
      </c>
      <c r="Z5067">
        <v>4.8077710000000003E-2</v>
      </c>
      <c r="AA5067">
        <v>0.99848939999999997</v>
      </c>
      <c r="AB5067">
        <v>23</v>
      </c>
      <c r="AC5067">
        <v>0.421899999999993</v>
      </c>
      <c r="AD5067">
        <v>-1.121021084621</v>
      </c>
      <c r="AE5067">
        <v>-17.850479999999902</v>
      </c>
      <c r="AF5067">
        <v>-0.48089543397536499</v>
      </c>
      <c r="AG5067">
        <v>-1.121021084621</v>
      </c>
      <c r="AH5067">
        <v>17.778857715854901</v>
      </c>
      <c r="AI5067">
        <v>93.606613498261098</v>
      </c>
      <c r="AJ5067">
        <v>91.549399995670797</v>
      </c>
      <c r="AK5067">
        <v>17.820654599963401</v>
      </c>
      <c r="AL5067">
        <v>94.176502785458894</v>
      </c>
      <c r="AM5067">
        <v>89.583521974041403</v>
      </c>
      <c r="AN5067">
        <v>1.00000001971043</v>
      </c>
    </row>
    <row r="5068" spans="1:40" x14ac:dyDescent="0.25">
      <c r="A5068" t="str">
        <f>"20190303154618213"</f>
        <v>20190303154618213</v>
      </c>
      <c r="B5068" t="str">
        <f>"1551599178206152"</f>
        <v>1551599178206152</v>
      </c>
      <c r="C5068" t="s">
        <v>40</v>
      </c>
      <c r="D5068">
        <v>5.2393549999999998</v>
      </c>
      <c r="E5068">
        <v>0.48497889999999999</v>
      </c>
      <c r="F5068" t="s">
        <v>41</v>
      </c>
      <c r="G5068">
        <v>-421.31189999999998</v>
      </c>
      <c r="H5068" s="1">
        <v>-2.4546019999999998E-6</v>
      </c>
      <c r="I5068">
        <v>44.497169999999997</v>
      </c>
      <c r="J5068">
        <v>-421.77030000000002</v>
      </c>
      <c r="K5068">
        <v>1.12103</v>
      </c>
      <c r="L5068">
        <v>61.247309999999999</v>
      </c>
      <c r="M5068">
        <v>-3.4782670000000002E-3</v>
      </c>
      <c r="N5068">
        <v>-1.3686419999999999E-2</v>
      </c>
      <c r="O5068">
        <v>-0.99990029999999996</v>
      </c>
      <c r="P5068">
        <v>-1.085122E-2</v>
      </c>
      <c r="Q5068">
        <v>-8.697655E-2</v>
      </c>
      <c r="R5068">
        <v>-0.99615129999999996</v>
      </c>
      <c r="S5068">
        <v>8.0780030000000003E-2</v>
      </c>
      <c r="T5068">
        <v>-0.19790389999999999</v>
      </c>
      <c r="U5068">
        <v>-2.9951479999999999</v>
      </c>
      <c r="V5068">
        <v>7.3757809999999997E-3</v>
      </c>
      <c r="W5068">
        <v>-7.3335280000000003E-2</v>
      </c>
      <c r="X5068">
        <v>0.9972801</v>
      </c>
      <c r="Y5068">
        <v>-3.038426E-2</v>
      </c>
      <c r="Z5068">
        <v>5.2239849999999997E-2</v>
      </c>
      <c r="AA5068">
        <v>0.99817219999999995</v>
      </c>
      <c r="AB5068">
        <v>23</v>
      </c>
      <c r="AC5068">
        <v>0.45840000000004</v>
      </c>
      <c r="AD5068">
        <v>-1.1210324546020001</v>
      </c>
      <c r="AE5068">
        <v>-16.750139999999899</v>
      </c>
      <c r="AF5068">
        <v>-0.51436194179310502</v>
      </c>
      <c r="AG5068">
        <v>-1.1210324546020001</v>
      </c>
      <c r="AH5068">
        <v>16.6738147777242</v>
      </c>
      <c r="AI5068">
        <v>93.844561556198997</v>
      </c>
      <c r="AJ5068">
        <v>91.766927707921496</v>
      </c>
      <c r="AK5068">
        <v>16.719371435950901</v>
      </c>
      <c r="AL5068">
        <v>94.205577303740995</v>
      </c>
      <c r="AM5068">
        <v>89.576254036515905</v>
      </c>
      <c r="AN5068">
        <v>1.0000000316470199</v>
      </c>
    </row>
    <row r="5069" spans="1:40" x14ac:dyDescent="0.25">
      <c r="A5069" t="str">
        <f>"20190303154618233"</f>
        <v>20190303154618233</v>
      </c>
      <c r="B5069" t="str">
        <f>"1551599178226647"</f>
        <v>1551599178226647</v>
      </c>
      <c r="C5069" t="s">
        <v>40</v>
      </c>
      <c r="D5069">
        <v>5.2258389999999997</v>
      </c>
      <c r="E5069">
        <v>0.48473169999999999</v>
      </c>
      <c r="F5069" t="s">
        <v>41</v>
      </c>
      <c r="G5069">
        <v>-421.29520000000002</v>
      </c>
      <c r="H5069" s="1">
        <v>-2.6225139999999998E-6</v>
      </c>
      <c r="I5069">
        <v>44.898949999999999</v>
      </c>
      <c r="J5069">
        <v>-421.77109999999999</v>
      </c>
      <c r="K5069">
        <v>1.1210370000000001</v>
      </c>
      <c r="L5069">
        <v>61.054659999999998</v>
      </c>
      <c r="M5069">
        <v>-3.5230420000000001E-3</v>
      </c>
      <c r="N5069">
        <v>-1.3684379999999999E-2</v>
      </c>
      <c r="O5069">
        <v>-0.99990029999999996</v>
      </c>
      <c r="P5069">
        <v>-1.117755E-2</v>
      </c>
      <c r="Q5069">
        <v>-8.711679E-2</v>
      </c>
      <c r="R5069">
        <v>-0.99613569999999996</v>
      </c>
      <c r="S5069">
        <v>8.7036130000000003E-2</v>
      </c>
      <c r="T5069">
        <v>-0.20534430000000001</v>
      </c>
      <c r="U5069">
        <v>-2.9945979999999999</v>
      </c>
      <c r="V5069">
        <v>7.6595999999999999E-3</v>
      </c>
      <c r="W5069">
        <v>-7.3477550000000003E-2</v>
      </c>
      <c r="X5069">
        <v>0.99726749999999997</v>
      </c>
      <c r="Y5069">
        <v>-3.2511980000000003E-2</v>
      </c>
      <c r="Z5069">
        <v>5.4718410000000002E-2</v>
      </c>
      <c r="AA5069">
        <v>0.99797239999999998</v>
      </c>
      <c r="AB5069">
        <v>23</v>
      </c>
      <c r="AC5069">
        <v>0.47589999999996702</v>
      </c>
      <c r="AD5069">
        <v>-1.121039622514</v>
      </c>
      <c r="AE5069">
        <v>-16.155709999999999</v>
      </c>
      <c r="AF5069">
        <v>-0.53026862093901606</v>
      </c>
      <c r="AG5069">
        <v>-1.121039622514</v>
      </c>
      <c r="AH5069">
        <v>16.076592417024798</v>
      </c>
      <c r="AI5069">
        <v>93.986683974451594</v>
      </c>
      <c r="AJ5069">
        <v>91.889153026184999</v>
      </c>
      <c r="AK5069">
        <v>16.124352340132599</v>
      </c>
      <c r="AL5069">
        <v>94.213750776571402</v>
      </c>
      <c r="AM5069">
        <v>89.559943422049201</v>
      </c>
      <c r="AN5069">
        <v>1.0000000431911999</v>
      </c>
    </row>
    <row r="5070" spans="1:40" x14ac:dyDescent="0.25">
      <c r="A5070" t="str">
        <f>"20190303154618254"</f>
        <v>20190303154618254</v>
      </c>
      <c r="B5070" t="str">
        <f>"1551599178246168"</f>
        <v>1551599178246168</v>
      </c>
      <c r="C5070" t="s">
        <v>40</v>
      </c>
      <c r="D5070">
        <v>5.2003949999999897</v>
      </c>
      <c r="E5070">
        <v>0.48457549999999999</v>
      </c>
      <c r="F5070" t="s">
        <v>41</v>
      </c>
      <c r="G5070">
        <v>-421.30040000000002</v>
      </c>
      <c r="H5070" s="1">
        <v>-2.6394219999999998E-6</v>
      </c>
      <c r="I5070">
        <v>44.935130000000001</v>
      </c>
      <c r="J5070">
        <v>-421.77190000000002</v>
      </c>
      <c r="K5070">
        <v>1.1210500000000001</v>
      </c>
      <c r="L5070">
        <v>60.840150000000001</v>
      </c>
      <c r="M5070">
        <v>-3.55632E-3</v>
      </c>
      <c r="N5070">
        <v>-1.368202E-2</v>
      </c>
      <c r="O5070">
        <v>-0.99990009999999996</v>
      </c>
      <c r="P5070">
        <v>-1.129051E-2</v>
      </c>
      <c r="Q5070">
        <v>-8.7150560000000002E-2</v>
      </c>
      <c r="R5070">
        <v>-0.9961314</v>
      </c>
      <c r="S5070">
        <v>8.7432860000000001E-2</v>
      </c>
      <c r="T5070">
        <v>-0.20824790000000001</v>
      </c>
      <c r="U5070">
        <v>-2.994415</v>
      </c>
      <c r="V5070">
        <v>7.7416799999999999E-3</v>
      </c>
      <c r="W5070">
        <v>-7.3513469999999997E-2</v>
      </c>
      <c r="X5070">
        <v>0.99726409999999999</v>
      </c>
      <c r="Y5070">
        <v>-3.267726E-2</v>
      </c>
      <c r="Z5070">
        <v>5.5687699999999903E-2</v>
      </c>
      <c r="AA5070">
        <v>0.99791339999999995</v>
      </c>
      <c r="AB5070">
        <v>23</v>
      </c>
      <c r="AC5070">
        <v>0.47149999999999098</v>
      </c>
      <c r="AD5070">
        <v>-1.121052639422</v>
      </c>
      <c r="AE5070">
        <v>-15.90502</v>
      </c>
      <c r="AF5070">
        <v>-0.52545745949653899</v>
      </c>
      <c r="AG5070">
        <v>-1.121052639422</v>
      </c>
      <c r="AH5070">
        <v>15.8246940302739</v>
      </c>
      <c r="AI5070">
        <v>94.049952094231799</v>
      </c>
      <c r="AJ5070">
        <v>91.901802158264402</v>
      </c>
      <c r="AK5070">
        <v>15.8730528164522</v>
      </c>
      <c r="AL5070">
        <v>94.2158149231349</v>
      </c>
      <c r="AM5070">
        <v>89.555226463602395</v>
      </c>
      <c r="AN5070">
        <v>0.99999992451473296</v>
      </c>
    </row>
    <row r="5071" spans="1:40" x14ac:dyDescent="0.25">
      <c r="A5071" t="str">
        <f>"20190303154618277"</f>
        <v>20190303154618277</v>
      </c>
      <c r="B5071" t="str">
        <f>"1551599178266664"</f>
        <v>1551599178266664</v>
      </c>
      <c r="C5071" t="s">
        <v>40</v>
      </c>
      <c r="D5071">
        <v>5.173737</v>
      </c>
      <c r="E5071">
        <v>0.48437740000000001</v>
      </c>
      <c r="F5071" t="s">
        <v>41</v>
      </c>
      <c r="G5071">
        <v>-421.29469999999998</v>
      </c>
      <c r="H5071" s="1">
        <v>-2.5495240000000001E-6</v>
      </c>
      <c r="I5071">
        <v>44.729100000000003</v>
      </c>
      <c r="J5071">
        <v>-421.77260000000001</v>
      </c>
      <c r="K5071">
        <v>1.1210629999999999</v>
      </c>
      <c r="L5071">
        <v>60.616970000000002</v>
      </c>
      <c r="M5071">
        <v>-3.5742970000000002E-3</v>
      </c>
      <c r="N5071">
        <v>-1.367958E-2</v>
      </c>
      <c r="O5071">
        <v>-0.99990029999999996</v>
      </c>
      <c r="P5071">
        <v>-1.091642E-2</v>
      </c>
      <c r="Q5071">
        <v>-8.6811650000000004E-2</v>
      </c>
      <c r="R5071">
        <v>-0.99616550000000004</v>
      </c>
      <c r="S5071">
        <v>8.8684079999999998E-2</v>
      </c>
      <c r="T5071">
        <v>-0.20835999999999999</v>
      </c>
      <c r="U5071">
        <v>-2.994415</v>
      </c>
      <c r="V5071">
        <v>7.3516939999999998E-3</v>
      </c>
      <c r="W5071">
        <v>-7.3176340000000006E-2</v>
      </c>
      <c r="X5071">
        <v>0.99729190000000001</v>
      </c>
      <c r="Y5071">
        <v>-3.3111519999999998E-2</v>
      </c>
      <c r="Z5071">
        <v>5.5726369999999997E-2</v>
      </c>
      <c r="AA5071">
        <v>0.99789689999999998</v>
      </c>
      <c r="AB5071">
        <v>22</v>
      </c>
      <c r="AC5071">
        <v>0.47790000000003302</v>
      </c>
      <c r="AD5071">
        <v>-1.1210655495239901</v>
      </c>
      <c r="AE5071">
        <v>-15.8878699999999</v>
      </c>
      <c r="AF5071">
        <v>-0.53204363151716405</v>
      </c>
      <c r="AG5071">
        <v>-1.1210655495239901</v>
      </c>
      <c r="AH5071">
        <v>15.8074282139952</v>
      </c>
      <c r="AI5071">
        <v>94.054346367055501</v>
      </c>
      <c r="AJ5071">
        <v>91.927723523764399</v>
      </c>
      <c r="AK5071">
        <v>15.8560602021051</v>
      </c>
      <c r="AL5071">
        <v>94.19644640061</v>
      </c>
      <c r="AM5071">
        <v>89.577642805665306</v>
      </c>
      <c r="AN5071">
        <v>0.99999997897303705</v>
      </c>
    </row>
    <row r="5072" spans="1:40" x14ac:dyDescent="0.25">
      <c r="A5072" t="str">
        <f>"20190303154618299"</f>
        <v>20190303154618299</v>
      </c>
      <c r="B5072" t="str">
        <f>"1551599178295944"</f>
        <v>1551599178295944</v>
      </c>
      <c r="C5072" t="s">
        <v>40</v>
      </c>
      <c r="D5072">
        <v>5.1722590000000004</v>
      </c>
      <c r="E5072">
        <v>0.4839966</v>
      </c>
      <c r="F5072" t="s">
        <v>41</v>
      </c>
      <c r="G5072">
        <v>-421.27679999999998</v>
      </c>
      <c r="H5072" s="1">
        <v>-2.3960489999999999E-6</v>
      </c>
      <c r="I5072">
        <v>44.382449999999999</v>
      </c>
      <c r="J5072">
        <v>-421.77350000000001</v>
      </c>
      <c r="K5072">
        <v>1.121075</v>
      </c>
      <c r="L5072">
        <v>60.391660000000002</v>
      </c>
      <c r="M5072">
        <v>-3.578E-3</v>
      </c>
      <c r="N5072">
        <v>-1.367732E-2</v>
      </c>
      <c r="O5072">
        <v>-0.99990029999999996</v>
      </c>
      <c r="P5072">
        <v>-1.012446E-2</v>
      </c>
      <c r="Q5072">
        <v>-8.6590219999999996E-2</v>
      </c>
      <c r="R5072">
        <v>-0.99619290000000005</v>
      </c>
      <c r="S5072">
        <v>9.1461180000000003E-2</v>
      </c>
      <c r="T5072">
        <v>-0.206786</v>
      </c>
      <c r="U5072">
        <v>-2.9945369999999998</v>
      </c>
      <c r="V5072">
        <v>6.5576419999999998E-3</v>
      </c>
      <c r="W5072">
        <v>-7.2956649999999998E-2</v>
      </c>
      <c r="X5072">
        <v>0.99731360000000002</v>
      </c>
      <c r="Y5072">
        <v>-3.4039100000000003E-2</v>
      </c>
      <c r="Z5072">
        <v>5.5201750000000001E-2</v>
      </c>
      <c r="AA5072">
        <v>0.99789479999999997</v>
      </c>
      <c r="AB5072">
        <v>22</v>
      </c>
      <c r="AC5072">
        <v>0.496700000000032</v>
      </c>
      <c r="AD5072">
        <v>-1.1210773960489999</v>
      </c>
      <c r="AE5072">
        <v>-16.0092099999999</v>
      </c>
      <c r="AF5072">
        <v>-0.551282347960936</v>
      </c>
      <c r="AG5072">
        <v>-1.1210773960489999</v>
      </c>
      <c r="AH5072">
        <v>15.9292914522101</v>
      </c>
      <c r="AI5072">
        <v>94.023344270507295</v>
      </c>
      <c r="AJ5072">
        <v>91.982106395223298</v>
      </c>
      <c r="AK5072">
        <v>15.978205560217299</v>
      </c>
      <c r="AL5072">
        <v>94.183825074031205</v>
      </c>
      <c r="AM5072">
        <v>89.6232681520478</v>
      </c>
      <c r="AN5072">
        <v>1.00000004609639</v>
      </c>
    </row>
    <row r="5073" spans="1:40" x14ac:dyDescent="0.25">
      <c r="A5073" t="str">
        <f>"20190303154618321"</f>
        <v>20190303154618321</v>
      </c>
      <c r="B5073" t="str">
        <f>"1551599178316440"</f>
        <v>1551599178316440</v>
      </c>
      <c r="C5073" t="s">
        <v>40</v>
      </c>
      <c r="D5073">
        <v>5.1713139999999997</v>
      </c>
      <c r="E5073">
        <v>0.48392170000000001</v>
      </c>
      <c r="F5073" t="s">
        <v>41</v>
      </c>
      <c r="G5073">
        <v>-421.2491</v>
      </c>
      <c r="H5073" s="1">
        <v>-2.2929940000000002E-6</v>
      </c>
      <c r="I5073">
        <v>44.15943</v>
      </c>
      <c r="J5073">
        <v>-421.77420000000001</v>
      </c>
      <c r="K5073">
        <v>1.121081</v>
      </c>
      <c r="L5073">
        <v>60.174439999999997</v>
      </c>
      <c r="M5073">
        <v>-3.5724469999999999E-3</v>
      </c>
      <c r="N5073">
        <v>-1.367523E-2</v>
      </c>
      <c r="O5073">
        <v>-0.99990009999999996</v>
      </c>
      <c r="P5073">
        <v>-9.3487580000000004E-3</v>
      </c>
      <c r="Q5073">
        <v>-8.6789720000000001E-2</v>
      </c>
      <c r="R5073">
        <v>-0.99618289999999998</v>
      </c>
      <c r="S5073">
        <v>9.6740720000000002E-2</v>
      </c>
      <c r="T5073">
        <v>-0.2068131</v>
      </c>
      <c r="U5073">
        <v>-2.9944760000000001</v>
      </c>
      <c r="V5073">
        <v>5.7886169999999898E-3</v>
      </c>
      <c r="W5073">
        <v>-7.3158260000000003E-2</v>
      </c>
      <c r="X5073">
        <v>0.99730350000000001</v>
      </c>
      <c r="Y5073">
        <v>-3.5790750000000003E-2</v>
      </c>
      <c r="Z5073">
        <v>5.521015E-2</v>
      </c>
      <c r="AA5073">
        <v>0.99783310000000003</v>
      </c>
      <c r="AB5073">
        <v>22</v>
      </c>
      <c r="AC5073">
        <v>0.525100000000008</v>
      </c>
      <c r="AD5073">
        <v>-1.121083292994</v>
      </c>
      <c r="AE5073">
        <v>-16.01501</v>
      </c>
      <c r="AF5073">
        <v>-0.57947821505288599</v>
      </c>
      <c r="AG5073">
        <v>-1.121083292994</v>
      </c>
      <c r="AH5073">
        <v>15.9350293906622</v>
      </c>
      <c r="AI5073">
        <v>94.021671756270095</v>
      </c>
      <c r="AJ5073">
        <v>92.082646435717507</v>
      </c>
      <c r="AK5073">
        <v>15.9849236605253</v>
      </c>
      <c r="AL5073">
        <v>94.195407809194904</v>
      </c>
      <c r="AM5073">
        <v>89.667443662971294</v>
      </c>
      <c r="AN5073">
        <v>0.99999995510262396</v>
      </c>
    </row>
    <row r="5074" spans="1:40" x14ac:dyDescent="0.25">
      <c r="A5074" t="str">
        <f>"20190303154618343"</f>
        <v>20190303154618343</v>
      </c>
      <c r="B5074" t="str">
        <f>"1551599178335959"</f>
        <v>1551599178335959</v>
      </c>
      <c r="C5074" t="s">
        <v>40</v>
      </c>
      <c r="D5074">
        <v>5.1855929999999999</v>
      </c>
      <c r="E5074">
        <v>0.48368820000000001</v>
      </c>
      <c r="F5074" t="s">
        <v>41</v>
      </c>
      <c r="G5074">
        <v>-421.23480000000001</v>
      </c>
      <c r="H5074" s="1">
        <v>-2.1990769999999998E-6</v>
      </c>
      <c r="I5074">
        <v>43.949330000000003</v>
      </c>
      <c r="J5074">
        <v>-421.77510000000001</v>
      </c>
      <c r="K5074">
        <v>1.1210830000000001</v>
      </c>
      <c r="L5074">
        <v>59.948430000000002</v>
      </c>
      <c r="M5074">
        <v>-3.5613490000000001E-3</v>
      </c>
      <c r="N5074">
        <v>-1.3673060000000001E-2</v>
      </c>
      <c r="O5074">
        <v>-0.99990029999999996</v>
      </c>
      <c r="P5074">
        <v>-8.9694619999999992E-3</v>
      </c>
      <c r="Q5074">
        <v>-8.674134E-2</v>
      </c>
      <c r="R5074">
        <v>-0.99619069999999998</v>
      </c>
      <c r="S5074">
        <v>9.9548339999999999E-2</v>
      </c>
      <c r="T5074">
        <v>-0.2069008</v>
      </c>
      <c r="U5074">
        <v>-2.994415</v>
      </c>
      <c r="V5074">
        <v>5.4208829999999996E-3</v>
      </c>
      <c r="W5074">
        <v>-7.311194E-2</v>
      </c>
      <c r="X5074">
        <v>0.997309</v>
      </c>
      <c r="Y5074">
        <v>-3.671431E-2</v>
      </c>
      <c r="Z5074">
        <v>5.5240600000000001E-2</v>
      </c>
      <c r="AA5074">
        <v>0.99779779999999996</v>
      </c>
      <c r="AB5074">
        <v>22</v>
      </c>
      <c r="AC5074">
        <v>0.540300000000002</v>
      </c>
      <c r="AD5074">
        <v>-1.1210851990770001</v>
      </c>
      <c r="AE5074">
        <v>-15.9991</v>
      </c>
      <c r="AF5074">
        <v>-0.59436523164953603</v>
      </c>
      <c r="AG5074">
        <v>-1.1210851990770001</v>
      </c>
      <c r="AH5074">
        <v>15.9190000590234</v>
      </c>
      <c r="AI5074">
        <v>94.025571320720502</v>
      </c>
      <c r="AJ5074">
        <v>92.138250383777901</v>
      </c>
      <c r="AK5074">
        <v>15.969491692955399</v>
      </c>
      <c r="AL5074">
        <v>94.192746588996201</v>
      </c>
      <c r="AM5074">
        <v>89.688571286951202</v>
      </c>
      <c r="AN5074">
        <v>0.99999999161203101</v>
      </c>
    </row>
    <row r="5075" spans="1:40" x14ac:dyDescent="0.25">
      <c r="A5075" t="str">
        <f>"20190303154618366"</f>
        <v>20190303154618366</v>
      </c>
      <c r="B5075" t="str">
        <f>"1551599178356457"</f>
        <v>1551599178356457</v>
      </c>
      <c r="C5075" t="s">
        <v>40</v>
      </c>
      <c r="D5075">
        <v>5.1809430000000001</v>
      </c>
      <c r="E5075">
        <v>0.48348780000000002</v>
      </c>
      <c r="F5075" t="s">
        <v>41</v>
      </c>
      <c r="G5075">
        <v>-421.22179999999997</v>
      </c>
      <c r="H5075" s="1">
        <v>-2.1426789999999999E-6</v>
      </c>
      <c r="I5075">
        <v>43.825960000000002</v>
      </c>
      <c r="J5075">
        <v>-421.7758</v>
      </c>
      <c r="K5075">
        <v>1.1210880000000001</v>
      </c>
      <c r="L5075">
        <v>59.726289999999999</v>
      </c>
      <c r="M5075">
        <v>-3.5494020000000001E-3</v>
      </c>
      <c r="N5075">
        <v>-1.367086E-2</v>
      </c>
      <c r="O5075">
        <v>-0.99990029999999996</v>
      </c>
      <c r="P5075">
        <v>-8.2332789999999996E-3</v>
      </c>
      <c r="Q5075">
        <v>-8.7037000000000003E-2</v>
      </c>
      <c r="R5075">
        <v>-0.99617120000000003</v>
      </c>
      <c r="S5075">
        <v>0.1027527</v>
      </c>
      <c r="T5075">
        <v>-0.2082078</v>
      </c>
      <c r="U5075">
        <v>-2.9942630000000001</v>
      </c>
      <c r="V5075">
        <v>4.6967399999999996E-3</v>
      </c>
      <c r="W5075">
        <v>-7.3410050000000004E-2</v>
      </c>
      <c r="X5075">
        <v>0.99729080000000003</v>
      </c>
      <c r="Y5075">
        <v>-3.7769089999999998E-2</v>
      </c>
      <c r="Z5075">
        <v>5.5677150000000002E-2</v>
      </c>
      <c r="AA5075">
        <v>0.99773420000000002</v>
      </c>
      <c r="AB5075">
        <v>22</v>
      </c>
      <c r="AC5075">
        <v>0.55400000000003002</v>
      </c>
      <c r="AD5075">
        <v>-1.1210901426790001</v>
      </c>
      <c r="AE5075">
        <v>-15.90033</v>
      </c>
      <c r="AF5075">
        <v>-0.60742243480723201</v>
      </c>
      <c r="AG5075">
        <v>-1.1210901426790001</v>
      </c>
      <c r="AH5075">
        <v>15.8197142943065</v>
      </c>
      <c r="AI5075">
        <v>94.050608310218607</v>
      </c>
      <c r="AJ5075">
        <v>92.198880029871205</v>
      </c>
      <c r="AK5075">
        <v>15.8710165230776</v>
      </c>
      <c r="AL5075">
        <v>94.209872947950899</v>
      </c>
      <c r="AM5075">
        <v>89.730167580026404</v>
      </c>
      <c r="AN5075">
        <v>1.0000000172861301</v>
      </c>
    </row>
    <row r="5076" spans="1:40" x14ac:dyDescent="0.25">
      <c r="A5076" t="str">
        <f>"20190303154618390"</f>
        <v>20190303154618390</v>
      </c>
      <c r="B5076" t="str">
        <f>"1551599178386242"</f>
        <v>1551599178386242</v>
      </c>
      <c r="C5076" t="s">
        <v>40</v>
      </c>
      <c r="D5076">
        <v>5.2134919999999996</v>
      </c>
      <c r="E5076">
        <v>0.48333169999999998</v>
      </c>
      <c r="F5076" t="s">
        <v>41</v>
      </c>
      <c r="G5076">
        <v>-421.2088</v>
      </c>
      <c r="H5076" s="1">
        <v>-2.1184520000000001E-6</v>
      </c>
      <c r="I5076">
        <v>43.777540000000002</v>
      </c>
      <c r="J5076">
        <v>-421.77670000000001</v>
      </c>
      <c r="K5076">
        <v>1.1210770000000001</v>
      </c>
      <c r="L5076">
        <v>59.488460000000003</v>
      </c>
      <c r="M5076">
        <v>-3.5385099999999999E-3</v>
      </c>
      <c r="N5076">
        <v>-1.366854E-2</v>
      </c>
      <c r="O5076">
        <v>-0.99990029999999996</v>
      </c>
      <c r="P5076">
        <v>-8.1517199999999995E-3</v>
      </c>
      <c r="Q5076">
        <v>-8.7563559999999999E-2</v>
      </c>
      <c r="R5076">
        <v>-0.9961255</v>
      </c>
      <c r="S5076">
        <v>0.10644530000000001</v>
      </c>
      <c r="T5076">
        <v>-0.21045949999999999</v>
      </c>
      <c r="U5076">
        <v>-2.9940190000000002</v>
      </c>
      <c r="V5076">
        <v>4.625962E-3</v>
      </c>
      <c r="W5076">
        <v>-7.3939550000000007E-2</v>
      </c>
      <c r="X5076">
        <v>0.99725200000000003</v>
      </c>
      <c r="Y5076">
        <v>-3.8987599999999997E-2</v>
      </c>
      <c r="Z5076">
        <v>5.6428619999999999E-2</v>
      </c>
      <c r="AA5076">
        <v>0.99764509999999995</v>
      </c>
      <c r="AB5076">
        <v>22</v>
      </c>
      <c r="AC5076">
        <v>0.56790000000000795</v>
      </c>
      <c r="AD5076">
        <v>-1.1210791184519999</v>
      </c>
      <c r="AE5076">
        <v>-15.7109199999999</v>
      </c>
      <c r="AF5076">
        <v>-0.62034037397492503</v>
      </c>
      <c r="AG5076">
        <v>-1.1210791184519999</v>
      </c>
      <c r="AH5076">
        <v>15.6293346877587</v>
      </c>
      <c r="AI5076">
        <v>94.099534873955804</v>
      </c>
      <c r="AJ5076">
        <v>92.272920720692895</v>
      </c>
      <c r="AK5076">
        <v>15.6817646759346</v>
      </c>
      <c r="AL5076">
        <v>94.2402937933023</v>
      </c>
      <c r="AM5076">
        <v>89.7342234482918</v>
      </c>
      <c r="AN5076">
        <v>1.00000000404131</v>
      </c>
    </row>
    <row r="5077" spans="1:40" x14ac:dyDescent="0.25">
      <c r="A5077" t="str">
        <f>"20190303154618434"</f>
        <v>20190303154618434</v>
      </c>
      <c r="B5077" t="str">
        <f>"1551599178426258"</f>
        <v>1551599178426258</v>
      </c>
      <c r="C5077" t="s">
        <v>40</v>
      </c>
      <c r="D5077">
        <v>5.2606060000000001</v>
      </c>
      <c r="E5077">
        <v>0.48346410000000001</v>
      </c>
      <c r="F5077" t="s">
        <v>41</v>
      </c>
      <c r="G5077">
        <v>-421.2122</v>
      </c>
      <c r="H5077" s="1">
        <v>-2.1411909999999999E-6</v>
      </c>
      <c r="I5077">
        <v>43.828440000000001</v>
      </c>
      <c r="J5077">
        <v>-421.77820000000003</v>
      </c>
      <c r="K5077">
        <v>1.1210690000000001</v>
      </c>
      <c r="L5077">
        <v>59.055909999999997</v>
      </c>
      <c r="M5077">
        <v>-3.5268679999999998E-3</v>
      </c>
      <c r="N5077">
        <v>-1.3664279999999999E-2</v>
      </c>
      <c r="O5077">
        <v>-0.99990060000000003</v>
      </c>
      <c r="P5077">
        <v>-9.8070899999999992E-3</v>
      </c>
      <c r="Q5077">
        <v>-8.8714580000000001E-2</v>
      </c>
      <c r="R5077">
        <v>-0.99600880000000003</v>
      </c>
      <c r="S5077">
        <v>0.107910199999999</v>
      </c>
      <c r="T5077">
        <v>-0.2143158</v>
      </c>
      <c r="U5077">
        <v>-2.9937130000000001</v>
      </c>
      <c r="V5077">
        <v>6.2925109999999998E-3</v>
      </c>
      <c r="W5077">
        <v>-7.5096280000000001E-2</v>
      </c>
      <c r="X5077">
        <v>0.99715640000000005</v>
      </c>
      <c r="Y5077">
        <v>-3.946384E-2</v>
      </c>
      <c r="Z5077">
        <v>5.7717400000000002E-2</v>
      </c>
      <c r="AA5077">
        <v>0.99755260000000001</v>
      </c>
      <c r="AB5077">
        <v>22</v>
      </c>
      <c r="AC5077">
        <v>0.56600000000003003</v>
      </c>
      <c r="AD5077">
        <v>-1.1210711411909999</v>
      </c>
      <c r="AE5077">
        <v>-15.227469999999901</v>
      </c>
      <c r="AF5077">
        <v>-0.61637055251768602</v>
      </c>
      <c r="AG5077">
        <v>-1.1210711411909999</v>
      </c>
      <c r="AH5077">
        <v>15.1434126460525</v>
      </c>
      <c r="AI5077">
        <v>94.230409488782897</v>
      </c>
      <c r="AJ5077">
        <v>92.330779028905894</v>
      </c>
      <c r="AK5077">
        <v>15.1973569981838</v>
      </c>
      <c r="AL5077">
        <v>94.306754487653606</v>
      </c>
      <c r="AM5077">
        <v>89.638442337390799</v>
      </c>
      <c r="AN5077">
        <v>0.99999996651274103</v>
      </c>
    </row>
    <row r="5078" spans="1:40" x14ac:dyDescent="0.25">
      <c r="A5078" t="str">
        <f>"20190303154618456"</f>
        <v>20190303154618456</v>
      </c>
      <c r="B5078" t="str">
        <f>"1551599178446754"</f>
        <v>1551599178446754</v>
      </c>
      <c r="C5078" t="s">
        <v>40</v>
      </c>
      <c r="D5078">
        <v>5.2279419999999996</v>
      </c>
      <c r="E5078">
        <v>0.48361189999999998</v>
      </c>
      <c r="F5078" t="s">
        <v>41</v>
      </c>
      <c r="G5078">
        <v>-421.24979999999999</v>
      </c>
      <c r="H5078" s="1">
        <v>-2.015762E-6</v>
      </c>
      <c r="I5078">
        <v>43.512720000000002</v>
      </c>
      <c r="J5078">
        <v>-421.779</v>
      </c>
      <c r="K5078">
        <v>1.121065</v>
      </c>
      <c r="L5078">
        <v>58.832520000000002</v>
      </c>
      <c r="M5078">
        <v>-3.5252090000000001E-3</v>
      </c>
      <c r="N5078">
        <v>-1.366205E-2</v>
      </c>
      <c r="O5078">
        <v>-0.99990060000000003</v>
      </c>
      <c r="P5078">
        <v>-1.0388710000000001E-2</v>
      </c>
      <c r="Q5078">
        <v>-8.8979559999999999E-2</v>
      </c>
      <c r="R5078">
        <v>-0.99597930000000001</v>
      </c>
      <c r="S5078">
        <v>0.10177609999999999</v>
      </c>
      <c r="T5078">
        <v>-0.2159295</v>
      </c>
      <c r="U5078">
        <v>-2.9937740000000002</v>
      </c>
      <c r="V5078">
        <v>6.8754630000000001E-3</v>
      </c>
      <c r="W5078">
        <v>-7.53638999999999E-2</v>
      </c>
      <c r="X5078">
        <v>0.99713240000000003</v>
      </c>
      <c r="Y5078">
        <v>-3.7419960000000002E-2</v>
      </c>
      <c r="Z5078">
        <v>5.8258600000000001E-2</v>
      </c>
      <c r="AA5078">
        <v>0.99760000000000004</v>
      </c>
      <c r="AB5078">
        <v>22</v>
      </c>
      <c r="AC5078">
        <v>0.529200000000003</v>
      </c>
      <c r="AD5078">
        <v>-1.121067015762</v>
      </c>
      <c r="AE5078">
        <v>-15.319799999999899</v>
      </c>
      <c r="AF5078">
        <v>-0.58010450177744899</v>
      </c>
      <c r="AG5078">
        <v>-1.121067015762</v>
      </c>
      <c r="AH5078">
        <v>15.2363461581772</v>
      </c>
      <c r="AI5078">
        <v>94.205116778264198</v>
      </c>
      <c r="AJ5078">
        <v>92.180410760002005</v>
      </c>
      <c r="AK5078">
        <v>15.2885433164384</v>
      </c>
      <c r="AL5078">
        <v>94.3221313880819</v>
      </c>
      <c r="AM5078">
        <v>89.604938352060302</v>
      </c>
      <c r="AN5078">
        <v>1.0000000062722101</v>
      </c>
    </row>
    <row r="5079" spans="1:40" x14ac:dyDescent="0.25">
      <c r="A5079" t="str">
        <f>"20190303154618479"</f>
        <v>20190303154618479</v>
      </c>
      <c r="B5079" t="str">
        <f>"1551599178476034"</f>
        <v>1551599178476034</v>
      </c>
      <c r="C5079" t="s">
        <v>40</v>
      </c>
      <c r="D5079">
        <v>5.3130980000000001</v>
      </c>
      <c r="E5079">
        <v>0.4835392</v>
      </c>
      <c r="F5079" t="s">
        <v>41</v>
      </c>
      <c r="G5079">
        <v>-421.2645</v>
      </c>
      <c r="H5079" s="1">
        <v>-1.8715480000000001E-6</v>
      </c>
      <c r="I5079">
        <v>43.167439999999999</v>
      </c>
      <c r="J5079">
        <v>-421.77980000000002</v>
      </c>
      <c r="K5079">
        <v>1.121059</v>
      </c>
      <c r="L5079">
        <v>58.601990000000001</v>
      </c>
      <c r="M5079">
        <v>-3.5255659999999999E-3</v>
      </c>
      <c r="N5079">
        <v>-1.3659799999999901E-2</v>
      </c>
      <c r="O5079">
        <v>-0.99990060000000003</v>
      </c>
      <c r="P5079">
        <v>-1.091453E-2</v>
      </c>
      <c r="Q5079">
        <v>-8.8760539999999999E-2</v>
      </c>
      <c r="R5079">
        <v>-0.99599340000000003</v>
      </c>
      <c r="S5079">
        <v>9.8327639999999994E-2</v>
      </c>
      <c r="T5079">
        <v>-0.21426390000000001</v>
      </c>
      <c r="U5079">
        <v>-2.9939879999999999</v>
      </c>
      <c r="V5079">
        <v>7.4005019999999998E-3</v>
      </c>
      <c r="W5079">
        <v>-7.5146959999999999E-2</v>
      </c>
      <c r="X5079">
        <v>0.99714499999999995</v>
      </c>
      <c r="Y5079">
        <v>-3.6271980000000002E-2</v>
      </c>
      <c r="Z5079">
        <v>5.7706470000000003E-2</v>
      </c>
      <c r="AA5079">
        <v>0.99767450000000002</v>
      </c>
      <c r="AB5079">
        <v>22</v>
      </c>
      <c r="AC5079">
        <v>0.51530000000002396</v>
      </c>
      <c r="AD5079">
        <v>-1.1210608715479999</v>
      </c>
      <c r="AE5079">
        <v>-15.43455</v>
      </c>
      <c r="AF5079">
        <v>-0.56673088590647502</v>
      </c>
      <c r="AG5079">
        <v>-1.1210608715479999</v>
      </c>
      <c r="AH5079">
        <v>15.3517379734889</v>
      </c>
      <c r="AI5079">
        <v>94.173778427099094</v>
      </c>
      <c r="AJ5079">
        <v>92.114193789803196</v>
      </c>
      <c r="AK5079">
        <v>15.403045808586601</v>
      </c>
      <c r="AL5079">
        <v>94.309666355842893</v>
      </c>
      <c r="AM5079">
        <v>89.574776240203704</v>
      </c>
      <c r="AN5079">
        <v>0.99999999202604595</v>
      </c>
    </row>
    <row r="5080" spans="1:40" x14ac:dyDescent="0.25">
      <c r="A5080" t="str">
        <f>"20190303154618503"</f>
        <v>20190303154618503</v>
      </c>
      <c r="B5080" t="str">
        <f>"1551599178496530"</f>
        <v>1551599178496530</v>
      </c>
      <c r="C5080" t="s">
        <v>40</v>
      </c>
      <c r="D5080">
        <v>5.318219</v>
      </c>
      <c r="E5080">
        <v>0.48341070000000003</v>
      </c>
      <c r="F5080" t="s">
        <v>41</v>
      </c>
      <c r="G5080">
        <v>-421.26560000000001</v>
      </c>
      <c r="H5080" s="1">
        <v>-1.7612449999999999E-6</v>
      </c>
      <c r="I5080">
        <v>42.909640000000003</v>
      </c>
      <c r="J5080">
        <v>-421.78059999999999</v>
      </c>
      <c r="K5080">
        <v>1.1210580000000001</v>
      </c>
      <c r="L5080">
        <v>58.366120000000002</v>
      </c>
      <c r="M5080">
        <v>-3.5271E-3</v>
      </c>
      <c r="N5080">
        <v>-1.365748E-2</v>
      </c>
      <c r="O5080">
        <v>-0.99990060000000003</v>
      </c>
      <c r="P5080">
        <v>-1.072964E-2</v>
      </c>
      <c r="Q5080">
        <v>-8.9461310000000002E-2</v>
      </c>
      <c r="R5080">
        <v>-0.9959327</v>
      </c>
      <c r="S5080">
        <v>9.8114010000000001E-2</v>
      </c>
      <c r="T5080">
        <v>-0.213897</v>
      </c>
      <c r="U5080">
        <v>-2.9940799999999999</v>
      </c>
      <c r="V5080">
        <v>7.2139589999999998E-3</v>
      </c>
      <c r="W5080">
        <v>-7.5850860000000006E-2</v>
      </c>
      <c r="X5080">
        <v>0.99709309999999995</v>
      </c>
      <c r="Y5080">
        <v>-3.6201700000000003E-2</v>
      </c>
      <c r="Z5080">
        <v>5.758514E-2</v>
      </c>
      <c r="AA5080">
        <v>0.99768400000000002</v>
      </c>
      <c r="AB5080">
        <v>22</v>
      </c>
      <c r="AC5080">
        <v>0.51499999999998602</v>
      </c>
      <c r="AD5080">
        <v>-1.121059761245</v>
      </c>
      <c r="AE5080">
        <v>-15.4564799999999</v>
      </c>
      <c r="AF5080">
        <v>-0.56654137711604202</v>
      </c>
      <c r="AG5080">
        <v>-1.121059761245</v>
      </c>
      <c r="AH5080">
        <v>15.3737813891281</v>
      </c>
      <c r="AI5080">
        <v>94.167820904484003</v>
      </c>
      <c r="AJ5080">
        <v>92.110459823940701</v>
      </c>
      <c r="AK5080">
        <v>15.4250088596723</v>
      </c>
      <c r="AL5080">
        <v>94.350112162450202</v>
      </c>
      <c r="AM5080">
        <v>89.5854728183498</v>
      </c>
      <c r="AN5080">
        <v>1.0000000221173999</v>
      </c>
    </row>
    <row r="5081" spans="1:40" x14ac:dyDescent="0.25">
      <c r="A5081" t="str">
        <f>"20190303154618526"</f>
        <v>20190303154618526</v>
      </c>
      <c r="B5081" t="str">
        <f>"1551599178516050"</f>
        <v>1551599178516050</v>
      </c>
      <c r="C5081" t="s">
        <v>40</v>
      </c>
      <c r="D5081">
        <v>5.3018960000000002</v>
      </c>
      <c r="E5081">
        <v>0.48342259999999998</v>
      </c>
      <c r="F5081" t="s">
        <v>41</v>
      </c>
      <c r="G5081">
        <v>-421.2647</v>
      </c>
      <c r="H5081" s="1">
        <v>-1.745605E-6</v>
      </c>
      <c r="I5081">
        <v>42.873739999999998</v>
      </c>
      <c r="J5081">
        <v>-421.78149999999999</v>
      </c>
      <c r="K5081">
        <v>1.1210530000000001</v>
      </c>
      <c r="L5081">
        <v>58.133969999999998</v>
      </c>
      <c r="M5081">
        <v>-3.5288950000000002E-3</v>
      </c>
      <c r="N5081">
        <v>-1.365506E-2</v>
      </c>
      <c r="O5081">
        <v>-0.99990060000000003</v>
      </c>
      <c r="P5081">
        <v>-1.0636619999999999E-2</v>
      </c>
      <c r="Q5081">
        <v>-8.9440989999999998E-2</v>
      </c>
      <c r="R5081">
        <v>-0.99593549999999997</v>
      </c>
      <c r="S5081">
        <v>9.9700929999999993E-2</v>
      </c>
      <c r="T5081">
        <v>-0.2166421</v>
      </c>
      <c r="U5081">
        <v>-2.9938660000000001</v>
      </c>
      <c r="V5081">
        <v>7.1189219999999998E-3</v>
      </c>
      <c r="W5081">
        <v>-7.5832930000000007E-2</v>
      </c>
      <c r="X5081">
        <v>0.99709510000000001</v>
      </c>
      <c r="Y5081">
        <v>-3.6731760000000002E-2</v>
      </c>
      <c r="Z5081">
        <v>5.8501379999999999E-2</v>
      </c>
      <c r="AA5081">
        <v>0.99761129999999998</v>
      </c>
      <c r="AB5081">
        <v>22</v>
      </c>
      <c r="AC5081">
        <v>0.51679999999998905</v>
      </c>
      <c r="AD5081">
        <v>-1.121054745605</v>
      </c>
      <c r="AE5081">
        <v>-15.2602299999999</v>
      </c>
      <c r="AF5081">
        <v>-0.56759390129918397</v>
      </c>
      <c r="AG5081">
        <v>-1.121054745605</v>
      </c>
      <c r="AH5081">
        <v>15.1765012583142</v>
      </c>
      <c r="AI5081">
        <v>94.221699645512203</v>
      </c>
      <c r="AJ5081">
        <v>92.141836558160904</v>
      </c>
      <c r="AK5081">
        <v>15.2284312068922</v>
      </c>
      <c r="AL5081">
        <v>94.349082085430695</v>
      </c>
      <c r="AM5081">
        <v>89.590934450592002</v>
      </c>
      <c r="AN5081">
        <v>0.999999975383418</v>
      </c>
    </row>
    <row r="5082" spans="1:40" x14ac:dyDescent="0.25">
      <c r="A5082" t="str">
        <f>"20190303154618548"</f>
        <v>20190303154618548</v>
      </c>
      <c r="B5082" t="str">
        <f>"1551599178536546"</f>
        <v>1551599178536546</v>
      </c>
      <c r="C5082" t="s">
        <v>40</v>
      </c>
      <c r="D5082">
        <v>5.2894019999999999</v>
      </c>
      <c r="E5082">
        <v>0.49978479999999997</v>
      </c>
      <c r="F5082" t="s">
        <v>41</v>
      </c>
      <c r="G5082">
        <v>-421.26299999999998</v>
      </c>
      <c r="H5082" s="1">
        <v>-1.618144E-6</v>
      </c>
      <c r="I5082">
        <v>42.577710000000003</v>
      </c>
      <c r="J5082">
        <v>-421.78219999999999</v>
      </c>
      <c r="K5082">
        <v>1.1210530000000001</v>
      </c>
      <c r="L5082">
        <v>57.925600000000003</v>
      </c>
      <c r="M5082">
        <v>-3.5303349999999999E-3</v>
      </c>
      <c r="N5082">
        <v>-1.3652859999999999E-2</v>
      </c>
      <c r="O5082">
        <v>-0.99990060000000003</v>
      </c>
      <c r="P5082">
        <v>-1.0280040000000001E-2</v>
      </c>
      <c r="Q5082">
        <v>-8.9499510000000004E-2</v>
      </c>
      <c r="R5082">
        <v>-0.99593370000000003</v>
      </c>
      <c r="S5082">
        <v>9.9792480000000003E-2</v>
      </c>
      <c r="T5082">
        <v>-0.2157558</v>
      </c>
      <c r="U5082">
        <v>-2.9939269999999998</v>
      </c>
      <c r="V5082">
        <v>6.7607700000000001E-3</v>
      </c>
      <c r="W5082">
        <v>-7.589369E-2</v>
      </c>
      <c r="X5082">
        <v>0.99709300000000001</v>
      </c>
      <c r="Y5082">
        <v>-3.6763629999999999E-2</v>
      </c>
      <c r="Z5082">
        <v>5.8208219999999998E-2</v>
      </c>
      <c r="AA5082">
        <v>0.99762729999999999</v>
      </c>
      <c r="AB5082">
        <v>22</v>
      </c>
      <c r="AC5082">
        <v>0.51919999999995503</v>
      </c>
      <c r="AD5082">
        <v>-1.121054618144</v>
      </c>
      <c r="AE5082">
        <v>-15.34789</v>
      </c>
      <c r="AF5082">
        <v>-0.57034553814501099</v>
      </c>
      <c r="AG5082">
        <v>-1.121054618144</v>
      </c>
      <c r="AH5082">
        <v>15.264613517400001</v>
      </c>
      <c r="AI5082">
        <v>94.197423070588798</v>
      </c>
      <c r="AJ5082">
        <v>92.139798552748601</v>
      </c>
      <c r="AK5082">
        <v>15.316346931476</v>
      </c>
      <c r="AL5082">
        <v>94.352573307375593</v>
      </c>
      <c r="AM5082">
        <v>89.611513017255405</v>
      </c>
      <c r="AN5082">
        <v>1.0000000054209</v>
      </c>
    </row>
    <row r="5083" spans="1:40" x14ac:dyDescent="0.25">
      <c r="A5083" t="str">
        <f>"20190303154618569"</f>
        <v>20190303154618569</v>
      </c>
      <c r="B5083" t="str">
        <f>"1551599178566802"</f>
        <v>1551599178566802</v>
      </c>
      <c r="C5083" t="s">
        <v>40</v>
      </c>
      <c r="D5083">
        <v>5.3097149999999997</v>
      </c>
      <c r="E5083">
        <v>0.50102449999999998</v>
      </c>
      <c r="F5083" t="s">
        <v>60</v>
      </c>
      <c r="G5083">
        <v>-422.072</v>
      </c>
      <c r="H5083" s="1">
        <v>-5.7723599999999997E-6</v>
      </c>
      <c r="I5083">
        <v>29.762699999999999</v>
      </c>
      <c r="J5083">
        <v>-421.78300000000002</v>
      </c>
      <c r="K5083">
        <v>1.1210580000000001</v>
      </c>
      <c r="L5083">
        <v>57.71069</v>
      </c>
      <c r="M5083">
        <v>-3.531466E-3</v>
      </c>
      <c r="N5083">
        <v>-1.3650600000000001E-2</v>
      </c>
      <c r="O5083">
        <v>-0.99990060000000003</v>
      </c>
      <c r="P5083">
        <v>-1.063181E-2</v>
      </c>
      <c r="Q5083">
        <v>-8.9687470000000005E-2</v>
      </c>
      <c r="R5083">
        <v>-0.99591339999999995</v>
      </c>
      <c r="S5083">
        <v>-3.0883790000000001E-2</v>
      </c>
      <c r="T5083">
        <v>-0.11946610000000001</v>
      </c>
      <c r="U5083">
        <v>-3.0011899999999998</v>
      </c>
      <c r="V5083">
        <v>7.1113969999999898E-3</v>
      </c>
      <c r="W5083">
        <v>-7.6084170000000007E-2</v>
      </c>
      <c r="X5083">
        <v>0.99707599999999996</v>
      </c>
      <c r="Y5083">
        <v>6.75232E-3</v>
      </c>
      <c r="Z5083">
        <v>2.6129599999999999E-2</v>
      </c>
      <c r="AA5083">
        <v>0.99963579999999996</v>
      </c>
      <c r="AB5083">
        <v>22</v>
      </c>
      <c r="AC5083">
        <v>-0.28899999999992998</v>
      </c>
      <c r="AD5083">
        <v>-1.1210637723600001</v>
      </c>
      <c r="AE5083">
        <v>-27.947990000000001</v>
      </c>
      <c r="AF5083">
        <v>0.189985968076052</v>
      </c>
      <c r="AG5083">
        <v>-1.1210637723600001</v>
      </c>
      <c r="AH5083">
        <v>27.903943382939801</v>
      </c>
      <c r="AI5083">
        <v>92.300614286895893</v>
      </c>
      <c r="AJ5083">
        <v>89.609903668834406</v>
      </c>
      <c r="AK5083">
        <v>27.9271003680667</v>
      </c>
      <c r="AL5083">
        <v>94.363518846865901</v>
      </c>
      <c r="AM5083">
        <v>89.591359007897594</v>
      </c>
      <c r="AN5083">
        <v>0.99999996133393898</v>
      </c>
    </row>
    <row r="5084" spans="1:40" x14ac:dyDescent="0.25">
      <c r="A5084" t="str">
        <f>"20190303154618593"</f>
        <v>20190303154618593</v>
      </c>
      <c r="B5084" t="str">
        <f>"1551599178586322"</f>
        <v>1551599178586322</v>
      </c>
      <c r="C5084" t="s">
        <v>40</v>
      </c>
      <c r="D5084">
        <v>5.3231729999999997</v>
      </c>
      <c r="E5084">
        <v>0.50139480000000003</v>
      </c>
      <c r="F5084" t="s">
        <v>60</v>
      </c>
      <c r="G5084">
        <v>-422.18920000000003</v>
      </c>
      <c r="H5084" s="1">
        <v>-6.2370259999999899E-6</v>
      </c>
      <c r="I5084">
        <v>28.6753</v>
      </c>
      <c r="J5084">
        <v>-421.78379999999999</v>
      </c>
      <c r="K5084">
        <v>1.1210629999999999</v>
      </c>
      <c r="L5084">
        <v>57.485689999999998</v>
      </c>
      <c r="M5084">
        <v>-3.5322439999999999E-3</v>
      </c>
      <c r="N5084">
        <v>-1.3648240000000001E-2</v>
      </c>
      <c r="O5084">
        <v>-0.99990080000000003</v>
      </c>
      <c r="P5084">
        <v>-1.066185E-2</v>
      </c>
      <c r="Q5084">
        <v>-9.0101219999999996E-2</v>
      </c>
      <c r="R5084">
        <v>-0.99587570000000003</v>
      </c>
      <c r="S5084">
        <v>-4.1992189999999999E-2</v>
      </c>
      <c r="T5084">
        <v>-0.11588619999999999</v>
      </c>
      <c r="U5084">
        <v>-3.0014340000000002</v>
      </c>
      <c r="V5084">
        <v>7.1407550000000004E-3</v>
      </c>
      <c r="W5084">
        <v>-7.6500719999999994E-2</v>
      </c>
      <c r="X5084">
        <v>0.99704400000000004</v>
      </c>
      <c r="Y5084">
        <v>1.044895E-2</v>
      </c>
      <c r="Z5084">
        <v>2.493691E-2</v>
      </c>
      <c r="AA5084">
        <v>0.99963440000000003</v>
      </c>
      <c r="AB5084">
        <v>22</v>
      </c>
      <c r="AC5084">
        <v>-0.405400000000042</v>
      </c>
      <c r="AD5084">
        <v>-1.121069237026</v>
      </c>
      <c r="AE5084">
        <v>-28.810390000000002</v>
      </c>
      <c r="AF5084">
        <v>0.30316374011141201</v>
      </c>
      <c r="AG5084">
        <v>-1.121069237026</v>
      </c>
      <c r="AH5084">
        <v>28.7680919886051</v>
      </c>
      <c r="AI5084">
        <v>92.231517128781206</v>
      </c>
      <c r="AJ5084">
        <v>89.396228298372293</v>
      </c>
      <c r="AK5084">
        <v>28.7915234253481</v>
      </c>
      <c r="AL5084">
        <v>94.387454803255906</v>
      </c>
      <c r="AM5084">
        <v>89.589658902744702</v>
      </c>
      <c r="AN5084">
        <v>1.00000004423924</v>
      </c>
    </row>
    <row r="5085" spans="1:40" x14ac:dyDescent="0.25">
      <c r="A5085" t="str">
        <f>"20190303154618619"</f>
        <v>20190303154618619</v>
      </c>
      <c r="B5085" t="str">
        <f>"1551599178606818"</f>
        <v>1551599178606818</v>
      </c>
      <c r="C5085" t="s">
        <v>40</v>
      </c>
      <c r="D5085">
        <v>5.3389499999999996</v>
      </c>
      <c r="E5085">
        <v>0.50171089999999996</v>
      </c>
      <c r="F5085" t="s">
        <v>60</v>
      </c>
      <c r="G5085">
        <v>-422.21550000000002</v>
      </c>
      <c r="H5085" s="1">
        <v>-6.2450980000000001E-6</v>
      </c>
      <c r="I5085">
        <v>28.659230000000001</v>
      </c>
      <c r="J5085">
        <v>-421.78469999999999</v>
      </c>
      <c r="K5085">
        <v>1.1210629999999999</v>
      </c>
      <c r="L5085">
        <v>57.229799999999997</v>
      </c>
      <c r="M5085">
        <v>-3.5326950000000002E-3</v>
      </c>
      <c r="N5085">
        <v>-1.364546E-2</v>
      </c>
      <c r="O5085">
        <v>-0.99990080000000003</v>
      </c>
      <c r="P5085">
        <v>-1.0792980000000001E-2</v>
      </c>
      <c r="Q5085">
        <v>-8.9642849999999996E-2</v>
      </c>
      <c r="R5085">
        <v>-0.99591560000000001</v>
      </c>
      <c r="S5085">
        <v>-4.4952390000000002E-2</v>
      </c>
      <c r="T5085">
        <v>-0.1167243</v>
      </c>
      <c r="U5085">
        <v>-3.0013730000000001</v>
      </c>
      <c r="V5085">
        <v>7.2713279999999996E-3</v>
      </c>
      <c r="W5085">
        <v>-7.6044639999999997E-2</v>
      </c>
      <c r="X5085">
        <v>0.99707789999999996</v>
      </c>
      <c r="Y5085">
        <v>1.143401E-2</v>
      </c>
      <c r="Z5085">
        <v>2.5218689999999998E-2</v>
      </c>
      <c r="AA5085">
        <v>0.99961659999999997</v>
      </c>
      <c r="AB5085">
        <v>22</v>
      </c>
      <c r="AC5085">
        <v>-0.43080000000003299</v>
      </c>
      <c r="AD5085">
        <v>-1.121069245098</v>
      </c>
      <c r="AE5085">
        <v>-28.57057</v>
      </c>
      <c r="AF5085">
        <v>0.32934984402586198</v>
      </c>
      <c r="AG5085">
        <v>-1.121069245098</v>
      </c>
      <c r="AH5085">
        <v>28.5280000504528</v>
      </c>
      <c r="AI5085">
        <v>92.250253408021706</v>
      </c>
      <c r="AJ5085">
        <v>89.338561493320398</v>
      </c>
      <c r="AK5085">
        <v>28.5519185774038</v>
      </c>
      <c r="AL5085">
        <v>94.361247198993993</v>
      </c>
      <c r="AM5085">
        <v>89.582170038555205</v>
      </c>
      <c r="AN5085">
        <v>0.999999999076011</v>
      </c>
    </row>
    <row r="5086" spans="1:40" x14ac:dyDescent="0.25">
      <c r="A5086" t="str">
        <f>"20190303154618640"</f>
        <v>20190303154618640</v>
      </c>
      <c r="B5086" t="str">
        <f>"1551599178636098"</f>
        <v>1551599178636098</v>
      </c>
      <c r="C5086" t="s">
        <v>40</v>
      </c>
      <c r="D5086">
        <v>5.3449499999999999</v>
      </c>
      <c r="E5086">
        <v>0.50234590000000001</v>
      </c>
      <c r="F5086" t="s">
        <v>60</v>
      </c>
      <c r="G5086">
        <v>-422.24880000000002</v>
      </c>
      <c r="H5086" s="1">
        <v>-6.551267E-6</v>
      </c>
      <c r="I5086">
        <v>27.912269999999999</v>
      </c>
      <c r="J5086">
        <v>-421.78550000000001</v>
      </c>
      <c r="K5086">
        <v>1.1210549999999999</v>
      </c>
      <c r="L5086">
        <v>57.019559999999998</v>
      </c>
      <c r="M5086">
        <v>-3.5327599999999998E-3</v>
      </c>
      <c r="N5086">
        <v>-1.364315E-2</v>
      </c>
      <c r="O5086">
        <v>-0.99990080000000003</v>
      </c>
      <c r="P5086">
        <v>-1.045365E-2</v>
      </c>
      <c r="Q5086">
        <v>-8.9351529999999998E-2</v>
      </c>
      <c r="R5086">
        <v>-0.99594570000000004</v>
      </c>
      <c r="S5086">
        <v>-4.7515870000000002E-2</v>
      </c>
      <c r="T5086">
        <v>-0.11477270000000001</v>
      </c>
      <c r="U5086">
        <v>-3.001465</v>
      </c>
      <c r="V5086">
        <v>6.9318740000000002E-3</v>
      </c>
      <c r="W5086">
        <v>-7.5755240000000001E-2</v>
      </c>
      <c r="X5086">
        <v>0.9971023</v>
      </c>
      <c r="Y5086">
        <v>1.2287040000000001E-2</v>
      </c>
      <c r="Z5086">
        <v>2.4570410000000001E-2</v>
      </c>
      <c r="AA5086">
        <v>0.99962260000000003</v>
      </c>
      <c r="AB5086">
        <v>22</v>
      </c>
      <c r="AC5086">
        <v>-0.46330000000000299</v>
      </c>
      <c r="AD5086">
        <v>-1.1210615512669999</v>
      </c>
      <c r="AE5086">
        <v>-29.107289999999999</v>
      </c>
      <c r="AF5086">
        <v>0.359924705247259</v>
      </c>
      <c r="AG5086">
        <v>-1.1210615512669999</v>
      </c>
      <c r="AH5086">
        <v>29.065640448221099</v>
      </c>
      <c r="AI5086">
        <v>92.2086337848135</v>
      </c>
      <c r="AJ5086">
        <v>89.290533005814098</v>
      </c>
      <c r="AK5086">
        <v>29.089478844772099</v>
      </c>
      <c r="AL5086">
        <v>94.344618036980805</v>
      </c>
      <c r="AM5086">
        <v>89.601685076782303</v>
      </c>
      <c r="AN5086">
        <v>0.99999995196494795</v>
      </c>
    </row>
    <row r="5087" spans="1:40" x14ac:dyDescent="0.25">
      <c r="A5087" t="str">
        <f>"20190303154618658"</f>
        <v>20190303154618658</v>
      </c>
      <c r="B5087" t="str">
        <f>"1551599178646834"</f>
        <v>1551599178646834</v>
      </c>
      <c r="C5087" t="s">
        <v>40</v>
      </c>
      <c r="D5087">
        <v>5.3337029999999999</v>
      </c>
      <c r="E5087">
        <v>0.50252029999999903</v>
      </c>
      <c r="F5087" t="s">
        <v>60</v>
      </c>
      <c r="G5087">
        <v>-422.3</v>
      </c>
      <c r="H5087" s="1">
        <v>-6.8670639999999997E-6</v>
      </c>
      <c r="I5087">
        <v>27.14423</v>
      </c>
      <c r="J5087">
        <v>-421.78609999999998</v>
      </c>
      <c r="K5087">
        <v>1.121049</v>
      </c>
      <c r="L5087">
        <v>56.843870000000003</v>
      </c>
      <c r="M5087">
        <v>-3.5326450000000001E-3</v>
      </c>
      <c r="N5087">
        <v>-1.3641230000000001E-2</v>
      </c>
      <c r="O5087">
        <v>-0.99990080000000003</v>
      </c>
      <c r="P5087">
        <v>-1.02402E-2</v>
      </c>
      <c r="Q5087">
        <v>-8.9143790000000001E-2</v>
      </c>
      <c r="R5087">
        <v>-0.99596609999999997</v>
      </c>
      <c r="S5087">
        <v>-5.1696779999999998E-2</v>
      </c>
      <c r="T5087">
        <v>-0.11263239999999899</v>
      </c>
      <c r="U5087">
        <v>-3.0015559999999999</v>
      </c>
      <c r="V5087">
        <v>6.7185040000000001E-3</v>
      </c>
      <c r="W5087">
        <v>-7.5549140000000001E-2</v>
      </c>
      <c r="X5087">
        <v>0.99711939999999999</v>
      </c>
      <c r="Y5087">
        <v>1.3678539999999999E-2</v>
      </c>
      <c r="Z5087">
        <v>2.3858689999999998E-2</v>
      </c>
      <c r="AA5087">
        <v>0.99962169999999895</v>
      </c>
      <c r="AB5087">
        <v>22</v>
      </c>
      <c r="AC5087">
        <v>-0.513900000000035</v>
      </c>
      <c r="AD5087">
        <v>-1.1210558670640001</v>
      </c>
      <c r="AE5087">
        <v>-29.699639999999899</v>
      </c>
      <c r="AF5087">
        <v>0.40838706058899399</v>
      </c>
      <c r="AG5087">
        <v>-1.1210558670640001</v>
      </c>
      <c r="AH5087">
        <v>29.659024881901701</v>
      </c>
      <c r="AI5087">
        <v>92.164438225252496</v>
      </c>
      <c r="AJ5087">
        <v>89.211121186185494</v>
      </c>
      <c r="AK5087">
        <v>29.683013714809999</v>
      </c>
      <c r="AL5087">
        <v>94.332775428135307</v>
      </c>
      <c r="AM5087">
        <v>89.6139518510888</v>
      </c>
      <c r="AN5087">
        <v>0.99999995435354705</v>
      </c>
    </row>
    <row r="5088" spans="1:40" x14ac:dyDescent="0.25">
      <c r="A5088" t="str">
        <f>"20190303154618679"</f>
        <v>20190303154618679</v>
      </c>
      <c r="B5088" t="str">
        <f>"1551599178676114"</f>
        <v>1551599178676114</v>
      </c>
      <c r="C5088" t="s">
        <v>40</v>
      </c>
      <c r="D5088">
        <v>5.3074190000000003</v>
      </c>
      <c r="E5088">
        <v>0.50288319999999997</v>
      </c>
      <c r="F5088" t="s">
        <v>60</v>
      </c>
      <c r="G5088">
        <v>-422.31200000000001</v>
      </c>
      <c r="H5088" s="1">
        <v>-7.0062799999999996E-6</v>
      </c>
      <c r="I5088">
        <v>26.80414</v>
      </c>
      <c r="J5088">
        <v>-421.78680000000003</v>
      </c>
      <c r="K5088">
        <v>1.1210560000000001</v>
      </c>
      <c r="L5088">
        <v>56.638919999999999</v>
      </c>
      <c r="M5088">
        <v>-3.5324060000000001E-3</v>
      </c>
      <c r="N5088">
        <v>-1.363898E-2</v>
      </c>
      <c r="O5088">
        <v>-0.99990109999999999</v>
      </c>
      <c r="P5088">
        <v>-9.7702139999999993E-3</v>
      </c>
      <c r="Q5088">
        <v>-8.9393819999999999E-2</v>
      </c>
      <c r="R5088">
        <v>-0.99594890000000003</v>
      </c>
      <c r="S5088">
        <v>-5.2551269999999997E-2</v>
      </c>
      <c r="T5088">
        <v>-0.11201659999999999</v>
      </c>
      <c r="U5088">
        <v>-3.0015869999999998</v>
      </c>
      <c r="V5088">
        <v>6.2488419999999897E-3</v>
      </c>
      <c r="W5088">
        <v>-7.580162E-2</v>
      </c>
      <c r="X5088">
        <v>0.99710330000000003</v>
      </c>
      <c r="Y5088">
        <v>1.3963100000000001E-2</v>
      </c>
      <c r="Z5088">
        <v>2.3655599999999999E-2</v>
      </c>
      <c r="AA5088">
        <v>0.99962260000000003</v>
      </c>
      <c r="AB5088">
        <v>22</v>
      </c>
      <c r="AC5088">
        <v>-0.52519999999992695</v>
      </c>
      <c r="AD5088">
        <v>-1.12106300628</v>
      </c>
      <c r="AE5088">
        <v>-29.834779999999899</v>
      </c>
      <c r="AF5088">
        <v>0.41920669177688402</v>
      </c>
      <c r="AG5088">
        <v>-1.12106300628</v>
      </c>
      <c r="AH5088">
        <v>29.794394535601999</v>
      </c>
      <c r="AI5088">
        <v>92.154618178954905</v>
      </c>
      <c r="AJ5088">
        <v>89.1939024172068</v>
      </c>
      <c r="AK5088">
        <v>29.818424878883</v>
      </c>
      <c r="AL5088">
        <v>94.347283033426507</v>
      </c>
      <c r="AM5088">
        <v>89.640932302312606</v>
      </c>
      <c r="AN5088">
        <v>0.99999996224592702</v>
      </c>
    </row>
    <row r="5089" spans="1:40" x14ac:dyDescent="0.25">
      <c r="A5089" t="str">
        <f>"20190303154618701"</f>
        <v>20190303154618701</v>
      </c>
      <c r="B5089" t="str">
        <f>"1551599178696610"</f>
        <v>1551599178696610</v>
      </c>
      <c r="C5089" t="s">
        <v>40</v>
      </c>
      <c r="D5089">
        <v>5.3219949999999896</v>
      </c>
      <c r="E5089">
        <v>0.50307420000000003</v>
      </c>
      <c r="F5089" t="s">
        <v>60</v>
      </c>
      <c r="G5089">
        <v>-422.32839999999999</v>
      </c>
      <c r="H5089" s="1">
        <v>-7.0657470000000002E-6</v>
      </c>
      <c r="I5089">
        <v>26.66047</v>
      </c>
      <c r="J5089">
        <v>-421.7876</v>
      </c>
      <c r="K5089">
        <v>1.1210580000000001</v>
      </c>
      <c r="L5089">
        <v>56.424100000000003</v>
      </c>
      <c r="M5089">
        <v>-3.532122E-3</v>
      </c>
      <c r="N5089">
        <v>-1.363667E-2</v>
      </c>
      <c r="O5089">
        <v>-0.99990109999999999</v>
      </c>
      <c r="P5089">
        <v>-9.5719819999999997E-3</v>
      </c>
      <c r="Q5089">
        <v>-8.9688089999999998E-2</v>
      </c>
      <c r="R5089">
        <v>-0.99592429999999998</v>
      </c>
      <c r="S5089">
        <v>-5.4229739999999999E-2</v>
      </c>
      <c r="T5089">
        <v>-0.11224629999999999</v>
      </c>
      <c r="U5089">
        <v>-3.0015869999999998</v>
      </c>
      <c r="V5089">
        <v>6.0509919999999998E-3</v>
      </c>
      <c r="W5089">
        <v>-7.6098509999999994E-2</v>
      </c>
      <c r="X5089">
        <v>0.99708189999999997</v>
      </c>
      <c r="Y5089">
        <v>1.452195E-2</v>
      </c>
      <c r="Z5089">
        <v>2.3733979999999998E-2</v>
      </c>
      <c r="AA5089">
        <v>0.99961279999999997</v>
      </c>
      <c r="AB5089">
        <v>22</v>
      </c>
      <c r="AC5089">
        <v>-0.54079999999998996</v>
      </c>
      <c r="AD5089">
        <v>-1.1210650657469901</v>
      </c>
      <c r="AE5089">
        <v>-29.763629999999999</v>
      </c>
      <c r="AF5089">
        <v>0.43504112315510401</v>
      </c>
      <c r="AG5089">
        <v>-1.1210650657469901</v>
      </c>
      <c r="AH5089">
        <v>29.723200332695999</v>
      </c>
      <c r="AI5089">
        <v>92.159760550389507</v>
      </c>
      <c r="AJ5089">
        <v>89.161455014993294</v>
      </c>
      <c r="AK5089">
        <v>29.747515621948299</v>
      </c>
      <c r="AL5089">
        <v>94.3643428783639</v>
      </c>
      <c r="AM5089">
        <v>89.652293309720307</v>
      </c>
      <c r="AN5089">
        <v>0.99999995651800599</v>
      </c>
    </row>
    <row r="5090" spans="1:40" x14ac:dyDescent="0.25">
      <c r="A5090" t="str">
        <f>"20190303154618723"</f>
        <v>20190303154618723</v>
      </c>
      <c r="B5090" t="str">
        <f>"1551599178716130"</f>
        <v>1551599178716130</v>
      </c>
      <c r="C5090" t="s">
        <v>40</v>
      </c>
      <c r="D5090">
        <v>5.3518629999999998</v>
      </c>
      <c r="E5090">
        <v>0.50328589999999995</v>
      </c>
      <c r="F5090" t="s">
        <v>60</v>
      </c>
      <c r="G5090">
        <v>-422.33589999999998</v>
      </c>
      <c r="H5090" s="1">
        <v>-7.119439E-6</v>
      </c>
      <c r="I5090">
        <v>26.529720000000001</v>
      </c>
      <c r="J5090">
        <v>-421.78840000000002</v>
      </c>
      <c r="K5090">
        <v>1.121062</v>
      </c>
      <c r="L5090">
        <v>56.202089999999998</v>
      </c>
      <c r="M5090">
        <v>-3.5318580000000001E-3</v>
      </c>
      <c r="N5090">
        <v>-1.363434E-2</v>
      </c>
      <c r="O5090">
        <v>-0.99990109999999999</v>
      </c>
      <c r="P5090">
        <v>-9.4360299999999998E-3</v>
      </c>
      <c r="Q5090">
        <v>-8.8946310000000001E-2</v>
      </c>
      <c r="R5090">
        <v>-0.99599179999999998</v>
      </c>
      <c r="S5090">
        <v>-5.5053709999999999E-2</v>
      </c>
      <c r="T5090">
        <v>-0.11256330000000001</v>
      </c>
      <c r="U5090">
        <v>-3.001617</v>
      </c>
      <c r="V5090">
        <v>5.9151109999999998E-3</v>
      </c>
      <c r="W5090">
        <v>-7.5358220000000004E-2</v>
      </c>
      <c r="X5090">
        <v>0.997139</v>
      </c>
      <c r="Y5090">
        <v>1.4796190000000001E-2</v>
      </c>
      <c r="Z5090">
        <v>2.3841169999999998E-2</v>
      </c>
      <c r="AA5090">
        <v>0.99960629999999995</v>
      </c>
      <c r="AB5090">
        <v>22</v>
      </c>
      <c r="AC5090">
        <v>-0.54749999999995602</v>
      </c>
      <c r="AD5090">
        <v>-1.1210691194389999</v>
      </c>
      <c r="AE5090">
        <v>-29.672370000000001</v>
      </c>
      <c r="AF5090">
        <v>0.442057476124806</v>
      </c>
      <c r="AG5090">
        <v>-1.1210691194389999</v>
      </c>
      <c r="AH5090">
        <v>29.631835260348701</v>
      </c>
      <c r="AI5090">
        <v>92.166412306108796</v>
      </c>
      <c r="AJ5090">
        <v>89.145306095970994</v>
      </c>
      <c r="AK5090">
        <v>29.656329369616898</v>
      </c>
      <c r="AL5090">
        <v>94.321804970959406</v>
      </c>
      <c r="AM5090">
        <v>89.660120684924394</v>
      </c>
      <c r="AN5090">
        <v>1.0000000175903501</v>
      </c>
    </row>
    <row r="5091" spans="1:40" x14ac:dyDescent="0.25">
      <c r="A5091" t="str">
        <f>"20190303154618745"</f>
        <v>20190303154618745</v>
      </c>
      <c r="B5091" t="str">
        <f>"1551599178736626"</f>
        <v>1551599178736626</v>
      </c>
      <c r="C5091" t="s">
        <v>40</v>
      </c>
      <c r="D5091">
        <v>5.2786900000000001</v>
      </c>
      <c r="E5091">
        <v>0.50338919999999998</v>
      </c>
      <c r="F5091" t="s">
        <v>60</v>
      </c>
      <c r="G5091">
        <v>-422.36340000000001</v>
      </c>
      <c r="H5091" s="1">
        <v>-7.5756619999999902E-6</v>
      </c>
      <c r="I5091">
        <v>25.413519999999998</v>
      </c>
      <c r="J5091">
        <v>-421.78919999999999</v>
      </c>
      <c r="K5091">
        <v>1.121068</v>
      </c>
      <c r="L5091">
        <v>55.9901699999999</v>
      </c>
      <c r="M5091">
        <v>-3.5316509999999998E-3</v>
      </c>
      <c r="N5091">
        <v>-1.363205E-2</v>
      </c>
      <c r="O5091">
        <v>-0.99990109999999999</v>
      </c>
      <c r="P5091">
        <v>-9.3361269999999996E-3</v>
      </c>
      <c r="Q5091">
        <v>-8.8023009999999999E-2</v>
      </c>
      <c r="R5091">
        <v>-0.99607500000000004</v>
      </c>
      <c r="S5091">
        <v>-5.6060789999999999E-2</v>
      </c>
      <c r="T5091">
        <v>-0.1093001</v>
      </c>
      <c r="U5091">
        <v>-3.00177</v>
      </c>
      <c r="V5091">
        <v>5.8151599999999998E-3</v>
      </c>
      <c r="W5091">
        <v>-7.4436150000000006E-2</v>
      </c>
      <c r="X5091">
        <v>0.99720880000000001</v>
      </c>
      <c r="Y5091">
        <v>1.5131179999999999E-2</v>
      </c>
      <c r="Z5091">
        <v>2.275624E-2</v>
      </c>
      <c r="AA5091">
        <v>0.99962649999999997</v>
      </c>
      <c r="AB5091">
        <v>22</v>
      </c>
      <c r="AC5091">
        <v>-0.57420000000001803</v>
      </c>
      <c r="AD5091">
        <v>-1.1210755756619999</v>
      </c>
      <c r="AE5091">
        <v>-30.576649999999901</v>
      </c>
      <c r="AF5091">
        <v>0.46557471216549501</v>
      </c>
      <c r="AG5091">
        <v>-1.1210755756619999</v>
      </c>
      <c r="AH5091">
        <v>30.5374509058237</v>
      </c>
      <c r="AI5091">
        <v>92.102225636943501</v>
      </c>
      <c r="AJ5091">
        <v>89.126534837523494</v>
      </c>
      <c r="AK5091">
        <v>30.561568645678999</v>
      </c>
      <c r="AL5091">
        <v>94.268825632821006</v>
      </c>
      <c r="AM5091">
        <v>89.665887075449305</v>
      </c>
      <c r="AN5091">
        <v>0.99999997365504301</v>
      </c>
    </row>
    <row r="5092" spans="1:40" x14ac:dyDescent="0.25">
      <c r="A5092" t="str">
        <f>"20190303154618768"</f>
        <v>20190303154618768</v>
      </c>
      <c r="B5092" t="str">
        <f>"1551599178756147"</f>
        <v>1551599178756147</v>
      </c>
      <c r="C5092" t="s">
        <v>40</v>
      </c>
      <c r="D5092">
        <v>5.2348089999999896</v>
      </c>
      <c r="E5092">
        <v>0.50345280000000003</v>
      </c>
      <c r="F5092" t="s">
        <v>60</v>
      </c>
      <c r="G5092">
        <v>-422.38940000000002</v>
      </c>
      <c r="H5092" s="1">
        <v>-8.0594139999999994E-6</v>
      </c>
      <c r="I5092">
        <v>24.22953</v>
      </c>
      <c r="J5092">
        <v>-421.78989999999999</v>
      </c>
      <c r="K5092">
        <v>1.1210690000000001</v>
      </c>
      <c r="L5092">
        <v>55.769530000000003</v>
      </c>
      <c r="M5092">
        <v>-3.5314909999999999E-3</v>
      </c>
      <c r="N5092">
        <v>-1.362969E-2</v>
      </c>
      <c r="O5092">
        <v>-0.99990109999999999</v>
      </c>
      <c r="P5092">
        <v>-9.7792E-3</v>
      </c>
      <c r="Q5092">
        <v>-8.7178889999999995E-2</v>
      </c>
      <c r="R5092">
        <v>-0.99614499999999995</v>
      </c>
      <c r="S5092">
        <v>-5.673218E-2</v>
      </c>
      <c r="T5092">
        <v>-0.10596079999999999</v>
      </c>
      <c r="U5092">
        <v>-3.0019230000000001</v>
      </c>
      <c r="V5092">
        <v>6.258179E-3</v>
      </c>
      <c r="W5092">
        <v>-7.3593489999999998E-2</v>
      </c>
      <c r="X5092">
        <v>0.99726870000000001</v>
      </c>
      <c r="Y5092">
        <v>1.5354390000000001E-2</v>
      </c>
      <c r="Z5092">
        <v>2.1646120000000001E-2</v>
      </c>
      <c r="AA5092">
        <v>0.99964779999999998</v>
      </c>
      <c r="AB5092">
        <v>22</v>
      </c>
      <c r="AC5092">
        <v>-0.59950000000003401</v>
      </c>
      <c r="AD5092">
        <v>-1.121077059414</v>
      </c>
      <c r="AE5092">
        <v>-31.54</v>
      </c>
      <c r="AF5092">
        <v>0.487487034551637</v>
      </c>
      <c r="AG5092">
        <v>-1.121077059414</v>
      </c>
      <c r="AH5092">
        <v>31.502134578740002</v>
      </c>
      <c r="AI5092">
        <v>92.037900274973893</v>
      </c>
      <c r="AJ5092">
        <v>89.1134340315419</v>
      </c>
      <c r="AK5092">
        <v>31.525845593719598</v>
      </c>
      <c r="AL5092">
        <v>94.220411809145602</v>
      </c>
      <c r="AM5092">
        <v>89.640455438438295</v>
      </c>
      <c r="AN5092">
        <v>1.00000001328723</v>
      </c>
    </row>
    <row r="5093" spans="1:40" x14ac:dyDescent="0.25">
      <c r="A5093" t="str">
        <f>"20190303154618792"</f>
        <v>20190303154618792</v>
      </c>
      <c r="B5093" t="str">
        <f>"1551599178787378"</f>
        <v>1551599178787378</v>
      </c>
      <c r="C5093" t="s">
        <v>40</v>
      </c>
      <c r="D5093">
        <v>5.1887309999999998</v>
      </c>
      <c r="E5093">
        <v>0.50359290000000001</v>
      </c>
      <c r="F5093" t="s">
        <v>60</v>
      </c>
      <c r="G5093">
        <v>-422.42770000000002</v>
      </c>
      <c r="H5093" s="1">
        <v>-8.5321669999999906E-6</v>
      </c>
      <c r="I5093">
        <v>23.074300000000001</v>
      </c>
      <c r="J5093">
        <v>-421.79070000000002</v>
      </c>
      <c r="K5093">
        <v>1.121076</v>
      </c>
      <c r="L5093">
        <v>55.542999999999999</v>
      </c>
      <c r="M5093">
        <v>-3.5313839999999998E-3</v>
      </c>
      <c r="N5093">
        <v>-1.362725E-2</v>
      </c>
      <c r="O5093">
        <v>-0.99990109999999999</v>
      </c>
      <c r="P5093">
        <v>-9.9800540000000004E-3</v>
      </c>
      <c r="Q5093">
        <v>-8.6993490000000007E-2</v>
      </c>
      <c r="R5093">
        <v>-0.99615909999999996</v>
      </c>
      <c r="S5093">
        <v>-5.8563230000000001E-2</v>
      </c>
      <c r="T5093">
        <v>-0.1029352</v>
      </c>
      <c r="U5093">
        <v>-3.002014</v>
      </c>
      <c r="V5093">
        <v>6.4590940000000003E-3</v>
      </c>
      <c r="W5093">
        <v>-7.3410349999999999E-2</v>
      </c>
      <c r="X5093">
        <v>0.99728090000000003</v>
      </c>
      <c r="Y5093">
        <v>1.5963740000000001E-2</v>
      </c>
      <c r="Z5093">
        <v>2.0640849999999999E-2</v>
      </c>
      <c r="AA5093">
        <v>0.99965950000000003</v>
      </c>
      <c r="AB5093">
        <v>22</v>
      </c>
      <c r="AC5093">
        <v>-0.63700000000000001</v>
      </c>
      <c r="AD5093">
        <v>-1.121084532167</v>
      </c>
      <c r="AE5093">
        <v>-32.468699999999998</v>
      </c>
      <c r="AF5093">
        <v>0.52170422054685295</v>
      </c>
      <c r="AG5093">
        <v>-1.121084532167</v>
      </c>
      <c r="AH5093">
        <v>32.4320967351509</v>
      </c>
      <c r="AI5093">
        <v>91.979506540117796</v>
      </c>
      <c r="AJ5093">
        <v>89.078416903178905</v>
      </c>
      <c r="AK5093">
        <v>32.455660591955102</v>
      </c>
      <c r="AL5093">
        <v>94.209890271090998</v>
      </c>
      <c r="AM5093">
        <v>89.628917337977597</v>
      </c>
      <c r="AN5093">
        <v>0.99999999644361603</v>
      </c>
    </row>
    <row r="5094" spans="1:40" x14ac:dyDescent="0.25">
      <c r="A5094" t="str">
        <f>"20190303154618820"</f>
        <v>20190303154618820</v>
      </c>
      <c r="B5094" t="str">
        <f>"1551599178816659"</f>
        <v>1551599178816659</v>
      </c>
      <c r="C5094" t="s">
        <v>40</v>
      </c>
      <c r="D5094">
        <v>5.4163199999999998</v>
      </c>
      <c r="E5094">
        <v>0.5228199</v>
      </c>
      <c r="F5094" t="s">
        <v>60</v>
      </c>
      <c r="G5094">
        <v>-422.45549999999997</v>
      </c>
      <c r="H5094" s="1">
        <v>-8.7957339999999992E-6</v>
      </c>
      <c r="I5094">
        <v>22.431139999999999</v>
      </c>
      <c r="J5094">
        <v>-421.79160000000002</v>
      </c>
      <c r="K5094">
        <v>1.121076</v>
      </c>
      <c r="L5094">
        <v>55.27261</v>
      </c>
      <c r="M5094">
        <v>-3.5313160000000001E-3</v>
      </c>
      <c r="N5094">
        <v>-1.362438E-2</v>
      </c>
      <c r="O5094">
        <v>-0.99990109999999999</v>
      </c>
      <c r="P5094">
        <v>-9.967755E-3</v>
      </c>
      <c r="Q5094">
        <v>-8.7553619999999999E-2</v>
      </c>
      <c r="R5094">
        <v>-0.99611000000000005</v>
      </c>
      <c r="S5094">
        <v>-6.0272220000000001E-2</v>
      </c>
      <c r="T5094">
        <v>-0.1016427</v>
      </c>
      <c r="U5094">
        <v>-3.002075</v>
      </c>
      <c r="V5094">
        <v>6.4470129999999997E-3</v>
      </c>
      <c r="W5094">
        <v>-7.3973960000000005E-2</v>
      </c>
      <c r="X5094">
        <v>0.9972394</v>
      </c>
      <c r="Y5094">
        <v>1.6532299999999899E-2</v>
      </c>
      <c r="Z5094">
        <v>2.0212830000000001E-2</v>
      </c>
      <c r="AA5094">
        <v>0.99965899999999996</v>
      </c>
      <c r="AB5094">
        <v>22</v>
      </c>
      <c r="AC5094">
        <v>-0.66389999999995497</v>
      </c>
      <c r="AD5094">
        <v>-1.121084795734</v>
      </c>
      <c r="AE5094">
        <v>-32.841470000000001</v>
      </c>
      <c r="AF5094">
        <v>0.547274034536119</v>
      </c>
      <c r="AG5094">
        <v>-1.121084795734</v>
      </c>
      <c r="AH5094">
        <v>32.8053978630495</v>
      </c>
      <c r="AI5094">
        <v>91.956980194943696</v>
      </c>
      <c r="AJ5094">
        <v>89.044255333954595</v>
      </c>
      <c r="AK5094">
        <v>32.829110084512998</v>
      </c>
      <c r="AL5094">
        <v>94.242270492500495</v>
      </c>
      <c r="AM5094">
        <v>89.629595973248001</v>
      </c>
      <c r="AN5094">
        <v>1.00000006582352</v>
      </c>
    </row>
    <row r="5095" spans="1:40" x14ac:dyDescent="0.25">
      <c r="A5095" t="str">
        <f>"20190303154618843"</f>
        <v>20190303154618843</v>
      </c>
      <c r="B5095" t="str">
        <f>"1551599178836179"</f>
        <v>1551599178836179</v>
      </c>
      <c r="C5095" t="s">
        <v>40</v>
      </c>
      <c r="D5095">
        <v>5.3035059999999996</v>
      </c>
      <c r="E5095">
        <v>0.5406784</v>
      </c>
      <c r="F5095" t="s">
        <v>60</v>
      </c>
      <c r="G5095">
        <v>-423.6687</v>
      </c>
      <c r="H5095" s="1">
        <v>-6.2436459999999998E-6</v>
      </c>
      <c r="I5095">
        <v>28.869869999999999</v>
      </c>
      <c r="J5095">
        <v>-421.79239999999999</v>
      </c>
      <c r="K5095">
        <v>1.1210800000000001</v>
      </c>
      <c r="L5095">
        <v>55.058109999999999</v>
      </c>
      <c r="M5095">
        <v>-3.5313039999999999E-3</v>
      </c>
      <c r="N5095">
        <v>-1.362211E-2</v>
      </c>
      <c r="O5095">
        <v>-0.99990109999999999</v>
      </c>
      <c r="P5095">
        <v>-1.0038160000000001E-2</v>
      </c>
      <c r="Q5095">
        <v>-8.7732850000000001E-2</v>
      </c>
      <c r="R5095">
        <v>-0.99609349999999997</v>
      </c>
      <c r="S5095">
        <v>-0.2131653</v>
      </c>
      <c r="T5095">
        <v>-0.12731389999999901</v>
      </c>
      <c r="U5095">
        <v>-2.998383</v>
      </c>
      <c r="V5095">
        <v>6.5174739999999997E-3</v>
      </c>
      <c r="W5095">
        <v>-7.4155689999999996E-2</v>
      </c>
      <c r="X5095">
        <v>0.99722540000000004</v>
      </c>
      <c r="Y5095">
        <v>6.7336380000000001E-2</v>
      </c>
      <c r="Z5095">
        <v>2.870868E-2</v>
      </c>
      <c r="AA5095">
        <v>0.99731720000000001</v>
      </c>
      <c r="AB5095">
        <v>22</v>
      </c>
      <c r="AC5095">
        <v>-1.8763000000000101</v>
      </c>
      <c r="AD5095">
        <v>-1.1210862436459901</v>
      </c>
      <c r="AE5095">
        <v>-26.18824</v>
      </c>
      <c r="AF5095">
        <v>1.78055472878957</v>
      </c>
      <c r="AG5095">
        <v>-1.1210862436459901</v>
      </c>
      <c r="AH5095">
        <v>26.1470309966505</v>
      </c>
      <c r="AI5095">
        <v>92.449457621696695</v>
      </c>
      <c r="AJ5095">
        <v>86.104299115529201</v>
      </c>
      <c r="AK5095">
        <v>26.231554270528999</v>
      </c>
      <c r="AL5095">
        <v>94.2527117213683</v>
      </c>
      <c r="AM5095">
        <v>89.625542593886806</v>
      </c>
      <c r="AN5095">
        <v>1.0000000211159299</v>
      </c>
    </row>
    <row r="5096" spans="1:40" x14ac:dyDescent="0.25">
      <c r="A5096" t="str">
        <f>"20190303154618864"</f>
        <v>20190303154618864</v>
      </c>
      <c r="B5096" t="str">
        <f>"1551599178856675"</f>
        <v>1551599178856675</v>
      </c>
      <c r="C5096" t="s">
        <v>40</v>
      </c>
      <c r="D5096">
        <v>5.2990069999999996</v>
      </c>
      <c r="E5096">
        <v>0.54628339999999997</v>
      </c>
      <c r="F5096" t="s">
        <v>60</v>
      </c>
      <c r="G5096">
        <v>-424.57409999999999</v>
      </c>
      <c r="H5096" s="1">
        <v>-4.9585299999999996E-6</v>
      </c>
      <c r="I5096">
        <v>31.644919999999999</v>
      </c>
      <c r="J5096">
        <v>-421.79320000000001</v>
      </c>
      <c r="K5096">
        <v>1.1210830000000001</v>
      </c>
      <c r="L5096">
        <v>54.83878</v>
      </c>
      <c r="M5096">
        <v>-3.5313060000000001E-3</v>
      </c>
      <c r="N5096">
        <v>-1.3619819999999999E-2</v>
      </c>
      <c r="O5096">
        <v>-0.99990109999999999</v>
      </c>
      <c r="P5096">
        <v>-1.015258E-2</v>
      </c>
      <c r="Q5096">
        <v>-8.7444549999999996E-2</v>
      </c>
      <c r="R5096">
        <v>-0.9961179</v>
      </c>
      <c r="S5096">
        <v>-0.35589599999999999</v>
      </c>
      <c r="T5096">
        <v>-0.14343449999999999</v>
      </c>
      <c r="U5096">
        <v>-2.9955440000000002</v>
      </c>
      <c r="V5096">
        <v>6.6318169999999999E-3</v>
      </c>
      <c r="W5096">
        <v>-7.3869359999999995E-2</v>
      </c>
      <c r="X5096">
        <v>0.99724579999999996</v>
      </c>
      <c r="Y5096">
        <v>0.1143557</v>
      </c>
      <c r="Z5096">
        <v>3.3897959999999998E-2</v>
      </c>
      <c r="AA5096">
        <v>0.99286140000000001</v>
      </c>
      <c r="AB5096">
        <v>22</v>
      </c>
      <c r="AC5096">
        <v>-2.7808999999999702</v>
      </c>
      <c r="AD5096">
        <v>-1.12108795852999</v>
      </c>
      <c r="AE5096">
        <v>-23.193860000000001</v>
      </c>
      <c r="AF5096">
        <v>2.6927684248863701</v>
      </c>
      <c r="AG5096">
        <v>-1.12108795852999</v>
      </c>
      <c r="AH5096">
        <v>23.150216543533102</v>
      </c>
      <c r="AI5096">
        <v>92.753939516159406</v>
      </c>
      <c r="AJ5096">
        <v>83.365329698237701</v>
      </c>
      <c r="AK5096">
        <v>23.333245938216599</v>
      </c>
      <c r="AL5096">
        <v>94.236261512314201</v>
      </c>
      <c r="AM5096">
        <v>89.618981074296698</v>
      </c>
      <c r="AN5096">
        <v>0.99999992448058195</v>
      </c>
    </row>
    <row r="5097" spans="1:40" x14ac:dyDescent="0.25">
      <c r="A5097" t="str">
        <f>"20190303154618883"</f>
        <v>20190303154618883</v>
      </c>
      <c r="B5097" t="str">
        <f>"1551599178876195"</f>
        <v>1551599178876195</v>
      </c>
      <c r="C5097" t="s">
        <v>40</v>
      </c>
      <c r="D5097">
        <v>5.2259449999999896</v>
      </c>
      <c r="E5097">
        <v>0.54925690000000005</v>
      </c>
      <c r="F5097" t="s">
        <v>60</v>
      </c>
      <c r="G5097">
        <v>-424.72829999999999</v>
      </c>
      <c r="H5097" s="1">
        <v>-4.4368259999999999E-6</v>
      </c>
      <c r="I5097">
        <v>32.899359999999902</v>
      </c>
      <c r="J5097">
        <v>-421.79379999999998</v>
      </c>
      <c r="K5097">
        <v>1.1210819999999999</v>
      </c>
      <c r="L5097">
        <v>54.664000000000001</v>
      </c>
      <c r="M5097">
        <v>-3.5312999999999998E-3</v>
      </c>
      <c r="N5097">
        <v>-1.361795E-2</v>
      </c>
      <c r="O5097">
        <v>-0.99990109999999999</v>
      </c>
      <c r="P5097">
        <v>-1.0211E-2</v>
      </c>
      <c r="Q5097">
        <v>-8.724672E-2</v>
      </c>
      <c r="R5097">
        <v>-0.99613450000000003</v>
      </c>
      <c r="S5097">
        <v>-0.40057369999999998</v>
      </c>
      <c r="T5097">
        <v>-0.15299989999999999</v>
      </c>
      <c r="U5097">
        <v>-2.9941710000000001</v>
      </c>
      <c r="V5097">
        <v>6.6901919999999898E-3</v>
      </c>
      <c r="W5097">
        <v>-7.3673160000000001E-2</v>
      </c>
      <c r="X5097">
        <v>0.99726000000000004</v>
      </c>
      <c r="Y5097">
        <v>0.12895490000000001</v>
      </c>
      <c r="Z5097">
        <v>3.6992520000000001E-2</v>
      </c>
      <c r="AA5097">
        <v>0.99096019999999896</v>
      </c>
      <c r="AB5097">
        <v>22</v>
      </c>
      <c r="AC5097">
        <v>-2.9345000000000101</v>
      </c>
      <c r="AD5097">
        <v>-1.1210864368259901</v>
      </c>
      <c r="AE5097">
        <v>-21.76464</v>
      </c>
      <c r="AF5097">
        <v>2.8501899065718002</v>
      </c>
      <c r="AG5097">
        <v>-1.1210864368259901</v>
      </c>
      <c r="AH5097">
        <v>21.7182730404536</v>
      </c>
      <c r="AI5097">
        <v>92.929878969062798</v>
      </c>
      <c r="AJ5097">
        <v>82.523534432581897</v>
      </c>
      <c r="AK5097">
        <v>21.9331666925242</v>
      </c>
      <c r="AL5097">
        <v>94.224989043737807</v>
      </c>
      <c r="AM5097">
        <v>89.615632818465102</v>
      </c>
      <c r="AN5097">
        <v>1.00000000038669</v>
      </c>
    </row>
    <row r="5098" spans="1:40" x14ac:dyDescent="0.25">
      <c r="A5098" t="str">
        <f>"20190303154618902"</f>
        <v>20190303154618902</v>
      </c>
      <c r="B5098" t="str">
        <f>"1551599178896690"</f>
        <v>1551599178896690</v>
      </c>
      <c r="C5098" t="s">
        <v>40</v>
      </c>
      <c r="D5098">
        <v>5.2353529999999999</v>
      </c>
      <c r="E5098">
        <v>0.55113230000000002</v>
      </c>
      <c r="F5098" t="s">
        <v>60</v>
      </c>
      <c r="G5098">
        <v>-424.6986</v>
      </c>
      <c r="H5098" s="1">
        <v>-3.9895690000000001E-6</v>
      </c>
      <c r="I5098">
        <v>34.175849999999997</v>
      </c>
      <c r="J5098">
        <v>-421.7944</v>
      </c>
      <c r="K5098">
        <v>1.1210739999999999</v>
      </c>
      <c r="L5098">
        <v>54.473820000000003</v>
      </c>
      <c r="M5098">
        <v>-3.5312920000000001E-3</v>
      </c>
      <c r="N5098">
        <v>-1.361589E-2</v>
      </c>
      <c r="O5098">
        <v>-0.99990109999999999</v>
      </c>
      <c r="P5098">
        <v>-1.045536E-2</v>
      </c>
      <c r="Q5098">
        <v>-8.7252730000000001E-2</v>
      </c>
      <c r="R5098">
        <v>-0.99613119999999999</v>
      </c>
      <c r="S5098">
        <v>-0.42434690000000003</v>
      </c>
      <c r="T5098">
        <v>-0.16377059999999999</v>
      </c>
      <c r="U5098">
        <v>-2.99295</v>
      </c>
      <c r="V5098">
        <v>6.9345650000000002E-3</v>
      </c>
      <c r="W5098">
        <v>-7.3681280000000002E-2</v>
      </c>
      <c r="X5098">
        <v>0.99725770000000002</v>
      </c>
      <c r="Y5098">
        <v>0.13670270000000001</v>
      </c>
      <c r="Z5098">
        <v>4.0512970000000002E-2</v>
      </c>
      <c r="AA5098">
        <v>0.98978330000000003</v>
      </c>
      <c r="AB5098">
        <v>22</v>
      </c>
      <c r="AC5098">
        <v>-2.9041999999999999</v>
      </c>
      <c r="AD5098">
        <v>-1.121077989569</v>
      </c>
      <c r="AE5098">
        <v>-20.297969999999999</v>
      </c>
      <c r="AF5098">
        <v>2.8240553145429401</v>
      </c>
      <c r="AG5098">
        <v>-1.121077989569</v>
      </c>
      <c r="AH5098">
        <v>20.2475744168616</v>
      </c>
      <c r="AI5098">
        <v>93.138823911555306</v>
      </c>
      <c r="AJ5098">
        <v>82.059824733281005</v>
      </c>
      <c r="AK5098">
        <v>20.474285678495399</v>
      </c>
      <c r="AL5098">
        <v>94.225455683226201</v>
      </c>
      <c r="AM5098">
        <v>89.601592543683296</v>
      </c>
      <c r="AN5098">
        <v>0.99999996971173299</v>
      </c>
    </row>
    <row r="5099" spans="1:40" x14ac:dyDescent="0.25">
      <c r="A5099" t="str">
        <f>"20190303154618927"</f>
        <v>20190303154618927</v>
      </c>
      <c r="B5099" t="str">
        <f>"1551599178916210"</f>
        <v>1551599178916210</v>
      </c>
      <c r="C5099" t="s">
        <v>40</v>
      </c>
      <c r="D5099">
        <v>5.2111530000000004</v>
      </c>
      <c r="E5099">
        <v>0.55261859999999996</v>
      </c>
      <c r="F5099" t="s">
        <v>60</v>
      </c>
      <c r="G5099">
        <v>-424.67660000000001</v>
      </c>
      <c r="H5099" s="1">
        <v>-3.664094E-6</v>
      </c>
      <c r="I5099">
        <v>34.882989999999999</v>
      </c>
      <c r="J5099">
        <v>-421.7953</v>
      </c>
      <c r="K5099">
        <v>1.1210739999999999</v>
      </c>
      <c r="L5099">
        <v>54.229190000000003</v>
      </c>
      <c r="M5099">
        <v>-3.5312809999999998E-3</v>
      </c>
      <c r="N5099">
        <v>-1.361326E-2</v>
      </c>
      <c r="O5099">
        <v>-0.99990129999999999</v>
      </c>
      <c r="P5099">
        <v>-1.0249690000000001E-2</v>
      </c>
      <c r="Q5099">
        <v>-8.6787069999999994E-2</v>
      </c>
      <c r="R5099">
        <v>-0.99617429999999996</v>
      </c>
      <c r="S5099">
        <v>-0.44018550000000001</v>
      </c>
      <c r="T5099">
        <v>-0.17121800000000001</v>
      </c>
      <c r="U5099">
        <v>-2.992035</v>
      </c>
      <c r="V5099">
        <v>6.7287769999999896E-3</v>
      </c>
      <c r="W5099">
        <v>-7.3217710000000005E-2</v>
      </c>
      <c r="X5099">
        <v>0.99729330000000005</v>
      </c>
      <c r="Y5099">
        <v>0.1418558</v>
      </c>
      <c r="Z5099">
        <v>4.2945530000000003E-2</v>
      </c>
      <c r="AA5099">
        <v>0.98895529999999998</v>
      </c>
      <c r="AB5099">
        <v>22</v>
      </c>
      <c r="AC5099">
        <v>-2.8813</v>
      </c>
      <c r="AD5099">
        <v>-1.1210776640939999</v>
      </c>
      <c r="AE5099">
        <v>-19.3462</v>
      </c>
      <c r="AF5099">
        <v>2.80374817725742</v>
      </c>
      <c r="AG5099">
        <v>-1.1210776640939999</v>
      </c>
      <c r="AH5099">
        <v>19.292875430834499</v>
      </c>
      <c r="AI5099">
        <v>93.291130221159904</v>
      </c>
      <c r="AJ5099">
        <v>81.731343779547004</v>
      </c>
      <c r="AK5099">
        <v>19.52774593649</v>
      </c>
      <c r="AL5099">
        <v>94.198822938984506</v>
      </c>
      <c r="AM5099">
        <v>89.613428994825099</v>
      </c>
      <c r="AN5099">
        <v>1.0000000178612201</v>
      </c>
    </row>
    <row r="5100" spans="1:40" x14ac:dyDescent="0.25">
      <c r="A5100" t="str">
        <f>"20190303154618947"</f>
        <v>20190303154618947</v>
      </c>
      <c r="B5100" t="str">
        <f>"1551599178936707"</f>
        <v>1551599178936707</v>
      </c>
      <c r="C5100" t="s">
        <v>40</v>
      </c>
      <c r="D5100">
        <v>5.1998629999999997</v>
      </c>
      <c r="E5100">
        <v>0.55370280000000005</v>
      </c>
      <c r="F5100" t="s">
        <v>60</v>
      </c>
      <c r="G5100">
        <v>-424.7543</v>
      </c>
      <c r="H5100" s="1">
        <v>-3.8382199999999997E-6</v>
      </c>
      <c r="I5100">
        <v>34.626080000000002</v>
      </c>
      <c r="J5100">
        <v>-421.79590000000002</v>
      </c>
      <c r="K5100">
        <v>1.1210709999999999</v>
      </c>
      <c r="L5100">
        <v>54.042999999999999</v>
      </c>
      <c r="M5100">
        <v>-3.5312519999999999E-3</v>
      </c>
      <c r="N5100">
        <v>-1.361132E-2</v>
      </c>
      <c r="O5100">
        <v>-0.99990129999999999</v>
      </c>
      <c r="P5100">
        <v>-1.049781E-2</v>
      </c>
      <c r="Q5100">
        <v>-8.6930770000000004E-2</v>
      </c>
      <c r="R5100">
        <v>-0.99615929999999997</v>
      </c>
      <c r="S5100">
        <v>-0.45162960000000002</v>
      </c>
      <c r="T5100">
        <v>-0.17110729999999999</v>
      </c>
      <c r="U5100">
        <v>-2.9919739999999999</v>
      </c>
      <c r="V5100">
        <v>6.9769740000000004E-3</v>
      </c>
      <c r="W5100">
        <v>-7.3363510000000007E-2</v>
      </c>
      <c r="X5100">
        <v>0.99728079999999997</v>
      </c>
      <c r="Y5100">
        <v>0.14555689999999999</v>
      </c>
      <c r="Z5100">
        <v>4.288115E-2</v>
      </c>
      <c r="AA5100">
        <v>0.98842010000000002</v>
      </c>
      <c r="AB5100">
        <v>22</v>
      </c>
      <c r="AC5100">
        <v>-2.9583999999999802</v>
      </c>
      <c r="AD5100">
        <v>-1.12107483822</v>
      </c>
      <c r="AE5100">
        <v>-19.416920000000001</v>
      </c>
      <c r="AF5100">
        <v>2.8804249452843398</v>
      </c>
      <c r="AG5100">
        <v>-1.12107483822</v>
      </c>
      <c r="AH5100">
        <v>19.364159626584101</v>
      </c>
      <c r="AI5100">
        <v>93.277420660968303</v>
      </c>
      <c r="AJ5100">
        <v>81.539272991745506</v>
      </c>
      <c r="AK5100">
        <v>19.609292049998501</v>
      </c>
      <c r="AL5100">
        <v>94.207199525241506</v>
      </c>
      <c r="AM5100">
        <v>89.599165408218497</v>
      </c>
      <c r="AN5100">
        <v>0.99999993840717605</v>
      </c>
    </row>
    <row r="5101" spans="1:40" x14ac:dyDescent="0.25">
      <c r="A5101" t="str">
        <f>"20190303154618971"</f>
        <v>20190303154618971</v>
      </c>
      <c r="B5101" t="str">
        <f>"1551599178965987"</f>
        <v>1551599178965987</v>
      </c>
      <c r="C5101" t="s">
        <v>40</v>
      </c>
      <c r="D5101">
        <v>5.2148629999999896</v>
      </c>
      <c r="E5101">
        <v>0.554867</v>
      </c>
      <c r="F5101" t="s">
        <v>60</v>
      </c>
      <c r="G5101">
        <v>-424.75959999999998</v>
      </c>
      <c r="H5101" s="1">
        <v>-3.7178600000000002E-6</v>
      </c>
      <c r="I5101">
        <v>34.816580000000002</v>
      </c>
      <c r="J5101">
        <v>-421.79669999999999</v>
      </c>
      <c r="K5101">
        <v>1.1210719999999901</v>
      </c>
      <c r="L5101">
        <v>53.809840000000001</v>
      </c>
      <c r="M5101">
        <v>-3.5312049999999999E-3</v>
      </c>
      <c r="N5101">
        <v>-1.360886E-2</v>
      </c>
      <c r="O5101">
        <v>-0.99990129999999999</v>
      </c>
      <c r="P5101">
        <v>-1.0784709999999999E-2</v>
      </c>
      <c r="Q5101">
        <v>-8.7928179999999995E-2</v>
      </c>
      <c r="R5101">
        <v>-0.99606850000000002</v>
      </c>
      <c r="S5101">
        <v>-0.46112059999999999</v>
      </c>
      <c r="T5101">
        <v>-0.17443069999999999</v>
      </c>
      <c r="U5101">
        <v>-2.9914860000000001</v>
      </c>
      <c r="V5101">
        <v>7.2641999999999898E-3</v>
      </c>
      <c r="W5101">
        <v>-7.4364520000000003E-2</v>
      </c>
      <c r="X5101">
        <v>0.99720469999999894</v>
      </c>
      <c r="Y5101">
        <v>0.14863489999999999</v>
      </c>
      <c r="Z5101">
        <v>4.3960039999999999E-2</v>
      </c>
      <c r="AA5101">
        <v>0.98791459999999998</v>
      </c>
      <c r="AB5101">
        <v>21</v>
      </c>
      <c r="AC5101">
        <v>-2.9628999999999901</v>
      </c>
      <c r="AD5101">
        <v>-1.1210757178599999</v>
      </c>
      <c r="AE5101">
        <v>-18.993259999999999</v>
      </c>
      <c r="AF5101">
        <v>2.8859904730635102</v>
      </c>
      <c r="AG5101">
        <v>-1.1210757178599999</v>
      </c>
      <c r="AH5101">
        <v>18.939189668031201</v>
      </c>
      <c r="AI5101">
        <v>93.349011427346397</v>
      </c>
      <c r="AJ5101">
        <v>81.335809236759502</v>
      </c>
      <c r="AK5101">
        <v>19.190587720480298</v>
      </c>
      <c r="AL5101">
        <v>94.264709880139307</v>
      </c>
      <c r="AM5101">
        <v>89.582632693399702</v>
      </c>
      <c r="AN5101">
        <v>1.0000000320692699</v>
      </c>
    </row>
    <row r="5102" spans="1:40" x14ac:dyDescent="0.25">
      <c r="A5102" t="str">
        <f>"20190303154618992"</f>
        <v>20190303154618992</v>
      </c>
      <c r="B5102" t="str">
        <f>"1551599178986206"</f>
        <v>1551599178986206</v>
      </c>
      <c r="C5102" t="s">
        <v>40</v>
      </c>
      <c r="D5102">
        <v>5.1921169999999996</v>
      </c>
      <c r="E5102">
        <v>0.55546439999999997</v>
      </c>
      <c r="F5102" t="s">
        <v>60</v>
      </c>
      <c r="G5102">
        <v>-424.73599999999999</v>
      </c>
      <c r="H5102" s="1">
        <v>-3.50396E-6</v>
      </c>
      <c r="I5102">
        <v>35.147939999999998</v>
      </c>
      <c r="J5102">
        <v>-421.79739999999998</v>
      </c>
      <c r="K5102">
        <v>1.1210709999999999</v>
      </c>
      <c r="L5102">
        <v>53.617159999999998</v>
      </c>
      <c r="M5102">
        <v>-3.531171E-3</v>
      </c>
      <c r="N5102">
        <v>-1.3606790000000001E-2</v>
      </c>
      <c r="O5102">
        <v>-0.99990129999999999</v>
      </c>
      <c r="P5102">
        <v>-1.1384460000000001E-2</v>
      </c>
      <c r="Q5102">
        <v>-8.8171009999999994E-2</v>
      </c>
      <c r="R5102">
        <v>-0.99604029999999999</v>
      </c>
      <c r="S5102">
        <v>-0.47106930000000002</v>
      </c>
      <c r="T5102">
        <v>-0.17967069999999999</v>
      </c>
      <c r="U5102">
        <v>-2.990875</v>
      </c>
      <c r="V5102">
        <v>7.8640689999999996E-3</v>
      </c>
      <c r="W5102">
        <v>-7.4609770000000006E-2</v>
      </c>
      <c r="X5102">
        <v>0.99718180000000001</v>
      </c>
      <c r="Y5102">
        <v>0.15185750000000001</v>
      </c>
      <c r="Z5102">
        <v>4.5668420000000001E-2</v>
      </c>
      <c r="AA5102">
        <v>0.98734679999999997</v>
      </c>
      <c r="AB5102">
        <v>21</v>
      </c>
      <c r="AC5102">
        <v>-2.9386000000000001</v>
      </c>
      <c r="AD5102">
        <v>-1.1210745039600001</v>
      </c>
      <c r="AE5102">
        <v>-18.46922</v>
      </c>
      <c r="AF5102">
        <v>2.8630693083773902</v>
      </c>
      <c r="AG5102">
        <v>-1.1210745039600001</v>
      </c>
      <c r="AH5102">
        <v>18.4133147398212</v>
      </c>
      <c r="AI5102">
        <v>93.442821602723399</v>
      </c>
      <c r="AJ5102">
        <v>81.161904443853103</v>
      </c>
      <c r="AK5102">
        <v>18.668265415290101</v>
      </c>
      <c r="AL5102">
        <v>94.278800944363496</v>
      </c>
      <c r="AM5102">
        <v>89.5481579960434</v>
      </c>
      <c r="AN5102">
        <v>1.00000000180596</v>
      </c>
    </row>
    <row r="5103" spans="1:40" x14ac:dyDescent="0.25">
      <c r="A5103" t="str">
        <f>"20190303154619018"</f>
        <v>20190303154619018</v>
      </c>
      <c r="B5103" t="str">
        <f>"1551599179006702"</f>
        <v>1551599179006702</v>
      </c>
      <c r="C5103" t="s">
        <v>40</v>
      </c>
      <c r="D5103">
        <v>5.2172939999999999</v>
      </c>
      <c r="E5103">
        <v>0.55588970000000004</v>
      </c>
      <c r="F5103" t="s">
        <v>60</v>
      </c>
      <c r="G5103">
        <v>-424.76389999999998</v>
      </c>
      <c r="H5103" s="1">
        <v>-3.5820549999999998E-6</v>
      </c>
      <c r="I5103">
        <v>35.031199999999998</v>
      </c>
      <c r="J5103">
        <v>-421.79829999999998</v>
      </c>
      <c r="K5103">
        <v>1.121076</v>
      </c>
      <c r="L5103">
        <v>53.368130000000001</v>
      </c>
      <c r="M5103">
        <v>-3.5311320000000002E-3</v>
      </c>
      <c r="N5103">
        <v>-1.3604110000000001E-2</v>
      </c>
      <c r="O5103">
        <v>-0.9999015</v>
      </c>
      <c r="P5103">
        <v>-1.135395E-2</v>
      </c>
      <c r="Q5103">
        <v>-8.8158280000000006E-2</v>
      </c>
      <c r="R5103">
        <v>-0.99604199999999998</v>
      </c>
      <c r="S5103">
        <v>-0.47732540000000001</v>
      </c>
      <c r="T5103">
        <v>-0.1803826</v>
      </c>
      <c r="U5103">
        <v>-2.9905089999999999</v>
      </c>
      <c r="V5103">
        <v>7.8335990000000001E-3</v>
      </c>
      <c r="W5103">
        <v>-7.4599699999999894E-2</v>
      </c>
      <c r="X5103">
        <v>0.99718280000000004</v>
      </c>
      <c r="Y5103">
        <v>0.15388779999999999</v>
      </c>
      <c r="Z5103">
        <v>4.5893389999999999E-2</v>
      </c>
      <c r="AA5103">
        <v>0.98702199999999995</v>
      </c>
      <c r="AB5103">
        <v>21</v>
      </c>
      <c r="AC5103">
        <v>-2.96559999999999</v>
      </c>
      <c r="AD5103">
        <v>-1.1210795820549999</v>
      </c>
      <c r="AE5103">
        <v>-18.336929999999999</v>
      </c>
      <c r="AF5103">
        <v>2.8902973429162202</v>
      </c>
      <c r="AG5103">
        <v>-1.1210795820549999</v>
      </c>
      <c r="AH5103">
        <v>18.280700076868101</v>
      </c>
      <c r="AI5103">
        <v>93.466366624827003</v>
      </c>
      <c r="AJ5103">
        <v>81.0155362673882</v>
      </c>
      <c r="AK5103">
        <v>18.541699853577999</v>
      </c>
      <c r="AL5103">
        <v>94.2782223344973</v>
      </c>
      <c r="AM5103">
        <v>89.5499090752581</v>
      </c>
      <c r="AN5103">
        <v>1.0000000085646099</v>
      </c>
    </row>
    <row r="5104" spans="1:40" x14ac:dyDescent="0.25">
      <c r="A5104" t="str">
        <f>"20190303154619042"</f>
        <v>20190303154619042</v>
      </c>
      <c r="B5104" t="str">
        <f>"1551599179035983"</f>
        <v>1551599179035983</v>
      </c>
      <c r="C5104" t="s">
        <v>40</v>
      </c>
      <c r="D5104">
        <v>5.1987819999999996</v>
      </c>
      <c r="E5104">
        <v>0.55674119999999905</v>
      </c>
      <c r="F5104" t="s">
        <v>60</v>
      </c>
      <c r="G5104">
        <v>-424.78339999999997</v>
      </c>
      <c r="H5104" s="1">
        <v>-3.736887E-6</v>
      </c>
      <c r="I5104">
        <v>34.791870000000003</v>
      </c>
      <c r="J5104">
        <v>-421.79910000000001</v>
      </c>
      <c r="K5104">
        <v>1.1210880000000001</v>
      </c>
      <c r="L5104">
        <v>53.131900000000002</v>
      </c>
      <c r="M5104">
        <v>-3.5310810000000002E-3</v>
      </c>
      <c r="N5104">
        <v>-1.360126E-2</v>
      </c>
      <c r="O5104">
        <v>-0.9999015</v>
      </c>
      <c r="P5104">
        <v>-1.149419E-2</v>
      </c>
      <c r="Q5104">
        <v>-8.7126670000000003E-2</v>
      </c>
      <c r="R5104">
        <v>-0.99613130000000005</v>
      </c>
      <c r="S5104">
        <v>-0.4805603</v>
      </c>
      <c r="T5104">
        <v>-0.18047569999999999</v>
      </c>
      <c r="U5104">
        <v>-2.9904790000000001</v>
      </c>
      <c r="V5104">
        <v>7.9736119999999997E-3</v>
      </c>
      <c r="W5104">
        <v>-7.3569800000000005E-2</v>
      </c>
      <c r="X5104">
        <v>0.99725819999999998</v>
      </c>
      <c r="Y5104">
        <v>0.1549296</v>
      </c>
      <c r="Z5104">
        <v>4.591754E-2</v>
      </c>
      <c r="AA5104">
        <v>0.98685780000000001</v>
      </c>
      <c r="AB5104">
        <v>21</v>
      </c>
      <c r="AC5104">
        <v>-2.9842999999999602</v>
      </c>
      <c r="AD5104">
        <v>-1.1210917368869999</v>
      </c>
      <c r="AE5104">
        <v>-18.340029999999999</v>
      </c>
      <c r="AF5104">
        <v>2.9089260330360398</v>
      </c>
      <c r="AG5104">
        <v>-1.1210917368869999</v>
      </c>
      <c r="AH5104">
        <v>18.283896255812799</v>
      </c>
      <c r="AI5104">
        <v>93.465269485147502</v>
      </c>
      <c r="AJ5104">
        <v>80.960137125477999</v>
      </c>
      <c r="AK5104">
        <v>18.547764276093101</v>
      </c>
      <c r="AL5104">
        <v>94.219050814682305</v>
      </c>
      <c r="AM5104">
        <v>89.5418993996729</v>
      </c>
      <c r="AN5104">
        <v>1.0000000057138001</v>
      </c>
    </row>
    <row r="5105" spans="1:40" x14ac:dyDescent="0.25">
      <c r="A5105" t="str">
        <f>"20190303154619064"</f>
        <v>20190303154619064</v>
      </c>
      <c r="B5105" t="str">
        <f>"1551599179056479"</f>
        <v>1551599179056479</v>
      </c>
      <c r="C5105" t="s">
        <v>40</v>
      </c>
      <c r="D5105">
        <v>5.2373710000000004</v>
      </c>
      <c r="E5105">
        <v>0.55704629999999999</v>
      </c>
      <c r="F5105" t="s">
        <v>60</v>
      </c>
      <c r="G5105">
        <v>-425.15179999999998</v>
      </c>
      <c r="H5105" s="1">
        <v>-4.6036030000000001E-6</v>
      </c>
      <c r="I5105">
        <v>32.588790000000003</v>
      </c>
      <c r="J5105">
        <v>-421.79989999999998</v>
      </c>
      <c r="K5105">
        <v>1.121092</v>
      </c>
      <c r="L5105">
        <v>52.925379999999997</v>
      </c>
      <c r="M5105">
        <v>-3.531041E-3</v>
      </c>
      <c r="N5105">
        <v>-1.359106E-2</v>
      </c>
      <c r="O5105">
        <v>-0.9999015</v>
      </c>
      <c r="P5105">
        <v>-1.09765E-2</v>
      </c>
      <c r="Q5105">
        <v>-8.6536160000000001E-2</v>
      </c>
      <c r="R5105">
        <v>-0.99618839999999997</v>
      </c>
      <c r="S5105">
        <v>-0.48825069999999998</v>
      </c>
      <c r="T5105">
        <v>-0.16326679999999999</v>
      </c>
      <c r="U5105">
        <v>-2.99173</v>
      </c>
      <c r="V5105">
        <v>7.4557900000000003E-3</v>
      </c>
      <c r="W5105">
        <v>-7.298876E-2</v>
      </c>
      <c r="X5105">
        <v>0.99730490000000005</v>
      </c>
      <c r="Y5105">
        <v>0.15738089999999999</v>
      </c>
      <c r="Z5105">
        <v>4.0224629999999997E-2</v>
      </c>
      <c r="AA5105">
        <v>0.9867184</v>
      </c>
      <c r="AB5105">
        <v>21</v>
      </c>
      <c r="AC5105">
        <v>-3.3519000000000001</v>
      </c>
      <c r="AD5105">
        <v>-1.1210966036029999</v>
      </c>
      <c r="AE5105">
        <v>-20.336590000000001</v>
      </c>
      <c r="AF5105">
        <v>3.2703873078607901</v>
      </c>
      <c r="AG5105">
        <v>-1.1210966036029999</v>
      </c>
      <c r="AH5105">
        <v>20.2882746913555</v>
      </c>
      <c r="AI5105">
        <v>93.122625804218202</v>
      </c>
      <c r="AJ5105">
        <v>80.842924199320606</v>
      </c>
      <c r="AK5105">
        <v>20.580728380937401</v>
      </c>
      <c r="AL5105">
        <v>94.185669928743906</v>
      </c>
      <c r="AM5105">
        <v>89.571668261341401</v>
      </c>
      <c r="AN5105">
        <v>1.0000000057274301</v>
      </c>
    </row>
    <row r="5106" spans="1:40" x14ac:dyDescent="0.25">
      <c r="A5106" t="str">
        <f>"20190303154619082"</f>
        <v>20190303154619082</v>
      </c>
      <c r="B5106" t="str">
        <f>"1551599179076504"</f>
        <v>1551599179076504</v>
      </c>
      <c r="C5106" t="s">
        <v>40</v>
      </c>
      <c r="D5106">
        <v>5.2065970000000004</v>
      </c>
      <c r="E5106">
        <v>0.55732329999999997</v>
      </c>
      <c r="F5106" t="s">
        <v>60</v>
      </c>
      <c r="G5106">
        <v>-425.17340000000002</v>
      </c>
      <c r="H5106" s="1">
        <v>-4.71255999999999E-6</v>
      </c>
      <c r="I5106">
        <v>32.283589999999997</v>
      </c>
      <c r="J5106">
        <v>-421.80040000000002</v>
      </c>
      <c r="K5106">
        <v>1.121081</v>
      </c>
      <c r="L5106">
        <v>52.756619999999998</v>
      </c>
      <c r="M5106">
        <v>-3.5310010000000002E-3</v>
      </c>
      <c r="N5106">
        <v>-1.3577530000000001E-2</v>
      </c>
      <c r="O5106">
        <v>-0.99990179999999995</v>
      </c>
      <c r="P5106">
        <v>-1.049138E-2</v>
      </c>
      <c r="Q5106">
        <v>-8.6045650000000001E-2</v>
      </c>
      <c r="R5106">
        <v>-0.99623620000000002</v>
      </c>
      <c r="S5106">
        <v>-0.48898320000000001</v>
      </c>
      <c r="T5106">
        <v>-0.16250000000000001</v>
      </c>
      <c r="U5106">
        <v>-2.9919739999999999</v>
      </c>
      <c r="V5106">
        <v>6.970558E-3</v>
      </c>
      <c r="W5106">
        <v>-7.2511140000000002E-2</v>
      </c>
      <c r="X5106">
        <v>0.99734319999999999</v>
      </c>
      <c r="Y5106">
        <v>0.157605299999999</v>
      </c>
      <c r="Z5106">
        <v>3.9979769999999998E-2</v>
      </c>
      <c r="AA5106">
        <v>0.98669249999999997</v>
      </c>
      <c r="AB5106">
        <v>21</v>
      </c>
      <c r="AC5106">
        <v>-3.37299999999999</v>
      </c>
      <c r="AD5106">
        <v>-1.12108571256</v>
      </c>
      <c r="AE5106">
        <v>-20.473029999999898</v>
      </c>
      <c r="AF5106">
        <v>3.2910743205409401</v>
      </c>
      <c r="AG5106">
        <v>-1.12108571256</v>
      </c>
      <c r="AH5106">
        <v>20.425185787787601</v>
      </c>
      <c r="AI5106">
        <v>93.101738527546502</v>
      </c>
      <c r="AJ5106">
        <v>80.846704143347196</v>
      </c>
      <c r="AK5106">
        <v>20.718982065339802</v>
      </c>
      <c r="AL5106">
        <v>94.158231818402498</v>
      </c>
      <c r="AM5106">
        <v>89.599559057075993</v>
      </c>
      <c r="AN5106">
        <v>0.99999995634458405</v>
      </c>
    </row>
    <row r="5107" spans="1:40" x14ac:dyDescent="0.25">
      <c r="A5107" t="str">
        <f>"20190303154619103"</f>
        <v>20190303154619103</v>
      </c>
      <c r="B5107" t="str">
        <f>"1551599179096024"</f>
        <v>1551599179096024</v>
      </c>
      <c r="C5107" t="s">
        <v>40</v>
      </c>
      <c r="D5107">
        <v>5.2736780000000003</v>
      </c>
      <c r="E5107">
        <v>0.55757309999999904</v>
      </c>
      <c r="F5107" t="s">
        <v>60</v>
      </c>
      <c r="G5107">
        <v>-425.20780000000002</v>
      </c>
      <c r="H5107" s="1">
        <v>-4.8407150000000003E-6</v>
      </c>
      <c r="I5107">
        <v>31.948329999999999</v>
      </c>
      <c r="J5107">
        <v>-421.80119999999999</v>
      </c>
      <c r="K5107">
        <v>1.1210690000000001</v>
      </c>
      <c r="L5107">
        <v>52.550139999999999</v>
      </c>
      <c r="M5107">
        <v>-3.530938E-3</v>
      </c>
      <c r="N5107">
        <v>-1.3536930000000001E-2</v>
      </c>
      <c r="O5107">
        <v>-0.99990219999999996</v>
      </c>
      <c r="P5107">
        <v>-9.9662659999999997E-3</v>
      </c>
      <c r="Q5107">
        <v>-8.6548570000000005E-2</v>
      </c>
      <c r="R5107">
        <v>-0.99619780000000002</v>
      </c>
      <c r="S5107">
        <v>-0.48999019999999999</v>
      </c>
      <c r="T5107">
        <v>-0.161213</v>
      </c>
      <c r="U5107">
        <v>-2.9922490000000002</v>
      </c>
      <c r="V5107">
        <v>6.4456289999999996E-3</v>
      </c>
      <c r="W5107">
        <v>-7.3055049999999996E-2</v>
      </c>
      <c r="X5107">
        <v>0.9973071</v>
      </c>
      <c r="Y5107">
        <v>0.15791749999999999</v>
      </c>
      <c r="Z5107">
        <v>3.9589699999999999E-2</v>
      </c>
      <c r="AA5107">
        <v>0.98665840000000005</v>
      </c>
      <c r="AB5107">
        <v>21</v>
      </c>
      <c r="AC5107">
        <v>-3.4066000000000201</v>
      </c>
      <c r="AD5107">
        <v>-1.121073840715</v>
      </c>
      <c r="AE5107">
        <v>-20.60181</v>
      </c>
      <c r="AF5107">
        <v>3.3242468326908998</v>
      </c>
      <c r="AG5107">
        <v>-1.121073840715</v>
      </c>
      <c r="AH5107">
        <v>20.554466538198199</v>
      </c>
      <c r="AI5107">
        <v>93.081944191076403</v>
      </c>
      <c r="AJ5107">
        <v>80.8131751804614</v>
      </c>
      <c r="AK5107">
        <v>20.8517030055318</v>
      </c>
      <c r="AL5107">
        <v>94.189478176764794</v>
      </c>
      <c r="AM5107">
        <v>89.629700624763998</v>
      </c>
      <c r="AN5107">
        <v>1.0000000190870499</v>
      </c>
    </row>
    <row r="5108" spans="1:40" x14ac:dyDescent="0.25">
      <c r="A5108" t="str">
        <f>"20190303154619125"</f>
        <v>20190303154619125</v>
      </c>
      <c r="B5108" t="str">
        <f>"1551599179116520"</f>
        <v>1551599179116520</v>
      </c>
      <c r="C5108" t="s">
        <v>40</v>
      </c>
      <c r="D5108">
        <v>5.2597990000000001</v>
      </c>
      <c r="E5108">
        <v>0.55781289999999994</v>
      </c>
      <c r="F5108" t="s">
        <v>60</v>
      </c>
      <c r="G5108">
        <v>-425.15260000000001</v>
      </c>
      <c r="H5108" s="1">
        <v>-4.7787560000000004E-6</v>
      </c>
      <c r="I5108">
        <v>32.084569999999999</v>
      </c>
      <c r="J5108">
        <v>-421.80189999999999</v>
      </c>
      <c r="K5108">
        <v>1.1210500000000001</v>
      </c>
      <c r="L5108">
        <v>52.339449999999999</v>
      </c>
      <c r="M5108">
        <v>-3.5309489999999998E-3</v>
      </c>
      <c r="N5108">
        <v>-1.346583E-2</v>
      </c>
      <c r="O5108">
        <v>-0.99990319999999999</v>
      </c>
      <c r="P5108">
        <v>-9.7748899999999996E-3</v>
      </c>
      <c r="Q5108">
        <v>-8.7243459999999995E-2</v>
      </c>
      <c r="R5108">
        <v>-0.99613940000000001</v>
      </c>
      <c r="S5108">
        <v>-0.49002079999999998</v>
      </c>
      <c r="T5108">
        <v>-0.16391430000000001</v>
      </c>
      <c r="U5108">
        <v>-2.9923099999999998</v>
      </c>
      <c r="V5108">
        <v>6.2544300000000001E-3</v>
      </c>
      <c r="W5108">
        <v>-7.3821559999999994E-2</v>
      </c>
      <c r="X5108">
        <v>0.99725189999999997</v>
      </c>
      <c r="Y5108">
        <v>0.15791740000000001</v>
      </c>
      <c r="Z5108">
        <v>4.0547439999999997E-2</v>
      </c>
      <c r="AA5108">
        <v>0.98661949999999998</v>
      </c>
      <c r="AB5108">
        <v>21</v>
      </c>
      <c r="AC5108">
        <v>-3.35070000000001</v>
      </c>
      <c r="AD5108">
        <v>-1.1210547787559999</v>
      </c>
      <c r="AE5108">
        <v>-20.25488</v>
      </c>
      <c r="AF5108">
        <v>3.2694051809622602</v>
      </c>
      <c r="AG5108">
        <v>-1.1210547787559999</v>
      </c>
      <c r="AH5108">
        <v>20.206335984458399</v>
      </c>
      <c r="AI5108">
        <v>93.134848459327898</v>
      </c>
      <c r="AJ5108">
        <v>80.809137981352393</v>
      </c>
      <c r="AK5108">
        <v>20.4997997056335</v>
      </c>
      <c r="AL5108">
        <v>94.233514758975303</v>
      </c>
      <c r="AM5108">
        <v>89.6406647669276</v>
      </c>
      <c r="AN5108">
        <v>1.00000004633453</v>
      </c>
    </row>
    <row r="5109" spans="1:40" x14ac:dyDescent="0.25">
      <c r="A5109" t="str">
        <f>"20190303154619147"</f>
        <v>20190303154619147</v>
      </c>
      <c r="B5109" t="str">
        <f>"1551599179137016"</f>
        <v>1551599179137016</v>
      </c>
      <c r="C5109" t="s">
        <v>40</v>
      </c>
      <c r="D5109">
        <v>5.252605</v>
      </c>
      <c r="E5109">
        <v>0.55805459999999996</v>
      </c>
      <c r="F5109" t="s">
        <v>60</v>
      </c>
      <c r="G5109">
        <v>-425.10180000000003</v>
      </c>
      <c r="H5109" s="1">
        <v>-4.7126730000000001E-6</v>
      </c>
      <c r="I5109">
        <v>32.254550000000002</v>
      </c>
      <c r="J5109">
        <v>-421.80270000000002</v>
      </c>
      <c r="K5109">
        <v>1.121027</v>
      </c>
      <c r="L5109">
        <v>52.127470000000002</v>
      </c>
      <c r="M5109">
        <v>-3.5312189999999999E-3</v>
      </c>
      <c r="N5109">
        <v>-1.337238E-2</v>
      </c>
      <c r="O5109">
        <v>-0.99990440000000003</v>
      </c>
      <c r="P5109">
        <v>-9.6046710000000004E-3</v>
      </c>
      <c r="Q5109">
        <v>-8.7300399999999903E-2</v>
      </c>
      <c r="R5109">
        <v>-0.99613600000000002</v>
      </c>
      <c r="S5109">
        <v>-0.49160769999999998</v>
      </c>
      <c r="T5109">
        <v>-0.16700970000000001</v>
      </c>
      <c r="U5109">
        <v>-2.9921570000000002</v>
      </c>
      <c r="V5109">
        <v>6.0839759999999996E-3</v>
      </c>
      <c r="W5109">
        <v>-7.3971759999999998E-2</v>
      </c>
      <c r="X5109">
        <v>0.99724179999999996</v>
      </c>
      <c r="Y5109">
        <v>0.1584265</v>
      </c>
      <c r="Z5109">
        <v>4.1656180000000001E-2</v>
      </c>
      <c r="AA5109">
        <v>0.98649169999999997</v>
      </c>
      <c r="AB5109">
        <v>21</v>
      </c>
      <c r="AC5109">
        <v>-3.2991000000000001</v>
      </c>
      <c r="AD5109">
        <v>-1.1210317126730001</v>
      </c>
      <c r="AE5109">
        <v>-19.872920000000001</v>
      </c>
      <c r="AF5109">
        <v>3.2189293170332598</v>
      </c>
      <c r="AG5109">
        <v>-1.1210317126730001</v>
      </c>
      <c r="AH5109">
        <v>19.823059983754799</v>
      </c>
      <c r="AI5109">
        <v>93.194977147112596</v>
      </c>
      <c r="AJ5109">
        <v>80.776641168866803</v>
      </c>
      <c r="AK5109">
        <v>20.113973380921401</v>
      </c>
      <c r="AL5109">
        <v>94.242144282363498</v>
      </c>
      <c r="AM5109">
        <v>89.650454059600605</v>
      </c>
      <c r="AN5109">
        <v>1.0000000218543501</v>
      </c>
    </row>
    <row r="5110" spans="1:40" x14ac:dyDescent="0.25">
      <c r="A5110" t="str">
        <f>"20190303154619170"</f>
        <v>20190303154619170</v>
      </c>
      <c r="B5110" t="str">
        <f>"1551599179166296"</f>
        <v>1551599179166296</v>
      </c>
      <c r="C5110" t="s">
        <v>40</v>
      </c>
      <c r="D5110">
        <v>5.2914110000000001</v>
      </c>
      <c r="E5110">
        <v>0.55851640000000002</v>
      </c>
      <c r="F5110" t="s">
        <v>60</v>
      </c>
      <c r="G5110">
        <v>-425.08519999999999</v>
      </c>
      <c r="H5110" s="1">
        <v>-4.7282209999999998E-6</v>
      </c>
      <c r="I5110">
        <v>32.203099999999999</v>
      </c>
      <c r="J5110">
        <v>-421.80340000000001</v>
      </c>
      <c r="K5110">
        <v>1.1210039999999999</v>
      </c>
      <c r="L5110">
        <v>51.91507</v>
      </c>
      <c r="M5110">
        <v>-3.531228E-3</v>
      </c>
      <c r="N5110">
        <v>-1.3265249999999999E-2</v>
      </c>
      <c r="O5110">
        <v>-0.99990610000000002</v>
      </c>
      <c r="P5110">
        <v>-9.3861450000000003E-3</v>
      </c>
      <c r="Q5110">
        <v>-8.7443129999999994E-2</v>
      </c>
      <c r="R5110">
        <v>-0.99612560000000006</v>
      </c>
      <c r="S5110">
        <v>-0.49295040000000001</v>
      </c>
      <c r="T5110">
        <v>-0.1683501</v>
      </c>
      <c r="U5110">
        <v>-2.9921259999999998</v>
      </c>
      <c r="V5110">
        <v>5.8654550000000003E-3</v>
      </c>
      <c r="W5110">
        <v>-7.4221449999999994E-2</v>
      </c>
      <c r="X5110">
        <v>0.99722449999999996</v>
      </c>
      <c r="Y5110">
        <v>0.15885550000000001</v>
      </c>
      <c r="Z5110">
        <v>4.2200250000000002E-2</v>
      </c>
      <c r="AA5110">
        <v>0.98639949999999998</v>
      </c>
      <c r="AB5110">
        <v>21</v>
      </c>
      <c r="AC5110">
        <v>-3.2817999999999699</v>
      </c>
      <c r="AD5110">
        <v>-1.121008728221</v>
      </c>
      <c r="AE5110">
        <v>-19.711970000000001</v>
      </c>
      <c r="AF5110">
        <v>3.2020892948520001</v>
      </c>
      <c r="AG5110">
        <v>-1.121008728221</v>
      </c>
      <c r="AH5110">
        <v>19.661563766115702</v>
      </c>
      <c r="AI5110">
        <v>93.220856069161798</v>
      </c>
      <c r="AJ5110">
        <v>80.749999149011799</v>
      </c>
      <c r="AK5110">
        <v>19.9521208434088</v>
      </c>
      <c r="AL5110">
        <v>94.256490141559695</v>
      </c>
      <c r="AM5110">
        <v>89.663002722989702</v>
      </c>
      <c r="AN5110">
        <v>0.99999996530135404</v>
      </c>
    </row>
    <row r="5111" spans="1:40" x14ac:dyDescent="0.25">
      <c r="A5111" t="str">
        <f>"20190303154619193"</f>
        <v>20190303154619193</v>
      </c>
      <c r="B5111" t="str">
        <f>"1551599179186793"</f>
        <v>1551599179186793</v>
      </c>
      <c r="C5111" t="s">
        <v>40</v>
      </c>
      <c r="D5111">
        <v>5.4741359999999997</v>
      </c>
      <c r="E5111">
        <v>0.55856030000000001</v>
      </c>
      <c r="F5111" t="s">
        <v>60</v>
      </c>
      <c r="G5111">
        <v>-425.108</v>
      </c>
      <c r="H5111" s="1">
        <v>-4.8209099999999997E-6</v>
      </c>
      <c r="I5111">
        <v>31.975829999999998</v>
      </c>
      <c r="J5111">
        <v>-421.80410000000001</v>
      </c>
      <c r="K5111">
        <v>1.120981</v>
      </c>
      <c r="L5111">
        <v>51.698970000000003</v>
      </c>
      <c r="M5111">
        <v>-3.5310749999999998E-3</v>
      </c>
      <c r="N5111">
        <v>-1.315173E-2</v>
      </c>
      <c r="O5111">
        <v>-0.99990749999999995</v>
      </c>
      <c r="P5111">
        <v>-9.8770049999999995E-3</v>
      </c>
      <c r="Q5111">
        <v>-8.7705469999999994E-2</v>
      </c>
      <c r="R5111">
        <v>-0.99609769999999997</v>
      </c>
      <c r="S5111">
        <v>-0.49591059999999998</v>
      </c>
      <c r="T5111">
        <v>-0.16822619999999999</v>
      </c>
      <c r="U5111">
        <v>-2.9922179999999998</v>
      </c>
      <c r="V5111">
        <v>6.356525E-3</v>
      </c>
      <c r="W5111">
        <v>-7.4597339999999998E-2</v>
      </c>
      <c r="X5111">
        <v>0.99719349999999995</v>
      </c>
      <c r="Y5111">
        <v>0.15980059999999999</v>
      </c>
      <c r="Z5111">
        <v>4.2262630000000002E-2</v>
      </c>
      <c r="AA5111">
        <v>0.98624420000000002</v>
      </c>
      <c r="AB5111">
        <v>21</v>
      </c>
      <c r="AC5111">
        <v>-3.3038999999999898</v>
      </c>
      <c r="AD5111">
        <v>-1.1209858209100001</v>
      </c>
      <c r="AE5111">
        <v>-19.723140000000001</v>
      </c>
      <c r="AF5111">
        <v>3.2240988467378302</v>
      </c>
      <c r="AG5111">
        <v>-1.1209858209100001</v>
      </c>
      <c r="AH5111">
        <v>19.6728689028883</v>
      </c>
      <c r="AI5111">
        <v>93.218419465123404</v>
      </c>
      <c r="AJ5111">
        <v>80.6927872233627</v>
      </c>
      <c r="AK5111">
        <v>19.966802284152699</v>
      </c>
      <c r="AL5111">
        <v>94.278086678940198</v>
      </c>
      <c r="AM5111">
        <v>89.634777882030207</v>
      </c>
      <c r="AN5111">
        <v>1.0000000224937</v>
      </c>
    </row>
    <row r="5112" spans="1:40" x14ac:dyDescent="0.25">
      <c r="A5112" t="str">
        <f>"20190303154619220"</f>
        <v>20190303154619220</v>
      </c>
      <c r="B5112" t="str">
        <f>"1551599179216072"</f>
        <v>1551599179216072</v>
      </c>
      <c r="C5112" t="s">
        <v>40</v>
      </c>
      <c r="D5112">
        <v>5.2318740000000004</v>
      </c>
      <c r="E5112">
        <v>0.51992159999999998</v>
      </c>
      <c r="F5112" t="s">
        <v>60</v>
      </c>
      <c r="G5112">
        <v>-425.09829999999999</v>
      </c>
      <c r="H5112" s="1">
        <v>-4.8586590000000001E-6</v>
      </c>
      <c r="I5112">
        <v>31.90063</v>
      </c>
      <c r="J5112">
        <v>-421.80509999999998</v>
      </c>
      <c r="K5112">
        <v>1.1209629999999999</v>
      </c>
      <c r="L5112">
        <v>51.441070000000003</v>
      </c>
      <c r="M5112">
        <v>-3.5308599999999998E-3</v>
      </c>
      <c r="N5112">
        <v>-1.3021909999999999E-2</v>
      </c>
      <c r="O5112">
        <v>-0.99990919999999905</v>
      </c>
      <c r="P5112">
        <v>-1.041894E-2</v>
      </c>
      <c r="Q5112">
        <v>-8.7969829999999999E-2</v>
      </c>
      <c r="R5112">
        <v>-0.99606879999999998</v>
      </c>
      <c r="S5112">
        <v>-0.49780269999999999</v>
      </c>
      <c r="T5112">
        <v>-0.16940089999999999</v>
      </c>
      <c r="U5112">
        <v>-2.9918819999999999</v>
      </c>
      <c r="V5112">
        <v>6.8987469999999898E-3</v>
      </c>
      <c r="W5112">
        <v>-7.4991530000000001E-2</v>
      </c>
      <c r="X5112">
        <v>0.9971603</v>
      </c>
      <c r="Y5112">
        <v>0.16042210000000001</v>
      </c>
      <c r="Z5112">
        <v>4.2778620000000003E-2</v>
      </c>
      <c r="AA5112">
        <v>0.98612109999999997</v>
      </c>
      <c r="AB5112">
        <v>21</v>
      </c>
      <c r="AC5112">
        <v>-3.2932000000000099</v>
      </c>
      <c r="AD5112">
        <v>-1.1209678586589999</v>
      </c>
      <c r="AE5112">
        <v>-19.54044</v>
      </c>
      <c r="AF5112">
        <v>3.2138945124760898</v>
      </c>
      <c r="AG5112">
        <v>-1.1209678586589999</v>
      </c>
      <c r="AH5112">
        <v>19.489579721752801</v>
      </c>
      <c r="AI5112">
        <v>93.248042517060497</v>
      </c>
      <c r="AJ5112">
        <v>80.636012937624201</v>
      </c>
      <c r="AK5112">
        <v>19.7845749160306</v>
      </c>
      <c r="AL5112">
        <v>94.300735668673497</v>
      </c>
      <c r="AM5112">
        <v>89.603611595044896</v>
      </c>
      <c r="AN5112">
        <v>0.99999999308900001</v>
      </c>
    </row>
    <row r="5113" spans="1:40" x14ac:dyDescent="0.25">
      <c r="A5113" t="str">
        <f>"20190303154619240"</f>
        <v>20190303154619240</v>
      </c>
      <c r="B5113" t="str">
        <f>"1551599179236567"</f>
        <v>1551599179236567</v>
      </c>
      <c r="C5113" t="s">
        <v>40</v>
      </c>
      <c r="D5113">
        <v>5.2292880000000004</v>
      </c>
      <c r="E5113">
        <v>0.51590590000000003</v>
      </c>
      <c r="F5113" t="s">
        <v>60</v>
      </c>
      <c r="G5113">
        <v>-422.91699999999997</v>
      </c>
      <c r="H5113" s="1">
        <v>-3.7980680000000001E-6</v>
      </c>
      <c r="I5113">
        <v>34.012909999999998</v>
      </c>
      <c r="J5113">
        <v>-421.8057</v>
      </c>
      <c r="K5113">
        <v>1.1209549999999999</v>
      </c>
      <c r="L5113">
        <v>51.254730000000002</v>
      </c>
      <c r="M5113">
        <v>-3.5307749999999999E-3</v>
      </c>
      <c r="N5113">
        <v>-1.293598E-2</v>
      </c>
      <c r="O5113">
        <v>-0.99991010000000002</v>
      </c>
      <c r="P5113">
        <v>-1.093674E-2</v>
      </c>
      <c r="Q5113">
        <v>-8.7247619999999998E-2</v>
      </c>
      <c r="R5113">
        <v>-0.99612659999999997</v>
      </c>
      <c r="S5113">
        <v>-0.19094849999999999</v>
      </c>
      <c r="T5113">
        <v>-0.19249669999999999</v>
      </c>
      <c r="U5113">
        <v>-2.9928279999999998</v>
      </c>
      <c r="V5113">
        <v>7.4164560000000001E-3</v>
      </c>
      <c r="W5113">
        <v>-7.4354329999999996E-2</v>
      </c>
      <c r="X5113">
        <v>0.99720430000000004</v>
      </c>
      <c r="Y5113">
        <v>6.003497E-2</v>
      </c>
      <c r="Z5113">
        <v>5.1150090000000002E-2</v>
      </c>
      <c r="AA5113">
        <v>0.99688489999999996</v>
      </c>
      <c r="AB5113">
        <v>21</v>
      </c>
      <c r="AC5113">
        <v>-1.11129999999997</v>
      </c>
      <c r="AD5113">
        <v>-1.120958798068</v>
      </c>
      <c r="AE5113">
        <v>-17.241820000000001</v>
      </c>
      <c r="AF5113">
        <v>1.0460080016244599</v>
      </c>
      <c r="AG5113">
        <v>-1.120958798068</v>
      </c>
      <c r="AH5113">
        <v>17.173348354069301</v>
      </c>
      <c r="AI5113">
        <v>93.727690330137904</v>
      </c>
      <c r="AJ5113">
        <v>86.514488975478997</v>
      </c>
      <c r="AK5113">
        <v>17.241652329653402</v>
      </c>
      <c r="AL5113">
        <v>94.264124581897605</v>
      </c>
      <c r="AM5113">
        <v>89.573884916757194</v>
      </c>
      <c r="AN5113">
        <v>0.99999999307391896</v>
      </c>
    </row>
    <row r="5114" spans="1:40" x14ac:dyDescent="0.25">
      <c r="A5114" t="str">
        <f>"20190303154619262"</f>
        <v>20190303154619262</v>
      </c>
      <c r="B5114" t="str">
        <f>"1551599179256088"</f>
        <v>1551599179256088</v>
      </c>
      <c r="C5114" t="s">
        <v>40</v>
      </c>
      <c r="D5114">
        <v>5.2892419999999998</v>
      </c>
      <c r="E5114">
        <v>0.51393849999999996</v>
      </c>
      <c r="F5114" t="s">
        <v>60</v>
      </c>
      <c r="G5114">
        <v>-422.80520000000001</v>
      </c>
      <c r="H5114" s="1">
        <v>-4.3650069999999997E-6</v>
      </c>
      <c r="I5114">
        <v>32.608259999999902</v>
      </c>
      <c r="J5114">
        <v>-421.80650000000003</v>
      </c>
      <c r="K5114">
        <v>1.120951</v>
      </c>
      <c r="L5114">
        <v>51.034419999999997</v>
      </c>
      <c r="M5114">
        <v>-3.5307979999999999E-3</v>
      </c>
      <c r="N5114">
        <v>-1.2841719999999999E-2</v>
      </c>
      <c r="O5114">
        <v>-0.99991149999999995</v>
      </c>
      <c r="P5114">
        <v>-1.0763139999999999E-2</v>
      </c>
      <c r="Q5114">
        <v>-8.7658520000000004E-2</v>
      </c>
      <c r="R5114">
        <v>-0.99609259999999999</v>
      </c>
      <c r="S5114">
        <v>-0.16049189999999999</v>
      </c>
      <c r="T5114">
        <v>-0.17999699999999999</v>
      </c>
      <c r="U5114">
        <v>-2.9941409999999999</v>
      </c>
      <c r="V5114">
        <v>7.2429479999999999E-3</v>
      </c>
      <c r="W5114">
        <v>-7.4859629999999996E-2</v>
      </c>
      <c r="X5114">
        <v>0.99716780000000005</v>
      </c>
      <c r="Y5114">
        <v>4.9916040000000002E-2</v>
      </c>
      <c r="Z5114">
        <v>4.7104920000000002E-2</v>
      </c>
      <c r="AA5114">
        <v>0.99764200000000003</v>
      </c>
      <c r="AB5114">
        <v>21</v>
      </c>
      <c r="AC5114">
        <v>-0.99869999999998504</v>
      </c>
      <c r="AD5114">
        <v>-1.1209553650069899</v>
      </c>
      <c r="AE5114">
        <v>-18.426159999999999</v>
      </c>
      <c r="AF5114">
        <v>0.93019689312880005</v>
      </c>
      <c r="AG5114">
        <v>-1.1209553650069899</v>
      </c>
      <c r="AH5114">
        <v>18.3618154851813</v>
      </c>
      <c r="AI5114">
        <v>93.489004204922395</v>
      </c>
      <c r="AJ5114">
        <v>87.099914571854995</v>
      </c>
      <c r="AK5114">
        <v>18.419502574775699</v>
      </c>
      <c r="AL5114">
        <v>94.293156924435607</v>
      </c>
      <c r="AM5114">
        <v>89.583838293069704</v>
      </c>
      <c r="AN5114">
        <v>1.00000002292815</v>
      </c>
    </row>
    <row r="5115" spans="1:40" x14ac:dyDescent="0.25">
      <c r="A5115" t="str">
        <f>"20190303154619282"</f>
        <v>20190303154619282</v>
      </c>
      <c r="B5115" t="str">
        <f>"1551599179275906"</f>
        <v>1551599179275906</v>
      </c>
      <c r="C5115" t="s">
        <v>40</v>
      </c>
      <c r="D5115">
        <v>5.2461669999999998</v>
      </c>
      <c r="E5115">
        <v>0.51282349999999999</v>
      </c>
      <c r="F5115" t="s">
        <v>60</v>
      </c>
      <c r="G5115">
        <v>-422.72899999999998</v>
      </c>
      <c r="H5115" s="1">
        <v>-4.7003179999999998E-6</v>
      </c>
      <c r="I5115">
        <v>31.941500000000001</v>
      </c>
      <c r="J5115">
        <v>-421.80720000000002</v>
      </c>
      <c r="K5115">
        <v>1.1209499999999999</v>
      </c>
      <c r="L5115">
        <v>50.848880000000001</v>
      </c>
      <c r="M5115">
        <v>-3.5308290000000001E-3</v>
      </c>
      <c r="N5115">
        <v>-1.276853E-2</v>
      </c>
      <c r="O5115">
        <v>-0.99991249999999998</v>
      </c>
      <c r="P5115">
        <v>-1.120959E-2</v>
      </c>
      <c r="Q5115">
        <v>-8.7496589999999999E-2</v>
      </c>
      <c r="R5115">
        <v>-0.99610189999999998</v>
      </c>
      <c r="S5115">
        <v>-0.1446838</v>
      </c>
      <c r="T5115">
        <v>-0.1758217</v>
      </c>
      <c r="U5115">
        <v>-2.99472</v>
      </c>
      <c r="V5115">
        <v>7.6893480000000004E-3</v>
      </c>
      <c r="W5115">
        <v>-7.4770580000000003E-2</v>
      </c>
      <c r="X5115">
        <v>0.99717109999999998</v>
      </c>
      <c r="Y5115">
        <v>4.4658389999999999E-2</v>
      </c>
      <c r="Z5115">
        <v>4.5795530000000001E-2</v>
      </c>
      <c r="AA5115">
        <v>0.99795210000000001</v>
      </c>
      <c r="AB5115">
        <v>21</v>
      </c>
      <c r="AC5115">
        <v>-0.92180000000001805</v>
      </c>
      <c r="AD5115">
        <v>-1.12095470031799</v>
      </c>
      <c r="AE5115">
        <v>-18.90738</v>
      </c>
      <c r="AF5115">
        <v>0.85204235665750405</v>
      </c>
      <c r="AG5115">
        <v>-1.12095470031799</v>
      </c>
      <c r="AH5115">
        <v>18.844437787864301</v>
      </c>
      <c r="AI5115">
        <v>93.400741517990596</v>
      </c>
      <c r="AJ5115">
        <v>87.411161589349206</v>
      </c>
      <c r="AK5115">
        <v>18.896966718454902</v>
      </c>
      <c r="AL5115">
        <v>94.288040562338395</v>
      </c>
      <c r="AM5115">
        <v>89.558191712956301</v>
      </c>
      <c r="AN5115">
        <v>0.99999998419070502</v>
      </c>
    </row>
    <row r="5116" spans="1:40" x14ac:dyDescent="0.25">
      <c r="A5116" t="str">
        <f>"20190303154619306"</f>
        <v>20190303154619306</v>
      </c>
      <c r="B5116" t="str">
        <f>"1551599179296402"</f>
        <v>1551599179296402</v>
      </c>
      <c r="C5116" t="s">
        <v>40</v>
      </c>
      <c r="D5116">
        <v>5.2895709999999996</v>
      </c>
      <c r="E5116">
        <v>0.51157379999999997</v>
      </c>
      <c r="F5116" t="s">
        <v>60</v>
      </c>
      <c r="G5116">
        <v>-422.68920000000003</v>
      </c>
      <c r="H5116" s="1">
        <v>-4.8740369999999998E-6</v>
      </c>
      <c r="I5116">
        <v>31.596039999999999</v>
      </c>
      <c r="J5116">
        <v>-421.80790000000002</v>
      </c>
      <c r="K5116">
        <v>1.1209420000000001</v>
      </c>
      <c r="L5116">
        <v>50.6282</v>
      </c>
      <c r="M5116">
        <v>-3.5307870000000001E-3</v>
      </c>
      <c r="N5116">
        <v>-1.26903E-2</v>
      </c>
      <c r="O5116">
        <v>-0.99991350000000001</v>
      </c>
      <c r="P5116">
        <v>-1.118708E-2</v>
      </c>
      <c r="Q5116">
        <v>-8.7609030000000004E-2</v>
      </c>
      <c r="R5116">
        <v>-0.99609239999999999</v>
      </c>
      <c r="S5116">
        <v>-0.137207</v>
      </c>
      <c r="T5116">
        <v>-0.17436989999999999</v>
      </c>
      <c r="U5116">
        <v>-2.9948730000000001</v>
      </c>
      <c r="V5116">
        <v>7.6669090000000004E-3</v>
      </c>
      <c r="W5116">
        <v>-7.4961139999999996E-2</v>
      </c>
      <c r="X5116">
        <v>0.99715699999999996</v>
      </c>
      <c r="Y5116">
        <v>4.2172170000000002E-2</v>
      </c>
      <c r="Z5116">
        <v>4.5395119999999997E-2</v>
      </c>
      <c r="AA5116">
        <v>0.99807849999999998</v>
      </c>
      <c r="AB5116">
        <v>21</v>
      </c>
      <c r="AC5116">
        <v>-0.88130000000000996</v>
      </c>
      <c r="AD5116">
        <v>-1.1209468740369899</v>
      </c>
      <c r="AE5116">
        <v>-19.032160000000001</v>
      </c>
      <c r="AF5116">
        <v>0.81128235886332201</v>
      </c>
      <c r="AG5116">
        <v>-1.1209468740369899</v>
      </c>
      <c r="AH5116">
        <v>18.969490490515501</v>
      </c>
      <c r="AI5116">
        <v>93.378713462220603</v>
      </c>
      <c r="AJ5116">
        <v>87.551080993442497</v>
      </c>
      <c r="AK5116">
        <v>19.019891441066999</v>
      </c>
      <c r="AL5116">
        <v>94.298989426403907</v>
      </c>
      <c r="AM5116">
        <v>89.559474715055202</v>
      </c>
      <c r="AN5116">
        <v>1.00000001832635</v>
      </c>
    </row>
    <row r="5117" spans="1:40" x14ac:dyDescent="0.25">
      <c r="A5117" t="str">
        <f>"20190303154619326"</f>
        <v>20190303154619326</v>
      </c>
      <c r="B5117" t="str">
        <f>"1551599179316899"</f>
        <v>1551599179316899</v>
      </c>
      <c r="C5117" t="s">
        <v>40</v>
      </c>
      <c r="D5117">
        <v>5.2835519999999896</v>
      </c>
      <c r="E5117">
        <v>0.51044429999999996</v>
      </c>
      <c r="F5117" t="s">
        <v>60</v>
      </c>
      <c r="G5117">
        <v>-422.5994</v>
      </c>
      <c r="H5117" s="1">
        <v>-4.6589390000000004E-6</v>
      </c>
      <c r="I5117">
        <v>32.007950000000001</v>
      </c>
      <c r="J5117">
        <v>-421.80860000000001</v>
      </c>
      <c r="K5117">
        <v>1.1209420000000001</v>
      </c>
      <c r="L5117">
        <v>50.432369999999999</v>
      </c>
      <c r="M5117">
        <v>-3.53068E-3</v>
      </c>
      <c r="N5117">
        <v>-1.262871E-2</v>
      </c>
      <c r="O5117">
        <v>-0.99991419999999998</v>
      </c>
      <c r="P5117">
        <v>-1.1249159999999999E-2</v>
      </c>
      <c r="Q5117">
        <v>-8.832015E-2</v>
      </c>
      <c r="R5117">
        <v>-0.99602869999999999</v>
      </c>
      <c r="S5117">
        <v>-0.12728879999999901</v>
      </c>
      <c r="T5117">
        <v>-0.1802686</v>
      </c>
      <c r="U5117">
        <v>-2.9944760000000001</v>
      </c>
      <c r="V5117">
        <v>7.729283E-3</v>
      </c>
      <c r="W5117">
        <v>-7.5734410000000002E-2</v>
      </c>
      <c r="X5117">
        <v>0.99709809999999999</v>
      </c>
      <c r="Y5117">
        <v>3.8875809999999997E-2</v>
      </c>
      <c r="Z5117">
        <v>4.7431569999999999E-2</v>
      </c>
      <c r="AA5117">
        <v>0.9981177</v>
      </c>
      <c r="AB5117">
        <v>21</v>
      </c>
      <c r="AC5117">
        <v>-0.79079999999998996</v>
      </c>
      <c r="AD5117">
        <v>-1.120946658939</v>
      </c>
      <c r="AE5117">
        <v>-18.424420000000001</v>
      </c>
      <c r="AF5117">
        <v>0.72306762191880203</v>
      </c>
      <c r="AG5117">
        <v>-1.120946658939</v>
      </c>
      <c r="AH5117">
        <v>18.359264870870401</v>
      </c>
      <c r="AI5117">
        <v>93.491224447536595</v>
      </c>
      <c r="AJ5117">
        <v>87.744608902121797</v>
      </c>
      <c r="AK5117">
        <v>18.407660220593701</v>
      </c>
      <c r="AL5117">
        <v>94.343420779760294</v>
      </c>
      <c r="AM5117">
        <v>89.555864739405706</v>
      </c>
      <c r="AN5117">
        <v>1.0000000318486699</v>
      </c>
    </row>
    <row r="5118" spans="1:40" x14ac:dyDescent="0.25">
      <c r="A5118" t="str">
        <f>"20190303154619349"</f>
        <v>20190303154619349</v>
      </c>
      <c r="B5118" t="str">
        <f>"1551599179336420"</f>
        <v>1551599179336420</v>
      </c>
      <c r="C5118" t="s">
        <v>40</v>
      </c>
      <c r="D5118">
        <v>5.2892939999999999</v>
      </c>
      <c r="E5118">
        <v>0.50992280000000001</v>
      </c>
      <c r="F5118" t="s">
        <v>60</v>
      </c>
      <c r="G5118">
        <v>-422.51569999999998</v>
      </c>
      <c r="H5118" s="1">
        <v>-4.3977329999999997E-6</v>
      </c>
      <c r="I5118">
        <v>32.511049999999997</v>
      </c>
      <c r="J5118">
        <v>-421.80939999999998</v>
      </c>
      <c r="K5118">
        <v>1.12093</v>
      </c>
      <c r="L5118">
        <v>50.215580000000003</v>
      </c>
      <c r="M5118">
        <v>-3.5310630000000001E-3</v>
      </c>
      <c r="N5118">
        <v>-1.2568869999999999E-2</v>
      </c>
      <c r="O5118">
        <v>-0.99991490000000005</v>
      </c>
      <c r="P5118">
        <v>-1.060028E-2</v>
      </c>
      <c r="Q5118">
        <v>-8.8457919999999995E-2</v>
      </c>
      <c r="R5118">
        <v>-0.99602349999999995</v>
      </c>
      <c r="S5118">
        <v>-0.1181335</v>
      </c>
      <c r="T5118">
        <v>-0.18727050000000001</v>
      </c>
      <c r="U5118">
        <v>-2.9940190000000002</v>
      </c>
      <c r="V5118">
        <v>7.0799849999999996E-3</v>
      </c>
      <c r="W5118">
        <v>-7.5931940000000003E-2</v>
      </c>
      <c r="X5118">
        <v>0.99708790000000003</v>
      </c>
      <c r="Y5118">
        <v>3.5831109999999999E-2</v>
      </c>
      <c r="Z5118">
        <v>4.9833000000000002E-2</v>
      </c>
      <c r="AA5118">
        <v>0.99811459999999996</v>
      </c>
      <c r="AB5118">
        <v>21</v>
      </c>
      <c r="AC5118">
        <v>-0.70629999999999804</v>
      </c>
      <c r="AD5118">
        <v>-1.120934397733</v>
      </c>
      <c r="AE5118">
        <v>-17.704529999999998</v>
      </c>
      <c r="AF5118">
        <v>0.64120859669749197</v>
      </c>
      <c r="AG5118">
        <v>-1.120934397733</v>
      </c>
      <c r="AH5118">
        <v>17.6363293258403</v>
      </c>
      <c r="AI5118">
        <v>93.634333466249004</v>
      </c>
      <c r="AJ5118">
        <v>87.917799622201102</v>
      </c>
      <c r="AK5118">
        <v>17.683544737353898</v>
      </c>
      <c r="AL5118">
        <v>94.3547710926874</v>
      </c>
      <c r="AM5118">
        <v>89.593168824812196</v>
      </c>
      <c r="AN5118">
        <v>1.00000003301308</v>
      </c>
    </row>
    <row r="5119" spans="1:40" x14ac:dyDescent="0.25">
      <c r="A5119" t="str">
        <f>"20190303154619372"</f>
        <v>20190303154619372</v>
      </c>
      <c r="B5119" t="str">
        <f>"1551599179366675"</f>
        <v>1551599179366675</v>
      </c>
      <c r="C5119" t="s">
        <v>40</v>
      </c>
      <c r="D5119">
        <v>5.3258010000000002</v>
      </c>
      <c r="E5119">
        <v>0.50930900000000001</v>
      </c>
      <c r="F5119" t="s">
        <v>60</v>
      </c>
      <c r="G5119">
        <v>-422.47910000000002</v>
      </c>
      <c r="H5119" s="1">
        <v>-4.4894879999999996E-6</v>
      </c>
      <c r="I5119">
        <v>32.326809999999902</v>
      </c>
      <c r="J5119">
        <v>-421.81020000000001</v>
      </c>
      <c r="K5119">
        <v>1.1209279999999999</v>
      </c>
      <c r="L5119">
        <v>49.995849999999997</v>
      </c>
      <c r="M5119">
        <v>-3.533296E-3</v>
      </c>
      <c r="N5119">
        <v>-1.2515739999999999E-2</v>
      </c>
      <c r="O5119">
        <v>-0.99991560000000002</v>
      </c>
      <c r="P5119">
        <v>-1.031747E-2</v>
      </c>
      <c r="Q5119">
        <v>-8.8326870000000002E-2</v>
      </c>
      <c r="R5119">
        <v>-0.99603830000000004</v>
      </c>
      <c r="S5119">
        <v>-0.1120911</v>
      </c>
      <c r="T5119">
        <v>-0.1876169</v>
      </c>
      <c r="U5119">
        <v>-2.9941409999999999</v>
      </c>
      <c r="V5119">
        <v>6.7947229999999999E-3</v>
      </c>
      <c r="W5119">
        <v>-7.5853710000000005E-2</v>
      </c>
      <c r="X5119">
        <v>0.99709579999999998</v>
      </c>
      <c r="Y5119">
        <v>3.3816569999999997E-2</v>
      </c>
      <c r="Z5119">
        <v>5.0003119999999998E-2</v>
      </c>
      <c r="AA5119">
        <v>0.99817639999999996</v>
      </c>
      <c r="AB5119">
        <v>21</v>
      </c>
      <c r="AC5119">
        <v>-0.66890000000000704</v>
      </c>
      <c r="AD5119">
        <v>-1.120932489488</v>
      </c>
      <c r="AE5119">
        <v>-17.669039999999999</v>
      </c>
      <c r="AF5119">
        <v>0.60403342452936604</v>
      </c>
      <c r="AG5119">
        <v>-1.120932489488</v>
      </c>
      <c r="AH5119">
        <v>17.600557790637001</v>
      </c>
      <c r="AI5119">
        <v>93.641955161549404</v>
      </c>
      <c r="AJ5119">
        <v>88.034437961006006</v>
      </c>
      <c r="AK5119">
        <v>17.646557187323801</v>
      </c>
      <c r="AL5119">
        <v>94.350276049857001</v>
      </c>
      <c r="AM5119">
        <v>89.609563168516303</v>
      </c>
      <c r="AN5119">
        <v>0.99999999397952499</v>
      </c>
    </row>
    <row r="5120" spans="1:40" x14ac:dyDescent="0.25">
      <c r="A5120" t="str">
        <f>"20190303154619394"</f>
        <v>20190303154619394</v>
      </c>
      <c r="B5120" t="str">
        <f>"1551599179386702"</f>
        <v>1551599179386702</v>
      </c>
      <c r="C5120" t="s">
        <v>40</v>
      </c>
      <c r="D5120">
        <v>5.3234329999999996</v>
      </c>
      <c r="E5120">
        <v>0.50890069999999998</v>
      </c>
      <c r="F5120" t="s">
        <v>60</v>
      </c>
      <c r="G5120">
        <v>-422.4443</v>
      </c>
      <c r="H5120" s="1">
        <v>-4.593496E-6</v>
      </c>
      <c r="I5120">
        <v>32.118720000000003</v>
      </c>
      <c r="J5120">
        <v>-421.8109</v>
      </c>
      <c r="K5120">
        <v>1.1209260000000001</v>
      </c>
      <c r="L5120">
        <v>49.787289999999999</v>
      </c>
      <c r="M5120">
        <v>-3.5371000000000001E-3</v>
      </c>
      <c r="N5120">
        <v>-1.247144E-2</v>
      </c>
      <c r="O5120">
        <v>-0.99991629999999998</v>
      </c>
      <c r="P5120">
        <v>-9.2468829999999991E-3</v>
      </c>
      <c r="Q5120">
        <v>-8.8456820000000005E-2</v>
      </c>
      <c r="R5120">
        <v>-0.99603770000000003</v>
      </c>
      <c r="S5120">
        <v>-0.1062012</v>
      </c>
      <c r="T5120">
        <v>-0.18774250000000001</v>
      </c>
      <c r="U5120">
        <v>-2.994202</v>
      </c>
      <c r="V5120">
        <v>5.720101E-3</v>
      </c>
      <c r="W5120">
        <v>-7.6027849999999994E-2</v>
      </c>
      <c r="X5120">
        <v>0.99708929999999996</v>
      </c>
      <c r="Y5120">
        <v>3.1851850000000001E-2</v>
      </c>
      <c r="Z5120">
        <v>5.0091990000000003E-2</v>
      </c>
      <c r="AA5120">
        <v>0.99823660000000003</v>
      </c>
      <c r="AB5120">
        <v>21</v>
      </c>
      <c r="AC5120">
        <v>-0.63339999999999397</v>
      </c>
      <c r="AD5120">
        <v>-1.1209305934960001</v>
      </c>
      <c r="AE5120">
        <v>-17.668569999999999</v>
      </c>
      <c r="AF5120">
        <v>0.56861003914437502</v>
      </c>
      <c r="AG5120">
        <v>-1.1209305934960001</v>
      </c>
      <c r="AH5120">
        <v>17.599952972345399</v>
      </c>
      <c r="AI5120">
        <v>93.642316972983906</v>
      </c>
      <c r="AJ5120">
        <v>88.149561674074604</v>
      </c>
      <c r="AK5120">
        <v>17.6447767739017</v>
      </c>
      <c r="AL5120">
        <v>94.360282349656103</v>
      </c>
      <c r="AM5120">
        <v>89.671309229390701</v>
      </c>
      <c r="AN5120">
        <v>1.00000001285278</v>
      </c>
    </row>
    <row r="5121" spans="1:40" x14ac:dyDescent="0.25">
      <c r="A5121" t="str">
        <f>"20190303154619440"</f>
        <v>20190303154619440</v>
      </c>
      <c r="B5121" t="str">
        <f>"1551599179436478"</f>
        <v>1551599179436478</v>
      </c>
      <c r="C5121" t="s">
        <v>40</v>
      </c>
      <c r="D5121">
        <v>5.3593970000000004</v>
      </c>
      <c r="E5121">
        <v>0.4767923</v>
      </c>
      <c r="F5121" t="s">
        <v>60</v>
      </c>
      <c r="G5121">
        <v>-422.40480000000002</v>
      </c>
      <c r="H5121" s="1">
        <v>-4.6849900000000002E-6</v>
      </c>
      <c r="I5121">
        <v>31.934650000000001</v>
      </c>
      <c r="J5121">
        <v>-421.81240000000003</v>
      </c>
      <c r="K5121">
        <v>1.1209020000000001</v>
      </c>
      <c r="L5121">
        <v>49.360230000000001</v>
      </c>
      <c r="M5121">
        <v>-3.55318E-3</v>
      </c>
      <c r="N5121">
        <v>-1.239704E-2</v>
      </c>
      <c r="O5121">
        <v>-0.99991699999999994</v>
      </c>
      <c r="P5121">
        <v>-7.373175E-3</v>
      </c>
      <c r="Q5121">
        <v>-8.9061249999999995E-2</v>
      </c>
      <c r="R5121">
        <v>-0.99599919999999997</v>
      </c>
      <c r="S5121">
        <v>-9.9609379999999997E-2</v>
      </c>
      <c r="T5121">
        <v>-0.18800749999999999</v>
      </c>
      <c r="U5121">
        <v>-2.9943240000000002</v>
      </c>
      <c r="V5121">
        <v>3.8297190000000001E-3</v>
      </c>
      <c r="W5121">
        <v>-7.6706919999999998E-2</v>
      </c>
      <c r="X5121">
        <v>0.9970464</v>
      </c>
      <c r="Y5121">
        <v>2.9640150000000001E-2</v>
      </c>
      <c r="Z5121">
        <v>5.0256179999999998E-2</v>
      </c>
      <c r="AA5121">
        <v>0.99829639999999997</v>
      </c>
      <c r="AB5121">
        <v>21</v>
      </c>
      <c r="AC5121">
        <v>-0.59239999999999704</v>
      </c>
      <c r="AD5121">
        <v>-1.12090668499</v>
      </c>
      <c r="AE5121">
        <v>-17.42558</v>
      </c>
      <c r="AF5121">
        <v>0.52829187179260895</v>
      </c>
      <c r="AG5121">
        <v>-1.12090668499</v>
      </c>
      <c r="AH5121">
        <v>17.3558437766773</v>
      </c>
      <c r="AI5121">
        <v>93.693542340396306</v>
      </c>
      <c r="AJ5121">
        <v>88.256520863645903</v>
      </c>
      <c r="AK5121">
        <v>17.400024060290399</v>
      </c>
      <c r="AL5121">
        <v>94.399303891945195</v>
      </c>
      <c r="AM5121">
        <v>89.779924328189097</v>
      </c>
      <c r="AN5121">
        <v>1.00000007103823</v>
      </c>
    </row>
    <row r="5122" spans="1:40" x14ac:dyDescent="0.25">
      <c r="A5122" t="str">
        <f>"20190303154619460"</f>
        <v>20190303154619460</v>
      </c>
      <c r="B5122" t="str">
        <f>"1551599179455998"</f>
        <v>1551599179455998</v>
      </c>
      <c r="C5122" t="s">
        <v>40</v>
      </c>
      <c r="D5122">
        <v>5.3404509999999998</v>
      </c>
      <c r="E5122">
        <v>0.47630909999999899</v>
      </c>
      <c r="F5122" t="s">
        <v>60</v>
      </c>
      <c r="G5122">
        <v>-421.06650000000002</v>
      </c>
      <c r="H5122" s="1">
        <v>-2.6914909999999999E-6</v>
      </c>
      <c r="I5122">
        <v>35.622329999999998</v>
      </c>
      <c r="J5122">
        <v>-421.81319999999999</v>
      </c>
      <c r="K5122">
        <v>1.1209009999999999</v>
      </c>
      <c r="L5122">
        <v>49.155270000000002</v>
      </c>
      <c r="M5122">
        <v>-3.5676390000000001E-3</v>
      </c>
      <c r="N5122">
        <v>-1.236815E-2</v>
      </c>
      <c r="O5122">
        <v>-0.99991730000000001</v>
      </c>
      <c r="P5122">
        <v>-6.8767519999999999E-3</v>
      </c>
      <c r="Q5122">
        <v>-8.9706960000000002E-2</v>
      </c>
      <c r="R5122">
        <v>-0.99594459999999996</v>
      </c>
      <c r="S5122">
        <v>0.16241459999999999</v>
      </c>
      <c r="T5122">
        <v>-0.24407680000000001</v>
      </c>
      <c r="U5122">
        <v>-2.991425</v>
      </c>
      <c r="V5122">
        <v>3.31855E-3</v>
      </c>
      <c r="W5122">
        <v>-7.7382080000000006E-2</v>
      </c>
      <c r="X5122">
        <v>0.99699599999999999</v>
      </c>
      <c r="Y5122">
        <v>-5.761372E-2</v>
      </c>
      <c r="Z5122">
        <v>6.8859610000000002E-2</v>
      </c>
      <c r="AA5122">
        <v>0.9959614</v>
      </c>
      <c r="AB5122">
        <v>21</v>
      </c>
      <c r="AC5122">
        <v>0.74669999999997505</v>
      </c>
      <c r="AD5122">
        <v>-1.120903691491</v>
      </c>
      <c r="AE5122">
        <v>-13.53294</v>
      </c>
      <c r="AF5122">
        <v>-0.78957915451027405</v>
      </c>
      <c r="AG5122">
        <v>-1.120903691491</v>
      </c>
      <c r="AH5122">
        <v>13.438276966520201</v>
      </c>
      <c r="AI5122">
        <v>94.759904734852299</v>
      </c>
      <c r="AJ5122">
        <v>93.362603790567803</v>
      </c>
      <c r="AK5122">
        <v>13.508040130075999</v>
      </c>
      <c r="AL5122">
        <v>94.438103297412795</v>
      </c>
      <c r="AM5122">
        <v>89.809288896936593</v>
      </c>
      <c r="AN5122">
        <v>1.00000001154761</v>
      </c>
    </row>
    <row r="5123" spans="1:40" x14ac:dyDescent="0.25">
      <c r="A5123" t="str">
        <f>"20190303154619485"</f>
        <v>20190303154619485</v>
      </c>
      <c r="B5123" t="str">
        <f>"1551599179476027"</f>
        <v>1551599179476027</v>
      </c>
      <c r="C5123" t="s">
        <v>40</v>
      </c>
      <c r="D5123">
        <v>5.2947230000000003</v>
      </c>
      <c r="E5123">
        <v>0.47621000000000002</v>
      </c>
      <c r="F5123" t="s">
        <v>60</v>
      </c>
      <c r="G5123">
        <v>-421.04199999999997</v>
      </c>
      <c r="H5123" s="1">
        <v>-2.8272919999999998E-6</v>
      </c>
      <c r="I5123">
        <v>35.403309999999998</v>
      </c>
      <c r="J5123">
        <v>-421.81400000000002</v>
      </c>
      <c r="K5123">
        <v>1.120892</v>
      </c>
      <c r="L5123">
        <v>48.932650000000002</v>
      </c>
      <c r="M5123">
        <v>-3.597659E-3</v>
      </c>
      <c r="N5123">
        <v>-1.2341919999999999E-2</v>
      </c>
      <c r="O5123">
        <v>-0.99991750000000001</v>
      </c>
      <c r="P5123">
        <v>-6.7033800000000001E-3</v>
      </c>
      <c r="Q5123">
        <v>-8.9411770000000002E-2</v>
      </c>
      <c r="R5123">
        <v>-0.99597230000000003</v>
      </c>
      <c r="S5123">
        <v>0.16775509999999999</v>
      </c>
      <c r="T5123">
        <v>-0.24382690000000001</v>
      </c>
      <c r="U5123">
        <v>-2.991425</v>
      </c>
      <c r="V5123">
        <v>3.1138440000000002E-3</v>
      </c>
      <c r="W5123">
        <v>-7.7112790000000001E-2</v>
      </c>
      <c r="X5123">
        <v>0.9970175</v>
      </c>
      <c r="Y5123">
        <v>-5.9415599999999902E-2</v>
      </c>
      <c r="Z5123">
        <v>6.879478E-2</v>
      </c>
      <c r="AA5123">
        <v>0.99585999999999997</v>
      </c>
      <c r="AB5123">
        <v>21</v>
      </c>
      <c r="AC5123">
        <v>0.77200000000004798</v>
      </c>
      <c r="AD5123">
        <v>-1.1208948272920001</v>
      </c>
      <c r="AE5123">
        <v>-13.529339999999999</v>
      </c>
      <c r="AF5123">
        <v>-0.81509600420100503</v>
      </c>
      <c r="AG5123">
        <v>-1.1208948272920001</v>
      </c>
      <c r="AH5123">
        <v>13.4345594475084</v>
      </c>
      <c r="AI5123">
        <v>94.760638169339998</v>
      </c>
      <c r="AJ5123">
        <v>93.471969728183495</v>
      </c>
      <c r="AK5123">
        <v>13.505857035321799</v>
      </c>
      <c r="AL5123">
        <v>94.422627985205693</v>
      </c>
      <c r="AM5123">
        <v>89.821056762606901</v>
      </c>
      <c r="AN5123">
        <v>0.999999986856145</v>
      </c>
    </row>
    <row r="5124" spans="1:40" x14ac:dyDescent="0.25">
      <c r="A5124" t="str">
        <f>"20190303154619509"</f>
        <v>20190303154619509</v>
      </c>
      <c r="B5124" t="str">
        <f>"1551599179496523"</f>
        <v>1551599179496523</v>
      </c>
      <c r="C5124" t="s">
        <v>40</v>
      </c>
      <c r="D5124">
        <v>5.3587350000000002</v>
      </c>
      <c r="E5124">
        <v>0.47526239999999997</v>
      </c>
      <c r="F5124" t="s">
        <v>60</v>
      </c>
      <c r="G5124">
        <v>-421.0335</v>
      </c>
      <c r="H5124" s="1">
        <v>-2.9916190000000002E-6</v>
      </c>
      <c r="I5124">
        <v>35.14293</v>
      </c>
      <c r="J5124">
        <v>-421.81479999999999</v>
      </c>
      <c r="K5124">
        <v>1.120887</v>
      </c>
      <c r="L5124">
        <v>48.703670000000002</v>
      </c>
      <c r="M5124">
        <v>-3.6425310000000001E-3</v>
      </c>
      <c r="N5124">
        <v>-1.232543E-2</v>
      </c>
      <c r="O5124">
        <v>-0.99991750000000001</v>
      </c>
      <c r="P5124">
        <v>-7.0619209999999996E-3</v>
      </c>
      <c r="Q5124">
        <v>-8.9473300000000006E-2</v>
      </c>
      <c r="R5124">
        <v>-0.99596430000000002</v>
      </c>
      <c r="S5124">
        <v>0.1693115</v>
      </c>
      <c r="T5124">
        <v>-0.24315999999999999</v>
      </c>
      <c r="U5124">
        <v>-2.9914550000000002</v>
      </c>
      <c r="V5124">
        <v>3.4257490000000001E-3</v>
      </c>
      <c r="W5124">
        <v>-7.719094E-2</v>
      </c>
      <c r="X5124">
        <v>0.99701050000000002</v>
      </c>
      <c r="Y5124">
        <v>-5.9976929999999998E-2</v>
      </c>
      <c r="Z5124">
        <v>6.8587270000000006E-2</v>
      </c>
      <c r="AA5124">
        <v>0.99584059999999996</v>
      </c>
      <c r="AB5124">
        <v>21</v>
      </c>
      <c r="AC5124">
        <v>0.781299999999987</v>
      </c>
      <c r="AD5124">
        <v>-1.120889991619</v>
      </c>
      <c r="AE5124">
        <v>-13.560739999999999</v>
      </c>
      <c r="AF5124">
        <v>-0.82507556618152</v>
      </c>
      <c r="AG5124">
        <v>-1.120889991619</v>
      </c>
      <c r="AH5124">
        <v>13.4661054527134</v>
      </c>
      <c r="AI5124">
        <v>94.749344460952699</v>
      </c>
      <c r="AJ5124">
        <v>93.506160323272994</v>
      </c>
      <c r="AK5124">
        <v>13.537841043786001</v>
      </c>
      <c r="AL5124">
        <v>94.427118725333102</v>
      </c>
      <c r="AM5124">
        <v>89.803131274013694</v>
      </c>
      <c r="AN5124">
        <v>1.00000005704227</v>
      </c>
    </row>
    <row r="5125" spans="1:40" x14ac:dyDescent="0.25">
      <c r="A5125" t="str">
        <f>"20190303154619531"</f>
        <v>20190303154619531</v>
      </c>
      <c r="B5125" t="str">
        <f>"1551599179526779"</f>
        <v>1551599179526779</v>
      </c>
      <c r="C5125" t="s">
        <v>40</v>
      </c>
      <c r="D5125">
        <v>5.3273599999999997</v>
      </c>
      <c r="E5125">
        <v>0.47437069999999998</v>
      </c>
      <c r="F5125" t="s">
        <v>60</v>
      </c>
      <c r="G5125">
        <v>-421.00450000000001</v>
      </c>
      <c r="H5125" s="1">
        <v>-3.127648E-6</v>
      </c>
      <c r="I5125">
        <v>34.92257</v>
      </c>
      <c r="J5125">
        <v>-421.81569999999999</v>
      </c>
      <c r="K5125">
        <v>1.120884</v>
      </c>
      <c r="L5125">
        <v>48.485289999999999</v>
      </c>
      <c r="M5125">
        <v>-3.699534E-3</v>
      </c>
      <c r="N5125">
        <v>-1.2316860000000001E-2</v>
      </c>
      <c r="O5125">
        <v>-0.99991750000000001</v>
      </c>
      <c r="P5125">
        <v>-6.9488149999999997E-3</v>
      </c>
      <c r="Q5125">
        <v>-8.9166049999999997E-2</v>
      </c>
      <c r="R5125">
        <v>-0.99599280000000001</v>
      </c>
      <c r="S5125">
        <v>0.17590329999999901</v>
      </c>
      <c r="T5125">
        <v>-0.24331820000000001</v>
      </c>
      <c r="U5125">
        <v>-2.9915470000000002</v>
      </c>
      <c r="V5125">
        <v>3.2537769999999998E-3</v>
      </c>
      <c r="W5125">
        <v>-7.6891950000000001E-2</v>
      </c>
      <c r="X5125">
        <v>0.99703410000000003</v>
      </c>
      <c r="Y5125">
        <v>-6.2217509999999997E-2</v>
      </c>
      <c r="Z5125">
        <v>6.8634929999999997E-2</v>
      </c>
      <c r="AA5125">
        <v>0.99569989999999997</v>
      </c>
      <c r="AB5125">
        <v>21</v>
      </c>
      <c r="AC5125">
        <v>0.81119999999998504</v>
      </c>
      <c r="AD5125">
        <v>-1.1208871276479999</v>
      </c>
      <c r="AE5125">
        <v>-13.562720000000001</v>
      </c>
      <c r="AF5125">
        <v>-0.85555127536002595</v>
      </c>
      <c r="AG5125">
        <v>-1.1208871276479999</v>
      </c>
      <c r="AH5125">
        <v>13.4679655745459</v>
      </c>
      <c r="AI5125">
        <v>94.7480171255214</v>
      </c>
      <c r="AJ5125">
        <v>93.634825037003907</v>
      </c>
      <c r="AK5125">
        <v>13.541582354173</v>
      </c>
      <c r="AL5125">
        <v>94.409937144705793</v>
      </c>
      <c r="AM5125">
        <v>89.813018403529398</v>
      </c>
      <c r="AN5125">
        <v>0.99999997780118899</v>
      </c>
    </row>
    <row r="5126" spans="1:40" x14ac:dyDescent="0.25">
      <c r="A5126" t="str">
        <f>"20190303154619553"</f>
        <v>20190303154619553</v>
      </c>
      <c r="B5126" t="str">
        <f>"1551599179546299"</f>
        <v>1551599179546299</v>
      </c>
      <c r="C5126" t="s">
        <v>40</v>
      </c>
      <c r="D5126">
        <v>5.2575209999999997</v>
      </c>
      <c r="E5126">
        <v>0.4738716</v>
      </c>
      <c r="F5126" t="s">
        <v>60</v>
      </c>
      <c r="G5126">
        <v>-420.98570000000001</v>
      </c>
      <c r="H5126" s="1">
        <v>-3.1169409999999998E-6</v>
      </c>
      <c r="I5126">
        <v>34.935299999999998</v>
      </c>
      <c r="J5126">
        <v>-421.81650000000002</v>
      </c>
      <c r="K5126">
        <v>1.1208670000000001</v>
      </c>
      <c r="L5126">
        <v>48.2883</v>
      </c>
      <c r="M5126">
        <v>-3.76823E-3</v>
      </c>
      <c r="N5126">
        <v>-1.231353E-2</v>
      </c>
      <c r="O5126">
        <v>-0.99991699999999994</v>
      </c>
      <c r="P5126">
        <v>-7.3128960000000002E-3</v>
      </c>
      <c r="Q5126">
        <v>-8.9087330000000006E-2</v>
      </c>
      <c r="R5126">
        <v>-0.99599689999999996</v>
      </c>
      <c r="S5126">
        <v>0.18322749999999999</v>
      </c>
      <c r="T5126">
        <v>-0.24743989999999999</v>
      </c>
      <c r="U5126">
        <v>-2.9912109999999998</v>
      </c>
      <c r="V5126">
        <v>3.547302E-3</v>
      </c>
      <c r="W5126">
        <v>-7.6816659999999995E-2</v>
      </c>
      <c r="X5126">
        <v>0.99703889999999995</v>
      </c>
      <c r="Y5126">
        <v>-6.4713939999999998E-2</v>
      </c>
      <c r="Z5126">
        <v>6.9997519999999994E-2</v>
      </c>
      <c r="AA5126">
        <v>0.99544580000000005</v>
      </c>
      <c r="AB5126">
        <v>21</v>
      </c>
      <c r="AC5126">
        <v>0.83080000000000997</v>
      </c>
      <c r="AD5126">
        <v>-1.120870116941</v>
      </c>
      <c r="AE5126">
        <v>-13.353</v>
      </c>
      <c r="AF5126">
        <v>-0.87497365944829897</v>
      </c>
      <c r="AG5126">
        <v>-1.120870116941</v>
      </c>
      <c r="AH5126">
        <v>13.256725410427901</v>
      </c>
      <c r="AI5126">
        <v>94.8224807848663</v>
      </c>
      <c r="AJ5126">
        <v>93.776173146441394</v>
      </c>
      <c r="AK5126">
        <v>13.332767804595701</v>
      </c>
      <c r="AL5126">
        <v>94.405610559523097</v>
      </c>
      <c r="AM5126">
        <v>89.796151809432104</v>
      </c>
      <c r="AN5126">
        <v>0.999999975359122</v>
      </c>
    </row>
    <row r="5127" spans="1:40" x14ac:dyDescent="0.25">
      <c r="A5127" t="str">
        <f>"20190303154619574"</f>
        <v>20190303154619574</v>
      </c>
      <c r="B5127" t="str">
        <f>"1551599179566795"</f>
        <v>1551599179566795</v>
      </c>
      <c r="C5127" t="s">
        <v>40</v>
      </c>
      <c r="D5127">
        <v>5.2971539999999999</v>
      </c>
      <c r="E5127">
        <v>0.47313860000000002</v>
      </c>
      <c r="F5127" t="s">
        <v>60</v>
      </c>
      <c r="G5127">
        <v>-420.98559999999998</v>
      </c>
      <c r="H5127" s="1">
        <v>-3.1171160000000002E-6</v>
      </c>
      <c r="I5127">
        <v>34.934980000000003</v>
      </c>
      <c r="J5127">
        <v>-421.81740000000002</v>
      </c>
      <c r="K5127">
        <v>1.120852</v>
      </c>
      <c r="L5127">
        <v>48.084350000000001</v>
      </c>
      <c r="M5127">
        <v>-3.8622639999999998E-3</v>
      </c>
      <c r="N5127">
        <v>-1.2315700000000001E-2</v>
      </c>
      <c r="O5127">
        <v>-0.99991699999999994</v>
      </c>
      <c r="P5127">
        <v>-7.0965610000000004E-3</v>
      </c>
      <c r="Q5127">
        <v>-8.9922249999999995E-2</v>
      </c>
      <c r="R5127">
        <v>-0.99592400000000003</v>
      </c>
      <c r="S5127">
        <v>0.18612670000000001</v>
      </c>
      <c r="T5127">
        <v>-0.25106000000000001</v>
      </c>
      <c r="U5127">
        <v>-2.9909669999999999</v>
      </c>
      <c r="V5127">
        <v>3.2346580000000001E-3</v>
      </c>
      <c r="W5127">
        <v>-7.7650280000000002E-2</v>
      </c>
      <c r="X5127">
        <v>0.99697539999999996</v>
      </c>
      <c r="Y5127">
        <v>-6.5767580000000006E-2</v>
      </c>
      <c r="Z5127">
        <v>7.1193210000000007E-2</v>
      </c>
      <c r="AA5127">
        <v>0.99529199999999995</v>
      </c>
      <c r="AB5127">
        <v>21</v>
      </c>
      <c r="AC5127">
        <v>0.83180000000004295</v>
      </c>
      <c r="AD5127">
        <v>-1.1208551171159999</v>
      </c>
      <c r="AE5127">
        <v>-13.149369999999999</v>
      </c>
      <c r="AF5127">
        <v>-0.87624265878956997</v>
      </c>
      <c r="AG5127">
        <v>-1.1208551171159999</v>
      </c>
      <c r="AH5127">
        <v>13.051605413141401</v>
      </c>
      <c r="AI5127">
        <v>94.897473690593202</v>
      </c>
      <c r="AJ5127">
        <v>93.840889873991003</v>
      </c>
      <c r="AK5127">
        <v>13.1289192720113</v>
      </c>
      <c r="AL5127">
        <v>94.453516504327297</v>
      </c>
      <c r="AM5127">
        <v>89.814106144177003</v>
      </c>
      <c r="AN5127">
        <v>0.99999998860080697</v>
      </c>
    </row>
    <row r="5128" spans="1:40" x14ac:dyDescent="0.25">
      <c r="A5128" t="str">
        <f>"20190303154619595"</f>
        <v>20190303154619595</v>
      </c>
      <c r="B5128" t="str">
        <f>"1551599179586315"</f>
        <v>1551599179586315</v>
      </c>
      <c r="C5128" t="s">
        <v>40</v>
      </c>
      <c r="D5128">
        <v>5.2690900000000003</v>
      </c>
      <c r="E5128">
        <v>0.4726765</v>
      </c>
      <c r="F5128" t="s">
        <v>60</v>
      </c>
      <c r="G5128">
        <v>-420.98039999999997</v>
      </c>
      <c r="H5128" s="1">
        <v>-3.0049089999999998E-6</v>
      </c>
      <c r="I5128">
        <v>35.110390000000002</v>
      </c>
      <c r="J5128">
        <v>-421.81819999999999</v>
      </c>
      <c r="K5128">
        <v>1.1208340000000001</v>
      </c>
      <c r="L5128">
        <v>47.885680000000001</v>
      </c>
      <c r="M5128">
        <v>-3.9806659999999999E-3</v>
      </c>
      <c r="N5128">
        <v>-1.2324740000000001E-2</v>
      </c>
      <c r="O5128">
        <v>-0.99991629999999998</v>
      </c>
      <c r="P5128">
        <v>-6.8879140000000002E-3</v>
      </c>
      <c r="Q5128">
        <v>-9.0249960000000004E-2</v>
      </c>
      <c r="R5128">
        <v>-0.99589559999999999</v>
      </c>
      <c r="S5128">
        <v>0.19290160000000001</v>
      </c>
      <c r="T5128">
        <v>-0.25834230000000002</v>
      </c>
      <c r="U5128">
        <v>-2.990326</v>
      </c>
      <c r="V5128">
        <v>2.904808E-3</v>
      </c>
      <c r="W5128">
        <v>-7.7969410000000003E-2</v>
      </c>
      <c r="X5128">
        <v>0.99695149999999999</v>
      </c>
      <c r="Y5128">
        <v>-6.8130979999999994E-2</v>
      </c>
      <c r="Z5128">
        <v>7.3595279999999999E-2</v>
      </c>
      <c r="AA5128">
        <v>0.99495820000000001</v>
      </c>
      <c r="AB5128">
        <v>21</v>
      </c>
      <c r="AC5128">
        <v>0.83780000000001498</v>
      </c>
      <c r="AD5128">
        <v>-1.120837004909</v>
      </c>
      <c r="AE5128">
        <v>-12.775289999999901</v>
      </c>
      <c r="AF5128">
        <v>-0.88189218045031204</v>
      </c>
      <c r="AG5128">
        <v>-1.120837004909</v>
      </c>
      <c r="AH5128">
        <v>12.674709145641501</v>
      </c>
      <c r="AI5128">
        <v>95.041450863512097</v>
      </c>
      <c r="AJ5128">
        <v>93.980162003555193</v>
      </c>
      <c r="AK5128">
        <v>12.7546956583103</v>
      </c>
      <c r="AL5128">
        <v>94.471856949030894</v>
      </c>
      <c r="AM5128">
        <v>89.8330583105448</v>
      </c>
      <c r="AN5128">
        <v>0.99999998007875701</v>
      </c>
    </row>
    <row r="5129" spans="1:40" x14ac:dyDescent="0.25">
      <c r="A5129" t="str">
        <f>"20190303154619618"</f>
        <v>20190303154619618</v>
      </c>
      <c r="B5129" t="str">
        <f>"1551599179606811"</f>
        <v>1551599179606811</v>
      </c>
      <c r="C5129" t="s">
        <v>40</v>
      </c>
      <c r="D5129">
        <v>5.3005040000000001</v>
      </c>
      <c r="E5129">
        <v>0.47226430000000003</v>
      </c>
      <c r="F5129" t="s">
        <v>60</v>
      </c>
      <c r="G5129">
        <v>-420.9735</v>
      </c>
      <c r="H5129" s="1">
        <v>-3.0178539999999999E-6</v>
      </c>
      <c r="I5129">
        <v>35.088509999999999</v>
      </c>
      <c r="J5129">
        <v>-421.8193</v>
      </c>
      <c r="K5129">
        <v>1.1208119999999999</v>
      </c>
      <c r="L5129">
        <v>47.66675</v>
      </c>
      <c r="M5129">
        <v>-4.1437139999999997E-3</v>
      </c>
      <c r="N5129">
        <v>-1.234522E-2</v>
      </c>
      <c r="O5129">
        <v>-0.9999152</v>
      </c>
      <c r="P5129">
        <v>-6.7614320000000004E-3</v>
      </c>
      <c r="Q5129">
        <v>-9.1271350000000001E-2</v>
      </c>
      <c r="R5129">
        <v>-0.99580310000000005</v>
      </c>
      <c r="S5129">
        <v>0.19735720000000001</v>
      </c>
      <c r="T5129">
        <v>-0.26187749999999999</v>
      </c>
      <c r="U5129">
        <v>-2.9899900000000001</v>
      </c>
      <c r="V5129">
        <v>2.6118360000000002E-3</v>
      </c>
      <c r="W5129">
        <v>-7.8971520000000003E-2</v>
      </c>
      <c r="X5129">
        <v>0.99687340000000002</v>
      </c>
      <c r="Y5129">
        <v>-6.9769899999999996E-2</v>
      </c>
      <c r="Z5129">
        <v>7.4742779999999995E-2</v>
      </c>
      <c r="AA5129">
        <v>0.99475910000000001</v>
      </c>
      <c r="AB5129">
        <v>21</v>
      </c>
      <c r="AC5129">
        <v>0.845799999999997</v>
      </c>
      <c r="AD5129">
        <v>-1.120815017854</v>
      </c>
      <c r="AE5129">
        <v>-12.578239999999999</v>
      </c>
      <c r="AF5129">
        <v>-0.89087550422578199</v>
      </c>
      <c r="AG5129">
        <v>-1.120815017854</v>
      </c>
      <c r="AH5129">
        <v>12.476011607267299</v>
      </c>
      <c r="AI5129">
        <v>95.120566075479601</v>
      </c>
      <c r="AJ5129">
        <v>94.084391410638304</v>
      </c>
      <c r="AK5129">
        <v>12.557895966002601</v>
      </c>
      <c r="AL5129">
        <v>94.529451362126295</v>
      </c>
      <c r="AM5129">
        <v>89.849883809557099</v>
      </c>
      <c r="AN5129">
        <v>0.99999994914297896</v>
      </c>
    </row>
    <row r="5130" spans="1:40" x14ac:dyDescent="0.25">
      <c r="A5130" t="str">
        <f>"20190303154619651"</f>
        <v>20190303154619651</v>
      </c>
      <c r="B5130" t="str">
        <f>"1551599179646827"</f>
        <v>1551599179646827</v>
      </c>
      <c r="C5130" t="s">
        <v>40</v>
      </c>
      <c r="D5130">
        <v>5.2534780000000003</v>
      </c>
      <c r="E5130">
        <v>0.47153230000000002</v>
      </c>
      <c r="F5130" t="s">
        <v>60</v>
      </c>
      <c r="G5130">
        <v>-420.98099999999999</v>
      </c>
      <c r="H5130" s="1">
        <v>-2.9570140000000002E-6</v>
      </c>
      <c r="I5130">
        <v>35.185870000000001</v>
      </c>
      <c r="J5130">
        <v>-421.82089999999999</v>
      </c>
      <c r="K5130">
        <v>1.120781</v>
      </c>
      <c r="L5130">
        <v>47.359589999999997</v>
      </c>
      <c r="M5130">
        <v>-4.4340689999999997E-3</v>
      </c>
      <c r="N5130">
        <v>-1.2386869999999999E-2</v>
      </c>
      <c r="O5130">
        <v>-0.99991350000000001</v>
      </c>
      <c r="P5130">
        <v>-6.8575789999999999E-3</v>
      </c>
      <c r="Q5130">
        <v>-9.1814400000000004E-2</v>
      </c>
      <c r="R5130">
        <v>-0.99575239999999998</v>
      </c>
      <c r="S5130">
        <v>0.20077510000000001</v>
      </c>
      <c r="T5130">
        <v>-0.26845669999999999</v>
      </c>
      <c r="U5130">
        <v>-2.9894099999999999</v>
      </c>
      <c r="V5130">
        <v>2.4119879999999999E-3</v>
      </c>
      <c r="W5130">
        <v>-7.9473790000000002E-2</v>
      </c>
      <c r="X5130">
        <v>0.996834</v>
      </c>
      <c r="Y5130">
        <v>-7.1191589999999999E-2</v>
      </c>
      <c r="Z5130">
        <v>7.6882119999999998E-2</v>
      </c>
      <c r="AA5130">
        <v>0.99449529999999997</v>
      </c>
      <c r="AB5130">
        <v>21</v>
      </c>
      <c r="AC5130">
        <v>0.83989999999999998</v>
      </c>
      <c r="AD5130">
        <v>-1.1207839570139999</v>
      </c>
      <c r="AE5130">
        <v>-12.173719999999999</v>
      </c>
      <c r="AF5130">
        <v>-0.88639737673302499</v>
      </c>
      <c r="AG5130">
        <v>-1.1207839570139999</v>
      </c>
      <c r="AH5130">
        <v>12.0680700123159</v>
      </c>
      <c r="AI5130">
        <v>95.291771146418398</v>
      </c>
      <c r="AJ5130">
        <v>94.200820312609395</v>
      </c>
      <c r="AK5130">
        <v>12.1523730526156</v>
      </c>
      <c r="AL5130">
        <v>94.558319990969395</v>
      </c>
      <c r="AM5130">
        <v>89.861364617441794</v>
      </c>
      <c r="AN5130">
        <v>0.99999996226953702</v>
      </c>
    </row>
    <row r="5131" spans="1:40" x14ac:dyDescent="0.25">
      <c r="A5131" t="str">
        <f>"20190303154619673"</f>
        <v>20190303154619673</v>
      </c>
      <c r="B5131" t="str">
        <f>"1551599179666347"</f>
        <v>1551599179666347</v>
      </c>
      <c r="C5131" t="s">
        <v>40</v>
      </c>
      <c r="D5131">
        <v>5.2526020000000004</v>
      </c>
      <c r="E5131">
        <v>0.4713367</v>
      </c>
      <c r="F5131" t="s">
        <v>60</v>
      </c>
      <c r="G5131">
        <v>-420.97320000000002</v>
      </c>
      <c r="H5131" s="1">
        <v>-3.0006020000000002E-6</v>
      </c>
      <c r="I5131">
        <v>35.115589999999997</v>
      </c>
      <c r="J5131">
        <v>-421.82209999999998</v>
      </c>
      <c r="K5131">
        <v>1.12076</v>
      </c>
      <c r="L5131">
        <v>47.149749999999997</v>
      </c>
      <c r="M5131">
        <v>-4.6737710000000002E-3</v>
      </c>
      <c r="N5131">
        <v>-1.2419970000000001E-2</v>
      </c>
      <c r="O5131">
        <v>-0.99991209999999997</v>
      </c>
      <c r="P5131">
        <v>-6.8458599999999996E-3</v>
      </c>
      <c r="Q5131">
        <v>-9.2518180000000005E-2</v>
      </c>
      <c r="R5131">
        <v>-0.99568760000000001</v>
      </c>
      <c r="S5131">
        <v>0.2069397</v>
      </c>
      <c r="T5131">
        <v>-0.27360380000000001</v>
      </c>
      <c r="U5131">
        <v>-2.9889830000000002</v>
      </c>
      <c r="V5131">
        <v>2.1575330000000001E-3</v>
      </c>
      <c r="W5131">
        <v>-8.0145300000000003E-2</v>
      </c>
      <c r="X5131">
        <v>0.99678089999999997</v>
      </c>
      <c r="Y5131">
        <v>-7.3470259999999996E-2</v>
      </c>
      <c r="Z5131">
        <v>7.8546340000000006E-2</v>
      </c>
      <c r="AA5131">
        <v>0.99419950000000001</v>
      </c>
      <c r="AB5131">
        <v>21</v>
      </c>
      <c r="AC5131">
        <v>0.84889999999995702</v>
      </c>
      <c r="AD5131">
        <v>-1.120763000602</v>
      </c>
      <c r="AE5131">
        <v>-12.0341599999999</v>
      </c>
      <c r="AF5131">
        <v>-0.89739492017247202</v>
      </c>
      <c r="AG5131">
        <v>-1.120763000602</v>
      </c>
      <c r="AH5131">
        <v>11.9271226076111</v>
      </c>
      <c r="AI5131">
        <v>95.353140816744101</v>
      </c>
      <c r="AJ5131">
        <v>94.302818628530105</v>
      </c>
      <c r="AK5131">
        <v>12.013229417740099</v>
      </c>
      <c r="AL5131">
        <v>94.596917430611796</v>
      </c>
      <c r="AM5131">
        <v>89.8759834362709</v>
      </c>
      <c r="AN5131">
        <v>1.00000004333277</v>
      </c>
    </row>
    <row r="5132" spans="1:40" x14ac:dyDescent="0.25">
      <c r="A5132" t="str">
        <f>"20190303154619706"</f>
        <v>20190303154619706</v>
      </c>
      <c r="B5132" t="str">
        <f>"1551599179696603"</f>
        <v>1551599179696603</v>
      </c>
      <c r="C5132" t="s">
        <v>40</v>
      </c>
      <c r="D5132">
        <v>5.2402949999999997</v>
      </c>
      <c r="E5132">
        <v>0.47103600000000001</v>
      </c>
      <c r="F5132" t="s">
        <v>60</v>
      </c>
      <c r="G5132">
        <v>-420.97879999999998</v>
      </c>
      <c r="H5132" s="1">
        <v>-3.0598290000000001E-6</v>
      </c>
      <c r="I5132">
        <v>35.023620000000001</v>
      </c>
      <c r="J5132">
        <v>-421.82409999999999</v>
      </c>
      <c r="K5132">
        <v>1.120741</v>
      </c>
      <c r="L5132">
        <v>46.838349999999998</v>
      </c>
      <c r="M5132">
        <v>-5.0858999999999904E-3</v>
      </c>
      <c r="N5132">
        <v>-1.2477149999999999E-2</v>
      </c>
      <c r="O5132">
        <v>-0.99990950000000001</v>
      </c>
      <c r="P5132">
        <v>-7.8473699999999993E-3</v>
      </c>
      <c r="Q5132">
        <v>-9.3657340000000006E-2</v>
      </c>
      <c r="R5132">
        <v>-0.99557379999999995</v>
      </c>
      <c r="S5132">
        <v>0.20785519999999999</v>
      </c>
      <c r="T5132">
        <v>-0.27623569999999997</v>
      </c>
      <c r="U5132">
        <v>-2.9887389999999998</v>
      </c>
      <c r="V5132">
        <v>2.7440730000000001E-3</v>
      </c>
      <c r="W5132">
        <v>-8.1229140000000005E-2</v>
      </c>
      <c r="X5132">
        <v>0.99669169999999996</v>
      </c>
      <c r="Y5132">
        <v>-7.4184379999999994E-2</v>
      </c>
      <c r="Z5132">
        <v>7.9361109999999999E-2</v>
      </c>
      <c r="AA5132">
        <v>0.99408169999999996</v>
      </c>
      <c r="AB5132">
        <v>21</v>
      </c>
      <c r="AC5132">
        <v>0.84530000000000804</v>
      </c>
      <c r="AD5132">
        <v>-1.1207440598289999</v>
      </c>
      <c r="AE5132">
        <v>-11.8147299999999</v>
      </c>
      <c r="AF5132">
        <v>-0.89734868285811098</v>
      </c>
      <c r="AG5132">
        <v>-1.1207440598289999</v>
      </c>
      <c r="AH5132">
        <v>11.7054835346527</v>
      </c>
      <c r="AI5132">
        <v>95.453221899936494</v>
      </c>
      <c r="AJ5132">
        <v>94.383751252759794</v>
      </c>
      <c r="AK5132">
        <v>11.793203410706299</v>
      </c>
      <c r="AL5132">
        <v>94.659220118475702</v>
      </c>
      <c r="AM5132">
        <v>89.842254726988202</v>
      </c>
      <c r="AN5132">
        <v>1.00000002398532</v>
      </c>
    </row>
    <row r="5133" spans="1:40" x14ac:dyDescent="0.25">
      <c r="A5133" t="str">
        <f>"20190303154619728"</f>
        <v>20190303154619728</v>
      </c>
      <c r="B5133" t="str">
        <f>"1551599179716123"</f>
        <v>1551599179716123</v>
      </c>
      <c r="C5133" t="s">
        <v>40</v>
      </c>
      <c r="D5133">
        <v>5.2029079999999999</v>
      </c>
      <c r="E5133">
        <v>0.47088669999999999</v>
      </c>
      <c r="F5133" t="s">
        <v>60</v>
      </c>
      <c r="G5133">
        <v>-420.995</v>
      </c>
      <c r="H5133" s="1">
        <v>-3.1525119999999998E-6</v>
      </c>
      <c r="I5133">
        <v>34.881360000000001</v>
      </c>
      <c r="J5133">
        <v>-421.82549999999998</v>
      </c>
      <c r="K5133">
        <v>1.1207309999999999</v>
      </c>
      <c r="L5133">
        <v>46.62717</v>
      </c>
      <c r="M5133">
        <v>-5.3989559999999999E-3</v>
      </c>
      <c r="N5133">
        <v>-1.2525120000000001E-2</v>
      </c>
      <c r="O5133">
        <v>-0.99990710000000005</v>
      </c>
      <c r="P5133">
        <v>-8.5003040000000002E-3</v>
      </c>
      <c r="Q5133">
        <v>-9.4552410000000003E-2</v>
      </c>
      <c r="R5133">
        <v>-0.99548380000000003</v>
      </c>
      <c r="S5133">
        <v>0.20724490000000001</v>
      </c>
      <c r="T5133">
        <v>-0.28012680000000001</v>
      </c>
      <c r="U5133">
        <v>-2.9886170000000001</v>
      </c>
      <c r="V5133">
        <v>3.0827749999999998E-3</v>
      </c>
      <c r="W5133">
        <v>-8.2077670000000005E-2</v>
      </c>
      <c r="X5133">
        <v>0.99662119999999998</v>
      </c>
      <c r="Y5133">
        <v>-7.4289590000000003E-2</v>
      </c>
      <c r="Z5133">
        <v>8.0600249999999998E-2</v>
      </c>
      <c r="AA5133">
        <v>0.99397409999999997</v>
      </c>
      <c r="AB5133">
        <v>21</v>
      </c>
      <c r="AC5133">
        <v>0.83049999999997204</v>
      </c>
      <c r="AD5133">
        <v>-1.12073415251199</v>
      </c>
      <c r="AE5133">
        <v>-11.745810000000001</v>
      </c>
      <c r="AF5133">
        <v>-0.88588288475346799</v>
      </c>
      <c r="AG5133">
        <v>-1.12073415251199</v>
      </c>
      <c r="AH5133">
        <v>11.635748001867499</v>
      </c>
      <c r="AI5133">
        <v>95.485875065140903</v>
      </c>
      <c r="AJ5133">
        <v>94.353791338458606</v>
      </c>
      <c r="AK5133">
        <v>11.7231166968972</v>
      </c>
      <c r="AL5133">
        <v>94.708000156602694</v>
      </c>
      <c r="AM5133">
        <v>89.822771747824703</v>
      </c>
      <c r="AN5133">
        <v>1.00000003185188</v>
      </c>
    </row>
    <row r="5134" spans="1:40" x14ac:dyDescent="0.25">
      <c r="A5134" t="str">
        <f>"20190303154619751"</f>
        <v>20190303154619751</v>
      </c>
      <c r="B5134" t="str">
        <f>"1551599179746378"</f>
        <v>1551599179746378</v>
      </c>
      <c r="C5134" t="s">
        <v>40</v>
      </c>
      <c r="D5134">
        <v>5.1363479999999999</v>
      </c>
      <c r="E5134">
        <v>0.47060590000000002</v>
      </c>
      <c r="F5134" t="s">
        <v>60</v>
      </c>
      <c r="G5134">
        <v>-421.00650000000002</v>
      </c>
      <c r="H5134" s="1">
        <v>-3.206342E-6</v>
      </c>
      <c r="I5134">
        <v>34.799190000000003</v>
      </c>
      <c r="J5134">
        <v>-421.827</v>
      </c>
      <c r="K5134">
        <v>1.1207370000000001</v>
      </c>
      <c r="L5134">
        <v>46.418669999999999</v>
      </c>
      <c r="M5134">
        <v>-5.7255869999999999E-3</v>
      </c>
      <c r="N5134">
        <v>-1.257806E-2</v>
      </c>
      <c r="O5134">
        <v>-0.99990449999999997</v>
      </c>
      <c r="P5134">
        <v>-9.5790070000000005E-3</v>
      </c>
      <c r="Q5134">
        <v>-9.5064360000000001E-2</v>
      </c>
      <c r="R5134">
        <v>-0.995425</v>
      </c>
      <c r="S5134">
        <v>0.2069397</v>
      </c>
      <c r="T5134">
        <v>-0.28316829999999998</v>
      </c>
      <c r="U5134">
        <v>-2.9884949999999999</v>
      </c>
      <c r="V5134">
        <v>3.834395E-3</v>
      </c>
      <c r="W5134">
        <v>-8.2537940000000004E-2</v>
      </c>
      <c r="X5134">
        <v>0.99658049999999998</v>
      </c>
      <c r="Y5134">
        <v>-7.4510939999999998E-2</v>
      </c>
      <c r="Z5134">
        <v>8.1553239999999999E-2</v>
      </c>
      <c r="AA5134">
        <v>0.99387990000000004</v>
      </c>
      <c r="AB5134">
        <v>21</v>
      </c>
      <c r="AC5134">
        <v>0.82049999999998102</v>
      </c>
      <c r="AD5134">
        <v>-1.120740206342</v>
      </c>
      <c r="AE5134">
        <v>-11.6194799999999</v>
      </c>
      <c r="AF5134">
        <v>-0.87888421056186905</v>
      </c>
      <c r="AG5134">
        <v>-1.120740206342</v>
      </c>
      <c r="AH5134">
        <v>11.508059693775399</v>
      </c>
      <c r="AI5134">
        <v>95.546297318552206</v>
      </c>
      <c r="AJ5134">
        <v>94.367269230571296</v>
      </c>
      <c r="AK5134">
        <v>11.5958584840099</v>
      </c>
      <c r="AL5134">
        <v>94.734461840375005</v>
      </c>
      <c r="AM5134">
        <v>89.779552613761595</v>
      </c>
      <c r="AN5134">
        <v>0.99999995355235305</v>
      </c>
    </row>
    <row r="5135" spans="1:40" x14ac:dyDescent="0.25">
      <c r="A5135" t="str">
        <f>"20190303154619773"</f>
        <v>20190303154619773</v>
      </c>
      <c r="B5135" t="str">
        <f>"1551599179766875"</f>
        <v>1551599179766875</v>
      </c>
      <c r="C5135" t="s">
        <v>40</v>
      </c>
      <c r="D5135">
        <v>5.1455880000000001</v>
      </c>
      <c r="E5135">
        <v>0.47043020000000002</v>
      </c>
      <c r="F5135" t="s">
        <v>60</v>
      </c>
      <c r="G5135">
        <v>-421.0215</v>
      </c>
      <c r="H5135" s="1">
        <v>-3.2600569999999998E-6</v>
      </c>
      <c r="I5135">
        <v>34.717959999999998</v>
      </c>
      <c r="J5135">
        <v>-421.82859999999999</v>
      </c>
      <c r="K5135">
        <v>1.1207419999999999</v>
      </c>
      <c r="L5135">
        <v>46.205509999999997</v>
      </c>
      <c r="M5135">
        <v>-6.0728619999999896E-3</v>
      </c>
      <c r="N5135">
        <v>-1.264211E-2</v>
      </c>
      <c r="O5135">
        <v>-0.9999017</v>
      </c>
      <c r="P5135">
        <v>-1.0426070000000001E-2</v>
      </c>
      <c r="Q5135">
        <v>-9.4998100000000002E-2</v>
      </c>
      <c r="R5135">
        <v>-0.9954229</v>
      </c>
      <c r="S5135">
        <v>0.2057495</v>
      </c>
      <c r="T5135">
        <v>-0.2862442</v>
      </c>
      <c r="U5135">
        <v>-2.9884339999999998</v>
      </c>
      <c r="V5135">
        <v>4.3344619999999999E-3</v>
      </c>
      <c r="W5135">
        <v>-8.2408110000000007E-2</v>
      </c>
      <c r="X5135">
        <v>0.99658919999999995</v>
      </c>
      <c r="Y5135">
        <v>-7.4458590000000005E-2</v>
      </c>
      <c r="Z5135">
        <v>8.2506250000000003E-2</v>
      </c>
      <c r="AA5135">
        <v>0.9938051</v>
      </c>
      <c r="AB5135">
        <v>21</v>
      </c>
      <c r="AC5135">
        <v>0.80709999999999105</v>
      </c>
      <c r="AD5135">
        <v>-1.12074526005699</v>
      </c>
      <c r="AE5135">
        <v>-11.487550000000001</v>
      </c>
      <c r="AF5135">
        <v>-0.86862577088121995</v>
      </c>
      <c r="AG5135">
        <v>-1.12074526005699</v>
      </c>
      <c r="AH5135">
        <v>11.374700439753701</v>
      </c>
      <c r="AI5135">
        <v>95.610938534812107</v>
      </c>
      <c r="AJ5135">
        <v>94.366900473616496</v>
      </c>
      <c r="AK5135">
        <v>11.4627392346643</v>
      </c>
      <c r="AL5135">
        <v>94.726997675737493</v>
      </c>
      <c r="AM5135">
        <v>89.750805233350505</v>
      </c>
      <c r="AN5135">
        <v>0.99999995885561899</v>
      </c>
    </row>
    <row r="5136" spans="1:40" x14ac:dyDescent="0.25">
      <c r="A5136" t="str">
        <f>"20190303154619795"</f>
        <v>20190303154619795</v>
      </c>
      <c r="B5136" t="str">
        <f>"1551599179786395"</f>
        <v>1551599179786395</v>
      </c>
      <c r="C5136" t="s">
        <v>40</v>
      </c>
      <c r="D5136">
        <v>5.1086109999999998</v>
      </c>
      <c r="E5136">
        <v>0.47024300000000002</v>
      </c>
      <c r="F5136" t="s">
        <v>60</v>
      </c>
      <c r="G5136">
        <v>-421.02949999999998</v>
      </c>
      <c r="H5136" s="1">
        <v>-3.3512039999999999E-6</v>
      </c>
      <c r="I5136">
        <v>34.543109999999999</v>
      </c>
      <c r="J5136">
        <v>-421.83030000000002</v>
      </c>
      <c r="K5136">
        <v>1.120752</v>
      </c>
      <c r="L5136">
        <v>46.001309999999997</v>
      </c>
      <c r="M5136">
        <v>-6.4139169999999999E-3</v>
      </c>
      <c r="N5136">
        <v>-1.2713260000000001E-2</v>
      </c>
      <c r="O5136">
        <v>-0.99989879999999998</v>
      </c>
      <c r="P5136">
        <v>-1.068357E-2</v>
      </c>
      <c r="Q5136">
        <v>-9.4486490000000006E-2</v>
      </c>
      <c r="R5136">
        <v>-0.99546889999999999</v>
      </c>
      <c r="S5136">
        <v>0.20477290000000001</v>
      </c>
      <c r="T5136">
        <v>-0.28719450000000002</v>
      </c>
      <c r="U5136">
        <v>-2.9885250000000001</v>
      </c>
      <c r="V5136">
        <v>4.2517809999999996E-3</v>
      </c>
      <c r="W5136">
        <v>-8.1825030000000007E-2</v>
      </c>
      <c r="X5136">
        <v>0.99663760000000001</v>
      </c>
      <c r="Y5136">
        <v>-7.4471570000000001E-2</v>
      </c>
      <c r="Z5136">
        <v>8.2746219999999995E-2</v>
      </c>
      <c r="AA5136">
        <v>0.99378420000000001</v>
      </c>
      <c r="AB5136">
        <v>21</v>
      </c>
      <c r="AC5136">
        <v>0.80080000000003704</v>
      </c>
      <c r="AD5136">
        <v>-1.120755351204</v>
      </c>
      <c r="AE5136">
        <v>-11.4581999999999</v>
      </c>
      <c r="AF5136">
        <v>-0.86603605285032603</v>
      </c>
      <c r="AG5136">
        <v>-1.120755351204</v>
      </c>
      <c r="AH5136">
        <v>11.344816049735201</v>
      </c>
      <c r="AI5136">
        <v>95.625685954226597</v>
      </c>
      <c r="AJ5136">
        <v>94.365355950927594</v>
      </c>
      <c r="AK5136">
        <v>11.432889494979801</v>
      </c>
      <c r="AL5136">
        <v>94.693476437717706</v>
      </c>
      <c r="AM5136">
        <v>89.755570501404904</v>
      </c>
      <c r="AN5136">
        <v>0.999999959454965</v>
      </c>
    </row>
    <row r="5137" spans="1:40" x14ac:dyDescent="0.25">
      <c r="A5137" t="str">
        <f>"20190303154619821"</f>
        <v>20190303154619821</v>
      </c>
      <c r="B5137" t="str">
        <f>"1551599179816651"</f>
        <v>1551599179816651</v>
      </c>
      <c r="C5137" t="s">
        <v>40</v>
      </c>
      <c r="D5137">
        <v>5.0534089999999896</v>
      </c>
      <c r="E5137">
        <v>0.4700878</v>
      </c>
      <c r="F5137" t="s">
        <v>60</v>
      </c>
      <c r="G5137">
        <v>-421.02809999999999</v>
      </c>
      <c r="H5137" s="1">
        <v>-3.4199410000000001E-6</v>
      </c>
      <c r="I5137">
        <v>34.344540000000002</v>
      </c>
      <c r="J5137">
        <v>-421.83229999999998</v>
      </c>
      <c r="K5137">
        <v>1.120763</v>
      </c>
      <c r="L5137">
        <v>45.758609999999997</v>
      </c>
      <c r="M5137">
        <v>-6.8248099999999997E-3</v>
      </c>
      <c r="N5137">
        <v>-1.2805850000000001E-2</v>
      </c>
      <c r="O5137">
        <v>-0.99989470000000003</v>
      </c>
      <c r="P5137">
        <v>-1.0367380000000001E-2</v>
      </c>
      <c r="Q5137">
        <v>-9.4780939999999994E-2</v>
      </c>
      <c r="R5137">
        <v>-0.9954442</v>
      </c>
      <c r="S5137">
        <v>0.20565800000000001</v>
      </c>
      <c r="T5137">
        <v>-0.28734159999999997</v>
      </c>
      <c r="U5137">
        <v>-2.9885860000000002</v>
      </c>
      <c r="V5137">
        <v>3.5265140000000001E-3</v>
      </c>
      <c r="W5137">
        <v>-8.2027059999999999E-2</v>
      </c>
      <c r="X5137">
        <v>0.99662390000000001</v>
      </c>
      <c r="Y5137">
        <v>-7.5172230000000007E-2</v>
      </c>
      <c r="Z5137">
        <v>8.2696409999999998E-2</v>
      </c>
      <c r="AA5137">
        <v>0.99373560000000005</v>
      </c>
      <c r="AB5137">
        <v>21</v>
      </c>
      <c r="AC5137">
        <v>0.80419999999998004</v>
      </c>
      <c r="AD5137">
        <v>-1.1207664199409999</v>
      </c>
      <c r="AE5137">
        <v>-11.414069999999899</v>
      </c>
      <c r="AF5137">
        <v>-0.87370421934326603</v>
      </c>
      <c r="AG5137">
        <v>-1.1207664199409999</v>
      </c>
      <c r="AH5137">
        <v>11.299904171731001</v>
      </c>
      <c r="AI5137">
        <v>95.647535722294407</v>
      </c>
      <c r="AJ5137">
        <v>94.421290875764896</v>
      </c>
      <c r="AK5137">
        <v>11.388911744379699</v>
      </c>
      <c r="AL5137">
        <v>94.705090584606793</v>
      </c>
      <c r="AM5137">
        <v>89.797262010962399</v>
      </c>
      <c r="AN5137">
        <v>1.0000000364622199</v>
      </c>
    </row>
    <row r="5138" spans="1:40" x14ac:dyDescent="0.25">
      <c r="A5138" t="str">
        <f>"20190303154619852"</f>
        <v>20190303154619852</v>
      </c>
      <c r="B5138" t="str">
        <f>"1551599179846906"</f>
        <v>1551599179846906</v>
      </c>
      <c r="C5138" t="s">
        <v>40</v>
      </c>
      <c r="D5138">
        <v>5.0894839999999997</v>
      </c>
      <c r="E5138">
        <v>0.47009129999999899</v>
      </c>
      <c r="F5138" t="s">
        <v>60</v>
      </c>
      <c r="G5138">
        <v>-421.02510000000001</v>
      </c>
      <c r="H5138" s="1">
        <v>-3.4952250000000001E-6</v>
      </c>
      <c r="I5138">
        <v>34.126449999999998</v>
      </c>
      <c r="J5138">
        <v>-421.8349</v>
      </c>
      <c r="K5138">
        <v>1.1207800000000001</v>
      </c>
      <c r="L5138">
        <v>45.46799</v>
      </c>
      <c r="M5138">
        <v>-7.316543E-3</v>
      </c>
      <c r="N5138">
        <v>-1.2917410000000001E-2</v>
      </c>
      <c r="O5138">
        <v>-0.99988999999999995</v>
      </c>
      <c r="P5138">
        <v>-9.5458550000000007E-3</v>
      </c>
      <c r="Q5138">
        <v>-9.3985579999999999E-2</v>
      </c>
      <c r="R5138">
        <v>-0.99552819999999997</v>
      </c>
      <c r="S5138">
        <v>0.20739750000000001</v>
      </c>
      <c r="T5138">
        <v>-0.28794059999999999</v>
      </c>
      <c r="U5138">
        <v>-2.988464</v>
      </c>
      <c r="V5138">
        <v>2.2160819999999999E-3</v>
      </c>
      <c r="W5138">
        <v>-8.1118780000000001E-2</v>
      </c>
      <c r="X5138">
        <v>0.99670199999999998</v>
      </c>
      <c r="Y5138">
        <v>-7.6239189999999998E-2</v>
      </c>
      <c r="Z5138">
        <v>8.2779939999999996E-2</v>
      </c>
      <c r="AA5138">
        <v>0.99364730000000001</v>
      </c>
      <c r="AB5138">
        <v>21</v>
      </c>
      <c r="AC5138">
        <v>0.80979999999999497</v>
      </c>
      <c r="AD5138">
        <v>-1.120783495225</v>
      </c>
      <c r="AE5138">
        <v>-11.34154</v>
      </c>
      <c r="AF5138">
        <v>-0.88417537770878296</v>
      </c>
      <c r="AG5138">
        <v>-1.120783495225</v>
      </c>
      <c r="AH5138">
        <v>11.226235980915201</v>
      </c>
      <c r="AI5138">
        <v>95.683808992915502</v>
      </c>
      <c r="AJ5138">
        <v>94.503304322339801</v>
      </c>
      <c r="AK5138">
        <v>11.3166380184625</v>
      </c>
      <c r="AL5138">
        <v>94.652876029127697</v>
      </c>
      <c r="AM5138">
        <v>89.872607924511499</v>
      </c>
      <c r="AN5138">
        <v>1.0000000221460501</v>
      </c>
    </row>
    <row r="5139" spans="1:40" x14ac:dyDescent="0.25">
      <c r="A5139" t="str">
        <f>"20190303154619874"</f>
        <v>20190303154619874</v>
      </c>
      <c r="B5139" t="str">
        <f>"1551599179866427"</f>
        <v>1551599179866427</v>
      </c>
      <c r="C5139" t="s">
        <v>40</v>
      </c>
      <c r="D5139">
        <v>5.0142569999999997</v>
      </c>
      <c r="E5139">
        <v>0.49032710000000002</v>
      </c>
      <c r="F5139" t="s">
        <v>60</v>
      </c>
      <c r="G5139">
        <v>-421.00740000000002</v>
      </c>
      <c r="H5139" s="1">
        <v>-3.7161190000000002E-6</v>
      </c>
      <c r="I5139">
        <v>33.676960000000001</v>
      </c>
      <c r="J5139">
        <v>-421.83690000000001</v>
      </c>
      <c r="K5139">
        <v>1.1207959999999999</v>
      </c>
      <c r="L5139">
        <v>45.258670000000002</v>
      </c>
      <c r="M5139">
        <v>-7.6676299999999999E-3</v>
      </c>
      <c r="N5139">
        <v>-1.299138E-2</v>
      </c>
      <c r="O5139">
        <v>-0.99988639999999995</v>
      </c>
      <c r="P5139">
        <v>-9.0468939999999998E-3</v>
      </c>
      <c r="Q5139">
        <v>-9.3371350000000006E-2</v>
      </c>
      <c r="R5139">
        <v>-0.99559030000000004</v>
      </c>
      <c r="S5139">
        <v>0.2097473</v>
      </c>
      <c r="T5139">
        <v>-0.2840858</v>
      </c>
      <c r="U5139">
        <v>-2.9886780000000002</v>
      </c>
      <c r="V5139">
        <v>1.368221E-3</v>
      </c>
      <c r="W5139">
        <v>-8.0429619999999993E-2</v>
      </c>
      <c r="X5139">
        <v>0.99675939999999996</v>
      </c>
      <c r="Y5139">
        <v>-7.7369149999999998E-2</v>
      </c>
      <c r="Z5139">
        <v>8.1421809999999997E-2</v>
      </c>
      <c r="AA5139">
        <v>0.99367229999999995</v>
      </c>
      <c r="AB5139">
        <v>21</v>
      </c>
      <c r="AC5139">
        <v>0.82949999999999502</v>
      </c>
      <c r="AD5139">
        <v>-1.120799716119</v>
      </c>
      <c r="AE5139">
        <v>-11.581709999999999</v>
      </c>
      <c r="AF5139">
        <v>-0.90981040933474899</v>
      </c>
      <c r="AG5139">
        <v>-1.120799716119</v>
      </c>
      <c r="AH5139">
        <v>11.468156758332</v>
      </c>
      <c r="AI5139">
        <v>95.564500364529906</v>
      </c>
      <c r="AJ5139">
        <v>94.535981391273594</v>
      </c>
      <c r="AK5139">
        <v>11.5586576391146</v>
      </c>
      <c r="AL5139">
        <v>94.613260501006494</v>
      </c>
      <c r="AM5139">
        <v>89.921351893441397</v>
      </c>
      <c r="AN5139">
        <v>1.0000000486452001</v>
      </c>
    </row>
    <row r="5140" spans="1:40" x14ac:dyDescent="0.25">
      <c r="A5140" t="str">
        <f>"20190303154619899"</f>
        <v>20190303154619899</v>
      </c>
      <c r="B5140" t="str">
        <f>"1551599179896683"</f>
        <v>1551599179896683</v>
      </c>
      <c r="C5140" t="s">
        <v>40</v>
      </c>
      <c r="D5140">
        <v>5.0343799999999996</v>
      </c>
      <c r="E5140">
        <v>0.49274869999999998</v>
      </c>
      <c r="F5140" t="s">
        <v>60</v>
      </c>
      <c r="G5140">
        <v>-421.41480000000001</v>
      </c>
      <c r="H5140" s="1">
        <v>-1.064005E-5</v>
      </c>
      <c r="I5140">
        <v>18.881630000000001</v>
      </c>
      <c r="J5140">
        <v>-421.83909999999997</v>
      </c>
      <c r="K5140">
        <v>1.1208070000000001</v>
      </c>
      <c r="L5140">
        <v>45.026000000000003</v>
      </c>
      <c r="M5140">
        <v>-8.0507749999999996E-3</v>
      </c>
      <c r="N5140">
        <v>-1.306589E-2</v>
      </c>
      <c r="O5140">
        <v>-0.9998823</v>
      </c>
      <c r="P5140">
        <v>-8.4139279999999993E-3</v>
      </c>
      <c r="Q5140">
        <v>-9.1521259999999993E-2</v>
      </c>
      <c r="R5140">
        <v>-0.99576770000000003</v>
      </c>
      <c r="S5140">
        <v>4.8034670000000002E-2</v>
      </c>
      <c r="T5140">
        <v>-0.12755050000000001</v>
      </c>
      <c r="U5140">
        <v>-3.00177</v>
      </c>
      <c r="V5140">
        <v>3.5449210000000001E-4</v>
      </c>
      <c r="W5140">
        <v>-7.8502600000000006E-2</v>
      </c>
      <c r="X5140">
        <v>0.99691390000000002</v>
      </c>
      <c r="Y5140">
        <v>-2.4034349999999999E-2</v>
      </c>
      <c r="Z5140">
        <v>2.9383969999999999E-2</v>
      </c>
      <c r="AA5140">
        <v>0.99927920000000003</v>
      </c>
      <c r="AB5140">
        <v>21</v>
      </c>
      <c r="AC5140">
        <v>0.42429999999995899</v>
      </c>
      <c r="AD5140">
        <v>-1.1208176400499901</v>
      </c>
      <c r="AE5140">
        <v>-26.144369999999999</v>
      </c>
      <c r="AF5140">
        <v>-0.63362243501787896</v>
      </c>
      <c r="AG5140">
        <v>-1.1208176400499901</v>
      </c>
      <c r="AH5140">
        <v>26.092165089120499</v>
      </c>
      <c r="AI5140">
        <v>92.458967008823194</v>
      </c>
      <c r="AJ5140">
        <v>91.391097957434198</v>
      </c>
      <c r="AK5140">
        <v>26.123912199560099</v>
      </c>
      <c r="AL5140">
        <v>94.502500079751698</v>
      </c>
      <c r="AM5140">
        <v>89.979626224145605</v>
      </c>
      <c r="AN5140">
        <v>1.0000000539423</v>
      </c>
    </row>
    <row r="5141" spans="1:40" x14ac:dyDescent="0.25">
      <c r="A5141" t="str">
        <f>"20190303154619920"</f>
        <v>20190303154619920</v>
      </c>
      <c r="B5141" t="str">
        <f>"1551599179916203"</f>
        <v>1551599179916203</v>
      </c>
      <c r="C5141" t="s">
        <v>40</v>
      </c>
      <c r="D5141">
        <v>5.0274539999999996</v>
      </c>
      <c r="E5141">
        <v>0.49321690000000001</v>
      </c>
      <c r="F5141" t="s">
        <v>60</v>
      </c>
      <c r="G5141">
        <v>-421.50409999999999</v>
      </c>
      <c r="H5141" s="1">
        <v>-9.8959240000000002E-6</v>
      </c>
      <c r="I5141">
        <v>11.848369999999999</v>
      </c>
      <c r="J5141">
        <v>-421.84100000000001</v>
      </c>
      <c r="K5141">
        <v>1.120817</v>
      </c>
      <c r="L5141">
        <v>44.835630000000002</v>
      </c>
      <c r="M5141">
        <v>-8.3496100000000004E-3</v>
      </c>
      <c r="N5141">
        <v>-1.3121000000000001E-2</v>
      </c>
      <c r="O5141">
        <v>-0.99987919999999997</v>
      </c>
      <c r="P5141">
        <v>-7.2802119999999899E-3</v>
      </c>
      <c r="Q5141">
        <v>-9.0475280000000005E-2</v>
      </c>
      <c r="R5141">
        <v>-0.99587219999999999</v>
      </c>
      <c r="S5141">
        <v>3.0334469999999999E-2</v>
      </c>
      <c r="T5141">
        <v>-0.1014717</v>
      </c>
      <c r="U5141">
        <v>-3.0036930000000002</v>
      </c>
      <c r="V5141">
        <v>-1.0751949999999999E-3</v>
      </c>
      <c r="W5141">
        <v>-7.7399759999999998E-2</v>
      </c>
      <c r="X5141">
        <v>0.99699959999999999</v>
      </c>
      <c r="Y5141">
        <v>-1.8440270000000002E-2</v>
      </c>
      <c r="Z5141">
        <v>2.0640579999999999E-2</v>
      </c>
      <c r="AA5141">
        <v>0.99961690000000003</v>
      </c>
      <c r="AB5141">
        <v>21</v>
      </c>
      <c r="AC5141">
        <v>0.33690000000001402</v>
      </c>
      <c r="AD5141">
        <v>-1.120826895924</v>
      </c>
      <c r="AE5141">
        <v>-32.987259999999999</v>
      </c>
      <c r="AF5141">
        <v>-0.61163663652884503</v>
      </c>
      <c r="AG5141">
        <v>-1.120826895924</v>
      </c>
      <c r="AH5141">
        <v>32.945266161916997</v>
      </c>
      <c r="AI5141">
        <v>91.948165790575402</v>
      </c>
      <c r="AJ5141">
        <v>91.063587476408898</v>
      </c>
      <c r="AK5141">
        <v>32.970000224223902</v>
      </c>
      <c r="AL5141">
        <v>94.439119204622898</v>
      </c>
      <c r="AM5141">
        <v>90.061789505002196</v>
      </c>
      <c r="AN5141">
        <v>1.0000000406462499</v>
      </c>
    </row>
    <row r="5142" spans="1:40" x14ac:dyDescent="0.25">
      <c r="A5142" t="str">
        <f>"20190303154619940"</f>
        <v>20190303154619940</v>
      </c>
      <c r="B5142" t="str">
        <f>"1551599179936699"</f>
        <v>1551599179936699</v>
      </c>
      <c r="C5142" t="s">
        <v>40</v>
      </c>
      <c r="D5142">
        <v>5.053979</v>
      </c>
      <c r="E5142">
        <v>0.49341109999999999</v>
      </c>
      <c r="F5142" t="s">
        <v>60</v>
      </c>
      <c r="G5142">
        <v>-421.48250000000002</v>
      </c>
      <c r="H5142">
        <v>4.9885859999999997E-2</v>
      </c>
      <c r="I5142">
        <v>9.6162869999999998</v>
      </c>
      <c r="J5142">
        <v>-421.84300000000002</v>
      </c>
      <c r="K5142">
        <v>1.1208359999999999</v>
      </c>
      <c r="L5142">
        <v>44.641449999999999</v>
      </c>
      <c r="M5142">
        <v>-8.6285879999999995E-3</v>
      </c>
      <c r="N5142">
        <v>-1.317222E-2</v>
      </c>
      <c r="O5142">
        <v>-0.99987610000000005</v>
      </c>
      <c r="P5142">
        <v>-5.1458600000000004E-3</v>
      </c>
      <c r="Q5142">
        <v>-9.0319670000000005E-2</v>
      </c>
      <c r="R5142">
        <v>-0.9958996</v>
      </c>
      <c r="S5142">
        <v>3.0578609999999999E-2</v>
      </c>
      <c r="T5142">
        <v>-9.135509E-2</v>
      </c>
      <c r="U5142">
        <v>-3.0043639999999998</v>
      </c>
      <c r="V5142">
        <v>-3.4846059999999999E-3</v>
      </c>
      <c r="W5142">
        <v>-7.7191899999999994E-2</v>
      </c>
      <c r="X5142">
        <v>0.99701019999999896</v>
      </c>
      <c r="Y5142">
        <v>-1.8799139999999999E-2</v>
      </c>
      <c r="Z5142">
        <v>1.7218899999999999E-2</v>
      </c>
      <c r="AA5142">
        <v>0.99967499999999998</v>
      </c>
      <c r="AB5142">
        <v>21</v>
      </c>
      <c r="AC5142">
        <v>0.36050000000000099</v>
      </c>
      <c r="AD5142">
        <v>-1.0709501400000001</v>
      </c>
      <c r="AE5142">
        <v>-35.025162999999999</v>
      </c>
      <c r="AF5142">
        <v>-0.66211151290581405</v>
      </c>
      <c r="AG5142">
        <v>-1.0709501400000001</v>
      </c>
      <c r="AH5142">
        <v>34.988040184093499</v>
      </c>
      <c r="AI5142">
        <v>91.752907460209599</v>
      </c>
      <c r="AJ5142">
        <v>91.084132392592295</v>
      </c>
      <c r="AK5142">
        <v>35.010688107799702</v>
      </c>
      <c r="AL5142">
        <v>94.427173989871307</v>
      </c>
      <c r="AM5142">
        <v>90.200251114906393</v>
      </c>
      <c r="AN5142">
        <v>1.0000000354043099</v>
      </c>
    </row>
    <row r="5143" spans="1:40" x14ac:dyDescent="0.25">
      <c r="A5143" t="str">
        <f>"20190303154619964"</f>
        <v>20190303154619964</v>
      </c>
      <c r="B5143" t="str">
        <f>"1551599179956219"</f>
        <v>1551599179956219</v>
      </c>
      <c r="C5143" t="s">
        <v>40</v>
      </c>
      <c r="D5143">
        <v>5.0129210000000004</v>
      </c>
      <c r="E5143">
        <v>0.49386099999999999</v>
      </c>
      <c r="F5143" t="s">
        <v>60</v>
      </c>
      <c r="G5143">
        <v>-421.41989999999998</v>
      </c>
      <c r="H5143">
        <v>7.9986399999999902E-2</v>
      </c>
      <c r="I5143">
        <v>9.0346449999999994</v>
      </c>
      <c r="J5143">
        <v>-421.84519999999998</v>
      </c>
      <c r="K5143">
        <v>1.120862</v>
      </c>
      <c r="L5143">
        <v>44.431849999999997</v>
      </c>
      <c r="M5143">
        <v>-8.8843199999999994E-3</v>
      </c>
      <c r="N5143">
        <v>-1.322109E-2</v>
      </c>
      <c r="O5143">
        <v>-0.99987349999999997</v>
      </c>
      <c r="P5143">
        <v>-3.0015609999999998E-3</v>
      </c>
      <c r="Q5143">
        <v>-9.1667879999999993E-2</v>
      </c>
      <c r="R5143">
        <v>-0.99578549999999999</v>
      </c>
      <c r="S5143">
        <v>3.5705569999999999E-2</v>
      </c>
      <c r="T5143">
        <v>-8.7829110000000002E-2</v>
      </c>
      <c r="U5143">
        <v>-3.004578</v>
      </c>
      <c r="V5143">
        <v>-5.8772169999999997E-3</v>
      </c>
      <c r="W5143">
        <v>-7.8492370000000006E-2</v>
      </c>
      <c r="X5143">
        <v>0.99689740000000004</v>
      </c>
      <c r="Y5143">
        <v>-2.075954E-2</v>
      </c>
      <c r="Z5143">
        <v>1.5994680000000001E-2</v>
      </c>
      <c r="AA5143">
        <v>0.99965660000000001</v>
      </c>
      <c r="AB5143">
        <v>21</v>
      </c>
      <c r="AC5143">
        <v>0.42529999999999202</v>
      </c>
      <c r="AD5143">
        <v>-1.0408755999999999</v>
      </c>
      <c r="AE5143">
        <v>-35.397205</v>
      </c>
      <c r="AF5143">
        <v>-0.73915163630609804</v>
      </c>
      <c r="AG5143">
        <v>-1.0408755999999999</v>
      </c>
      <c r="AH5143">
        <v>35.361456694508703</v>
      </c>
      <c r="AI5143">
        <v>91.685664454555393</v>
      </c>
      <c r="AJ5143">
        <v>91.197464889540299</v>
      </c>
      <c r="AK5143">
        <v>35.384493591313998</v>
      </c>
      <c r="AL5143">
        <v>94.501912328063497</v>
      </c>
      <c r="AM5143">
        <v>90.337783836237705</v>
      </c>
      <c r="AN5143">
        <v>1.0000000099773201</v>
      </c>
    </row>
    <row r="5144" spans="1:40" x14ac:dyDescent="0.25">
      <c r="A5144" t="str">
        <f>"20190303154619985"</f>
        <v>20190303154619985</v>
      </c>
      <c r="B5144" t="str">
        <f>"1551599179976715"</f>
        <v>1551599179976715</v>
      </c>
      <c r="C5144" t="s">
        <v>40</v>
      </c>
      <c r="D5144">
        <v>4.9690919999999998</v>
      </c>
      <c r="E5144">
        <v>0.4942049</v>
      </c>
      <c r="F5144" t="s">
        <v>60</v>
      </c>
      <c r="G5144">
        <v>-421.40219999999999</v>
      </c>
      <c r="H5144">
        <v>6.7050529999999997E-2</v>
      </c>
      <c r="I5144">
        <v>9.5992259999999998</v>
      </c>
      <c r="J5144">
        <v>-421.84719999999999</v>
      </c>
      <c r="K5144">
        <v>1.1208979999999999</v>
      </c>
      <c r="L5144">
        <v>44.230159999999998</v>
      </c>
      <c r="M5144">
        <v>-9.0735629999999998E-3</v>
      </c>
      <c r="N5144">
        <v>-1.326218E-2</v>
      </c>
      <c r="O5144">
        <v>-0.99987099999999995</v>
      </c>
      <c r="P5144">
        <v>-1.085326E-3</v>
      </c>
      <c r="Q5144">
        <v>-9.3905429999999998E-2</v>
      </c>
      <c r="R5144">
        <v>-0.99558049999999998</v>
      </c>
      <c r="S5144">
        <v>3.8208010000000001E-2</v>
      </c>
      <c r="T5144">
        <v>-9.0895530000000002E-2</v>
      </c>
      <c r="U5144">
        <v>-3.0044559999999998</v>
      </c>
      <c r="V5144">
        <v>-7.9725990000000004E-3</v>
      </c>
      <c r="W5144">
        <v>-8.0691699999999894E-2</v>
      </c>
      <c r="X5144">
        <v>0.99670720000000002</v>
      </c>
      <c r="Y5144">
        <v>-2.1781080000000001E-2</v>
      </c>
      <c r="Z5144">
        <v>1.6973530000000001E-2</v>
      </c>
      <c r="AA5144">
        <v>0.99961860000000002</v>
      </c>
      <c r="AB5144">
        <v>21</v>
      </c>
      <c r="AC5144">
        <v>0.44499999999999301</v>
      </c>
      <c r="AD5144">
        <v>-1.05384747</v>
      </c>
      <c r="AE5144">
        <v>-34.630934000000003</v>
      </c>
      <c r="AF5144">
        <v>-0.75853292901075897</v>
      </c>
      <c r="AG5144">
        <v>-1.05384747</v>
      </c>
      <c r="AH5144">
        <v>34.593440629123599</v>
      </c>
      <c r="AI5144">
        <v>91.744488147113003</v>
      </c>
      <c r="AJ5144">
        <v>91.256127503216803</v>
      </c>
      <c r="AK5144">
        <v>34.617800352638199</v>
      </c>
      <c r="AL5144">
        <v>94.628325873270896</v>
      </c>
      <c r="AM5144">
        <v>90.458295608203002</v>
      </c>
      <c r="AN5144">
        <v>0.99999997765777204</v>
      </c>
    </row>
    <row r="5145" spans="1:40" x14ac:dyDescent="0.25">
      <c r="A5145" t="str">
        <f>"20190303154620020"</f>
        <v>20190303154620020</v>
      </c>
      <c r="B5145" t="str">
        <f>"1551599180016731"</f>
        <v>1551599180016731</v>
      </c>
      <c r="C5145" t="s">
        <v>40</v>
      </c>
      <c r="D5145">
        <v>4.9565349999999997</v>
      </c>
      <c r="E5145">
        <v>0.49449559999999998</v>
      </c>
      <c r="F5145" t="s">
        <v>60</v>
      </c>
      <c r="G5145">
        <v>-421.37099999999998</v>
      </c>
      <c r="H5145" s="1">
        <v>-9.7283930000000008E-6</v>
      </c>
      <c r="I5145">
        <v>9.6869870000000002</v>
      </c>
      <c r="J5145">
        <v>-421.85039999999998</v>
      </c>
      <c r="K5145">
        <v>1.120954</v>
      </c>
      <c r="L5145">
        <v>43.90408</v>
      </c>
      <c r="M5145">
        <v>-9.2632029999999994E-3</v>
      </c>
      <c r="N5145">
        <v>-1.3318200000000001E-2</v>
      </c>
      <c r="O5145">
        <v>-0.99986839999999999</v>
      </c>
      <c r="P5145">
        <v>1.59441799999999E-3</v>
      </c>
      <c r="Q5145">
        <v>-9.6951720000000005E-2</v>
      </c>
      <c r="R5145">
        <v>-0.9952879</v>
      </c>
      <c r="S5145">
        <v>4.1412350000000001E-2</v>
      </c>
      <c r="T5145">
        <v>-9.7483040000000007E-2</v>
      </c>
      <c r="U5145">
        <v>-3.0041500000000001</v>
      </c>
      <c r="V5145">
        <v>-1.082433E-2</v>
      </c>
      <c r="W5145">
        <v>-8.3687230000000001E-2</v>
      </c>
      <c r="X5145">
        <v>0.99643329999999997</v>
      </c>
      <c r="Y5145">
        <v>-2.303676E-2</v>
      </c>
      <c r="Z5145">
        <v>1.9109540000000001E-2</v>
      </c>
      <c r="AA5145">
        <v>0.999552</v>
      </c>
      <c r="AB5145">
        <v>21</v>
      </c>
      <c r="AC5145">
        <v>0.47939999999999799</v>
      </c>
      <c r="AD5145">
        <v>-1.1209637283930001</v>
      </c>
      <c r="AE5145">
        <v>-34.217092999999998</v>
      </c>
      <c r="AF5145">
        <v>-0.79551381097615204</v>
      </c>
      <c r="AG5145">
        <v>-1.1209637283930001</v>
      </c>
      <c r="AH5145">
        <v>34.174513242236699</v>
      </c>
      <c r="AI5145">
        <v>91.878186110437198</v>
      </c>
      <c r="AJ5145">
        <v>91.333489481229094</v>
      </c>
      <c r="AK5145">
        <v>34.202145506497601</v>
      </c>
      <c r="AL5145">
        <v>94.800539613414799</v>
      </c>
      <c r="AM5145">
        <v>90.622383887994999</v>
      </c>
      <c r="AN5145">
        <v>1.0000000199669501</v>
      </c>
    </row>
    <row r="5146" spans="1:40" x14ac:dyDescent="0.25">
      <c r="A5146" t="str">
        <f>"20190303154620046"</f>
        <v>20190303154620046</v>
      </c>
      <c r="B5146" t="str">
        <f>"1551599180036251"</f>
        <v>1551599180036251</v>
      </c>
      <c r="C5146" t="s">
        <v>40</v>
      </c>
      <c r="D5146">
        <v>4.9532040000000004</v>
      </c>
      <c r="E5146">
        <v>0.49470310000000001</v>
      </c>
      <c r="F5146" t="s">
        <v>60</v>
      </c>
      <c r="G5146">
        <v>-421.3546</v>
      </c>
      <c r="H5146" s="1">
        <v>-9.9725020000000003E-6</v>
      </c>
      <c r="I5146">
        <v>12.07105</v>
      </c>
      <c r="J5146">
        <v>-421.85270000000003</v>
      </c>
      <c r="K5146">
        <v>1.121005</v>
      </c>
      <c r="L5146">
        <v>43.669589999999999</v>
      </c>
      <c r="M5146">
        <v>-9.2801719999999997E-3</v>
      </c>
      <c r="N5146">
        <v>-1.335106E-2</v>
      </c>
      <c r="O5146">
        <v>-0.99986790000000003</v>
      </c>
      <c r="P5146">
        <v>3.63138E-3</v>
      </c>
      <c r="Q5146">
        <v>-9.8423150000000001E-2</v>
      </c>
      <c r="R5146">
        <v>-0.99513830000000003</v>
      </c>
      <c r="S5146">
        <v>4.6783449999999997E-2</v>
      </c>
      <c r="T5146">
        <v>-0.105776</v>
      </c>
      <c r="U5146">
        <v>-3.0038149999999999</v>
      </c>
      <c r="V5146">
        <v>-1.286582E-2</v>
      </c>
      <c r="W5146">
        <v>-8.5129449999999995E-2</v>
      </c>
      <c r="X5146">
        <v>0.99628680000000003</v>
      </c>
      <c r="Y5146">
        <v>-2.4840230000000001E-2</v>
      </c>
      <c r="Z5146">
        <v>2.1835340000000002E-2</v>
      </c>
      <c r="AA5146">
        <v>0.99945289999999998</v>
      </c>
      <c r="AB5146">
        <v>21</v>
      </c>
      <c r="AC5146">
        <v>0.49810000000002203</v>
      </c>
      <c r="AD5146">
        <v>-1.121014972502</v>
      </c>
      <c r="AE5146">
        <v>-31.59854</v>
      </c>
      <c r="AF5146">
        <v>-0.79035005415525295</v>
      </c>
      <c r="AG5146">
        <v>-1.121014972502</v>
      </c>
      <c r="AH5146">
        <v>31.552853551379801</v>
      </c>
      <c r="AI5146">
        <v>92.034120552315102</v>
      </c>
      <c r="AJ5146">
        <v>91.434870390426397</v>
      </c>
      <c r="AK5146">
        <v>31.582651804614201</v>
      </c>
      <c r="AL5146">
        <v>94.883468935095806</v>
      </c>
      <c r="AM5146">
        <v>90.739863473664798</v>
      </c>
      <c r="AN5146">
        <v>0.99999997021790699</v>
      </c>
    </row>
    <row r="5147" spans="1:40" x14ac:dyDescent="0.25">
      <c r="A5147" t="str">
        <f>"20190303154620086"</f>
        <v>20190303154620086</v>
      </c>
      <c r="B5147" t="str">
        <f>"1551599180076267"</f>
        <v>1551599180076267</v>
      </c>
      <c r="C5147" t="s">
        <v>40</v>
      </c>
      <c r="D5147">
        <v>4.8909750000000001</v>
      </c>
      <c r="E5147">
        <v>0.49497600000000003</v>
      </c>
      <c r="F5147" t="s">
        <v>60</v>
      </c>
      <c r="G5147">
        <v>-421.32089999999999</v>
      </c>
      <c r="H5147" s="1">
        <v>-1.008385E-5</v>
      </c>
      <c r="I5147">
        <v>13.06287</v>
      </c>
      <c r="J5147">
        <v>-421.85599999999999</v>
      </c>
      <c r="K5147">
        <v>1.121089</v>
      </c>
      <c r="L5147">
        <v>43.30133</v>
      </c>
      <c r="M5147">
        <v>-9.0576549999999995E-3</v>
      </c>
      <c r="N5147">
        <v>-1.3393149999999999E-2</v>
      </c>
      <c r="O5147">
        <v>-0.99986940000000002</v>
      </c>
      <c r="P5147">
        <v>9.228455E-3</v>
      </c>
      <c r="Q5147">
        <v>-0.1009106</v>
      </c>
      <c r="R5147">
        <v>-0.99485310000000005</v>
      </c>
      <c r="S5147">
        <v>5.2185059999999998E-2</v>
      </c>
      <c r="T5147">
        <v>-0.1100112</v>
      </c>
      <c r="U5147">
        <v>-3.0036010000000002</v>
      </c>
      <c r="V5147">
        <v>-1.821714E-2</v>
      </c>
      <c r="W5147">
        <v>-8.7583800000000003E-2</v>
      </c>
      <c r="X5147">
        <v>0.99599059999999995</v>
      </c>
      <c r="Y5147">
        <v>-2.6414409999999999E-2</v>
      </c>
      <c r="Z5147">
        <v>2.3202E-2</v>
      </c>
      <c r="AA5147">
        <v>0.99938179999999999</v>
      </c>
      <c r="AB5147">
        <v>21</v>
      </c>
      <c r="AC5147">
        <v>0.53509999999999902</v>
      </c>
      <c r="AD5147">
        <v>-1.1210990838499999</v>
      </c>
      <c r="AE5147">
        <v>-30.2384599999999</v>
      </c>
      <c r="AF5147">
        <v>-0.80788197248865701</v>
      </c>
      <c r="AG5147">
        <v>-1.1210990838499999</v>
      </c>
      <c r="AH5147">
        <v>30.190885502906799</v>
      </c>
      <c r="AI5147">
        <v>92.125866508709294</v>
      </c>
      <c r="AJ5147">
        <v>91.532819693538499</v>
      </c>
      <c r="AK5147">
        <v>30.222493343318199</v>
      </c>
      <c r="AL5147">
        <v>95.024619867436598</v>
      </c>
      <c r="AM5147">
        <v>91.047850116173095</v>
      </c>
      <c r="AN5147">
        <v>1.0000000307502801</v>
      </c>
    </row>
    <row r="5148" spans="1:40" x14ac:dyDescent="0.25">
      <c r="A5148" t="str">
        <f>"20190303154620108"</f>
        <v>20190303154620108</v>
      </c>
      <c r="B5148" t="str">
        <f>"1551599180106523"</f>
        <v>1551599180106523</v>
      </c>
      <c r="C5148" t="s">
        <v>40</v>
      </c>
      <c r="D5148">
        <v>4.8982519999999896</v>
      </c>
      <c r="E5148">
        <v>0.49525720000000001</v>
      </c>
      <c r="F5148" t="s">
        <v>60</v>
      </c>
      <c r="G5148">
        <v>-421.2013</v>
      </c>
      <c r="H5148" s="1">
        <v>-1.019447E-5</v>
      </c>
      <c r="I5148">
        <v>13.73507</v>
      </c>
      <c r="J5148">
        <v>-421.85759999999999</v>
      </c>
      <c r="K5148">
        <v>1.121146</v>
      </c>
      <c r="L5148">
        <v>43.090910000000001</v>
      </c>
      <c r="M5148">
        <v>-8.7955310000000005E-3</v>
      </c>
      <c r="N5148">
        <v>-1.341262E-2</v>
      </c>
      <c r="O5148">
        <v>-0.99987139999999997</v>
      </c>
      <c r="P5148">
        <v>1.331184E-2</v>
      </c>
      <c r="Q5148">
        <v>-0.1025438</v>
      </c>
      <c r="R5148">
        <v>-0.99463959999999996</v>
      </c>
      <c r="S5148">
        <v>6.6497799999999996E-2</v>
      </c>
      <c r="T5148">
        <v>-0.11388180000000001</v>
      </c>
      <c r="U5148">
        <v>-3.0033569999999998</v>
      </c>
      <c r="V5148">
        <v>-2.20232E-2</v>
      </c>
      <c r="W5148">
        <v>-8.9205160000000006E-2</v>
      </c>
      <c r="X5148">
        <v>0.99576969999999998</v>
      </c>
      <c r="Y5148">
        <v>-3.0911770000000002E-2</v>
      </c>
      <c r="Z5148">
        <v>2.446736E-2</v>
      </c>
      <c r="AA5148">
        <v>0.99922259999999996</v>
      </c>
      <c r="AB5148">
        <v>21</v>
      </c>
      <c r="AC5148">
        <v>0.656299999999987</v>
      </c>
      <c r="AD5148">
        <v>-1.1211561944699999</v>
      </c>
      <c r="AE5148">
        <v>-29.355840000000001</v>
      </c>
      <c r="AF5148">
        <v>-0.91316672667641197</v>
      </c>
      <c r="AG5148">
        <v>-1.1211561944699999</v>
      </c>
      <c r="AH5148">
        <v>29.306205877183299</v>
      </c>
      <c r="AI5148">
        <v>92.189812316558204</v>
      </c>
      <c r="AJ5148">
        <v>91.784730393451397</v>
      </c>
      <c r="AK5148">
        <v>29.341856921451999</v>
      </c>
      <c r="AL5148">
        <v>95.117882503024802</v>
      </c>
      <c r="AM5148">
        <v>91.266990478668902</v>
      </c>
      <c r="AN5148">
        <v>0.99999993867347603</v>
      </c>
    </row>
    <row r="5149" spans="1:40" x14ac:dyDescent="0.25">
      <c r="A5149" t="str">
        <f>"20190303154620130"</f>
        <v>20190303154620130</v>
      </c>
      <c r="B5149" t="str">
        <f>"1551599180126043"</f>
        <v>1551599180126043</v>
      </c>
      <c r="C5149" t="s">
        <v>40</v>
      </c>
      <c r="D5149">
        <v>4.9575139999999998</v>
      </c>
      <c r="E5149">
        <v>0.4953921</v>
      </c>
      <c r="F5149" t="s">
        <v>60</v>
      </c>
      <c r="G5149">
        <v>-421.11799999999999</v>
      </c>
      <c r="H5149" s="1">
        <v>-1.026872E-5</v>
      </c>
      <c r="I5149">
        <v>14.175230000000001</v>
      </c>
      <c r="J5149">
        <v>-421.85899999999998</v>
      </c>
      <c r="K5149">
        <v>1.1211930000000001</v>
      </c>
      <c r="L5149">
        <v>42.892429999999997</v>
      </c>
      <c r="M5149">
        <v>-8.4673819999999903E-3</v>
      </c>
      <c r="N5149">
        <v>-1.342839E-2</v>
      </c>
      <c r="O5149">
        <v>-0.99987409999999999</v>
      </c>
      <c r="P5149">
        <v>1.757686E-2</v>
      </c>
      <c r="Q5149">
        <v>-0.10387399999999999</v>
      </c>
      <c r="R5149">
        <v>-0.99443559999999998</v>
      </c>
      <c r="S5149">
        <v>7.6812740000000004E-2</v>
      </c>
      <c r="T5149">
        <v>-0.1164417</v>
      </c>
      <c r="U5149">
        <v>-3.0031430000000001</v>
      </c>
      <c r="V5149">
        <v>-2.594714E-2</v>
      </c>
      <c r="W5149">
        <v>-9.0527830000000004E-2</v>
      </c>
      <c r="X5149">
        <v>0.99555590000000005</v>
      </c>
      <c r="Y5149">
        <v>-3.4013439999999999E-2</v>
      </c>
      <c r="Z5149">
        <v>2.5301299999999999E-2</v>
      </c>
      <c r="AA5149">
        <v>0.99910100000000002</v>
      </c>
      <c r="AB5149">
        <v>21</v>
      </c>
      <c r="AC5149">
        <v>0.740999999999985</v>
      </c>
      <c r="AD5149">
        <v>-1.12120326872</v>
      </c>
      <c r="AE5149">
        <v>-28.717199999999998</v>
      </c>
      <c r="AF5149">
        <v>-0.98265791415982096</v>
      </c>
      <c r="AG5149">
        <v>-1.12120326872</v>
      </c>
      <c r="AH5149">
        <v>28.666227167466399</v>
      </c>
      <c r="AI5149">
        <v>92.238516937263199</v>
      </c>
      <c r="AJ5149">
        <v>91.963289881453406</v>
      </c>
      <c r="AK5149">
        <v>28.704969837344098</v>
      </c>
      <c r="AL5149">
        <v>95.193973241882404</v>
      </c>
      <c r="AM5149">
        <v>91.492959994122302</v>
      </c>
      <c r="AN5149">
        <v>1.00000004605174</v>
      </c>
    </row>
    <row r="5150" spans="1:40" x14ac:dyDescent="0.25">
      <c r="A5150" t="str">
        <f>"20190303154620153"</f>
        <v>20190303154620153</v>
      </c>
      <c r="B5150" t="str">
        <f>"1551599180146539"</f>
        <v>1551599180146539</v>
      </c>
      <c r="C5150" t="s">
        <v>40</v>
      </c>
      <c r="D5150">
        <v>4.8724089999999904</v>
      </c>
      <c r="E5150">
        <v>0.50189319999999904</v>
      </c>
      <c r="F5150" t="s">
        <v>60</v>
      </c>
      <c r="G5150">
        <v>-421.0247</v>
      </c>
      <c r="H5150" s="1">
        <v>-1.03445899999999E-5</v>
      </c>
      <c r="I5150">
        <v>14.595039999999999</v>
      </c>
      <c r="J5150">
        <v>-421.86040000000003</v>
      </c>
      <c r="K5150">
        <v>1.121248</v>
      </c>
      <c r="L5150">
        <v>42.68347</v>
      </c>
      <c r="M5150">
        <v>-8.0211290000000001E-3</v>
      </c>
      <c r="N5150">
        <v>-1.3442580000000001E-2</v>
      </c>
      <c r="O5150">
        <v>-0.99987749999999997</v>
      </c>
      <c r="P5150">
        <v>2.127793E-2</v>
      </c>
      <c r="Q5150">
        <v>-0.10553460000000001</v>
      </c>
      <c r="R5150">
        <v>-0.99418819999999997</v>
      </c>
      <c r="S5150">
        <v>8.8531490000000004E-2</v>
      </c>
      <c r="T5150">
        <v>-0.11897770000000001</v>
      </c>
      <c r="U5150">
        <v>-3.0028079999999999</v>
      </c>
      <c r="V5150">
        <v>-2.9187709999999999E-2</v>
      </c>
      <c r="W5150">
        <v>-9.2183959999999995E-2</v>
      </c>
      <c r="X5150">
        <v>0.99531409999999998</v>
      </c>
      <c r="Y5150">
        <v>-3.7464099999999903E-2</v>
      </c>
      <c r="Z5150">
        <v>2.612948E-2</v>
      </c>
      <c r="AA5150">
        <v>0.99895630000000002</v>
      </c>
      <c r="AB5150">
        <v>21</v>
      </c>
      <c r="AC5150">
        <v>0.83570000000003097</v>
      </c>
      <c r="AD5150">
        <v>-1.12125834459</v>
      </c>
      <c r="AE5150">
        <v>-28.088429999999999</v>
      </c>
      <c r="AF5150">
        <v>-1.05930785281915</v>
      </c>
      <c r="AG5150">
        <v>-1.12125834459</v>
      </c>
      <c r="AH5150">
        <v>28.0361857755626</v>
      </c>
      <c r="AI5150">
        <v>92.288592959122596</v>
      </c>
      <c r="AJ5150">
        <v>92.163811161157298</v>
      </c>
      <c r="AK5150">
        <v>28.078587326363401</v>
      </c>
      <c r="AL5150">
        <v>95.289261315635798</v>
      </c>
      <c r="AM5150">
        <v>91.679724483458898</v>
      </c>
      <c r="AN5150">
        <v>0.99999998127756695</v>
      </c>
    </row>
    <row r="5151" spans="1:40" x14ac:dyDescent="0.25">
      <c r="A5151" t="str">
        <f>"20190303154620175"</f>
        <v>20190303154620175</v>
      </c>
      <c r="B5151" t="str">
        <f>"1551599180166059"</f>
        <v>1551599180166059</v>
      </c>
      <c r="C5151" t="s">
        <v>40</v>
      </c>
      <c r="D5151">
        <v>4.8612070000000003</v>
      </c>
      <c r="E5151">
        <v>0.50196059999999998</v>
      </c>
      <c r="F5151" t="s">
        <v>60</v>
      </c>
      <c r="G5151">
        <v>-421.33069999999998</v>
      </c>
      <c r="H5151">
        <v>6.5457340000000003E-2</v>
      </c>
      <c r="I5151">
        <v>9.6008209999999998</v>
      </c>
      <c r="J5151">
        <v>-421.8614</v>
      </c>
      <c r="K5151">
        <v>1.1212979999999999</v>
      </c>
      <c r="L5151">
        <v>42.481960000000001</v>
      </c>
      <c r="M5151">
        <v>-7.4902719999999897E-3</v>
      </c>
      <c r="N5151">
        <v>-1.345437E-2</v>
      </c>
      <c r="O5151">
        <v>-0.99988140000000003</v>
      </c>
      <c r="P5151">
        <v>2.52772E-2</v>
      </c>
      <c r="Q5151">
        <v>-0.10639750000000001</v>
      </c>
      <c r="R5151">
        <v>-0.99400250000000001</v>
      </c>
      <c r="S5151">
        <v>4.8126219999999997E-2</v>
      </c>
      <c r="T5151">
        <v>-9.5942739999999999E-2</v>
      </c>
      <c r="U5151">
        <v>-3.0063170000000001</v>
      </c>
      <c r="V5151">
        <v>-3.2643810000000002E-2</v>
      </c>
      <c r="W5151">
        <v>-9.3044799999999997E-2</v>
      </c>
      <c r="X5151">
        <v>0.99512670000000003</v>
      </c>
      <c r="Y5151">
        <v>-2.3485969999999998E-2</v>
      </c>
      <c r="Z5151">
        <v>1.843848E-2</v>
      </c>
      <c r="AA5151">
        <v>0.9995541</v>
      </c>
      <c r="AB5151">
        <v>20</v>
      </c>
      <c r="AC5151">
        <v>0.53070000000002404</v>
      </c>
      <c r="AD5151">
        <v>-1.0558406600000001</v>
      </c>
      <c r="AE5151">
        <v>-32.881138999999997</v>
      </c>
      <c r="AF5151">
        <v>-0.77619595545013997</v>
      </c>
      <c r="AG5151">
        <v>-1.0558406600000001</v>
      </c>
      <c r="AH5151">
        <v>32.842385846103603</v>
      </c>
      <c r="AI5151">
        <v>91.840838077625705</v>
      </c>
      <c r="AJ5151">
        <v>91.353874685111705</v>
      </c>
      <c r="AK5151">
        <v>32.868519706930996</v>
      </c>
      <c r="AL5151">
        <v>95.338796343727495</v>
      </c>
      <c r="AM5151">
        <v>91.878838231852797</v>
      </c>
      <c r="AN5151">
        <v>1.00000005109562</v>
      </c>
    </row>
    <row r="5152" spans="1:40" x14ac:dyDescent="0.25">
      <c r="A5152" t="str">
        <f>"20190303154620198"</f>
        <v>20190303154620198</v>
      </c>
      <c r="B5152" t="str">
        <f>"1551599180186555"</f>
        <v>1551599180186555</v>
      </c>
      <c r="C5152" t="s">
        <v>40</v>
      </c>
      <c r="D5152">
        <v>4.8390820000000003</v>
      </c>
      <c r="E5152">
        <v>0.50258559999999997</v>
      </c>
      <c r="F5152" t="s">
        <v>60</v>
      </c>
      <c r="G5152">
        <v>-421.18329999999997</v>
      </c>
      <c r="H5152">
        <v>7.9986440000000006E-2</v>
      </c>
      <c r="I5152">
        <v>8.2394099999999995</v>
      </c>
      <c r="J5152">
        <v>-421.8623</v>
      </c>
      <c r="K5152">
        <v>1.1213329999999999</v>
      </c>
      <c r="L5152">
        <v>42.272919999999999</v>
      </c>
      <c r="M5152">
        <v>-6.8454500000000003E-3</v>
      </c>
      <c r="N5152">
        <v>-1.346488E-2</v>
      </c>
      <c r="O5152">
        <v>-0.9998861</v>
      </c>
      <c r="P5152">
        <v>3.0439460000000002E-2</v>
      </c>
      <c r="Q5152">
        <v>-0.1071597</v>
      </c>
      <c r="R5152">
        <v>-0.99377610000000005</v>
      </c>
      <c r="S5152">
        <v>5.9539790000000002E-2</v>
      </c>
      <c r="T5152">
        <v>-9.1436509999999999E-2</v>
      </c>
      <c r="U5152">
        <v>-3.0068049999999999</v>
      </c>
      <c r="V5152">
        <v>-3.7149620000000001E-2</v>
      </c>
      <c r="W5152">
        <v>-9.3808740000000002E-2</v>
      </c>
      <c r="X5152">
        <v>0.99489689999999997</v>
      </c>
      <c r="Y5152">
        <v>-2.663136E-2</v>
      </c>
      <c r="Z5152">
        <v>1.692405E-2</v>
      </c>
      <c r="AA5152">
        <v>0.99950209999999995</v>
      </c>
      <c r="AB5152">
        <v>20</v>
      </c>
      <c r="AC5152">
        <v>0.67900000000003002</v>
      </c>
      <c r="AD5152">
        <v>-1.04134655999999</v>
      </c>
      <c r="AE5152">
        <v>-34.03351</v>
      </c>
      <c r="AF5152">
        <v>-0.91112718300536399</v>
      </c>
      <c r="AG5152">
        <v>-1.04134655999999</v>
      </c>
      <c r="AH5152">
        <v>33.996248713155403</v>
      </c>
      <c r="AI5152">
        <v>91.753861633591498</v>
      </c>
      <c r="AJ5152">
        <v>91.535206103996302</v>
      </c>
      <c r="AK5152">
        <v>34.024395394604099</v>
      </c>
      <c r="AL5152">
        <v>95.382759400739104</v>
      </c>
      <c r="AM5152">
        <v>92.138440684715903</v>
      </c>
      <c r="AN5152">
        <v>1.00000000779807</v>
      </c>
    </row>
    <row r="5153" spans="1:40" x14ac:dyDescent="0.25">
      <c r="A5153" t="str">
        <f>"20190303154620221"</f>
        <v>20190303154620221</v>
      </c>
      <c r="B5153" t="str">
        <f>"1551599180216811"</f>
        <v>1551599180216811</v>
      </c>
      <c r="C5153" t="s">
        <v>40</v>
      </c>
      <c r="D5153">
        <v>4.8041479999999996</v>
      </c>
      <c r="E5153">
        <v>0.50346959999999996</v>
      </c>
      <c r="F5153" t="s">
        <v>60</v>
      </c>
      <c r="G5153">
        <v>-421.07479999999998</v>
      </c>
      <c r="H5153">
        <v>7.9986440000000006E-2</v>
      </c>
      <c r="I5153">
        <v>8.3648299999999995</v>
      </c>
      <c r="J5153">
        <v>-421.86290000000002</v>
      </c>
      <c r="K5153">
        <v>1.1213759999999999</v>
      </c>
      <c r="L5153">
        <v>42.066589999999998</v>
      </c>
      <c r="M5153">
        <v>-6.1248369999999898E-3</v>
      </c>
      <c r="N5153">
        <v>-1.347361E-2</v>
      </c>
      <c r="O5153">
        <v>-0.99989050000000002</v>
      </c>
      <c r="P5153">
        <v>3.5458669999999998E-2</v>
      </c>
      <c r="Q5153">
        <v>-0.1096628</v>
      </c>
      <c r="R5153">
        <v>-0.99333640000000001</v>
      </c>
      <c r="S5153">
        <v>6.9824220000000006E-2</v>
      </c>
      <c r="T5153">
        <v>-9.2337849999999999E-2</v>
      </c>
      <c r="U5153">
        <v>-3.0066830000000002</v>
      </c>
      <c r="V5153">
        <v>-4.1435479999999997E-2</v>
      </c>
      <c r="W5153">
        <v>-9.6318249999999994E-2</v>
      </c>
      <c r="X5153">
        <v>0.99448780000000003</v>
      </c>
      <c r="Y5153">
        <v>-2.9327889999999999E-2</v>
      </c>
      <c r="Z5153">
        <v>1.7213800000000001E-2</v>
      </c>
      <c r="AA5153">
        <v>0.99942160000000002</v>
      </c>
      <c r="AB5153">
        <v>20</v>
      </c>
      <c r="AC5153">
        <v>0.78810000000004199</v>
      </c>
      <c r="AD5153">
        <v>-1.0413895599999901</v>
      </c>
      <c r="AE5153">
        <v>-33.70176</v>
      </c>
      <c r="AF5153">
        <v>-0.99357356894724902</v>
      </c>
      <c r="AG5153">
        <v>-1.0413895599999901</v>
      </c>
      <c r="AH5153">
        <v>33.664174676926599</v>
      </c>
      <c r="AI5153">
        <v>91.771089271051693</v>
      </c>
      <c r="AJ5153">
        <v>91.690552392730396</v>
      </c>
      <c r="AK5153">
        <v>33.694930439625701</v>
      </c>
      <c r="AL5153">
        <v>95.527197699386505</v>
      </c>
      <c r="AM5153">
        <v>92.385857089133296</v>
      </c>
      <c r="AN5153">
        <v>1.00000004431736</v>
      </c>
    </row>
    <row r="5154" spans="1:40" x14ac:dyDescent="0.25">
      <c r="A5154" t="str">
        <f>"20190303154620247"</f>
        <v>20190303154620247</v>
      </c>
      <c r="B5154" t="str">
        <f>"1551599180236331"</f>
        <v>1551599180236331</v>
      </c>
      <c r="C5154" t="s">
        <v>40</v>
      </c>
      <c r="D5154">
        <v>4.7839739999999997</v>
      </c>
      <c r="E5154">
        <v>0.50363249999999904</v>
      </c>
      <c r="F5154" t="s">
        <v>60</v>
      </c>
      <c r="G5154">
        <v>-420.99900000000002</v>
      </c>
      <c r="H5154">
        <v>7.9986450000000001E-2</v>
      </c>
      <c r="I5154">
        <v>8.5535320000000006</v>
      </c>
      <c r="J5154">
        <v>-421.86320000000001</v>
      </c>
      <c r="K5154">
        <v>1.1214150000000001</v>
      </c>
      <c r="L5154">
        <v>41.832790000000003</v>
      </c>
      <c r="M5154">
        <v>-5.210091E-3</v>
      </c>
      <c r="N5154">
        <v>-1.348159E-2</v>
      </c>
      <c r="O5154">
        <v>-0.9998956</v>
      </c>
      <c r="P5154">
        <v>4.0445200000000001E-2</v>
      </c>
      <c r="Q5154">
        <v>-0.1126378</v>
      </c>
      <c r="R5154">
        <v>-0.99281299999999995</v>
      </c>
      <c r="S5154">
        <v>7.7514650000000004E-2</v>
      </c>
      <c r="T5154">
        <v>-9.3441490000000002E-2</v>
      </c>
      <c r="U5154">
        <v>-3.00705</v>
      </c>
      <c r="V5154">
        <v>-4.5497059999999999E-2</v>
      </c>
      <c r="W5154">
        <v>-9.9301440000000005E-2</v>
      </c>
      <c r="X5154">
        <v>0.99401669999999998</v>
      </c>
      <c r="Y5154">
        <v>-3.0964289999999998E-2</v>
      </c>
      <c r="Z5154">
        <v>1.756711E-2</v>
      </c>
      <c r="AA5154">
        <v>0.99936610000000003</v>
      </c>
      <c r="AB5154">
        <v>20</v>
      </c>
      <c r="AC5154">
        <v>0.86419999999998198</v>
      </c>
      <c r="AD5154">
        <v>-1.04142855</v>
      </c>
      <c r="AE5154">
        <v>-33.279257999999999</v>
      </c>
      <c r="AF5154">
        <v>-1.0365775537736399</v>
      </c>
      <c r="AG5154">
        <v>-1.04142855</v>
      </c>
      <c r="AH5154">
        <v>33.241771836613601</v>
      </c>
      <c r="AI5154">
        <v>91.793556293985404</v>
      </c>
      <c r="AJ5154">
        <v>91.786074465055407</v>
      </c>
      <c r="AK5154">
        <v>33.2742311900248</v>
      </c>
      <c r="AL5154">
        <v>95.6989458362211</v>
      </c>
      <c r="AM5154">
        <v>92.620651559290593</v>
      </c>
      <c r="AN5154">
        <v>0.99999997916680305</v>
      </c>
    </row>
    <row r="5155" spans="1:40" x14ac:dyDescent="0.25">
      <c r="A5155" t="str">
        <f>"20190303154620271"</f>
        <v>20190303154620271</v>
      </c>
      <c r="B5155" t="str">
        <f>"1551599180266587"</f>
        <v>1551599180266587</v>
      </c>
      <c r="C5155" t="s">
        <v>40</v>
      </c>
      <c r="D5155">
        <v>4.6577109999999999</v>
      </c>
      <c r="E5155">
        <v>0.47415030000000002</v>
      </c>
      <c r="F5155" t="s">
        <v>60</v>
      </c>
      <c r="G5155">
        <v>-420.89330000000001</v>
      </c>
      <c r="H5155">
        <v>2.507883E-2</v>
      </c>
      <c r="I5155">
        <v>9.6162869999999998</v>
      </c>
      <c r="J5155">
        <v>-421.86329999999998</v>
      </c>
      <c r="K5155">
        <v>1.1214569999999999</v>
      </c>
      <c r="L5155">
        <v>41.605800000000002</v>
      </c>
      <c r="M5155">
        <v>-4.2476730000000004E-3</v>
      </c>
      <c r="N5155">
        <v>-1.348794E-2</v>
      </c>
      <c r="O5155">
        <v>-0.99990000000000001</v>
      </c>
      <c r="P5155">
        <v>4.595569E-2</v>
      </c>
      <c r="Q5155">
        <v>-0.1152372</v>
      </c>
      <c r="R5155">
        <v>-0.99227469999999995</v>
      </c>
      <c r="S5155">
        <v>9.0515139999999994E-2</v>
      </c>
      <c r="T5155">
        <v>-0.1023099</v>
      </c>
      <c r="U5155">
        <v>-3.0064389999999999</v>
      </c>
      <c r="V5155">
        <v>-5.0038289999999999E-2</v>
      </c>
      <c r="W5155">
        <v>-0.10191070000000001</v>
      </c>
      <c r="X5155">
        <v>0.99353429999999998</v>
      </c>
      <c r="Y5155">
        <v>-3.4321999999999998E-2</v>
      </c>
      <c r="Z5155">
        <v>2.050832E-2</v>
      </c>
      <c r="AA5155">
        <v>0.99920039999999999</v>
      </c>
      <c r="AB5155">
        <v>20</v>
      </c>
      <c r="AC5155">
        <v>0.96999999999997</v>
      </c>
      <c r="AD5155">
        <v>-1.0963781699999999</v>
      </c>
      <c r="AE5155">
        <v>-31.989512999999999</v>
      </c>
      <c r="AF5155">
        <v>-1.10458829772231</v>
      </c>
      <c r="AG5155">
        <v>-1.0963781699999999</v>
      </c>
      <c r="AH5155">
        <v>31.9476112080484</v>
      </c>
      <c r="AI5155">
        <v>91.9643324424502</v>
      </c>
      <c r="AJ5155">
        <v>91.980212114557801</v>
      </c>
      <c r="AK5155">
        <v>31.985497061945701</v>
      </c>
      <c r="AL5155">
        <v>95.849207647682206</v>
      </c>
      <c r="AM5155">
        <v>92.883204390103799</v>
      </c>
      <c r="AN5155">
        <v>1.00000001325855</v>
      </c>
    </row>
    <row r="5156" spans="1:40" x14ac:dyDescent="0.25">
      <c r="A5156" t="str">
        <f>"20190303154620290"</f>
        <v>20190303154620290</v>
      </c>
      <c r="B5156" t="str">
        <f>"1551599180286107"</f>
        <v>1551599180286107</v>
      </c>
      <c r="C5156" t="s">
        <v>40</v>
      </c>
      <c r="D5156">
        <v>4.5803690000000001</v>
      </c>
      <c r="E5156">
        <v>0.42322109999999902</v>
      </c>
      <c r="F5156" t="s">
        <v>60</v>
      </c>
      <c r="G5156">
        <v>-419.35329999999999</v>
      </c>
      <c r="H5156" s="1">
        <v>-6.3906719999999997E-6</v>
      </c>
      <c r="I5156">
        <v>19.70391</v>
      </c>
      <c r="J5156">
        <v>-421.86309999999997</v>
      </c>
      <c r="K5156">
        <v>1.121491</v>
      </c>
      <c r="L5156">
        <v>41.438600000000001</v>
      </c>
      <c r="M5156">
        <v>-3.5027999999999999E-3</v>
      </c>
      <c r="N5156">
        <v>-1.349183E-2</v>
      </c>
      <c r="O5156">
        <v>-0.99990290000000004</v>
      </c>
      <c r="P5156">
        <v>5.1466190000000002E-2</v>
      </c>
      <c r="Q5156">
        <v>-0.11568630000000001</v>
      </c>
      <c r="R5156">
        <v>-0.9919519</v>
      </c>
      <c r="S5156">
        <v>0.3426208</v>
      </c>
      <c r="T5156">
        <v>-0.1530852</v>
      </c>
      <c r="U5156">
        <v>-2.989716</v>
      </c>
      <c r="V5156">
        <v>-5.4804390000000001E-2</v>
      </c>
      <c r="W5156">
        <v>-0.10236820000000001</v>
      </c>
      <c r="X5156">
        <v>0.99323570000000005</v>
      </c>
      <c r="Y5156">
        <v>-0.11720419999999999</v>
      </c>
      <c r="Z5156">
        <v>3.731288E-2</v>
      </c>
      <c r="AA5156">
        <v>0.99240660000000003</v>
      </c>
      <c r="AB5156">
        <v>20</v>
      </c>
      <c r="AC5156">
        <v>2.5097999999999798</v>
      </c>
      <c r="AD5156">
        <v>-1.121497390672</v>
      </c>
      <c r="AE5156">
        <v>-21.734690000000001</v>
      </c>
      <c r="AF5156">
        <v>-2.5791471801616299</v>
      </c>
      <c r="AG5156">
        <v>-1.121497390672</v>
      </c>
      <c r="AH5156">
        <v>21.668830424772999</v>
      </c>
      <c r="AI5156">
        <v>92.942041121847197</v>
      </c>
      <c r="AJ5156">
        <v>96.787734872131296</v>
      </c>
      <c r="AK5156">
        <v>21.850582796616401</v>
      </c>
      <c r="AL5156">
        <v>95.875558576544293</v>
      </c>
      <c r="AM5156">
        <v>93.158242643434903</v>
      </c>
      <c r="AN5156">
        <v>0.99999996264449997</v>
      </c>
    </row>
    <row r="5157" spans="1:40" x14ac:dyDescent="0.25">
      <c r="A5157" t="str">
        <f>"20190303154620310"</f>
        <v>20190303154620310</v>
      </c>
      <c r="B5157" t="str">
        <f>"1551599180306604"</f>
        <v>1551599180306604</v>
      </c>
      <c r="C5157" t="s">
        <v>40</v>
      </c>
      <c r="D5157">
        <v>4.5563070000000003</v>
      </c>
      <c r="E5157">
        <v>0.42286289999999999</v>
      </c>
      <c r="F5157" t="s">
        <v>60</v>
      </c>
      <c r="G5157">
        <v>-417.76679999999999</v>
      </c>
      <c r="H5157" s="1">
        <v>-7.6028770000000001E-6</v>
      </c>
      <c r="I5157">
        <v>25.587969999999999</v>
      </c>
      <c r="J5157">
        <v>-421.86270000000002</v>
      </c>
      <c r="K5157">
        <v>1.121523</v>
      </c>
      <c r="L5157">
        <v>41.2547</v>
      </c>
      <c r="M5157">
        <v>-2.6499370000000002E-3</v>
      </c>
      <c r="N5157">
        <v>-1.3495399999999999E-2</v>
      </c>
      <c r="O5157">
        <v>-0.99990559999999995</v>
      </c>
      <c r="P5157">
        <v>5.7831439999999998E-2</v>
      </c>
      <c r="Q5157">
        <v>-0.1137972</v>
      </c>
      <c r="R5157">
        <v>-0.99181989999999998</v>
      </c>
      <c r="S5157">
        <v>0.76501459999999999</v>
      </c>
      <c r="T5157">
        <v>-0.20944699999999999</v>
      </c>
      <c r="U5157">
        <v>-2.9602050000000002</v>
      </c>
      <c r="V5157">
        <v>-6.0322779999999999E-2</v>
      </c>
      <c r="W5157">
        <v>-0.1004864</v>
      </c>
      <c r="X5157">
        <v>0.99310810000000005</v>
      </c>
      <c r="Y5157">
        <v>-0.25226330000000002</v>
      </c>
      <c r="Z5157">
        <v>5.4846100000000002E-2</v>
      </c>
      <c r="AA5157">
        <v>0.96610309999999999</v>
      </c>
      <c r="AB5157">
        <v>20</v>
      </c>
      <c r="AC5157">
        <v>4.0959000000000199</v>
      </c>
      <c r="AD5157">
        <v>-1.121530602877</v>
      </c>
      <c r="AE5157">
        <v>-15.6667299999999</v>
      </c>
      <c r="AF5157">
        <v>-4.1176536693955903</v>
      </c>
      <c r="AG5157">
        <v>-1.121530602877</v>
      </c>
      <c r="AH5157">
        <v>15.581080764645099</v>
      </c>
      <c r="AI5157">
        <v>93.980862153412204</v>
      </c>
      <c r="AJ5157">
        <v>104.803281064735</v>
      </c>
      <c r="AK5157">
        <v>16.154967670307101</v>
      </c>
      <c r="AL5157">
        <v>95.767180078471597</v>
      </c>
      <c r="AM5157">
        <v>93.475955403559894</v>
      </c>
      <c r="AN5157">
        <v>1.0000000263287401</v>
      </c>
    </row>
    <row r="5158" spans="1:40" x14ac:dyDescent="0.25">
      <c r="A5158" t="str">
        <f>"20190303154620331"</f>
        <v>20190303154620331</v>
      </c>
      <c r="B5158" t="str">
        <f>"1551599180326123"</f>
        <v>1551599180326123</v>
      </c>
      <c r="C5158" t="s">
        <v>40</v>
      </c>
      <c r="D5158">
        <v>4.5383420000000001</v>
      </c>
      <c r="E5158">
        <v>0.42372789999999999</v>
      </c>
      <c r="F5158" t="s">
        <v>60</v>
      </c>
      <c r="G5158">
        <v>-417.3877</v>
      </c>
      <c r="H5158" s="1">
        <v>-7.6075709999999996E-6</v>
      </c>
      <c r="I5158">
        <v>24.4466</v>
      </c>
      <c r="J5158">
        <v>-421.8621</v>
      </c>
      <c r="K5158">
        <v>1.121545</v>
      </c>
      <c r="L5158">
        <v>41.059719999999999</v>
      </c>
      <c r="M5158">
        <v>-1.707386E-3</v>
      </c>
      <c r="N5158">
        <v>-1.349852E-2</v>
      </c>
      <c r="O5158">
        <v>-0.99990760000000001</v>
      </c>
      <c r="P5158">
        <v>6.5055230000000006E-2</v>
      </c>
      <c r="Q5158">
        <v>-0.1121665</v>
      </c>
      <c r="R5158">
        <v>-0.99155780000000004</v>
      </c>
      <c r="S5158">
        <v>0.78707890000000003</v>
      </c>
      <c r="T5158">
        <v>-0.19725680000000001</v>
      </c>
      <c r="U5158">
        <v>-2.9562379999999999</v>
      </c>
      <c r="V5158">
        <v>-6.6609779999999993E-2</v>
      </c>
      <c r="W5158">
        <v>-9.8866750000000003E-2</v>
      </c>
      <c r="X5158">
        <v>0.9928688</v>
      </c>
      <c r="Y5158">
        <v>-0.25846380000000002</v>
      </c>
      <c r="Z5158">
        <v>5.0852540000000002E-2</v>
      </c>
      <c r="AA5158">
        <v>0.96468160000000003</v>
      </c>
      <c r="AB5158">
        <v>20</v>
      </c>
      <c r="AC5158">
        <v>4.4744000000000002</v>
      </c>
      <c r="AD5158">
        <v>-1.1215526075710001</v>
      </c>
      <c r="AE5158">
        <v>-16.613119999999999</v>
      </c>
      <c r="AF5158">
        <v>-4.4837081502128298</v>
      </c>
      <c r="AG5158">
        <v>-1.1215526075710001</v>
      </c>
      <c r="AH5158">
        <v>16.535191484213001</v>
      </c>
      <c r="AI5158">
        <v>93.745475820859895</v>
      </c>
      <c r="AJ5158">
        <v>105.171586895171</v>
      </c>
      <c r="AK5158">
        <v>17.1689858887305</v>
      </c>
      <c r="AL5158">
        <v>95.673916787329006</v>
      </c>
      <c r="AM5158">
        <v>93.838119337386004</v>
      </c>
      <c r="AN5158">
        <v>0.99999997553032505</v>
      </c>
    </row>
    <row r="5159" spans="1:40" x14ac:dyDescent="0.25">
      <c r="A5159" t="str">
        <f>"20190303154620354"</f>
        <v>20190303154620354</v>
      </c>
      <c r="B5159" t="str">
        <f>"1551599180346619"</f>
        <v>1551599180346619</v>
      </c>
      <c r="C5159" t="s">
        <v>40</v>
      </c>
      <c r="D5159">
        <v>4.4879619999999996</v>
      </c>
      <c r="E5159">
        <v>0.42397190000000001</v>
      </c>
      <c r="F5159" t="s">
        <v>60</v>
      </c>
      <c r="G5159">
        <v>-417.25200000000001</v>
      </c>
      <c r="H5159" s="1">
        <v>-7.6148079999999997E-6</v>
      </c>
      <c r="I5159">
        <v>24.087499999999999</v>
      </c>
      <c r="J5159">
        <v>-421.86130000000003</v>
      </c>
      <c r="K5159">
        <v>1.1215729999999999</v>
      </c>
      <c r="L5159">
        <v>40.859679999999997</v>
      </c>
      <c r="M5159">
        <v>-6.9897389999999996E-4</v>
      </c>
      <c r="N5159">
        <v>-1.35012E-2</v>
      </c>
      <c r="O5159">
        <v>-0.99990880000000004</v>
      </c>
      <c r="P5159">
        <v>7.2062360000000006E-2</v>
      </c>
      <c r="Q5159">
        <v>-0.1116463</v>
      </c>
      <c r="R5159">
        <v>-0.99113209999999996</v>
      </c>
      <c r="S5159">
        <v>0.80154419999999904</v>
      </c>
      <c r="T5159">
        <v>-0.19500020000000001</v>
      </c>
      <c r="U5159">
        <v>-2.9508969999999999</v>
      </c>
      <c r="V5159">
        <v>-7.2612529999999995E-2</v>
      </c>
      <c r="W5159">
        <v>-9.8360719999999999E-2</v>
      </c>
      <c r="X5159">
        <v>0.9924982</v>
      </c>
      <c r="Y5159">
        <v>-0.2623393</v>
      </c>
      <c r="Z5159">
        <v>5.0155569999999997E-2</v>
      </c>
      <c r="AA5159">
        <v>0.96367139999999996</v>
      </c>
      <c r="AB5159">
        <v>20</v>
      </c>
      <c r="AC5159">
        <v>4.6093000000000703</v>
      </c>
      <c r="AD5159">
        <v>-1.1215806148080001</v>
      </c>
      <c r="AE5159">
        <v>-16.772179999999999</v>
      </c>
      <c r="AF5159">
        <v>-4.6018896147376802</v>
      </c>
      <c r="AG5159">
        <v>-1.1215806148080001</v>
      </c>
      <c r="AH5159">
        <v>16.699520905680501</v>
      </c>
      <c r="AI5159">
        <v>93.704669687711501</v>
      </c>
      <c r="AJ5159">
        <v>105.406617671647</v>
      </c>
      <c r="AK5159">
        <v>17.358264014036799</v>
      </c>
      <c r="AL5159">
        <v>95.644781003787301</v>
      </c>
      <c r="AM5159">
        <v>94.184382707791698</v>
      </c>
      <c r="AN5159">
        <v>1.00000004387757</v>
      </c>
    </row>
    <row r="5160" spans="1:40" x14ac:dyDescent="0.25">
      <c r="A5160" t="str">
        <f>"20190303154620377"</f>
        <v>20190303154620377</v>
      </c>
      <c r="B5160" t="str">
        <f>"1551599180366140"</f>
        <v>1551599180366140</v>
      </c>
      <c r="C5160" t="s">
        <v>40</v>
      </c>
      <c r="D5160">
        <v>4.4723369999999996</v>
      </c>
      <c r="E5160">
        <v>0.42468800000000001</v>
      </c>
      <c r="F5160" t="s">
        <v>60</v>
      </c>
      <c r="G5160">
        <v>-417.25900000000001</v>
      </c>
      <c r="H5160" s="1">
        <v>-7.6421239999999999E-6</v>
      </c>
      <c r="I5160">
        <v>24.352350000000001</v>
      </c>
      <c r="J5160">
        <v>-421.86</v>
      </c>
      <c r="K5160">
        <v>1.121597</v>
      </c>
      <c r="L5160">
        <v>40.652009999999997</v>
      </c>
      <c r="M5160">
        <v>3.9666449999999998E-4</v>
      </c>
      <c r="N5160">
        <v>-1.350353E-2</v>
      </c>
      <c r="O5160">
        <v>-0.99990889999999999</v>
      </c>
      <c r="P5160">
        <v>7.9638589999999995E-2</v>
      </c>
      <c r="Q5160">
        <v>-0.11218160000000001</v>
      </c>
      <c r="R5160">
        <v>-0.99049140000000002</v>
      </c>
      <c r="S5160">
        <v>0.82095339999999895</v>
      </c>
      <c r="T5160">
        <v>-0.20006979999999999</v>
      </c>
      <c r="U5160">
        <v>-2.9446110000000001</v>
      </c>
      <c r="V5160">
        <v>-7.9096369999999999E-2</v>
      </c>
      <c r="W5160">
        <v>-9.8915690000000001E-2</v>
      </c>
      <c r="X5160">
        <v>0.99194729999999998</v>
      </c>
      <c r="Y5160">
        <v>-0.26767340000000001</v>
      </c>
      <c r="Z5160">
        <v>5.1833049999999999E-2</v>
      </c>
      <c r="AA5160">
        <v>0.96211449999999998</v>
      </c>
      <c r="AB5160">
        <v>20</v>
      </c>
      <c r="AC5160">
        <v>4.6009999999999902</v>
      </c>
      <c r="AD5160">
        <v>-1.121604642124</v>
      </c>
      <c r="AE5160">
        <v>-16.2996599999999</v>
      </c>
      <c r="AF5160">
        <v>-4.5744718151884403</v>
      </c>
      <c r="AG5160">
        <v>-1.121604642124</v>
      </c>
      <c r="AH5160">
        <v>16.230304546963001</v>
      </c>
      <c r="AI5160">
        <v>93.805376792173803</v>
      </c>
      <c r="AJ5160">
        <v>105.74036108524</v>
      </c>
      <c r="AK5160">
        <v>16.8998986697659</v>
      </c>
      <c r="AL5160">
        <v>95.676734528918601</v>
      </c>
      <c r="AM5160">
        <v>94.559032249488794</v>
      </c>
      <c r="AN5160">
        <v>0.99999999772632098</v>
      </c>
    </row>
    <row r="5161" spans="1:40" x14ac:dyDescent="0.25">
      <c r="A5161" t="str">
        <f>"20190303154620399"</f>
        <v>20190303154620399</v>
      </c>
      <c r="B5161" t="str">
        <f>"1551599180396395"</f>
        <v>1551599180396395</v>
      </c>
      <c r="C5161" t="s">
        <v>40</v>
      </c>
      <c r="D5161">
        <v>4.4964490000000001</v>
      </c>
      <c r="E5161">
        <v>0.42515979999999998</v>
      </c>
      <c r="F5161" t="s">
        <v>60</v>
      </c>
      <c r="G5161">
        <v>-417.28410000000002</v>
      </c>
      <c r="H5161" s="1">
        <v>-7.6625199999999996E-6</v>
      </c>
      <c r="I5161">
        <v>24.61195</v>
      </c>
      <c r="J5161">
        <v>-421.85860000000002</v>
      </c>
      <c r="K5161">
        <v>1.1216189999999999</v>
      </c>
      <c r="L5161">
        <v>40.455289999999998</v>
      </c>
      <c r="M5161">
        <v>1.4916020000000001E-3</v>
      </c>
      <c r="N5161">
        <v>-1.3505410000000001E-2</v>
      </c>
      <c r="O5161">
        <v>-0.99990800000000002</v>
      </c>
      <c r="P5161">
        <v>8.7223839999999997E-2</v>
      </c>
      <c r="Q5161">
        <v>-0.1130014</v>
      </c>
      <c r="R5161">
        <v>-0.98975930000000001</v>
      </c>
      <c r="S5161">
        <v>0.83819580000000005</v>
      </c>
      <c r="T5161">
        <v>-0.2054503</v>
      </c>
      <c r="U5161">
        <v>-2.9381409999999999</v>
      </c>
      <c r="V5161">
        <v>-8.5589209999999999E-2</v>
      </c>
      <c r="W5161">
        <v>-9.9758360000000004E-2</v>
      </c>
      <c r="X5161">
        <v>0.99132379999999998</v>
      </c>
      <c r="Y5161">
        <v>-0.27236070000000001</v>
      </c>
      <c r="Z5161">
        <v>5.362741E-2</v>
      </c>
      <c r="AA5161">
        <v>0.96069959999999999</v>
      </c>
      <c r="AB5161">
        <v>20</v>
      </c>
      <c r="AC5161">
        <v>4.5744999999999996</v>
      </c>
      <c r="AD5161">
        <v>-1.12162666252</v>
      </c>
      <c r="AE5161">
        <v>-15.84334</v>
      </c>
      <c r="AF5161">
        <v>-4.5299044069571197</v>
      </c>
      <c r="AG5161">
        <v>-1.12162666252</v>
      </c>
      <c r="AH5161">
        <v>15.777157503812701</v>
      </c>
      <c r="AI5161">
        <v>93.909006387599206</v>
      </c>
      <c r="AJ5161">
        <v>106.019720211039</v>
      </c>
      <c r="AK5161">
        <v>16.452865379816298</v>
      </c>
      <c r="AL5161">
        <v>95.725255602653306</v>
      </c>
      <c r="AM5161">
        <v>94.9345830934286</v>
      </c>
      <c r="AN5161">
        <v>1.0000000598523699</v>
      </c>
    </row>
    <row r="5162" spans="1:40" x14ac:dyDescent="0.25">
      <c r="A5162" t="str">
        <f>"20190303154620420"</f>
        <v>20190303154620420</v>
      </c>
      <c r="B5162" t="str">
        <f>"1551599180416891"</f>
        <v>1551599180416891</v>
      </c>
      <c r="C5162" t="s">
        <v>40</v>
      </c>
      <c r="D5162">
        <v>4.5503429999999998</v>
      </c>
      <c r="E5162">
        <v>0.42586930000000001</v>
      </c>
      <c r="F5162" t="s">
        <v>60</v>
      </c>
      <c r="G5162">
        <v>-417.35419999999999</v>
      </c>
      <c r="H5162" s="1">
        <v>-7.6864940000000003E-6</v>
      </c>
      <c r="I5162">
        <v>25.043749999999999</v>
      </c>
      <c r="J5162">
        <v>-421.85700000000003</v>
      </c>
      <c r="K5162">
        <v>1.1216429999999999</v>
      </c>
      <c r="L5162">
        <v>40.26099</v>
      </c>
      <c r="M5162">
        <v>2.641937E-3</v>
      </c>
      <c r="N5162">
        <v>-1.350702E-2</v>
      </c>
      <c r="O5162">
        <v>-0.9999055</v>
      </c>
      <c r="P5162">
        <v>9.4822820000000002E-2</v>
      </c>
      <c r="Q5162">
        <v>-0.1150713</v>
      </c>
      <c r="R5162">
        <v>-0.98882139999999996</v>
      </c>
      <c r="S5162">
        <v>0.85672000000000004</v>
      </c>
      <c r="T5162">
        <v>-0.21332670000000001</v>
      </c>
      <c r="U5162">
        <v>-2.9311829999999999</v>
      </c>
      <c r="V5162">
        <v>-9.203894E-2</v>
      </c>
      <c r="W5162">
        <v>-0.1018564</v>
      </c>
      <c r="X5162">
        <v>0.99053219999999997</v>
      </c>
      <c r="Y5162">
        <v>-0.2774066</v>
      </c>
      <c r="Z5162">
        <v>5.6237250000000003E-2</v>
      </c>
      <c r="AA5162">
        <v>0.95910530000000005</v>
      </c>
      <c r="AB5162">
        <v>20</v>
      </c>
      <c r="AC5162">
        <v>4.5027999999999704</v>
      </c>
      <c r="AD5162">
        <v>-1.1216506864939999</v>
      </c>
      <c r="AE5162">
        <v>-15.217239999999901</v>
      </c>
      <c r="AF5162">
        <v>-4.4403950142799502</v>
      </c>
      <c r="AG5162">
        <v>-1.1216506864939999</v>
      </c>
      <c r="AH5162">
        <v>15.1533832159918</v>
      </c>
      <c r="AI5162">
        <v>94.063063230788202</v>
      </c>
      <c r="AJ5162">
        <v>106.332164438614</v>
      </c>
      <c r="AK5162">
        <v>15.830357893492399</v>
      </c>
      <c r="AL5162">
        <v>95.8460804901963</v>
      </c>
      <c r="AM5162">
        <v>95.308605004371998</v>
      </c>
      <c r="AN5162">
        <v>0.99999996596706098</v>
      </c>
    </row>
    <row r="5163" spans="1:40" x14ac:dyDescent="0.25">
      <c r="A5163" t="str">
        <f>"20190303154620450"</f>
        <v>20190303154620450</v>
      </c>
      <c r="B5163" t="str">
        <f>"1551599180446171"</f>
        <v>1551599180446171</v>
      </c>
      <c r="C5163" t="s">
        <v>40</v>
      </c>
      <c r="D5163">
        <v>4.4138080000000004</v>
      </c>
      <c r="E5163">
        <v>0.42625689999999999</v>
      </c>
      <c r="F5163" t="s">
        <v>60</v>
      </c>
      <c r="G5163">
        <v>-417.36070000000001</v>
      </c>
      <c r="H5163" s="1">
        <v>-7.7036810000000001E-6</v>
      </c>
      <c r="I5163">
        <v>25.216729999999998</v>
      </c>
      <c r="J5163">
        <v>-421.85430000000002</v>
      </c>
      <c r="K5163">
        <v>1.1217010000000001</v>
      </c>
      <c r="L5163">
        <v>40.010379999999998</v>
      </c>
      <c r="M5163">
        <v>4.2674499999999999E-3</v>
      </c>
      <c r="N5163">
        <v>-1.350907E-2</v>
      </c>
      <c r="O5163">
        <v>-0.99989980000000001</v>
      </c>
      <c r="P5163">
        <v>0.10363120000000001</v>
      </c>
      <c r="Q5163">
        <v>-0.115952</v>
      </c>
      <c r="R5163">
        <v>-0.98783410000000005</v>
      </c>
      <c r="S5163">
        <v>0.87411499999999998</v>
      </c>
      <c r="T5163">
        <v>-0.21805720000000001</v>
      </c>
      <c r="U5163">
        <v>-2.9247130000000001</v>
      </c>
      <c r="V5163">
        <v>-9.9225690000000005E-2</v>
      </c>
      <c r="W5163">
        <v>-0.10277310000000001</v>
      </c>
      <c r="X5163">
        <v>0.98974340000000005</v>
      </c>
      <c r="Y5163">
        <v>-0.28162730000000002</v>
      </c>
      <c r="Z5163">
        <v>5.7824279999999999E-2</v>
      </c>
      <c r="AA5163">
        <v>0.95777990000000002</v>
      </c>
      <c r="AB5163">
        <v>20</v>
      </c>
      <c r="AC5163">
        <v>4.4936000000000096</v>
      </c>
      <c r="AD5163">
        <v>-1.1217087036810001</v>
      </c>
      <c r="AE5163">
        <v>-14.79365</v>
      </c>
      <c r="AF5163">
        <v>-4.4072243760709702</v>
      </c>
      <c r="AG5163">
        <v>-1.1217087036810001</v>
      </c>
      <c r="AH5163">
        <v>14.735133647825201</v>
      </c>
      <c r="AI5163">
        <v>94.171334518743805</v>
      </c>
      <c r="AJ5163">
        <v>106.65173100089</v>
      </c>
      <c r="AK5163">
        <v>15.420960434947601</v>
      </c>
      <c r="AL5163">
        <v>95.898880290026597</v>
      </c>
      <c r="AM5163">
        <v>95.724999243462705</v>
      </c>
      <c r="AN5163">
        <v>1.00000002274157</v>
      </c>
    </row>
    <row r="5164" spans="1:40" x14ac:dyDescent="0.25">
      <c r="A5164" t="str">
        <f>"20190303154620490"</f>
        <v>20190303154620490</v>
      </c>
      <c r="B5164" t="str">
        <f>"1551599180486384"</f>
        <v>1551599180486384</v>
      </c>
      <c r="C5164" t="s">
        <v>40</v>
      </c>
      <c r="D5164">
        <v>4.2453649999999996</v>
      </c>
      <c r="E5164">
        <v>0.34174280000000001</v>
      </c>
      <c r="F5164" t="s">
        <v>60</v>
      </c>
      <c r="G5164">
        <v>-417.23599999999999</v>
      </c>
      <c r="H5164" s="1">
        <v>-7.7214489999999993E-6</v>
      </c>
      <c r="I5164">
        <v>24.985790000000001</v>
      </c>
      <c r="J5164">
        <v>-421.84949999999998</v>
      </c>
      <c r="K5164">
        <v>1.1218349999999999</v>
      </c>
      <c r="L5164">
        <v>39.648470000000003</v>
      </c>
      <c r="M5164">
        <v>6.8831650000000001E-3</v>
      </c>
      <c r="N5164">
        <v>-1.351222E-2</v>
      </c>
      <c r="O5164">
        <v>-0.99988529999999998</v>
      </c>
      <c r="P5164">
        <v>0.1244596</v>
      </c>
      <c r="Q5164">
        <v>-0.1106128</v>
      </c>
      <c r="R5164">
        <v>-0.98604020000000003</v>
      </c>
      <c r="S5164">
        <v>0.89672850000000004</v>
      </c>
      <c r="T5164">
        <v>-0.2178001</v>
      </c>
      <c r="U5164">
        <v>-2.917297</v>
      </c>
      <c r="V5164">
        <v>-0.1174654</v>
      </c>
      <c r="W5164">
        <v>-9.7513500000000003E-2</v>
      </c>
      <c r="X5164">
        <v>0.98827779999999998</v>
      </c>
      <c r="Y5164">
        <v>-0.28657769999999999</v>
      </c>
      <c r="Z5164">
        <v>5.7782519999999997E-2</v>
      </c>
      <c r="AA5164">
        <v>0.95631290000000002</v>
      </c>
      <c r="AB5164">
        <v>20</v>
      </c>
      <c r="AC5164">
        <v>4.6134999999999797</v>
      </c>
      <c r="AD5164">
        <v>-1.1218427214489901</v>
      </c>
      <c r="AE5164">
        <v>-14.66268</v>
      </c>
      <c r="AF5164">
        <v>-4.4885477356632402</v>
      </c>
      <c r="AG5164">
        <v>-1.1218427214489901</v>
      </c>
      <c r="AH5164">
        <v>14.6162379833036</v>
      </c>
      <c r="AI5164">
        <v>94.196353357297696</v>
      </c>
      <c r="AJ5164">
        <v>107.07136769444701</v>
      </c>
      <c r="AK5164">
        <v>15.3310144690937</v>
      </c>
      <c r="AL5164">
        <v>95.596004595923006</v>
      </c>
      <c r="AM5164">
        <v>96.778300503538702</v>
      </c>
      <c r="AN5164">
        <v>1.0000000064261201</v>
      </c>
    </row>
    <row r="5165" spans="1:40" x14ac:dyDescent="0.25">
      <c r="A5165" t="str">
        <f>"20190303154620511"</f>
        <v>20190303154620511</v>
      </c>
      <c r="B5165" t="str">
        <f>"1551599180505905"</f>
        <v>1551599180505905</v>
      </c>
      <c r="C5165" t="s">
        <v>40</v>
      </c>
      <c r="D5165">
        <v>4.2531089999999896</v>
      </c>
      <c r="E5165">
        <v>0.33042090000000002</v>
      </c>
      <c r="F5165" t="s">
        <v>42</v>
      </c>
      <c r="G5165">
        <v>-421.37189999999998</v>
      </c>
      <c r="H5165">
        <v>1.02217</v>
      </c>
      <c r="I5165">
        <v>38.825760000000002</v>
      </c>
      <c r="J5165">
        <v>-421.84629999999999</v>
      </c>
      <c r="K5165">
        <v>1.121909</v>
      </c>
      <c r="L5165">
        <v>39.450780000000002</v>
      </c>
      <c r="M5165">
        <v>8.4538389999999995E-3</v>
      </c>
      <c r="N5165">
        <v>-1.3513809999999999E-2</v>
      </c>
      <c r="O5165">
        <v>-0.99987309999999996</v>
      </c>
      <c r="P5165">
        <v>0.13693420000000001</v>
      </c>
      <c r="Q5165">
        <v>-0.1073904</v>
      </c>
      <c r="R5165">
        <v>-0.98474220000000001</v>
      </c>
      <c r="S5165">
        <v>1.6255189999999999</v>
      </c>
      <c r="T5165">
        <v>-0.33911989999999997</v>
      </c>
      <c r="U5165">
        <v>-2.799255</v>
      </c>
      <c r="V5165">
        <v>-0.12839400000000001</v>
      </c>
      <c r="W5165">
        <v>-9.4343689999999994E-2</v>
      </c>
      <c r="X5165">
        <v>0.98722549999999998</v>
      </c>
      <c r="Y5165">
        <v>-0.49239260000000001</v>
      </c>
      <c r="Z5165">
        <v>9.1009640000000003E-2</v>
      </c>
      <c r="AA5165">
        <v>0.86560199999999998</v>
      </c>
      <c r="AB5165">
        <v>20</v>
      </c>
      <c r="AC5165">
        <v>0.47440000000000199</v>
      </c>
      <c r="AD5165">
        <v>-9.9738999999999994E-2</v>
      </c>
      <c r="AE5165">
        <v>-0.62502000000000602</v>
      </c>
      <c r="AF5165">
        <v>-0.46164008797862699</v>
      </c>
      <c r="AG5165">
        <v>-9.9738999999999994E-2</v>
      </c>
      <c r="AH5165">
        <v>0.61900731082791105</v>
      </c>
      <c r="AI5165">
        <v>97.359767199461899</v>
      </c>
      <c r="AJ5165">
        <v>126.71465009712</v>
      </c>
      <c r="AK5165">
        <v>0.77860740415713803</v>
      </c>
      <c r="AL5165">
        <v>95.413546526299299</v>
      </c>
      <c r="AM5165">
        <v>97.410033124128802</v>
      </c>
      <c r="AN5165">
        <v>0.99999996946453196</v>
      </c>
    </row>
    <row r="5166" spans="1:40" x14ac:dyDescent="0.25">
      <c r="A5166" t="str">
        <f>"20190303154620538"</f>
        <v>20190303154620538</v>
      </c>
      <c r="B5166" t="str">
        <f>"1551599180526400"</f>
        <v>1551599180526400</v>
      </c>
      <c r="C5166" t="s">
        <v>40</v>
      </c>
      <c r="D5166">
        <v>4.1636519999999999</v>
      </c>
      <c r="E5166">
        <v>0.32634770000000002</v>
      </c>
      <c r="F5166" t="s">
        <v>42</v>
      </c>
      <c r="G5166">
        <v>-421.34179999999998</v>
      </c>
      <c r="H5166">
        <v>1.0141610000000001</v>
      </c>
      <c r="I5166">
        <v>38.654249999999998</v>
      </c>
      <c r="J5166">
        <v>-421.84210000000002</v>
      </c>
      <c r="K5166">
        <v>1.1219790000000001</v>
      </c>
      <c r="L5166">
        <v>39.224850000000004</v>
      </c>
      <c r="M5166">
        <v>1.0384869999999999E-2</v>
      </c>
      <c r="N5166">
        <v>-1.3515620000000001E-2</v>
      </c>
      <c r="O5166">
        <v>-0.99985460000000004</v>
      </c>
      <c r="P5166">
        <v>0.15065919999999999</v>
      </c>
      <c r="Q5166">
        <v>-0.1054195</v>
      </c>
      <c r="R5166">
        <v>-0.98294879999999996</v>
      </c>
      <c r="S5166">
        <v>1.749725</v>
      </c>
      <c r="T5166">
        <v>-0.3736775</v>
      </c>
      <c r="U5166">
        <v>-2.7624209999999998</v>
      </c>
      <c r="V5166">
        <v>-0.14022219999999999</v>
      </c>
      <c r="W5166">
        <v>-9.2439579999999993E-2</v>
      </c>
      <c r="X5166">
        <v>0.98579539999999999</v>
      </c>
      <c r="Y5166">
        <v>-0.52317279999999999</v>
      </c>
      <c r="Z5166">
        <v>0.1004762</v>
      </c>
      <c r="AA5166">
        <v>0.84628300000000001</v>
      </c>
      <c r="AB5166">
        <v>20</v>
      </c>
      <c r="AC5166">
        <v>0.50030000000003805</v>
      </c>
      <c r="AD5166">
        <v>-0.107817999999999</v>
      </c>
      <c r="AE5166">
        <v>-0.57060000000000599</v>
      </c>
      <c r="AF5166">
        <v>-0.48456549806253602</v>
      </c>
      <c r="AG5166">
        <v>-0.107817999999999</v>
      </c>
      <c r="AH5166">
        <v>0.56437290032901699</v>
      </c>
      <c r="AI5166">
        <v>98.247294375501397</v>
      </c>
      <c r="AJ5166">
        <v>130.64909192710999</v>
      </c>
      <c r="AK5166">
        <v>0.75162837470546595</v>
      </c>
      <c r="AL5166">
        <v>95.3039702017319</v>
      </c>
      <c r="AM5166">
        <v>98.095598544815104</v>
      </c>
      <c r="AN5166">
        <v>0.99999995599228697</v>
      </c>
    </row>
    <row r="5167" spans="1:40" x14ac:dyDescent="0.25">
      <c r="A5167" t="str">
        <f>"20190303154620556"</f>
        <v>20190303154620556</v>
      </c>
      <c r="B5167" t="str">
        <f>"1551599180545920"</f>
        <v>1551599180545920</v>
      </c>
      <c r="C5167" t="s">
        <v>40</v>
      </c>
      <c r="D5167">
        <v>4.2229929999999998</v>
      </c>
      <c r="E5167">
        <v>0.32532159999999999</v>
      </c>
      <c r="F5167" t="s">
        <v>42</v>
      </c>
      <c r="G5167">
        <v>-421.34339999999997</v>
      </c>
      <c r="H5167">
        <v>1.0173140000000001</v>
      </c>
      <c r="I5167">
        <v>38.475830000000002</v>
      </c>
      <c r="J5167">
        <v>-421.83839999999998</v>
      </c>
      <c r="K5167">
        <v>1.1220429999999999</v>
      </c>
      <c r="L5167">
        <v>39.053530000000002</v>
      </c>
      <c r="M5167">
        <v>1.1984379999999999E-2</v>
      </c>
      <c r="N5167">
        <v>-1.351745E-2</v>
      </c>
      <c r="O5167">
        <v>-0.99983690000000003</v>
      </c>
      <c r="P5167">
        <v>0.16216429999999901</v>
      </c>
      <c r="Q5167">
        <v>-0.105338</v>
      </c>
      <c r="R5167">
        <v>-0.98112540000000004</v>
      </c>
      <c r="S5167">
        <v>1.81958</v>
      </c>
      <c r="T5167">
        <v>-0.38179639999999998</v>
      </c>
      <c r="U5167">
        <v>-2.732208</v>
      </c>
      <c r="V5167">
        <v>-0.15015789999999901</v>
      </c>
      <c r="W5167">
        <v>-9.2424060000000002E-2</v>
      </c>
      <c r="X5167">
        <v>0.9843324</v>
      </c>
      <c r="Y5167">
        <v>-0.54093619999999898</v>
      </c>
      <c r="Z5167">
        <v>0.1025491</v>
      </c>
      <c r="AA5167">
        <v>0.83478839999999999</v>
      </c>
      <c r="AB5167">
        <v>20</v>
      </c>
      <c r="AC5167">
        <v>0.49500000000000399</v>
      </c>
      <c r="AD5167">
        <v>-0.104729</v>
      </c>
      <c r="AE5167">
        <v>-0.57769999999999999</v>
      </c>
      <c r="AF5167">
        <v>-0.47896356557763498</v>
      </c>
      <c r="AG5167">
        <v>-0.104729</v>
      </c>
      <c r="AH5167">
        <v>0.57273733036284902</v>
      </c>
      <c r="AI5167">
        <v>97.984879866351704</v>
      </c>
      <c r="AJ5167">
        <v>129.90475845800401</v>
      </c>
      <c r="AK5167">
        <v>0.753924605105182</v>
      </c>
      <c r="AL5167">
        <v>95.303077245092396</v>
      </c>
      <c r="AM5167">
        <v>98.673486910218799</v>
      </c>
      <c r="AN5167">
        <v>0.999999937744524</v>
      </c>
    </row>
    <row r="5168" spans="1:40" x14ac:dyDescent="0.25">
      <c r="A5168" t="str">
        <f>"20190303154620578"</f>
        <v>20190303154620578</v>
      </c>
      <c r="B5168" t="str">
        <f>"1551599180566417"</f>
        <v>1551599180566417</v>
      </c>
      <c r="C5168" t="s">
        <v>40</v>
      </c>
      <c r="D5168">
        <v>4.221457</v>
      </c>
      <c r="E5168">
        <v>0.32601760000000002</v>
      </c>
      <c r="F5168" t="s">
        <v>42</v>
      </c>
      <c r="G5168">
        <v>-421.32319999999999</v>
      </c>
      <c r="H5168">
        <v>1.014877</v>
      </c>
      <c r="I5168">
        <v>38.30265</v>
      </c>
      <c r="J5168">
        <v>-421.83390000000003</v>
      </c>
      <c r="K5168">
        <v>1.122155</v>
      </c>
      <c r="L5168">
        <v>38.860349999999997</v>
      </c>
      <c r="M5168">
        <v>1.393437E-2</v>
      </c>
      <c r="N5168">
        <v>-1.352046E-2</v>
      </c>
      <c r="O5168">
        <v>-0.99981160000000002</v>
      </c>
      <c r="P5168">
        <v>0.17302020000000001</v>
      </c>
      <c r="Q5168">
        <v>-0.1055746</v>
      </c>
      <c r="R5168">
        <v>-0.97924389999999994</v>
      </c>
      <c r="S5168">
        <v>1.859772</v>
      </c>
      <c r="T5168">
        <v>-0.38661649999999997</v>
      </c>
      <c r="U5168">
        <v>-2.7088009999999998</v>
      </c>
      <c r="V5168">
        <v>-0.15909999999999999</v>
      </c>
      <c r="W5168">
        <v>-9.2736170000000007E-2</v>
      </c>
      <c r="X5168">
        <v>0.98289729999999997</v>
      </c>
      <c r="Y5168">
        <v>-0.55095890000000003</v>
      </c>
      <c r="Z5168">
        <v>0.10396660000000001</v>
      </c>
      <c r="AA5168">
        <v>0.82803090000000001</v>
      </c>
      <c r="AB5168">
        <v>20</v>
      </c>
      <c r="AC5168">
        <v>0.51070000000004201</v>
      </c>
      <c r="AD5168">
        <v>-0.107277999999999</v>
      </c>
      <c r="AE5168">
        <v>-0.55769999999999698</v>
      </c>
      <c r="AF5168">
        <v>-0.49295754592013602</v>
      </c>
      <c r="AG5168">
        <v>-0.107277999999999</v>
      </c>
      <c r="AH5168">
        <v>0.55362094865522404</v>
      </c>
      <c r="AI5168">
        <v>98.234617350521802</v>
      </c>
      <c r="AJ5168">
        <v>131.68264520138399</v>
      </c>
      <c r="AK5168">
        <v>0.74900725373891597</v>
      </c>
      <c r="AL5168">
        <v>95.321036873799699</v>
      </c>
      <c r="AM5168">
        <v>99.194624957002304</v>
      </c>
      <c r="AN5168">
        <v>0.99999995478677794</v>
      </c>
    </row>
    <row r="5169" spans="1:40" x14ac:dyDescent="0.25">
      <c r="A5169" t="str">
        <f>"20190303154620600"</f>
        <v>20190303154620600</v>
      </c>
      <c r="B5169" t="str">
        <f>"1551599180596673"</f>
        <v>1551599180596673</v>
      </c>
      <c r="C5169" t="s">
        <v>40</v>
      </c>
      <c r="D5169">
        <v>4.2266640000000004</v>
      </c>
      <c r="E5169">
        <v>0.32739889999999999</v>
      </c>
      <c r="F5169" t="s">
        <v>42</v>
      </c>
      <c r="G5169">
        <v>-421.31939999999997</v>
      </c>
      <c r="H5169">
        <v>1.015393</v>
      </c>
      <c r="I5169">
        <v>38.126010000000001</v>
      </c>
      <c r="J5169">
        <v>-421.82859999999999</v>
      </c>
      <c r="K5169">
        <v>1.122309</v>
      </c>
      <c r="L5169">
        <v>38.659419999999997</v>
      </c>
      <c r="M5169">
        <v>1.6133999999999999E-2</v>
      </c>
      <c r="N5169">
        <v>-1.3524690000000001E-2</v>
      </c>
      <c r="O5169">
        <v>-0.99977830000000001</v>
      </c>
      <c r="P5169">
        <v>0.18426000000000001</v>
      </c>
      <c r="Q5169">
        <v>-0.1035707</v>
      </c>
      <c r="R5169">
        <v>-0.97740539999999998</v>
      </c>
      <c r="S5169">
        <v>1.884155</v>
      </c>
      <c r="T5169">
        <v>-0.3908817</v>
      </c>
      <c r="U5169">
        <v>-2.6885379999999999</v>
      </c>
      <c r="V5169">
        <v>-0.1681887</v>
      </c>
      <c r="W5169">
        <v>-9.0817690000000006E-2</v>
      </c>
      <c r="X5169">
        <v>0.98156239999999995</v>
      </c>
      <c r="Y5169">
        <v>-0.55697750000000001</v>
      </c>
      <c r="Z5169">
        <v>0.1054319</v>
      </c>
      <c r="AA5169">
        <v>0.8238084</v>
      </c>
      <c r="AB5169">
        <v>20</v>
      </c>
      <c r="AC5169">
        <v>0.50920000000002097</v>
      </c>
      <c r="AD5169">
        <v>-0.106916</v>
      </c>
      <c r="AE5169">
        <v>-0.53341000000000305</v>
      </c>
      <c r="AF5169">
        <v>-0.49022229812285001</v>
      </c>
      <c r="AG5169">
        <v>-0.106916</v>
      </c>
      <c r="AH5169">
        <v>0.53040745448805404</v>
      </c>
      <c r="AI5169">
        <v>98.420409305238394</v>
      </c>
      <c r="AJ5169">
        <v>132.74526345979999</v>
      </c>
      <c r="AK5169">
        <v>0.73012396235800003</v>
      </c>
      <c r="AL5169">
        <v>95.210649835124599</v>
      </c>
      <c r="AM5169">
        <v>99.723090812339393</v>
      </c>
      <c r="AN5169">
        <v>1.0000000183591899</v>
      </c>
    </row>
    <row r="5170" spans="1:40" x14ac:dyDescent="0.25">
      <c r="A5170" t="str">
        <f>"20190303154620623"</f>
        <v>20190303154620623</v>
      </c>
      <c r="B5170" t="str">
        <f>"1551599180616192"</f>
        <v>1551599180616192</v>
      </c>
      <c r="C5170" t="s">
        <v>40</v>
      </c>
      <c r="D5170">
        <v>4.2236269999999996</v>
      </c>
      <c r="E5170">
        <v>0.32867540000000001</v>
      </c>
      <c r="F5170" t="s">
        <v>42</v>
      </c>
      <c r="G5170">
        <v>-421.32150000000001</v>
      </c>
      <c r="H5170">
        <v>1.019131</v>
      </c>
      <c r="I5170">
        <v>37.9482</v>
      </c>
      <c r="J5170">
        <v>-421.82279999999997</v>
      </c>
      <c r="K5170">
        <v>1.122455</v>
      </c>
      <c r="L5170">
        <v>38.467709999999997</v>
      </c>
      <c r="M5170">
        <v>1.8413240000000001E-2</v>
      </c>
      <c r="N5170">
        <v>-1.3529279999999999E-2</v>
      </c>
      <c r="O5170">
        <v>-0.99973909999999999</v>
      </c>
      <c r="P5170">
        <v>0.19603000000000001</v>
      </c>
      <c r="Q5170">
        <v>-0.1001877</v>
      </c>
      <c r="R5170">
        <v>-0.97546670000000002</v>
      </c>
      <c r="S5170">
        <v>1.9038999999999999</v>
      </c>
      <c r="T5170">
        <v>-0.38726280000000002</v>
      </c>
      <c r="U5170">
        <v>-2.669403</v>
      </c>
      <c r="V5170">
        <v>-0.17774300000000001</v>
      </c>
      <c r="W5170">
        <v>-8.7527049999999995E-2</v>
      </c>
      <c r="X5170">
        <v>0.98017670000000001</v>
      </c>
      <c r="Y5170">
        <v>-0.56195240000000002</v>
      </c>
      <c r="Z5170">
        <v>0.1045859</v>
      </c>
      <c r="AA5170">
        <v>0.82053109999999996</v>
      </c>
      <c r="AB5170">
        <v>20</v>
      </c>
      <c r="AC5170">
        <v>0.501299999999957</v>
      </c>
      <c r="AD5170">
        <v>-0.103323999999999</v>
      </c>
      <c r="AE5170">
        <v>-0.51950999999999603</v>
      </c>
      <c r="AF5170">
        <v>-0.481779718530706</v>
      </c>
      <c r="AG5170">
        <v>-0.103323999999999</v>
      </c>
      <c r="AH5170">
        <v>0.51804198872460605</v>
      </c>
      <c r="AI5170">
        <v>98.309425305834907</v>
      </c>
      <c r="AJ5170">
        <v>132.922864911841</v>
      </c>
      <c r="AK5170">
        <v>0.71495108101552696</v>
      </c>
      <c r="AL5170">
        <v>95.021356148635704</v>
      </c>
      <c r="AM5170">
        <v>100.278196241309</v>
      </c>
      <c r="AN5170">
        <v>0.99999996087679499</v>
      </c>
    </row>
    <row r="5171" spans="1:40" x14ac:dyDescent="0.25">
      <c r="A5171" t="str">
        <f>"20190303154620646"</f>
        <v>20190303154620646</v>
      </c>
      <c r="B5171" t="str">
        <f>"1551599180636688"</f>
        <v>1551599180636688</v>
      </c>
      <c r="C5171" t="s">
        <v>40</v>
      </c>
      <c r="D5171">
        <v>4.2468810000000001</v>
      </c>
      <c r="E5171">
        <v>0.3300747</v>
      </c>
      <c r="F5171" t="s">
        <v>42</v>
      </c>
      <c r="G5171">
        <v>-421.20760000000001</v>
      </c>
      <c r="H5171">
        <v>1.000448</v>
      </c>
      <c r="I5171">
        <v>37.621259999999999</v>
      </c>
      <c r="J5171">
        <v>-421.81580000000002</v>
      </c>
      <c r="K5171">
        <v>1.1225969999999901</v>
      </c>
      <c r="L5171">
        <v>38.258150000000001</v>
      </c>
      <c r="M5171">
        <v>2.111466E-2</v>
      </c>
      <c r="N5171">
        <v>-1.353442E-2</v>
      </c>
      <c r="O5171">
        <v>-0.99968559999999995</v>
      </c>
      <c r="P5171">
        <v>0.20888119999999999</v>
      </c>
      <c r="Q5171">
        <v>-9.7587179999999996E-2</v>
      </c>
      <c r="R5171">
        <v>-0.97306000000000004</v>
      </c>
      <c r="S5171">
        <v>1.9259949999999999</v>
      </c>
      <c r="T5171">
        <v>-0.38186609999999999</v>
      </c>
      <c r="U5171">
        <v>-2.6492</v>
      </c>
      <c r="V5171">
        <v>-0.18798119999999999</v>
      </c>
      <c r="W5171">
        <v>-8.5031300000000004E-2</v>
      </c>
      <c r="X5171">
        <v>0.97848489999999999</v>
      </c>
      <c r="Y5171">
        <v>-0.56724449999999904</v>
      </c>
      <c r="Z5171">
        <v>0.10319109999999999</v>
      </c>
      <c r="AA5171">
        <v>0.81705890000000003</v>
      </c>
      <c r="AB5171">
        <v>20</v>
      </c>
      <c r="AC5171">
        <v>0.60820000000000995</v>
      </c>
      <c r="AD5171">
        <v>-0.12214899999999899</v>
      </c>
      <c r="AE5171">
        <v>-0.63689000000000096</v>
      </c>
      <c r="AF5171">
        <v>-0.58339168644122896</v>
      </c>
      <c r="AG5171">
        <v>-0.12214899999999899</v>
      </c>
      <c r="AH5171">
        <v>0.63732964414987803</v>
      </c>
      <c r="AI5171">
        <v>98.046720940069505</v>
      </c>
      <c r="AJ5171">
        <v>132.470013488342</v>
      </c>
      <c r="AK5171">
        <v>0.87261406894568905</v>
      </c>
      <c r="AL5171">
        <v>94.877824858504397</v>
      </c>
      <c r="AM5171">
        <v>100.874855869228</v>
      </c>
      <c r="AN5171">
        <v>0.99999997653056905</v>
      </c>
    </row>
    <row r="5172" spans="1:40" x14ac:dyDescent="0.25">
      <c r="A5172" t="str">
        <f>"20190303154620672"</f>
        <v>20190303154620672</v>
      </c>
      <c r="B5172" t="str">
        <f>"1551599180665969"</f>
        <v>1551599180665969</v>
      </c>
      <c r="C5172" t="s">
        <v>40</v>
      </c>
      <c r="D5172">
        <v>4.2469960000000002</v>
      </c>
      <c r="E5172">
        <v>0.33018249999999999</v>
      </c>
      <c r="F5172" t="s">
        <v>42</v>
      </c>
      <c r="G5172">
        <v>-421.21140000000003</v>
      </c>
      <c r="H5172">
        <v>1.0053019999999999</v>
      </c>
      <c r="I5172">
        <v>37.443959999999997</v>
      </c>
      <c r="J5172">
        <v>-421.80720000000002</v>
      </c>
      <c r="K5172">
        <v>1.1227199999999999</v>
      </c>
      <c r="L5172">
        <v>38.031100000000002</v>
      </c>
      <c r="M5172">
        <v>2.4242509999999998E-2</v>
      </c>
      <c r="N5172">
        <v>-1.3539529999999999E-2</v>
      </c>
      <c r="O5172">
        <v>-0.99961460000000002</v>
      </c>
      <c r="P5172">
        <v>0.22294439999999999</v>
      </c>
      <c r="Q5172">
        <v>-9.4323500000000005E-2</v>
      </c>
      <c r="R5172">
        <v>-0.97025749999999999</v>
      </c>
      <c r="S5172">
        <v>1.9494929999999999</v>
      </c>
      <c r="T5172">
        <v>-0.37839279999999997</v>
      </c>
      <c r="U5172">
        <v>-2.626617</v>
      </c>
      <c r="V5172">
        <v>-0.19904140000000001</v>
      </c>
      <c r="W5172">
        <v>-8.1876009999999999E-2</v>
      </c>
      <c r="X5172">
        <v>0.97656480000000001</v>
      </c>
      <c r="Y5172">
        <v>-0.57277359999999999</v>
      </c>
      <c r="Z5172">
        <v>0.102418</v>
      </c>
      <c r="AA5172">
        <v>0.81329019999999996</v>
      </c>
      <c r="AB5172">
        <v>20</v>
      </c>
      <c r="AC5172">
        <v>0.595799999999997</v>
      </c>
      <c r="AD5172">
        <v>-0.11741799999999999</v>
      </c>
      <c r="AE5172">
        <v>-0.58714000000000499</v>
      </c>
      <c r="AF5172">
        <v>-0.57015556886293095</v>
      </c>
      <c r="AG5172">
        <v>-0.11741799999999999</v>
      </c>
      <c r="AH5172">
        <v>0.58979127428519895</v>
      </c>
      <c r="AI5172">
        <v>98.145768707188495</v>
      </c>
      <c r="AJ5172">
        <v>134.03018348715699</v>
      </c>
      <c r="AK5172">
        <v>0.82868456402443702</v>
      </c>
      <c r="AL5172">
        <v>94.696407093771001</v>
      </c>
      <c r="AM5172">
        <v>101.520114071835</v>
      </c>
      <c r="AN5172">
        <v>0.99999998426325898</v>
      </c>
    </row>
    <row r="5173" spans="1:40" x14ac:dyDescent="0.25">
      <c r="A5173" t="str">
        <f>"20190303154620695"</f>
        <v>20190303154620695</v>
      </c>
      <c r="B5173" t="str">
        <f>"1551599180686465"</f>
        <v>1551599180686465</v>
      </c>
      <c r="C5173" t="s">
        <v>40</v>
      </c>
      <c r="D5173">
        <v>4.2839900000000002</v>
      </c>
      <c r="E5173">
        <v>0.33063520000000002</v>
      </c>
      <c r="F5173" t="s">
        <v>42</v>
      </c>
      <c r="G5173">
        <v>-421.22199999999998</v>
      </c>
      <c r="H5173">
        <v>1.0145839999999999</v>
      </c>
      <c r="I5173">
        <v>37.265120000000003</v>
      </c>
      <c r="J5173">
        <v>-421.79899999999998</v>
      </c>
      <c r="K5173">
        <v>1.122819</v>
      </c>
      <c r="L5173">
        <v>37.832430000000002</v>
      </c>
      <c r="M5173">
        <v>2.714664E-2</v>
      </c>
      <c r="N5173">
        <v>-1.354371E-2</v>
      </c>
      <c r="O5173">
        <v>-0.99953990000000004</v>
      </c>
      <c r="P5173">
        <v>0.23761160000000001</v>
      </c>
      <c r="Q5173">
        <v>-9.075358E-2</v>
      </c>
      <c r="R5173">
        <v>-0.96711159999999996</v>
      </c>
      <c r="S5173">
        <v>1.986359</v>
      </c>
      <c r="T5173">
        <v>-0.3670293</v>
      </c>
      <c r="U5173">
        <v>-2.5998540000000001</v>
      </c>
      <c r="V5173">
        <v>-0.21095410000000001</v>
      </c>
      <c r="W5173">
        <v>-7.841352E-2</v>
      </c>
      <c r="X5173">
        <v>0.97434569999999998</v>
      </c>
      <c r="Y5173">
        <v>-0.58189789999999997</v>
      </c>
      <c r="Z5173">
        <v>9.9077330000000005E-2</v>
      </c>
      <c r="AA5173">
        <v>0.80720419999999904</v>
      </c>
      <c r="AB5173">
        <v>20</v>
      </c>
      <c r="AC5173">
        <v>0.57700000000005502</v>
      </c>
      <c r="AD5173">
        <v>-0.108235</v>
      </c>
      <c r="AE5173">
        <v>-0.56730999999999898</v>
      </c>
      <c r="AF5173">
        <v>-0.55151785923000896</v>
      </c>
      <c r="AG5173">
        <v>-0.108235</v>
      </c>
      <c r="AH5173">
        <v>0.57252263899193001</v>
      </c>
      <c r="AI5173">
        <v>97.753277418072301</v>
      </c>
      <c r="AJ5173">
        <v>133.929446780489</v>
      </c>
      <c r="AK5173">
        <v>0.80228980825692597</v>
      </c>
      <c r="AL5173">
        <v>94.497380958737295</v>
      </c>
      <c r="AM5173">
        <v>102.216464998227</v>
      </c>
      <c r="AN5173">
        <v>0.99999992776704205</v>
      </c>
    </row>
    <row r="5174" spans="1:40" x14ac:dyDescent="0.25">
      <c r="A5174" t="str">
        <f>"20190303154620714"</f>
        <v>20190303154620714</v>
      </c>
      <c r="B5174" t="str">
        <f>"1551599180705985"</f>
        <v>1551599180705985</v>
      </c>
      <c r="C5174" t="s">
        <v>40</v>
      </c>
      <c r="D5174">
        <v>4.2266659999999998</v>
      </c>
      <c r="E5174">
        <v>0.33031909999999998</v>
      </c>
      <c r="F5174" t="s">
        <v>42</v>
      </c>
      <c r="G5174">
        <v>-421.21570000000003</v>
      </c>
      <c r="H5174">
        <v>1.020289</v>
      </c>
      <c r="I5174">
        <v>37.090560000000004</v>
      </c>
      <c r="J5174">
        <v>-421.79129999999998</v>
      </c>
      <c r="K5174">
        <v>1.122895</v>
      </c>
      <c r="L5174">
        <v>37.661349999999999</v>
      </c>
      <c r="M5174">
        <v>2.977902E-2</v>
      </c>
      <c r="N5174">
        <v>-1.354756E-2</v>
      </c>
      <c r="O5174">
        <v>-0.99946480000000004</v>
      </c>
      <c r="P5174">
        <v>0.25247269999999999</v>
      </c>
      <c r="Q5174">
        <v>-8.8766570000000003E-2</v>
      </c>
      <c r="R5174">
        <v>-0.96352369999999998</v>
      </c>
      <c r="S5174">
        <v>2.0220639999999999</v>
      </c>
      <c r="T5174">
        <v>-0.35543950000000002</v>
      </c>
      <c r="U5174">
        <v>-2.571869</v>
      </c>
      <c r="V5174">
        <v>-0.22334879999999999</v>
      </c>
      <c r="W5174">
        <v>-7.6539579999999996E-2</v>
      </c>
      <c r="X5174">
        <v>0.97172890000000001</v>
      </c>
      <c r="Y5174">
        <v>-0.59112759999999998</v>
      </c>
      <c r="Z5174">
        <v>9.5687510000000003E-2</v>
      </c>
      <c r="AA5174">
        <v>0.80088199999999998</v>
      </c>
      <c r="AB5174">
        <v>20</v>
      </c>
      <c r="AC5174">
        <v>0.57559999999995104</v>
      </c>
      <c r="AD5174">
        <v>-0.102605999999999</v>
      </c>
      <c r="AE5174">
        <v>-0.57079000000000202</v>
      </c>
      <c r="AF5174">
        <v>-0.549541082652513</v>
      </c>
      <c r="AG5174">
        <v>-0.102605999999999</v>
      </c>
      <c r="AH5174">
        <v>0.57841215874559704</v>
      </c>
      <c r="AI5174">
        <v>97.328241899516797</v>
      </c>
      <c r="AJ5174">
        <v>133.53377813798201</v>
      </c>
      <c r="AK5174">
        <v>0.80441532689503004</v>
      </c>
      <c r="AL5174">
        <v>94.389687951525502</v>
      </c>
      <c r="AM5174">
        <v>102.94442875720701</v>
      </c>
      <c r="AN5174">
        <v>1.0000000244316101</v>
      </c>
    </row>
    <row r="5175" spans="1:40" x14ac:dyDescent="0.25">
      <c r="A5175" t="str">
        <f>"20190303154620735"</f>
        <v>20190303154620735</v>
      </c>
      <c r="B5175" t="str">
        <f>"1551599180726481"</f>
        <v>1551599180726481</v>
      </c>
      <c r="C5175" t="s">
        <v>40</v>
      </c>
      <c r="D5175">
        <v>4.5187229999999996</v>
      </c>
      <c r="E5175">
        <v>0.30405729999999997</v>
      </c>
      <c r="F5175" t="s">
        <v>42</v>
      </c>
      <c r="G5175">
        <v>-421.1902</v>
      </c>
      <c r="H5175">
        <v>1.020734</v>
      </c>
      <c r="I5175">
        <v>36.921010000000003</v>
      </c>
      <c r="J5175">
        <v>-421.7824</v>
      </c>
      <c r="K5175">
        <v>1.1229629999999999</v>
      </c>
      <c r="L5175">
        <v>37.478999999999999</v>
      </c>
      <c r="M5175">
        <v>3.2710980000000001E-2</v>
      </c>
      <c r="N5175">
        <v>-1.355225E-2</v>
      </c>
      <c r="O5175">
        <v>-0.99937299999999996</v>
      </c>
      <c r="P5175">
        <v>0.26822839999999998</v>
      </c>
      <c r="Q5175">
        <v>-8.7767979999999995E-2</v>
      </c>
      <c r="R5175">
        <v>-0.95934909999999995</v>
      </c>
      <c r="S5175">
        <v>2.0634459999999999</v>
      </c>
      <c r="T5175">
        <v>-0.35059509999999899</v>
      </c>
      <c r="U5175">
        <v>-2.5405880000000001</v>
      </c>
      <c r="V5175">
        <v>-0.23637549999999999</v>
      </c>
      <c r="W5175">
        <v>-7.5670370000000001E-2</v>
      </c>
      <c r="X5175">
        <v>0.96871079999999998</v>
      </c>
      <c r="Y5175">
        <v>-0.60149079999999999</v>
      </c>
      <c r="Z5175">
        <v>9.4301919999999997E-2</v>
      </c>
      <c r="AA5175">
        <v>0.79329439999999996</v>
      </c>
      <c r="AB5175">
        <v>20</v>
      </c>
      <c r="AC5175">
        <v>0.59219999999999096</v>
      </c>
      <c r="AD5175">
        <v>-0.102228999999999</v>
      </c>
      <c r="AE5175">
        <v>-0.55799000000000298</v>
      </c>
      <c r="AF5175">
        <v>-0.56471471606461499</v>
      </c>
      <c r="AG5175">
        <v>-0.102228999999999</v>
      </c>
      <c r="AH5175">
        <v>0.56809693363460401</v>
      </c>
      <c r="AI5175">
        <v>97.272951585105503</v>
      </c>
      <c r="AJ5175">
        <v>134.82893341855601</v>
      </c>
      <c r="AK5175">
        <v>0.80751941461860699</v>
      </c>
      <c r="AL5175">
        <v>94.339741146189496</v>
      </c>
      <c r="AM5175">
        <v>103.712798704002</v>
      </c>
      <c r="AN5175">
        <v>0.99999999796641303</v>
      </c>
    </row>
    <row r="5176" spans="1:40" x14ac:dyDescent="0.25">
      <c r="A5176" t="str">
        <f>"20190303154620755"</f>
        <v>20190303154620755</v>
      </c>
      <c r="B5176" t="str">
        <f>"1551599180746001"</f>
        <v>1551599180746001</v>
      </c>
      <c r="C5176" t="s">
        <v>40</v>
      </c>
      <c r="D5176">
        <v>4.1644199999999998</v>
      </c>
      <c r="E5176">
        <v>0.2567391</v>
      </c>
      <c r="F5176" t="s">
        <v>60</v>
      </c>
      <c r="G5176">
        <v>-415.86689999999999</v>
      </c>
      <c r="H5176" s="1">
        <v>-5.762265E-6</v>
      </c>
      <c r="I5176">
        <v>31.204149999999998</v>
      </c>
      <c r="J5176">
        <v>-421.77289999999999</v>
      </c>
      <c r="K5176">
        <v>1.123041</v>
      </c>
      <c r="L5176">
        <v>37.296230000000001</v>
      </c>
      <c r="M5176">
        <v>3.5769370000000002E-2</v>
      </c>
      <c r="N5176">
        <v>-1.355754E-2</v>
      </c>
      <c r="O5176">
        <v>-0.99926820000000005</v>
      </c>
      <c r="P5176">
        <v>0.28516720000000001</v>
      </c>
      <c r="Q5176">
        <v>-8.8087479999999996E-2</v>
      </c>
      <c r="R5176">
        <v>-0.95442159999999998</v>
      </c>
      <c r="S5176">
        <v>2.3032530000000002</v>
      </c>
      <c r="T5176">
        <v>-0.43723390000000001</v>
      </c>
      <c r="U5176">
        <v>-2.443146</v>
      </c>
      <c r="V5176">
        <v>-0.25050220000000001</v>
      </c>
      <c r="W5176">
        <v>-7.6138960000000006E-2</v>
      </c>
      <c r="X5176">
        <v>0.96511729999999996</v>
      </c>
      <c r="Y5176">
        <v>-0.65423240000000005</v>
      </c>
      <c r="Z5176">
        <v>0.1175295</v>
      </c>
      <c r="AA5176">
        <v>0.74710569999999998</v>
      </c>
      <c r="AB5176">
        <v>20</v>
      </c>
      <c r="AC5176">
        <v>5.9059999999999997</v>
      </c>
      <c r="AD5176">
        <v>-1.123046762265</v>
      </c>
      <c r="AE5176">
        <v>-6.0920800000000002</v>
      </c>
      <c r="AF5176">
        <v>-5.5864240640388996</v>
      </c>
      <c r="AG5176">
        <v>-1.123046762265</v>
      </c>
      <c r="AH5176">
        <v>6.1909969044192401</v>
      </c>
      <c r="AI5176">
        <v>97.670232501960598</v>
      </c>
      <c r="AJ5176">
        <v>132.061402990651</v>
      </c>
      <c r="AK5176">
        <v>8.4141434813078497</v>
      </c>
      <c r="AL5176">
        <v>94.366667273108703</v>
      </c>
      <c r="AM5176">
        <v>104.55039701138701</v>
      </c>
      <c r="AN5176">
        <v>0.99999994809700399</v>
      </c>
    </row>
    <row r="5177" spans="1:40" x14ac:dyDescent="0.25">
      <c r="A5177" t="str">
        <f>"20190303154620782"</f>
        <v>20190303154620782</v>
      </c>
      <c r="B5177" t="str">
        <f>"1551599180776256"</f>
        <v>1551599180776256</v>
      </c>
      <c r="C5177" t="s">
        <v>40</v>
      </c>
      <c r="D5177">
        <v>4.2219040000000003</v>
      </c>
      <c r="E5177">
        <v>0.25928509999999999</v>
      </c>
      <c r="F5177" t="s">
        <v>60</v>
      </c>
      <c r="G5177">
        <v>-416.59339999999997</v>
      </c>
      <c r="H5177" s="1">
        <v>-4.78649099999999E-6</v>
      </c>
      <c r="I5177">
        <v>32.920749999999998</v>
      </c>
      <c r="J5177">
        <v>-421.76010000000002</v>
      </c>
      <c r="K5177">
        <v>1.123122</v>
      </c>
      <c r="L5177">
        <v>37.069789999999998</v>
      </c>
      <c r="M5177">
        <v>3.9706369999999998E-2</v>
      </c>
      <c r="N5177">
        <v>-1.3564059999999999E-2</v>
      </c>
      <c r="O5177">
        <v>-0.99911930000000004</v>
      </c>
      <c r="P5177">
        <v>0.30331079999999999</v>
      </c>
      <c r="Q5177">
        <v>-8.7955329999999998E-2</v>
      </c>
      <c r="R5177">
        <v>-0.94882359999999999</v>
      </c>
      <c r="S5177">
        <v>2.7013850000000001</v>
      </c>
      <c r="T5177">
        <v>-0.58573390000000003</v>
      </c>
      <c r="U5177">
        <v>-2.2820740000000002</v>
      </c>
      <c r="V5177">
        <v>-0.26503690000000002</v>
      </c>
      <c r="W5177">
        <v>-7.6176199999999999E-2</v>
      </c>
      <c r="X5177">
        <v>0.96122459999999998</v>
      </c>
      <c r="Y5177">
        <v>-0.72803899999999999</v>
      </c>
      <c r="Z5177">
        <v>0.15300039999999901</v>
      </c>
      <c r="AA5177">
        <v>0.66824399999999995</v>
      </c>
      <c r="AB5177">
        <v>20</v>
      </c>
      <c r="AC5177">
        <v>5.1667000000000396</v>
      </c>
      <c r="AD5177">
        <v>-1.123126786491</v>
      </c>
      <c r="AE5177">
        <v>-4.1490400000000003</v>
      </c>
      <c r="AF5177">
        <v>-4.85829852853829</v>
      </c>
      <c r="AG5177">
        <v>-1.123126786491</v>
      </c>
      <c r="AH5177">
        <v>4.22943526601013</v>
      </c>
      <c r="AI5177">
        <v>99.890751131922002</v>
      </c>
      <c r="AJ5177">
        <v>138.95850761820299</v>
      </c>
      <c r="AK5177">
        <v>6.5385473188087504</v>
      </c>
      <c r="AL5177">
        <v>94.368806729170103</v>
      </c>
      <c r="AM5177">
        <v>105.41504285151299</v>
      </c>
      <c r="AN5177">
        <v>1.0000000517265999</v>
      </c>
    </row>
    <row r="5178" spans="1:40" x14ac:dyDescent="0.25">
      <c r="A5178" t="str">
        <f>"20190303154620803"</f>
        <v>20190303154620803</v>
      </c>
      <c r="B5178" t="str">
        <f>"1551599180796753"</f>
        <v>1551599180796753</v>
      </c>
      <c r="C5178" t="s">
        <v>40</v>
      </c>
      <c r="D5178">
        <v>3.9245730000000001</v>
      </c>
      <c r="E5178">
        <v>0.26043460000000002</v>
      </c>
      <c r="F5178" t="s">
        <v>60</v>
      </c>
      <c r="G5178">
        <v>-416.3827</v>
      </c>
      <c r="H5178" s="1">
        <v>-4.9687460000000004E-6</v>
      </c>
      <c r="I5178">
        <v>32.654739999999997</v>
      </c>
      <c r="J5178">
        <v>-421.74869999999999</v>
      </c>
      <c r="K5178">
        <v>1.123181</v>
      </c>
      <c r="L5178">
        <v>36.884889999999999</v>
      </c>
      <c r="M5178">
        <v>4.305751E-2</v>
      </c>
      <c r="N5178">
        <v>-1.3569029999999999E-2</v>
      </c>
      <c r="O5178">
        <v>-0.99898039999999999</v>
      </c>
      <c r="P5178">
        <v>0.32027169999999999</v>
      </c>
      <c r="Q5178">
        <v>-8.8887179999999996E-2</v>
      </c>
      <c r="R5178">
        <v>-0.94314629999999999</v>
      </c>
      <c r="S5178">
        <v>2.7255250000000002</v>
      </c>
      <c r="T5178">
        <v>-0.56925539999999997</v>
      </c>
      <c r="U5178">
        <v>-2.237762</v>
      </c>
      <c r="V5178">
        <v>-0.27898779999999901</v>
      </c>
      <c r="W5178">
        <v>-7.7268409999999996E-2</v>
      </c>
      <c r="X5178">
        <v>0.95718099999999995</v>
      </c>
      <c r="Y5178">
        <v>-0.73556239999999995</v>
      </c>
      <c r="Z5178">
        <v>0.1491517</v>
      </c>
      <c r="AA5178">
        <v>0.66083409999999998</v>
      </c>
      <c r="AB5178">
        <v>20</v>
      </c>
      <c r="AC5178">
        <v>5.3659999999999801</v>
      </c>
      <c r="AD5178">
        <v>-1.123185968746</v>
      </c>
      <c r="AE5178">
        <v>-4.2301500000000001</v>
      </c>
      <c r="AF5178">
        <v>-5.0426111449071902</v>
      </c>
      <c r="AG5178">
        <v>-1.123185968746</v>
      </c>
      <c r="AH5178">
        <v>4.3400235406808898</v>
      </c>
      <c r="AI5178">
        <v>99.582403999971902</v>
      </c>
      <c r="AJ5178">
        <v>139.28241290081999</v>
      </c>
      <c r="AK5178">
        <v>6.7472422672373602</v>
      </c>
      <c r="AL5178">
        <v>94.431570831442798</v>
      </c>
      <c r="AM5178">
        <v>106.249723080149</v>
      </c>
      <c r="AN5178">
        <v>1.0000000332468799</v>
      </c>
    </row>
    <row r="5179" spans="1:40" x14ac:dyDescent="0.25">
      <c r="A5179" t="str">
        <f>"20190303154620828"</f>
        <v>20190303154620828</v>
      </c>
      <c r="B5179" t="str">
        <f>"1551599180816272"</f>
        <v>1551599180816272</v>
      </c>
      <c r="C5179" t="s">
        <v>40</v>
      </c>
      <c r="D5179">
        <v>4.2800760000000002</v>
      </c>
      <c r="E5179">
        <v>0.26245370000000001</v>
      </c>
      <c r="F5179" t="s">
        <v>60</v>
      </c>
      <c r="G5179">
        <v>-416.28390000000002</v>
      </c>
      <c r="H5179" s="1">
        <v>-5.0486670000000002E-6</v>
      </c>
      <c r="I5179">
        <v>32.540880000000001</v>
      </c>
      <c r="J5179">
        <v>-421.73439999999999</v>
      </c>
      <c r="K5179">
        <v>1.1232409999999999</v>
      </c>
      <c r="L5179">
        <v>36.667819999999999</v>
      </c>
      <c r="M5179">
        <v>4.712674E-2</v>
      </c>
      <c r="N5179">
        <v>-1.3574259999999999E-2</v>
      </c>
      <c r="O5179">
        <v>-0.99879680000000004</v>
      </c>
      <c r="P5179">
        <v>0.3372965</v>
      </c>
      <c r="Q5179">
        <v>-9.0378780000000006E-2</v>
      </c>
      <c r="R5179">
        <v>-0.93705020000000006</v>
      </c>
      <c r="S5179">
        <v>2.7567140000000001</v>
      </c>
      <c r="T5179">
        <v>-0.56658629999999999</v>
      </c>
      <c r="U5179">
        <v>-2.1913149999999999</v>
      </c>
      <c r="V5179">
        <v>-0.29236580000000001</v>
      </c>
      <c r="W5179">
        <v>-7.8916299999999995E-2</v>
      </c>
      <c r="X5179">
        <v>0.95304480000000003</v>
      </c>
      <c r="Y5179">
        <v>-0.74326349999999997</v>
      </c>
      <c r="Z5179">
        <v>0.14896619999999999</v>
      </c>
      <c r="AA5179">
        <v>0.65220269999999902</v>
      </c>
      <c r="AB5179">
        <v>20</v>
      </c>
      <c r="AC5179">
        <v>5.4504999999999697</v>
      </c>
      <c r="AD5179">
        <v>-1.123246048667</v>
      </c>
      <c r="AE5179">
        <v>-4.1269399999999896</v>
      </c>
      <c r="AF5179">
        <v>-5.1119446975020297</v>
      </c>
      <c r="AG5179">
        <v>-1.123246048667</v>
      </c>
      <c r="AH5179">
        <v>4.2641362333681698</v>
      </c>
      <c r="AI5179">
        <v>99.577482267873904</v>
      </c>
      <c r="AJ5179">
        <v>140.16677531647699</v>
      </c>
      <c r="AK5179">
        <v>6.7510382973945902</v>
      </c>
      <c r="AL5179">
        <v>94.526277502347099</v>
      </c>
      <c r="AM5179">
        <v>107.05445600129001</v>
      </c>
      <c r="AN5179">
        <v>0.999999967111184</v>
      </c>
    </row>
    <row r="5180" spans="1:40" x14ac:dyDescent="0.25">
      <c r="A5180" t="str">
        <f>"20190303154620852"</f>
        <v>20190303154620852</v>
      </c>
      <c r="B5180" t="str">
        <f>"1551599180846529"</f>
        <v>1551599180846529</v>
      </c>
      <c r="C5180" t="s">
        <v>40</v>
      </c>
      <c r="D5180">
        <v>4.5448890000000004</v>
      </c>
      <c r="E5180">
        <v>0.2703063</v>
      </c>
      <c r="F5180" t="s">
        <v>60</v>
      </c>
      <c r="G5180">
        <v>-416.17180000000002</v>
      </c>
      <c r="H5180" s="1">
        <v>-5.1582379999999998E-6</v>
      </c>
      <c r="I5180">
        <v>32.374639999999999</v>
      </c>
      <c r="J5180">
        <v>-421.72019999999998</v>
      </c>
      <c r="K5180">
        <v>1.1232869999999999</v>
      </c>
      <c r="L5180">
        <v>36.465519999999998</v>
      </c>
      <c r="M5180">
        <v>5.1052060000000003E-2</v>
      </c>
      <c r="N5180">
        <v>-1.357911E-2</v>
      </c>
      <c r="O5180">
        <v>-0.99860380000000004</v>
      </c>
      <c r="P5180">
        <v>0.35252040000000001</v>
      </c>
      <c r="Q5180">
        <v>-9.1833029999999996E-2</v>
      </c>
      <c r="R5180">
        <v>-0.93128759999999999</v>
      </c>
      <c r="S5180">
        <v>2.7810060000000001</v>
      </c>
      <c r="T5180">
        <v>-0.56156359999999905</v>
      </c>
      <c r="U5180">
        <v>-2.1463619999999999</v>
      </c>
      <c r="V5180">
        <v>-0.30410350000000003</v>
      </c>
      <c r="W5180">
        <v>-8.0510590000000007E-2</v>
      </c>
      <c r="X5180">
        <v>0.94923080000000004</v>
      </c>
      <c r="Y5180">
        <v>-0.75005749999999904</v>
      </c>
      <c r="Z5180">
        <v>0.1482723</v>
      </c>
      <c r="AA5180">
        <v>0.6445379</v>
      </c>
      <c r="AB5180">
        <v>20</v>
      </c>
      <c r="AC5180">
        <v>5.5483999999999503</v>
      </c>
      <c r="AD5180">
        <v>-1.123292158238</v>
      </c>
      <c r="AE5180">
        <v>-4.0908799999999896</v>
      </c>
      <c r="AF5180">
        <v>-5.1943718517343402</v>
      </c>
      <c r="AG5180">
        <v>-1.123292158238</v>
      </c>
      <c r="AH5180">
        <v>4.2558242038736802</v>
      </c>
      <c r="AI5180">
        <v>99.496329018816098</v>
      </c>
      <c r="AJ5180">
        <v>140.67174005388199</v>
      </c>
      <c r="AK5180">
        <v>6.8084744151040297</v>
      </c>
      <c r="AL5180">
        <v>94.617915046383601</v>
      </c>
      <c r="AM5180">
        <v>107.763813798074</v>
      </c>
      <c r="AN5180">
        <v>1.0000000027415099</v>
      </c>
    </row>
    <row r="5181" spans="1:40" x14ac:dyDescent="0.25">
      <c r="A5181" t="str">
        <f>"20190303154620874"</f>
        <v>20190303154620874</v>
      </c>
      <c r="B5181" t="str">
        <f>"1551599180866048"</f>
        <v>1551599180866048</v>
      </c>
      <c r="C5181" t="s">
        <v>40</v>
      </c>
      <c r="D5181">
        <v>4.5844589999999998</v>
      </c>
      <c r="E5181">
        <v>0.30553239999999998</v>
      </c>
      <c r="F5181" t="s">
        <v>60</v>
      </c>
      <c r="G5181">
        <v>-416.00970000000001</v>
      </c>
      <c r="H5181" s="1">
        <v>-5.3506869999999997E-6</v>
      </c>
      <c r="I5181">
        <v>32.067489999999999</v>
      </c>
      <c r="J5181">
        <v>-421.70519999999999</v>
      </c>
      <c r="K5181">
        <v>1.123353</v>
      </c>
      <c r="L5181">
        <v>36.266539999999999</v>
      </c>
      <c r="M5181">
        <v>5.5068640000000002E-2</v>
      </c>
      <c r="N5181">
        <v>-1.3584850000000001E-2</v>
      </c>
      <c r="O5181">
        <v>-0.99839040000000001</v>
      </c>
      <c r="P5181">
        <v>0.36620979999999997</v>
      </c>
      <c r="Q5181">
        <v>-9.2595960000000005E-2</v>
      </c>
      <c r="R5181">
        <v>-0.92591400000000001</v>
      </c>
      <c r="S5181">
        <v>2.7578130000000001</v>
      </c>
      <c r="T5181">
        <v>-0.54247769999999995</v>
      </c>
      <c r="U5181">
        <v>-2.1239620000000001</v>
      </c>
      <c r="V5181">
        <v>-0.31423600000000002</v>
      </c>
      <c r="W5181">
        <v>-8.1410389999999999E-2</v>
      </c>
      <c r="X5181">
        <v>0.94584780000000002</v>
      </c>
      <c r="Y5181">
        <v>-0.74854759999999998</v>
      </c>
      <c r="Z5181">
        <v>0.14456769999999999</v>
      </c>
      <c r="AA5181">
        <v>0.64712950000000002</v>
      </c>
      <c r="AB5181">
        <v>20</v>
      </c>
      <c r="AC5181">
        <v>5.6954999999999796</v>
      </c>
      <c r="AD5181">
        <v>-1.123358350687</v>
      </c>
      <c r="AE5181">
        <v>-4.1990499999999997</v>
      </c>
      <c r="AF5181">
        <v>-5.3214812283442097</v>
      </c>
      <c r="AG5181">
        <v>-1.123358350687</v>
      </c>
      <c r="AH5181">
        <v>4.3955677823817103</v>
      </c>
      <c r="AI5181">
        <v>99.244158832802697</v>
      </c>
      <c r="AJ5181">
        <v>140.44313806636001</v>
      </c>
      <c r="AK5181">
        <v>6.9929330453816103</v>
      </c>
      <c r="AL5181">
        <v>94.669639654831599</v>
      </c>
      <c r="AM5181">
        <v>108.377870834213</v>
      </c>
      <c r="AN5181">
        <v>0.99999998803039603</v>
      </c>
    </row>
    <row r="5182" spans="1:40" x14ac:dyDescent="0.25">
      <c r="A5182" t="str">
        <f>"20190303154620896"</f>
        <v>20190303154620896</v>
      </c>
      <c r="B5182" t="str">
        <f>"1551599180886545"</f>
        <v>1551599180886545</v>
      </c>
      <c r="C5182" t="s">
        <v>40</v>
      </c>
      <c r="D5182">
        <v>4.6353770000000001</v>
      </c>
      <c r="E5182">
        <v>0.31002000000000002</v>
      </c>
      <c r="F5182" t="s">
        <v>60</v>
      </c>
      <c r="G5182">
        <v>-415.45080000000002</v>
      </c>
      <c r="H5182" s="1">
        <v>-5.9617199999999997E-6</v>
      </c>
      <c r="I5182">
        <v>30.848849999999999</v>
      </c>
      <c r="J5182">
        <v>-421.69029999999998</v>
      </c>
      <c r="K5182">
        <v>1.1234379999999999</v>
      </c>
      <c r="L5182">
        <v>36.080440000000003</v>
      </c>
      <c r="M5182">
        <v>5.9001119999999997E-2</v>
      </c>
      <c r="N5182">
        <v>-1.359222E-2</v>
      </c>
      <c r="O5182">
        <v>-0.99816530000000003</v>
      </c>
      <c r="P5182">
        <v>0.37995190000000001</v>
      </c>
      <c r="Q5182">
        <v>-9.2465649999999996E-2</v>
      </c>
      <c r="R5182">
        <v>-0.9203732</v>
      </c>
      <c r="S5182">
        <v>2.5319210000000001</v>
      </c>
      <c r="T5182">
        <v>-0.45475579999999999</v>
      </c>
      <c r="U5182">
        <v>-2.1931759999999998</v>
      </c>
      <c r="V5182">
        <v>-0.32454139999999998</v>
      </c>
      <c r="W5182">
        <v>-8.1440399999999996E-2</v>
      </c>
      <c r="X5182">
        <v>0.9423589</v>
      </c>
      <c r="Y5182">
        <v>-0.70950230000000003</v>
      </c>
      <c r="Z5182">
        <v>0.1245204</v>
      </c>
      <c r="AA5182">
        <v>0.69361450000000002</v>
      </c>
      <c r="AB5182">
        <v>20</v>
      </c>
      <c r="AC5182">
        <v>6.2394999999999596</v>
      </c>
      <c r="AD5182">
        <v>-1.1234439617199901</v>
      </c>
      <c r="AE5182">
        <v>-5.2315899999999997</v>
      </c>
      <c r="AF5182">
        <v>-5.8093414513543502</v>
      </c>
      <c r="AG5182">
        <v>-1.1234439617199901</v>
      </c>
      <c r="AH5182">
        <v>5.4862086433088697</v>
      </c>
      <c r="AI5182">
        <v>98.003252793418696</v>
      </c>
      <c r="AJ5182">
        <v>136.638618571037</v>
      </c>
      <c r="AK5182">
        <v>8.0690185097981999</v>
      </c>
      <c r="AL5182">
        <v>94.671364877931296</v>
      </c>
      <c r="AM5182">
        <v>109.00332700720701</v>
      </c>
      <c r="AN5182">
        <v>0.99999997773766403</v>
      </c>
    </row>
    <row r="5183" spans="1:40" x14ac:dyDescent="0.25">
      <c r="A5183" t="str">
        <f>"20190303154620917"</f>
        <v>20190303154620917</v>
      </c>
      <c r="B5183" t="str">
        <f>"1551599180907041"</f>
        <v>1551599180907041</v>
      </c>
      <c r="C5183" t="s">
        <v>40</v>
      </c>
      <c r="D5183">
        <v>4.6520419999999998</v>
      </c>
      <c r="E5183">
        <v>0.31205260000000001</v>
      </c>
      <c r="F5183" t="s">
        <v>60</v>
      </c>
      <c r="G5183">
        <v>-415.38369999999998</v>
      </c>
      <c r="H5183" s="1">
        <v>-6.0376940000000001E-6</v>
      </c>
      <c r="I5183">
        <v>30.67577</v>
      </c>
      <c r="J5183">
        <v>-421.6748</v>
      </c>
      <c r="K5183">
        <v>1.123559</v>
      </c>
      <c r="L5183">
        <v>35.897739999999999</v>
      </c>
      <c r="M5183">
        <v>6.3062380000000001E-2</v>
      </c>
      <c r="N5183">
        <v>-1.360213E-2</v>
      </c>
      <c r="O5183">
        <v>-0.9979169</v>
      </c>
      <c r="P5183">
        <v>0.39418639999999999</v>
      </c>
      <c r="Q5183">
        <v>-9.2633320000000005E-2</v>
      </c>
      <c r="R5183">
        <v>-0.91435010000000005</v>
      </c>
      <c r="S5183">
        <v>2.5312809999999999</v>
      </c>
      <c r="T5183">
        <v>-0.4509186</v>
      </c>
      <c r="U5183">
        <v>-2.1692809999999998</v>
      </c>
      <c r="V5183">
        <v>-0.33527010000000002</v>
      </c>
      <c r="W5183">
        <v>-8.1804689999999999E-2</v>
      </c>
      <c r="X5183">
        <v>0.93856379999999995</v>
      </c>
      <c r="Y5183">
        <v>-0.71036009999999905</v>
      </c>
      <c r="Z5183">
        <v>0.1242442</v>
      </c>
      <c r="AA5183">
        <v>0.69278569999999995</v>
      </c>
      <c r="AB5183">
        <v>19</v>
      </c>
      <c r="AC5183">
        <v>6.2911000000000197</v>
      </c>
      <c r="AD5183">
        <v>-1.1235650376940001</v>
      </c>
      <c r="AE5183">
        <v>-5.22196999999999</v>
      </c>
      <c r="AF5183">
        <v>-5.8389670610946398</v>
      </c>
      <c r="AG5183">
        <v>-1.1235650376940001</v>
      </c>
      <c r="AH5183">
        <v>5.5043926380377499</v>
      </c>
      <c r="AI5183">
        <v>97.970600371434898</v>
      </c>
      <c r="AJ5183">
        <v>136.68945945369299</v>
      </c>
      <c r="AK5183">
        <v>8.1027324433280299</v>
      </c>
      <c r="AL5183">
        <v>94.692306803945499</v>
      </c>
      <c r="AM5183">
        <v>109.65754574752</v>
      </c>
      <c r="AN5183">
        <v>1.0000000269652201</v>
      </c>
    </row>
    <row r="5184" spans="1:40" x14ac:dyDescent="0.25">
      <c r="A5184" t="str">
        <f>"20190303154620938"</f>
        <v>20190303154620938</v>
      </c>
      <c r="B5184" t="str">
        <f>"1551599180936321"</f>
        <v>1551599180936321</v>
      </c>
      <c r="C5184" t="s">
        <v>40</v>
      </c>
      <c r="D5184">
        <v>4.6925699999999999</v>
      </c>
      <c r="E5184">
        <v>0.31603239999999999</v>
      </c>
      <c r="F5184" t="s">
        <v>60</v>
      </c>
      <c r="G5184">
        <v>-415.2921</v>
      </c>
      <c r="H5184" s="1">
        <v>-6.0997729999999999E-6</v>
      </c>
      <c r="I5184">
        <v>30.54954</v>
      </c>
      <c r="J5184">
        <v>-421.6585</v>
      </c>
      <c r="K5184">
        <v>1.123694</v>
      </c>
      <c r="L5184">
        <v>35.719059999999999</v>
      </c>
      <c r="M5184">
        <v>6.7262740000000001E-2</v>
      </c>
      <c r="N5184">
        <v>-1.361478E-2</v>
      </c>
      <c r="O5184">
        <v>-0.99764249999999999</v>
      </c>
      <c r="P5184">
        <v>0.40913719999999998</v>
      </c>
      <c r="Q5184">
        <v>-9.2567170000000004E-2</v>
      </c>
      <c r="R5184">
        <v>-0.9077655</v>
      </c>
      <c r="S5184">
        <v>2.5495909999999999</v>
      </c>
      <c r="T5184">
        <v>-0.44881769999999999</v>
      </c>
      <c r="U5184">
        <v>-2.1363829999999999</v>
      </c>
      <c r="V5184">
        <v>-0.34665170000000001</v>
      </c>
      <c r="W5184">
        <v>-8.1972550000000005E-2</v>
      </c>
      <c r="X5184">
        <v>0.93440520000000005</v>
      </c>
      <c r="Y5184">
        <v>-0.71509809999999996</v>
      </c>
      <c r="Z5184">
        <v>0.12416480000000001</v>
      </c>
      <c r="AA5184">
        <v>0.68790819999999997</v>
      </c>
      <c r="AB5184">
        <v>19</v>
      </c>
      <c r="AC5184">
        <v>6.3663999999999898</v>
      </c>
      <c r="AD5184">
        <v>-1.123700099773</v>
      </c>
      <c r="AE5184">
        <v>-5.1695199999999897</v>
      </c>
      <c r="AF5184">
        <v>-5.8935799988391899</v>
      </c>
      <c r="AG5184">
        <v>-1.123700099773</v>
      </c>
      <c r="AH5184">
        <v>5.4831267115154096</v>
      </c>
      <c r="AI5184">
        <v>97.946787654551102</v>
      </c>
      <c r="AJ5184">
        <v>137.06624341024499</v>
      </c>
      <c r="AK5184">
        <v>8.1278327770372503</v>
      </c>
      <c r="AL5184">
        <v>94.701957062418103</v>
      </c>
      <c r="AM5184">
        <v>110.354173093265</v>
      </c>
      <c r="AN5184">
        <v>0.99999998892671604</v>
      </c>
    </row>
    <row r="5185" spans="1:40" x14ac:dyDescent="0.25">
      <c r="A5185" t="str">
        <f>"20190303154620957"</f>
        <v>20190303154620957</v>
      </c>
      <c r="B5185" t="str">
        <f>"1551599180947057"</f>
        <v>1551599180947057</v>
      </c>
      <c r="C5185" t="s">
        <v>40</v>
      </c>
      <c r="D5185">
        <v>4.8297410000000003</v>
      </c>
      <c r="E5185">
        <v>0.31695620000000002</v>
      </c>
      <c r="F5185" t="s">
        <v>60</v>
      </c>
      <c r="G5185">
        <v>-415.2423</v>
      </c>
      <c r="H5185" s="1">
        <v>-6.1534430000000004E-6</v>
      </c>
      <c r="I5185">
        <v>30.428290000000001</v>
      </c>
      <c r="J5185">
        <v>-421.64260000000002</v>
      </c>
      <c r="K5185">
        <v>1.1238520000000001</v>
      </c>
      <c r="L5185">
        <v>35.553800000000003</v>
      </c>
      <c r="M5185">
        <v>7.1388590000000002E-2</v>
      </c>
      <c r="N5185">
        <v>-1.3629230000000001E-2</v>
      </c>
      <c r="O5185">
        <v>-0.99735549999999995</v>
      </c>
      <c r="P5185">
        <v>0.42445129999999998</v>
      </c>
      <c r="Q5185">
        <v>-9.3603599999999995E-2</v>
      </c>
      <c r="R5185">
        <v>-0.9005995</v>
      </c>
      <c r="S5185">
        <v>2.5556030000000001</v>
      </c>
      <c r="T5185">
        <v>-0.44757370000000002</v>
      </c>
      <c r="U5185">
        <v>-2.1073300000000001</v>
      </c>
      <c r="V5185">
        <v>-0.35853689999999999</v>
      </c>
      <c r="W5185">
        <v>-8.3268389999999998E-2</v>
      </c>
      <c r="X5185">
        <v>0.92979440000000002</v>
      </c>
      <c r="Y5185">
        <v>-0.71761339999999996</v>
      </c>
      <c r="Z5185">
        <v>0.1245904</v>
      </c>
      <c r="AA5185">
        <v>0.6852068</v>
      </c>
      <c r="AB5185">
        <v>19</v>
      </c>
      <c r="AC5185">
        <v>6.4003000000000103</v>
      </c>
      <c r="AD5185">
        <v>-1.1238581534430001</v>
      </c>
      <c r="AE5185">
        <v>-5.1255099999999896</v>
      </c>
      <c r="AF5185">
        <v>-5.9070613589899201</v>
      </c>
      <c r="AG5185">
        <v>-1.1238581534430001</v>
      </c>
      <c r="AH5185">
        <v>5.4666850314280699</v>
      </c>
      <c r="AI5185">
        <v>97.949159490042305</v>
      </c>
      <c r="AJ5185">
        <v>137.217308778453</v>
      </c>
      <c r="AK5185">
        <v>8.1265660817329195</v>
      </c>
      <c r="AL5185">
        <v>94.776457987168598</v>
      </c>
      <c r="AM5185">
        <v>111.08707801246</v>
      </c>
      <c r="AN5185">
        <v>0.99999997985307998</v>
      </c>
    </row>
    <row r="5186" spans="1:40" x14ac:dyDescent="0.25">
      <c r="A5186" t="str">
        <f>"20190303154620980"</f>
        <v>20190303154620980</v>
      </c>
      <c r="B5186" t="str">
        <f>"1551599180976551"</f>
        <v>1551599180976551</v>
      </c>
      <c r="C5186" t="s">
        <v>40</v>
      </c>
      <c r="D5186">
        <v>4.8525970000000003</v>
      </c>
      <c r="E5186">
        <v>0.33492250000000001</v>
      </c>
      <c r="F5186" t="s">
        <v>60</v>
      </c>
      <c r="G5186">
        <v>-415.15449999999998</v>
      </c>
      <c r="H5186" s="1">
        <v>-6.191228E-6</v>
      </c>
      <c r="I5186">
        <v>30.364699999999999</v>
      </c>
      <c r="J5186">
        <v>-421.62310000000002</v>
      </c>
      <c r="K5186">
        <v>1.1240429999999999</v>
      </c>
      <c r="L5186">
        <v>35.363889999999998</v>
      </c>
      <c r="M5186">
        <v>7.6427469999999997E-2</v>
      </c>
      <c r="N5186">
        <v>-1.364863E-2</v>
      </c>
      <c r="O5186">
        <v>-0.99698189999999998</v>
      </c>
      <c r="P5186">
        <v>0.4411699</v>
      </c>
      <c r="Q5186">
        <v>-9.4008599999999998E-2</v>
      </c>
      <c r="R5186">
        <v>-0.89248629999999995</v>
      </c>
      <c r="S5186">
        <v>2.584076</v>
      </c>
      <c r="T5186">
        <v>-0.4476097</v>
      </c>
      <c r="U5186">
        <v>-2.0667110000000002</v>
      </c>
      <c r="V5186">
        <v>-0.37108659999999999</v>
      </c>
      <c r="W5186">
        <v>-8.3980600000000002E-2</v>
      </c>
      <c r="X5186">
        <v>0.92479299999999998</v>
      </c>
      <c r="Y5186">
        <v>-0.72428349999999997</v>
      </c>
      <c r="Z5186">
        <v>0.1250645</v>
      </c>
      <c r="AA5186">
        <v>0.67806519999999904</v>
      </c>
      <c r="AB5186">
        <v>19</v>
      </c>
      <c r="AC5186">
        <v>6.4686000000000297</v>
      </c>
      <c r="AD5186">
        <v>-1.124049191228</v>
      </c>
      <c r="AE5186">
        <v>-4.9991899999999996</v>
      </c>
      <c r="AF5186">
        <v>-5.9549887820575398</v>
      </c>
      <c r="AG5186">
        <v>-1.124049191228</v>
      </c>
      <c r="AH5186">
        <v>5.3773334382783302</v>
      </c>
      <c r="AI5186">
        <v>97.974863043304495</v>
      </c>
      <c r="AJ5186">
        <v>137.91807724751999</v>
      </c>
      <c r="AK5186">
        <v>8.1019190865595405</v>
      </c>
      <c r="AL5186">
        <v>94.817407714610496</v>
      </c>
      <c r="AM5186">
        <v>111.86383953897899</v>
      </c>
      <c r="AN5186">
        <v>1.0000000493624499</v>
      </c>
    </row>
    <row r="5187" spans="1:40" x14ac:dyDescent="0.25">
      <c r="A5187" t="str">
        <f>"20190303154621003"</f>
        <v>20190303154621003</v>
      </c>
      <c r="B5187" t="str">
        <f>"1551599180996449"</f>
        <v>1551599180996449</v>
      </c>
      <c r="C5187" t="s">
        <v>40</v>
      </c>
      <c r="D5187">
        <v>4.8702759999999996</v>
      </c>
      <c r="E5187">
        <v>0.33551940000000002</v>
      </c>
      <c r="F5187" t="s">
        <v>60</v>
      </c>
      <c r="G5187">
        <v>-414.65309999999999</v>
      </c>
      <c r="H5187" s="1">
        <v>-9.1406869999999999E-6</v>
      </c>
      <c r="I5187">
        <v>29.54325</v>
      </c>
      <c r="J5187">
        <v>-421.60180000000003</v>
      </c>
      <c r="K5187">
        <v>1.1242460000000001</v>
      </c>
      <c r="L5187">
        <v>35.170470000000002</v>
      </c>
      <c r="M5187">
        <v>8.1946779999999997E-2</v>
      </c>
      <c r="N5187">
        <v>-1.367178E-2</v>
      </c>
      <c r="O5187">
        <v>-0.99654290000000001</v>
      </c>
      <c r="P5187">
        <v>0.45858159999999998</v>
      </c>
      <c r="Q5187">
        <v>-9.3520430000000002E-2</v>
      </c>
      <c r="R5187">
        <v>-0.88371769999999905</v>
      </c>
      <c r="S5187">
        <v>2.4965519999999999</v>
      </c>
      <c r="T5187">
        <v>-0.402619</v>
      </c>
      <c r="U5187">
        <v>-2.0848689999999999</v>
      </c>
      <c r="V5187">
        <v>-0.38400020000000001</v>
      </c>
      <c r="W5187">
        <v>-8.3821560000000003E-2</v>
      </c>
      <c r="X5187">
        <v>0.91952040000000002</v>
      </c>
      <c r="Y5187">
        <v>-0.70700160000000001</v>
      </c>
      <c r="Z5187">
        <v>0.1135795</v>
      </c>
      <c r="AA5187">
        <v>0.69803179999999998</v>
      </c>
      <c r="AB5187">
        <v>19</v>
      </c>
      <c r="AC5187">
        <v>6.9487000000000299</v>
      </c>
      <c r="AD5187">
        <v>-1.1242551406869901</v>
      </c>
      <c r="AE5187">
        <v>-5.6272200000000003</v>
      </c>
      <c r="AF5187">
        <v>-6.3635465718816899</v>
      </c>
      <c r="AG5187">
        <v>-1.1242551406869901</v>
      </c>
      <c r="AH5187">
        <v>6.0816214585629096</v>
      </c>
      <c r="AI5187">
        <v>97.278557430990304</v>
      </c>
      <c r="AJ5187">
        <v>136.297721076486</v>
      </c>
      <c r="AK5187">
        <v>8.8738263538972397</v>
      </c>
      <c r="AL5187">
        <v>94.808263453034499</v>
      </c>
      <c r="AM5187">
        <v>112.665865225201</v>
      </c>
      <c r="AN5187">
        <v>0.99999998676851598</v>
      </c>
    </row>
    <row r="5188" spans="1:40" x14ac:dyDescent="0.25">
      <c r="A5188" t="str">
        <f>"20190303154621025"</f>
        <v>20190303154621025</v>
      </c>
      <c r="B5188" t="str">
        <f>"1551599181016944"</f>
        <v>1551599181016944</v>
      </c>
      <c r="C5188" t="s">
        <v>40</v>
      </c>
      <c r="D5188">
        <v>4.7961850000000004</v>
      </c>
      <c r="E5188">
        <v>0.31282520000000003</v>
      </c>
      <c r="F5188" t="s">
        <v>60</v>
      </c>
      <c r="G5188">
        <v>-414.47460000000001</v>
      </c>
      <c r="H5188" s="1">
        <v>-9.1912409999999998E-6</v>
      </c>
      <c r="I5188">
        <v>29.435700000000001</v>
      </c>
      <c r="J5188">
        <v>-421.57929999999999</v>
      </c>
      <c r="K5188">
        <v>1.1244449999999999</v>
      </c>
      <c r="L5188">
        <v>34.979460000000003</v>
      </c>
      <c r="M5188">
        <v>8.7783719999999996E-2</v>
      </c>
      <c r="N5188">
        <v>-1.369747E-2</v>
      </c>
      <c r="O5188">
        <v>-0.99604550000000003</v>
      </c>
      <c r="P5188">
        <v>0.477213</v>
      </c>
      <c r="Q5188">
        <v>-9.2374040000000004E-2</v>
      </c>
      <c r="R5188">
        <v>-0.87391939999999901</v>
      </c>
      <c r="S5188">
        <v>2.5328979999999999</v>
      </c>
      <c r="T5188">
        <v>-0.39954420000000002</v>
      </c>
      <c r="U5188">
        <v>-2.0380549999999999</v>
      </c>
      <c r="V5188">
        <v>-0.39800190000000002</v>
      </c>
      <c r="W5188">
        <v>-8.3025080000000001E-2</v>
      </c>
      <c r="X5188">
        <v>0.91361990000000004</v>
      </c>
      <c r="Y5188">
        <v>-0.71560069999999998</v>
      </c>
      <c r="Z5188">
        <v>0.1130237</v>
      </c>
      <c r="AA5188">
        <v>0.6893049</v>
      </c>
      <c r="AB5188">
        <v>19</v>
      </c>
      <c r="AC5188">
        <v>7.1046999999999798</v>
      </c>
      <c r="AD5188">
        <v>-1.124454191241</v>
      </c>
      <c r="AE5188">
        <v>-5.54375999999999</v>
      </c>
      <c r="AF5188">
        <v>-6.4895315233215998</v>
      </c>
      <c r="AG5188">
        <v>-1.124454191241</v>
      </c>
      <c r="AH5188">
        <v>6.0518657109391896</v>
      </c>
      <c r="AI5188">
        <v>97.222051125432202</v>
      </c>
      <c r="AJ5188">
        <v>136.99867934119899</v>
      </c>
      <c r="AK5188">
        <v>8.9444672956876392</v>
      </c>
      <c r="AL5188">
        <v>94.762468819604607</v>
      </c>
      <c r="AM5188">
        <v>113.539473710349</v>
      </c>
      <c r="AN5188">
        <v>0.99999999899431302</v>
      </c>
    </row>
    <row r="5189" spans="1:40" x14ac:dyDescent="0.25">
      <c r="A5189" t="str">
        <f>"20190303154621048"</f>
        <v>20190303154621048</v>
      </c>
      <c r="B5189" t="str">
        <f>"1551599181036465"</f>
        <v>1551599181036465</v>
      </c>
      <c r="C5189" t="s">
        <v>40</v>
      </c>
      <c r="D5189">
        <v>4.7773599999999998</v>
      </c>
      <c r="E5189">
        <v>0.30751230000000002</v>
      </c>
      <c r="F5189" t="s">
        <v>60</v>
      </c>
      <c r="G5189">
        <v>-414.80939999999998</v>
      </c>
      <c r="H5189" s="1">
        <v>-6.2749440000000002E-6</v>
      </c>
      <c r="I5189">
        <v>30.28593</v>
      </c>
      <c r="J5189">
        <v>-421.55549999999999</v>
      </c>
      <c r="K5189">
        <v>1.1246179999999999</v>
      </c>
      <c r="L5189">
        <v>34.790709999999997</v>
      </c>
      <c r="M5189">
        <v>9.3860949999999999E-2</v>
      </c>
      <c r="N5189">
        <v>-1.3723340000000001E-2</v>
      </c>
      <c r="O5189">
        <v>-0.99549069999999995</v>
      </c>
      <c r="P5189">
        <v>0.49518669999999998</v>
      </c>
      <c r="Q5189">
        <v>-9.1086020000000004E-2</v>
      </c>
      <c r="R5189">
        <v>-0.86399869999999901</v>
      </c>
      <c r="S5189">
        <v>2.7311709999999998</v>
      </c>
      <c r="T5189">
        <v>-0.45363340000000002</v>
      </c>
      <c r="U5189">
        <v>-1.893494</v>
      </c>
      <c r="V5189">
        <v>-0.41122760000000003</v>
      </c>
      <c r="W5189">
        <v>-8.2062910000000003E-2</v>
      </c>
      <c r="X5189">
        <v>0.90783130000000001</v>
      </c>
      <c r="Y5189">
        <v>-0.75748780000000004</v>
      </c>
      <c r="Z5189">
        <v>0.12759000000000001</v>
      </c>
      <c r="AA5189">
        <v>0.64026019999999995</v>
      </c>
      <c r="AB5189">
        <v>19</v>
      </c>
      <c r="AC5189">
        <v>6.74610000000001</v>
      </c>
      <c r="AD5189">
        <v>-1.1246242749439901</v>
      </c>
      <c r="AE5189">
        <v>-4.5047799999999896</v>
      </c>
      <c r="AF5189">
        <v>-6.1747662165472397</v>
      </c>
      <c r="AG5189">
        <v>-1.1246242749439901</v>
      </c>
      <c r="AH5189">
        <v>5.0216247908707698</v>
      </c>
      <c r="AI5189">
        <v>98.042850956233593</v>
      </c>
      <c r="AJ5189">
        <v>140.880287819648</v>
      </c>
      <c r="AK5189">
        <v>8.0379868828640397</v>
      </c>
      <c r="AL5189">
        <v>94.707151453274506</v>
      </c>
      <c r="AM5189">
        <v>114.36948014348999</v>
      </c>
      <c r="AN5189">
        <v>1.0000000647295499</v>
      </c>
    </row>
    <row r="5190" spans="1:40" x14ac:dyDescent="0.25">
      <c r="A5190" t="str">
        <f>"20190303154621074"</f>
        <v>20190303154621074</v>
      </c>
      <c r="B5190" t="str">
        <f>"1551599181066720"</f>
        <v>1551599181066720</v>
      </c>
      <c r="C5190" t="s">
        <v>40</v>
      </c>
      <c r="D5190">
        <v>4.7980010000000002</v>
      </c>
      <c r="E5190">
        <v>0.308822599999999</v>
      </c>
      <c r="F5190" t="s">
        <v>60</v>
      </c>
      <c r="G5190">
        <v>-414.47829999999999</v>
      </c>
      <c r="H5190" s="1">
        <v>-6.3550619999999997E-6</v>
      </c>
      <c r="I5190">
        <v>30.21086</v>
      </c>
      <c r="J5190">
        <v>-421.52510000000001</v>
      </c>
      <c r="K5190">
        <v>1.124803</v>
      </c>
      <c r="L5190">
        <v>34.565640000000002</v>
      </c>
      <c r="M5190">
        <v>0.101497</v>
      </c>
      <c r="N5190">
        <v>-1.375317E-2</v>
      </c>
      <c r="O5190">
        <v>-0.99474099999999999</v>
      </c>
      <c r="P5190">
        <v>0.51338799999999996</v>
      </c>
      <c r="Q5190">
        <v>-8.9380689999999999E-2</v>
      </c>
      <c r="R5190">
        <v>-0.85348950000000001</v>
      </c>
      <c r="S5190">
        <v>2.8069459999999999</v>
      </c>
      <c r="T5190">
        <v>-0.44605</v>
      </c>
      <c r="U5190">
        <v>-1.8164670000000001</v>
      </c>
      <c r="V5190">
        <v>-0.42341210000000001</v>
      </c>
      <c r="W5190">
        <v>-8.0684809999999996E-2</v>
      </c>
      <c r="X5190">
        <v>0.9023371</v>
      </c>
      <c r="Y5190">
        <v>-0.77298239999999996</v>
      </c>
      <c r="Z5190">
        <v>0.12507989999999999</v>
      </c>
      <c r="AA5190">
        <v>0.62197539999999996</v>
      </c>
      <c r="AB5190">
        <v>19</v>
      </c>
      <c r="AC5190">
        <v>7.0468000000000099</v>
      </c>
      <c r="AD5190">
        <v>-1.124809355062</v>
      </c>
      <c r="AE5190">
        <v>-4.3547799999999999</v>
      </c>
      <c r="AF5190">
        <v>-6.4494529484293102</v>
      </c>
      <c r="AG5190">
        <v>-1.124809355062</v>
      </c>
      <c r="AH5190">
        <v>4.9562044437321404</v>
      </c>
      <c r="AI5190">
        <v>97.873358505998695</v>
      </c>
      <c r="AJ5190">
        <v>142.45884008622701</v>
      </c>
      <c r="AK5190">
        <v>8.2112484986942604</v>
      </c>
      <c r="AL5190">
        <v>94.627929508503499</v>
      </c>
      <c r="AM5190">
        <v>115.137818765879</v>
      </c>
      <c r="AN5190">
        <v>1.0000000435137699</v>
      </c>
    </row>
    <row r="5191" spans="1:40" x14ac:dyDescent="0.25">
      <c r="A5191" t="str">
        <f>"20190303154621114"</f>
        <v>20190303154621114</v>
      </c>
      <c r="B5191" t="str">
        <f>"1551599181106165"</f>
        <v>1551599181106165</v>
      </c>
      <c r="C5191" t="s">
        <v>40</v>
      </c>
      <c r="D5191">
        <v>4.9006540000000003</v>
      </c>
      <c r="E5191">
        <v>0.31369780000000003</v>
      </c>
      <c r="F5191" t="s">
        <v>60</v>
      </c>
      <c r="G5191">
        <v>-414.13040000000001</v>
      </c>
      <c r="H5191" s="1">
        <v>-6.5007669999999901E-6</v>
      </c>
      <c r="I5191">
        <v>29.969439999999999</v>
      </c>
      <c r="J5191">
        <v>-421.47609999999997</v>
      </c>
      <c r="K5191">
        <v>1.125068</v>
      </c>
      <c r="L5191">
        <v>34.232970000000002</v>
      </c>
      <c r="M5191">
        <v>0.1136327</v>
      </c>
      <c r="N5191">
        <v>-1.380202E-2</v>
      </c>
      <c r="O5191">
        <v>-0.99342699999999995</v>
      </c>
      <c r="P5191">
        <v>0.54624969999999995</v>
      </c>
      <c r="Q5191">
        <v>-8.6063749999999994E-2</v>
      </c>
      <c r="R5191">
        <v>-0.83318950000000003</v>
      </c>
      <c r="S5191">
        <v>2.8369749999999998</v>
      </c>
      <c r="T5191">
        <v>-0.43153419999999998</v>
      </c>
      <c r="U5191">
        <v>-1.763336</v>
      </c>
      <c r="V5191">
        <v>-0.44731140000000003</v>
      </c>
      <c r="W5191">
        <v>-7.7978409999999998E-2</v>
      </c>
      <c r="X5191">
        <v>0.8909724</v>
      </c>
      <c r="Y5191">
        <v>-0.77706500000000001</v>
      </c>
      <c r="Z5191">
        <v>0.121466</v>
      </c>
      <c r="AA5191">
        <v>0.6175889</v>
      </c>
      <c r="AB5191">
        <v>19</v>
      </c>
      <c r="AC5191">
        <v>7.3456999999999599</v>
      </c>
      <c r="AD5191">
        <v>-1.125074500767</v>
      </c>
      <c r="AE5191">
        <v>-4.2635299999999896</v>
      </c>
      <c r="AF5191">
        <v>-6.6960922191669203</v>
      </c>
      <c r="AG5191">
        <v>-1.125074500767</v>
      </c>
      <c r="AH5191">
        <v>4.9832587389505099</v>
      </c>
      <c r="AI5191">
        <v>97.676614734595205</v>
      </c>
      <c r="AJ5191">
        <v>143.34322887843601</v>
      </c>
      <c r="AK5191">
        <v>8.4223696961835195</v>
      </c>
      <c r="AL5191">
        <v>94.472374234235303</v>
      </c>
      <c r="AM5191">
        <v>116.658872751554</v>
      </c>
      <c r="AN5191">
        <v>0.99999996927892298</v>
      </c>
    </row>
    <row r="5192" spans="1:40" x14ac:dyDescent="0.25">
      <c r="A5192" t="str">
        <f>"20190303154621136"</f>
        <v>20190303154621136</v>
      </c>
      <c r="B5192" t="str">
        <f>"1551599181126642"</f>
        <v>1551599181126642</v>
      </c>
      <c r="C5192" t="s">
        <v>40</v>
      </c>
      <c r="D5192">
        <v>4.9420650000000004</v>
      </c>
      <c r="E5192">
        <v>0.31487710000000002</v>
      </c>
      <c r="F5192" t="s">
        <v>60</v>
      </c>
      <c r="G5192">
        <v>-413.6284</v>
      </c>
      <c r="H5192" s="1">
        <v>-6.6980559999999999E-6</v>
      </c>
      <c r="I5192">
        <v>29.6553</v>
      </c>
      <c r="J5192">
        <v>-421.44720000000001</v>
      </c>
      <c r="K5192">
        <v>1.1252200000000001</v>
      </c>
      <c r="L5192">
        <v>34.051940000000002</v>
      </c>
      <c r="M5192">
        <v>0.1206337</v>
      </c>
      <c r="N5192">
        <v>-1.383328E-2</v>
      </c>
      <c r="O5192">
        <v>-0.99260079999999995</v>
      </c>
      <c r="P5192">
        <v>0.56233710000000003</v>
      </c>
      <c r="Q5192">
        <v>-8.4851739999999995E-2</v>
      </c>
      <c r="R5192">
        <v>-0.82254349999999998</v>
      </c>
      <c r="S5192">
        <v>2.871918</v>
      </c>
      <c r="T5192">
        <v>-0.41172969999999998</v>
      </c>
      <c r="U5192">
        <v>-1.6752320000000001</v>
      </c>
      <c r="V5192">
        <v>-0.45826319999999998</v>
      </c>
      <c r="W5192">
        <v>-7.7087130000000004E-2</v>
      </c>
      <c r="X5192">
        <v>0.88546740000000002</v>
      </c>
      <c r="Y5192">
        <v>-0.79036019999999996</v>
      </c>
      <c r="Z5192">
        <v>0.11653529999999999</v>
      </c>
      <c r="AA5192">
        <v>0.60145689999999996</v>
      </c>
      <c r="AB5192">
        <v>19</v>
      </c>
      <c r="AC5192">
        <v>7.8188000000000004</v>
      </c>
      <c r="AD5192">
        <v>-1.125226698056</v>
      </c>
      <c r="AE5192">
        <v>-4.3966399999999997</v>
      </c>
      <c r="AF5192">
        <v>-7.1192313745453699</v>
      </c>
      <c r="AG5192">
        <v>-1.125226698056</v>
      </c>
      <c r="AH5192">
        <v>5.2255995630712402</v>
      </c>
      <c r="AI5192">
        <v>97.261200370089</v>
      </c>
      <c r="AJ5192">
        <v>143.720893002286</v>
      </c>
      <c r="AK5192">
        <v>8.9026109248859893</v>
      </c>
      <c r="AL5192">
        <v>94.421153100775797</v>
      </c>
      <c r="AM5192">
        <v>117.363290938028</v>
      </c>
      <c r="AN5192">
        <v>1.0000000512743099</v>
      </c>
    </row>
    <row r="5193" spans="1:40" x14ac:dyDescent="0.25">
      <c r="A5193" t="str">
        <f>"20190303154621159"</f>
        <v>20190303154621159</v>
      </c>
      <c r="B5193" t="str">
        <f>"1551599181156898"</f>
        <v>1551599181156898</v>
      </c>
      <c r="C5193" t="s">
        <v>40</v>
      </c>
      <c r="D5193">
        <v>4.9161760000000001</v>
      </c>
      <c r="E5193">
        <v>0.33788620000000003</v>
      </c>
      <c r="F5193" t="s">
        <v>60</v>
      </c>
      <c r="G5193">
        <v>-413.3877</v>
      </c>
      <c r="H5193" s="1">
        <v>-9.5832380000000006E-6</v>
      </c>
      <c r="I5193">
        <v>29.528939999999999</v>
      </c>
      <c r="J5193">
        <v>-421.4153</v>
      </c>
      <c r="K5193">
        <v>1.125383</v>
      </c>
      <c r="L5193">
        <v>33.863129999999998</v>
      </c>
      <c r="M5193">
        <v>0.1282211</v>
      </c>
      <c r="N5193">
        <v>-1.386687E-2</v>
      </c>
      <c r="O5193">
        <v>-0.99164870000000005</v>
      </c>
      <c r="P5193">
        <v>0.5769917</v>
      </c>
      <c r="Q5193">
        <v>-8.4449730000000001E-2</v>
      </c>
      <c r="R5193">
        <v>-0.81237250000000005</v>
      </c>
      <c r="S5193">
        <v>2.8963320000000001</v>
      </c>
      <c r="T5193">
        <v>-0.40437329999999999</v>
      </c>
      <c r="U5193">
        <v>-1.625427</v>
      </c>
      <c r="V5193">
        <v>-0.46729700000000002</v>
      </c>
      <c r="W5193">
        <v>-7.699085E-2</v>
      </c>
      <c r="X5193">
        <v>0.88074169999999996</v>
      </c>
      <c r="Y5193">
        <v>-0.79589739999999998</v>
      </c>
      <c r="Z5193">
        <v>0.1148585</v>
      </c>
      <c r="AA5193">
        <v>0.59443659999999998</v>
      </c>
      <c r="AB5193">
        <v>19</v>
      </c>
      <c r="AC5193">
        <v>8.0275999999999996</v>
      </c>
      <c r="AD5193">
        <v>-1.1253925832380001</v>
      </c>
      <c r="AE5193">
        <v>-4.3341899999999898</v>
      </c>
      <c r="AF5193">
        <v>-7.29453228896132</v>
      </c>
      <c r="AG5193">
        <v>-1.1253925832380001</v>
      </c>
      <c r="AH5193">
        <v>5.2479533345332001</v>
      </c>
      <c r="AI5193">
        <v>97.138335050555995</v>
      </c>
      <c r="AJ5193">
        <v>144.26737883784901</v>
      </c>
      <c r="AK5193">
        <v>9.0563637284808998</v>
      </c>
      <c r="AL5193">
        <v>94.415620404269006</v>
      </c>
      <c r="AM5193">
        <v>117.949175545513</v>
      </c>
      <c r="AN5193">
        <v>1.0000000096557999</v>
      </c>
    </row>
    <row r="5194" spans="1:40" x14ac:dyDescent="0.25">
      <c r="A5194" t="str">
        <f>"20190303154621182"</f>
        <v>20190303154621182</v>
      </c>
      <c r="B5194" t="str">
        <f>"1551599181176419"</f>
        <v>1551599181176419</v>
      </c>
      <c r="C5194" t="s">
        <v>40</v>
      </c>
      <c r="D5194">
        <v>4.9451970000000003</v>
      </c>
      <c r="E5194">
        <v>0.34014299999999997</v>
      </c>
      <c r="F5194" t="s">
        <v>60</v>
      </c>
      <c r="G5194">
        <v>-412.78070000000002</v>
      </c>
      <c r="H5194" s="1">
        <v>-9.6958290000000006E-6</v>
      </c>
      <c r="I5194">
        <v>28.635649999999998</v>
      </c>
      <c r="J5194">
        <v>-421.38200000000001</v>
      </c>
      <c r="K5194">
        <v>1.125548</v>
      </c>
      <c r="L5194">
        <v>33.676940000000002</v>
      </c>
      <c r="M5194">
        <v>0.1360256</v>
      </c>
      <c r="N5194">
        <v>-1.3899999999999999E-2</v>
      </c>
      <c r="O5194">
        <v>-0.99060800000000004</v>
      </c>
      <c r="P5194">
        <v>0.59036979999999994</v>
      </c>
      <c r="Q5194">
        <v>-8.5125740000000005E-2</v>
      </c>
      <c r="R5194">
        <v>-0.8026316</v>
      </c>
      <c r="S5194">
        <v>2.7782290000000001</v>
      </c>
      <c r="T5194">
        <v>-0.36210229999999999</v>
      </c>
      <c r="U5194">
        <v>-1.6819759999999999</v>
      </c>
      <c r="V5194">
        <v>-0.47489710000000002</v>
      </c>
      <c r="W5194">
        <v>-7.7957689999999996E-2</v>
      </c>
      <c r="X5194">
        <v>0.87658169999999902</v>
      </c>
      <c r="Y5194">
        <v>-0.77197169999999904</v>
      </c>
      <c r="Z5194">
        <v>0.1041579</v>
      </c>
      <c r="AA5194">
        <v>0.6270654</v>
      </c>
      <c r="AB5194">
        <v>19</v>
      </c>
      <c r="AC5194">
        <v>8.6012999999999202</v>
      </c>
      <c r="AD5194">
        <v>-1.1255576958289999</v>
      </c>
      <c r="AE5194">
        <v>-5.04129</v>
      </c>
      <c r="AF5194">
        <v>-7.7369154699014402</v>
      </c>
      <c r="AG5194">
        <v>-1.1255576958289999</v>
      </c>
      <c r="AH5194">
        <v>6.0869513452425297</v>
      </c>
      <c r="AI5194">
        <v>96.522624805940097</v>
      </c>
      <c r="AJ5194">
        <v>141.80640689946199</v>
      </c>
      <c r="AK5194">
        <v>9.9084669749860907</v>
      </c>
      <c r="AL5194">
        <v>94.471183003347505</v>
      </c>
      <c r="AM5194">
        <v>118.44707300348399</v>
      </c>
      <c r="AN5194">
        <v>1.0000000668967099</v>
      </c>
    </row>
    <row r="5195" spans="1:40" x14ac:dyDescent="0.25">
      <c r="A5195" t="str">
        <f>"20190303154621204"</f>
        <v>20190303154621204</v>
      </c>
      <c r="B5195" t="str">
        <f>"1551599181196915"</f>
        <v>1551599181196915</v>
      </c>
      <c r="C5195" t="s">
        <v>40</v>
      </c>
      <c r="D5195">
        <v>4.9489260000000002</v>
      </c>
      <c r="E5195">
        <v>0.35264469999999998</v>
      </c>
      <c r="F5195" t="s">
        <v>60</v>
      </c>
      <c r="G5195">
        <v>-412.64769999999999</v>
      </c>
      <c r="H5195" s="1">
        <v>-9.730131E-6</v>
      </c>
      <c r="I5195">
        <v>28.52563</v>
      </c>
      <c r="J5195">
        <v>-421.34649999999999</v>
      </c>
      <c r="K5195">
        <v>1.125699</v>
      </c>
      <c r="L5195">
        <v>33.489960000000004</v>
      </c>
      <c r="M5195">
        <v>0.14421300000000001</v>
      </c>
      <c r="N5195">
        <v>-1.3935650000000001E-2</v>
      </c>
      <c r="O5195">
        <v>-0.98944869999999996</v>
      </c>
      <c r="P5195">
        <v>0.60281969999999996</v>
      </c>
      <c r="Q5195">
        <v>-8.4888259999999993E-2</v>
      </c>
      <c r="R5195">
        <v>-0.79334910000000003</v>
      </c>
      <c r="S5195">
        <v>2.7914119999999998</v>
      </c>
      <c r="T5195">
        <v>-0.35972209999999899</v>
      </c>
      <c r="U5195">
        <v>-1.6463319999999999</v>
      </c>
      <c r="V5195">
        <v>-0.48127229999999999</v>
      </c>
      <c r="W5195">
        <v>-7.7984810000000002E-2</v>
      </c>
      <c r="X5195">
        <v>0.87309530000000002</v>
      </c>
      <c r="Y5195">
        <v>-0.77399479999999998</v>
      </c>
      <c r="Z5195">
        <v>0.10401879999999999</v>
      </c>
      <c r="AA5195">
        <v>0.62458959999999997</v>
      </c>
      <c r="AB5195">
        <v>19</v>
      </c>
      <c r="AC5195">
        <v>8.6988000000000003</v>
      </c>
      <c r="AD5195">
        <v>-1.125708730131</v>
      </c>
      <c r="AE5195">
        <v>-4.9643299999999897</v>
      </c>
      <c r="AF5195">
        <v>-7.7934096827013004</v>
      </c>
      <c r="AG5195">
        <v>-1.125708730131</v>
      </c>
      <c r="AH5195">
        <v>6.0900942072445803</v>
      </c>
      <c r="AI5195">
        <v>96.493153119122894</v>
      </c>
      <c r="AJ5195">
        <v>141.994452608004</v>
      </c>
      <c r="AK5195">
        <v>9.9545819641323803</v>
      </c>
      <c r="AL5195">
        <v>94.472741774664797</v>
      </c>
      <c r="AM5195">
        <v>118.86466976940601</v>
      </c>
      <c r="AN5195">
        <v>1.00000003011005</v>
      </c>
    </row>
    <row r="5196" spans="1:40" x14ac:dyDescent="0.25">
      <c r="A5196" t="str">
        <f>"20190303154621226"</f>
        <v>20190303154621226</v>
      </c>
      <c r="B5196" t="str">
        <f>"1551599181216434"</f>
        <v>1551599181216434</v>
      </c>
      <c r="C5196" t="s">
        <v>40</v>
      </c>
      <c r="D5196">
        <v>4.9512269999999896</v>
      </c>
      <c r="E5196">
        <v>0.35439850000000001</v>
      </c>
      <c r="F5196" t="s">
        <v>60</v>
      </c>
      <c r="G5196">
        <v>-412.47</v>
      </c>
      <c r="H5196" s="1">
        <v>-9.7442950000000005E-6</v>
      </c>
      <c r="I5196">
        <v>28.097049999999999</v>
      </c>
      <c r="J5196">
        <v>-421.31110000000001</v>
      </c>
      <c r="K5196">
        <v>1.125821</v>
      </c>
      <c r="L5196">
        <v>33.312869999999997</v>
      </c>
      <c r="M5196">
        <v>0.1522182</v>
      </c>
      <c r="N5196">
        <v>-1.396992E-2</v>
      </c>
      <c r="O5196">
        <v>-0.98824820000000002</v>
      </c>
      <c r="P5196">
        <v>0.61480190000000001</v>
      </c>
      <c r="Q5196">
        <v>-8.3768200000000001E-2</v>
      </c>
      <c r="R5196">
        <v>-0.78422029999999998</v>
      </c>
      <c r="S5196">
        <v>2.738251</v>
      </c>
      <c r="T5196">
        <v>-0.3472652</v>
      </c>
      <c r="U5196">
        <v>-1.66363499999999</v>
      </c>
      <c r="V5196">
        <v>-0.4874194</v>
      </c>
      <c r="W5196">
        <v>-7.7088980000000001E-2</v>
      </c>
      <c r="X5196">
        <v>0.86975840000000004</v>
      </c>
      <c r="Y5196">
        <v>-0.76081969999999899</v>
      </c>
      <c r="Z5196">
        <v>0.1013778</v>
      </c>
      <c r="AA5196">
        <v>0.64099600000000001</v>
      </c>
      <c r="AB5196">
        <v>19</v>
      </c>
      <c r="AC5196">
        <v>8.8410999999999795</v>
      </c>
      <c r="AD5196">
        <v>-1.125830744295</v>
      </c>
      <c r="AE5196">
        <v>-5.2158199999999999</v>
      </c>
      <c r="AF5196">
        <v>-7.84961041230547</v>
      </c>
      <c r="AG5196">
        <v>-1.125830744295</v>
      </c>
      <c r="AH5196">
        <v>6.4236649602090203</v>
      </c>
      <c r="AI5196">
        <v>96.3336854504456</v>
      </c>
      <c r="AJ5196">
        <v>140.70510004922099</v>
      </c>
      <c r="AK5196">
        <v>10.205260898712501</v>
      </c>
      <c r="AL5196">
        <v>94.421259515867206</v>
      </c>
      <c r="AM5196">
        <v>119.266610835771</v>
      </c>
      <c r="AN5196">
        <v>1.0000000283521799</v>
      </c>
    </row>
    <row r="5197" spans="1:40" x14ac:dyDescent="0.25">
      <c r="A5197" t="str">
        <f>"20190303154621249"</f>
        <v>20190303154621249</v>
      </c>
      <c r="B5197" t="str">
        <f>"1551599181236931"</f>
        <v>1551599181236931</v>
      </c>
      <c r="C5197" t="s">
        <v>40</v>
      </c>
      <c r="D5197">
        <v>4.9538039999999999</v>
      </c>
      <c r="E5197">
        <v>0.35606179999999998</v>
      </c>
      <c r="F5197" t="s">
        <v>60</v>
      </c>
      <c r="G5197">
        <v>-412.32659999999998</v>
      </c>
      <c r="H5197" s="1">
        <v>-9.7825029999999998E-6</v>
      </c>
      <c r="I5197">
        <v>27.989039999999999</v>
      </c>
      <c r="J5197">
        <v>-421.27120000000002</v>
      </c>
      <c r="K5197">
        <v>1.125926</v>
      </c>
      <c r="L5197">
        <v>33.123869999999997</v>
      </c>
      <c r="M5197">
        <v>0.16101070000000001</v>
      </c>
      <c r="N5197">
        <v>-1.4003899999999901E-2</v>
      </c>
      <c r="O5197">
        <v>-0.98685350000000005</v>
      </c>
      <c r="P5197">
        <v>0.62700159999999905</v>
      </c>
      <c r="Q5197">
        <v>-8.228692E-2</v>
      </c>
      <c r="R5197">
        <v>-0.77466040000000003</v>
      </c>
      <c r="S5197">
        <v>2.7522890000000002</v>
      </c>
      <c r="T5197">
        <v>-0.34488479999999999</v>
      </c>
      <c r="U5197">
        <v>-1.63089</v>
      </c>
      <c r="V5197">
        <v>-0.4932436</v>
      </c>
      <c r="W5197">
        <v>-7.5804759999999999E-2</v>
      </c>
      <c r="X5197">
        <v>0.86658199999999996</v>
      </c>
      <c r="Y5197">
        <v>-0.76217889999999999</v>
      </c>
      <c r="Z5197">
        <v>0.1011309</v>
      </c>
      <c r="AA5197">
        <v>0.63941840000000005</v>
      </c>
      <c r="AB5197">
        <v>19</v>
      </c>
      <c r="AC5197">
        <v>8.9446000000000296</v>
      </c>
      <c r="AD5197">
        <v>-1.1259357825030001</v>
      </c>
      <c r="AE5197">
        <v>-5.13483</v>
      </c>
      <c r="AF5197">
        <v>-7.9067981186836702</v>
      </c>
      <c r="AG5197">
        <v>-1.1259357825030001</v>
      </c>
      <c r="AH5197">
        <v>6.4314885766554299</v>
      </c>
      <c r="AI5197">
        <v>96.303906467949503</v>
      </c>
      <c r="AJ5197">
        <v>140.87466205551101</v>
      </c>
      <c r="AK5197">
        <v>10.254230014369099</v>
      </c>
      <c r="AL5197">
        <v>94.3474633550005</v>
      </c>
      <c r="AM5197">
        <v>119.64778918364701</v>
      </c>
      <c r="AN5197">
        <v>0.999999986651808</v>
      </c>
    </row>
    <row r="5198" spans="1:40" x14ac:dyDescent="0.25">
      <c r="A5198" t="str">
        <f>"20190303154621274"</f>
        <v>20190303154621274</v>
      </c>
      <c r="B5198" t="str">
        <f>"1551599181266211"</f>
        <v>1551599181266211</v>
      </c>
      <c r="C5198" t="s">
        <v>40</v>
      </c>
      <c r="D5198">
        <v>4.9492609999999999</v>
      </c>
      <c r="E5198">
        <v>0.3574136</v>
      </c>
      <c r="F5198" t="s">
        <v>60</v>
      </c>
      <c r="G5198">
        <v>-412.05189999999999</v>
      </c>
      <c r="H5198" s="1">
        <v>-9.8581290000000007E-6</v>
      </c>
      <c r="I5198">
        <v>27.804290000000002</v>
      </c>
      <c r="J5198">
        <v>-421.22820000000002</v>
      </c>
      <c r="K5198">
        <v>1.1259969999999999</v>
      </c>
      <c r="L5198">
        <v>32.929349999999999</v>
      </c>
      <c r="M5198">
        <v>0.17031099999999999</v>
      </c>
      <c r="N5198">
        <v>-1.403547E-2</v>
      </c>
      <c r="O5198">
        <v>-0.98529040000000001</v>
      </c>
      <c r="P5198">
        <v>0.63894530000000005</v>
      </c>
      <c r="Q5198">
        <v>-8.0787289999999998E-2</v>
      </c>
      <c r="R5198">
        <v>-0.76499830000000002</v>
      </c>
      <c r="S5198">
        <v>2.7674560000000001</v>
      </c>
      <c r="T5198">
        <v>-0.3379836</v>
      </c>
      <c r="U5198">
        <v>-1.596832</v>
      </c>
      <c r="V5198">
        <v>-0.49847629999999998</v>
      </c>
      <c r="W5198">
        <v>-7.4471999999999997E-2</v>
      </c>
      <c r="X5198">
        <v>0.86369869999999904</v>
      </c>
      <c r="Y5198">
        <v>-0.7636908</v>
      </c>
      <c r="Z5198">
        <v>9.9389690000000003E-2</v>
      </c>
      <c r="AA5198">
        <v>0.63788559999999905</v>
      </c>
      <c r="AB5198">
        <v>19</v>
      </c>
      <c r="AC5198">
        <v>9.1763000000000208</v>
      </c>
      <c r="AD5198">
        <v>-1.1260068581289999</v>
      </c>
      <c r="AE5198">
        <v>-5.1250599999999897</v>
      </c>
      <c r="AF5198">
        <v>-8.0765746454577396</v>
      </c>
      <c r="AG5198">
        <v>-1.1260068581289999</v>
      </c>
      <c r="AH5198">
        <v>6.5381096368878797</v>
      </c>
      <c r="AI5198">
        <v>96.184504323145703</v>
      </c>
      <c r="AJ5198">
        <v>141.00930525618799</v>
      </c>
      <c r="AK5198">
        <v>10.452072860068</v>
      </c>
      <c r="AL5198">
        <v>94.270884981011505</v>
      </c>
      <c r="AM5198">
        <v>119.991024845651</v>
      </c>
      <c r="AN5198">
        <v>1.0000000724136799</v>
      </c>
    </row>
    <row r="5199" spans="1:40" x14ac:dyDescent="0.25">
      <c r="A5199" t="str">
        <f>"20190303154621299"</f>
        <v>20190303154621299</v>
      </c>
      <c r="B5199" t="str">
        <f>"1551599181296973"</f>
        <v>1551599181296973</v>
      </c>
      <c r="C5199" t="s">
        <v>40</v>
      </c>
      <c r="D5199">
        <v>4.9514259999999997</v>
      </c>
      <c r="E5199">
        <v>0.35815249999999998</v>
      </c>
      <c r="F5199" t="s">
        <v>60</v>
      </c>
      <c r="G5199">
        <v>-411.60359999999997</v>
      </c>
      <c r="H5199" s="1">
        <v>-9.9902550000000001E-6</v>
      </c>
      <c r="I5199">
        <v>27.530850000000001</v>
      </c>
      <c r="J5199">
        <v>-421.1789</v>
      </c>
      <c r="K5199">
        <v>1.126069</v>
      </c>
      <c r="L5199">
        <v>32.717440000000003</v>
      </c>
      <c r="M5199">
        <v>0.18070310000000001</v>
      </c>
      <c r="N5199">
        <v>-1.406871E-2</v>
      </c>
      <c r="O5199">
        <v>-0.98343720000000001</v>
      </c>
      <c r="P5199">
        <v>0.65093809999999996</v>
      </c>
      <c r="Q5199">
        <v>-7.9706739999999998E-2</v>
      </c>
      <c r="R5199">
        <v>-0.75493500000000002</v>
      </c>
      <c r="S5199">
        <v>2.7842410000000002</v>
      </c>
      <c r="T5199">
        <v>-0.32573679999999999</v>
      </c>
      <c r="U5199">
        <v>-1.561707</v>
      </c>
      <c r="V5199">
        <v>-0.50295449999999997</v>
      </c>
      <c r="W5199">
        <v>-7.3537270000000002E-2</v>
      </c>
      <c r="X5199">
        <v>0.86117880000000002</v>
      </c>
      <c r="Y5199">
        <v>-0.76499830000000002</v>
      </c>
      <c r="Z5199">
        <v>9.5851420000000007E-2</v>
      </c>
      <c r="AA5199">
        <v>0.63685959999999997</v>
      </c>
      <c r="AB5199">
        <v>19</v>
      </c>
      <c r="AC5199">
        <v>9.5753000000000199</v>
      </c>
      <c r="AD5199">
        <v>-1.1260789902549999</v>
      </c>
      <c r="AE5199">
        <v>-5.1865899999999998</v>
      </c>
      <c r="AF5199">
        <v>-8.3905907530078903</v>
      </c>
      <c r="AG5199">
        <v>-1.1260789902549999</v>
      </c>
      <c r="AH5199">
        <v>6.7593690987513604</v>
      </c>
      <c r="AI5199">
        <v>95.966480630928999</v>
      </c>
      <c r="AJ5199">
        <v>141.14545742101399</v>
      </c>
      <c r="AK5199">
        <v>10.8332422519719</v>
      </c>
      <c r="AL5199">
        <v>94.217182188316997</v>
      </c>
      <c r="AM5199">
        <v>120.286222240038</v>
      </c>
      <c r="AN5199">
        <v>0.99999994235936995</v>
      </c>
    </row>
    <row r="5200" spans="1:40" x14ac:dyDescent="0.25">
      <c r="A5200" t="str">
        <f>"20190303154621320"</f>
        <v>20190303154621320</v>
      </c>
      <c r="B5200" t="str">
        <f>"1551599181316493"</f>
        <v>1551599181316493</v>
      </c>
      <c r="C5200" t="s">
        <v>40</v>
      </c>
      <c r="D5200">
        <v>4.9737419999999997</v>
      </c>
      <c r="E5200">
        <v>0.35871799999999998</v>
      </c>
      <c r="F5200" t="s">
        <v>60</v>
      </c>
      <c r="G5200">
        <v>-411.08409999999998</v>
      </c>
      <c r="H5200" s="1">
        <v>-1.0149970000000001E-5</v>
      </c>
      <c r="I5200">
        <v>27.238579999999999</v>
      </c>
      <c r="J5200">
        <v>-421.13959999999997</v>
      </c>
      <c r="K5200">
        <v>1.126126</v>
      </c>
      <c r="L5200">
        <v>32.556370000000001</v>
      </c>
      <c r="M5200">
        <v>0.18878410000000001</v>
      </c>
      <c r="N5200">
        <v>-1.4094199999999999E-2</v>
      </c>
      <c r="O5200">
        <v>-0.9819177</v>
      </c>
      <c r="P5200">
        <v>0.66096119999999903</v>
      </c>
      <c r="Q5200">
        <v>-7.9260440000000001E-2</v>
      </c>
      <c r="R5200">
        <v>-0.74622299999999997</v>
      </c>
      <c r="S5200">
        <v>2.8048709999999999</v>
      </c>
      <c r="T5200">
        <v>-0.31288280000000002</v>
      </c>
      <c r="U5200">
        <v>-1.522308</v>
      </c>
      <c r="V5200">
        <v>-0.50734760000000001</v>
      </c>
      <c r="W5200">
        <v>-7.3220660000000007E-2</v>
      </c>
      <c r="X5200">
        <v>0.85862510000000003</v>
      </c>
      <c r="Y5200">
        <v>-0.76893199999999995</v>
      </c>
      <c r="Z5200">
        <v>9.1988050000000002E-2</v>
      </c>
      <c r="AA5200">
        <v>0.63267819999999997</v>
      </c>
      <c r="AB5200">
        <v>19</v>
      </c>
      <c r="AC5200">
        <v>10.055499999999901</v>
      </c>
      <c r="AD5200">
        <v>-1.12613614997</v>
      </c>
      <c r="AE5200">
        <v>-5.3177899999999996</v>
      </c>
      <c r="AF5200">
        <v>-8.7845402420960497</v>
      </c>
      <c r="AG5200">
        <v>-1.12613614997</v>
      </c>
      <c r="AH5200">
        <v>7.0515434866355902</v>
      </c>
      <c r="AI5200">
        <v>95.7089354167517</v>
      </c>
      <c r="AJ5200">
        <v>141.24522181108199</v>
      </c>
      <c r="AK5200">
        <v>11.3208036568605</v>
      </c>
      <c r="AL5200">
        <v>94.198992671126405</v>
      </c>
      <c r="AM5200">
        <v>120.57814976375499</v>
      </c>
      <c r="AN5200">
        <v>0.99999995731330105</v>
      </c>
    </row>
    <row r="5201" spans="1:40" x14ac:dyDescent="0.25">
      <c r="A5201" t="str">
        <f>"20190303154621338"</f>
        <v>20190303154621338</v>
      </c>
      <c r="B5201" t="str">
        <f>"1551599181327229"</f>
        <v>1551599181327229</v>
      </c>
      <c r="C5201" t="s">
        <v>40</v>
      </c>
      <c r="D5201">
        <v>4.9451320000000001</v>
      </c>
      <c r="E5201">
        <v>0.3592458</v>
      </c>
      <c r="F5201" t="s">
        <v>60</v>
      </c>
      <c r="G5201">
        <v>-410.73349999999999</v>
      </c>
      <c r="H5201" s="1">
        <v>-1.026043E-5</v>
      </c>
      <c r="I5201">
        <v>27.0684</v>
      </c>
      <c r="J5201">
        <v>-421.101</v>
      </c>
      <c r="K5201">
        <v>1.126166</v>
      </c>
      <c r="L5201">
        <v>32.404850000000003</v>
      </c>
      <c r="M5201">
        <v>0.19651560000000001</v>
      </c>
      <c r="N5201">
        <v>-1.411773E-2</v>
      </c>
      <c r="O5201">
        <v>-0.98039909999999997</v>
      </c>
      <c r="P5201">
        <v>0.66995499999999997</v>
      </c>
      <c r="Q5201">
        <v>-8.0037670000000005E-2</v>
      </c>
      <c r="R5201">
        <v>-0.73807489999999998</v>
      </c>
      <c r="S5201">
        <v>2.8219599999999998</v>
      </c>
      <c r="T5201">
        <v>-0.30539070000000001</v>
      </c>
      <c r="U5201">
        <v>-1.488251</v>
      </c>
      <c r="V5201">
        <v>-0.51097510000000002</v>
      </c>
      <c r="W5201">
        <v>-7.4115E-2</v>
      </c>
      <c r="X5201">
        <v>0.8563944</v>
      </c>
      <c r="Y5201">
        <v>-0.77165569999999895</v>
      </c>
      <c r="Z5201">
        <v>8.9846110000000007E-2</v>
      </c>
      <c r="AA5201">
        <v>0.62966269999999902</v>
      </c>
      <c r="AB5201">
        <v>19</v>
      </c>
      <c r="AC5201">
        <v>10.3675</v>
      </c>
      <c r="AD5201">
        <v>-1.1261762604300001</v>
      </c>
      <c r="AE5201">
        <v>-5.3364500000000001</v>
      </c>
      <c r="AF5201">
        <v>-9.0322465332948703</v>
      </c>
      <c r="AG5201">
        <v>-1.1261762604300001</v>
      </c>
      <c r="AH5201">
        <v>7.2027624448152503</v>
      </c>
      <c r="AI5201">
        <v>95.567770500549699</v>
      </c>
      <c r="AJ5201">
        <v>141.429400478573</v>
      </c>
      <c r="AK5201">
        <v>11.6073053394926</v>
      </c>
      <c r="AL5201">
        <v>94.2503741099801</v>
      </c>
      <c r="AM5201">
        <v>120.822779120452</v>
      </c>
      <c r="AN5201">
        <v>0.99999997719818401</v>
      </c>
    </row>
    <row r="5202" spans="1:40" x14ac:dyDescent="0.25">
      <c r="A5202" t="str">
        <f>"20190303154621361"</f>
        <v>20190303154621361</v>
      </c>
      <c r="B5202" t="str">
        <f>"1551599181356510"</f>
        <v>1551599181356510</v>
      </c>
      <c r="C5202" t="s">
        <v>40</v>
      </c>
      <c r="D5202">
        <v>4.9765040000000003</v>
      </c>
      <c r="E5202">
        <v>0.3601876</v>
      </c>
      <c r="F5202" t="s">
        <v>60</v>
      </c>
      <c r="G5202">
        <v>-410.60059999999999</v>
      </c>
      <c r="H5202" s="1">
        <v>-1.03033199999999E-5</v>
      </c>
      <c r="I5202">
        <v>27.013940000000002</v>
      </c>
      <c r="J5202">
        <v>-421.05380000000002</v>
      </c>
      <c r="K5202">
        <v>1.1262190000000001</v>
      </c>
      <c r="L5202">
        <v>32.225559999999902</v>
      </c>
      <c r="M5202">
        <v>0.20580119999999999</v>
      </c>
      <c r="N5202">
        <v>-1.4144159999999999E-2</v>
      </c>
      <c r="O5202">
        <v>-0.97849169999999996</v>
      </c>
      <c r="P5202">
        <v>0.67939700000000003</v>
      </c>
      <c r="Q5202">
        <v>-8.138049E-2</v>
      </c>
      <c r="R5202">
        <v>-0.72924409999999995</v>
      </c>
      <c r="S5202">
        <v>2.8369450000000001</v>
      </c>
      <c r="T5202">
        <v>-0.30426310000000001</v>
      </c>
      <c r="U5202">
        <v>-1.4564820000000001</v>
      </c>
      <c r="V5202">
        <v>-0.51387349999999998</v>
      </c>
      <c r="W5202">
        <v>-7.5571180000000002E-2</v>
      </c>
      <c r="X5202">
        <v>0.85453089999999998</v>
      </c>
      <c r="Y5202">
        <v>-0.77259719999999998</v>
      </c>
      <c r="Z5202">
        <v>8.9838420000000002E-2</v>
      </c>
      <c r="AA5202">
        <v>0.62850830000000002</v>
      </c>
      <c r="AB5202">
        <v>19</v>
      </c>
      <c r="AC5202">
        <v>10.453200000000001</v>
      </c>
      <c r="AD5202">
        <v>-1.1262293033199999</v>
      </c>
      <c r="AE5202">
        <v>-5.2116199999999901</v>
      </c>
      <c r="AF5202">
        <v>-9.0723809848243402</v>
      </c>
      <c r="AG5202">
        <v>-1.1262293033199999</v>
      </c>
      <c r="AH5202">
        <v>7.1847362419867702</v>
      </c>
      <c r="AI5202">
        <v>95.558370305095707</v>
      </c>
      <c r="AJ5202">
        <v>141.62306399476799</v>
      </c>
      <c r="AK5202">
        <v>11.627421212133701</v>
      </c>
      <c r="AL5202">
        <v>94.334041570523894</v>
      </c>
      <c r="AM5202">
        <v>121.020663293231</v>
      </c>
      <c r="AN5202">
        <v>1.00000001815182</v>
      </c>
    </row>
    <row r="5203" spans="1:40" x14ac:dyDescent="0.25">
      <c r="A5203" t="str">
        <f>"20190303154621383"</f>
        <v>20190303154621383</v>
      </c>
      <c r="B5203" t="str">
        <f>"1551599181377005"</f>
        <v>1551599181377005</v>
      </c>
      <c r="C5203" t="s">
        <v>40</v>
      </c>
      <c r="D5203">
        <v>4.9695600000000004</v>
      </c>
      <c r="E5203">
        <v>0.3703516</v>
      </c>
      <c r="F5203" t="s">
        <v>60</v>
      </c>
      <c r="G5203">
        <v>-410.44979999999998</v>
      </c>
      <c r="H5203" s="1">
        <v>-1.0349220000000001E-5</v>
      </c>
      <c r="I5203">
        <v>26.924659999999999</v>
      </c>
      <c r="J5203">
        <v>-421.00540000000001</v>
      </c>
      <c r="K5203">
        <v>1.1262639999999999</v>
      </c>
      <c r="L5203">
        <v>32.050420000000003</v>
      </c>
      <c r="M5203">
        <v>0.21503349999999999</v>
      </c>
      <c r="N5203">
        <v>-1.416826E-2</v>
      </c>
      <c r="O5203">
        <v>-0.97650389999999998</v>
      </c>
      <c r="P5203">
        <v>0.68807169999999995</v>
      </c>
      <c r="Q5203">
        <v>-8.1969210000000001E-2</v>
      </c>
      <c r="R5203">
        <v>-0.72099829999999998</v>
      </c>
      <c r="S5203">
        <v>2.8501280000000002</v>
      </c>
      <c r="T5203">
        <v>-0.30270780000000003</v>
      </c>
      <c r="U5203">
        <v>-1.424774</v>
      </c>
      <c r="V5203">
        <v>-0.51601769999999902</v>
      </c>
      <c r="W5203">
        <v>-7.6251749999999993E-2</v>
      </c>
      <c r="X5203">
        <v>0.85317719999999897</v>
      </c>
      <c r="Y5203">
        <v>-0.7734048</v>
      </c>
      <c r="Z5203">
        <v>8.9715619999999996E-2</v>
      </c>
      <c r="AA5203">
        <v>0.62753179999999997</v>
      </c>
      <c r="AB5203">
        <v>19</v>
      </c>
      <c r="AC5203">
        <v>10.5556</v>
      </c>
      <c r="AD5203">
        <v>-1.12627434922</v>
      </c>
      <c r="AE5203">
        <v>-5.1257599999999996</v>
      </c>
      <c r="AF5203">
        <v>-9.12226051691969</v>
      </c>
      <c r="AG5203">
        <v>-1.12627434922</v>
      </c>
      <c r="AH5203">
        <v>7.2094461717740703</v>
      </c>
      <c r="AI5203">
        <v>95.532722687569304</v>
      </c>
      <c r="AJ5203">
        <v>141.68020424812499</v>
      </c>
      <c r="AK5203">
        <v>11.681619962658001</v>
      </c>
      <c r="AL5203">
        <v>94.373148430381306</v>
      </c>
      <c r="AM5203">
        <v>121.166341850104</v>
      </c>
      <c r="AN5203">
        <v>0.99999996534559499</v>
      </c>
    </row>
    <row r="5204" spans="1:40" x14ac:dyDescent="0.25">
      <c r="A5204" t="str">
        <f>"20190303154621405"</f>
        <v>20190303154621405</v>
      </c>
      <c r="B5204" t="str">
        <f>"1551599181396525"</f>
        <v>1551599181396525</v>
      </c>
      <c r="C5204" t="s">
        <v>40</v>
      </c>
      <c r="D5204">
        <v>4.971749</v>
      </c>
      <c r="E5204">
        <v>0.37139420000000001</v>
      </c>
      <c r="F5204" t="s">
        <v>60</v>
      </c>
      <c r="G5204">
        <v>-409.55900000000003</v>
      </c>
      <c r="H5204" s="1">
        <v>-2.563036E-6</v>
      </c>
      <c r="I5204">
        <v>26.15429</v>
      </c>
      <c r="J5204">
        <v>-420.95620000000002</v>
      </c>
      <c r="K5204">
        <v>1.1263019999999999</v>
      </c>
      <c r="L5204">
        <v>31.878879999999999</v>
      </c>
      <c r="M5204">
        <v>0.22422049999999999</v>
      </c>
      <c r="N5204">
        <v>-1.4190650000000001E-2</v>
      </c>
      <c r="O5204">
        <v>-0.9744353</v>
      </c>
      <c r="P5204">
        <v>0.69645979999999996</v>
      </c>
      <c r="Q5204">
        <v>-8.3186250000000003E-2</v>
      </c>
      <c r="R5204">
        <v>-0.71275819999999901</v>
      </c>
      <c r="S5204">
        <v>2.8102420000000001</v>
      </c>
      <c r="T5204">
        <v>-0.27651239999999999</v>
      </c>
      <c r="U5204">
        <v>-1.4475709999999999</v>
      </c>
      <c r="V5204">
        <v>-0.51796819999999999</v>
      </c>
      <c r="W5204">
        <v>-7.7549729999999997E-2</v>
      </c>
      <c r="X5204">
        <v>0.85187729999999995</v>
      </c>
      <c r="Y5204">
        <v>-0.7603512</v>
      </c>
      <c r="Z5204">
        <v>8.1662769999999996E-2</v>
      </c>
      <c r="AA5204">
        <v>0.64435799999999999</v>
      </c>
      <c r="AB5204">
        <v>19</v>
      </c>
      <c r="AC5204">
        <v>11.3971999999999</v>
      </c>
      <c r="AD5204">
        <v>-1.126304563036</v>
      </c>
      <c r="AE5204">
        <v>-5.7245899999999903</v>
      </c>
      <c r="AF5204">
        <v>-9.7472369385578492</v>
      </c>
      <c r="AG5204">
        <v>-1.126304563036</v>
      </c>
      <c r="AH5204">
        <v>8.0715995761230399</v>
      </c>
      <c r="AI5204">
        <v>95.085804001481407</v>
      </c>
      <c r="AJ5204">
        <v>140.372148920553</v>
      </c>
      <c r="AK5204">
        <v>12.7054283525732</v>
      </c>
      <c r="AL5204">
        <v>94.447738047125299</v>
      </c>
      <c r="AM5204">
        <v>121.30091742648401</v>
      </c>
      <c r="AN5204">
        <v>0.99999997554480102</v>
      </c>
    </row>
    <row r="5205" spans="1:40" x14ac:dyDescent="0.25">
      <c r="A5205" t="str">
        <f>"20190303154621426"</f>
        <v>20190303154621426</v>
      </c>
      <c r="B5205" t="str">
        <f>"1551599181416046"</f>
        <v>1551599181416046</v>
      </c>
      <c r="C5205" t="s">
        <v>40</v>
      </c>
      <c r="D5205">
        <v>5.1207820000000002</v>
      </c>
      <c r="E5205">
        <v>0.36793999999999999</v>
      </c>
      <c r="F5205" t="s">
        <v>60</v>
      </c>
      <c r="G5205">
        <v>-409.4212</v>
      </c>
      <c r="H5205" s="1">
        <v>-2.6264299999999902E-6</v>
      </c>
      <c r="I5205">
        <v>26.072659999999999</v>
      </c>
      <c r="J5205">
        <v>-420.90480000000002</v>
      </c>
      <c r="K5205">
        <v>1.126333</v>
      </c>
      <c r="L5205">
        <v>31.706479999999999</v>
      </c>
      <c r="M5205">
        <v>0.23357349999999999</v>
      </c>
      <c r="N5205">
        <v>-1.421126E-2</v>
      </c>
      <c r="O5205">
        <v>-0.97223539999999997</v>
      </c>
      <c r="P5205">
        <v>0.70404009999999995</v>
      </c>
      <c r="Q5205">
        <v>-8.4208489999999997E-2</v>
      </c>
      <c r="R5205">
        <v>-0.70515019999999995</v>
      </c>
      <c r="S5205">
        <v>2.821259</v>
      </c>
      <c r="T5205">
        <v>-0.27547559999999999</v>
      </c>
      <c r="U5205">
        <v>-1.420105</v>
      </c>
      <c r="V5205">
        <v>-0.51889810000000003</v>
      </c>
      <c r="W5205">
        <v>-7.8615400000000002E-2</v>
      </c>
      <c r="X5205">
        <v>0.85121349999999996</v>
      </c>
      <c r="Y5205">
        <v>-0.7601561</v>
      </c>
      <c r="Z5205">
        <v>8.1646389999999999E-2</v>
      </c>
      <c r="AA5205">
        <v>0.644590199999999</v>
      </c>
      <c r="AB5205">
        <v>19</v>
      </c>
      <c r="AC5205">
        <v>11.483599999999999</v>
      </c>
      <c r="AD5205">
        <v>-1.12633562643</v>
      </c>
      <c r="AE5205">
        <v>-5.6338200000000001</v>
      </c>
      <c r="AF5205">
        <v>-9.7740583619490202</v>
      </c>
      <c r="AG5205">
        <v>-1.12633562643</v>
      </c>
      <c r="AH5205">
        <v>8.0976986987747495</v>
      </c>
      <c r="AI5205">
        <v>95.071073836626894</v>
      </c>
      <c r="AJ5205">
        <v>140.35862942751999</v>
      </c>
      <c r="AK5205">
        <v>12.7425889450413</v>
      </c>
      <c r="AL5205">
        <v>94.508983228371505</v>
      </c>
      <c r="AM5205">
        <v>121.366404041739</v>
      </c>
      <c r="AN5205">
        <v>1.0000000209415001</v>
      </c>
    </row>
    <row r="5206" spans="1:40" x14ac:dyDescent="0.25">
      <c r="A5206" t="str">
        <f>"20190303154621451"</f>
        <v>20190303154621451</v>
      </c>
      <c r="B5206" t="str">
        <f>"1551599181446301"</f>
        <v>1551599181446301</v>
      </c>
      <c r="C5206" t="s">
        <v>40</v>
      </c>
      <c r="D5206">
        <v>5.1070599999999997</v>
      </c>
      <c r="E5206">
        <v>0.36427779999999998</v>
      </c>
      <c r="F5206" t="s">
        <v>60</v>
      </c>
      <c r="G5206">
        <v>-409.24360000000001</v>
      </c>
      <c r="H5206" s="1">
        <v>-2.7404710000000001E-6</v>
      </c>
      <c r="I5206">
        <v>26.112559999999998</v>
      </c>
      <c r="J5206">
        <v>-420.84789999999998</v>
      </c>
      <c r="K5206">
        <v>1.1263399999999999</v>
      </c>
      <c r="L5206">
        <v>31.523009999999999</v>
      </c>
      <c r="M5206">
        <v>0.24365809999999999</v>
      </c>
      <c r="N5206">
        <v>-1.423112E-2</v>
      </c>
      <c r="O5206">
        <v>-0.96975679999999997</v>
      </c>
      <c r="P5206">
        <v>0.7117715</v>
      </c>
      <c r="Q5206">
        <v>-8.2967330000000006E-2</v>
      </c>
      <c r="R5206">
        <v>-0.69749430000000001</v>
      </c>
      <c r="S5206">
        <v>2.855988</v>
      </c>
      <c r="T5206">
        <v>-0.27585419999999999</v>
      </c>
      <c r="U5206">
        <v>-1.370026</v>
      </c>
      <c r="V5206">
        <v>-0.51941709999999996</v>
      </c>
      <c r="W5206">
        <v>-7.7393190000000001E-2</v>
      </c>
      <c r="X5206">
        <v>0.85100889999999996</v>
      </c>
      <c r="Y5206">
        <v>-0.76567649999999998</v>
      </c>
      <c r="Z5206">
        <v>8.1910670000000005E-2</v>
      </c>
      <c r="AA5206">
        <v>0.63798900000000003</v>
      </c>
      <c r="AB5206">
        <v>19</v>
      </c>
      <c r="AC5206">
        <v>11.604299999999901</v>
      </c>
      <c r="AD5206">
        <v>-1.12634274047099</v>
      </c>
      <c r="AE5206">
        <v>-5.4104499999999902</v>
      </c>
      <c r="AF5206">
        <v>-9.8597518781668505</v>
      </c>
      <c r="AG5206">
        <v>-1.12634274047099</v>
      </c>
      <c r="AH5206">
        <v>8.0131078373747897</v>
      </c>
      <c r="AI5206">
        <v>95.066108303476199</v>
      </c>
      <c r="AJ5206">
        <v>140.89893316547099</v>
      </c>
      <c r="AK5206">
        <v>12.755126509816501</v>
      </c>
      <c r="AL5206">
        <v>94.438741869612002</v>
      </c>
      <c r="AM5206">
        <v>121.397991266503</v>
      </c>
      <c r="AN5206">
        <v>0.99999998875499796</v>
      </c>
    </row>
    <row r="5207" spans="1:40" x14ac:dyDescent="0.25">
      <c r="A5207" t="str">
        <f>"20190303154621474"</f>
        <v>20190303154621474</v>
      </c>
      <c r="B5207" t="str">
        <f>"1551599181466798"</f>
        <v>1551599181466798</v>
      </c>
      <c r="C5207" t="s">
        <v>40</v>
      </c>
      <c r="D5207">
        <v>5.1008259999999996</v>
      </c>
      <c r="E5207">
        <v>0.36147099999999999</v>
      </c>
      <c r="F5207" t="s">
        <v>60</v>
      </c>
      <c r="G5207">
        <v>-410.16269999999997</v>
      </c>
      <c r="H5207" s="1">
        <v>-1.0426570000000001E-5</v>
      </c>
      <c r="I5207">
        <v>26.653980000000001</v>
      </c>
      <c r="J5207">
        <v>-420.78890000000001</v>
      </c>
      <c r="K5207">
        <v>1.126352</v>
      </c>
      <c r="L5207">
        <v>31.339569999999998</v>
      </c>
      <c r="M5207">
        <v>0.25386730000000002</v>
      </c>
      <c r="N5207">
        <v>-1.424927E-2</v>
      </c>
      <c r="O5207">
        <v>-0.96713419999999894</v>
      </c>
      <c r="P5207">
        <v>0.71938190000000002</v>
      </c>
      <c r="Q5207">
        <v>-8.2193130000000003E-2</v>
      </c>
      <c r="R5207">
        <v>-0.68973479999999998</v>
      </c>
      <c r="S5207">
        <v>2.889221</v>
      </c>
      <c r="T5207">
        <v>-0.30455900000000002</v>
      </c>
      <c r="U5207">
        <v>-1.316559</v>
      </c>
      <c r="V5207">
        <v>-0.51976629999999902</v>
      </c>
      <c r="W5207">
        <v>-7.6630530000000002E-2</v>
      </c>
      <c r="X5207">
        <v>0.85086469999999903</v>
      </c>
      <c r="Y5207">
        <v>-0.77066099999999904</v>
      </c>
      <c r="Z5207">
        <v>9.1825379999999998E-2</v>
      </c>
      <c r="AA5207">
        <v>0.63059469999999995</v>
      </c>
      <c r="AB5207">
        <v>19</v>
      </c>
      <c r="AC5207">
        <v>10.626200000000001</v>
      </c>
      <c r="AD5207">
        <v>-1.1263624265700001</v>
      </c>
      <c r="AE5207">
        <v>-4.6855900000000004</v>
      </c>
      <c r="AF5207">
        <v>-9.0036701270252593</v>
      </c>
      <c r="AG5207">
        <v>-1.1263624265700001</v>
      </c>
      <c r="AH5207">
        <v>7.1625957979763797</v>
      </c>
      <c r="AI5207">
        <v>95.591471420568297</v>
      </c>
      <c r="AJ5207">
        <v>141.49706449554699</v>
      </c>
      <c r="AK5207">
        <v>11.560170701052099</v>
      </c>
      <c r="AL5207">
        <v>94.394914498441295</v>
      </c>
      <c r="AM5207">
        <v>121.41943662912399</v>
      </c>
      <c r="AN5207">
        <v>0.99999999122493</v>
      </c>
    </row>
    <row r="5208" spans="1:40" x14ac:dyDescent="0.25">
      <c r="A5208" t="str">
        <f>"20190303154621518"</f>
        <v>20190303154621518</v>
      </c>
      <c r="B5208" t="str">
        <f>"1551599181506813"</f>
        <v>1551599181506813</v>
      </c>
      <c r="C5208" t="s">
        <v>40</v>
      </c>
      <c r="D5208">
        <v>5.1364190000000001</v>
      </c>
      <c r="E5208">
        <v>0.36057460000000002</v>
      </c>
      <c r="F5208" t="s">
        <v>60</v>
      </c>
      <c r="G5208">
        <v>-409.81079999999997</v>
      </c>
      <c r="H5208" s="1">
        <v>-2.5057200000000001E-6</v>
      </c>
      <c r="I5208">
        <v>26.5669</v>
      </c>
      <c r="J5208">
        <v>-420.67469999999997</v>
      </c>
      <c r="K5208">
        <v>1.1263780000000001</v>
      </c>
      <c r="L5208">
        <v>31.003080000000001</v>
      </c>
      <c r="M5208">
        <v>0.27290399999999998</v>
      </c>
      <c r="N5208">
        <v>-1.4281169999999999E-2</v>
      </c>
      <c r="O5208">
        <v>-0.9619354</v>
      </c>
      <c r="P5208">
        <v>0.73217989999999999</v>
      </c>
      <c r="Q5208">
        <v>-8.2601289999999994E-2</v>
      </c>
      <c r="R5208">
        <v>-0.67608419999999902</v>
      </c>
      <c r="S5208">
        <v>2.9192499999999999</v>
      </c>
      <c r="T5208">
        <v>-0.29951689999999997</v>
      </c>
      <c r="U5208">
        <v>-1.2691349999999999</v>
      </c>
      <c r="V5208">
        <v>-0.51892129999999903</v>
      </c>
      <c r="W5208">
        <v>-7.7037899999999895E-2</v>
      </c>
      <c r="X5208">
        <v>0.85134359999999998</v>
      </c>
      <c r="Y5208">
        <v>-0.76931839999999996</v>
      </c>
      <c r="Z5208">
        <v>9.0353149999999993E-2</v>
      </c>
      <c r="AA5208">
        <v>0.63244409999999995</v>
      </c>
      <c r="AB5208">
        <v>19</v>
      </c>
      <c r="AC5208">
        <v>10.863899999999999</v>
      </c>
      <c r="AD5208">
        <v>-1.12638050572</v>
      </c>
      <c r="AE5208">
        <v>-4.4361799999999896</v>
      </c>
      <c r="AF5208">
        <v>-9.1562985390671994</v>
      </c>
      <c r="AG5208">
        <v>-1.12638050572</v>
      </c>
      <c r="AH5208">
        <v>7.1668256305843299</v>
      </c>
      <c r="AI5208">
        <v>95.533048929772306</v>
      </c>
      <c r="AJ5208">
        <v>141.94897309027499</v>
      </c>
      <c r="AK5208">
        <v>11.6820343091171</v>
      </c>
      <c r="AL5208">
        <v>94.418324069110497</v>
      </c>
      <c r="AM5208">
        <v>121.363650889882</v>
      </c>
      <c r="AN5208">
        <v>1.00000003944552</v>
      </c>
    </row>
    <row r="5209" spans="1:40" x14ac:dyDescent="0.25">
      <c r="A5209" t="str">
        <f>"20190303154621540"</f>
        <v>20190303154621540</v>
      </c>
      <c r="B5209" t="str">
        <f>"1551599181536094"</f>
        <v>1551599181536094</v>
      </c>
      <c r="C5209" t="s">
        <v>40</v>
      </c>
      <c r="D5209">
        <v>5.1476980000000001</v>
      </c>
      <c r="E5209">
        <v>0.36145090000000002</v>
      </c>
      <c r="F5209" t="s">
        <v>60</v>
      </c>
      <c r="G5209">
        <v>-409.9393</v>
      </c>
      <c r="H5209" s="1">
        <v>-2.4372530000000001E-6</v>
      </c>
      <c r="I5209">
        <v>26.600999999999999</v>
      </c>
      <c r="J5209">
        <v>-420.61430000000001</v>
      </c>
      <c r="K5209">
        <v>1.126387</v>
      </c>
      <c r="L5209">
        <v>30.833770000000001</v>
      </c>
      <c r="M5209">
        <v>0.28261029999999998</v>
      </c>
      <c r="N5209">
        <v>-1.4295520000000001E-2</v>
      </c>
      <c r="O5209">
        <v>-0.95912839999999999</v>
      </c>
      <c r="P5209">
        <v>0.73839399999999999</v>
      </c>
      <c r="Q5209">
        <v>-8.4628320000000007E-2</v>
      </c>
      <c r="R5209">
        <v>-0.66903819999999903</v>
      </c>
      <c r="S5209">
        <v>2.9467159999999999</v>
      </c>
      <c r="T5209">
        <v>-0.30917640000000002</v>
      </c>
      <c r="U5209">
        <v>-1.208313</v>
      </c>
      <c r="V5209">
        <v>-0.51822659999999998</v>
      </c>
      <c r="W5209">
        <v>-7.906096E-2</v>
      </c>
      <c r="X5209">
        <v>0.85158129999999999</v>
      </c>
      <c r="Y5209">
        <v>-0.77578669999999905</v>
      </c>
      <c r="Z5209">
        <v>9.40391E-2</v>
      </c>
      <c r="AA5209">
        <v>0.62394850000000002</v>
      </c>
      <c r="AB5209">
        <v>19</v>
      </c>
      <c r="AC5209">
        <v>10.675000000000001</v>
      </c>
      <c r="AD5209">
        <v>-1.1263894372529999</v>
      </c>
      <c r="AE5209">
        <v>-4.2327700000000004</v>
      </c>
      <c r="AF5209">
        <v>-8.9572160776233094</v>
      </c>
      <c r="AG5209">
        <v>-1.1263894372529999</v>
      </c>
      <c r="AH5209">
        <v>7.0099141859093699</v>
      </c>
      <c r="AI5209">
        <v>95.655612539994706</v>
      </c>
      <c r="AJ5209">
        <v>141.95327881308299</v>
      </c>
      <c r="AK5209">
        <v>11.429758086652599</v>
      </c>
      <c r="AL5209">
        <v>94.534591386968003</v>
      </c>
      <c r="AM5209">
        <v>121.322446193651</v>
      </c>
      <c r="AN5209">
        <v>1.00000007742668</v>
      </c>
    </row>
    <row r="5210" spans="1:40" x14ac:dyDescent="0.25">
      <c r="A5210" t="str">
        <f>"20190303154621563"</f>
        <v>20190303154621563</v>
      </c>
      <c r="B5210" t="str">
        <f>"1551599181556590"</f>
        <v>1551599181556590</v>
      </c>
      <c r="C5210" t="s">
        <v>40</v>
      </c>
      <c r="D5210">
        <v>5.1527399999999997</v>
      </c>
      <c r="E5210">
        <v>0.3622167</v>
      </c>
      <c r="F5210" t="s">
        <v>60</v>
      </c>
      <c r="G5210">
        <v>-410.48129999999998</v>
      </c>
      <c r="H5210" s="1">
        <v>-1.03220899999999E-5</v>
      </c>
      <c r="I5210">
        <v>26.76764</v>
      </c>
      <c r="J5210">
        <v>-420.55169999999998</v>
      </c>
      <c r="K5210">
        <v>1.1263840000000001</v>
      </c>
      <c r="L5210">
        <v>30.66452</v>
      </c>
      <c r="M5210">
        <v>0.29239520000000002</v>
      </c>
      <c r="N5210">
        <v>-1.4307739999999999E-2</v>
      </c>
      <c r="O5210">
        <v>-0.9561906</v>
      </c>
      <c r="P5210">
        <v>0.74518469999999903</v>
      </c>
      <c r="Q5210">
        <v>-8.6445859999999999E-2</v>
      </c>
      <c r="R5210">
        <v>-0.66123140000000002</v>
      </c>
      <c r="S5210">
        <v>2.9519959999999998</v>
      </c>
      <c r="T5210">
        <v>-0.32814900000000002</v>
      </c>
      <c r="U5210">
        <v>-1.1845699999999999</v>
      </c>
      <c r="V5210">
        <v>-0.51826170000000005</v>
      </c>
      <c r="W5210">
        <v>-8.0887650000000005E-2</v>
      </c>
      <c r="X5210">
        <v>0.85138829999999999</v>
      </c>
      <c r="Y5210">
        <v>-0.77344820000000003</v>
      </c>
      <c r="Z5210">
        <v>0.10082679999999999</v>
      </c>
      <c r="AA5210">
        <v>0.62578900000000004</v>
      </c>
      <c r="AB5210">
        <v>19</v>
      </c>
      <c r="AC5210">
        <v>10.070399999999999</v>
      </c>
      <c r="AD5210">
        <v>-1.1263943220899999</v>
      </c>
      <c r="AE5210">
        <v>-3.8968799999999901</v>
      </c>
      <c r="AF5210">
        <v>-8.3992650529257897</v>
      </c>
      <c r="AG5210">
        <v>-1.1263943220899999</v>
      </c>
      <c r="AH5210">
        <v>6.59956614664444</v>
      </c>
      <c r="AI5210">
        <v>96.019557642572295</v>
      </c>
      <c r="AJ5210">
        <v>141.842167731156</v>
      </c>
      <c r="AK5210">
        <v>10.741074942577701</v>
      </c>
      <c r="AL5210">
        <v>94.639589606861307</v>
      </c>
      <c r="AM5210">
        <v>121.32993730532699</v>
      </c>
      <c r="AN5210">
        <v>1.00000001949315</v>
      </c>
    </row>
    <row r="5211" spans="1:40" x14ac:dyDescent="0.25">
      <c r="A5211" t="str">
        <f>"20190303154621584"</f>
        <v>20190303154621584</v>
      </c>
      <c r="B5211" t="str">
        <f>"1551599181576110"</f>
        <v>1551599181576110</v>
      </c>
      <c r="C5211" t="s">
        <v>40</v>
      </c>
      <c r="D5211">
        <v>5.0772149999999998</v>
      </c>
      <c r="E5211">
        <v>0.36258879999999999</v>
      </c>
      <c r="F5211" t="s">
        <v>60</v>
      </c>
      <c r="G5211">
        <v>-410.76580000000001</v>
      </c>
      <c r="H5211" s="1">
        <v>-1.022545E-5</v>
      </c>
      <c r="I5211">
        <v>26.835730000000002</v>
      </c>
      <c r="J5211">
        <v>-420.48869999999999</v>
      </c>
      <c r="K5211">
        <v>1.126395</v>
      </c>
      <c r="L5211">
        <v>30.499420000000001</v>
      </c>
      <c r="M5211">
        <v>0.30202010000000001</v>
      </c>
      <c r="N5211">
        <v>-1.4318020000000001E-2</v>
      </c>
      <c r="O5211">
        <v>-0.95319419999999999</v>
      </c>
      <c r="P5211">
        <v>0.75207599999999997</v>
      </c>
      <c r="Q5211">
        <v>-8.6738880000000004E-2</v>
      </c>
      <c r="R5211">
        <v>-0.65334429999999999</v>
      </c>
      <c r="S5211">
        <v>2.9590450000000001</v>
      </c>
      <c r="T5211">
        <v>-0.34059790000000001</v>
      </c>
      <c r="U5211">
        <v>-1.157745</v>
      </c>
      <c r="V5211">
        <v>-0.51860969999999995</v>
      </c>
      <c r="W5211">
        <v>-8.1190390000000001E-2</v>
      </c>
      <c r="X5211">
        <v>0.85114749999999995</v>
      </c>
      <c r="Y5211">
        <v>-0.77207389999999998</v>
      </c>
      <c r="Z5211">
        <v>0.1054047</v>
      </c>
      <c r="AA5211">
        <v>0.62673089999999998</v>
      </c>
      <c r="AB5211">
        <v>18</v>
      </c>
      <c r="AC5211">
        <v>9.7228999999999797</v>
      </c>
      <c r="AD5211">
        <v>-1.1264052254500001</v>
      </c>
      <c r="AE5211">
        <v>-3.6636899999999999</v>
      </c>
      <c r="AF5211">
        <v>-8.0673265119931408</v>
      </c>
      <c r="AG5211">
        <v>-1.1264052254500001</v>
      </c>
      <c r="AH5211">
        <v>6.3546926327596802</v>
      </c>
      <c r="AI5211">
        <v>96.259401906159894</v>
      </c>
      <c r="AJ5211">
        <v>141.77223481410201</v>
      </c>
      <c r="AK5211">
        <v>10.3311501895906</v>
      </c>
      <c r="AL5211">
        <v>94.656992738163694</v>
      </c>
      <c r="AM5211">
        <v>121.354222936223</v>
      </c>
      <c r="AN5211">
        <v>0.99999998355934505</v>
      </c>
    </row>
    <row r="5212" spans="1:40" x14ac:dyDescent="0.25">
      <c r="A5212" t="str">
        <f>"20190303154621606"</f>
        <v>20190303154621606</v>
      </c>
      <c r="B5212" t="str">
        <f>"1551599181596606"</f>
        <v>1551599181596606</v>
      </c>
      <c r="C5212" t="s">
        <v>40</v>
      </c>
      <c r="D5212">
        <v>5.0394160000000001</v>
      </c>
      <c r="E5212">
        <v>0.3628942</v>
      </c>
      <c r="F5212" t="s">
        <v>60</v>
      </c>
      <c r="G5212">
        <v>-410.69229999999999</v>
      </c>
      <c r="H5212" s="1">
        <v>-1.0246089999999999E-5</v>
      </c>
      <c r="I5212">
        <v>26.77478</v>
      </c>
      <c r="J5212">
        <v>-420.42349999999999</v>
      </c>
      <c r="K5212">
        <v>1.126396</v>
      </c>
      <c r="L5212">
        <v>30.334050000000001</v>
      </c>
      <c r="M5212">
        <v>0.31172420000000001</v>
      </c>
      <c r="N5212">
        <v>-1.432719E-2</v>
      </c>
      <c r="O5212">
        <v>-0.95006480000000004</v>
      </c>
      <c r="P5212">
        <v>0.75878500000000004</v>
      </c>
      <c r="Q5212">
        <v>-8.4706310000000007E-2</v>
      </c>
      <c r="R5212">
        <v>-0.64580979999999999</v>
      </c>
      <c r="S5212">
        <v>2.9689640000000002</v>
      </c>
      <c r="T5212">
        <v>-0.34137640000000002</v>
      </c>
      <c r="U5212">
        <v>-1.1288149999999999</v>
      </c>
      <c r="V5212">
        <v>-0.51866469999999998</v>
      </c>
      <c r="W5212">
        <v>-7.9148049999999998E-2</v>
      </c>
      <c r="X5212">
        <v>0.85130640000000002</v>
      </c>
      <c r="Y5212">
        <v>-0.77162619999999904</v>
      </c>
      <c r="Z5212">
        <v>0.10595980000000001</v>
      </c>
      <c r="AA5212">
        <v>0.62718859999999999</v>
      </c>
      <c r="AB5212">
        <v>18</v>
      </c>
      <c r="AC5212">
        <v>9.7311999999999994</v>
      </c>
      <c r="AD5212">
        <v>-1.12640624609</v>
      </c>
      <c r="AE5212">
        <v>-3.5592700000000002</v>
      </c>
      <c r="AF5212">
        <v>-8.0415617751223305</v>
      </c>
      <c r="AG5212">
        <v>-1.12640624609</v>
      </c>
      <c r="AH5212">
        <v>6.3407130685353099</v>
      </c>
      <c r="AI5212">
        <v>96.276924534379503</v>
      </c>
      <c r="AJ5212">
        <v>141.744477314368</v>
      </c>
      <c r="AK5212">
        <v>10.302434131399901</v>
      </c>
      <c r="AL5212">
        <v>94.539597151378402</v>
      </c>
      <c r="AM5212">
        <v>121.352170357769</v>
      </c>
      <c r="AN5212">
        <v>1.00000003576292</v>
      </c>
    </row>
    <row r="5213" spans="1:40" x14ac:dyDescent="0.25">
      <c r="A5213" t="str">
        <f>"20190303154621629"</f>
        <v>20190303154621629</v>
      </c>
      <c r="B5213" t="str">
        <f>"1551599181626861"</f>
        <v>1551599181626861</v>
      </c>
      <c r="C5213" t="s">
        <v>40</v>
      </c>
      <c r="D5213">
        <v>5.0426669999999998</v>
      </c>
      <c r="E5213">
        <v>0.36370459999999999</v>
      </c>
      <c r="F5213" t="s">
        <v>60</v>
      </c>
      <c r="G5213">
        <v>-410.24430000000001</v>
      </c>
      <c r="H5213" s="1">
        <v>-1.0388670000000001E-5</v>
      </c>
      <c r="I5213">
        <v>26.571619999999999</v>
      </c>
      <c r="J5213">
        <v>-420.35509999999999</v>
      </c>
      <c r="K5213">
        <v>1.126396</v>
      </c>
      <c r="L5213">
        <v>30.165590000000002</v>
      </c>
      <c r="M5213">
        <v>0.32166050000000002</v>
      </c>
      <c r="N5213">
        <v>-1.4334929999999999E-2</v>
      </c>
      <c r="O5213">
        <v>-0.94674659999999999</v>
      </c>
      <c r="P5213">
        <v>0.76618679999999995</v>
      </c>
      <c r="Q5213">
        <v>-8.3636050000000003E-2</v>
      </c>
      <c r="R5213">
        <v>-0.63715239999999995</v>
      </c>
      <c r="S5213">
        <v>2.9795229999999999</v>
      </c>
      <c r="T5213">
        <v>-0.32970739999999998</v>
      </c>
      <c r="U5213">
        <v>-1.1012879999999901</v>
      </c>
      <c r="V5213">
        <v>-0.51953769999999999</v>
      </c>
      <c r="W5213">
        <v>-7.8079010000000004E-2</v>
      </c>
      <c r="X5213">
        <v>0.85087259999999998</v>
      </c>
      <c r="Y5213">
        <v>-0.77122979999999997</v>
      </c>
      <c r="Z5213">
        <v>0.1022083</v>
      </c>
      <c r="AA5213">
        <v>0.62829780000000002</v>
      </c>
      <c r="AB5213">
        <v>18</v>
      </c>
      <c r="AC5213">
        <v>10.1107999999999</v>
      </c>
      <c r="AD5213">
        <v>-1.12640638867</v>
      </c>
      <c r="AE5213">
        <v>-3.5939699999999899</v>
      </c>
      <c r="AF5213">
        <v>-8.3254529484791107</v>
      </c>
      <c r="AG5213">
        <v>-1.12640638867</v>
      </c>
      <c r="AH5213">
        <v>6.5829691177654404</v>
      </c>
      <c r="AI5213">
        <v>96.058039805124295</v>
      </c>
      <c r="AJ5213">
        <v>141.66643616797899</v>
      </c>
      <c r="AK5213">
        <v>10.673211351567501</v>
      </c>
      <c r="AL5213">
        <v>94.478155825316406</v>
      </c>
      <c r="AM5213">
        <v>121.407988385069</v>
      </c>
      <c r="AN5213">
        <v>0.99999996747731401</v>
      </c>
    </row>
    <row r="5214" spans="1:40" x14ac:dyDescent="0.25">
      <c r="A5214" t="str">
        <f>"20190303154621651"</f>
        <v>20190303154621651</v>
      </c>
      <c r="B5214" t="str">
        <f>"1551599181646382"</f>
        <v>1551599181646382</v>
      </c>
      <c r="C5214" t="s">
        <v>40</v>
      </c>
      <c r="D5214">
        <v>5.0682879999999999</v>
      </c>
      <c r="E5214">
        <v>0.36439129999999997</v>
      </c>
      <c r="F5214" t="s">
        <v>60</v>
      </c>
      <c r="G5214">
        <v>-409.75659999999999</v>
      </c>
      <c r="H5214" s="1">
        <v>-2.4920769999999998E-6</v>
      </c>
      <c r="I5214">
        <v>26.361039999999999</v>
      </c>
      <c r="J5214">
        <v>-420.2867</v>
      </c>
      <c r="K5214">
        <v>1.1263829999999999</v>
      </c>
      <c r="L5214">
        <v>30.00226</v>
      </c>
      <c r="M5214">
        <v>0.3313333</v>
      </c>
      <c r="N5214">
        <v>-1.4340550000000001E-2</v>
      </c>
      <c r="O5214">
        <v>-0.94340489999999999</v>
      </c>
      <c r="P5214">
        <v>0.77314169999999904</v>
      </c>
      <c r="Q5214">
        <v>-8.3340250000000005E-2</v>
      </c>
      <c r="R5214">
        <v>-0.62873449999999997</v>
      </c>
      <c r="S5214">
        <v>2.9886780000000002</v>
      </c>
      <c r="T5214">
        <v>-0.317633</v>
      </c>
      <c r="U5214">
        <v>-1.072845</v>
      </c>
      <c r="V5214">
        <v>-0.52017119999999994</v>
      </c>
      <c r="W5214">
        <v>-7.7775440000000001E-2</v>
      </c>
      <c r="X5214">
        <v>0.85051330000000003</v>
      </c>
      <c r="Y5214">
        <v>-0.77106200000000003</v>
      </c>
      <c r="Z5214">
        <v>9.8344639999999997E-2</v>
      </c>
      <c r="AA5214">
        <v>0.62911989999999995</v>
      </c>
      <c r="AB5214">
        <v>18</v>
      </c>
      <c r="AC5214">
        <v>10.530099999999999</v>
      </c>
      <c r="AD5214">
        <v>-1.126385492077</v>
      </c>
      <c r="AE5214">
        <v>-3.6412199999999899</v>
      </c>
      <c r="AF5214">
        <v>-8.6402821861641801</v>
      </c>
      <c r="AG5214">
        <v>-1.126385492077</v>
      </c>
      <c r="AH5214">
        <v>6.85477214421228</v>
      </c>
      <c r="AI5214">
        <v>95.831282716071698</v>
      </c>
      <c r="AJ5214">
        <v>141.57325657374699</v>
      </c>
      <c r="AK5214">
        <v>11.086528838296299</v>
      </c>
      <c r="AL5214">
        <v>94.460709413470497</v>
      </c>
      <c r="AM5214">
        <v>121.449821846508</v>
      </c>
      <c r="AN5214">
        <v>0.99999998492676101</v>
      </c>
    </row>
    <row r="5215" spans="1:40" x14ac:dyDescent="0.25">
      <c r="A5215" t="str">
        <f>"20190303154621675"</f>
        <v>20190303154621675</v>
      </c>
      <c r="B5215" t="str">
        <f>"1551599181666877"</f>
        <v>1551599181666877</v>
      </c>
      <c r="C5215" t="s">
        <v>40</v>
      </c>
      <c r="D5215">
        <v>5.0888980000000004</v>
      </c>
      <c r="E5215">
        <v>0.36514479999999999</v>
      </c>
      <c r="F5215" t="s">
        <v>60</v>
      </c>
      <c r="G5215">
        <v>-409.44479999999999</v>
      </c>
      <c r="H5215" s="1">
        <v>-2.646178E-6</v>
      </c>
      <c r="I5215">
        <v>26.22409</v>
      </c>
      <c r="J5215">
        <v>-420.21199999999999</v>
      </c>
      <c r="K5215">
        <v>1.1263669999999999</v>
      </c>
      <c r="L5215">
        <v>29.828890000000001</v>
      </c>
      <c r="M5215">
        <v>0.34163529999999998</v>
      </c>
      <c r="N5215">
        <v>-1.434449E-2</v>
      </c>
      <c r="O5215">
        <v>-0.93972299999999997</v>
      </c>
      <c r="P5215">
        <v>0.77950039999999998</v>
      </c>
      <c r="Q5215">
        <v>-8.4437880000000007E-2</v>
      </c>
      <c r="R5215">
        <v>-0.62068420000000002</v>
      </c>
      <c r="S5215">
        <v>2.9973139999999998</v>
      </c>
      <c r="T5215">
        <v>-0.31139529999999999</v>
      </c>
      <c r="U5215">
        <v>-1.044495</v>
      </c>
      <c r="V5215">
        <v>-0.51956309999999895</v>
      </c>
      <c r="W5215">
        <v>-7.8834390000000004E-2</v>
      </c>
      <c r="X5215">
        <v>0.85078750000000003</v>
      </c>
      <c r="Y5215">
        <v>-0.77020069999999996</v>
      </c>
      <c r="Z5215">
        <v>9.645658E-2</v>
      </c>
      <c r="AA5215">
        <v>0.63046569999999902</v>
      </c>
      <c r="AB5215">
        <v>18</v>
      </c>
      <c r="AC5215">
        <v>10.767200000000001</v>
      </c>
      <c r="AD5215">
        <v>-1.126369646178</v>
      </c>
      <c r="AE5215">
        <v>-3.6047999999999898</v>
      </c>
      <c r="AF5215">
        <v>-8.80096807346834</v>
      </c>
      <c r="AG5215">
        <v>-1.126369646178</v>
      </c>
      <c r="AH5215">
        <v>6.9978347680083397</v>
      </c>
      <c r="AI5215">
        <v>95.720548373818602</v>
      </c>
      <c r="AJ5215">
        <v>141.51105190688099</v>
      </c>
      <c r="AK5215">
        <v>11.3002406633835</v>
      </c>
      <c r="AL5215">
        <v>94.521569484365102</v>
      </c>
      <c r="AM5215">
        <v>121.41178322914899</v>
      </c>
      <c r="AN5215">
        <v>1.0000000230422601</v>
      </c>
    </row>
    <row r="5216" spans="1:40" x14ac:dyDescent="0.25">
      <c r="A5216" t="str">
        <f>"20190303154621697"</f>
        <v>20190303154621697</v>
      </c>
      <c r="B5216" t="str">
        <f>"1551599181686397"</f>
        <v>1551599181686397</v>
      </c>
      <c r="C5216" t="s">
        <v>40</v>
      </c>
      <c r="D5216">
        <v>5.0989389999999997</v>
      </c>
      <c r="E5216">
        <v>0.3773437</v>
      </c>
      <c r="F5216" t="s">
        <v>60</v>
      </c>
      <c r="G5216">
        <v>-409.2285</v>
      </c>
      <c r="H5216" s="1">
        <v>-2.7478620000000002E-6</v>
      </c>
      <c r="I5216">
        <v>26.105869999999999</v>
      </c>
      <c r="J5216">
        <v>-420.142</v>
      </c>
      <c r="K5216">
        <v>1.1263430000000001</v>
      </c>
      <c r="L5216">
        <v>29.671199999999999</v>
      </c>
      <c r="M5216">
        <v>0.35102139999999998</v>
      </c>
      <c r="N5216">
        <v>-1.4346360000000001E-2</v>
      </c>
      <c r="O5216">
        <v>-0.93625760000000002</v>
      </c>
      <c r="P5216">
        <v>0.78407289999999996</v>
      </c>
      <c r="Q5216">
        <v>-8.5604150000000004E-2</v>
      </c>
      <c r="R5216">
        <v>-0.61473730000000004</v>
      </c>
      <c r="S5216">
        <v>3.0043329999999999</v>
      </c>
      <c r="T5216">
        <v>-0.30809989999999998</v>
      </c>
      <c r="U5216">
        <v>-1.0183719999999901</v>
      </c>
      <c r="V5216">
        <v>-0.51739380000000001</v>
      </c>
      <c r="W5216">
        <v>-7.9926720000000007E-2</v>
      </c>
      <c r="X5216">
        <v>0.85200669999999901</v>
      </c>
      <c r="Y5216">
        <v>-0.76931479999999997</v>
      </c>
      <c r="Z5216">
        <v>9.556075E-2</v>
      </c>
      <c r="AA5216">
        <v>0.63168259999999998</v>
      </c>
      <c r="AB5216">
        <v>18</v>
      </c>
      <c r="AC5216">
        <v>10.913500000000001</v>
      </c>
      <c r="AD5216">
        <v>-1.126345747862</v>
      </c>
      <c r="AE5216">
        <v>-3.5653299999999901</v>
      </c>
      <c r="AF5216">
        <v>-8.8817803511066593</v>
      </c>
      <c r="AG5216">
        <v>-1.126345747862</v>
      </c>
      <c r="AH5216">
        <v>7.1013304627496296</v>
      </c>
      <c r="AI5216">
        <v>95.6566045514857</v>
      </c>
      <c r="AJ5216">
        <v>141.35629838575801</v>
      </c>
      <c r="AK5216">
        <v>11.427316889375501</v>
      </c>
      <c r="AL5216">
        <v>94.584353517244494</v>
      </c>
      <c r="AM5216">
        <v>121.268842393857</v>
      </c>
      <c r="AN5216">
        <v>1.00000002084664</v>
      </c>
    </row>
    <row r="5217" spans="1:40" x14ac:dyDescent="0.25">
      <c r="A5217" t="str">
        <f>"20190303154621718"</f>
        <v>20190303154621718</v>
      </c>
      <c r="B5217" t="str">
        <f>"1551599181706894"</f>
        <v>1551599181706894</v>
      </c>
      <c r="C5217" t="s">
        <v>40</v>
      </c>
      <c r="D5217">
        <v>5.1092599999999999</v>
      </c>
      <c r="E5217">
        <v>0.37798540000000003</v>
      </c>
      <c r="F5217" t="s">
        <v>60</v>
      </c>
      <c r="G5217">
        <v>-406.81529999999998</v>
      </c>
      <c r="H5217" s="1">
        <v>-3.8255330000000003E-6</v>
      </c>
      <c r="I5217">
        <v>24.826609999999999</v>
      </c>
      <c r="J5217">
        <v>-420.06790000000001</v>
      </c>
      <c r="K5217">
        <v>1.126322</v>
      </c>
      <c r="L5217">
        <v>29.508479999999999</v>
      </c>
      <c r="M5217">
        <v>0.36071629999999999</v>
      </c>
      <c r="N5217">
        <v>-1.434647E-2</v>
      </c>
      <c r="O5217">
        <v>-0.93256550000000005</v>
      </c>
      <c r="P5217">
        <v>0.78884770000000004</v>
      </c>
      <c r="Q5217">
        <v>-8.6395029999999998E-2</v>
      </c>
      <c r="R5217">
        <v>-0.60848649999999904</v>
      </c>
      <c r="S5217">
        <v>2.9562680000000001</v>
      </c>
      <c r="T5217">
        <v>-0.24985769999999999</v>
      </c>
      <c r="U5217">
        <v>-1.0746770000000001</v>
      </c>
      <c r="V5217">
        <v>-0.51524229999999904</v>
      </c>
      <c r="W5217">
        <v>-8.0637249999999994E-2</v>
      </c>
      <c r="X5217">
        <v>0.85324259999999996</v>
      </c>
      <c r="Y5217">
        <v>-0.75021689999999996</v>
      </c>
      <c r="Z5217">
        <v>7.5810509999999998E-2</v>
      </c>
      <c r="AA5217">
        <v>0.65683130000000001</v>
      </c>
      <c r="AB5217">
        <v>18</v>
      </c>
      <c r="AC5217">
        <v>13.252599999999999</v>
      </c>
      <c r="AD5217">
        <v>-1.126325825533</v>
      </c>
      <c r="AE5217">
        <v>-4.6818699999999902</v>
      </c>
      <c r="AF5217">
        <v>-10.603096767653399</v>
      </c>
      <c r="AG5217">
        <v>-1.126325825533</v>
      </c>
      <c r="AH5217">
        <v>9.0891509428397192</v>
      </c>
      <c r="AI5217">
        <v>94.610921489184904</v>
      </c>
      <c r="AJ5217">
        <v>139.39626857595999</v>
      </c>
      <c r="AK5217">
        <v>14.010957704282999</v>
      </c>
      <c r="AL5217">
        <v>94.625195981183097</v>
      </c>
      <c r="AM5217">
        <v>121.126257164336</v>
      </c>
      <c r="AN5217">
        <v>0.99999996412580505</v>
      </c>
    </row>
    <row r="5218" spans="1:40" x14ac:dyDescent="0.25">
      <c r="A5218" t="str">
        <f>"20190303154621741"</f>
        <v>20190303154621741</v>
      </c>
      <c r="B5218" t="str">
        <f>"1551599181736174"</f>
        <v>1551599181736174</v>
      </c>
      <c r="C5218" t="s">
        <v>40</v>
      </c>
      <c r="D5218">
        <v>5.1049009999999999</v>
      </c>
      <c r="E5218">
        <v>0.37942710000000002</v>
      </c>
      <c r="F5218" t="s">
        <v>60</v>
      </c>
      <c r="G5218">
        <v>-407.09699999999998</v>
      </c>
      <c r="H5218" s="1">
        <v>-3.6944979999999999E-6</v>
      </c>
      <c r="I5218">
        <v>24.886780000000002</v>
      </c>
      <c r="J5218">
        <v>-419.99290000000002</v>
      </c>
      <c r="K5218">
        <v>1.12629</v>
      </c>
      <c r="L5218">
        <v>29.348140000000001</v>
      </c>
      <c r="M5218">
        <v>0.37025780000000003</v>
      </c>
      <c r="N5218">
        <v>-1.4344229999999999E-2</v>
      </c>
      <c r="O5218">
        <v>-0.92881829999999999</v>
      </c>
      <c r="P5218">
        <v>0.79323829999999995</v>
      </c>
      <c r="Q5218">
        <v>-8.4860679999999994E-2</v>
      </c>
      <c r="R5218">
        <v>-0.60296910000000004</v>
      </c>
      <c r="S5218">
        <v>2.9610289999999999</v>
      </c>
      <c r="T5218">
        <v>-0.25712000000000002</v>
      </c>
      <c r="U5218">
        <v>-1.0550539999999999</v>
      </c>
      <c r="V5218">
        <v>-0.51262790000000003</v>
      </c>
      <c r="W5218">
        <v>-7.9003030000000002E-2</v>
      </c>
      <c r="X5218">
        <v>0.85496849999999902</v>
      </c>
      <c r="Y5218">
        <v>-0.74744919999999904</v>
      </c>
      <c r="Z5218">
        <v>7.8460600000000005E-2</v>
      </c>
      <c r="AA5218">
        <v>0.65966930000000001</v>
      </c>
      <c r="AB5218">
        <v>18</v>
      </c>
      <c r="AC5218">
        <v>12.895899999999999</v>
      </c>
      <c r="AD5218">
        <v>-1.126293694498</v>
      </c>
      <c r="AE5218">
        <v>-4.46136</v>
      </c>
      <c r="AF5218">
        <v>-10.2572794402921</v>
      </c>
      <c r="AG5218">
        <v>-1.126293694498</v>
      </c>
      <c r="AH5218">
        <v>8.8591650575117793</v>
      </c>
      <c r="AI5218">
        <v>94.7503655474342</v>
      </c>
      <c r="AJ5218">
        <v>139.18297876705699</v>
      </c>
      <c r="AK5218">
        <v>13.6001884001194</v>
      </c>
      <c r="AL5218">
        <v>94.531262228285101</v>
      </c>
      <c r="AM5218">
        <v>120.94634915040299</v>
      </c>
      <c r="AN5218">
        <v>0.99999998929991996</v>
      </c>
    </row>
    <row r="5219" spans="1:40" x14ac:dyDescent="0.25">
      <c r="A5219" t="str">
        <f>"20190303154621763"</f>
        <v>20190303154621763</v>
      </c>
      <c r="B5219" t="str">
        <f>"1551599181756669"</f>
        <v>1551599181756669</v>
      </c>
      <c r="C5219" t="s">
        <v>40</v>
      </c>
      <c r="D5219">
        <v>5.1412100000000001</v>
      </c>
      <c r="E5219">
        <v>0.3803937</v>
      </c>
      <c r="F5219" t="s">
        <v>60</v>
      </c>
      <c r="G5219">
        <v>-406.7765</v>
      </c>
      <c r="H5219" s="1">
        <v>-3.8210369999999999E-6</v>
      </c>
      <c r="I5219">
        <v>24.69171</v>
      </c>
      <c r="J5219">
        <v>-419.916</v>
      </c>
      <c r="K5219">
        <v>1.1262490000000001</v>
      </c>
      <c r="L5219">
        <v>29.188420000000001</v>
      </c>
      <c r="M5219">
        <v>0.37973869999999998</v>
      </c>
      <c r="N5219">
        <v>-1.4338999999999999E-2</v>
      </c>
      <c r="O5219">
        <v>-0.92498270000000005</v>
      </c>
      <c r="P5219">
        <v>0.79748649999999999</v>
      </c>
      <c r="Q5219">
        <v>-8.4134749999999994E-2</v>
      </c>
      <c r="R5219">
        <v>-0.59744169999999996</v>
      </c>
      <c r="S5219">
        <v>2.9617309999999999</v>
      </c>
      <c r="T5219">
        <v>-0.2523977</v>
      </c>
      <c r="U5219">
        <v>-1.043488</v>
      </c>
      <c r="V5219">
        <v>-0.50991489999999995</v>
      </c>
      <c r="W5219">
        <v>-7.8166070000000004E-2</v>
      </c>
      <c r="X5219">
        <v>0.85666609999999999</v>
      </c>
      <c r="Y5219">
        <v>-0.74312590000000001</v>
      </c>
      <c r="Z5219">
        <v>7.6930139999999994E-2</v>
      </c>
      <c r="AA5219">
        <v>0.66471469999999999</v>
      </c>
      <c r="AB5219">
        <v>18</v>
      </c>
      <c r="AC5219">
        <v>13.1394999999999</v>
      </c>
      <c r="AD5219">
        <v>-1.126252821037</v>
      </c>
      <c r="AE5219">
        <v>-4.4967100000000002</v>
      </c>
      <c r="AF5219">
        <v>-10.3790481696377</v>
      </c>
      <c r="AG5219">
        <v>-1.126252821037</v>
      </c>
      <c r="AH5219">
        <v>9.0901121318188594</v>
      </c>
      <c r="AI5219">
        <v>94.666752326903804</v>
      </c>
      <c r="AJ5219">
        <v>138.787681739368</v>
      </c>
      <c r="AK5219">
        <v>13.8428040834794</v>
      </c>
      <c r="AL5219">
        <v>94.483159261581505</v>
      </c>
      <c r="AM5219">
        <v>120.762452973051</v>
      </c>
      <c r="AN5219">
        <v>0.99999997331523205</v>
      </c>
    </row>
    <row r="5220" spans="1:40" x14ac:dyDescent="0.25">
      <c r="A5220" t="str">
        <f>"20190303154621784"</f>
        <v>20190303154621784</v>
      </c>
      <c r="B5220" t="str">
        <f>"1551599181776190"</f>
        <v>1551599181776190</v>
      </c>
      <c r="C5220" t="s">
        <v>40</v>
      </c>
      <c r="D5220">
        <v>5.130344</v>
      </c>
      <c r="E5220">
        <v>0.3813395</v>
      </c>
      <c r="F5220" t="s">
        <v>60</v>
      </c>
      <c r="G5220">
        <v>-406.6352</v>
      </c>
      <c r="H5220" s="1">
        <v>-3.8722120000000003E-6</v>
      </c>
      <c r="I5220">
        <v>24.579640000000001</v>
      </c>
      <c r="J5220">
        <v>-419.83879999999999</v>
      </c>
      <c r="K5220">
        <v>1.1261909999999999</v>
      </c>
      <c r="L5220">
        <v>29.032039999999999</v>
      </c>
      <c r="M5220">
        <v>0.38898090000000002</v>
      </c>
      <c r="N5220">
        <v>-1.433105E-2</v>
      </c>
      <c r="O5220">
        <v>-0.92113460000000003</v>
      </c>
      <c r="P5220">
        <v>0.80170739999999996</v>
      </c>
      <c r="Q5220">
        <v>-8.4182530000000005E-2</v>
      </c>
      <c r="R5220">
        <v>-0.59175919999999904</v>
      </c>
      <c r="S5220">
        <v>2.964569</v>
      </c>
      <c r="T5220">
        <v>-0.25140400000000002</v>
      </c>
      <c r="U5220">
        <v>-1.028778</v>
      </c>
      <c r="V5220">
        <v>-0.50743260000000001</v>
      </c>
      <c r="W5220">
        <v>-7.8099550000000004E-2</v>
      </c>
      <c r="X5220">
        <v>0.85814489999999999</v>
      </c>
      <c r="Y5220">
        <v>-0.73960199999999998</v>
      </c>
      <c r="Z5220">
        <v>7.6673820000000004E-2</v>
      </c>
      <c r="AA5220">
        <v>0.66866289999999995</v>
      </c>
      <c r="AB5220">
        <v>18</v>
      </c>
      <c r="AC5220">
        <v>13.2035999999999</v>
      </c>
      <c r="AD5220">
        <v>-1.1261948722120001</v>
      </c>
      <c r="AE5220">
        <v>-4.4523999999999999</v>
      </c>
      <c r="AF5220">
        <v>-10.363763270048899</v>
      </c>
      <c r="AG5220">
        <v>-1.1261948722120001</v>
      </c>
      <c r="AH5220">
        <v>9.1781991882428091</v>
      </c>
      <c r="AI5220">
        <v>94.650824283875295</v>
      </c>
      <c r="AJ5220">
        <v>138.471742640705</v>
      </c>
      <c r="AK5220">
        <v>13.8893932317748</v>
      </c>
      <c r="AL5220">
        <v>94.479336021219893</v>
      </c>
      <c r="AM5220">
        <v>120.596394816996</v>
      </c>
      <c r="AN5220">
        <v>1.0000000263244799</v>
      </c>
    </row>
    <row r="5221" spans="1:40" x14ac:dyDescent="0.25">
      <c r="A5221" t="str">
        <f>"20190303154621808"</f>
        <v>20190303154621808</v>
      </c>
      <c r="B5221" t="str">
        <f>"1551599181796686"</f>
        <v>1551599181796686</v>
      </c>
      <c r="C5221" t="s">
        <v>40</v>
      </c>
      <c r="D5221">
        <v>5.0891890000000002</v>
      </c>
      <c r="E5221">
        <v>0.38619809999999999</v>
      </c>
      <c r="F5221" t="s">
        <v>60</v>
      </c>
      <c r="G5221">
        <v>-406.63839999999999</v>
      </c>
      <c r="H5221" s="1">
        <v>-3.860282E-6</v>
      </c>
      <c r="I5221">
        <v>24.521809999999999</v>
      </c>
      <c r="J5221">
        <v>-419.75740000000002</v>
      </c>
      <c r="K5221">
        <v>1.126126</v>
      </c>
      <c r="L5221">
        <v>28.87115</v>
      </c>
      <c r="M5221">
        <v>0.39844410000000002</v>
      </c>
      <c r="N5221">
        <v>-1.4320680000000001E-2</v>
      </c>
      <c r="O5221">
        <v>-0.91708089999999998</v>
      </c>
      <c r="P5221">
        <v>0.80661919999999898</v>
      </c>
      <c r="Q5221">
        <v>-8.5338440000000002E-2</v>
      </c>
      <c r="R5221">
        <v>-0.58487869999999997</v>
      </c>
      <c r="S5221">
        <v>2.967133</v>
      </c>
      <c r="T5221">
        <v>-0.25314199999999998</v>
      </c>
      <c r="U5221">
        <v>-1.0137940000000001</v>
      </c>
      <c r="V5221">
        <v>-0.50582680000000002</v>
      </c>
      <c r="W5221">
        <v>-7.9155729999999994E-2</v>
      </c>
      <c r="X5221">
        <v>0.85899570000000003</v>
      </c>
      <c r="Y5221">
        <v>-0.73583310000000002</v>
      </c>
      <c r="Z5221">
        <v>7.735554E-2</v>
      </c>
      <c r="AA5221">
        <v>0.6727301</v>
      </c>
      <c r="AB5221">
        <v>18</v>
      </c>
      <c r="AC5221">
        <v>13.119</v>
      </c>
      <c r="AD5221">
        <v>-1.126129860282</v>
      </c>
      <c r="AE5221">
        <v>-4.34933999999999</v>
      </c>
      <c r="AF5221">
        <v>-10.2313473406103</v>
      </c>
      <c r="AG5221">
        <v>-1.126129860282</v>
      </c>
      <c r="AH5221">
        <v>9.1560444283826801</v>
      </c>
      <c r="AI5221">
        <v>94.688875571538304</v>
      </c>
      <c r="AJ5221">
        <v>138.17460229958701</v>
      </c>
      <c r="AK5221">
        <v>13.776131040352</v>
      </c>
      <c r="AL5221">
        <v>94.5400387446536</v>
      </c>
      <c r="AM5221">
        <v>120.492059652919</v>
      </c>
      <c r="AN5221">
        <v>0.99999999690428099</v>
      </c>
    </row>
    <row r="5222" spans="1:40" x14ac:dyDescent="0.25">
      <c r="A5222" t="str">
        <f>"20190303154621830"</f>
        <v>20190303154621830</v>
      </c>
      <c r="B5222" t="str">
        <f>"1551599181826942"</f>
        <v>1551599181826942</v>
      </c>
      <c r="C5222" t="s">
        <v>40</v>
      </c>
      <c r="D5222">
        <v>5.1344059999999896</v>
      </c>
      <c r="E5222">
        <v>0.39430789999999999</v>
      </c>
      <c r="F5222" t="s">
        <v>60</v>
      </c>
      <c r="G5222">
        <v>-407.3288</v>
      </c>
      <c r="H5222" s="1">
        <v>-3.523053E-6</v>
      </c>
      <c r="I5222">
        <v>24.579000000000001</v>
      </c>
      <c r="J5222">
        <v>-419.67360000000002</v>
      </c>
      <c r="K5222">
        <v>1.1260460000000001</v>
      </c>
      <c r="L5222">
        <v>28.709320000000002</v>
      </c>
      <c r="M5222">
        <v>0.4079062</v>
      </c>
      <c r="N5222">
        <v>-1.4308639999999999E-2</v>
      </c>
      <c r="O5222">
        <v>-0.91291180000000005</v>
      </c>
      <c r="P5222">
        <v>0.81162019999999901</v>
      </c>
      <c r="Q5222">
        <v>-8.5763569999999997E-2</v>
      </c>
      <c r="R5222">
        <v>-0.57785580000000003</v>
      </c>
      <c r="S5222">
        <v>2.9517820000000001</v>
      </c>
      <c r="T5222">
        <v>-0.26745370000000002</v>
      </c>
      <c r="U5222">
        <v>-1.019379</v>
      </c>
      <c r="V5222">
        <v>-0.50436749999999997</v>
      </c>
      <c r="W5222">
        <v>-7.9481220000000005E-2</v>
      </c>
      <c r="X5222">
        <v>0.85982329999999996</v>
      </c>
      <c r="Y5222">
        <v>-0.726163</v>
      </c>
      <c r="Z5222">
        <v>8.2466540000000005E-2</v>
      </c>
      <c r="AA5222">
        <v>0.68255880000000002</v>
      </c>
      <c r="AB5222">
        <v>18</v>
      </c>
      <c r="AC5222">
        <v>12.344799999999999</v>
      </c>
      <c r="AD5222">
        <v>-1.1260495230530001</v>
      </c>
      <c r="AE5222">
        <v>-4.1303200000000002</v>
      </c>
      <c r="AF5222">
        <v>-9.5147143343068006</v>
      </c>
      <c r="AG5222">
        <v>-1.1260495230530001</v>
      </c>
      <c r="AH5222">
        <v>8.7416273858949705</v>
      </c>
      <c r="AI5222">
        <v>94.980769095590503</v>
      </c>
      <c r="AJ5222">
        <v>137.42481062591099</v>
      </c>
      <c r="AK5222">
        <v>12.9697272810826</v>
      </c>
      <c r="AL5222">
        <v>94.558746999140496</v>
      </c>
      <c r="AM5222">
        <v>120.395645614866</v>
      </c>
      <c r="AN5222">
        <v>0.99999997330591395</v>
      </c>
    </row>
    <row r="5223" spans="1:40" x14ac:dyDescent="0.25">
      <c r="A5223" t="str">
        <f>"20190303154621854"</f>
        <v>20190303154621854</v>
      </c>
      <c r="B5223" t="str">
        <f>"1551599181846462"</f>
        <v>1551599181846462</v>
      </c>
      <c r="C5223" t="s">
        <v>40</v>
      </c>
      <c r="D5223">
        <v>5.0881509999999999</v>
      </c>
      <c r="E5223">
        <v>0.39034459999999999</v>
      </c>
      <c r="F5223" t="s">
        <v>60</v>
      </c>
      <c r="G5223">
        <v>-406.16320000000002</v>
      </c>
      <c r="H5223" s="1">
        <v>-3.9837160000000001E-6</v>
      </c>
      <c r="I5223">
        <v>23.87189</v>
      </c>
      <c r="J5223">
        <v>-419.58789999999999</v>
      </c>
      <c r="K5223">
        <v>1.1259729999999999</v>
      </c>
      <c r="L5223">
        <v>28.547879999999999</v>
      </c>
      <c r="M5223">
        <v>0.41727229999999998</v>
      </c>
      <c r="N5223">
        <v>-1.429513E-2</v>
      </c>
      <c r="O5223">
        <v>-0.90866930000000001</v>
      </c>
      <c r="P5223">
        <v>0.81632780000000005</v>
      </c>
      <c r="Q5223">
        <v>-8.662707E-2</v>
      </c>
      <c r="R5223">
        <v>-0.57105629999999996</v>
      </c>
      <c r="S5223">
        <v>2.9248959999999999</v>
      </c>
      <c r="T5223">
        <v>-0.24378250000000001</v>
      </c>
      <c r="U5223">
        <v>-1.047272</v>
      </c>
      <c r="V5223">
        <v>-0.50262989999999996</v>
      </c>
      <c r="W5223">
        <v>-8.0238669999999998E-2</v>
      </c>
      <c r="X5223">
        <v>0.86076989999999998</v>
      </c>
      <c r="Y5223">
        <v>-0.71188219999999902</v>
      </c>
      <c r="Z5223">
        <v>7.4347899999999995E-2</v>
      </c>
      <c r="AA5223">
        <v>0.69835249999999904</v>
      </c>
      <c r="AB5223">
        <v>18</v>
      </c>
      <c r="AC5223">
        <v>13.4246999999999</v>
      </c>
      <c r="AD5223">
        <v>-1.1259769837160001</v>
      </c>
      <c r="AE5223">
        <v>-4.6759899999999899</v>
      </c>
      <c r="AF5223">
        <v>-10.1846021557817</v>
      </c>
      <c r="AG5223">
        <v>-1.1259769837160001</v>
      </c>
      <c r="AH5223">
        <v>9.7902679605402607</v>
      </c>
      <c r="AI5223">
        <v>94.5570254654655</v>
      </c>
      <c r="AJ5223">
        <v>136.13095857612501</v>
      </c>
      <c r="AK5223">
        <v>14.1719191353392</v>
      </c>
      <c r="AL5223">
        <v>94.602284895681606</v>
      </c>
      <c r="AM5223">
        <v>120.281963973985</v>
      </c>
      <c r="AN5223">
        <v>0.99999994064169195</v>
      </c>
    </row>
    <row r="5224" spans="1:40" x14ac:dyDescent="0.25">
      <c r="A5224" t="str">
        <f>"20190303154621876"</f>
        <v>20190303154621876</v>
      </c>
      <c r="B5224" t="str">
        <f>"1551599181866958"</f>
        <v>1551599181866958</v>
      </c>
      <c r="C5224" t="s">
        <v>40</v>
      </c>
      <c r="D5224">
        <v>5.1523849999999998</v>
      </c>
      <c r="E5224">
        <v>0.39117059999999998</v>
      </c>
      <c r="F5224" t="s">
        <v>60</v>
      </c>
      <c r="G5224">
        <v>-407.65460000000002</v>
      </c>
      <c r="H5224" s="1">
        <v>-3.326428E-6</v>
      </c>
      <c r="I5224">
        <v>24.5181</v>
      </c>
      <c r="J5224">
        <v>-419.50420000000003</v>
      </c>
      <c r="K5224">
        <v>1.125901</v>
      </c>
      <c r="L5224">
        <v>28.393650000000001</v>
      </c>
      <c r="M5224">
        <v>0.42615059999999999</v>
      </c>
      <c r="N5224">
        <v>-1.428051E-2</v>
      </c>
      <c r="O5224">
        <v>-0.9045396</v>
      </c>
      <c r="P5224">
        <v>0.82102629999999999</v>
      </c>
      <c r="Q5224">
        <v>-8.6514179999999996E-2</v>
      </c>
      <c r="R5224">
        <v>-0.56429719999999906</v>
      </c>
      <c r="S5224">
        <v>2.9488829999999999</v>
      </c>
      <c r="T5224">
        <v>-0.27824559999999998</v>
      </c>
      <c r="U5224">
        <v>-0.99581909999999896</v>
      </c>
      <c r="V5224">
        <v>-0.50133279999999902</v>
      </c>
      <c r="W5224">
        <v>-8.0032069999999997E-2</v>
      </c>
      <c r="X5224">
        <v>0.86154529999999996</v>
      </c>
      <c r="Y5224">
        <v>-0.7166882</v>
      </c>
      <c r="Z5224">
        <v>8.6373069999999996E-2</v>
      </c>
      <c r="AA5224">
        <v>0.69202439999999998</v>
      </c>
      <c r="AB5224">
        <v>18</v>
      </c>
      <c r="AC5224">
        <v>11.849600000000001</v>
      </c>
      <c r="AD5224">
        <v>-1.125904326428</v>
      </c>
      <c r="AE5224">
        <v>-3.8755500000000001</v>
      </c>
      <c r="AF5224">
        <v>-8.9944327559592097</v>
      </c>
      <c r="AG5224">
        <v>-1.125904326428</v>
      </c>
      <c r="AH5224">
        <v>8.4869575394535701</v>
      </c>
      <c r="AI5224">
        <v>95.202169889407401</v>
      </c>
      <c r="AJ5224">
        <v>136.66279821907</v>
      </c>
      <c r="AK5224">
        <v>12.417565358403699</v>
      </c>
      <c r="AL5224">
        <v>94.590409093276705</v>
      </c>
      <c r="AM5224">
        <v>120.19510473717401</v>
      </c>
      <c r="AN5224">
        <v>1.0000000062682</v>
      </c>
    </row>
    <row r="5225" spans="1:40" x14ac:dyDescent="0.25">
      <c r="A5225" t="str">
        <f>"20190303154621899"</f>
        <v>20190303154621899</v>
      </c>
      <c r="B5225" t="str">
        <f>"1551599181896237"</f>
        <v>1551599181896237</v>
      </c>
      <c r="C5225" t="s">
        <v>40</v>
      </c>
      <c r="D5225">
        <v>5.1678980000000001</v>
      </c>
      <c r="E5225">
        <v>0.39130730000000002</v>
      </c>
      <c r="F5225" t="s">
        <v>60</v>
      </c>
      <c r="G5225">
        <v>-407.82549999999998</v>
      </c>
      <c r="H5225" s="1">
        <v>-3.2281079999999999E-6</v>
      </c>
      <c r="I5225">
        <v>24.530709999999999</v>
      </c>
      <c r="J5225">
        <v>-419.41840000000002</v>
      </c>
      <c r="K5225">
        <v>1.125848</v>
      </c>
      <c r="L5225">
        <v>28.23901</v>
      </c>
      <c r="M5225">
        <v>0.43498959999999998</v>
      </c>
      <c r="N5225">
        <v>-1.426498E-2</v>
      </c>
      <c r="O5225">
        <v>-0.90032259999999997</v>
      </c>
      <c r="P5225">
        <v>0.82603139999999997</v>
      </c>
      <c r="Q5225">
        <v>-8.6131360000000004E-2</v>
      </c>
      <c r="R5225">
        <v>-0.55700439999999996</v>
      </c>
      <c r="S5225">
        <v>2.9526979999999998</v>
      </c>
      <c r="T5225">
        <v>-0.2846591</v>
      </c>
      <c r="U5225">
        <v>-0.97665409999999997</v>
      </c>
      <c r="V5225">
        <v>-0.50057669999999999</v>
      </c>
      <c r="W5225">
        <v>-7.9574000000000006E-2</v>
      </c>
      <c r="X5225">
        <v>0.86202719999999899</v>
      </c>
      <c r="Y5225">
        <v>-0.7139875</v>
      </c>
      <c r="Z5225">
        <v>8.8646290000000003E-2</v>
      </c>
      <c r="AA5225">
        <v>0.69452409999999998</v>
      </c>
      <c r="AB5225">
        <v>18</v>
      </c>
      <c r="AC5225">
        <v>11.5929</v>
      </c>
      <c r="AD5225">
        <v>-1.125851228108</v>
      </c>
      <c r="AE5225">
        <v>-3.7082999999999902</v>
      </c>
      <c r="AF5225">
        <v>-8.7503074591044392</v>
      </c>
      <c r="AG5225">
        <v>-1.125851228108</v>
      </c>
      <c r="AH5225">
        <v>8.3111987477433598</v>
      </c>
      <c r="AI5225">
        <v>95.329694507738395</v>
      </c>
      <c r="AJ5225">
        <v>136.474285026556</v>
      </c>
      <c r="AK5225">
        <v>12.120703207371299</v>
      </c>
      <c r="AL5225">
        <v>94.564079790201802</v>
      </c>
      <c r="AM5225">
        <v>120.14361127545099</v>
      </c>
      <c r="AN5225">
        <v>0.99999997379936401</v>
      </c>
    </row>
    <row r="5226" spans="1:40" x14ac:dyDescent="0.25">
      <c r="A5226" t="str">
        <f>"20190303154621920"</f>
        <v>20190303154621920</v>
      </c>
      <c r="B5226" t="str">
        <f>"1551599181916734"</f>
        <v>1551599181916734</v>
      </c>
      <c r="C5226" t="s">
        <v>40</v>
      </c>
      <c r="D5226">
        <v>5.1911269999999998</v>
      </c>
      <c r="E5226">
        <v>0.39228600000000002</v>
      </c>
      <c r="F5226" t="s">
        <v>60</v>
      </c>
      <c r="G5226">
        <v>-408.06459999999998</v>
      </c>
      <c r="H5226" s="1">
        <v>-3.1000439999999999E-6</v>
      </c>
      <c r="I5226">
        <v>24.591339999999999</v>
      </c>
      <c r="J5226">
        <v>-419.33440000000002</v>
      </c>
      <c r="K5226">
        <v>1.125796</v>
      </c>
      <c r="L5226">
        <v>28.09085</v>
      </c>
      <c r="M5226">
        <v>0.44342160000000003</v>
      </c>
      <c r="N5226">
        <v>-1.425092E-2</v>
      </c>
      <c r="O5226">
        <v>-0.8962</v>
      </c>
      <c r="P5226">
        <v>0.8308972</v>
      </c>
      <c r="Q5226">
        <v>-8.5755579999999998E-2</v>
      </c>
      <c r="R5226">
        <v>-0.54977830000000005</v>
      </c>
      <c r="S5226">
        <v>2.9599609999999998</v>
      </c>
      <c r="T5226">
        <v>-0.29351250000000001</v>
      </c>
      <c r="U5226">
        <v>-0.95095830000000003</v>
      </c>
      <c r="V5226">
        <v>-0.50005250000000001</v>
      </c>
      <c r="W5226">
        <v>-7.9143710000000006E-2</v>
      </c>
      <c r="X5226">
        <v>0.862370999999999</v>
      </c>
      <c r="Y5226">
        <v>-0.71310960000000001</v>
      </c>
      <c r="Z5226">
        <v>9.1770950000000004E-2</v>
      </c>
      <c r="AA5226">
        <v>0.69502010000000003</v>
      </c>
      <c r="AB5226">
        <v>18</v>
      </c>
      <c r="AC5226">
        <v>11.2698</v>
      </c>
      <c r="AD5226">
        <v>-1.125799100044</v>
      </c>
      <c r="AE5226">
        <v>-3.4995099999999999</v>
      </c>
      <c r="AF5226">
        <v>-8.4719960089354007</v>
      </c>
      <c r="AG5226">
        <v>-1.125799100044</v>
      </c>
      <c r="AH5226">
        <v>8.06099185381062</v>
      </c>
      <c r="AI5226">
        <v>95.498911347783704</v>
      </c>
      <c r="AJ5226">
        <v>136.42405924306499</v>
      </c>
      <c r="AK5226">
        <v>11.7482649636564</v>
      </c>
      <c r="AL5226">
        <v>94.539347933319505</v>
      </c>
      <c r="AM5226">
        <v>120.107633673926</v>
      </c>
      <c r="AN5226">
        <v>0.99999998561490699</v>
      </c>
    </row>
    <row r="5227" spans="1:40" x14ac:dyDescent="0.25">
      <c r="A5227" t="str">
        <f>"20190303154621943"</f>
        <v>20190303154621943</v>
      </c>
      <c r="B5227" t="str">
        <f>"1551599181936254"</f>
        <v>1551599181936254</v>
      </c>
      <c r="C5227" t="s">
        <v>40</v>
      </c>
      <c r="D5227">
        <v>5.1325849999999997</v>
      </c>
      <c r="E5227">
        <v>0.39332479999999997</v>
      </c>
      <c r="F5227" t="s">
        <v>60</v>
      </c>
      <c r="G5227">
        <v>-407.61709999999999</v>
      </c>
      <c r="H5227" s="1">
        <v>-3.3240179999999999E-6</v>
      </c>
      <c r="I5227">
        <v>24.407340000000001</v>
      </c>
      <c r="J5227">
        <v>-419.24599999999998</v>
      </c>
      <c r="K5227">
        <v>1.1257539999999999</v>
      </c>
      <c r="L5227">
        <v>27.938140000000001</v>
      </c>
      <c r="M5227">
        <v>0.45208809999999999</v>
      </c>
      <c r="N5227">
        <v>-1.423864E-2</v>
      </c>
      <c r="O5227">
        <v>-0.89185959999999997</v>
      </c>
      <c r="P5227">
        <v>0.83555900000000005</v>
      </c>
      <c r="Q5227">
        <v>-8.7214459999999994E-2</v>
      </c>
      <c r="R5227">
        <v>-0.54243409999999903</v>
      </c>
      <c r="S5227">
        <v>2.9645389999999998</v>
      </c>
      <c r="T5227">
        <v>-0.28483219999999998</v>
      </c>
      <c r="U5227">
        <v>-0.93194580000000005</v>
      </c>
      <c r="V5227">
        <v>-0.49914920000000002</v>
      </c>
      <c r="W5227">
        <v>-8.0560300000000001E-2</v>
      </c>
      <c r="X5227">
        <v>0.86276309999999901</v>
      </c>
      <c r="Y5227">
        <v>-0.71098380000000005</v>
      </c>
      <c r="Z5227">
        <v>8.8792949999999995E-2</v>
      </c>
      <c r="AA5227">
        <v>0.69757999999999998</v>
      </c>
      <c r="AB5227">
        <v>18</v>
      </c>
      <c r="AC5227">
        <v>11.6288999999999</v>
      </c>
      <c r="AD5227">
        <v>-1.1257573240180001</v>
      </c>
      <c r="AE5227">
        <v>-3.5308000000000002</v>
      </c>
      <c r="AF5227">
        <v>-8.7013410570583094</v>
      </c>
      <c r="AG5227">
        <v>-1.1257573240180001</v>
      </c>
      <c r="AH5227">
        <v>8.3355937073018698</v>
      </c>
      <c r="AI5227">
        <v>95.337428620216102</v>
      </c>
      <c r="AJ5227">
        <v>136.22983162080601</v>
      </c>
      <c r="AK5227">
        <v>12.1021811338716</v>
      </c>
      <c r="AL5227">
        <v>94.6207723924107</v>
      </c>
      <c r="AM5227">
        <v>120.051408860831</v>
      </c>
      <c r="AN5227">
        <v>1.00000002625916</v>
      </c>
    </row>
    <row r="5228" spans="1:40" x14ac:dyDescent="0.25">
      <c r="A5228" t="str">
        <f>"20190303154621975"</f>
        <v>20190303154621975</v>
      </c>
      <c r="B5228" t="str">
        <f>"1551599181966509"</f>
        <v>1551599181966509</v>
      </c>
      <c r="C5228" t="s">
        <v>40</v>
      </c>
      <c r="D5228">
        <v>5.1193489999999997</v>
      </c>
      <c r="E5228">
        <v>0.39495200000000003</v>
      </c>
      <c r="F5228" t="s">
        <v>60</v>
      </c>
      <c r="G5228">
        <v>-407.56619999999998</v>
      </c>
      <c r="H5228" s="1">
        <v>-3.3405719999999999E-6</v>
      </c>
      <c r="I5228">
        <v>24.34628</v>
      </c>
      <c r="J5228">
        <v>-419.11489999999998</v>
      </c>
      <c r="K5228">
        <v>1.125726</v>
      </c>
      <c r="L5228">
        <v>27.71808</v>
      </c>
      <c r="M5228">
        <v>0.4645669</v>
      </c>
      <c r="N5228">
        <v>-1.422472E-2</v>
      </c>
      <c r="O5228">
        <v>-0.88542389999999904</v>
      </c>
      <c r="P5228">
        <v>0.84103939999999999</v>
      </c>
      <c r="Q5228">
        <v>-9.0551350000000003E-2</v>
      </c>
      <c r="R5228">
        <v>-0.53334150000000002</v>
      </c>
      <c r="S5228">
        <v>2.9680179999999998</v>
      </c>
      <c r="T5228">
        <v>-0.28607310000000002</v>
      </c>
      <c r="U5228">
        <v>-0.91275019999999996</v>
      </c>
      <c r="V5228">
        <v>-0.49604480000000001</v>
      </c>
      <c r="W5228">
        <v>-8.3832950000000003E-2</v>
      </c>
      <c r="X5228">
        <v>0.86424049999999997</v>
      </c>
      <c r="Y5228">
        <v>-0.70544309999999999</v>
      </c>
      <c r="Z5228">
        <v>8.9134930000000001E-2</v>
      </c>
      <c r="AA5228">
        <v>0.70313939999999997</v>
      </c>
      <c r="AB5228">
        <v>18</v>
      </c>
      <c r="AC5228">
        <v>11.548699999999901</v>
      </c>
      <c r="AD5228">
        <v>-1.1257293405719999</v>
      </c>
      <c r="AE5228">
        <v>-3.3717999999999999</v>
      </c>
      <c r="AF5228">
        <v>-8.5847805121236398</v>
      </c>
      <c r="AG5228">
        <v>-1.1257293405719999</v>
      </c>
      <c r="AH5228">
        <v>8.2789745267491792</v>
      </c>
      <c r="AI5228">
        <v>95.392139584146193</v>
      </c>
      <c r="AJ5228">
        <v>136.03888321892401</v>
      </c>
      <c r="AK5228">
        <v>11.979446656842001</v>
      </c>
      <c r="AL5228">
        <v>94.808918175274897</v>
      </c>
      <c r="AM5228">
        <v>119.854365470502</v>
      </c>
      <c r="AN5228">
        <v>1.0000000244764899</v>
      </c>
    </row>
    <row r="5229" spans="1:40" x14ac:dyDescent="0.25">
      <c r="A5229" t="str">
        <f>"20190303154621998"</f>
        <v>20190303154621998</v>
      </c>
      <c r="B5229" t="str">
        <f>"1551599181987006"</f>
        <v>1551599181987006</v>
      </c>
      <c r="C5229" t="s">
        <v>40</v>
      </c>
      <c r="D5229">
        <v>5.139907</v>
      </c>
      <c r="E5229">
        <v>0.40244370000000002</v>
      </c>
      <c r="F5229" t="s">
        <v>60</v>
      </c>
      <c r="G5229">
        <v>-407.62849999999997</v>
      </c>
      <c r="H5229" s="1">
        <v>-3.2867479999999999E-6</v>
      </c>
      <c r="I5229">
        <v>24.270160000000001</v>
      </c>
      <c r="J5229">
        <v>-419.02010000000001</v>
      </c>
      <c r="K5229">
        <v>1.1257280000000001</v>
      </c>
      <c r="L5229">
        <v>27.56296</v>
      </c>
      <c r="M5229">
        <v>0.47337050000000003</v>
      </c>
      <c r="N5229">
        <v>-1.421657E-2</v>
      </c>
      <c r="O5229">
        <v>-0.8807488</v>
      </c>
      <c r="P5229">
        <v>0.8453174</v>
      </c>
      <c r="Q5229">
        <v>-9.1861129999999999E-2</v>
      </c>
      <c r="R5229">
        <v>-0.52630840000000001</v>
      </c>
      <c r="S5229">
        <v>2.9702760000000001</v>
      </c>
      <c r="T5229">
        <v>-0.29110409999999998</v>
      </c>
      <c r="U5229">
        <v>-0.89160159999999999</v>
      </c>
      <c r="V5229">
        <v>-0.49450060000000001</v>
      </c>
      <c r="W5229">
        <v>-8.5119920000000002E-2</v>
      </c>
      <c r="X5229">
        <v>0.86499930000000003</v>
      </c>
      <c r="Y5229">
        <v>-0.7029647</v>
      </c>
      <c r="Z5229">
        <v>9.0919929999999996E-2</v>
      </c>
      <c r="AA5229">
        <v>0.7053895</v>
      </c>
      <c r="AB5229">
        <v>18</v>
      </c>
      <c r="AC5229">
        <v>11.3916</v>
      </c>
      <c r="AD5229">
        <v>-1.1257312867479901</v>
      </c>
      <c r="AE5229">
        <v>-3.29279999999999</v>
      </c>
      <c r="AF5229">
        <v>-8.3995773590757299</v>
      </c>
      <c r="AG5229">
        <v>-1.1257312867479901</v>
      </c>
      <c r="AH5229">
        <v>8.2193368209461006</v>
      </c>
      <c r="AI5229">
        <v>95.471685190669007</v>
      </c>
      <c r="AJ5229">
        <v>135.621377374198</v>
      </c>
      <c r="AK5229">
        <v>11.805831970565199</v>
      </c>
      <c r="AL5229">
        <v>94.882920690178594</v>
      </c>
      <c r="AM5229">
        <v>119.755630054017</v>
      </c>
      <c r="AN5229">
        <v>1.0000000165908201</v>
      </c>
    </row>
    <row r="5230" spans="1:40" x14ac:dyDescent="0.25">
      <c r="A5230" t="str">
        <f>"20190303154622021"</f>
        <v>20190303154622021</v>
      </c>
      <c r="B5230" t="str">
        <f>"1551599182016285"</f>
        <v>1551599182016285</v>
      </c>
      <c r="C5230" t="s">
        <v>40</v>
      </c>
      <c r="D5230">
        <v>5.0938790000000003</v>
      </c>
      <c r="E5230">
        <v>0.40249089999999998</v>
      </c>
      <c r="F5230" t="s">
        <v>60</v>
      </c>
      <c r="G5230">
        <v>-407.91950000000003</v>
      </c>
      <c r="H5230" s="1">
        <v>-3.0778489999999999E-6</v>
      </c>
      <c r="I5230">
        <v>24.10519</v>
      </c>
      <c r="J5230">
        <v>-418.92680000000001</v>
      </c>
      <c r="K5230">
        <v>1.12574</v>
      </c>
      <c r="L5230">
        <v>27.413599999999999</v>
      </c>
      <c r="M5230">
        <v>0.48186760000000001</v>
      </c>
      <c r="N5230">
        <v>-1.4209930000000001E-2</v>
      </c>
      <c r="O5230">
        <v>-0.87612889999999999</v>
      </c>
      <c r="P5230">
        <v>0.85011859999999995</v>
      </c>
      <c r="Q5230">
        <v>-9.0065279999999998E-2</v>
      </c>
      <c r="R5230">
        <v>-0.51883210000000002</v>
      </c>
      <c r="S5230">
        <v>2.9453130000000001</v>
      </c>
      <c r="T5230">
        <v>-0.29869020000000002</v>
      </c>
      <c r="U5230">
        <v>-0.91744999999999999</v>
      </c>
      <c r="V5230">
        <v>-0.4939518</v>
      </c>
      <c r="W5230">
        <v>-8.3318429999999999E-2</v>
      </c>
      <c r="X5230">
        <v>0.86548809999999998</v>
      </c>
      <c r="Y5230">
        <v>-0.68841479999999999</v>
      </c>
      <c r="Z5230">
        <v>9.3450459999999999E-2</v>
      </c>
      <c r="AA5230">
        <v>0.71927200000000002</v>
      </c>
      <c r="AB5230">
        <v>18</v>
      </c>
      <c r="AC5230">
        <v>11.007299999999899</v>
      </c>
      <c r="AD5230">
        <v>-1.1257430778489901</v>
      </c>
      <c r="AE5230">
        <v>-3.3084099999999901</v>
      </c>
      <c r="AF5230">
        <v>-7.9739163226805996</v>
      </c>
      <c r="AG5230">
        <v>-1.1257430778489901</v>
      </c>
      <c r="AH5230">
        <v>8.1255340869890507</v>
      </c>
      <c r="AI5230">
        <v>95.647250660922197</v>
      </c>
      <c r="AJ5230">
        <v>134.46042871239101</v>
      </c>
      <c r="AK5230">
        <v>11.4400587060232</v>
      </c>
      <c r="AL5230">
        <v>94.779334986561395</v>
      </c>
      <c r="AM5230">
        <v>119.714288745047</v>
      </c>
      <c r="AN5230">
        <v>0.99999999637125703</v>
      </c>
    </row>
    <row r="5231" spans="1:40" x14ac:dyDescent="0.25">
      <c r="A5231" t="str">
        <f>"20190303154622054"</f>
        <v>20190303154622054</v>
      </c>
      <c r="B5231" t="str">
        <f>"1551599182046542"</f>
        <v>1551599182046542</v>
      </c>
      <c r="C5231" t="s">
        <v>40</v>
      </c>
      <c r="D5231">
        <v>5.137804</v>
      </c>
      <c r="E5231">
        <v>0.40508060000000001</v>
      </c>
      <c r="F5231" t="s">
        <v>60</v>
      </c>
      <c r="G5231">
        <v>-407.4332</v>
      </c>
      <c r="H5231" s="1">
        <v>-3.3296919999999998E-6</v>
      </c>
      <c r="I5231">
        <v>23.943190000000001</v>
      </c>
      <c r="J5231">
        <v>-418.7869</v>
      </c>
      <c r="K5231">
        <v>1.125759</v>
      </c>
      <c r="L5231">
        <v>27.19604</v>
      </c>
      <c r="M5231">
        <v>0.49431829999999999</v>
      </c>
      <c r="N5231">
        <v>-1.420305E-2</v>
      </c>
      <c r="O5231">
        <v>-0.86916489999999902</v>
      </c>
      <c r="P5231">
        <v>0.85656900000000002</v>
      </c>
      <c r="Q5231">
        <v>-8.6464869999999999E-2</v>
      </c>
      <c r="R5231">
        <v>-0.50873690000000005</v>
      </c>
      <c r="S5231">
        <v>2.9538880000000001</v>
      </c>
      <c r="T5231">
        <v>-0.2893193</v>
      </c>
      <c r="U5231">
        <v>-0.89190669999999905</v>
      </c>
      <c r="V5231">
        <v>-0.49220829999999999</v>
      </c>
      <c r="W5231">
        <v>-7.9691150000000002E-2</v>
      </c>
      <c r="X5231">
        <v>0.86682199999999998</v>
      </c>
      <c r="Y5231">
        <v>-0.68470949999999997</v>
      </c>
      <c r="Z5231">
        <v>9.0042490000000003E-2</v>
      </c>
      <c r="AA5231">
        <v>0.72323249999999994</v>
      </c>
      <c r="AB5231">
        <v>18</v>
      </c>
      <c r="AC5231">
        <v>11.3537</v>
      </c>
      <c r="AD5231">
        <v>-1.1257623296920001</v>
      </c>
      <c r="AE5231">
        <v>-3.25285</v>
      </c>
      <c r="AF5231">
        <v>-8.1867455615719695</v>
      </c>
      <c r="AG5231">
        <v>-1.1257623296920001</v>
      </c>
      <c r="AH5231">
        <v>8.3644594869578093</v>
      </c>
      <c r="AI5231">
        <v>95.494089520210096</v>
      </c>
      <c r="AJ5231">
        <v>134.38482626579</v>
      </c>
      <c r="AK5231">
        <v>11.758159984531099</v>
      </c>
      <c r="AL5231">
        <v>94.570813095350303</v>
      </c>
      <c r="AM5231">
        <v>119.589248311212</v>
      </c>
      <c r="AN5231">
        <v>1.0000000348306</v>
      </c>
    </row>
    <row r="5232" spans="1:40" x14ac:dyDescent="0.25">
      <c r="A5232" t="str">
        <f>"20190303154622077"</f>
        <v>20190303154622077</v>
      </c>
      <c r="B5232" t="str">
        <f>"1551599182067037"</f>
        <v>1551599182067037</v>
      </c>
      <c r="C5232" t="s">
        <v>40</v>
      </c>
      <c r="D5232">
        <v>5.283728</v>
      </c>
      <c r="E5232">
        <v>0.4282784</v>
      </c>
      <c r="F5232" t="s">
        <v>60</v>
      </c>
      <c r="G5232">
        <v>-405.37299999999999</v>
      </c>
      <c r="H5232" s="1">
        <v>-4.2659589999999998E-6</v>
      </c>
      <c r="I5232">
        <v>23.223680000000002</v>
      </c>
      <c r="J5232">
        <v>-418.68799999999999</v>
      </c>
      <c r="K5232">
        <v>1.125761</v>
      </c>
      <c r="L5232">
        <v>27.04626</v>
      </c>
      <c r="M5232">
        <v>0.50293559999999904</v>
      </c>
      <c r="N5232">
        <v>-1.41999E-2</v>
      </c>
      <c r="O5232">
        <v>-0.86420739999999996</v>
      </c>
      <c r="P5232">
        <v>0.86042949999999996</v>
      </c>
      <c r="Q5232">
        <v>-8.6624030000000005E-2</v>
      </c>
      <c r="R5232">
        <v>-0.50215259999999995</v>
      </c>
      <c r="S5232">
        <v>2.9571529999999999</v>
      </c>
      <c r="T5232">
        <v>-0.24818119999999999</v>
      </c>
      <c r="U5232">
        <v>-0.87573239999999997</v>
      </c>
      <c r="V5232">
        <v>-0.49022250000000001</v>
      </c>
      <c r="W5232">
        <v>-7.9821139999999999E-2</v>
      </c>
      <c r="X5232">
        <v>0.8679346</v>
      </c>
      <c r="Y5232">
        <v>-0.68260410000000005</v>
      </c>
      <c r="Z5232">
        <v>7.5900830000000002E-2</v>
      </c>
      <c r="AA5232">
        <v>0.72683609999999998</v>
      </c>
      <c r="AB5232">
        <v>18</v>
      </c>
      <c r="AC5232">
        <v>13.3149999999999</v>
      </c>
      <c r="AD5232">
        <v>-1.1257652659590001</v>
      </c>
      <c r="AE5232">
        <v>-3.8225799999999901</v>
      </c>
      <c r="AF5232">
        <v>-9.52248699046803</v>
      </c>
      <c r="AG5232">
        <v>-1.1257652659590001</v>
      </c>
      <c r="AH5232">
        <v>9.9354808396611798</v>
      </c>
      <c r="AI5232">
        <v>94.676535868394296</v>
      </c>
      <c r="AJ5232">
        <v>133.78408411674599</v>
      </c>
      <c r="AK5232">
        <v>13.807928354135701</v>
      </c>
      <c r="AL5232">
        <v>94.578284972248994</v>
      </c>
      <c r="AM5232">
        <v>119.458413776745</v>
      </c>
      <c r="AN5232">
        <v>0.99999999188715405</v>
      </c>
    </row>
    <row r="5233" spans="1:40" x14ac:dyDescent="0.25">
      <c r="A5233" t="str">
        <f>"20190303154622100"</f>
        <v>20190303154622100</v>
      </c>
      <c r="B5233" t="str">
        <f>"1551599182096318"</f>
        <v>1551599182096318</v>
      </c>
      <c r="C5233" t="s">
        <v>40</v>
      </c>
      <c r="D5233">
        <v>5.265428</v>
      </c>
      <c r="E5233">
        <v>0.43601519999999999</v>
      </c>
      <c r="F5233" t="s">
        <v>60</v>
      </c>
      <c r="G5233">
        <v>-406.28559999999999</v>
      </c>
      <c r="H5233" s="1">
        <v>-3.7082209999999999E-6</v>
      </c>
      <c r="I5233">
        <v>22.670359999999999</v>
      </c>
      <c r="J5233">
        <v>-418.58890000000002</v>
      </c>
      <c r="K5233">
        <v>1.1257539999999999</v>
      </c>
      <c r="L5233">
        <v>26.898959999999999</v>
      </c>
      <c r="M5233">
        <v>0.51144590000000001</v>
      </c>
      <c r="N5233">
        <v>-1.419802E-2</v>
      </c>
      <c r="O5233">
        <v>-0.85919840000000003</v>
      </c>
      <c r="P5233">
        <v>0.86389550000000004</v>
      </c>
      <c r="Q5233">
        <v>-8.8129520000000003E-2</v>
      </c>
      <c r="R5233">
        <v>-0.49590089999999998</v>
      </c>
      <c r="S5233">
        <v>2.8695369999999998</v>
      </c>
      <c r="T5233">
        <v>-0.26046780000000003</v>
      </c>
      <c r="U5233">
        <v>-1.012451</v>
      </c>
      <c r="V5233">
        <v>-0.4877959</v>
      </c>
      <c r="W5233">
        <v>-8.129343E-2</v>
      </c>
      <c r="X5233">
        <v>0.8691643</v>
      </c>
      <c r="Y5233">
        <v>-0.63656659999999998</v>
      </c>
      <c r="Z5233">
        <v>7.9501840000000004E-2</v>
      </c>
      <c r="AA5233">
        <v>0.76711309999999999</v>
      </c>
      <c r="AB5233">
        <v>18</v>
      </c>
      <c r="AC5233">
        <v>12.3033</v>
      </c>
      <c r="AD5233">
        <v>-1.125757708221</v>
      </c>
      <c r="AE5233">
        <v>-4.2285999999999904</v>
      </c>
      <c r="AF5233">
        <v>-8.3466235288286708</v>
      </c>
      <c r="AG5233">
        <v>-1.125757708221</v>
      </c>
      <c r="AH5233">
        <v>9.8529006248167796</v>
      </c>
      <c r="AI5233">
        <v>94.982456116858998</v>
      </c>
      <c r="AJ5233">
        <v>130.268718743649</v>
      </c>
      <c r="AK5233">
        <v>12.9619869415198</v>
      </c>
      <c r="AL5233">
        <v>94.662915900028906</v>
      </c>
      <c r="AM5233">
        <v>119.302187890231</v>
      </c>
      <c r="AN5233">
        <v>1.0000000211062301</v>
      </c>
    </row>
    <row r="5234" spans="1:40" x14ac:dyDescent="0.25">
      <c r="A5234" t="str">
        <f>"20190303154622122"</f>
        <v>20190303154622122</v>
      </c>
      <c r="B5234" t="str">
        <f>"1551599182116814"</f>
        <v>1551599182116814</v>
      </c>
      <c r="C5234" t="s">
        <v>40</v>
      </c>
      <c r="D5234">
        <v>5.2856019999999999</v>
      </c>
      <c r="E5234">
        <v>0.4377373</v>
      </c>
      <c r="F5234" t="s">
        <v>42</v>
      </c>
      <c r="G5234">
        <v>-417.73340000000002</v>
      </c>
      <c r="H5234">
        <v>1.045391</v>
      </c>
      <c r="I5234">
        <v>26.584820000000001</v>
      </c>
      <c r="J5234">
        <v>-418.49220000000003</v>
      </c>
      <c r="K5234">
        <v>1.125759</v>
      </c>
      <c r="L5234">
        <v>26.758610000000001</v>
      </c>
      <c r="M5234">
        <v>0.51960580000000001</v>
      </c>
      <c r="N5234">
        <v>-1.4197420000000001E-2</v>
      </c>
      <c r="O5234">
        <v>-0.85428850000000001</v>
      </c>
      <c r="P5234">
        <v>0.86696640000000003</v>
      </c>
      <c r="Q5234">
        <v>-8.9270269999999999E-2</v>
      </c>
      <c r="R5234">
        <v>-0.49030669999999998</v>
      </c>
      <c r="S5234">
        <v>2.84552</v>
      </c>
      <c r="T5234">
        <v>-0.26730999999999999</v>
      </c>
      <c r="U5234">
        <v>-1.0450440000000001</v>
      </c>
      <c r="V5234">
        <v>-0.48502269999999997</v>
      </c>
      <c r="W5234">
        <v>-8.2399829999999993E-2</v>
      </c>
      <c r="X5234">
        <v>0.87061089999999997</v>
      </c>
      <c r="Y5234">
        <v>-0.61910299999999996</v>
      </c>
      <c r="Z5234">
        <v>8.1443589999999996E-2</v>
      </c>
      <c r="AA5234">
        <v>0.78107519999999997</v>
      </c>
      <c r="AB5234">
        <v>18</v>
      </c>
      <c r="AC5234">
        <v>0.75880000000000702</v>
      </c>
      <c r="AD5234">
        <v>-8.0367999999999995E-2</v>
      </c>
      <c r="AE5234">
        <v>-0.173789999999996</v>
      </c>
      <c r="AF5234">
        <v>-0.552103145179351</v>
      </c>
      <c r="AG5234">
        <v>-8.0367999999999995E-2</v>
      </c>
      <c r="AH5234">
        <v>0.53707367232956005</v>
      </c>
      <c r="AI5234">
        <v>95.956790952529303</v>
      </c>
      <c r="AJ5234">
        <v>135.79057018038901</v>
      </c>
      <c r="AK5234">
        <v>0.77441915514176896</v>
      </c>
      <c r="AL5234">
        <v>94.726521237953705</v>
      </c>
      <c r="AM5234">
        <v>119.122449171447</v>
      </c>
      <c r="AN5234">
        <v>1.0000000453490601</v>
      </c>
    </row>
    <row r="5235" spans="1:40" x14ac:dyDescent="0.25">
      <c r="A5235" t="str">
        <f>"20190303154622143"</f>
        <v>20190303154622143</v>
      </c>
      <c r="B5235" t="str">
        <f>"1551599182136334"</f>
        <v>1551599182136334</v>
      </c>
      <c r="C5235" t="s">
        <v>40</v>
      </c>
      <c r="D5235">
        <v>5.3142740000000002</v>
      </c>
      <c r="E5235">
        <v>0.43853039999999999</v>
      </c>
      <c r="F5235" t="s">
        <v>60</v>
      </c>
      <c r="G5235">
        <v>-407.0324</v>
      </c>
      <c r="H5235" s="1">
        <v>-3.2628400000000002E-6</v>
      </c>
      <c r="I5235">
        <v>22.57582</v>
      </c>
      <c r="J5235">
        <v>-418.39670000000001</v>
      </c>
      <c r="K5235">
        <v>1.125772</v>
      </c>
      <c r="L5235">
        <v>26.622959999999999</v>
      </c>
      <c r="M5235">
        <v>0.52755109999999905</v>
      </c>
      <c r="N5235">
        <v>-1.419843E-2</v>
      </c>
      <c r="O5235">
        <v>-0.84940499999999997</v>
      </c>
      <c r="P5235">
        <v>0.86975999999999998</v>
      </c>
      <c r="Q5235">
        <v>-8.9153709999999997E-2</v>
      </c>
      <c r="R5235">
        <v>-0.48535529999999999</v>
      </c>
      <c r="S5235">
        <v>2.8444210000000001</v>
      </c>
      <c r="T5235">
        <v>-0.27942489999999998</v>
      </c>
      <c r="U5235">
        <v>-1.038208</v>
      </c>
      <c r="V5235">
        <v>-0.48187540000000001</v>
      </c>
      <c r="W5235">
        <v>-8.2246260000000002E-2</v>
      </c>
      <c r="X5235">
        <v>0.87237129999999996</v>
      </c>
      <c r="Y5235">
        <v>-0.61297869999999999</v>
      </c>
      <c r="Z5235">
        <v>8.5321170000000002E-2</v>
      </c>
      <c r="AA5235">
        <v>0.78547909999999999</v>
      </c>
      <c r="AB5235">
        <v>18</v>
      </c>
      <c r="AC5235">
        <v>11.3643</v>
      </c>
      <c r="AD5235">
        <v>-1.12577526284</v>
      </c>
      <c r="AE5235">
        <v>-4.04713999999999</v>
      </c>
      <c r="AF5235">
        <v>-7.45366283539561</v>
      </c>
      <c r="AG5235">
        <v>-1.12577526284</v>
      </c>
      <c r="AH5235">
        <v>9.3524092500543201</v>
      </c>
      <c r="AI5235">
        <v>95.377630998404896</v>
      </c>
      <c r="AJ5235">
        <v>128.55406861811201</v>
      </c>
      <c r="AK5235">
        <v>12.012161270424301</v>
      </c>
      <c r="AL5235">
        <v>94.717692492887494</v>
      </c>
      <c r="AM5235">
        <v>118.915127960413</v>
      </c>
      <c r="AN5235">
        <v>1.00000001673641</v>
      </c>
    </row>
    <row r="5236" spans="1:40" x14ac:dyDescent="0.25">
      <c r="A5236" t="str">
        <f>"20190303154622166"</f>
        <v>20190303154622166</v>
      </c>
      <c r="B5236" t="str">
        <f>"1551599182156836"</f>
        <v>1551599182156836</v>
      </c>
      <c r="C5236" t="s">
        <v>40</v>
      </c>
      <c r="D5236">
        <v>5.2447400000000002</v>
      </c>
      <c r="E5236">
        <v>0.43876670000000001</v>
      </c>
      <c r="F5236" t="s">
        <v>60</v>
      </c>
      <c r="G5236">
        <v>-406.97719999999998</v>
      </c>
      <c r="H5236" s="1">
        <v>-3.27908E-6</v>
      </c>
      <c r="I5236">
        <v>22.50189</v>
      </c>
      <c r="J5236">
        <v>-418.29329999999999</v>
      </c>
      <c r="K5236">
        <v>1.125794</v>
      </c>
      <c r="L5236">
        <v>26.479099999999999</v>
      </c>
      <c r="M5236">
        <v>0.5360298</v>
      </c>
      <c r="N5236">
        <v>-1.4200849999999999E-2</v>
      </c>
      <c r="O5236">
        <v>-0.84407969999999899</v>
      </c>
      <c r="P5236">
        <v>0.87282579999999998</v>
      </c>
      <c r="Q5236">
        <v>-8.9349769999999995E-2</v>
      </c>
      <c r="R5236">
        <v>-0.47978300000000002</v>
      </c>
      <c r="S5236">
        <v>2.8471069999999998</v>
      </c>
      <c r="T5236">
        <v>-0.280678599999999</v>
      </c>
      <c r="U5236">
        <v>-1.027466</v>
      </c>
      <c r="V5236">
        <v>-0.47869659999999897</v>
      </c>
      <c r="W5236">
        <v>-8.2406939999999998E-2</v>
      </c>
      <c r="X5236">
        <v>0.87410449999999995</v>
      </c>
      <c r="Y5236">
        <v>-0.60790979999999994</v>
      </c>
      <c r="Z5236">
        <v>8.5468290000000002E-2</v>
      </c>
      <c r="AA5236">
        <v>0.78939269999999995</v>
      </c>
      <c r="AB5236">
        <v>18</v>
      </c>
      <c r="AC5236">
        <v>11.3161</v>
      </c>
      <c r="AD5236">
        <v>-1.1257972790799999</v>
      </c>
      <c r="AE5236">
        <v>-3.9772099999999999</v>
      </c>
      <c r="AF5236">
        <v>-7.3557357754061803</v>
      </c>
      <c r="AG5236">
        <v>-1.1257972790799999</v>
      </c>
      <c r="AH5236">
        <v>9.3415061418340599</v>
      </c>
      <c r="AI5236">
        <v>95.408918817568903</v>
      </c>
      <c r="AJ5236">
        <v>128.21778077372301</v>
      </c>
      <c r="AK5236">
        <v>11.943115393777999</v>
      </c>
      <c r="AL5236">
        <v>94.726930179164</v>
      </c>
      <c r="AM5236">
        <v>118.706977500148</v>
      </c>
      <c r="AN5236">
        <v>1.0000000077659801</v>
      </c>
    </row>
    <row r="5237" spans="1:40" x14ac:dyDescent="0.25">
      <c r="A5237" t="str">
        <f>"20190303154622189"</f>
        <v>20190303154622189</v>
      </c>
      <c r="B5237" t="str">
        <f>"1551599182176350"</f>
        <v>1551599182176350</v>
      </c>
      <c r="C5237" t="s">
        <v>40</v>
      </c>
      <c r="D5237">
        <v>5.2913839999999999</v>
      </c>
      <c r="E5237">
        <v>0.438892</v>
      </c>
      <c r="F5237" t="s">
        <v>60</v>
      </c>
      <c r="G5237">
        <v>-406.96820000000002</v>
      </c>
      <c r="H5237" s="1">
        <v>-3.2764040000000002E-6</v>
      </c>
      <c r="I5237">
        <v>22.465859999999999</v>
      </c>
      <c r="J5237">
        <v>-418.19170000000003</v>
      </c>
      <c r="K5237">
        <v>1.1258140000000001</v>
      </c>
      <c r="L5237">
        <v>26.340820000000001</v>
      </c>
      <c r="M5237">
        <v>0.54423599999999905</v>
      </c>
      <c r="N5237">
        <v>-1.420391E-2</v>
      </c>
      <c r="O5237">
        <v>-0.83881209999999995</v>
      </c>
      <c r="P5237">
        <v>0.87524749999999996</v>
      </c>
      <c r="Q5237">
        <v>-8.9469399999999893E-2</v>
      </c>
      <c r="R5237">
        <v>-0.47532869999999999</v>
      </c>
      <c r="S5237">
        <v>2.852417</v>
      </c>
      <c r="T5237">
        <v>-0.28355170000000002</v>
      </c>
      <c r="U5237">
        <v>-1.0108029999999999</v>
      </c>
      <c r="V5237">
        <v>-0.47461160000000002</v>
      </c>
      <c r="W5237">
        <v>-8.2471269999999999E-2</v>
      </c>
      <c r="X5237">
        <v>0.87632319999999997</v>
      </c>
      <c r="Y5237">
        <v>-0.60466160000000002</v>
      </c>
      <c r="Z5237">
        <v>8.6201659999999999E-2</v>
      </c>
      <c r="AA5237">
        <v>0.79180399999999995</v>
      </c>
      <c r="AB5237">
        <v>18</v>
      </c>
      <c r="AC5237">
        <v>11.2235</v>
      </c>
      <c r="AD5237">
        <v>-1.125817276404</v>
      </c>
      <c r="AE5237">
        <v>-3.8749600000000002</v>
      </c>
      <c r="AF5237">
        <v>-7.2411510937432997</v>
      </c>
      <c r="AG5237">
        <v>-1.125817276404</v>
      </c>
      <c r="AH5237">
        <v>9.2761440389477006</v>
      </c>
      <c r="AI5237">
        <v>95.464815580803503</v>
      </c>
      <c r="AJ5237">
        <v>127.976339312939</v>
      </c>
      <c r="AK5237">
        <v>11.8215304395655</v>
      </c>
      <c r="AL5237">
        <v>94.730628566442206</v>
      </c>
      <c r="AM5237">
        <v>118.43972026213299</v>
      </c>
      <c r="AN5237">
        <v>1.0000000160441</v>
      </c>
    </row>
    <row r="5238" spans="1:40" x14ac:dyDescent="0.25">
      <c r="A5238" t="str">
        <f>"20190303154622210"</f>
        <v>20190303154622210</v>
      </c>
      <c r="B5238" t="str">
        <f>"1551599182206606"</f>
        <v>1551599182206606</v>
      </c>
      <c r="C5238" t="s">
        <v>40</v>
      </c>
      <c r="D5238">
        <v>5.3356890000000003</v>
      </c>
      <c r="E5238">
        <v>0.43914140000000002</v>
      </c>
      <c r="F5238" t="s">
        <v>42</v>
      </c>
      <c r="G5238">
        <v>-417.2518</v>
      </c>
      <c r="H5238">
        <v>1.0314319999999999</v>
      </c>
      <c r="I5238">
        <v>26.01268</v>
      </c>
      <c r="J5238">
        <v>-418.09010000000001</v>
      </c>
      <c r="K5238">
        <v>1.125829</v>
      </c>
      <c r="L5238">
        <v>26.20532</v>
      </c>
      <c r="M5238">
        <v>0.55233840000000001</v>
      </c>
      <c r="N5238">
        <v>-1.4207330000000001E-2</v>
      </c>
      <c r="O5238">
        <v>-0.83349910000000005</v>
      </c>
      <c r="P5238">
        <v>0.87728689999999998</v>
      </c>
      <c r="Q5238">
        <v>-9.0768810000000005E-2</v>
      </c>
      <c r="R5238">
        <v>-0.47130559999999999</v>
      </c>
      <c r="S5238">
        <v>2.8568730000000002</v>
      </c>
      <c r="T5238">
        <v>-0.286829099999999</v>
      </c>
      <c r="U5238">
        <v>-0.99694819999999995</v>
      </c>
      <c r="V5238">
        <v>-0.47001330000000002</v>
      </c>
      <c r="W5238">
        <v>-8.3706359999999994E-2</v>
      </c>
      <c r="X5238">
        <v>0.87868119999999905</v>
      </c>
      <c r="Y5238">
        <v>-0.60067530000000002</v>
      </c>
      <c r="Z5238">
        <v>8.7014170000000002E-2</v>
      </c>
      <c r="AA5238">
        <v>0.7947438</v>
      </c>
      <c r="AB5238">
        <v>18</v>
      </c>
      <c r="AC5238">
        <v>0.83830000000000304</v>
      </c>
      <c r="AD5238">
        <v>-9.4397000000000203E-2</v>
      </c>
      <c r="AE5238">
        <v>-0.19264000000000001</v>
      </c>
      <c r="AF5238">
        <v>-0.58532984667671095</v>
      </c>
      <c r="AG5238">
        <v>-9.4397000000000203E-2</v>
      </c>
      <c r="AH5238">
        <v>0.61623154138860503</v>
      </c>
      <c r="AI5238">
        <v>96.337675031587906</v>
      </c>
      <c r="AJ5238">
        <v>133.52679479611101</v>
      </c>
      <c r="AK5238">
        <v>0.85513924925813001</v>
      </c>
      <c r="AL5238">
        <v>94.801639858223297</v>
      </c>
      <c r="AM5238">
        <v>118.14266747505999</v>
      </c>
      <c r="AN5238">
        <v>0.99999995405738795</v>
      </c>
    </row>
    <row r="5239" spans="1:40" x14ac:dyDescent="0.25">
      <c r="A5239" t="str">
        <f>"20190303154622231"</f>
        <v>20190303154622231</v>
      </c>
      <c r="B5239" t="str">
        <f>"1551599182226126"</f>
        <v>1551599182226126</v>
      </c>
      <c r="C5239" t="s">
        <v>40</v>
      </c>
      <c r="D5239">
        <v>5.3140660000000004</v>
      </c>
      <c r="E5239">
        <v>0.43965080000000001</v>
      </c>
      <c r="F5239" t="s">
        <v>42</v>
      </c>
      <c r="G5239">
        <v>-417.1671</v>
      </c>
      <c r="H5239">
        <v>1.0308310000000001</v>
      </c>
      <c r="I5239">
        <v>25.887119999999999</v>
      </c>
      <c r="J5239">
        <v>-417.98750000000001</v>
      </c>
      <c r="K5239">
        <v>1.1258539999999999</v>
      </c>
      <c r="L5239">
        <v>26.07132</v>
      </c>
      <c r="M5239">
        <v>0.56041619999999903</v>
      </c>
      <c r="N5239">
        <v>-1.4211690000000001E-2</v>
      </c>
      <c r="O5239">
        <v>-0.82808909999999902</v>
      </c>
      <c r="P5239">
        <v>0.87910159999999904</v>
      </c>
      <c r="Q5239">
        <v>-9.1557669999999994E-2</v>
      </c>
      <c r="R5239">
        <v>-0.46775810000000001</v>
      </c>
      <c r="S5239">
        <v>2.8598020000000002</v>
      </c>
      <c r="T5239">
        <v>-0.29429300000000003</v>
      </c>
      <c r="U5239">
        <v>-0.98541259999999997</v>
      </c>
      <c r="V5239">
        <v>-0.4649374</v>
      </c>
      <c r="W5239">
        <v>-8.4420350000000005E-2</v>
      </c>
      <c r="X5239">
        <v>0.88130940000000002</v>
      </c>
      <c r="Y5239">
        <v>-0.59580299999999997</v>
      </c>
      <c r="Z5239">
        <v>8.9176779999999997E-2</v>
      </c>
      <c r="AA5239">
        <v>0.7981644</v>
      </c>
      <c r="AB5239">
        <v>18</v>
      </c>
      <c r="AC5239">
        <v>0.82040000000000601</v>
      </c>
      <c r="AD5239">
        <v>-9.5022999999999996E-2</v>
      </c>
      <c r="AE5239">
        <v>-0.1842</v>
      </c>
      <c r="AF5239">
        <v>-0.56892772616344001</v>
      </c>
      <c r="AG5239">
        <v>-9.5022999999999996E-2</v>
      </c>
      <c r="AH5239">
        <v>0.60463911747361498</v>
      </c>
      <c r="AI5239">
        <v>96.529378189514603</v>
      </c>
      <c r="AJ5239">
        <v>133.257039369475</v>
      </c>
      <c r="AK5239">
        <v>0.83564142459895696</v>
      </c>
      <c r="AL5239">
        <v>94.842693954096902</v>
      </c>
      <c r="AM5239">
        <v>117.814021547137</v>
      </c>
      <c r="AN5239">
        <v>0.99999991997061799</v>
      </c>
    </row>
    <row r="5240" spans="1:40" x14ac:dyDescent="0.25">
      <c r="A5240" t="str">
        <f>"20190303154622255"</f>
        <v>20190303154622255</v>
      </c>
      <c r="B5240" t="str">
        <f>"1551599182246622"</f>
        <v>1551599182246622</v>
      </c>
      <c r="C5240" t="s">
        <v>40</v>
      </c>
      <c r="D5240">
        <v>5.3177859999999999</v>
      </c>
      <c r="E5240">
        <v>0.43986649999999999</v>
      </c>
      <c r="F5240" t="s">
        <v>42</v>
      </c>
      <c r="G5240">
        <v>-417.08190000000002</v>
      </c>
      <c r="H5240">
        <v>1.0325530000000001</v>
      </c>
      <c r="I5240">
        <v>25.761790000000001</v>
      </c>
      <c r="J5240">
        <v>-417.87990000000002</v>
      </c>
      <c r="K5240">
        <v>1.1258779999999999</v>
      </c>
      <c r="L5240">
        <v>25.933900000000001</v>
      </c>
      <c r="M5240">
        <v>0.56877259999999996</v>
      </c>
      <c r="N5240">
        <v>-1.421744E-2</v>
      </c>
      <c r="O5240">
        <v>-0.82237209999999905</v>
      </c>
      <c r="P5240">
        <v>0.8810152</v>
      </c>
      <c r="Q5240">
        <v>-9.2005290000000003E-2</v>
      </c>
      <c r="R5240">
        <v>-0.46405550000000001</v>
      </c>
      <c r="S5240">
        <v>2.8618160000000001</v>
      </c>
      <c r="T5240">
        <v>-0.29477819999999999</v>
      </c>
      <c r="U5240">
        <v>-0.97744750000000002</v>
      </c>
      <c r="V5240">
        <v>-0.4596732</v>
      </c>
      <c r="W5240">
        <v>-8.4789450000000002E-2</v>
      </c>
      <c r="X5240">
        <v>0.88403129999999996</v>
      </c>
      <c r="Y5240">
        <v>-0.58984709999999996</v>
      </c>
      <c r="Z5240">
        <v>8.8931070000000001E-2</v>
      </c>
      <c r="AA5240">
        <v>0.80260299999999996</v>
      </c>
      <c r="AB5240">
        <v>18</v>
      </c>
      <c r="AC5240">
        <v>0.79800000000000104</v>
      </c>
      <c r="AD5240">
        <v>-9.3325000000000102E-2</v>
      </c>
      <c r="AE5240">
        <v>-0.17211000000000301</v>
      </c>
      <c r="AF5240">
        <v>-0.55121400149216104</v>
      </c>
      <c r="AG5240">
        <v>-9.3325000000000102E-2</v>
      </c>
      <c r="AH5240">
        <v>0.58779714843238995</v>
      </c>
      <c r="AI5240">
        <v>96.606223187260099</v>
      </c>
      <c r="AJ5240">
        <v>133.160387095126</v>
      </c>
      <c r="AK5240">
        <v>0.81120399331564597</v>
      </c>
      <c r="AL5240">
        <v>94.863917434872306</v>
      </c>
      <c r="AM5240">
        <v>117.473254346521</v>
      </c>
      <c r="AN5240">
        <v>1.00000002050461</v>
      </c>
    </row>
    <row r="5241" spans="1:40" x14ac:dyDescent="0.25">
      <c r="A5241" t="str">
        <f>"20190303154622277"</f>
        <v>20190303154622277</v>
      </c>
      <c r="B5241" t="str">
        <f>"1551599182266142"</f>
        <v>1551599182266142</v>
      </c>
      <c r="C5241" t="s">
        <v>40</v>
      </c>
      <c r="D5241">
        <v>5.3140020000000003</v>
      </c>
      <c r="E5241">
        <v>0.4399383</v>
      </c>
      <c r="F5241" t="s">
        <v>42</v>
      </c>
      <c r="G5241">
        <v>-416.99700000000001</v>
      </c>
      <c r="H5241">
        <v>1.03464</v>
      </c>
      <c r="I5241">
        <v>25.635829999999999</v>
      </c>
      <c r="J5241">
        <v>-417.77120000000002</v>
      </c>
      <c r="K5241">
        <v>1.125904</v>
      </c>
      <c r="L5241">
        <v>25.797910000000002</v>
      </c>
      <c r="M5241">
        <v>0.57711109999999999</v>
      </c>
      <c r="N5241">
        <v>-1.422414E-2</v>
      </c>
      <c r="O5241">
        <v>-0.81654189999999904</v>
      </c>
      <c r="P5241">
        <v>0.8832023</v>
      </c>
      <c r="Q5241">
        <v>-9.2596020000000001E-2</v>
      </c>
      <c r="R5241">
        <v>-0.45976080000000003</v>
      </c>
      <c r="S5241">
        <v>2.8648069999999999</v>
      </c>
      <c r="T5241">
        <v>-0.29603950000000001</v>
      </c>
      <c r="U5241">
        <v>-0.96710209999999996</v>
      </c>
      <c r="V5241">
        <v>-0.45491999999999999</v>
      </c>
      <c r="W5241">
        <v>-8.5310810000000001E-2</v>
      </c>
      <c r="X5241">
        <v>0.88643660000000002</v>
      </c>
      <c r="Y5241">
        <v>-0.5844781</v>
      </c>
      <c r="Z5241">
        <v>8.8942480000000004E-2</v>
      </c>
      <c r="AA5241">
        <v>0.80652000000000001</v>
      </c>
      <c r="AB5241">
        <v>18</v>
      </c>
      <c r="AC5241">
        <v>0.77420000000006395</v>
      </c>
      <c r="AD5241">
        <v>-9.1263999999999998E-2</v>
      </c>
      <c r="AE5241">
        <v>-0.162080000000003</v>
      </c>
      <c r="AF5241">
        <v>-0.531605939270137</v>
      </c>
      <c r="AG5241">
        <v>-9.1263999999999998E-2</v>
      </c>
      <c r="AH5241">
        <v>0.57159364566033499</v>
      </c>
      <c r="AI5241">
        <v>96.668539066441994</v>
      </c>
      <c r="AJ5241">
        <v>132.924107085098</v>
      </c>
      <c r="AK5241">
        <v>0.78590921111955203</v>
      </c>
      <c r="AL5241">
        <v>94.893897924482005</v>
      </c>
      <c r="AM5241">
        <v>117.166932322101</v>
      </c>
      <c r="AN5241">
        <v>0.99999999326120803</v>
      </c>
    </row>
    <row r="5242" spans="1:40" x14ac:dyDescent="0.25">
      <c r="A5242" t="str">
        <f>"20190303154622301"</f>
        <v>20190303154622301</v>
      </c>
      <c r="B5242" t="str">
        <f>"1551599182296397"</f>
        <v>1551599182296397</v>
      </c>
      <c r="C5242" t="s">
        <v>40</v>
      </c>
      <c r="D5242">
        <v>5.330533</v>
      </c>
      <c r="E5242">
        <v>0.44004599999999999</v>
      </c>
      <c r="F5242" t="s">
        <v>42</v>
      </c>
      <c r="G5242">
        <v>-416.91019999999997</v>
      </c>
      <c r="H5242">
        <v>1.03691</v>
      </c>
      <c r="I5242">
        <v>25.511669999999999</v>
      </c>
      <c r="J5242">
        <v>-417.66019999999997</v>
      </c>
      <c r="K5242">
        <v>1.1259250000000001</v>
      </c>
      <c r="L5242">
        <v>25.661930000000002</v>
      </c>
      <c r="M5242">
        <v>0.58551999999999904</v>
      </c>
      <c r="N5242">
        <v>-1.423109E-2</v>
      </c>
      <c r="O5242">
        <v>-0.81053319999999995</v>
      </c>
      <c r="P5242">
        <v>0.88569769999999903</v>
      </c>
      <c r="Q5242">
        <v>-9.2957269999999995E-2</v>
      </c>
      <c r="R5242">
        <v>-0.45486169999999998</v>
      </c>
      <c r="S5242">
        <v>2.8692319999999998</v>
      </c>
      <c r="T5242">
        <v>-0.29653079999999998</v>
      </c>
      <c r="U5242">
        <v>-0.9536133</v>
      </c>
      <c r="V5242">
        <v>-0.45062980000000002</v>
      </c>
      <c r="W5242">
        <v>-8.5608870000000004E-2</v>
      </c>
      <c r="X5242">
        <v>0.88859659999999996</v>
      </c>
      <c r="Y5242">
        <v>-0.57989930000000001</v>
      </c>
      <c r="Z5242">
        <v>8.8702340000000005E-2</v>
      </c>
      <c r="AA5242">
        <v>0.80984489999999998</v>
      </c>
      <c r="AB5242">
        <v>18</v>
      </c>
      <c r="AC5242">
        <v>0.75</v>
      </c>
      <c r="AD5242">
        <v>-8.9014999999999997E-2</v>
      </c>
      <c r="AE5242">
        <v>-0.15025999999999501</v>
      </c>
      <c r="AF5242">
        <v>-0.51302440000788496</v>
      </c>
      <c r="AG5242">
        <v>-8.9014999999999997E-2</v>
      </c>
      <c r="AH5242">
        <v>0.55349155812921302</v>
      </c>
      <c r="AI5242">
        <v>96.7269640105429</v>
      </c>
      <c r="AJ5242">
        <v>132.827050200038</v>
      </c>
      <c r="AK5242">
        <v>0.759914870330062</v>
      </c>
      <c r="AL5242">
        <v>94.911038145763698</v>
      </c>
      <c r="AM5242">
        <v>116.890718271164</v>
      </c>
      <c r="AN5242">
        <v>1.0000000064011301</v>
      </c>
    </row>
    <row r="5243" spans="1:40" x14ac:dyDescent="0.25">
      <c r="A5243" t="str">
        <f>"20190303154622323"</f>
        <v>20190303154622323</v>
      </c>
      <c r="B5243" t="str">
        <f>"1551599182316894"</f>
        <v>1551599182316894</v>
      </c>
      <c r="C5243" t="s">
        <v>40</v>
      </c>
      <c r="D5243">
        <v>5.3203800000000001</v>
      </c>
      <c r="E5243">
        <v>0.44003239999999999</v>
      </c>
      <c r="F5243" t="s">
        <v>42</v>
      </c>
      <c r="G5243">
        <v>-416.82240000000002</v>
      </c>
      <c r="H5243">
        <v>1.0388440000000001</v>
      </c>
      <c r="I5243">
        <v>25.388359999999999</v>
      </c>
      <c r="J5243">
        <v>-417.55180000000001</v>
      </c>
      <c r="K5243">
        <v>1.125939</v>
      </c>
      <c r="L5243">
        <v>25.532409999999999</v>
      </c>
      <c r="M5243">
        <v>0.59359969999999995</v>
      </c>
      <c r="N5243">
        <v>-1.4237379999999999E-2</v>
      </c>
      <c r="O5243">
        <v>-0.80463469999999904</v>
      </c>
      <c r="P5243">
        <v>0.88787469999999902</v>
      </c>
      <c r="Q5243">
        <v>-9.3589309999999995E-2</v>
      </c>
      <c r="R5243">
        <v>-0.45046599999999998</v>
      </c>
      <c r="S5243">
        <v>2.873901</v>
      </c>
      <c r="T5243">
        <v>-0.29873319999999998</v>
      </c>
      <c r="U5243">
        <v>-0.938446</v>
      </c>
      <c r="V5243">
        <v>-0.44608039999999999</v>
      </c>
      <c r="W5243">
        <v>-8.6169049999999997E-2</v>
      </c>
      <c r="X5243">
        <v>0.89083500000000004</v>
      </c>
      <c r="Y5243">
        <v>-0.57596190000000003</v>
      </c>
      <c r="Z5243">
        <v>8.9046840000000002E-2</v>
      </c>
      <c r="AA5243">
        <v>0.81261209999999995</v>
      </c>
      <c r="AB5243">
        <v>18</v>
      </c>
      <c r="AC5243">
        <v>0.72939999999999805</v>
      </c>
      <c r="AD5243">
        <v>-8.7094999999999895E-2</v>
      </c>
      <c r="AE5243">
        <v>-0.14405000000000001</v>
      </c>
      <c r="AF5243">
        <v>-0.49465527576226798</v>
      </c>
      <c r="AG5243">
        <v>-8.7094999999999895E-2</v>
      </c>
      <c r="AH5243">
        <v>0.54150393030313704</v>
      </c>
      <c r="AI5243">
        <v>96.772231887929706</v>
      </c>
      <c r="AJ5243">
        <v>132.41120544423899</v>
      </c>
      <c r="AK5243">
        <v>0.73857693397383495</v>
      </c>
      <c r="AL5243">
        <v>94.943253602995497</v>
      </c>
      <c r="AM5243">
        <v>116.599149582137</v>
      </c>
      <c r="AN5243">
        <v>0.99999991283352696</v>
      </c>
    </row>
    <row r="5244" spans="1:40" x14ac:dyDescent="0.25">
      <c r="A5244" t="str">
        <f>"20190303154622344"</f>
        <v>20190303154622344</v>
      </c>
      <c r="B5244" t="str">
        <f>"1551599182336414"</f>
        <v>1551599182336414</v>
      </c>
      <c r="C5244" t="s">
        <v>40</v>
      </c>
      <c r="D5244">
        <v>5.3070370000000002</v>
      </c>
      <c r="E5244">
        <v>0.44006139999999999</v>
      </c>
      <c r="F5244" t="s">
        <v>42</v>
      </c>
      <c r="G5244">
        <v>-416.57819999999998</v>
      </c>
      <c r="H5244">
        <v>1.0243089999999999</v>
      </c>
      <c r="I5244">
        <v>25.219860000000001</v>
      </c>
      <c r="J5244">
        <v>-417.44510000000002</v>
      </c>
      <c r="K5244">
        <v>1.125939</v>
      </c>
      <c r="L5244">
        <v>25.407350000000001</v>
      </c>
      <c r="M5244">
        <v>0.60146129999999998</v>
      </c>
      <c r="N5244">
        <v>-1.4243179999999999E-2</v>
      </c>
      <c r="O5244">
        <v>-0.79877489999999995</v>
      </c>
      <c r="P5244">
        <v>0.88949780000000001</v>
      </c>
      <c r="Q5244">
        <v>-9.4596120000000006E-2</v>
      </c>
      <c r="R5244">
        <v>-0.4470404</v>
      </c>
      <c r="S5244">
        <v>2.8783569999999998</v>
      </c>
      <c r="T5244">
        <v>-0.30047020000000002</v>
      </c>
      <c r="U5244">
        <v>-0.9241028</v>
      </c>
      <c r="V5244">
        <v>-0.4406795</v>
      </c>
      <c r="W5244">
        <v>-8.7082909999999999E-2</v>
      </c>
      <c r="X5244">
        <v>0.89343059999999996</v>
      </c>
      <c r="Y5244">
        <v>-0.57196210000000003</v>
      </c>
      <c r="Z5244">
        <v>8.92183E-2</v>
      </c>
      <c r="AA5244">
        <v>0.81541370000000002</v>
      </c>
      <c r="AB5244">
        <v>17</v>
      </c>
      <c r="AC5244">
        <v>0.86690000000004297</v>
      </c>
      <c r="AD5244">
        <v>-0.10163</v>
      </c>
      <c r="AE5244">
        <v>-0.18748999999999999</v>
      </c>
      <c r="AF5244">
        <v>-0.57223558034911104</v>
      </c>
      <c r="AG5244">
        <v>-0.10163</v>
      </c>
      <c r="AH5244">
        <v>0.662538349087059</v>
      </c>
      <c r="AI5244">
        <v>96.621770937760701</v>
      </c>
      <c r="AJ5244">
        <v>130.81723206818799</v>
      </c>
      <c r="AK5244">
        <v>0.88132813431121704</v>
      </c>
      <c r="AL5244">
        <v>94.995810833857504</v>
      </c>
      <c r="AM5244">
        <v>116.25455406193301</v>
      </c>
      <c r="AN5244">
        <v>1.00000004597533</v>
      </c>
    </row>
    <row r="5245" spans="1:40" x14ac:dyDescent="0.25">
      <c r="A5245" t="str">
        <f>"20190303154622366"</f>
        <v>20190303154622366</v>
      </c>
      <c r="B5245" t="str">
        <f>"1551599182356910"</f>
        <v>1551599182356910</v>
      </c>
      <c r="C5245" t="s">
        <v>40</v>
      </c>
      <c r="D5245">
        <v>5.3293780000000002</v>
      </c>
      <c r="E5245">
        <v>0.44003949999999997</v>
      </c>
      <c r="F5245" t="s">
        <v>42</v>
      </c>
      <c r="G5245">
        <v>-416.4853</v>
      </c>
      <c r="H5245">
        <v>1.0249010000000001</v>
      </c>
      <c r="I5245">
        <v>25.10294</v>
      </c>
      <c r="J5245">
        <v>-417.33569999999997</v>
      </c>
      <c r="K5245">
        <v>1.125931</v>
      </c>
      <c r="L5245">
        <v>25.281860000000002</v>
      </c>
      <c r="M5245">
        <v>0.60939379999999999</v>
      </c>
      <c r="N5245">
        <v>-1.4248210000000001E-2</v>
      </c>
      <c r="O5245">
        <v>-0.79273970000000005</v>
      </c>
      <c r="P5245">
        <v>0.89139990000000002</v>
      </c>
      <c r="Q5245">
        <v>-9.5343200000000003E-2</v>
      </c>
      <c r="R5245">
        <v>-0.44307560000000001</v>
      </c>
      <c r="S5245">
        <v>2.8814700000000002</v>
      </c>
      <c r="T5245">
        <v>-0.30327959999999998</v>
      </c>
      <c r="U5245">
        <v>-0.91323849999999995</v>
      </c>
      <c r="V5245">
        <v>-0.43567980000000001</v>
      </c>
      <c r="W5245">
        <v>-8.7736969999999997E-2</v>
      </c>
      <c r="X5245">
        <v>0.89581549999999999</v>
      </c>
      <c r="Y5245">
        <v>-0.56677709999999903</v>
      </c>
      <c r="Z5245">
        <v>8.9663489999999998E-2</v>
      </c>
      <c r="AA5245">
        <v>0.81897749999999903</v>
      </c>
      <c r="AB5245">
        <v>17</v>
      </c>
      <c r="AC5245">
        <v>0.85039999999997895</v>
      </c>
      <c r="AD5245">
        <v>-0.101029999999999</v>
      </c>
      <c r="AE5245">
        <v>-0.17892000000000099</v>
      </c>
      <c r="AF5245">
        <v>-0.55763357405410796</v>
      </c>
      <c r="AG5245">
        <v>-0.101029999999999</v>
      </c>
      <c r="AH5245">
        <v>0.65132920881316803</v>
      </c>
      <c r="AI5245">
        <v>96.720116587532004</v>
      </c>
      <c r="AJ5245">
        <v>130.56838727483699</v>
      </c>
      <c r="AK5245">
        <v>0.86336087591779698</v>
      </c>
      <c r="AL5245">
        <v>95.033429744457393</v>
      </c>
      <c r="AM5245">
        <v>115.935968092849</v>
      </c>
      <c r="AN5245">
        <v>1.0000000370365301</v>
      </c>
    </row>
    <row r="5246" spans="1:40" x14ac:dyDescent="0.25">
      <c r="A5246" t="str">
        <f>"20190303154622389"</f>
        <v>20190303154622389</v>
      </c>
      <c r="B5246" t="str">
        <f>"1551599182386191"</f>
        <v>1551599182386191</v>
      </c>
      <c r="C5246" t="s">
        <v>40</v>
      </c>
      <c r="D5246">
        <v>5.3217230000000004</v>
      </c>
      <c r="E5246">
        <v>0.44012250000000003</v>
      </c>
      <c r="F5246" t="s">
        <v>42</v>
      </c>
      <c r="G5246">
        <v>-416.39120000000003</v>
      </c>
      <c r="H5246">
        <v>1.0257540000000001</v>
      </c>
      <c r="I5246">
        <v>24.987200000000001</v>
      </c>
      <c r="J5246">
        <v>-417.22140000000002</v>
      </c>
      <c r="K5246">
        <v>1.125934</v>
      </c>
      <c r="L5246">
        <v>25.15344</v>
      </c>
      <c r="M5246">
        <v>0.61755640000000001</v>
      </c>
      <c r="N5246">
        <v>-1.4252219999999999E-2</v>
      </c>
      <c r="O5246">
        <v>-0.78639759999999903</v>
      </c>
      <c r="P5246">
        <v>0.89362030000000003</v>
      </c>
      <c r="Q5246">
        <v>-9.5279150000000007E-2</v>
      </c>
      <c r="R5246">
        <v>-0.43859480000000001</v>
      </c>
      <c r="S5246">
        <v>2.8853149999999999</v>
      </c>
      <c r="T5246">
        <v>-0.30603209999999997</v>
      </c>
      <c r="U5246">
        <v>-0.90023799999999898</v>
      </c>
      <c r="V5246">
        <v>-0.43092469999999999</v>
      </c>
      <c r="W5246">
        <v>-8.7576689999999999E-2</v>
      </c>
      <c r="X5246">
        <v>0.89812819999999904</v>
      </c>
      <c r="Y5246">
        <v>-0.56188159999999998</v>
      </c>
      <c r="Z5246">
        <v>9.0067869999999994E-2</v>
      </c>
      <c r="AA5246">
        <v>0.82229969999999997</v>
      </c>
      <c r="AB5246">
        <v>17</v>
      </c>
      <c r="AC5246">
        <v>0.83019999999998995</v>
      </c>
      <c r="AD5246">
        <v>-0.10017999999999901</v>
      </c>
      <c r="AE5246">
        <v>-0.166239999999998</v>
      </c>
      <c r="AF5246">
        <v>-0.54266334181451603</v>
      </c>
      <c r="AG5246">
        <v>-0.10017999999999901</v>
      </c>
      <c r="AH5246">
        <v>0.63460695400062905</v>
      </c>
      <c r="AI5246">
        <v>96.8414959177383</v>
      </c>
      <c r="AJ5246">
        <v>130.53432259342901</v>
      </c>
      <c r="AK5246">
        <v>0.84097890640327899</v>
      </c>
      <c r="AL5246">
        <v>95.024210983933301</v>
      </c>
      <c r="AM5246">
        <v>115.631836401128</v>
      </c>
      <c r="AN5246">
        <v>1.00000001866834</v>
      </c>
    </row>
    <row r="5247" spans="1:40" x14ac:dyDescent="0.25">
      <c r="A5247" t="str">
        <f>"20190303154622412"</f>
        <v>20190303154622412</v>
      </c>
      <c r="B5247" t="str">
        <f>"1551599182406686"</f>
        <v>1551599182406686</v>
      </c>
      <c r="C5247" t="s">
        <v>40</v>
      </c>
      <c r="D5247">
        <v>5.3540419999999997</v>
      </c>
      <c r="E5247">
        <v>0.44016559999999999</v>
      </c>
      <c r="F5247" t="s">
        <v>42</v>
      </c>
      <c r="G5247">
        <v>-416.29809999999998</v>
      </c>
      <c r="H5247">
        <v>1.0283100000000001</v>
      </c>
      <c r="I5247">
        <v>24.870039999999999</v>
      </c>
      <c r="J5247">
        <v>-417.10149999999999</v>
      </c>
      <c r="K5247">
        <v>1.1259250000000001</v>
      </c>
      <c r="L5247">
        <v>25.021640000000001</v>
      </c>
      <c r="M5247">
        <v>0.62597159999999996</v>
      </c>
      <c r="N5247">
        <v>-1.4255169999999999E-2</v>
      </c>
      <c r="O5247">
        <v>-0.77971559999999995</v>
      </c>
      <c r="P5247">
        <v>0.89627080000000003</v>
      </c>
      <c r="Q5247">
        <v>-9.4820779999999993E-2</v>
      </c>
      <c r="R5247">
        <v>-0.43325259999999999</v>
      </c>
      <c r="S5247">
        <v>2.8895569999999999</v>
      </c>
      <c r="T5247">
        <v>-0.30548550000000002</v>
      </c>
      <c r="U5247">
        <v>-0.88635249999999999</v>
      </c>
      <c r="V5247">
        <v>-0.42668050000000002</v>
      </c>
      <c r="W5247">
        <v>-8.7026859999999998E-2</v>
      </c>
      <c r="X5247">
        <v>0.90020560000000005</v>
      </c>
      <c r="Y5247">
        <v>-0.55700569999999905</v>
      </c>
      <c r="Z5247">
        <v>8.9382580000000003E-2</v>
      </c>
      <c r="AA5247">
        <v>0.8256848</v>
      </c>
      <c r="AB5247">
        <v>17</v>
      </c>
      <c r="AC5247">
        <v>0.80340000000001</v>
      </c>
      <c r="AD5247">
        <v>-9.7614999999999993E-2</v>
      </c>
      <c r="AE5247">
        <v>-0.15159999999999799</v>
      </c>
      <c r="AF5247">
        <v>-0.52410891566371798</v>
      </c>
      <c r="AG5247">
        <v>-9.7614999999999993E-2</v>
      </c>
      <c r="AH5247">
        <v>0.612443041909425</v>
      </c>
      <c r="AI5247">
        <v>96.904744353144807</v>
      </c>
      <c r="AJ5247">
        <v>130.55584013375901</v>
      </c>
      <c r="AK5247">
        <v>0.81197618394043303</v>
      </c>
      <c r="AL5247">
        <v>94.992587282682706</v>
      </c>
      <c r="AM5247">
        <v>115.360070640126</v>
      </c>
      <c r="AN5247">
        <v>1.00000002285653</v>
      </c>
    </row>
    <row r="5248" spans="1:40" x14ac:dyDescent="0.25">
      <c r="A5248" t="str">
        <f>"20190303154622434"</f>
        <v>20190303154622434</v>
      </c>
      <c r="B5248" t="str">
        <f>"1551599182426206"</f>
        <v>1551599182426206</v>
      </c>
      <c r="C5248" t="s">
        <v>40</v>
      </c>
      <c r="D5248">
        <v>5.3654500000000001</v>
      </c>
      <c r="E5248">
        <v>0.4401872</v>
      </c>
      <c r="F5248" t="s">
        <v>42</v>
      </c>
      <c r="G5248">
        <v>-416.20530000000002</v>
      </c>
      <c r="H5248">
        <v>1.03186</v>
      </c>
      <c r="I5248">
        <v>24.75226</v>
      </c>
      <c r="J5248">
        <v>-416.9939</v>
      </c>
      <c r="K5248">
        <v>1.1259060000000001</v>
      </c>
      <c r="L5248">
        <v>24.905729999999998</v>
      </c>
      <c r="M5248">
        <v>0.63340289999999999</v>
      </c>
      <c r="N5248">
        <v>-1.425708E-2</v>
      </c>
      <c r="O5248">
        <v>-0.77369109999999996</v>
      </c>
      <c r="P5248">
        <v>0.8985493</v>
      </c>
      <c r="Q5248">
        <v>-9.57427E-2</v>
      </c>
      <c r="R5248">
        <v>-0.42830190000000001</v>
      </c>
      <c r="S5248">
        <v>2.8948360000000002</v>
      </c>
      <c r="T5248">
        <v>-0.30373739999999999</v>
      </c>
      <c r="U5248">
        <v>-0.86938479999999996</v>
      </c>
      <c r="V5248">
        <v>-0.42295189999999999</v>
      </c>
      <c r="W5248">
        <v>-8.7869139999999998E-2</v>
      </c>
      <c r="X5248">
        <v>0.90188179999999996</v>
      </c>
      <c r="Y5248">
        <v>-0.55401309999999904</v>
      </c>
      <c r="Z5248">
        <v>8.842187E-2</v>
      </c>
      <c r="AA5248">
        <v>0.82779899999999995</v>
      </c>
      <c r="AB5248">
        <v>17</v>
      </c>
      <c r="AC5248">
        <v>0.78859999999997399</v>
      </c>
      <c r="AD5248">
        <v>-9.4045999999999796E-2</v>
      </c>
      <c r="AE5248">
        <v>-0.153469999999998</v>
      </c>
      <c r="AF5248">
        <v>-0.50604208111086102</v>
      </c>
      <c r="AG5248">
        <v>-9.4045999999999796E-2</v>
      </c>
      <c r="AH5248">
        <v>0.60994440902342395</v>
      </c>
      <c r="AI5248">
        <v>96.767350784224902</v>
      </c>
      <c r="AJ5248">
        <v>129.68089209613001</v>
      </c>
      <c r="AK5248">
        <v>0.79809486909135396</v>
      </c>
      <c r="AL5248">
        <v>95.041031881439295</v>
      </c>
      <c r="AM5248">
        <v>115.12498047736599</v>
      </c>
      <c r="AN5248">
        <v>1.0000000383245899</v>
      </c>
    </row>
    <row r="5249" spans="1:40" x14ac:dyDescent="0.25">
      <c r="A5249" t="str">
        <f>"20190303154622455"</f>
        <v>20190303154622455</v>
      </c>
      <c r="B5249" t="str">
        <f>"1551599182446701"</f>
        <v>1551599182446701</v>
      </c>
      <c r="C5249" t="s">
        <v>40</v>
      </c>
      <c r="D5249">
        <v>5.4022560000000004</v>
      </c>
      <c r="E5249">
        <v>0.44027939999999999</v>
      </c>
      <c r="F5249" t="s">
        <v>42</v>
      </c>
      <c r="G5249">
        <v>-416.1046</v>
      </c>
      <c r="H5249">
        <v>1.0320640000000001</v>
      </c>
      <c r="I5249">
        <v>24.643910000000002</v>
      </c>
      <c r="J5249">
        <v>-416.87869999999998</v>
      </c>
      <c r="K5249">
        <v>1.12588</v>
      </c>
      <c r="L5249">
        <v>24.784120000000001</v>
      </c>
      <c r="M5249">
        <v>0.64122559999999995</v>
      </c>
      <c r="N5249">
        <v>-1.4258730000000001E-2</v>
      </c>
      <c r="O5249">
        <v>-0.76722029999999997</v>
      </c>
      <c r="P5249">
        <v>0.90108920000000003</v>
      </c>
      <c r="Q5249">
        <v>-9.7286880000000006E-2</v>
      </c>
      <c r="R5249">
        <v>-0.42258010000000001</v>
      </c>
      <c r="S5249">
        <v>2.8992610000000001</v>
      </c>
      <c r="T5249">
        <v>-0.30593480000000001</v>
      </c>
      <c r="U5249">
        <v>-0.85354609999999997</v>
      </c>
      <c r="V5249">
        <v>-0.41938880000000001</v>
      </c>
      <c r="W5249">
        <v>-8.9337559999999996E-2</v>
      </c>
      <c r="X5249">
        <v>0.90340019999999999</v>
      </c>
      <c r="Y5249">
        <v>-0.55003239999999998</v>
      </c>
      <c r="Z5249">
        <v>8.8646340000000004E-2</v>
      </c>
      <c r="AA5249">
        <v>0.83042530000000003</v>
      </c>
      <c r="AB5249">
        <v>17</v>
      </c>
      <c r="AC5249">
        <v>0.77409999999997503</v>
      </c>
      <c r="AD5249">
        <v>-9.3816000000000094E-2</v>
      </c>
      <c r="AE5249">
        <v>-0.140209999999999</v>
      </c>
      <c r="AF5249">
        <v>-0.49698233519938001</v>
      </c>
      <c r="AG5249">
        <v>-9.3816000000000094E-2</v>
      </c>
      <c r="AH5249">
        <v>0.59553659673712001</v>
      </c>
      <c r="AI5249">
        <v>96.896381226045804</v>
      </c>
      <c r="AJ5249">
        <v>129.845397575829</v>
      </c>
      <c r="AK5249">
        <v>0.78131729880341205</v>
      </c>
      <c r="AL5249">
        <v>95.125498336701199</v>
      </c>
      <c r="AM5249">
        <v>114.902316143859</v>
      </c>
      <c r="AN5249">
        <v>1.00000004327611</v>
      </c>
    </row>
    <row r="5250" spans="1:40" x14ac:dyDescent="0.25">
      <c r="A5250" t="str">
        <f>"20190303154622480"</f>
        <v>20190303154622480</v>
      </c>
      <c r="B5250" t="str">
        <f>"1551599182476958"</f>
        <v>1551599182476958</v>
      </c>
      <c r="C5250" t="s">
        <v>40</v>
      </c>
      <c r="D5250">
        <v>5.3816319999999997</v>
      </c>
      <c r="E5250">
        <v>0.44034060000000003</v>
      </c>
      <c r="F5250" t="s">
        <v>42</v>
      </c>
      <c r="G5250">
        <v>-416.00599999999997</v>
      </c>
      <c r="H5250">
        <v>1.032567</v>
      </c>
      <c r="I5250">
        <v>24.532900000000001</v>
      </c>
      <c r="J5250">
        <v>-416.74869999999999</v>
      </c>
      <c r="K5250">
        <v>1.125867</v>
      </c>
      <c r="L5250">
        <v>24.64969</v>
      </c>
      <c r="M5250">
        <v>0.64990000000000003</v>
      </c>
      <c r="N5250">
        <v>-1.4259910000000001E-2</v>
      </c>
      <c r="O5250">
        <v>-0.75988610000000001</v>
      </c>
      <c r="P5250">
        <v>0.90501359999999997</v>
      </c>
      <c r="Q5250">
        <v>-9.7680169999999997E-2</v>
      </c>
      <c r="R5250">
        <v>-0.41401650000000001</v>
      </c>
      <c r="S5250">
        <v>2.9038089999999999</v>
      </c>
      <c r="T5250">
        <v>-0.31048979999999998</v>
      </c>
      <c r="U5250">
        <v>-0.83581539999999999</v>
      </c>
      <c r="V5250">
        <v>-0.41765980000000003</v>
      </c>
      <c r="W5250">
        <v>-8.9687779999999995E-2</v>
      </c>
      <c r="X5250">
        <v>0.90416609999999997</v>
      </c>
      <c r="Y5250">
        <v>-0.54546450000000002</v>
      </c>
      <c r="Z5250">
        <v>8.9531089999999994E-2</v>
      </c>
      <c r="AA5250">
        <v>0.83333829999999998</v>
      </c>
      <c r="AB5250">
        <v>17</v>
      </c>
      <c r="AC5250">
        <v>0.74270000000001302</v>
      </c>
      <c r="AD5250">
        <v>-9.3299999999999897E-2</v>
      </c>
      <c r="AE5250">
        <v>-0.11678999999999801</v>
      </c>
      <c r="AF5250">
        <v>-0.48110604163863802</v>
      </c>
      <c r="AG5250">
        <v>-9.3299999999999897E-2</v>
      </c>
      <c r="AH5250">
        <v>0.56281832007349197</v>
      </c>
      <c r="AI5250">
        <v>97.181926001745694</v>
      </c>
      <c r="AJ5250">
        <v>130.52434795791899</v>
      </c>
      <c r="AK5250">
        <v>0.74627901934299801</v>
      </c>
      <c r="AL5250">
        <v>95.145645711109495</v>
      </c>
      <c r="AM5250">
        <v>114.793545780901</v>
      </c>
      <c r="AN5250">
        <v>0.999999971403288</v>
      </c>
    </row>
    <row r="5251" spans="1:40" x14ac:dyDescent="0.25">
      <c r="A5251" t="str">
        <f>"20190303154622505"</f>
        <v>20190303154622505</v>
      </c>
      <c r="B5251" t="str">
        <f>"1551599182496478"</f>
        <v>1551599182496478</v>
      </c>
      <c r="C5251" t="s">
        <v>40</v>
      </c>
      <c r="D5251">
        <v>5.3971689999999999</v>
      </c>
      <c r="E5251">
        <v>0.44039460000000002</v>
      </c>
      <c r="F5251" t="s">
        <v>42</v>
      </c>
      <c r="G5251">
        <v>-415.91090000000003</v>
      </c>
      <c r="H5251">
        <v>1.0362659999999999</v>
      </c>
      <c r="I5251">
        <v>24.416989999999998</v>
      </c>
      <c r="J5251">
        <v>-416.62419999999997</v>
      </c>
      <c r="K5251">
        <v>1.1258549999999901</v>
      </c>
      <c r="L5251">
        <v>24.523990000000001</v>
      </c>
      <c r="M5251">
        <v>0.65804980000000002</v>
      </c>
      <c r="N5251">
        <v>-1.426036E-2</v>
      </c>
      <c r="O5251">
        <v>-0.75283959999999905</v>
      </c>
      <c r="P5251">
        <v>0.90739910000000001</v>
      </c>
      <c r="Q5251">
        <v>-9.825354E-2</v>
      </c>
      <c r="R5251">
        <v>-0.40862359999999998</v>
      </c>
      <c r="S5251">
        <v>2.911346</v>
      </c>
      <c r="T5251">
        <v>-0.31136979999999997</v>
      </c>
      <c r="U5251">
        <v>-0.80868530000000005</v>
      </c>
      <c r="V5251">
        <v>-0.41324860000000002</v>
      </c>
      <c r="W5251">
        <v>-9.0172210000000003E-2</v>
      </c>
      <c r="X5251">
        <v>0.90614269999999997</v>
      </c>
      <c r="Y5251">
        <v>-0.54421030000000004</v>
      </c>
      <c r="Z5251">
        <v>8.9409799999999998E-2</v>
      </c>
      <c r="AA5251">
        <v>0.83417090000000005</v>
      </c>
      <c r="AB5251">
        <v>17</v>
      </c>
      <c r="AC5251">
        <v>0.71329999999994698</v>
      </c>
      <c r="AD5251">
        <v>-8.9588999999999905E-2</v>
      </c>
      <c r="AE5251">
        <v>-0.106999999999999</v>
      </c>
      <c r="AF5251">
        <v>-0.45954678119933501</v>
      </c>
      <c r="AG5251">
        <v>-8.9588999999999905E-2</v>
      </c>
      <c r="AH5251">
        <v>0.54164033072881301</v>
      </c>
      <c r="AI5251">
        <v>97.188443823263995</v>
      </c>
      <c r="AJ5251">
        <v>130.312449804723</v>
      </c>
      <c r="AK5251">
        <v>0.71594949605659097</v>
      </c>
      <c r="AL5251">
        <v>95.173514213414407</v>
      </c>
      <c r="AM5251">
        <v>114.51547369201199</v>
      </c>
      <c r="AN5251">
        <v>1.00000001281076</v>
      </c>
    </row>
    <row r="5252" spans="1:40" x14ac:dyDescent="0.25">
      <c r="A5252" t="str">
        <f>"20190303154622525"</f>
        <v>20190303154622525</v>
      </c>
      <c r="B5252" t="str">
        <f>"1551599182516975"</f>
        <v>1551599182516975</v>
      </c>
      <c r="C5252" t="s">
        <v>40</v>
      </c>
      <c r="D5252">
        <v>5.3794849999999999</v>
      </c>
      <c r="E5252">
        <v>0.44041400000000003</v>
      </c>
      <c r="F5252" t="s">
        <v>42</v>
      </c>
      <c r="G5252">
        <v>-415.66300000000001</v>
      </c>
      <c r="H5252">
        <v>1.022707</v>
      </c>
      <c r="I5252">
        <v>24.262699999999999</v>
      </c>
      <c r="J5252">
        <v>-416.5086</v>
      </c>
      <c r="K5252">
        <v>1.125853</v>
      </c>
      <c r="L5252">
        <v>24.409880000000001</v>
      </c>
      <c r="M5252">
        <v>0.66547730000000005</v>
      </c>
      <c r="N5252">
        <v>-1.426059E-2</v>
      </c>
      <c r="O5252">
        <v>-0.74628209999999995</v>
      </c>
      <c r="P5252">
        <v>0.90954860000000004</v>
      </c>
      <c r="Q5252">
        <v>-9.893151E-2</v>
      </c>
      <c r="R5252">
        <v>-0.40365089999999998</v>
      </c>
      <c r="S5252">
        <v>2.9157410000000001</v>
      </c>
      <c r="T5252">
        <v>-0.31281639999999999</v>
      </c>
      <c r="U5252">
        <v>-0.79180909999999904</v>
      </c>
      <c r="V5252">
        <v>-0.4091707</v>
      </c>
      <c r="W5252">
        <v>-9.0768639999999998E-2</v>
      </c>
      <c r="X5252">
        <v>0.90793190000000001</v>
      </c>
      <c r="Y5252">
        <v>-0.5407071</v>
      </c>
      <c r="Z5252">
        <v>8.9366370000000001E-2</v>
      </c>
      <c r="AA5252">
        <v>0.83645059999999904</v>
      </c>
      <c r="AB5252">
        <v>17</v>
      </c>
      <c r="AC5252">
        <v>0.84559999999999003</v>
      </c>
      <c r="AD5252">
        <v>-0.103145999999999</v>
      </c>
      <c r="AE5252">
        <v>-0.14717999999999801</v>
      </c>
      <c r="AF5252">
        <v>-0.52557519891955196</v>
      </c>
      <c r="AG5252">
        <v>-0.103145999999999</v>
      </c>
      <c r="AH5252">
        <v>0.66305810057183601</v>
      </c>
      <c r="AI5252">
        <v>96.9505409787985</v>
      </c>
      <c r="AJ5252">
        <v>128.402219616308</v>
      </c>
      <c r="AK5252">
        <v>0.85235815932579595</v>
      </c>
      <c r="AL5252">
        <v>95.207828066903801</v>
      </c>
      <c r="AM5252">
        <v>114.259295386256</v>
      </c>
      <c r="AN5252">
        <v>0.99999997139177399</v>
      </c>
    </row>
    <row r="5253" spans="1:40" x14ac:dyDescent="0.25">
      <c r="A5253" t="str">
        <f>"20190303154622546"</f>
        <v>20190303154622546</v>
      </c>
      <c r="B5253" t="str">
        <f>"1551599182536494"</f>
        <v>1551599182536494</v>
      </c>
      <c r="C5253" t="s">
        <v>40</v>
      </c>
      <c r="D5253">
        <v>5.3966789999999998</v>
      </c>
      <c r="E5253">
        <v>0.44043330000000003</v>
      </c>
      <c r="F5253" t="s">
        <v>42</v>
      </c>
      <c r="G5253">
        <v>-415.55990000000003</v>
      </c>
      <c r="H5253">
        <v>1.023795</v>
      </c>
      <c r="I5253">
        <v>24.15793</v>
      </c>
      <c r="J5253">
        <v>-416.39879999999999</v>
      </c>
      <c r="K5253">
        <v>1.1258349999999999</v>
      </c>
      <c r="L5253">
        <v>24.303439999999998</v>
      </c>
      <c r="M5253">
        <v>0.67242469999999999</v>
      </c>
      <c r="N5253">
        <v>-1.4260399999999901E-2</v>
      </c>
      <c r="O5253">
        <v>-0.74002829999999997</v>
      </c>
      <c r="P5253">
        <v>0.91138269999999999</v>
      </c>
      <c r="Q5253">
        <v>-9.9836949999999994E-2</v>
      </c>
      <c r="R5253">
        <v>-0.39926709999999999</v>
      </c>
      <c r="S5253">
        <v>2.9198300000000001</v>
      </c>
      <c r="T5253">
        <v>-0.31414589999999998</v>
      </c>
      <c r="U5253">
        <v>-0.77587890000000004</v>
      </c>
      <c r="V5253">
        <v>-0.40497480000000002</v>
      </c>
      <c r="W5253">
        <v>-9.1590740000000004E-2</v>
      </c>
      <c r="X5253">
        <v>0.9097288</v>
      </c>
      <c r="Y5253">
        <v>-0.53739419999999904</v>
      </c>
      <c r="Z5253">
        <v>8.9297059999999998E-2</v>
      </c>
      <c r="AA5253">
        <v>0.8385901</v>
      </c>
      <c r="AB5253">
        <v>17</v>
      </c>
      <c r="AC5253">
        <v>0.83889999999996601</v>
      </c>
      <c r="AD5253">
        <v>-0.10204000000000001</v>
      </c>
      <c r="AE5253">
        <v>-0.145509999999998</v>
      </c>
      <c r="AF5253">
        <v>-0.515612573141632</v>
      </c>
      <c r="AG5253">
        <v>-0.10204000000000001</v>
      </c>
      <c r="AH5253">
        <v>0.66233370175749395</v>
      </c>
      <c r="AI5253">
        <v>96.931284302953898</v>
      </c>
      <c r="AJ5253">
        <v>127.899992142564</v>
      </c>
      <c r="AK5253">
        <v>0.84554977361804096</v>
      </c>
      <c r="AL5253">
        <v>95.255127962238404</v>
      </c>
      <c r="AM5253">
        <v>113.99671176939199</v>
      </c>
      <c r="AN5253">
        <v>0.99999997091911297</v>
      </c>
    </row>
    <row r="5254" spans="1:40" x14ac:dyDescent="0.25">
      <c r="A5254" t="str">
        <f>"20190303154622568"</f>
        <v>20190303154622568</v>
      </c>
      <c r="B5254" t="str">
        <f>"1551599182556991"</f>
        <v>1551599182556991</v>
      </c>
      <c r="C5254" t="s">
        <v>40</v>
      </c>
      <c r="D5254">
        <v>5.3964259999999999</v>
      </c>
      <c r="E5254">
        <v>0.44047120000000001</v>
      </c>
      <c r="F5254" t="s">
        <v>42</v>
      </c>
      <c r="G5254">
        <v>-415.45389999999998</v>
      </c>
      <c r="H5254">
        <v>1.0234920000000001</v>
      </c>
      <c r="I5254">
        <v>24.057099999999998</v>
      </c>
      <c r="J5254">
        <v>-416.27820000000003</v>
      </c>
      <c r="K5254">
        <v>1.12581</v>
      </c>
      <c r="L5254">
        <v>24.188749999999999</v>
      </c>
      <c r="M5254">
        <v>0.67993590000000004</v>
      </c>
      <c r="N5254">
        <v>-1.4259859999999999E-2</v>
      </c>
      <c r="O5254">
        <v>-0.73313280000000003</v>
      </c>
      <c r="P5254">
        <v>0.91340319999999997</v>
      </c>
      <c r="Q5254">
        <v>-0.10182919999999999</v>
      </c>
      <c r="R5254">
        <v>-0.39411370000000001</v>
      </c>
      <c r="S5254">
        <v>2.923187</v>
      </c>
      <c r="T5254">
        <v>-0.31661689999999998</v>
      </c>
      <c r="U5254">
        <v>-0.76193239999999995</v>
      </c>
      <c r="V5254">
        <v>-0.40065620000000002</v>
      </c>
      <c r="W5254">
        <v>-9.3497839999999999E-2</v>
      </c>
      <c r="X5254">
        <v>0.91144539999999996</v>
      </c>
      <c r="Y5254">
        <v>-0.532740199999999</v>
      </c>
      <c r="Z5254">
        <v>8.9464180000000004E-2</v>
      </c>
      <c r="AA5254">
        <v>0.84153679999999997</v>
      </c>
      <c r="AB5254">
        <v>17</v>
      </c>
      <c r="AC5254">
        <v>0.82430000000004999</v>
      </c>
      <c r="AD5254">
        <v>-0.10231799999999899</v>
      </c>
      <c r="AE5254">
        <v>-0.13164999999999999</v>
      </c>
      <c r="AF5254">
        <v>-0.50723926714574696</v>
      </c>
      <c r="AG5254">
        <v>-0.10231799999999899</v>
      </c>
      <c r="AH5254">
        <v>0.64732926797549495</v>
      </c>
      <c r="AI5254">
        <v>97.092027484276898</v>
      </c>
      <c r="AJ5254">
        <v>128.08181357696699</v>
      </c>
      <c r="AK5254">
        <v>0.82873145737098997</v>
      </c>
      <c r="AL5254">
        <v>95.364867671864204</v>
      </c>
      <c r="AM5254">
        <v>113.72949000784</v>
      </c>
      <c r="AN5254">
        <v>0.99999997693213205</v>
      </c>
    </row>
    <row r="5255" spans="1:40" x14ac:dyDescent="0.25">
      <c r="A5255" t="str">
        <f>"20190303154622591"</f>
        <v>20190303154622591</v>
      </c>
      <c r="B5255" t="str">
        <f>"1551599182586271"</f>
        <v>1551599182586271</v>
      </c>
      <c r="C5255" t="s">
        <v>40</v>
      </c>
      <c r="D5255">
        <v>5.4520860000000004</v>
      </c>
      <c r="E5255">
        <v>0.46735339999999997</v>
      </c>
      <c r="F5255" t="s">
        <v>42</v>
      </c>
      <c r="G5255">
        <v>-415.35070000000002</v>
      </c>
      <c r="H5255">
        <v>1.023768</v>
      </c>
      <c r="I5255">
        <v>23.952359999999999</v>
      </c>
      <c r="J5255">
        <v>-416.15210000000002</v>
      </c>
      <c r="K5255">
        <v>1.125791</v>
      </c>
      <c r="L5255">
        <v>24.071439999999999</v>
      </c>
      <c r="M5255">
        <v>0.68764809999999998</v>
      </c>
      <c r="N5255">
        <v>-1.4259040000000001E-2</v>
      </c>
      <c r="O5255">
        <v>-0.7259042</v>
      </c>
      <c r="P5255">
        <v>0.91526949999999996</v>
      </c>
      <c r="Q5255">
        <v>-0.1043086</v>
      </c>
      <c r="R5255">
        <v>-0.3891037</v>
      </c>
      <c r="S5255">
        <v>2.926758</v>
      </c>
      <c r="T5255">
        <v>-0.32199609999999901</v>
      </c>
      <c r="U5255">
        <v>-0.74572749999999999</v>
      </c>
      <c r="V5255">
        <v>-0.39578849999999999</v>
      </c>
      <c r="W5255">
        <v>-9.5883259999999998E-2</v>
      </c>
      <c r="X5255">
        <v>0.91332239999999998</v>
      </c>
      <c r="Y5255">
        <v>-0.52827819999999903</v>
      </c>
      <c r="Z5255">
        <v>9.0492080000000003E-2</v>
      </c>
      <c r="AA5255">
        <v>0.84423539999999997</v>
      </c>
      <c r="AB5255">
        <v>17</v>
      </c>
      <c r="AC5255">
        <v>0.801400000000001</v>
      </c>
      <c r="AD5255">
        <v>-0.102022999999999</v>
      </c>
      <c r="AE5255">
        <v>-0.11907999999999599</v>
      </c>
      <c r="AF5255">
        <v>-0.49210215827004</v>
      </c>
      <c r="AG5255">
        <v>-0.102022999999999</v>
      </c>
      <c r="AH5255">
        <v>0.62763441998814096</v>
      </c>
      <c r="AI5255">
        <v>97.289695223194002</v>
      </c>
      <c r="AJ5255">
        <v>128.09852507107701</v>
      </c>
      <c r="AK5255">
        <v>0.80405111271416196</v>
      </c>
      <c r="AL5255">
        <v>95.502159121968504</v>
      </c>
      <c r="AM5255">
        <v>113.429509334965</v>
      </c>
      <c r="AN5255">
        <v>0.99999997131111795</v>
      </c>
    </row>
    <row r="5256" spans="1:40" x14ac:dyDescent="0.25">
      <c r="A5256" t="str">
        <f>"20190303154622613"</f>
        <v>20190303154622613</v>
      </c>
      <c r="B5256" t="str">
        <f>"1551599182606766"</f>
        <v>1551599182606766</v>
      </c>
      <c r="C5256" t="s">
        <v>40</v>
      </c>
      <c r="D5256">
        <v>5.4060800000000002</v>
      </c>
      <c r="E5256">
        <v>0.47012039999999999</v>
      </c>
      <c r="F5256" t="s">
        <v>42</v>
      </c>
      <c r="G5256">
        <v>-415.28680000000003</v>
      </c>
      <c r="H5256">
        <v>1.0295780000000001</v>
      </c>
      <c r="I5256">
        <v>23.78941</v>
      </c>
      <c r="J5256">
        <v>-416.03100000000001</v>
      </c>
      <c r="K5256">
        <v>1.1257710000000001</v>
      </c>
      <c r="L5256">
        <v>23.961089999999999</v>
      </c>
      <c r="M5256">
        <v>0.69492699999999996</v>
      </c>
      <c r="N5256">
        <v>-1.4258130000000001E-2</v>
      </c>
      <c r="O5256">
        <v>-0.71893890000000005</v>
      </c>
      <c r="P5256">
        <v>0.91700170000000003</v>
      </c>
      <c r="Q5256">
        <v>-0.10534930000000001</v>
      </c>
      <c r="R5256">
        <v>-0.3847199</v>
      </c>
      <c r="S5256">
        <v>2.8473510000000002</v>
      </c>
      <c r="T5256">
        <v>-0.31654569999999999</v>
      </c>
      <c r="U5256">
        <v>-0.92749020000000004</v>
      </c>
      <c r="V5256">
        <v>-0.39086320000000002</v>
      </c>
      <c r="W5256">
        <v>-9.682876E-2</v>
      </c>
      <c r="X5256">
        <v>0.91534159999999998</v>
      </c>
      <c r="Y5256">
        <v>-0.46350340000000001</v>
      </c>
      <c r="Z5256">
        <v>8.5940669999999997E-2</v>
      </c>
      <c r="AA5256">
        <v>0.88191769999999903</v>
      </c>
      <c r="AB5256">
        <v>17</v>
      </c>
      <c r="AC5256">
        <v>0.74419999999997799</v>
      </c>
      <c r="AD5256">
        <v>-9.6192999999999695E-2</v>
      </c>
      <c r="AE5256">
        <v>-0.171679999999998</v>
      </c>
      <c r="AF5256">
        <v>-0.40927907923914097</v>
      </c>
      <c r="AG5256">
        <v>-9.6192999999999695E-2</v>
      </c>
      <c r="AH5256">
        <v>0.63065309648295298</v>
      </c>
      <c r="AI5256">
        <v>97.291204002938599</v>
      </c>
      <c r="AJ5256">
        <v>122.982626062542</v>
      </c>
      <c r="AK5256">
        <v>0.75794840593234103</v>
      </c>
      <c r="AL5256">
        <v>95.556585111365493</v>
      </c>
      <c r="AM5256">
        <v>113.123135301576</v>
      </c>
      <c r="AN5256">
        <v>1.0000000472839601</v>
      </c>
    </row>
    <row r="5257" spans="1:40" x14ac:dyDescent="0.25">
      <c r="A5257" t="str">
        <f>"20190303154622637"</f>
        <v>20190303154622637</v>
      </c>
      <c r="B5257" t="str">
        <f>"1551599182626286"</f>
        <v>1551599182626286</v>
      </c>
      <c r="C5257" t="s">
        <v>40</v>
      </c>
      <c r="D5257">
        <v>5.3995290000000002</v>
      </c>
      <c r="E5257">
        <v>0.47172239999999999</v>
      </c>
      <c r="F5257" t="s">
        <v>42</v>
      </c>
      <c r="G5257">
        <v>-415.14370000000002</v>
      </c>
      <c r="H5257">
        <v>1.0238389999999999</v>
      </c>
      <c r="I5257">
        <v>23.669609999999999</v>
      </c>
      <c r="J5257">
        <v>-415.9051</v>
      </c>
      <c r="K5257">
        <v>1.125756</v>
      </c>
      <c r="L5257">
        <v>23.84863</v>
      </c>
      <c r="M5257">
        <v>0.70236889999999996</v>
      </c>
      <c r="N5257">
        <v>-1.425711E-2</v>
      </c>
      <c r="O5257">
        <v>-0.71167049999999998</v>
      </c>
      <c r="P5257">
        <v>0.91909039999999997</v>
      </c>
      <c r="Q5257">
        <v>-0.1047106</v>
      </c>
      <c r="R5257">
        <v>-0.37987979999999999</v>
      </c>
      <c r="S5257">
        <v>2.8422239999999999</v>
      </c>
      <c r="T5257">
        <v>-0.3265284</v>
      </c>
      <c r="U5257">
        <v>-0.93386840000000004</v>
      </c>
      <c r="V5257">
        <v>-0.38623099999999999</v>
      </c>
      <c r="W5257">
        <v>-9.6098729999999993E-2</v>
      </c>
      <c r="X5257">
        <v>0.91738249999999999</v>
      </c>
      <c r="Y5257">
        <v>-0.45174520000000001</v>
      </c>
      <c r="Z5257">
        <v>8.7903309999999998E-2</v>
      </c>
      <c r="AA5257">
        <v>0.88780590000000004</v>
      </c>
      <c r="AB5257">
        <v>17</v>
      </c>
      <c r="AC5257">
        <v>0.76139999999997998</v>
      </c>
      <c r="AD5257">
        <v>-0.10191699999999999</v>
      </c>
      <c r="AE5257">
        <v>-0.17901999999999699</v>
      </c>
      <c r="AF5257">
        <v>-0.40922210976455697</v>
      </c>
      <c r="AG5257">
        <v>-0.10191699999999999</v>
      </c>
      <c r="AH5257">
        <v>0.65119780279547002</v>
      </c>
      <c r="AI5257">
        <v>97.548508387713795</v>
      </c>
      <c r="AJ5257">
        <v>122.145847737656</v>
      </c>
      <c r="AK5257">
        <v>0.77582755066754505</v>
      </c>
      <c r="AL5257">
        <v>95.5145617517435</v>
      </c>
      <c r="AM5257">
        <v>112.831780627642</v>
      </c>
      <c r="AN5257">
        <v>1.0000000012874299</v>
      </c>
    </row>
    <row r="5258" spans="1:40" x14ac:dyDescent="0.25">
      <c r="A5258" t="str">
        <f>"20190303154622657"</f>
        <v>20190303154622657</v>
      </c>
      <c r="B5258" t="str">
        <f>"1551599182646786"</f>
        <v>1551599182646786</v>
      </c>
      <c r="C5258" t="s">
        <v>40</v>
      </c>
      <c r="D5258">
        <v>5.3957829999999998</v>
      </c>
      <c r="E5258">
        <v>0.47322959999999897</v>
      </c>
      <c r="F5258" t="s">
        <v>60</v>
      </c>
      <c r="G5258">
        <v>-406.15820000000002</v>
      </c>
      <c r="H5258" s="1">
        <v>-3.3537120000000001E-6</v>
      </c>
      <c r="I5258">
        <v>20.657229999999998</v>
      </c>
      <c r="J5258">
        <v>-415.78609999999998</v>
      </c>
      <c r="K5258">
        <v>1.1257429999999999</v>
      </c>
      <c r="L5258">
        <v>23.74457</v>
      </c>
      <c r="M5258">
        <v>0.70927790000000002</v>
      </c>
      <c r="N5258">
        <v>-1.425595E-2</v>
      </c>
      <c r="O5258">
        <v>-0.70478499999999999</v>
      </c>
      <c r="P5258">
        <v>0.92084180000000004</v>
      </c>
      <c r="Q5258">
        <v>-0.104097</v>
      </c>
      <c r="R5258">
        <v>-0.37578460000000002</v>
      </c>
      <c r="S5258">
        <v>2.8420719999999999</v>
      </c>
      <c r="T5258">
        <v>-0.32825710000000002</v>
      </c>
      <c r="U5258">
        <v>-0.93057250000000002</v>
      </c>
      <c r="V5258">
        <v>-0.38142680000000001</v>
      </c>
      <c r="W5258">
        <v>-9.5392469999999993E-2</v>
      </c>
      <c r="X5258">
        <v>0.9194639</v>
      </c>
      <c r="Y5258">
        <v>-0.44395420000000002</v>
      </c>
      <c r="Z5258">
        <v>8.7590550000000003E-2</v>
      </c>
      <c r="AA5258">
        <v>0.8917581</v>
      </c>
      <c r="AB5258">
        <v>17</v>
      </c>
      <c r="AC5258">
        <v>9.6278999999999506</v>
      </c>
      <c r="AD5258">
        <v>-1.125746353712</v>
      </c>
      <c r="AE5258">
        <v>-3.0873400000000002</v>
      </c>
      <c r="AF5258">
        <v>-4.5400022912165401</v>
      </c>
      <c r="AG5258">
        <v>-1.125746353712</v>
      </c>
      <c r="AH5258">
        <v>8.8954067203030505</v>
      </c>
      <c r="AI5258">
        <v>96.431309507746803</v>
      </c>
      <c r="AJ5258">
        <v>117.03867639634601</v>
      </c>
      <c r="AK5258">
        <v>10.0502331503682</v>
      </c>
      <c r="AL5258">
        <v>95.473909302715398</v>
      </c>
      <c r="AM5258">
        <v>112.530437528059</v>
      </c>
      <c r="AN5258">
        <v>0.99999999524707495</v>
      </c>
    </row>
    <row r="5259" spans="1:40" x14ac:dyDescent="0.25">
      <c r="A5259" t="str">
        <f>"20190303154622682"</f>
        <v>20190303154622682</v>
      </c>
      <c r="B5259" t="str">
        <f>"1551599182676063"</f>
        <v>1551599182676063</v>
      </c>
      <c r="C5259" t="s">
        <v>40</v>
      </c>
      <c r="D5259">
        <v>5.4153180000000001</v>
      </c>
      <c r="E5259">
        <v>0.47403679999999898</v>
      </c>
      <c r="F5259" t="s">
        <v>60</v>
      </c>
      <c r="G5259">
        <v>-405.82310000000001</v>
      </c>
      <c r="H5259" s="1">
        <v>-3.514277E-6</v>
      </c>
      <c r="I5259">
        <v>20.487359999999999</v>
      </c>
      <c r="J5259">
        <v>-415.64479999999998</v>
      </c>
      <c r="K5259">
        <v>1.1257299999999999</v>
      </c>
      <c r="L5259">
        <v>23.623629999999999</v>
      </c>
      <c r="M5259">
        <v>0.71733249999999904</v>
      </c>
      <c r="N5259">
        <v>-1.4254030000000001E-2</v>
      </c>
      <c r="O5259">
        <v>-0.69658509999999996</v>
      </c>
      <c r="P5259">
        <v>0.923072</v>
      </c>
      <c r="Q5259">
        <v>-0.10418769999999999</v>
      </c>
      <c r="R5259">
        <v>-0.3702471</v>
      </c>
      <c r="S5259">
        <v>2.8423769999999999</v>
      </c>
      <c r="T5259">
        <v>-0.32116820000000001</v>
      </c>
      <c r="U5259">
        <v>-0.92926030000000004</v>
      </c>
      <c r="V5259">
        <v>-0.37637710000000002</v>
      </c>
      <c r="W5259">
        <v>-9.5385860000000003E-2</v>
      </c>
      <c r="X5259">
        <v>0.92154320000000001</v>
      </c>
      <c r="Y5259">
        <v>-0.43434869999999998</v>
      </c>
      <c r="Z5259">
        <v>8.4530649999999999E-2</v>
      </c>
      <c r="AA5259">
        <v>0.89676959999999994</v>
      </c>
      <c r="AB5259">
        <v>17</v>
      </c>
      <c r="AC5259">
        <v>9.8216999999999608</v>
      </c>
      <c r="AD5259">
        <v>-1.125733514277</v>
      </c>
      <c r="AE5259">
        <v>-3.1362700000000001</v>
      </c>
      <c r="AF5259">
        <v>-4.5382654766659503</v>
      </c>
      <c r="AG5259">
        <v>-1.125733514277</v>
      </c>
      <c r="AH5259">
        <v>9.1222907490835503</v>
      </c>
      <c r="AI5259">
        <v>96.304874361899905</v>
      </c>
      <c r="AJ5259">
        <v>116.449971633014</v>
      </c>
      <c r="AK5259">
        <v>10.250820357058201</v>
      </c>
      <c r="AL5259">
        <v>95.473528670713804</v>
      </c>
      <c r="AM5259">
        <v>112.216109275127</v>
      </c>
      <c r="AN5259">
        <v>1.0000000265792901</v>
      </c>
    </row>
    <row r="5260" spans="1:40" x14ac:dyDescent="0.25">
      <c r="A5260" t="str">
        <f>"20190303154622704"</f>
        <v>20190303154622704</v>
      </c>
      <c r="B5260" t="str">
        <f>"1551599182696146"</f>
        <v>1551599182696146</v>
      </c>
      <c r="C5260" t="s">
        <v>40</v>
      </c>
      <c r="D5260">
        <v>5.435454</v>
      </c>
      <c r="E5260">
        <v>0.47431839999999997</v>
      </c>
      <c r="F5260" t="s">
        <v>42</v>
      </c>
      <c r="G5260">
        <v>-414.68799999999999</v>
      </c>
      <c r="H5260">
        <v>1.017207</v>
      </c>
      <c r="I5260">
        <v>23.314769999999999</v>
      </c>
      <c r="J5260">
        <v>-415.52249999999998</v>
      </c>
      <c r="K5260">
        <v>1.1257170000000001</v>
      </c>
      <c r="L5260">
        <v>23.521360000000001</v>
      </c>
      <c r="M5260">
        <v>0.72416420000000004</v>
      </c>
      <c r="N5260">
        <v>-1.4251689999999999E-2</v>
      </c>
      <c r="O5260">
        <v>-0.68948050000000005</v>
      </c>
      <c r="P5260">
        <v>0.92463280000000003</v>
      </c>
      <c r="Q5260">
        <v>-0.1042473</v>
      </c>
      <c r="R5260">
        <v>-0.36631520000000001</v>
      </c>
      <c r="S5260">
        <v>2.8453369999999998</v>
      </c>
      <c r="T5260">
        <v>-0.322685</v>
      </c>
      <c r="U5260">
        <v>-0.91802980000000001</v>
      </c>
      <c r="V5260">
        <v>-0.37121510000000002</v>
      </c>
      <c r="W5260">
        <v>-9.5346330000000007E-2</v>
      </c>
      <c r="X5260">
        <v>0.92363870000000003</v>
      </c>
      <c r="Y5260">
        <v>-0.42895060000000002</v>
      </c>
      <c r="Z5260">
        <v>8.423514E-2</v>
      </c>
      <c r="AA5260">
        <v>0.89939190000000002</v>
      </c>
      <c r="AB5260">
        <v>17</v>
      </c>
      <c r="AC5260">
        <v>0.83449999999993396</v>
      </c>
      <c r="AD5260">
        <v>-0.10851</v>
      </c>
      <c r="AE5260">
        <v>-0.206589999999998</v>
      </c>
      <c r="AF5260">
        <v>-0.41913221931296202</v>
      </c>
      <c r="AG5260">
        <v>-0.10851</v>
      </c>
      <c r="AH5260">
        <v>0.73511907172680402</v>
      </c>
      <c r="AI5260">
        <v>97.307191749845998</v>
      </c>
      <c r="AJ5260">
        <v>119.68986658359501</v>
      </c>
      <c r="AK5260">
        <v>0.85313907833523095</v>
      </c>
      <c r="AL5260">
        <v>95.471253486084095</v>
      </c>
      <c r="AM5260">
        <v>111.89544584729001</v>
      </c>
      <c r="AN5260">
        <v>1.0000000106250799</v>
      </c>
    </row>
    <row r="5261" spans="1:40" x14ac:dyDescent="0.25">
      <c r="A5261" t="str">
        <f>"20190303154622725"</f>
        <v>20190303154622725</v>
      </c>
      <c r="B5261" t="str">
        <f>"1551599182716642"</f>
        <v>1551599182716642</v>
      </c>
      <c r="C5261" t="s">
        <v>40</v>
      </c>
      <c r="D5261">
        <v>5.4550589999999897</v>
      </c>
      <c r="E5261">
        <v>0.47442420000000002</v>
      </c>
      <c r="F5261" t="s">
        <v>42</v>
      </c>
      <c r="G5261">
        <v>-414.53440000000001</v>
      </c>
      <c r="H5261">
        <v>1.01326</v>
      </c>
      <c r="I5261">
        <v>23.20607</v>
      </c>
      <c r="J5261">
        <v>-415.40010000000001</v>
      </c>
      <c r="K5261">
        <v>1.1256999999999999</v>
      </c>
      <c r="L5261">
        <v>23.4209</v>
      </c>
      <c r="M5261">
        <v>0.73089219999999999</v>
      </c>
      <c r="N5261">
        <v>-1.4248800000000001E-2</v>
      </c>
      <c r="O5261">
        <v>-0.68234430000000001</v>
      </c>
      <c r="P5261">
        <v>0.92624399999999996</v>
      </c>
      <c r="Q5261">
        <v>-0.104486</v>
      </c>
      <c r="R5261">
        <v>-0.36215360000000002</v>
      </c>
      <c r="S5261">
        <v>2.848236</v>
      </c>
      <c r="T5261">
        <v>-0.32409549999999998</v>
      </c>
      <c r="U5261">
        <v>-0.90805049999999998</v>
      </c>
      <c r="V5261">
        <v>-0.36629460000000003</v>
      </c>
      <c r="W5261">
        <v>-9.5489050000000006E-2</v>
      </c>
      <c r="X5261">
        <v>0.92558640000000003</v>
      </c>
      <c r="Y5261">
        <v>-0.42322490000000001</v>
      </c>
      <c r="Z5261">
        <v>8.3864030000000006E-2</v>
      </c>
      <c r="AA5261">
        <v>0.90213500000000002</v>
      </c>
      <c r="AB5261">
        <v>17</v>
      </c>
      <c r="AC5261">
        <v>0.86570000000000302</v>
      </c>
      <c r="AD5261">
        <v>-0.112439999999999</v>
      </c>
      <c r="AE5261">
        <v>-0.21482999999999899</v>
      </c>
      <c r="AF5261">
        <v>-0.42694723267025297</v>
      </c>
      <c r="AG5261">
        <v>-0.112439999999999</v>
      </c>
      <c r="AH5261">
        <v>0.76720868829172495</v>
      </c>
      <c r="AI5261">
        <v>97.297749111575897</v>
      </c>
      <c r="AJ5261">
        <v>119.095686744684</v>
      </c>
      <c r="AK5261">
        <v>0.88517561222341401</v>
      </c>
      <c r="AL5261">
        <v>95.4794680689362</v>
      </c>
      <c r="AM5261">
        <v>111.590849678097</v>
      </c>
      <c r="AN5261">
        <v>1.00000003826201</v>
      </c>
    </row>
    <row r="5262" spans="1:40" x14ac:dyDescent="0.25">
      <c r="A5262" t="str">
        <f>"20190303154622747"</f>
        <v>20190303154622747</v>
      </c>
      <c r="B5262" t="str">
        <f>"1551599182736162"</f>
        <v>1551599182736162</v>
      </c>
      <c r="C5262" t="s">
        <v>40</v>
      </c>
      <c r="D5262">
        <v>5.3637129999999997</v>
      </c>
      <c r="E5262">
        <v>0.47456690000000001</v>
      </c>
      <c r="F5262" t="s">
        <v>60</v>
      </c>
      <c r="G5262">
        <v>-405.54109999999997</v>
      </c>
      <c r="H5262" s="1">
        <v>-3.644739E-6</v>
      </c>
      <c r="I5262">
        <v>20.32339</v>
      </c>
      <c r="J5262">
        <v>-415.26949999999999</v>
      </c>
      <c r="K5262">
        <v>1.1256820000000001</v>
      </c>
      <c r="L5262">
        <v>23.316040000000001</v>
      </c>
      <c r="M5262">
        <v>0.73792899999999995</v>
      </c>
      <c r="N5262">
        <v>-1.424508E-2</v>
      </c>
      <c r="O5262">
        <v>-0.67472809999999905</v>
      </c>
      <c r="P5262">
        <v>0.92821819999999999</v>
      </c>
      <c r="Q5262">
        <v>-0.1045654</v>
      </c>
      <c r="R5262">
        <v>-0.35703950000000001</v>
      </c>
      <c r="S5262">
        <v>2.8518370000000002</v>
      </c>
      <c r="T5262">
        <v>-0.32562449999999998</v>
      </c>
      <c r="U5262">
        <v>-0.89599609999999996</v>
      </c>
      <c r="V5262">
        <v>-0.36180119999999999</v>
      </c>
      <c r="W5262">
        <v>-9.5478220000000003E-2</v>
      </c>
      <c r="X5262">
        <v>0.92735310000000004</v>
      </c>
      <c r="Y5262">
        <v>-0.41763440000000002</v>
      </c>
      <c r="Z5262">
        <v>8.3482089999999995E-2</v>
      </c>
      <c r="AA5262">
        <v>0.90477200000000002</v>
      </c>
      <c r="AB5262">
        <v>17</v>
      </c>
      <c r="AC5262">
        <v>9.7284000000000201</v>
      </c>
      <c r="AD5262">
        <v>-1.125685644739</v>
      </c>
      <c r="AE5262">
        <v>-2.9926499999999998</v>
      </c>
      <c r="AF5262">
        <v>-4.3034649611029501</v>
      </c>
      <c r="AG5262">
        <v>-1.125685644739</v>
      </c>
      <c r="AH5262">
        <v>9.0878669238625296</v>
      </c>
      <c r="AI5262">
        <v>96.387634354897003</v>
      </c>
      <c r="AJ5262">
        <v>115.33940886692901</v>
      </c>
      <c r="AK5262">
        <v>10.118117614855301</v>
      </c>
      <c r="AL5262">
        <v>95.478844997776307</v>
      </c>
      <c r="AM5262">
        <v>111.312942053885</v>
      </c>
      <c r="AN5262">
        <v>0.99999998544770896</v>
      </c>
    </row>
    <row r="5263" spans="1:40" x14ac:dyDescent="0.25">
      <c r="A5263" t="str">
        <f>"20190303154622769"</f>
        <v>20190303154622769</v>
      </c>
      <c r="B5263" t="str">
        <f>"1551599182766418"</f>
        <v>1551599182766418</v>
      </c>
      <c r="C5263" t="s">
        <v>40</v>
      </c>
      <c r="D5263">
        <v>5.3707250000000002</v>
      </c>
      <c r="E5263">
        <v>0.4750759</v>
      </c>
      <c r="F5263" t="s">
        <v>60</v>
      </c>
      <c r="G5263">
        <v>-405.43290000000002</v>
      </c>
      <c r="H5263" s="1">
        <v>-3.6993880000000002E-6</v>
      </c>
      <c r="I5263">
        <v>20.281189999999999</v>
      </c>
      <c r="J5263">
        <v>-415.14609999999999</v>
      </c>
      <c r="K5263">
        <v>1.125667</v>
      </c>
      <c r="L5263">
        <v>23.218900000000001</v>
      </c>
      <c r="M5263">
        <v>0.744457699999999</v>
      </c>
      <c r="N5263">
        <v>-1.4241210000000001E-2</v>
      </c>
      <c r="O5263">
        <v>-0.66751780000000005</v>
      </c>
      <c r="P5263">
        <v>0.93004200000000004</v>
      </c>
      <c r="Q5263">
        <v>-0.1048173</v>
      </c>
      <c r="R5263">
        <v>-0.35218650000000001</v>
      </c>
      <c r="S5263">
        <v>2.8562319999999999</v>
      </c>
      <c r="T5263">
        <v>-0.32686399999999999</v>
      </c>
      <c r="U5263">
        <v>-0.88122559999999905</v>
      </c>
      <c r="V5263">
        <v>-0.35760940000000002</v>
      </c>
      <c r="W5263">
        <v>-9.5646110000000006E-2</v>
      </c>
      <c r="X5263">
        <v>0.92896029999999996</v>
      </c>
      <c r="Y5263">
        <v>-0.41347299999999998</v>
      </c>
      <c r="Z5263">
        <v>8.3107970000000003E-2</v>
      </c>
      <c r="AA5263">
        <v>0.90671559999999995</v>
      </c>
      <c r="AB5263">
        <v>17</v>
      </c>
      <c r="AC5263">
        <v>9.7131999999999703</v>
      </c>
      <c r="AD5263">
        <v>-1.1256706993879999</v>
      </c>
      <c r="AE5263">
        <v>-2.93771</v>
      </c>
      <c r="AF5263">
        <v>-4.2449343186342698</v>
      </c>
      <c r="AG5263">
        <v>-1.1256706993879999</v>
      </c>
      <c r="AH5263">
        <v>9.0812267169872101</v>
      </c>
      <c r="AI5263">
        <v>96.407092903679199</v>
      </c>
      <c r="AJ5263">
        <v>115.053297129342</v>
      </c>
      <c r="AK5263">
        <v>10.0873822460686</v>
      </c>
      <c r="AL5263">
        <v>95.488508806550897</v>
      </c>
      <c r="AM5263">
        <v>111.054539997652</v>
      </c>
      <c r="AN5263">
        <v>0.99999995015128895</v>
      </c>
    </row>
    <row r="5264" spans="1:40" x14ac:dyDescent="0.25">
      <c r="A5264" t="str">
        <f>"20190303154622794"</f>
        <v>20190303154622794</v>
      </c>
      <c r="B5264" t="str">
        <f>"1551599182786914"</f>
        <v>1551599182786914</v>
      </c>
      <c r="C5264" t="s">
        <v>40</v>
      </c>
      <c r="D5264">
        <v>5.3720650000000001</v>
      </c>
      <c r="E5264">
        <v>0.47532360000000001</v>
      </c>
      <c r="F5264" t="s">
        <v>60</v>
      </c>
      <c r="G5264">
        <v>-405.1746</v>
      </c>
      <c r="H5264" s="1">
        <v>-3.8247869999999996E-6</v>
      </c>
      <c r="I5264">
        <v>20.184259999999998</v>
      </c>
      <c r="J5264">
        <v>-415.00330000000002</v>
      </c>
      <c r="K5264">
        <v>1.125648</v>
      </c>
      <c r="L5264">
        <v>23.108889999999999</v>
      </c>
      <c r="M5264">
        <v>0.75186030000000004</v>
      </c>
      <c r="N5264">
        <v>-1.4236449999999999E-2</v>
      </c>
      <c r="O5264">
        <v>-0.6591688</v>
      </c>
      <c r="P5264">
        <v>0.93251139999999999</v>
      </c>
      <c r="Q5264">
        <v>-0.1036113</v>
      </c>
      <c r="R5264">
        <v>-0.34595870000000001</v>
      </c>
      <c r="S5264">
        <v>2.8597109999999999</v>
      </c>
      <c r="T5264">
        <v>-0.32282919999999998</v>
      </c>
      <c r="U5264">
        <v>-0.87030030000000003</v>
      </c>
      <c r="V5264">
        <v>-0.35356650000000001</v>
      </c>
      <c r="W5264">
        <v>-9.4355120000000001E-2</v>
      </c>
      <c r="X5264">
        <v>0.93063839999999998</v>
      </c>
      <c r="Y5264">
        <v>-0.40698220000000002</v>
      </c>
      <c r="Z5264">
        <v>8.1074950000000007E-2</v>
      </c>
      <c r="AA5264">
        <v>0.90983099999999995</v>
      </c>
      <c r="AB5264">
        <v>17</v>
      </c>
      <c r="AC5264">
        <v>9.8287000000000209</v>
      </c>
      <c r="AD5264">
        <v>-1.125651824787</v>
      </c>
      <c r="AE5264">
        <v>-2.9246299999999898</v>
      </c>
      <c r="AF5264">
        <v>-4.22933124071844</v>
      </c>
      <c r="AG5264">
        <v>-1.125651824787</v>
      </c>
      <c r="AH5264">
        <v>9.2076303262207002</v>
      </c>
      <c r="AI5264">
        <v>96.3391735224413</v>
      </c>
      <c r="AJ5264">
        <v>114.670688988873</v>
      </c>
      <c r="AK5264">
        <v>10.1948413915422</v>
      </c>
      <c r="AL5264">
        <v>95.414204212475795</v>
      </c>
      <c r="AM5264">
        <v>110.802697325987</v>
      </c>
      <c r="AN5264">
        <v>0.999999995073512</v>
      </c>
    </row>
    <row r="5265" spans="1:40" x14ac:dyDescent="0.25">
      <c r="A5265" t="str">
        <f>"20190303154622808"</f>
        <v>20190303154622808</v>
      </c>
      <c r="B5265" t="str">
        <f>"1551599182796950"</f>
        <v>1551599182796950</v>
      </c>
      <c r="C5265" t="s">
        <v>40</v>
      </c>
      <c r="D5265">
        <v>5.3689070000000001</v>
      </c>
      <c r="E5265">
        <v>0.47541689999999998</v>
      </c>
      <c r="F5265" t="s">
        <v>60</v>
      </c>
      <c r="G5265">
        <v>-404.87909999999999</v>
      </c>
      <c r="H5265" s="1">
        <v>-3.9545370000000004E-6</v>
      </c>
      <c r="I5265">
        <v>20.09442</v>
      </c>
      <c r="J5265">
        <v>-414.91840000000002</v>
      </c>
      <c r="K5265">
        <v>1.12564</v>
      </c>
      <c r="L5265">
        <v>23.04468</v>
      </c>
      <c r="M5265">
        <v>0.75618739999999995</v>
      </c>
      <c r="N5265">
        <v>-1.423349E-2</v>
      </c>
      <c r="O5265">
        <v>-0.65420040000000002</v>
      </c>
      <c r="P5265">
        <v>0.93423710000000004</v>
      </c>
      <c r="Q5265">
        <v>-0.1032488</v>
      </c>
      <c r="R5265">
        <v>-0.34138079999999998</v>
      </c>
      <c r="S5265">
        <v>2.8652340000000001</v>
      </c>
      <c r="T5265">
        <v>-0.31856830000000003</v>
      </c>
      <c r="U5265">
        <v>-0.85311890000000001</v>
      </c>
      <c r="V5265">
        <v>-0.35203459999999998</v>
      </c>
      <c r="W5265">
        <v>-9.3957890000000002E-2</v>
      </c>
      <c r="X5265">
        <v>0.93125919999999895</v>
      </c>
      <c r="Y5265">
        <v>-0.40661370000000002</v>
      </c>
      <c r="Z5265">
        <v>7.9546560000000002E-2</v>
      </c>
      <c r="AA5265">
        <v>0.91013060000000001</v>
      </c>
      <c r="AB5265">
        <v>17</v>
      </c>
      <c r="AC5265">
        <v>10.039300000000001</v>
      </c>
      <c r="AD5265">
        <v>-1.1256439545370001</v>
      </c>
      <c r="AE5265">
        <v>-2.9502599999999899</v>
      </c>
      <c r="AF5265">
        <v>-4.2875862713784096</v>
      </c>
      <c r="AG5265">
        <v>-1.1256439545370001</v>
      </c>
      <c r="AH5265">
        <v>9.4136790843362501</v>
      </c>
      <c r="AI5265">
        <v>96.210473768116898</v>
      </c>
      <c r="AJ5265">
        <v>114.4875281593</v>
      </c>
      <c r="AK5265">
        <v>10.4051825668638</v>
      </c>
      <c r="AL5265">
        <v>95.3913426355778</v>
      </c>
      <c r="AM5265">
        <v>110.707594633086</v>
      </c>
      <c r="AN5265">
        <v>1.0000000711375201</v>
      </c>
    </row>
    <row r="5266" spans="1:40" x14ac:dyDescent="0.25">
      <c r="A5266" t="str">
        <f>"20190303154622827"</f>
        <v>20190303154622827</v>
      </c>
      <c r="B5266" t="str">
        <f>"1551599182816469"</f>
        <v>1551599182816469</v>
      </c>
      <c r="C5266" t="s">
        <v>40</v>
      </c>
      <c r="D5266">
        <v>5.316516</v>
      </c>
      <c r="E5266">
        <v>0.47568899999999997</v>
      </c>
      <c r="F5266" t="s">
        <v>60</v>
      </c>
      <c r="G5266">
        <v>-404.74509999999998</v>
      </c>
      <c r="H5266" s="1">
        <v>-4.0121930000000003E-6</v>
      </c>
      <c r="I5266">
        <v>20.06756</v>
      </c>
      <c r="J5266">
        <v>-414.80880000000002</v>
      </c>
      <c r="K5266">
        <v>1.1256189999999999</v>
      </c>
      <c r="L5266">
        <v>22.963170000000002</v>
      </c>
      <c r="M5266">
        <v>0.76168719999999901</v>
      </c>
      <c r="N5266">
        <v>-1.4229500000000001E-2</v>
      </c>
      <c r="O5266">
        <v>-0.6477889</v>
      </c>
      <c r="P5266">
        <v>0.93638160000000004</v>
      </c>
      <c r="Q5266">
        <v>-0.10202890000000001</v>
      </c>
      <c r="R5266">
        <v>-0.33582699999999999</v>
      </c>
      <c r="S5266">
        <v>2.8692630000000001</v>
      </c>
      <c r="T5266">
        <v>-0.31747439999999999</v>
      </c>
      <c r="U5266">
        <v>-0.83966059999999998</v>
      </c>
      <c r="V5266">
        <v>-0.34980349999999999</v>
      </c>
      <c r="W5266">
        <v>-9.2688789999999993E-2</v>
      </c>
      <c r="X5266">
        <v>0.93222649999999996</v>
      </c>
      <c r="Y5266">
        <v>-0.40325040000000001</v>
      </c>
      <c r="Z5266">
        <v>7.8629969999999993E-2</v>
      </c>
      <c r="AA5266">
        <v>0.91170530000000005</v>
      </c>
      <c r="AB5266">
        <v>17</v>
      </c>
      <c r="AC5266">
        <v>10.063700000000001</v>
      </c>
      <c r="AD5266">
        <v>-1.125623012193</v>
      </c>
      <c r="AE5266">
        <v>-2.89561</v>
      </c>
      <c r="AF5266">
        <v>-4.2647656135357703</v>
      </c>
      <c r="AG5266">
        <v>-1.125623012193</v>
      </c>
      <c r="AH5266">
        <v>9.4331111074402596</v>
      </c>
      <c r="AI5266">
        <v>96.205439551398996</v>
      </c>
      <c r="AJ5266">
        <v>114.32800862972201</v>
      </c>
      <c r="AK5266">
        <v>10.413397047519499</v>
      </c>
      <c r="AL5266">
        <v>95.318310355060206</v>
      </c>
      <c r="AM5266">
        <v>110.567821292099</v>
      </c>
      <c r="AN5266">
        <v>0.99999997385308104</v>
      </c>
    </row>
    <row r="5267" spans="1:40" x14ac:dyDescent="0.25">
      <c r="A5267" t="str">
        <f>"20190303154622848"</f>
        <v>20190303154622848</v>
      </c>
      <c r="B5267" t="str">
        <f>"1551599182836965"</f>
        <v>1551599182836965</v>
      </c>
      <c r="C5267" t="s">
        <v>40</v>
      </c>
      <c r="D5267">
        <v>5.3084089999999904</v>
      </c>
      <c r="E5267">
        <v>0.47601460000000001</v>
      </c>
      <c r="F5267" t="s">
        <v>60</v>
      </c>
      <c r="G5267">
        <v>-404.44709999999998</v>
      </c>
      <c r="H5267" s="1">
        <v>-4.1371169999999996E-6</v>
      </c>
      <c r="I5267">
        <v>19.98958</v>
      </c>
      <c r="J5267">
        <v>-414.68599999999998</v>
      </c>
      <c r="K5267">
        <v>1.1255980000000001</v>
      </c>
      <c r="L5267">
        <v>22.873349999999999</v>
      </c>
      <c r="M5267">
        <v>0.76775389999999999</v>
      </c>
      <c r="N5267">
        <v>-1.422489E-2</v>
      </c>
      <c r="O5267">
        <v>-0.64058709999999996</v>
      </c>
      <c r="P5267">
        <v>0.938473</v>
      </c>
      <c r="Q5267">
        <v>-0.1026667</v>
      </c>
      <c r="R5267">
        <v>-0.32973970000000002</v>
      </c>
      <c r="S5267">
        <v>2.873993</v>
      </c>
      <c r="T5267">
        <v>-0.3122084</v>
      </c>
      <c r="U5267">
        <v>-0.8247681</v>
      </c>
      <c r="V5267">
        <v>-0.34703319999999999</v>
      </c>
      <c r="W5267">
        <v>-9.3271320000000005E-2</v>
      </c>
      <c r="X5267">
        <v>0.93320329999999996</v>
      </c>
      <c r="Y5267">
        <v>-0.3996036</v>
      </c>
      <c r="Z5267">
        <v>7.6527029999999996E-2</v>
      </c>
      <c r="AA5267">
        <v>0.91348810000000003</v>
      </c>
      <c r="AB5267">
        <v>17</v>
      </c>
      <c r="AC5267">
        <v>10.238899999999999</v>
      </c>
      <c r="AD5267">
        <v>-1.125602137117</v>
      </c>
      <c r="AE5267">
        <v>-2.88376999999999</v>
      </c>
      <c r="AF5267">
        <v>-4.2972039603010996</v>
      </c>
      <c r="AG5267">
        <v>-1.125602137117</v>
      </c>
      <c r="AH5267">
        <v>9.6017297287349503</v>
      </c>
      <c r="AI5267">
        <v>96.107514730160901</v>
      </c>
      <c r="AJ5267">
        <v>114.11065320316899</v>
      </c>
      <c r="AK5267">
        <v>10.579515859961701</v>
      </c>
      <c r="AL5267">
        <v>95.351831996837603</v>
      </c>
      <c r="AM5267">
        <v>110.398813576272</v>
      </c>
      <c r="AN5267">
        <v>0.999999990083836</v>
      </c>
    </row>
    <row r="5268" spans="1:40" x14ac:dyDescent="0.25">
      <c r="A5268" t="str">
        <f>"20190303154622872"</f>
        <v>20190303154622872</v>
      </c>
      <c r="B5268" t="str">
        <f>"1551599182866246"</f>
        <v>1551599182866246</v>
      </c>
      <c r="C5268" t="s">
        <v>40</v>
      </c>
      <c r="D5268">
        <v>5.3112029999999999</v>
      </c>
      <c r="E5268">
        <v>0.47647410000000001</v>
      </c>
      <c r="F5268" t="s">
        <v>60</v>
      </c>
      <c r="G5268">
        <v>-404.30399999999997</v>
      </c>
      <c r="H5268" s="1">
        <v>-4.1979339999999997E-6</v>
      </c>
      <c r="I5268">
        <v>19.95693</v>
      </c>
      <c r="J5268">
        <v>-414.54309999999998</v>
      </c>
      <c r="K5268">
        <v>1.125577</v>
      </c>
      <c r="L5268">
        <v>22.771239999999999</v>
      </c>
      <c r="M5268">
        <v>0.77466590000000002</v>
      </c>
      <c r="N5268">
        <v>-1.421941E-2</v>
      </c>
      <c r="O5268">
        <v>-0.63221090000000002</v>
      </c>
      <c r="P5268">
        <v>0.94086099999999995</v>
      </c>
      <c r="Q5268">
        <v>-0.1043569</v>
      </c>
      <c r="R5268">
        <v>-0.32232</v>
      </c>
      <c r="S5268">
        <v>2.8784480000000001</v>
      </c>
      <c r="T5268">
        <v>-0.3120791</v>
      </c>
      <c r="U5268">
        <v>-0.80859380000000003</v>
      </c>
      <c r="V5268">
        <v>-0.3441361</v>
      </c>
      <c r="W5268">
        <v>-9.4905519999999993E-2</v>
      </c>
      <c r="X5268">
        <v>0.93411089999999997</v>
      </c>
      <c r="Y5268">
        <v>-0.39483249999999998</v>
      </c>
      <c r="Z5268">
        <v>7.5669849999999997E-2</v>
      </c>
      <c r="AA5268">
        <v>0.91563170000000005</v>
      </c>
      <c r="AB5268">
        <v>17</v>
      </c>
      <c r="AC5268">
        <v>10.239099999999899</v>
      </c>
      <c r="AD5268">
        <v>-1.125581197934</v>
      </c>
      <c r="AE5268">
        <v>-2.8143099999999901</v>
      </c>
      <c r="AF5268">
        <v>-4.2458494398702502</v>
      </c>
      <c r="AG5268">
        <v>-1.125581197934</v>
      </c>
      <c r="AH5268">
        <v>9.6041907433943301</v>
      </c>
      <c r="AI5268">
        <v>96.118151152209194</v>
      </c>
      <c r="AJ5268">
        <v>113.84940678972301</v>
      </c>
      <c r="AK5268">
        <v>10.560996654420901</v>
      </c>
      <c r="AL5268">
        <v>95.445882247505594</v>
      </c>
      <c r="AM5268">
        <v>110.22431822543</v>
      </c>
      <c r="AN5268">
        <v>0.99999994327424302</v>
      </c>
    </row>
    <row r="5269" spans="1:40" x14ac:dyDescent="0.25">
      <c r="A5269" t="str">
        <f>"20190303154622896"</f>
        <v>20190303154622896</v>
      </c>
      <c r="B5269" t="str">
        <f>"1551599182886742"</f>
        <v>1551599182886742</v>
      </c>
      <c r="C5269" t="s">
        <v>40</v>
      </c>
      <c r="D5269">
        <v>5.3387989999999999</v>
      </c>
      <c r="E5269">
        <v>0.47661039999999999</v>
      </c>
      <c r="F5269" t="s">
        <v>60</v>
      </c>
      <c r="G5269">
        <v>-404.23669999999998</v>
      </c>
      <c r="H5269" s="1">
        <v>-4.2279559999999996E-6</v>
      </c>
      <c r="I5269">
        <v>19.949439999999999</v>
      </c>
      <c r="J5269">
        <v>-414.40159999999997</v>
      </c>
      <c r="K5269">
        <v>1.1255569999999999</v>
      </c>
      <c r="L5269">
        <v>22.672270000000001</v>
      </c>
      <c r="M5269">
        <v>0.78137380000000001</v>
      </c>
      <c r="N5269">
        <v>-1.4213969999999999E-2</v>
      </c>
      <c r="O5269">
        <v>-0.62390159999999995</v>
      </c>
      <c r="P5269">
        <v>0.94329300000000005</v>
      </c>
      <c r="Q5269">
        <v>-0.1043563</v>
      </c>
      <c r="R5269">
        <v>-0.31513200000000002</v>
      </c>
      <c r="S5269">
        <v>2.8832089999999999</v>
      </c>
      <c r="T5269">
        <v>-0.31488129999999998</v>
      </c>
      <c r="U5269">
        <v>-0.78939820000000005</v>
      </c>
      <c r="V5269">
        <v>-0.34129419999999999</v>
      </c>
      <c r="W5269">
        <v>-9.4847860000000006E-2</v>
      </c>
      <c r="X5269">
        <v>0.93515890000000002</v>
      </c>
      <c r="Y5269">
        <v>-0.39104430000000001</v>
      </c>
      <c r="Z5269">
        <v>7.5634380000000001E-2</v>
      </c>
      <c r="AA5269">
        <v>0.91725889999999999</v>
      </c>
      <c r="AB5269">
        <v>17</v>
      </c>
      <c r="AC5269">
        <v>10.1648999999999</v>
      </c>
      <c r="AD5269">
        <v>-1.1255612279560001</v>
      </c>
      <c r="AE5269">
        <v>-2.7228300000000001</v>
      </c>
      <c r="AF5269">
        <v>-4.16710167469083</v>
      </c>
      <c r="AG5269">
        <v>-1.1255612279560001</v>
      </c>
      <c r="AH5269">
        <v>9.5332738118920606</v>
      </c>
      <c r="AI5269">
        <v>96.174417485687599</v>
      </c>
      <c r="AJ5269">
        <v>113.61068196226999</v>
      </c>
      <c r="AK5269">
        <v>10.4649383188624</v>
      </c>
      <c r="AL5269">
        <v>95.442563249715207</v>
      </c>
      <c r="AM5269">
        <v>110.049984453658</v>
      </c>
      <c r="AN5269">
        <v>1.00000000787471</v>
      </c>
    </row>
    <row r="5270" spans="1:40" x14ac:dyDescent="0.25">
      <c r="A5270" t="str">
        <f>"20190303154622917"</f>
        <v>20190303154622917</v>
      </c>
      <c r="B5270" t="str">
        <f>"1551599182906769"</f>
        <v>1551599182906769</v>
      </c>
      <c r="C5270" t="s">
        <v>40</v>
      </c>
      <c r="D5270">
        <v>5.3516570000000003</v>
      </c>
      <c r="E5270">
        <v>0.47680309999999998</v>
      </c>
      <c r="F5270" t="s">
        <v>60</v>
      </c>
      <c r="G5270">
        <v>-404.08539999999999</v>
      </c>
      <c r="H5270" s="1">
        <v>-4.2947669999999997E-6</v>
      </c>
      <c r="I5270">
        <v>19.92869</v>
      </c>
      <c r="J5270">
        <v>-414.27539999999999</v>
      </c>
      <c r="K5270">
        <v>1.1255379999999999</v>
      </c>
      <c r="L5270">
        <v>22.585909999999998</v>
      </c>
      <c r="M5270">
        <v>0.78723409999999905</v>
      </c>
      <c r="N5270">
        <v>-1.4208810000000001E-2</v>
      </c>
      <c r="O5270">
        <v>-0.61649049999999905</v>
      </c>
      <c r="P5270">
        <v>0.94524529999999995</v>
      </c>
      <c r="Q5270">
        <v>-0.1049272</v>
      </c>
      <c r="R5270">
        <v>-0.30903320000000001</v>
      </c>
      <c r="S5270">
        <v>2.8888240000000001</v>
      </c>
      <c r="T5270">
        <v>-0.315189099999999</v>
      </c>
      <c r="U5270">
        <v>-0.76827999999999996</v>
      </c>
      <c r="V5270">
        <v>-0.33845950000000002</v>
      </c>
      <c r="W5270">
        <v>-9.536348E-2</v>
      </c>
      <c r="X5270">
        <v>0.93613619999999997</v>
      </c>
      <c r="Y5270">
        <v>-0.3890866</v>
      </c>
      <c r="Z5270">
        <v>7.5085170000000007E-2</v>
      </c>
      <c r="AA5270">
        <v>0.91813610000000001</v>
      </c>
      <c r="AB5270">
        <v>17</v>
      </c>
      <c r="AC5270">
        <v>10.1899999999999</v>
      </c>
      <c r="AD5270">
        <v>-1.125542294767</v>
      </c>
      <c r="AE5270">
        <v>-2.6572200000000001</v>
      </c>
      <c r="AF5270">
        <v>-4.1432758824470399</v>
      </c>
      <c r="AG5270">
        <v>-1.125542294767</v>
      </c>
      <c r="AH5270">
        <v>9.5519242106243105</v>
      </c>
      <c r="AI5270">
        <v>96.169849581573999</v>
      </c>
      <c r="AJ5270">
        <v>113.449438858948</v>
      </c>
      <c r="AK5270">
        <v>10.472479965170001</v>
      </c>
      <c r="AL5270">
        <v>95.472240633675995</v>
      </c>
      <c r="AM5270">
        <v>109.87742747590499</v>
      </c>
      <c r="AN5270">
        <v>1.0000000057042</v>
      </c>
    </row>
    <row r="5271" spans="1:40" x14ac:dyDescent="0.25">
      <c r="A5271" t="str">
        <f>"20190303154622938"</f>
        <v>20190303154622938</v>
      </c>
      <c r="B5271" t="str">
        <f>"1551599182926289"</f>
        <v>1551599182926289</v>
      </c>
      <c r="C5271" t="s">
        <v>40</v>
      </c>
      <c r="D5271">
        <v>5.3439750000000004</v>
      </c>
      <c r="E5271">
        <v>0.47684900000000002</v>
      </c>
      <c r="F5271" t="s">
        <v>60</v>
      </c>
      <c r="G5271">
        <v>-403.97449999999998</v>
      </c>
      <c r="H5271" s="1">
        <v>-4.3433099999999901E-6</v>
      </c>
      <c r="I5271">
        <v>19.911300000000001</v>
      </c>
      <c r="J5271">
        <v>-414.1481</v>
      </c>
      <c r="K5271">
        <v>1.1255010000000001</v>
      </c>
      <c r="L5271">
        <v>22.50055</v>
      </c>
      <c r="M5271">
        <v>0.79303049999999997</v>
      </c>
      <c r="N5271">
        <v>-1.4202899999999999E-2</v>
      </c>
      <c r="O5271">
        <v>-0.60901649999999996</v>
      </c>
      <c r="P5271">
        <v>0.94703170000000003</v>
      </c>
      <c r="Q5271">
        <v>-0.1068301</v>
      </c>
      <c r="R5271">
        <v>-0.30285089999999998</v>
      </c>
      <c r="S5271">
        <v>2.893097</v>
      </c>
      <c r="T5271">
        <v>-0.31611980000000001</v>
      </c>
      <c r="U5271">
        <v>-0.75119019999999903</v>
      </c>
      <c r="V5271">
        <v>-0.33557789999999998</v>
      </c>
      <c r="W5271">
        <v>-9.7209799999999999E-2</v>
      </c>
      <c r="X5271">
        <v>0.93698329999999996</v>
      </c>
      <c r="Y5271">
        <v>-0.38580429999999999</v>
      </c>
      <c r="Z5271">
        <v>7.461711E-2</v>
      </c>
      <c r="AA5271">
        <v>0.91955819999999999</v>
      </c>
      <c r="AB5271">
        <v>17</v>
      </c>
      <c r="AC5271">
        <v>10.1736</v>
      </c>
      <c r="AD5271">
        <v>-1.12550534331</v>
      </c>
      <c r="AE5271">
        <v>-2.5892499999999998</v>
      </c>
      <c r="AF5271">
        <v>-4.0958736780330698</v>
      </c>
      <c r="AG5271">
        <v>-1.12550534331</v>
      </c>
      <c r="AH5271">
        <v>9.5362292880362691</v>
      </c>
      <c r="AI5271">
        <v>96.189228748299797</v>
      </c>
      <c r="AJ5271">
        <v>113.243843524065</v>
      </c>
      <c r="AK5271">
        <v>10.439473765388</v>
      </c>
      <c r="AL5271">
        <v>95.578520904694997</v>
      </c>
      <c r="AM5271">
        <v>109.70484039316599</v>
      </c>
      <c r="AN5271">
        <v>0.99999998833166903</v>
      </c>
    </row>
    <row r="5272" spans="1:40" x14ac:dyDescent="0.25">
      <c r="A5272" t="str">
        <f>"20190303154622960"</f>
        <v>20190303154622960</v>
      </c>
      <c r="B5272" t="str">
        <f>"1551599182956545"</f>
        <v>1551599182956545</v>
      </c>
      <c r="C5272" t="s">
        <v>40</v>
      </c>
      <c r="D5272">
        <v>5.3633739999999896</v>
      </c>
      <c r="E5272">
        <v>0.47697899999999999</v>
      </c>
      <c r="F5272" t="s">
        <v>60</v>
      </c>
      <c r="G5272">
        <v>-404.04719999999998</v>
      </c>
      <c r="H5272" s="1">
        <v>-4.3156809999999997E-6</v>
      </c>
      <c r="I5272">
        <v>19.946429999999999</v>
      </c>
      <c r="J5272">
        <v>-414.01429999999999</v>
      </c>
      <c r="K5272">
        <v>1.125467</v>
      </c>
      <c r="L5272">
        <v>22.412659999999999</v>
      </c>
      <c r="M5272">
        <v>0.79899419999999899</v>
      </c>
      <c r="N5272">
        <v>-1.41955E-2</v>
      </c>
      <c r="O5272">
        <v>-0.60117129999999996</v>
      </c>
      <c r="P5272">
        <v>0.94872310000000004</v>
      </c>
      <c r="Q5272">
        <v>-0.1098586</v>
      </c>
      <c r="R5272">
        <v>-0.29640429999999901</v>
      </c>
      <c r="S5272">
        <v>2.897125</v>
      </c>
      <c r="T5272">
        <v>-0.3228182</v>
      </c>
      <c r="U5272">
        <v>-0.73257450000000002</v>
      </c>
      <c r="V5272">
        <v>-0.33248450000000002</v>
      </c>
      <c r="W5272">
        <v>-0.1001756</v>
      </c>
      <c r="X5272">
        <v>0.93777339999999998</v>
      </c>
      <c r="Y5272">
        <v>-0.38242019999999999</v>
      </c>
      <c r="Z5272">
        <v>7.5574089999999997E-2</v>
      </c>
      <c r="AA5272">
        <v>0.92089270000000001</v>
      </c>
      <c r="AB5272">
        <v>17</v>
      </c>
      <c r="AC5272">
        <v>9.9671000000000092</v>
      </c>
      <c r="AD5272">
        <v>-1.1254713156809999</v>
      </c>
      <c r="AE5272">
        <v>-2.4662299999999902</v>
      </c>
      <c r="AF5272">
        <v>-3.9740872380899499</v>
      </c>
      <c r="AG5272">
        <v>-1.1254713156809999</v>
      </c>
      <c r="AH5272">
        <v>9.3350719951409893</v>
      </c>
      <c r="AI5272">
        <v>96.329938209636694</v>
      </c>
      <c r="AJ5272">
        <v>113.0602187577</v>
      </c>
      <c r="AK5272">
        <v>10.208017643638501</v>
      </c>
      <c r="AL5272">
        <v>95.749282267082705</v>
      </c>
      <c r="AM5272">
        <v>109.521795603448</v>
      </c>
      <c r="AN5272">
        <v>1.0000000216615801</v>
      </c>
    </row>
    <row r="5273" spans="1:40" x14ac:dyDescent="0.25">
      <c r="A5273" t="str">
        <f>"20190303154622983"</f>
        <v>20190303154622983</v>
      </c>
      <c r="B5273" t="str">
        <f>"1551599182976065"</f>
        <v>1551599182976065</v>
      </c>
      <c r="C5273" t="s">
        <v>40</v>
      </c>
      <c r="D5273">
        <v>5.3625990000000003</v>
      </c>
      <c r="E5273">
        <v>0.4771591</v>
      </c>
      <c r="F5273" t="s">
        <v>60</v>
      </c>
      <c r="G5273">
        <v>-404.19749999999999</v>
      </c>
      <c r="H5273" s="1">
        <v>-4.254703E-6</v>
      </c>
      <c r="I5273">
        <v>19.99701</v>
      </c>
      <c r="J5273">
        <v>-413.87049999999999</v>
      </c>
      <c r="K5273">
        <v>1.125418</v>
      </c>
      <c r="L5273">
        <v>22.320250000000001</v>
      </c>
      <c r="M5273">
        <v>0.80524980000000002</v>
      </c>
      <c r="N5273">
        <v>-1.4185339999999999E-2</v>
      </c>
      <c r="O5273">
        <v>-0.59276600000000002</v>
      </c>
      <c r="P5273">
        <v>0.95048560000000004</v>
      </c>
      <c r="Q5273">
        <v>-0.1123773</v>
      </c>
      <c r="R5273">
        <v>-0.28973890000000002</v>
      </c>
      <c r="S5273">
        <v>2.900665</v>
      </c>
      <c r="T5273">
        <v>-0.33255370000000001</v>
      </c>
      <c r="U5273">
        <v>-0.71377559999999995</v>
      </c>
      <c r="V5273">
        <v>-0.329051599999999</v>
      </c>
      <c r="W5273">
        <v>-0.10261820000000001</v>
      </c>
      <c r="X5273">
        <v>0.93871959999999999</v>
      </c>
      <c r="Y5273">
        <v>-0.3783881</v>
      </c>
      <c r="Z5273">
        <v>7.7177490000000001E-2</v>
      </c>
      <c r="AA5273">
        <v>0.92242400000000002</v>
      </c>
      <c r="AB5273">
        <v>17</v>
      </c>
      <c r="AC5273">
        <v>9.673</v>
      </c>
      <c r="AD5273">
        <v>-1.1254222547029999</v>
      </c>
      <c r="AE5273">
        <v>-2.3232400000000002</v>
      </c>
      <c r="AF5273">
        <v>-3.81460526467884</v>
      </c>
      <c r="AG5273">
        <v>-1.1254222547029999</v>
      </c>
      <c r="AH5273">
        <v>9.0513989258117995</v>
      </c>
      <c r="AI5273">
        <v>96.536298972613807</v>
      </c>
      <c r="AJ5273">
        <v>112.852416289008</v>
      </c>
      <c r="AK5273">
        <v>9.8866380074767193</v>
      </c>
      <c r="AL5273">
        <v>95.889958318339097</v>
      </c>
      <c r="AM5273">
        <v>109.317215140312</v>
      </c>
      <c r="AN5273">
        <v>0.99999996892897902</v>
      </c>
    </row>
    <row r="5274" spans="1:40" x14ac:dyDescent="0.25">
      <c r="A5274" t="str">
        <f>"20190303154623006"</f>
        <v>20190303154623006</v>
      </c>
      <c r="B5274" t="str">
        <f>"1551599182996561"</f>
        <v>1551599182996561</v>
      </c>
      <c r="C5274" t="s">
        <v>40</v>
      </c>
      <c r="D5274">
        <v>5.3192579999999996</v>
      </c>
      <c r="E5274">
        <v>0.47747489999999998</v>
      </c>
      <c r="F5274" t="s">
        <v>60</v>
      </c>
      <c r="G5274">
        <v>-404.23180000000002</v>
      </c>
      <c r="H5274" s="1">
        <v>-4.2417770000000002E-6</v>
      </c>
      <c r="I5274">
        <v>20.014130000000002</v>
      </c>
      <c r="J5274">
        <v>-413.73110000000003</v>
      </c>
      <c r="K5274">
        <v>1.125362</v>
      </c>
      <c r="L5274">
        <v>22.232700000000001</v>
      </c>
      <c r="M5274">
        <v>0.81115559999999998</v>
      </c>
      <c r="N5274">
        <v>-1.4173409999999999E-2</v>
      </c>
      <c r="O5274">
        <v>-0.58465859999999903</v>
      </c>
      <c r="P5274">
        <v>0.95215139999999998</v>
      </c>
      <c r="Q5274">
        <v>-0.1127682</v>
      </c>
      <c r="R5274">
        <v>-0.28406179999999998</v>
      </c>
      <c r="S5274">
        <v>2.9043580000000002</v>
      </c>
      <c r="T5274">
        <v>-0.33911449999999999</v>
      </c>
      <c r="U5274">
        <v>-0.69488530000000004</v>
      </c>
      <c r="V5274">
        <v>-0.32522200000000001</v>
      </c>
      <c r="W5274">
        <v>-0.10291839999999999</v>
      </c>
      <c r="X5274">
        <v>0.94002039999999998</v>
      </c>
      <c r="Y5274">
        <v>-0.3748976</v>
      </c>
      <c r="Z5274">
        <v>7.7984780000000004E-2</v>
      </c>
      <c r="AA5274">
        <v>0.9237803</v>
      </c>
      <c r="AB5274">
        <v>17</v>
      </c>
      <c r="AC5274">
        <v>9.4992999999999999</v>
      </c>
      <c r="AD5274">
        <v>-1.1253662417770001</v>
      </c>
      <c r="AE5274">
        <v>-2.2185700000000002</v>
      </c>
      <c r="AF5274">
        <v>-3.7053059661485999</v>
      </c>
      <c r="AG5274">
        <v>-1.1253662417770001</v>
      </c>
      <c r="AH5274">
        <v>8.8851699400526094</v>
      </c>
      <c r="AI5274">
        <v>96.667565741811799</v>
      </c>
      <c r="AJ5274">
        <v>112.637180645865</v>
      </c>
      <c r="AK5274">
        <v>9.6923674272347995</v>
      </c>
      <c r="AL5274">
        <v>95.907250182098494</v>
      </c>
      <c r="AM5274">
        <v>109.084256016328</v>
      </c>
      <c r="AN5274">
        <v>0.99999994937935799</v>
      </c>
    </row>
    <row r="5275" spans="1:40" x14ac:dyDescent="0.25">
      <c r="A5275" t="str">
        <f>"20190303154623037"</f>
        <v>20190303154623037</v>
      </c>
      <c r="B5275" t="str">
        <f>"1551599183026820"</f>
        <v>1551599183026820</v>
      </c>
      <c r="C5275" t="s">
        <v>40</v>
      </c>
      <c r="D5275">
        <v>5.3283670000000001</v>
      </c>
      <c r="E5275">
        <v>0.47814980000000001</v>
      </c>
      <c r="F5275" t="s">
        <v>60</v>
      </c>
      <c r="G5275">
        <v>-404.05270000000002</v>
      </c>
      <c r="H5275" s="1">
        <v>-4.3172449999999997E-6</v>
      </c>
      <c r="I5275">
        <v>19.969429999999999</v>
      </c>
      <c r="J5275">
        <v>-413.53489999999999</v>
      </c>
      <c r="K5275">
        <v>1.125286</v>
      </c>
      <c r="L5275">
        <v>22.112490000000001</v>
      </c>
      <c r="M5275">
        <v>0.81920959999999998</v>
      </c>
      <c r="N5275">
        <v>-1.4154140000000001E-2</v>
      </c>
      <c r="O5275">
        <v>-0.57331980000000005</v>
      </c>
      <c r="P5275">
        <v>0.95520919999999998</v>
      </c>
      <c r="Q5275">
        <v>-0.1098412</v>
      </c>
      <c r="R5275">
        <v>-0.27479179999999997</v>
      </c>
      <c r="S5275">
        <v>2.907867</v>
      </c>
      <c r="T5275">
        <v>-0.33811429999999998</v>
      </c>
      <c r="U5275">
        <v>-0.67999270000000001</v>
      </c>
      <c r="V5275">
        <v>-0.32153619999999999</v>
      </c>
      <c r="W5275">
        <v>-9.9882970000000001E-2</v>
      </c>
      <c r="X5275">
        <v>0.94161450000000002</v>
      </c>
      <c r="Y5275">
        <v>-0.36686279999999999</v>
      </c>
      <c r="Z5275">
        <v>7.6361940000000003E-2</v>
      </c>
      <c r="AA5275">
        <v>0.92713570000000001</v>
      </c>
      <c r="AB5275">
        <v>17</v>
      </c>
      <c r="AC5275">
        <v>9.4821999999999704</v>
      </c>
      <c r="AD5275">
        <v>-1.1252903172449999</v>
      </c>
      <c r="AE5275">
        <v>-2.1430600000000002</v>
      </c>
      <c r="AF5275">
        <v>-3.6324148388577702</v>
      </c>
      <c r="AG5275">
        <v>-1.1252903172449999</v>
      </c>
      <c r="AH5275">
        <v>8.8785041186700795</v>
      </c>
      <c r="AI5275">
        <v>96.690529191180303</v>
      </c>
      <c r="AJ5275">
        <v>112.250679415489</v>
      </c>
      <c r="AK5275">
        <v>9.6585998594455198</v>
      </c>
      <c r="AL5275">
        <v>95.732431405442696</v>
      </c>
      <c r="AM5275">
        <v>108.853665429133</v>
      </c>
      <c r="AN5275">
        <v>1.0000000011083501</v>
      </c>
    </row>
    <row r="5276" spans="1:40" x14ac:dyDescent="0.25">
      <c r="A5276" t="str">
        <f>"20190303154623061"</f>
        <v>20190303154623061</v>
      </c>
      <c r="B5276" t="str">
        <f>"1551599183056096"</f>
        <v>1551599183056096</v>
      </c>
      <c r="C5276" t="s">
        <v>40</v>
      </c>
      <c r="D5276">
        <v>5.3386360000000002</v>
      </c>
      <c r="E5276">
        <v>0.51246409999999998</v>
      </c>
      <c r="F5276" t="s">
        <v>60</v>
      </c>
      <c r="G5276">
        <v>-403.51</v>
      </c>
      <c r="H5276" s="1">
        <v>-4.5491729999999999E-6</v>
      </c>
      <c r="I5276">
        <v>19.852350000000001</v>
      </c>
      <c r="J5276">
        <v>-413.38990000000001</v>
      </c>
      <c r="K5276">
        <v>1.12521</v>
      </c>
      <c r="L5276">
        <v>22.025759999999998</v>
      </c>
      <c r="M5276">
        <v>0.82496610000000004</v>
      </c>
      <c r="N5276">
        <v>-1.413791E-2</v>
      </c>
      <c r="O5276">
        <v>-0.5650058</v>
      </c>
      <c r="P5276">
        <v>0.95698799999999995</v>
      </c>
      <c r="Q5276">
        <v>-0.11089830000000001</v>
      </c>
      <c r="R5276">
        <v>-0.26809699999999997</v>
      </c>
      <c r="S5276">
        <v>2.9140630000000001</v>
      </c>
      <c r="T5276">
        <v>-0.32710220000000001</v>
      </c>
      <c r="U5276">
        <v>-0.65698239999999997</v>
      </c>
      <c r="V5276">
        <v>-0.318546</v>
      </c>
      <c r="W5276">
        <v>-0.1008582</v>
      </c>
      <c r="X5276">
        <v>0.94252650000000004</v>
      </c>
      <c r="Y5276">
        <v>-0.36522939999999998</v>
      </c>
      <c r="Z5276">
        <v>7.2937299999999997E-2</v>
      </c>
      <c r="AA5276">
        <v>0.92805579999999999</v>
      </c>
      <c r="AB5276">
        <v>17</v>
      </c>
      <c r="AC5276">
        <v>9.8799000000000099</v>
      </c>
      <c r="AD5276">
        <v>-1.1252145491729999</v>
      </c>
      <c r="AE5276">
        <v>-2.1734100000000001</v>
      </c>
      <c r="AF5276">
        <v>-3.7432770240510198</v>
      </c>
      <c r="AG5276">
        <v>-1.1252145491729999</v>
      </c>
      <c r="AH5276">
        <v>9.2648813405803203</v>
      </c>
      <c r="AI5276">
        <v>96.424776014876798</v>
      </c>
      <c r="AJ5276">
        <v>112.000116870569</v>
      </c>
      <c r="AK5276">
        <v>10.0556579553747</v>
      </c>
      <c r="AL5276">
        <v>95.788591190505699</v>
      </c>
      <c r="AM5276">
        <v>108.67372800193399</v>
      </c>
      <c r="AN5276">
        <v>1.00000006691274</v>
      </c>
    </row>
    <row r="5277" spans="1:40" x14ac:dyDescent="0.25">
      <c r="A5277" t="str">
        <f>"20190303154623087"</f>
        <v>20190303154623087</v>
      </c>
      <c r="B5277" t="str">
        <f>"1551599183076592"</f>
        <v>1551599183076592</v>
      </c>
      <c r="C5277" t="s">
        <v>40</v>
      </c>
      <c r="D5277">
        <v>5.3165250000000004</v>
      </c>
      <c r="E5277">
        <v>0.51335559999999902</v>
      </c>
      <c r="F5277" t="s">
        <v>60</v>
      </c>
      <c r="G5277">
        <v>-400.88889999999998</v>
      </c>
      <c r="H5277" s="1">
        <v>-7.2378100000000002E-6</v>
      </c>
      <c r="I5277">
        <v>18.066739999999999</v>
      </c>
      <c r="J5277">
        <v>-413.23649999999998</v>
      </c>
      <c r="K5277">
        <v>1.125108</v>
      </c>
      <c r="L5277">
        <v>21.93619</v>
      </c>
      <c r="M5277">
        <v>0.83082649999999902</v>
      </c>
      <c r="N5277">
        <v>-1.411604E-2</v>
      </c>
      <c r="O5277">
        <v>-0.55635259999999997</v>
      </c>
      <c r="P5277">
        <v>0.95853630000000001</v>
      </c>
      <c r="Q5277">
        <v>-0.1130835</v>
      </c>
      <c r="R5277">
        <v>-0.26157249999999999</v>
      </c>
      <c r="S5277">
        <v>2.8520509999999999</v>
      </c>
      <c r="T5277">
        <v>-0.25671260000000001</v>
      </c>
      <c r="U5277">
        <v>-0.90322880000000005</v>
      </c>
      <c r="V5277">
        <v>-0.31497700000000001</v>
      </c>
      <c r="W5277">
        <v>-0.1029414</v>
      </c>
      <c r="X5277">
        <v>0.94350020000000001</v>
      </c>
      <c r="Y5277">
        <v>-0.2772519</v>
      </c>
      <c r="Z5277">
        <v>5.1517449999999999E-2</v>
      </c>
      <c r="AA5277">
        <v>0.95941509999999997</v>
      </c>
      <c r="AB5277">
        <v>17</v>
      </c>
      <c r="AC5277">
        <v>12.3476</v>
      </c>
      <c r="AD5277">
        <v>-1.12511523781</v>
      </c>
      <c r="AE5277">
        <v>-3.8694500000000001</v>
      </c>
      <c r="AF5277">
        <v>-3.6277146510703502</v>
      </c>
      <c r="AG5277">
        <v>-1.12511523781</v>
      </c>
      <c r="AH5277">
        <v>12.3195865182111</v>
      </c>
      <c r="AI5277">
        <v>95.006786453301899</v>
      </c>
      <c r="AJ5277">
        <v>106.407974075403</v>
      </c>
      <c r="AK5277">
        <v>12.891796223476099</v>
      </c>
      <c r="AL5277">
        <v>95.908574514837696</v>
      </c>
      <c r="AM5277">
        <v>108.461011254799</v>
      </c>
      <c r="AN5277">
        <v>1.0000000348814899</v>
      </c>
    </row>
    <row r="5278" spans="1:40" x14ac:dyDescent="0.25">
      <c r="A5278" t="str">
        <f>"20190303154623106"</f>
        <v>20190303154623106</v>
      </c>
      <c r="B5278" t="str">
        <f>"1551599183096113"</f>
        <v>1551599183096113</v>
      </c>
      <c r="C5278" t="s">
        <v>40</v>
      </c>
      <c r="D5278">
        <v>5.3181659999999997</v>
      </c>
      <c r="E5278">
        <v>0.51411600000000002</v>
      </c>
      <c r="F5278" t="s">
        <v>60</v>
      </c>
      <c r="G5278">
        <v>-400.82459999999998</v>
      </c>
      <c r="H5278" s="1">
        <v>-7.2591380000000003E-6</v>
      </c>
      <c r="I5278">
        <v>18.065329999999999</v>
      </c>
      <c r="J5278">
        <v>-413.10860000000002</v>
      </c>
      <c r="K5278">
        <v>1.1250070000000001</v>
      </c>
      <c r="L5278">
        <v>21.862880000000001</v>
      </c>
      <c r="M5278">
        <v>0.83554660000000003</v>
      </c>
      <c r="N5278">
        <v>-1.4093990000000001E-2</v>
      </c>
      <c r="O5278">
        <v>-0.54923880000000003</v>
      </c>
      <c r="P5278">
        <v>0.95967610000000003</v>
      </c>
      <c r="Q5278">
        <v>-0.1150504</v>
      </c>
      <c r="R5278">
        <v>-0.25648599999999999</v>
      </c>
      <c r="S5278">
        <v>2.8561709999999998</v>
      </c>
      <c r="T5278">
        <v>-0.2589072</v>
      </c>
      <c r="U5278">
        <v>-0.89074709999999901</v>
      </c>
      <c r="V5278">
        <v>-0.31180380000000002</v>
      </c>
      <c r="W5278">
        <v>-0.1048139</v>
      </c>
      <c r="X5278">
        <v>0.94434759999999995</v>
      </c>
      <c r="Y5278">
        <v>-0.2732504</v>
      </c>
      <c r="Z5278">
        <v>5.1390100000000001E-2</v>
      </c>
      <c r="AA5278">
        <v>0.96056929999999996</v>
      </c>
      <c r="AB5278">
        <v>16</v>
      </c>
      <c r="AC5278">
        <v>12.284000000000001</v>
      </c>
      <c r="AD5278">
        <v>-1.1250142591379999</v>
      </c>
      <c r="AE5278">
        <v>-3.7975500000000002</v>
      </c>
      <c r="AF5278">
        <v>-3.54701880384739</v>
      </c>
      <c r="AG5278">
        <v>-1.1250142591379999</v>
      </c>
      <c r="AH5278">
        <v>12.2570045575069</v>
      </c>
      <c r="AI5278">
        <v>95.038615466672994</v>
      </c>
      <c r="AJ5278">
        <v>106.139760462236</v>
      </c>
      <c r="AK5278">
        <v>12.809416856393399</v>
      </c>
      <c r="AL5278">
        <v>96.016444794560698</v>
      </c>
      <c r="AM5278">
        <v>108.272141146753</v>
      </c>
      <c r="AN5278">
        <v>0.99999997647670402</v>
      </c>
    </row>
    <row r="5279" spans="1:40" x14ac:dyDescent="0.25">
      <c r="A5279" t="str">
        <f>"20190303154623131"</f>
        <v>20190303154623131</v>
      </c>
      <c r="B5279" t="str">
        <f>"1551599183126369"</f>
        <v>1551599183126369</v>
      </c>
      <c r="C5279" t="s">
        <v>40</v>
      </c>
      <c r="D5279">
        <v>5.3155900000000003</v>
      </c>
      <c r="E5279">
        <v>0.51488809999999996</v>
      </c>
      <c r="F5279" t="s">
        <v>60</v>
      </c>
      <c r="G5279">
        <v>-400.96690000000001</v>
      </c>
      <c r="H5279" s="1">
        <v>-7.2176019999999998E-6</v>
      </c>
      <c r="I5279">
        <v>18.119250000000001</v>
      </c>
      <c r="J5279">
        <v>-412.95690000000002</v>
      </c>
      <c r="K5279">
        <v>1.124884</v>
      </c>
      <c r="L5279">
        <v>21.777650000000001</v>
      </c>
      <c r="M5279">
        <v>0.84094869999999899</v>
      </c>
      <c r="N5279">
        <v>-1.406546E-2</v>
      </c>
      <c r="O5279">
        <v>-0.54093219999999997</v>
      </c>
      <c r="P5279">
        <v>0.96132359999999994</v>
      </c>
      <c r="Q5279">
        <v>-0.116257</v>
      </c>
      <c r="R5279">
        <v>-0.24968270000000001</v>
      </c>
      <c r="S5279">
        <v>2.858673</v>
      </c>
      <c r="T5279">
        <v>-0.26487539999999998</v>
      </c>
      <c r="U5279">
        <v>-0.88140869999999905</v>
      </c>
      <c r="V5279">
        <v>-0.30907639999999997</v>
      </c>
      <c r="W5279">
        <v>-0.10592260000000001</v>
      </c>
      <c r="X5279">
        <v>0.94512019999999997</v>
      </c>
      <c r="Y5279">
        <v>-0.26674150000000002</v>
      </c>
      <c r="Z5279">
        <v>5.1893090000000003E-2</v>
      </c>
      <c r="AA5279">
        <v>0.96236999999999995</v>
      </c>
      <c r="AB5279">
        <v>16</v>
      </c>
      <c r="AC5279">
        <v>11.99</v>
      </c>
      <c r="AD5279">
        <v>-1.1248912176019901</v>
      </c>
      <c r="AE5279">
        <v>-3.6583999999999999</v>
      </c>
      <c r="AF5279">
        <v>-3.3823513874550701</v>
      </c>
      <c r="AG5279">
        <v>-1.1248912176019901</v>
      </c>
      <c r="AH5279">
        <v>11.966752781243899</v>
      </c>
      <c r="AI5279">
        <v>95.168767446393801</v>
      </c>
      <c r="AJ5279">
        <v>105.782717430288</v>
      </c>
      <c r="AK5279">
        <v>12.4863466749512</v>
      </c>
      <c r="AL5279">
        <v>96.080324053530006</v>
      </c>
      <c r="AM5279">
        <v>108.108954780158</v>
      </c>
      <c r="AN5279">
        <v>1.0000000053378799</v>
      </c>
    </row>
    <row r="5280" spans="1:40" x14ac:dyDescent="0.25">
      <c r="A5280" t="str">
        <f>"20190303154623149"</f>
        <v>20190303154623149</v>
      </c>
      <c r="B5280" t="str">
        <f>"1551599183146865"</f>
        <v>1551599183146865</v>
      </c>
      <c r="C5280" t="s">
        <v>40</v>
      </c>
      <c r="D5280">
        <v>5.330997</v>
      </c>
      <c r="E5280">
        <v>0.51560509999999904</v>
      </c>
      <c r="F5280" t="s">
        <v>60</v>
      </c>
      <c r="G5280">
        <v>-400.9076</v>
      </c>
      <c r="H5280" s="1">
        <v>-7.2384099999999999E-6</v>
      </c>
      <c r="I5280">
        <v>18.12801</v>
      </c>
      <c r="J5280">
        <v>-412.83449999999999</v>
      </c>
      <c r="K5280">
        <v>1.1247969999999901</v>
      </c>
      <c r="L5280">
        <v>21.71002</v>
      </c>
      <c r="M5280">
        <v>0.84516599999999997</v>
      </c>
      <c r="N5280">
        <v>-1.404218E-2</v>
      </c>
      <c r="O5280">
        <v>-0.5343194</v>
      </c>
      <c r="P5280">
        <v>0.96230450000000001</v>
      </c>
      <c r="Q5280">
        <v>-0.1178086</v>
      </c>
      <c r="R5280">
        <v>-0.24513470000000001</v>
      </c>
      <c r="S5280">
        <v>2.8631289999999998</v>
      </c>
      <c r="T5280">
        <v>-0.26729419999999998</v>
      </c>
      <c r="U5280">
        <v>-0.86721800000000004</v>
      </c>
      <c r="V5280">
        <v>-0.3060426</v>
      </c>
      <c r="W5280">
        <v>-0.1073877</v>
      </c>
      <c r="X5280">
        <v>0.9459417</v>
      </c>
      <c r="Y5280">
        <v>-0.26394640000000003</v>
      </c>
      <c r="Z5280">
        <v>5.1861299999999999E-2</v>
      </c>
      <c r="AA5280">
        <v>0.9631421</v>
      </c>
      <c r="AB5280">
        <v>16</v>
      </c>
      <c r="AC5280">
        <v>11.9268999999999</v>
      </c>
      <c r="AD5280">
        <v>-1.1248042384100001</v>
      </c>
      <c r="AE5280">
        <v>-3.5820099999999999</v>
      </c>
      <c r="AF5280">
        <v>-3.31863687695955</v>
      </c>
      <c r="AG5280">
        <v>-1.1248042384100001</v>
      </c>
      <c r="AH5280">
        <v>11.898262510360301</v>
      </c>
      <c r="AI5280">
        <v>95.202976307266795</v>
      </c>
      <c r="AJ5280">
        <v>105.58473118336499</v>
      </c>
      <c r="AK5280">
        <v>12.4035150687741</v>
      </c>
      <c r="AL5280">
        <v>96.1647500356477</v>
      </c>
      <c r="AM5280">
        <v>107.92806441864499</v>
      </c>
      <c r="AN5280">
        <v>0.99999994546246795</v>
      </c>
    </row>
    <row r="5281" spans="1:40" x14ac:dyDescent="0.25">
      <c r="A5281" t="str">
        <f>"20190303154623172"</f>
        <v>20190303154623172</v>
      </c>
      <c r="B5281" t="str">
        <f>"1551599183166386"</f>
        <v>1551599183166386</v>
      </c>
      <c r="C5281" t="s">
        <v>40</v>
      </c>
      <c r="D5281">
        <v>5.3303149999999997</v>
      </c>
      <c r="E5281">
        <v>0.51617539999999995</v>
      </c>
      <c r="F5281" t="s">
        <v>60</v>
      </c>
      <c r="G5281">
        <v>-400.88479999999998</v>
      </c>
      <c r="H5281" s="1">
        <v>-7.245902E-6</v>
      </c>
      <c r="I5281">
        <v>18.126629999999999</v>
      </c>
      <c r="J5281">
        <v>-412.69420000000002</v>
      </c>
      <c r="K5281">
        <v>1.124706</v>
      </c>
      <c r="L5281">
        <v>21.63382</v>
      </c>
      <c r="M5281">
        <v>0.84983379999999997</v>
      </c>
      <c r="N5281">
        <v>-1.401582E-2</v>
      </c>
      <c r="O5281">
        <v>-0.52686440000000001</v>
      </c>
      <c r="P5281">
        <v>0.9635553</v>
      </c>
      <c r="Q5281">
        <v>-0.1172742</v>
      </c>
      <c r="R5281">
        <v>-0.24043310000000001</v>
      </c>
      <c r="S5281">
        <v>2.8656009999999998</v>
      </c>
      <c r="T5281">
        <v>-0.26973279999999999</v>
      </c>
      <c r="U5281">
        <v>-0.85931399999999902</v>
      </c>
      <c r="V5281">
        <v>-0.30240980000000001</v>
      </c>
      <c r="W5281">
        <v>-0.1067531</v>
      </c>
      <c r="X5281">
        <v>0.94718119999999995</v>
      </c>
      <c r="Y5281">
        <v>-0.25811859999999998</v>
      </c>
      <c r="Z5281">
        <v>5.1623349999999998E-2</v>
      </c>
      <c r="AA5281">
        <v>0.96473299999999995</v>
      </c>
      <c r="AB5281">
        <v>16</v>
      </c>
      <c r="AC5281">
        <v>11.8094</v>
      </c>
      <c r="AD5281">
        <v>-1.1247132459019999</v>
      </c>
      <c r="AE5281">
        <v>-3.50719</v>
      </c>
      <c r="AF5281">
        <v>-3.21494478761245</v>
      </c>
      <c r="AG5281">
        <v>-1.1247132459019999</v>
      </c>
      <c r="AH5281">
        <v>11.786762245230101</v>
      </c>
      <c r="AI5281">
        <v>95.259749554053101</v>
      </c>
      <c r="AJ5281">
        <v>105.256807530529</v>
      </c>
      <c r="AK5281">
        <v>12.269010314548</v>
      </c>
      <c r="AL5281">
        <v>96.128179148521298</v>
      </c>
      <c r="AM5281">
        <v>107.706901669804</v>
      </c>
      <c r="AN5281">
        <v>1.00000006856454</v>
      </c>
    </row>
    <row r="5282" spans="1:40" x14ac:dyDescent="0.25">
      <c r="A5282" t="str">
        <f>"20190303154623195"</f>
        <v>20190303154623195</v>
      </c>
      <c r="B5282" t="str">
        <f>"1551599183186882"</f>
        <v>1551599183186882</v>
      </c>
      <c r="C5282" t="s">
        <v>40</v>
      </c>
      <c r="D5282">
        <v>5.3647229999999997</v>
      </c>
      <c r="E5282">
        <v>0.51691520000000002</v>
      </c>
      <c r="F5282" t="s">
        <v>60</v>
      </c>
      <c r="G5282">
        <v>-400.56650000000002</v>
      </c>
      <c r="H5282" s="1">
        <v>-7.3428369999999998E-6</v>
      </c>
      <c r="I5282">
        <v>18.041119999999999</v>
      </c>
      <c r="J5282">
        <v>-412.55</v>
      </c>
      <c r="K5282">
        <v>1.124622</v>
      </c>
      <c r="L5282">
        <v>21.556950000000001</v>
      </c>
      <c r="M5282">
        <v>0.85444959999999903</v>
      </c>
      <c r="N5282">
        <v>-1.3988209999999999E-2</v>
      </c>
      <c r="O5282">
        <v>-0.51934609999999903</v>
      </c>
      <c r="P5282">
        <v>0.96486959999999999</v>
      </c>
      <c r="Q5282">
        <v>-0.1156991</v>
      </c>
      <c r="R5282">
        <v>-0.23588239999999999</v>
      </c>
      <c r="S5282">
        <v>2.8690190000000002</v>
      </c>
      <c r="T5282">
        <v>-0.26607039999999998</v>
      </c>
      <c r="U5282">
        <v>-0.84991459999999996</v>
      </c>
      <c r="V5282">
        <v>-0.29866569999999998</v>
      </c>
      <c r="W5282">
        <v>-0.1050794</v>
      </c>
      <c r="X5282">
        <v>0.94855529999999999</v>
      </c>
      <c r="Y5282">
        <v>-0.25292310000000001</v>
      </c>
      <c r="Z5282">
        <v>5.010788E-2</v>
      </c>
      <c r="AA5282">
        <v>0.96618800000000005</v>
      </c>
      <c r="AB5282">
        <v>16</v>
      </c>
      <c r="AC5282">
        <v>11.9834999999999</v>
      </c>
      <c r="AD5282">
        <v>-1.124629342837</v>
      </c>
      <c r="AE5282">
        <v>-3.51582999999999</v>
      </c>
      <c r="AF5282">
        <v>-3.1938984971325901</v>
      </c>
      <c r="AG5282">
        <v>-1.124629342837</v>
      </c>
      <c r="AH5282">
        <v>11.969344333805999</v>
      </c>
      <c r="AI5282">
        <v>95.187246017109999</v>
      </c>
      <c r="AJ5282">
        <v>104.940682699139</v>
      </c>
      <c r="AK5282">
        <v>12.439090905286101</v>
      </c>
      <c r="AL5282">
        <v>96.031741037050693</v>
      </c>
      <c r="AM5282">
        <v>107.47732634159701</v>
      </c>
      <c r="AN5282">
        <v>1.00000001890946</v>
      </c>
    </row>
    <row r="5283" spans="1:40" x14ac:dyDescent="0.25">
      <c r="A5283" t="str">
        <f>"20190303154623217"</f>
        <v>20190303154623217</v>
      </c>
      <c r="B5283" t="str">
        <f>"1551599183206401"</f>
        <v>1551599183206401</v>
      </c>
      <c r="C5283" t="s">
        <v>40</v>
      </c>
      <c r="D5283">
        <v>5.3441799999999997</v>
      </c>
      <c r="E5283">
        <v>0.51752540000000002</v>
      </c>
      <c r="F5283" t="s">
        <v>60</v>
      </c>
      <c r="G5283">
        <v>-400.06040000000002</v>
      </c>
      <c r="H5283" s="1">
        <v>-7.4958009999999997E-6</v>
      </c>
      <c r="I5283">
        <v>17.8949</v>
      </c>
      <c r="J5283">
        <v>-412.41640000000001</v>
      </c>
      <c r="K5283">
        <v>1.1245499999999999</v>
      </c>
      <c r="L5283">
        <v>21.486969999999999</v>
      </c>
      <c r="M5283">
        <v>0.85856769999999905</v>
      </c>
      <c r="N5283">
        <v>-1.396147E-2</v>
      </c>
      <c r="O5283">
        <v>-0.51251049999999998</v>
      </c>
      <c r="P5283">
        <v>0.96587590000000001</v>
      </c>
      <c r="Q5283">
        <v>-0.11395959999999999</v>
      </c>
      <c r="R5283">
        <v>-0.2325883</v>
      </c>
      <c r="S5283">
        <v>2.8723450000000001</v>
      </c>
      <c r="T5283">
        <v>-0.25864110000000001</v>
      </c>
      <c r="U5283">
        <v>-0.84219359999999999</v>
      </c>
      <c r="V5283">
        <v>-0.2944792</v>
      </c>
      <c r="W5283">
        <v>-0.10324460000000001</v>
      </c>
      <c r="X5283">
        <v>0.95006449999999998</v>
      </c>
      <c r="Y5283">
        <v>-0.24806929999999999</v>
      </c>
      <c r="Z5283">
        <v>4.7888010000000002E-2</v>
      </c>
      <c r="AA5283">
        <v>0.96755800000000003</v>
      </c>
      <c r="AB5283">
        <v>16</v>
      </c>
      <c r="AC5283">
        <v>12.3559999999999</v>
      </c>
      <c r="AD5283">
        <v>-1.1245574958009901</v>
      </c>
      <c r="AE5283">
        <v>-3.5920700000000001</v>
      </c>
      <c r="AF5283">
        <v>-3.2242341491538502</v>
      </c>
      <c r="AG5283">
        <v>-1.1245574958009901</v>
      </c>
      <c r="AH5283">
        <v>12.356271396164599</v>
      </c>
      <c r="AI5283">
        <v>95.032620718914004</v>
      </c>
      <c r="AJ5283">
        <v>104.62460330634499</v>
      </c>
      <c r="AK5283">
        <v>12.8194289352376</v>
      </c>
      <c r="AL5283">
        <v>95.926039858774004</v>
      </c>
      <c r="AM5283">
        <v>107.221191629289</v>
      </c>
      <c r="AN5283">
        <v>1.0000000004110201</v>
      </c>
    </row>
    <row r="5284" spans="1:40" x14ac:dyDescent="0.25">
      <c r="A5284" t="str">
        <f>"20190303154623238"</f>
        <v>20190303154623238</v>
      </c>
      <c r="B5284" t="str">
        <f>"1551599183236657"</f>
        <v>1551599183236657</v>
      </c>
      <c r="C5284" t="s">
        <v>40</v>
      </c>
      <c r="D5284">
        <v>5.3495699999999999</v>
      </c>
      <c r="E5284">
        <v>0.51802689999999996</v>
      </c>
      <c r="F5284" t="s">
        <v>41</v>
      </c>
      <c r="G5284">
        <v>-399.56830000000002</v>
      </c>
      <c r="H5284" s="1">
        <v>-6.4769739999999995E-7</v>
      </c>
      <c r="I5284">
        <v>17.745829999999899</v>
      </c>
      <c r="J5284">
        <v>-412.27289999999999</v>
      </c>
      <c r="K5284">
        <v>1.1244749999999999</v>
      </c>
      <c r="L5284">
        <v>21.41309</v>
      </c>
      <c r="M5284">
        <v>0.86283489999999996</v>
      </c>
      <c r="N5284">
        <v>-1.393252E-2</v>
      </c>
      <c r="O5284">
        <v>-0.50529380000000002</v>
      </c>
      <c r="P5284">
        <v>0.96691139999999998</v>
      </c>
      <c r="Q5284">
        <v>-0.1126494</v>
      </c>
      <c r="R5284">
        <v>-0.22889370000000001</v>
      </c>
      <c r="S5284">
        <v>2.8747250000000002</v>
      </c>
      <c r="T5284">
        <v>-0.25161410000000001</v>
      </c>
      <c r="U5284">
        <v>-0.83706669999999905</v>
      </c>
      <c r="V5284">
        <v>-0.29026089999999999</v>
      </c>
      <c r="W5284">
        <v>-0.1018409</v>
      </c>
      <c r="X5284">
        <v>0.95151300000000005</v>
      </c>
      <c r="Y5284">
        <v>-0.2419142</v>
      </c>
      <c r="Z5284">
        <v>4.571211E-2</v>
      </c>
      <c r="AA5284">
        <v>0.96922030000000003</v>
      </c>
      <c r="AB5284">
        <v>16</v>
      </c>
      <c r="AC5284">
        <v>12.7045999999999</v>
      </c>
      <c r="AD5284">
        <v>-1.1244756476973901</v>
      </c>
      <c r="AE5284">
        <v>-3.6672600000000002</v>
      </c>
      <c r="AF5284">
        <v>-3.23225804329316</v>
      </c>
      <c r="AG5284">
        <v>-1.1244756476973901</v>
      </c>
      <c r="AH5284">
        <v>12.724246262118401</v>
      </c>
      <c r="AI5284">
        <v>94.895571568333196</v>
      </c>
      <c r="AJ5284">
        <v>104.253008228651</v>
      </c>
      <c r="AK5284">
        <v>13.1764327676246</v>
      </c>
      <c r="AL5284">
        <v>95.845187715760105</v>
      </c>
      <c r="AM5284">
        <v>106.96442925279401</v>
      </c>
      <c r="AN5284">
        <v>0.99999997407530905</v>
      </c>
    </row>
    <row r="5285" spans="1:40" x14ac:dyDescent="0.25">
      <c r="A5285" t="str">
        <f>"20190303154623262"</f>
        <v>20190303154623262</v>
      </c>
      <c r="B5285" t="str">
        <f>"1551599183256177"</f>
        <v>1551599183256177</v>
      </c>
      <c r="C5285" t="s">
        <v>40</v>
      </c>
      <c r="D5285">
        <v>5.463635</v>
      </c>
      <c r="E5285">
        <v>0.49071179999999998</v>
      </c>
      <c r="F5285" t="s">
        <v>41</v>
      </c>
      <c r="G5285">
        <v>-399.25959999999998</v>
      </c>
      <c r="H5285" s="1">
        <v>-7.8924779999999996E-7</v>
      </c>
      <c r="I5285">
        <v>17.659300000000002</v>
      </c>
      <c r="J5285">
        <v>-412.1302</v>
      </c>
      <c r="K5285">
        <v>1.124395</v>
      </c>
      <c r="L5285">
        <v>21.34085</v>
      </c>
      <c r="M5285">
        <v>0.86692959999999997</v>
      </c>
      <c r="N5285">
        <v>-1.3904700000000001E-2</v>
      </c>
      <c r="O5285">
        <v>-0.49823630000000002</v>
      </c>
      <c r="P5285">
        <v>0.96787409999999996</v>
      </c>
      <c r="Q5285">
        <v>-0.1113557</v>
      </c>
      <c r="R5285">
        <v>-0.22543160000000001</v>
      </c>
      <c r="S5285">
        <v>2.8772280000000001</v>
      </c>
      <c r="T5285">
        <v>-0.2486197</v>
      </c>
      <c r="U5285">
        <v>-0.82995609999999997</v>
      </c>
      <c r="V5285">
        <v>-0.28601219999999999</v>
      </c>
      <c r="W5285">
        <v>-0.10045809999999999</v>
      </c>
      <c r="X5285">
        <v>0.9529455</v>
      </c>
      <c r="Y5285">
        <v>-0.2365159</v>
      </c>
      <c r="Z5285">
        <v>4.4433529999999999E-2</v>
      </c>
      <c r="AA5285">
        <v>0.97061109999999995</v>
      </c>
      <c r="AB5285">
        <v>16</v>
      </c>
      <c r="AC5285">
        <v>12.8706</v>
      </c>
      <c r="AD5285">
        <v>-1.1243957892478</v>
      </c>
      <c r="AE5285">
        <v>-3.6815499999999899</v>
      </c>
      <c r="AF5285">
        <v>-3.19870114305122</v>
      </c>
      <c r="AG5285">
        <v>-1.1243957892478</v>
      </c>
      <c r="AH5285">
        <v>12.9024200042091</v>
      </c>
      <c r="AI5285">
        <v>94.8348826694032</v>
      </c>
      <c r="AJ5285">
        <v>103.923744211241</v>
      </c>
      <c r="AK5285">
        <v>13.340479633748201</v>
      </c>
      <c r="AL5285">
        <v>95.765550703497595</v>
      </c>
      <c r="AM5285">
        <v>106.706334850961</v>
      </c>
      <c r="AN5285">
        <v>0.99999996718734896</v>
      </c>
    </row>
    <row r="5286" spans="1:40" x14ac:dyDescent="0.25">
      <c r="A5286" t="str">
        <f>"20190303154623286"</f>
        <v>20190303154623286</v>
      </c>
      <c r="B5286" t="str">
        <f>"1551599183276673"</f>
        <v>1551599183276673</v>
      </c>
      <c r="C5286" t="s">
        <v>40</v>
      </c>
      <c r="D5286">
        <v>5.4394049999999998</v>
      </c>
      <c r="E5286">
        <v>0.47812260000000001</v>
      </c>
      <c r="F5286" t="s">
        <v>60</v>
      </c>
      <c r="G5286">
        <v>-401.11500000000001</v>
      </c>
      <c r="H5286" s="1">
        <v>-7.2737980000000001E-6</v>
      </c>
      <c r="I5286">
        <v>19.05986</v>
      </c>
      <c r="J5286">
        <v>-411.97480000000002</v>
      </c>
      <c r="K5286">
        <v>1.124309</v>
      </c>
      <c r="L5286">
        <v>21.263760000000001</v>
      </c>
      <c r="M5286">
        <v>0.87122269999999902</v>
      </c>
      <c r="N5286">
        <v>-1.38762E-2</v>
      </c>
      <c r="O5286">
        <v>-0.49069180000000001</v>
      </c>
      <c r="P5286">
        <v>0.96883160000000001</v>
      </c>
      <c r="Q5286">
        <v>-0.1104913</v>
      </c>
      <c r="R5286">
        <v>-0.22171399999999999</v>
      </c>
      <c r="S5286">
        <v>2.924194</v>
      </c>
      <c r="T5286">
        <v>-0.29849350000000002</v>
      </c>
      <c r="U5286">
        <v>-0.60552980000000001</v>
      </c>
      <c r="V5286">
        <v>-0.28147739999999999</v>
      </c>
      <c r="W5286">
        <v>-9.9506800000000006E-2</v>
      </c>
      <c r="X5286">
        <v>0.95439450000000003</v>
      </c>
      <c r="Y5286">
        <v>-0.30060409999999999</v>
      </c>
      <c r="Z5286">
        <v>5.7347549999999997E-2</v>
      </c>
      <c r="AA5286">
        <v>0.95202330000000002</v>
      </c>
      <c r="AB5286">
        <v>16</v>
      </c>
      <c r="AC5286">
        <v>10.8598</v>
      </c>
      <c r="AD5286">
        <v>-1.1243162737979999</v>
      </c>
      <c r="AE5286">
        <v>-2.2039</v>
      </c>
      <c r="AF5286">
        <v>-3.3743184163617399</v>
      </c>
      <c r="AG5286">
        <v>-1.1243162737979999</v>
      </c>
      <c r="AH5286">
        <v>10.436318446149</v>
      </c>
      <c r="AI5286">
        <v>95.852737939093103</v>
      </c>
      <c r="AJ5286">
        <v>107.91729583976699</v>
      </c>
      <c r="AK5286">
        <v>11.0257360102605</v>
      </c>
      <c r="AL5286">
        <v>95.710770569161994</v>
      </c>
      <c r="AM5286">
        <v>106.432249696901</v>
      </c>
      <c r="AN5286">
        <v>0.99999999579362497</v>
      </c>
    </row>
    <row r="5287" spans="1:40" x14ac:dyDescent="0.25">
      <c r="A5287" t="str">
        <f>"20190303154623308"</f>
        <v>20190303154623308</v>
      </c>
      <c r="B5287" t="str">
        <f>"1551599183296193"</f>
        <v>1551599183296193</v>
      </c>
      <c r="C5287" t="s">
        <v>40</v>
      </c>
      <c r="D5287">
        <v>5.3816680000000003</v>
      </c>
      <c r="E5287">
        <v>0.47457240000000001</v>
      </c>
      <c r="F5287" t="s">
        <v>60</v>
      </c>
      <c r="G5287">
        <v>-401.16329999999999</v>
      </c>
      <c r="H5287" s="1">
        <v>-7.3009569999999999E-6</v>
      </c>
      <c r="I5287">
        <v>19.444870000000002</v>
      </c>
      <c r="J5287">
        <v>-411.8322</v>
      </c>
      <c r="K5287">
        <v>1.124244</v>
      </c>
      <c r="L5287">
        <v>21.194240000000001</v>
      </c>
      <c r="M5287">
        <v>0.87503750000000002</v>
      </c>
      <c r="N5287">
        <v>-1.385249E-2</v>
      </c>
      <c r="O5287">
        <v>-0.48385689999999998</v>
      </c>
      <c r="P5287">
        <v>0.96937119999999999</v>
      </c>
      <c r="Q5287">
        <v>-0.111572699999999</v>
      </c>
      <c r="R5287">
        <v>-0.21879489999999999</v>
      </c>
      <c r="S5287">
        <v>2.9480590000000002</v>
      </c>
      <c r="T5287">
        <v>-0.3065755</v>
      </c>
      <c r="U5287">
        <v>-0.49597170000000002</v>
      </c>
      <c r="V5287">
        <v>-0.27683039999999998</v>
      </c>
      <c r="W5287">
        <v>-0.10051740000000001</v>
      </c>
      <c r="X5287">
        <v>0.95564700000000002</v>
      </c>
      <c r="Y5287">
        <v>-0.32840960000000002</v>
      </c>
      <c r="Z5287">
        <v>5.9959940000000003E-2</v>
      </c>
      <c r="AA5287">
        <v>0.94263039999999998</v>
      </c>
      <c r="AB5287">
        <v>16</v>
      </c>
      <c r="AC5287">
        <v>10.668900000000001</v>
      </c>
      <c r="AD5287">
        <v>-1.1242513009569901</v>
      </c>
      <c r="AE5287">
        <v>-1.7493699999999901</v>
      </c>
      <c r="AF5287">
        <v>-3.5929526617245702</v>
      </c>
      <c r="AG5287">
        <v>-1.1242513009569901</v>
      </c>
      <c r="AH5287">
        <v>10.0741724871715</v>
      </c>
      <c r="AI5287">
        <v>96.0004590829883</v>
      </c>
      <c r="AJ5287">
        <v>109.62877110815499</v>
      </c>
      <c r="AK5287">
        <v>10.7546362615562</v>
      </c>
      <c r="AL5287">
        <v>95.768965419418393</v>
      </c>
      <c r="AM5287">
        <v>106.155166536623</v>
      </c>
      <c r="AN5287">
        <v>1.0000000033379599</v>
      </c>
    </row>
    <row r="5288" spans="1:40" x14ac:dyDescent="0.25">
      <c r="A5288" t="str">
        <f>"20190303154623329"</f>
        <v>20190303154623329</v>
      </c>
      <c r="B5288" t="str">
        <f>"1551599183316689"</f>
        <v>1551599183316689</v>
      </c>
      <c r="C5288" t="s">
        <v>40</v>
      </c>
      <c r="D5288">
        <v>5.3977570000000004</v>
      </c>
      <c r="E5288">
        <v>0.47257690000000002</v>
      </c>
      <c r="F5288" t="s">
        <v>60</v>
      </c>
      <c r="G5288">
        <v>-401.0222</v>
      </c>
      <c r="H5288" s="1">
        <v>-7.3558989999999898E-6</v>
      </c>
      <c r="I5288">
        <v>19.513339999999999</v>
      </c>
      <c r="J5288">
        <v>-411.69459999999998</v>
      </c>
      <c r="K5288">
        <v>1.1241810000000001</v>
      </c>
      <c r="L5288">
        <v>21.128299999999999</v>
      </c>
      <c r="M5288">
        <v>0.87860859999999996</v>
      </c>
      <c r="N5288">
        <v>-1.3829050000000001E-2</v>
      </c>
      <c r="O5288">
        <v>-0.47734219999999999</v>
      </c>
      <c r="P5288">
        <v>0.96962429999999999</v>
      </c>
      <c r="Q5288">
        <v>-0.1137215</v>
      </c>
      <c r="R5288">
        <v>-0.2165561</v>
      </c>
      <c r="S5288">
        <v>2.9556879999999999</v>
      </c>
      <c r="T5288">
        <v>-0.30739429999999901</v>
      </c>
      <c r="U5288">
        <v>-0.45959470000000002</v>
      </c>
      <c r="V5288">
        <v>-0.27181559999999999</v>
      </c>
      <c r="W5288">
        <v>-0.102603</v>
      </c>
      <c r="X5288">
        <v>0.9568641</v>
      </c>
      <c r="Y5288">
        <v>-0.33307710000000001</v>
      </c>
      <c r="Z5288">
        <v>5.9856560000000003E-2</v>
      </c>
      <c r="AA5288">
        <v>0.9409978</v>
      </c>
      <c r="AB5288">
        <v>16</v>
      </c>
      <c r="AC5288">
        <v>10.6723999999999</v>
      </c>
      <c r="AD5288">
        <v>-1.12418835589899</v>
      </c>
      <c r="AE5288">
        <v>-1.61496</v>
      </c>
      <c r="AF5288">
        <v>-3.63637599813516</v>
      </c>
      <c r="AG5288">
        <v>-1.12418835589899</v>
      </c>
      <c r="AH5288">
        <v>10.039817120913099</v>
      </c>
      <c r="AI5288">
        <v>96.009966987193906</v>
      </c>
      <c r="AJ5288">
        <v>109.910155960384</v>
      </c>
      <c r="AK5288">
        <v>10.7370832948586</v>
      </c>
      <c r="AL5288">
        <v>95.889082611948893</v>
      </c>
      <c r="AM5288">
        <v>105.858214236457</v>
      </c>
      <c r="AN5288">
        <v>1.0000000009405801</v>
      </c>
    </row>
    <row r="5289" spans="1:40" x14ac:dyDescent="0.25">
      <c r="A5289" t="str">
        <f>"20190303154623352"</f>
        <v>20190303154623352</v>
      </c>
      <c r="B5289" t="str">
        <f>"1551599183346945"</f>
        <v>1551599183346945</v>
      </c>
      <c r="C5289" t="s">
        <v>40</v>
      </c>
      <c r="D5289">
        <v>5.6441019999999904</v>
      </c>
      <c r="E5289">
        <v>0.47079520000000002</v>
      </c>
      <c r="F5289" t="s">
        <v>60</v>
      </c>
      <c r="G5289">
        <v>-401.07229999999998</v>
      </c>
      <c r="H5289" s="1">
        <v>-7.3442449999999997E-6</v>
      </c>
      <c r="I5289">
        <v>19.558920000000001</v>
      </c>
      <c r="J5289">
        <v>-411.54590000000002</v>
      </c>
      <c r="K5289">
        <v>1.1241159999999999</v>
      </c>
      <c r="L5289">
        <v>21.058319999999998</v>
      </c>
      <c r="M5289">
        <v>0.88234509999999899</v>
      </c>
      <c r="N5289">
        <v>-1.3789529999999999E-2</v>
      </c>
      <c r="O5289">
        <v>-0.4704007</v>
      </c>
      <c r="P5289">
        <v>0.96980599999999995</v>
      </c>
      <c r="Q5289">
        <v>-0.1157695</v>
      </c>
      <c r="R5289">
        <v>-0.21464759999999999</v>
      </c>
      <c r="S5289">
        <v>2.9595639999999999</v>
      </c>
      <c r="T5289">
        <v>-0.31321880000000002</v>
      </c>
      <c r="U5289">
        <v>-0.43725589999999998</v>
      </c>
      <c r="V5289">
        <v>-0.2660401</v>
      </c>
      <c r="W5289">
        <v>-0.10459540000000001</v>
      </c>
      <c r="X5289">
        <v>0.95827050000000003</v>
      </c>
      <c r="Y5289">
        <v>-0.3326617</v>
      </c>
      <c r="Z5289">
        <v>6.0496000000000001E-2</v>
      </c>
      <c r="AA5289">
        <v>0.94110380000000005</v>
      </c>
      <c r="AB5289">
        <v>16</v>
      </c>
      <c r="AC5289">
        <v>10.473599999999999</v>
      </c>
      <c r="AD5289">
        <v>-1.1241233442449901</v>
      </c>
      <c r="AE5289">
        <v>-1.4994000000000001</v>
      </c>
      <c r="AF5289">
        <v>-3.56391327883312</v>
      </c>
      <c r="AG5289">
        <v>-1.1241233442449901</v>
      </c>
      <c r="AH5289">
        <v>9.8365578799196207</v>
      </c>
      <c r="AI5289">
        <v>96.132636643659396</v>
      </c>
      <c r="AJ5289">
        <v>109.916112675352</v>
      </c>
      <c r="AK5289">
        <v>10.5224998017167</v>
      </c>
      <c r="AL5289">
        <v>96.003856681681697</v>
      </c>
      <c r="AM5289">
        <v>105.51599821122601</v>
      </c>
      <c r="AN5289">
        <v>0.99999994183970797</v>
      </c>
    </row>
    <row r="5290" spans="1:40" x14ac:dyDescent="0.25">
      <c r="A5290" t="str">
        <f>"20190303154623374"</f>
        <v>20190303154623374</v>
      </c>
      <c r="B5290" t="str">
        <f>"1551599183366465"</f>
        <v>1551599183366465</v>
      </c>
      <c r="C5290" t="s">
        <v>40</v>
      </c>
      <c r="D5290">
        <v>5.3698579999999998</v>
      </c>
      <c r="E5290">
        <v>0.46994979999999997</v>
      </c>
      <c r="F5290" t="s">
        <v>60</v>
      </c>
      <c r="G5290">
        <v>-401.25990000000002</v>
      </c>
      <c r="H5290" s="1">
        <v>-7.2870410000000004E-6</v>
      </c>
      <c r="I5290">
        <v>19.608699999999999</v>
      </c>
      <c r="J5290">
        <v>-411.40600000000001</v>
      </c>
      <c r="K5290">
        <v>1.1240460000000001</v>
      </c>
      <c r="L5290">
        <v>20.99362</v>
      </c>
      <c r="M5290">
        <v>0.88574730000000002</v>
      </c>
      <c r="N5290">
        <v>-1.372631E-2</v>
      </c>
      <c r="O5290">
        <v>-0.46396480000000001</v>
      </c>
      <c r="P5290">
        <v>0.96952609999999995</v>
      </c>
      <c r="Q5290">
        <v>-0.11886149999999999</v>
      </c>
      <c r="R5290">
        <v>-0.21422250000000001</v>
      </c>
      <c r="S5290">
        <v>2.9623110000000001</v>
      </c>
      <c r="T5290">
        <v>-0.32374000000000003</v>
      </c>
      <c r="U5290">
        <v>-0.41748049999999998</v>
      </c>
      <c r="V5290">
        <v>-0.25930360000000002</v>
      </c>
      <c r="W5290">
        <v>-0.1076452</v>
      </c>
      <c r="X5290">
        <v>0.95977820000000003</v>
      </c>
      <c r="Y5290">
        <v>-0.33184180000000002</v>
      </c>
      <c r="Z5290">
        <v>6.2103369999999998E-2</v>
      </c>
      <c r="AA5290">
        <v>0.94128860000000003</v>
      </c>
      <c r="AB5290">
        <v>16</v>
      </c>
      <c r="AC5290">
        <v>10.146099999999899</v>
      </c>
      <c r="AD5290">
        <v>-1.1240532870409901</v>
      </c>
      <c r="AE5290">
        <v>-1.3849199999999999</v>
      </c>
      <c r="AF5290">
        <v>-3.4396272420345402</v>
      </c>
      <c r="AG5290">
        <v>-1.1240532870409901</v>
      </c>
      <c r="AH5290">
        <v>9.5156855225411405</v>
      </c>
      <c r="AI5290">
        <v>96.339081484980298</v>
      </c>
      <c r="AJ5290">
        <v>109.873362515886</v>
      </c>
      <c r="AK5290">
        <v>10.180510906636901</v>
      </c>
      <c r="AL5290">
        <v>96.179589260765098</v>
      </c>
      <c r="AM5290">
        <v>105.118671206169</v>
      </c>
      <c r="AN5290">
        <v>1.00000001962561</v>
      </c>
    </row>
    <row r="5291" spans="1:40" x14ac:dyDescent="0.25">
      <c r="A5291" t="str">
        <f>"20190303154623396"</f>
        <v>20190303154623396</v>
      </c>
      <c r="B5291" t="str">
        <f>"1551599183386965"</f>
        <v>1551599183386965</v>
      </c>
      <c r="C5291" t="s">
        <v>40</v>
      </c>
      <c r="D5291">
        <v>5.3868999999999998</v>
      </c>
      <c r="E5291">
        <v>0.46926630000000003</v>
      </c>
      <c r="F5291" t="s">
        <v>60</v>
      </c>
      <c r="G5291">
        <v>-401.44159999999999</v>
      </c>
      <c r="H5291" s="1">
        <v>-5.4706889999999999E-6</v>
      </c>
      <c r="I5291">
        <v>19.61626</v>
      </c>
      <c r="J5291">
        <v>-411.26670000000001</v>
      </c>
      <c r="K5291">
        <v>1.123947</v>
      </c>
      <c r="L5291">
        <v>20.93027</v>
      </c>
      <c r="M5291">
        <v>0.88902209999999904</v>
      </c>
      <c r="N5291">
        <v>-1.3640019999999999E-2</v>
      </c>
      <c r="O5291">
        <v>-0.4576616</v>
      </c>
      <c r="P5291">
        <v>0.96916080000000004</v>
      </c>
      <c r="Q5291">
        <v>-0.1212502</v>
      </c>
      <c r="R5291">
        <v>-0.2145369</v>
      </c>
      <c r="S5291">
        <v>2.9628299999999999</v>
      </c>
      <c r="T5291">
        <v>-0.33422669999999999</v>
      </c>
      <c r="U5291">
        <v>-0.40954590000000002</v>
      </c>
      <c r="V5291">
        <v>-0.25204110000000002</v>
      </c>
      <c r="W5291">
        <v>-0.1100023</v>
      </c>
      <c r="X5291">
        <v>0.96144410000000002</v>
      </c>
      <c r="Y5291">
        <v>-0.32741520000000002</v>
      </c>
      <c r="Z5291">
        <v>6.3466990000000001E-2</v>
      </c>
      <c r="AA5291">
        <v>0.94274659999999999</v>
      </c>
      <c r="AB5291">
        <v>16</v>
      </c>
      <c r="AC5291">
        <v>9.8251000000000097</v>
      </c>
      <c r="AD5291">
        <v>-1.1239524706890001</v>
      </c>
      <c r="AE5291">
        <v>-1.3140099999999899</v>
      </c>
      <c r="AF5291">
        <v>-3.2864437659083201</v>
      </c>
      <c r="AG5291">
        <v>-1.1239524706890001</v>
      </c>
      <c r="AH5291">
        <v>9.2184523100676099</v>
      </c>
      <c r="AI5291">
        <v>96.551388441728605</v>
      </c>
      <c r="AJ5291">
        <v>109.621512330587</v>
      </c>
      <c r="AK5291">
        <v>9.8510834315742404</v>
      </c>
      <c r="AL5291">
        <v>96.3154482191825</v>
      </c>
      <c r="AM5291">
        <v>104.68945948563299</v>
      </c>
      <c r="AN5291">
        <v>0.99999998975965498</v>
      </c>
    </row>
    <row r="5292" spans="1:40" x14ac:dyDescent="0.25">
      <c r="A5292" t="str">
        <f>"20190303154623417"</f>
        <v>20190303154623417</v>
      </c>
      <c r="B5292" t="str">
        <f>"1551599183406482"</f>
        <v>1551599183406482</v>
      </c>
      <c r="C5292" t="s">
        <v>40</v>
      </c>
      <c r="D5292">
        <v>5.4129389999999997</v>
      </c>
      <c r="E5292">
        <v>0.46837030000000002</v>
      </c>
      <c r="F5292" t="s">
        <v>60</v>
      </c>
      <c r="G5292">
        <v>-401.63299999999998</v>
      </c>
      <c r="H5292" s="1">
        <v>-7.1626489999999997E-6</v>
      </c>
      <c r="I5292">
        <v>19.613199999999999</v>
      </c>
      <c r="J5292">
        <v>-411.12779999999998</v>
      </c>
      <c r="K5292">
        <v>1.1238440000000001</v>
      </c>
      <c r="L5292">
        <v>20.868099999999998</v>
      </c>
      <c r="M5292">
        <v>0.89217479999999905</v>
      </c>
      <c r="N5292">
        <v>-1.3542179999999999E-2</v>
      </c>
      <c r="O5292">
        <v>-0.45148719999999998</v>
      </c>
      <c r="P5292">
        <v>0.96858080000000002</v>
      </c>
      <c r="Q5292">
        <v>-0.12350270000000001</v>
      </c>
      <c r="R5292">
        <v>-0.21586659999999999</v>
      </c>
      <c r="S5292">
        <v>2.9625849999999998</v>
      </c>
      <c r="T5292">
        <v>-0.34564299999999998</v>
      </c>
      <c r="U5292">
        <v>-0.40502929999999998</v>
      </c>
      <c r="V5292">
        <v>-0.24393480000000001</v>
      </c>
      <c r="W5292">
        <v>-0.11222070000000001</v>
      </c>
      <c r="X5292">
        <v>0.96327689999999999</v>
      </c>
      <c r="Y5292">
        <v>-0.32201980000000002</v>
      </c>
      <c r="Z5292">
        <v>6.4917080000000002E-2</v>
      </c>
      <c r="AA5292">
        <v>0.94450469999999997</v>
      </c>
      <c r="AB5292">
        <v>16</v>
      </c>
      <c r="AC5292">
        <v>9.4947999999999393</v>
      </c>
      <c r="AD5292">
        <v>-1.123851162649</v>
      </c>
      <c r="AE5292">
        <v>-1.2548999999999899</v>
      </c>
      <c r="AF5292">
        <v>-3.1244581196426</v>
      </c>
      <c r="AG5292">
        <v>-1.123851162649</v>
      </c>
      <c r="AH5292">
        <v>8.9156555072517794</v>
      </c>
      <c r="AI5292">
        <v>96.784038856595998</v>
      </c>
      <c r="AJ5292">
        <v>109.312821455231</v>
      </c>
      <c r="AK5292">
        <v>9.5138947388110804</v>
      </c>
      <c r="AL5292">
        <v>96.443344895120504</v>
      </c>
      <c r="AM5292">
        <v>104.210524063813</v>
      </c>
      <c r="AN5292">
        <v>1.0000000291165601</v>
      </c>
    </row>
    <row r="5293" spans="1:40" x14ac:dyDescent="0.25">
      <c r="A5293" t="str">
        <f>"20190303154623441"</f>
        <v>20190303154623441</v>
      </c>
      <c r="B5293" t="str">
        <f>"1551599183436737"</f>
        <v>1551599183436737</v>
      </c>
      <c r="C5293" t="s">
        <v>40</v>
      </c>
      <c r="D5293">
        <v>5.4626919999999997</v>
      </c>
      <c r="E5293">
        <v>0.46732810000000002</v>
      </c>
      <c r="F5293" t="s">
        <v>60</v>
      </c>
      <c r="G5293">
        <v>-401.7362</v>
      </c>
      <c r="H5293" s="1">
        <v>-7.1258959999999997E-6</v>
      </c>
      <c r="I5293">
        <v>19.59348</v>
      </c>
      <c r="J5293">
        <v>-410.97559999999999</v>
      </c>
      <c r="K5293">
        <v>1.123726</v>
      </c>
      <c r="L5293">
        <v>20.800989999999999</v>
      </c>
      <c r="M5293">
        <v>0.89550540000000001</v>
      </c>
      <c r="N5293">
        <v>-1.3431469999999999E-2</v>
      </c>
      <c r="O5293">
        <v>-0.44484820000000003</v>
      </c>
      <c r="P5293">
        <v>0.96818660000000001</v>
      </c>
      <c r="Q5293">
        <v>-0.1248987</v>
      </c>
      <c r="R5293">
        <v>-0.21682940000000001</v>
      </c>
      <c r="S5293">
        <v>2.9625240000000002</v>
      </c>
      <c r="T5293">
        <v>-0.35450920000000002</v>
      </c>
      <c r="U5293">
        <v>-0.40206910000000001</v>
      </c>
      <c r="V5293">
        <v>-0.2357612</v>
      </c>
      <c r="W5293">
        <v>-0.11358790000000001</v>
      </c>
      <c r="X5293">
        <v>0.96514999999999995</v>
      </c>
      <c r="Y5293">
        <v>-0.3157432</v>
      </c>
      <c r="Z5293">
        <v>6.5696420000000005E-2</v>
      </c>
      <c r="AA5293">
        <v>0.94656759999999995</v>
      </c>
      <c r="AB5293">
        <v>16</v>
      </c>
      <c r="AC5293">
        <v>9.2393999999999892</v>
      </c>
      <c r="AD5293">
        <v>-1.1237331258959999</v>
      </c>
      <c r="AE5293">
        <v>-1.2075099999999901</v>
      </c>
      <c r="AF5293">
        <v>-2.98564835655141</v>
      </c>
      <c r="AG5293">
        <v>-1.1237331258959999</v>
      </c>
      <c r="AH5293">
        <v>8.6855622980573397</v>
      </c>
      <c r="AI5293">
        <v>96.975608607262899</v>
      </c>
      <c r="AJ5293">
        <v>108.97032708245899</v>
      </c>
      <c r="AK5293">
        <v>9.2528841277003604</v>
      </c>
      <c r="AL5293">
        <v>96.522183734080997</v>
      </c>
      <c r="AM5293">
        <v>103.72706116934199</v>
      </c>
      <c r="AN5293">
        <v>1.00000003847592</v>
      </c>
    </row>
    <row r="5294" spans="1:40" x14ac:dyDescent="0.25">
      <c r="A5294" t="str">
        <f>"20190303154623463"</f>
        <v>20190303154623463</v>
      </c>
      <c r="B5294" t="str">
        <f>"1551599183456258"</f>
        <v>1551599183456258</v>
      </c>
      <c r="C5294" t="s">
        <v>40</v>
      </c>
      <c r="D5294">
        <v>5.4449889999999996</v>
      </c>
      <c r="E5294">
        <v>0.466609</v>
      </c>
      <c r="F5294" t="s">
        <v>60</v>
      </c>
      <c r="G5294">
        <v>-401.76409999999998</v>
      </c>
      <c r="H5294" s="1">
        <v>-7.1136309999999998E-6</v>
      </c>
      <c r="I5294">
        <v>19.567450000000001</v>
      </c>
      <c r="J5294">
        <v>-410.83069999999998</v>
      </c>
      <c r="K5294">
        <v>1.1236269999999999</v>
      </c>
      <c r="L5294">
        <v>20.738250000000001</v>
      </c>
      <c r="M5294">
        <v>0.89854279999999997</v>
      </c>
      <c r="N5294">
        <v>-1.332735E-2</v>
      </c>
      <c r="O5294">
        <v>-0.43868360000000001</v>
      </c>
      <c r="P5294">
        <v>0.9681189</v>
      </c>
      <c r="Q5294">
        <v>-0.12494719999999999</v>
      </c>
      <c r="R5294">
        <v>-0.21710409999999999</v>
      </c>
      <c r="S5294">
        <v>2.9630429999999999</v>
      </c>
      <c r="T5294">
        <v>-0.36146780000000001</v>
      </c>
      <c r="U5294">
        <v>-0.39678960000000002</v>
      </c>
      <c r="V5294">
        <v>-0.22887969999999999</v>
      </c>
      <c r="W5294">
        <v>-0.1136195</v>
      </c>
      <c r="X5294">
        <v>0.96680129999999997</v>
      </c>
      <c r="Y5294">
        <v>-0.31077749999999998</v>
      </c>
      <c r="Z5294">
        <v>6.617373E-2</v>
      </c>
      <c r="AA5294">
        <v>0.94817640000000003</v>
      </c>
      <c r="AB5294">
        <v>16</v>
      </c>
      <c r="AC5294">
        <v>9.0665999999999904</v>
      </c>
      <c r="AD5294">
        <v>-1.123634113631</v>
      </c>
      <c r="AE5294">
        <v>-1.1707999999999901</v>
      </c>
      <c r="AF5294">
        <v>-2.8820749854693402</v>
      </c>
      <c r="AG5294">
        <v>-1.123634113631</v>
      </c>
      <c r="AH5294">
        <v>8.5322115412697794</v>
      </c>
      <c r="AI5294">
        <v>97.111894060600306</v>
      </c>
      <c r="AJ5294">
        <v>108.664329040108</v>
      </c>
      <c r="AK5294">
        <v>9.0756566499708793</v>
      </c>
      <c r="AL5294">
        <v>96.5240061287477</v>
      </c>
      <c r="AM5294">
        <v>103.31894454056101</v>
      </c>
      <c r="AN5294">
        <v>1.0000000307670101</v>
      </c>
    </row>
    <row r="5295" spans="1:40" x14ac:dyDescent="0.25">
      <c r="A5295" t="str">
        <f>"20190303154623487"</f>
        <v>20190303154623487</v>
      </c>
      <c r="B5295" t="str">
        <f>"1551599183476753"</f>
        <v>1551599183476753</v>
      </c>
      <c r="C5295" t="s">
        <v>40</v>
      </c>
      <c r="D5295">
        <v>5.444204</v>
      </c>
      <c r="E5295">
        <v>0.46604420000000002</v>
      </c>
      <c r="F5295" t="s">
        <v>60</v>
      </c>
      <c r="G5295">
        <v>-401.68349999999998</v>
      </c>
      <c r="H5295" s="1">
        <v>-7.1362460000000004E-6</v>
      </c>
      <c r="I5295">
        <v>19.528739999999999</v>
      </c>
      <c r="J5295">
        <v>-410.67669999999998</v>
      </c>
      <c r="K5295">
        <v>1.12354</v>
      </c>
      <c r="L5295">
        <v>20.67258</v>
      </c>
      <c r="M5295">
        <v>0.9016459</v>
      </c>
      <c r="N5295">
        <v>-1.3216179999999999E-2</v>
      </c>
      <c r="O5295">
        <v>-0.43227320000000002</v>
      </c>
      <c r="P5295">
        <v>0.96802200000000005</v>
      </c>
      <c r="Q5295">
        <v>-0.12495729999999999</v>
      </c>
      <c r="R5295">
        <v>-0.21752869999999999</v>
      </c>
      <c r="S5295">
        <v>2.9638979999999999</v>
      </c>
      <c r="T5295">
        <v>-0.36408040000000003</v>
      </c>
      <c r="U5295">
        <v>-0.3919067</v>
      </c>
      <c r="V5295">
        <v>-0.22159480000000001</v>
      </c>
      <c r="W5295">
        <v>-0.113624</v>
      </c>
      <c r="X5295">
        <v>0.96849640000000004</v>
      </c>
      <c r="Y5295">
        <v>-0.30558030000000003</v>
      </c>
      <c r="Z5295">
        <v>6.5738610000000003E-2</v>
      </c>
      <c r="AA5295">
        <v>0.94989420000000002</v>
      </c>
      <c r="AB5295">
        <v>16</v>
      </c>
      <c r="AC5295">
        <v>8.9931999999999999</v>
      </c>
      <c r="AD5295">
        <v>-1.1235471362460001</v>
      </c>
      <c r="AE5295">
        <v>-1.14384</v>
      </c>
      <c r="AF5295">
        <v>-2.8132196027238798</v>
      </c>
      <c r="AG5295">
        <v>-1.1235471362460001</v>
      </c>
      <c r="AH5295">
        <v>8.4737297034983801</v>
      </c>
      <c r="AI5295">
        <v>97.172294439257698</v>
      </c>
      <c r="AJ5295">
        <v>108.36580915795599</v>
      </c>
      <c r="AK5295">
        <v>8.9989253685352395</v>
      </c>
      <c r="AL5295">
        <v>96.524266020237604</v>
      </c>
      <c r="AM5295">
        <v>102.88760562035399</v>
      </c>
      <c r="AN5295">
        <v>0.99999997278799901</v>
      </c>
    </row>
    <row r="5296" spans="1:40" x14ac:dyDescent="0.25">
      <c r="A5296" t="str">
        <f>"20190303154623509"</f>
        <v>20190303154623509</v>
      </c>
      <c r="B5296" t="str">
        <f>"1551599183507009"</f>
        <v>1551599183507009</v>
      </c>
      <c r="C5296" t="s">
        <v>40</v>
      </c>
      <c r="D5296">
        <v>5.4697690000000003</v>
      </c>
      <c r="E5296">
        <v>0.46488069999999998</v>
      </c>
      <c r="F5296" t="s">
        <v>60</v>
      </c>
      <c r="G5296">
        <v>-401.57260000000002</v>
      </c>
      <c r="H5296" s="1">
        <v>-7.1677370000000004E-6</v>
      </c>
      <c r="I5296">
        <v>19.478670000000001</v>
      </c>
      <c r="J5296">
        <v>-410.52760000000001</v>
      </c>
      <c r="K5296">
        <v>1.1234869999999999</v>
      </c>
      <c r="L5296">
        <v>20.610019999999999</v>
      </c>
      <c r="M5296">
        <v>0.90454179999999995</v>
      </c>
      <c r="N5296">
        <v>-1.311053E-2</v>
      </c>
      <c r="O5296">
        <v>-0.4261836</v>
      </c>
      <c r="P5296">
        <v>0.96773869999999895</v>
      </c>
      <c r="Q5296">
        <v>-0.12537280000000001</v>
      </c>
      <c r="R5296">
        <v>-0.21854899999999999</v>
      </c>
      <c r="S5296">
        <v>2.9645079999999999</v>
      </c>
      <c r="T5296">
        <v>-0.36585319999999999</v>
      </c>
      <c r="U5296">
        <v>-0.38876339999999998</v>
      </c>
      <c r="V5296">
        <v>-0.21403630000000001</v>
      </c>
      <c r="W5296">
        <v>-0.1140448</v>
      </c>
      <c r="X5296">
        <v>0.97014549999999999</v>
      </c>
      <c r="Y5296">
        <v>-0.30020019999999997</v>
      </c>
      <c r="Z5296">
        <v>6.5146629999999997E-2</v>
      </c>
      <c r="AA5296">
        <v>0.95164899999999997</v>
      </c>
      <c r="AB5296">
        <v>16</v>
      </c>
      <c r="AC5296">
        <v>8.9549999999999805</v>
      </c>
      <c r="AD5296">
        <v>-1.1234941677370001</v>
      </c>
      <c r="AE5296">
        <v>-1.1313500000000001</v>
      </c>
      <c r="AF5296">
        <v>-2.7507434932046202</v>
      </c>
      <c r="AG5296">
        <v>-1.1234941677370001</v>
      </c>
      <c r="AH5296">
        <v>8.4521232970616804</v>
      </c>
      <c r="AI5296">
        <v>97.203925603428999</v>
      </c>
      <c r="AJ5296">
        <v>108.027478245859</v>
      </c>
      <c r="AK5296">
        <v>8.9591973490419008</v>
      </c>
      <c r="AL5296">
        <v>96.548533504309603</v>
      </c>
      <c r="AM5296">
        <v>102.44145521908</v>
      </c>
      <c r="AN5296">
        <v>1.0000000226474799</v>
      </c>
    </row>
    <row r="5297" spans="1:40" x14ac:dyDescent="0.25">
      <c r="A5297" t="str">
        <f>"20190303154623532"</f>
        <v>20190303154623532</v>
      </c>
      <c r="B5297" t="str">
        <f>"1551599183526530"</f>
        <v>1551599183526530</v>
      </c>
      <c r="C5297" t="s">
        <v>40</v>
      </c>
      <c r="D5297">
        <v>5.4348210000000003</v>
      </c>
      <c r="E5297">
        <v>0.4642501</v>
      </c>
      <c r="F5297" t="s">
        <v>60</v>
      </c>
      <c r="G5297">
        <v>-401.56790000000001</v>
      </c>
      <c r="H5297" s="1">
        <v>-7.1665650000000002E-6</v>
      </c>
      <c r="I5297">
        <v>19.454249999999998</v>
      </c>
      <c r="J5297">
        <v>-410.38229999999999</v>
      </c>
      <c r="K5297">
        <v>1.123453</v>
      </c>
      <c r="L5297">
        <v>20.550080000000001</v>
      </c>
      <c r="M5297">
        <v>0.90727029999999997</v>
      </c>
      <c r="N5297">
        <v>-1.300917E-2</v>
      </c>
      <c r="O5297">
        <v>-0.42034680000000002</v>
      </c>
      <c r="P5297">
        <v>0.96801360000000003</v>
      </c>
      <c r="Q5297">
        <v>-0.12605189999999999</v>
      </c>
      <c r="R5297">
        <v>-0.21693460000000001</v>
      </c>
      <c r="S5297">
        <v>2.9654850000000001</v>
      </c>
      <c r="T5297">
        <v>-0.37185590000000002</v>
      </c>
      <c r="U5297">
        <v>-0.38253779999999998</v>
      </c>
      <c r="V5297">
        <v>-0.2093737</v>
      </c>
      <c r="W5297">
        <v>-0.1147654</v>
      </c>
      <c r="X5297">
        <v>0.97107759999999999</v>
      </c>
      <c r="Y5297">
        <v>-0.29596280000000003</v>
      </c>
      <c r="Z5297">
        <v>6.542212E-2</v>
      </c>
      <c r="AA5297">
        <v>0.95295640000000004</v>
      </c>
      <c r="AB5297">
        <v>16</v>
      </c>
      <c r="AC5297">
        <v>8.8143999999999707</v>
      </c>
      <c r="AD5297">
        <v>-1.1234601665649999</v>
      </c>
      <c r="AE5297">
        <v>-1.0958299999999901</v>
      </c>
      <c r="AF5297">
        <v>-2.6684303097290099</v>
      </c>
      <c r="AG5297">
        <v>-1.1234601665649999</v>
      </c>
      <c r="AH5297">
        <v>8.3251999854944696</v>
      </c>
      <c r="AI5297">
        <v>97.322782765094004</v>
      </c>
      <c r="AJ5297">
        <v>107.771926086791</v>
      </c>
      <c r="AK5297">
        <v>8.8142860097807105</v>
      </c>
      <c r="AL5297">
        <v>96.590093378241903</v>
      </c>
      <c r="AM5297">
        <v>102.167262957627</v>
      </c>
      <c r="AN5297">
        <v>1.0000000742552999</v>
      </c>
    </row>
    <row r="5298" spans="1:40" x14ac:dyDescent="0.25">
      <c r="A5298" t="str">
        <f>"20190303154623553"</f>
        <v>20190303154623553</v>
      </c>
      <c r="B5298" t="str">
        <f>"1551599183547026"</f>
        <v>1551599183547026</v>
      </c>
      <c r="C5298" t="s">
        <v>40</v>
      </c>
      <c r="D5298">
        <v>5.4579810000000002</v>
      </c>
      <c r="E5298">
        <v>0.46369120000000003</v>
      </c>
      <c r="F5298" t="s">
        <v>60</v>
      </c>
      <c r="G5298">
        <v>-401.49979999999999</v>
      </c>
      <c r="H5298" s="1">
        <v>-7.18711E-6</v>
      </c>
      <c r="I5298">
        <v>19.434149999999999</v>
      </c>
      <c r="J5298">
        <v>-410.23669999999998</v>
      </c>
      <c r="K5298">
        <v>1.123421</v>
      </c>
      <c r="L5298">
        <v>20.491</v>
      </c>
      <c r="M5298">
        <v>0.90991739999999999</v>
      </c>
      <c r="N5298">
        <v>-1.290934E-2</v>
      </c>
      <c r="O5298">
        <v>-0.41458889999999998</v>
      </c>
      <c r="P5298">
        <v>0.9675241</v>
      </c>
      <c r="Q5298">
        <v>-0.1265945</v>
      </c>
      <c r="R5298">
        <v>-0.2187954</v>
      </c>
      <c r="S5298">
        <v>2.966675</v>
      </c>
      <c r="T5298">
        <v>-0.3752257</v>
      </c>
      <c r="U5298">
        <v>-0.37271120000000002</v>
      </c>
      <c r="V5298">
        <v>-0.20133029999999999</v>
      </c>
      <c r="W5298">
        <v>-0.11532299999999999</v>
      </c>
      <c r="X5298">
        <v>0.97271099999999999</v>
      </c>
      <c r="Y5298">
        <v>-0.29303050000000003</v>
      </c>
      <c r="Z5298">
        <v>6.5286339999999998E-2</v>
      </c>
      <c r="AA5298">
        <v>0.95387149999999998</v>
      </c>
      <c r="AB5298">
        <v>16</v>
      </c>
      <c r="AC5298">
        <v>8.7368999999999897</v>
      </c>
      <c r="AD5298">
        <v>-1.12342818711</v>
      </c>
      <c r="AE5298">
        <v>-1.0568500000000001</v>
      </c>
      <c r="AF5298">
        <v>-2.6181331592673001</v>
      </c>
      <c r="AG5298">
        <v>-1.12342818711</v>
      </c>
      <c r="AH5298">
        <v>8.2542071621815793</v>
      </c>
      <c r="AI5298">
        <v>97.391920871831701</v>
      </c>
      <c r="AJ5298">
        <v>107.598388056042</v>
      </c>
      <c r="AK5298">
        <v>8.7320471830755597</v>
      </c>
      <c r="AL5298">
        <v>96.622255626291505</v>
      </c>
      <c r="AM5298">
        <v>101.693873705038</v>
      </c>
      <c r="AN5298">
        <v>0.999999986774044</v>
      </c>
    </row>
    <row r="5299" spans="1:40" x14ac:dyDescent="0.25">
      <c r="A5299" t="str">
        <f>"20190303154623574"</f>
        <v>20190303154623574</v>
      </c>
      <c r="B5299" t="str">
        <f>"1551599183566546"</f>
        <v>1551599183566546</v>
      </c>
      <c r="C5299" t="s">
        <v>40</v>
      </c>
      <c r="D5299">
        <v>5.5211410000000001</v>
      </c>
      <c r="E5299">
        <v>0.46320319999999998</v>
      </c>
      <c r="F5299" t="s">
        <v>60</v>
      </c>
      <c r="G5299">
        <v>-401.43310000000002</v>
      </c>
      <c r="H5299" s="1">
        <v>-7.203473E-6</v>
      </c>
      <c r="I5299">
        <v>19.381340000000002</v>
      </c>
      <c r="J5299">
        <v>-410.1044</v>
      </c>
      <c r="K5299">
        <v>1.1233979999999999</v>
      </c>
      <c r="L5299">
        <v>20.438140000000001</v>
      </c>
      <c r="M5299">
        <v>0.91225179999999995</v>
      </c>
      <c r="N5299">
        <v>-1.282151E-2</v>
      </c>
      <c r="O5299">
        <v>-0.40942909999999999</v>
      </c>
      <c r="P5299">
        <v>0.96728449999999999</v>
      </c>
      <c r="Q5299">
        <v>-0.12573589999999901</v>
      </c>
      <c r="R5299">
        <v>-0.22034390000000001</v>
      </c>
      <c r="S5299">
        <v>2.9666139999999999</v>
      </c>
      <c r="T5299">
        <v>-0.37857170000000001</v>
      </c>
      <c r="U5299">
        <v>-0.37393189999999998</v>
      </c>
      <c r="V5299">
        <v>-0.1943262</v>
      </c>
      <c r="W5299">
        <v>-0.1144768</v>
      </c>
      <c r="X5299">
        <v>0.9742343</v>
      </c>
      <c r="Y5299">
        <v>-0.28721210000000003</v>
      </c>
      <c r="Z5299">
        <v>6.4987950000000003E-2</v>
      </c>
      <c r="AA5299">
        <v>0.95565990000000001</v>
      </c>
      <c r="AB5299">
        <v>16</v>
      </c>
      <c r="AC5299">
        <v>8.6712999999999703</v>
      </c>
      <c r="AD5299">
        <v>-1.123405203473</v>
      </c>
      <c r="AE5299">
        <v>-1.0568</v>
      </c>
      <c r="AF5299">
        <v>-2.5443473636962701</v>
      </c>
      <c r="AG5299">
        <v>-1.123405203473</v>
      </c>
      <c r="AH5299">
        <v>8.20802976026261</v>
      </c>
      <c r="AI5299">
        <v>97.448026907880802</v>
      </c>
      <c r="AJ5299">
        <v>107.222532746195</v>
      </c>
      <c r="AK5299">
        <v>8.6664580598820802</v>
      </c>
      <c r="AL5299">
        <v>96.573448335957593</v>
      </c>
      <c r="AM5299">
        <v>101.280486583703</v>
      </c>
      <c r="AN5299">
        <v>1.00000004052058</v>
      </c>
    </row>
    <row r="5300" spans="1:40" x14ac:dyDescent="0.25">
      <c r="A5300" t="str">
        <f>"20190303154623596"</f>
        <v>20190303154623596</v>
      </c>
      <c r="B5300" t="str">
        <f>"1551599183587041"</f>
        <v>1551599183587041</v>
      </c>
      <c r="C5300" t="s">
        <v>40</v>
      </c>
      <c r="D5300">
        <v>5.4820890000000002</v>
      </c>
      <c r="E5300">
        <v>0.4626846</v>
      </c>
      <c r="F5300" t="s">
        <v>60</v>
      </c>
      <c r="G5300">
        <v>-401.22430000000003</v>
      </c>
      <c r="H5300" s="1">
        <v>-7.2660579999999999E-6</v>
      </c>
      <c r="I5300">
        <v>19.316140000000001</v>
      </c>
      <c r="J5300">
        <v>-409.9513</v>
      </c>
      <c r="K5300">
        <v>1.1233629999999999</v>
      </c>
      <c r="L5300">
        <v>20.377870000000001</v>
      </c>
      <c r="M5300">
        <v>0.91487819999999997</v>
      </c>
      <c r="N5300">
        <v>-1.2720789999999999E-2</v>
      </c>
      <c r="O5300">
        <v>-0.40352959999999999</v>
      </c>
      <c r="P5300">
        <v>0.96731789999999995</v>
      </c>
      <c r="Q5300">
        <v>-0.1245303</v>
      </c>
      <c r="R5300">
        <v>-0.22088150000000001</v>
      </c>
      <c r="S5300">
        <v>2.9672550000000002</v>
      </c>
      <c r="T5300">
        <v>-0.37537930000000003</v>
      </c>
      <c r="U5300">
        <v>-0.37490839999999998</v>
      </c>
      <c r="V5300">
        <v>-0.18757770000000001</v>
      </c>
      <c r="W5300">
        <v>-0.1132939</v>
      </c>
      <c r="X5300">
        <v>0.97569419999999996</v>
      </c>
      <c r="Y5300">
        <v>-0.28091310000000003</v>
      </c>
      <c r="Z5300">
        <v>6.3392809999999994E-2</v>
      </c>
      <c r="AA5300">
        <v>0.95763730000000002</v>
      </c>
      <c r="AB5300">
        <v>16</v>
      </c>
      <c r="AC5300">
        <v>8.7269999999999701</v>
      </c>
      <c r="AD5300">
        <v>-1.1233702660579901</v>
      </c>
      <c r="AE5300">
        <v>-1.0617300000000001</v>
      </c>
      <c r="AF5300">
        <v>-2.50948047515331</v>
      </c>
      <c r="AG5300">
        <v>-1.1233702660579901</v>
      </c>
      <c r="AH5300">
        <v>8.2780965892563394</v>
      </c>
      <c r="AI5300">
        <v>97.399461544755894</v>
      </c>
      <c r="AJ5300">
        <v>106.864524553175</v>
      </c>
      <c r="AK5300">
        <v>8.7227481994435898</v>
      </c>
      <c r="AL5300">
        <v>96.505229342678703</v>
      </c>
      <c r="AM5300">
        <v>100.882367132447</v>
      </c>
      <c r="AN5300">
        <v>1.00000003661406</v>
      </c>
    </row>
    <row r="5301" spans="1:40" x14ac:dyDescent="0.25">
      <c r="A5301" t="str">
        <f>"20190303154623618"</f>
        <v>20190303154623618</v>
      </c>
      <c r="B5301" t="str">
        <f>"1551599183606562"</f>
        <v>1551599183606562</v>
      </c>
      <c r="C5301" t="s">
        <v>40</v>
      </c>
      <c r="D5301">
        <v>5.4918480000000001</v>
      </c>
      <c r="E5301">
        <v>0.46270349999999999</v>
      </c>
      <c r="F5301" t="s">
        <v>60</v>
      </c>
      <c r="G5301">
        <v>-400.98790000000002</v>
      </c>
      <c r="H5301" s="1">
        <v>-7.3380830000000003E-6</v>
      </c>
      <c r="I5301">
        <v>19.252960000000002</v>
      </c>
      <c r="J5301">
        <v>-409.8091</v>
      </c>
      <c r="K5301">
        <v>1.123313</v>
      </c>
      <c r="L5301">
        <v>20.322880000000001</v>
      </c>
      <c r="M5301">
        <v>0.91724229999999995</v>
      </c>
      <c r="N5301">
        <v>-1.2628739999999999E-2</v>
      </c>
      <c r="O5301">
        <v>-0.39812950000000003</v>
      </c>
      <c r="P5301">
        <v>0.96707270000000001</v>
      </c>
      <c r="Q5301">
        <v>-0.12542139999999999</v>
      </c>
      <c r="R5301">
        <v>-0.2214497</v>
      </c>
      <c r="S5301">
        <v>2.968353</v>
      </c>
      <c r="T5301">
        <v>-0.37202020000000002</v>
      </c>
      <c r="U5301">
        <v>-0.37252809999999997</v>
      </c>
      <c r="V5301">
        <v>-0.18121719999999999</v>
      </c>
      <c r="W5301">
        <v>-0.11420420000000001</v>
      </c>
      <c r="X5301">
        <v>0.97678949999999998</v>
      </c>
      <c r="Y5301">
        <v>-0.2762135</v>
      </c>
      <c r="Z5301">
        <v>6.1939599999999997E-2</v>
      </c>
      <c r="AA5301">
        <v>0.95909829999999996</v>
      </c>
      <c r="AB5301">
        <v>16</v>
      </c>
      <c r="AC5301">
        <v>8.8211999999999708</v>
      </c>
      <c r="AD5301">
        <v>-1.1233203380829999</v>
      </c>
      <c r="AE5301">
        <v>-1.06991999999999</v>
      </c>
      <c r="AF5301">
        <v>-2.4909967343065902</v>
      </c>
      <c r="AG5301">
        <v>-1.1233203380829999</v>
      </c>
      <c r="AH5301">
        <v>8.3838398180592293</v>
      </c>
      <c r="AI5301">
        <v>97.318833798205702</v>
      </c>
      <c r="AJ5301">
        <v>106.547676237267</v>
      </c>
      <c r="AK5301">
        <v>8.8179183148378293</v>
      </c>
      <c r="AL5301">
        <v>96.557726662866003</v>
      </c>
      <c r="AM5301">
        <v>100.510205454721</v>
      </c>
      <c r="AN5301">
        <v>1.0000000000918601</v>
      </c>
    </row>
    <row r="5302" spans="1:40" x14ac:dyDescent="0.25">
      <c r="A5302" t="str">
        <f>"20190303154623642"</f>
        <v>20190303154623642</v>
      </c>
      <c r="B5302" t="str">
        <f>"1551599183636817"</f>
        <v>1551599183636817</v>
      </c>
      <c r="C5302" t="s">
        <v>40</v>
      </c>
      <c r="D5302">
        <v>5.4945409999999999</v>
      </c>
      <c r="E5302">
        <v>0.48454550000000002</v>
      </c>
      <c r="F5302" t="s">
        <v>60</v>
      </c>
      <c r="G5302">
        <v>-400.91160000000002</v>
      </c>
      <c r="H5302" s="1">
        <v>-7.35770099999999E-6</v>
      </c>
      <c r="I5302">
        <v>19.20045</v>
      </c>
      <c r="J5302">
        <v>-409.65140000000002</v>
      </c>
      <c r="K5302">
        <v>1.1232489999999999</v>
      </c>
      <c r="L5302">
        <v>20.26276</v>
      </c>
      <c r="M5302">
        <v>0.91978199999999999</v>
      </c>
      <c r="N5302">
        <v>-1.2533570000000001E-2</v>
      </c>
      <c r="O5302">
        <v>-0.39223010000000003</v>
      </c>
      <c r="P5302">
        <v>0.96681609999999996</v>
      </c>
      <c r="Q5302">
        <v>-0.12601319999999999</v>
      </c>
      <c r="R5302">
        <v>-0.22223419999999999</v>
      </c>
      <c r="S5302">
        <v>2.9678040000000001</v>
      </c>
      <c r="T5302">
        <v>-0.3746893</v>
      </c>
      <c r="U5302">
        <v>-0.37438959999999999</v>
      </c>
      <c r="V5302">
        <v>-0.17413779999999901</v>
      </c>
      <c r="W5302">
        <v>-0.1148076</v>
      </c>
      <c r="X5302">
        <v>0.97800580000000004</v>
      </c>
      <c r="Y5302">
        <v>-0.26944179999999901</v>
      </c>
      <c r="Z5302">
        <v>6.1370620000000001E-2</v>
      </c>
      <c r="AA5302">
        <v>0.9610592</v>
      </c>
      <c r="AB5302">
        <v>16</v>
      </c>
      <c r="AC5302">
        <v>8.7398000000000007</v>
      </c>
      <c r="AD5302">
        <v>-1.123256357701</v>
      </c>
      <c r="AE5302">
        <v>-1.0623100000000001</v>
      </c>
      <c r="AF5302">
        <v>-2.4118522476255699</v>
      </c>
      <c r="AG5302">
        <v>-1.123256357701</v>
      </c>
      <c r="AH5302">
        <v>8.32060496659801</v>
      </c>
      <c r="AI5302">
        <v>97.387737179711294</v>
      </c>
      <c r="AJ5302">
        <v>106.165024437094</v>
      </c>
      <c r="AK5302">
        <v>8.7356283757762796</v>
      </c>
      <c r="AL5302">
        <v>96.592527497931101</v>
      </c>
      <c r="AM5302">
        <v>100.0959362183</v>
      </c>
      <c r="AN5302">
        <v>1.00000005162011</v>
      </c>
    </row>
    <row r="5303" spans="1:40" x14ac:dyDescent="0.25">
      <c r="A5303" t="str">
        <f>"20190303154623664"</f>
        <v>20190303154623664</v>
      </c>
      <c r="B5303" t="str">
        <f>"1551599183656338"</f>
        <v>1551599183656338</v>
      </c>
      <c r="C5303" t="s">
        <v>40</v>
      </c>
      <c r="D5303">
        <v>5.4756669999999996</v>
      </c>
      <c r="E5303">
        <v>0.48470380000000002</v>
      </c>
      <c r="F5303" t="s">
        <v>41</v>
      </c>
      <c r="G5303">
        <v>-397.18970000000002</v>
      </c>
      <c r="H5303" s="1">
        <v>-1.609169E-6</v>
      </c>
      <c r="I5303">
        <v>17.9237</v>
      </c>
      <c r="J5303">
        <v>-409.50599999999997</v>
      </c>
      <c r="K5303">
        <v>1.1231869999999999</v>
      </c>
      <c r="L5303">
        <v>20.20834</v>
      </c>
      <c r="M5303">
        <v>0.92203740000000001</v>
      </c>
      <c r="N5303">
        <v>-1.245606E-2</v>
      </c>
      <c r="O5303">
        <v>-0.38690049999999998</v>
      </c>
      <c r="P5303">
        <v>0.96640239999999999</v>
      </c>
      <c r="Q5303">
        <v>-0.12769739999999999</v>
      </c>
      <c r="R5303">
        <v>-0.22306960000000001</v>
      </c>
      <c r="S5303">
        <v>2.9415279999999999</v>
      </c>
      <c r="T5303">
        <v>-0.2651385</v>
      </c>
      <c r="U5303">
        <v>-0.55212399999999995</v>
      </c>
      <c r="V5303">
        <v>-0.1675575</v>
      </c>
      <c r="W5303">
        <v>-0.116494899999999</v>
      </c>
      <c r="X5303">
        <v>0.97895529999999997</v>
      </c>
      <c r="Y5303">
        <v>-0.20822869999999999</v>
      </c>
      <c r="Z5303">
        <v>3.918485E-2</v>
      </c>
      <c r="AA5303">
        <v>0.97729489999999997</v>
      </c>
      <c r="AB5303">
        <v>16</v>
      </c>
      <c r="AC5303">
        <v>12.316299999999901</v>
      </c>
      <c r="AD5303">
        <v>-1.123188609169</v>
      </c>
      <c r="AE5303">
        <v>-2.28464</v>
      </c>
      <c r="AF5303">
        <v>-2.6376586199387999</v>
      </c>
      <c r="AG5303">
        <v>-1.123188609169</v>
      </c>
      <c r="AH5303">
        <v>12.143334911681499</v>
      </c>
      <c r="AI5303">
        <v>95.164735465321201</v>
      </c>
      <c r="AJ5303">
        <v>102.25487597674601</v>
      </c>
      <c r="AK5303">
        <v>12.477154259861001</v>
      </c>
      <c r="AL5303">
        <v>96.689855913526102</v>
      </c>
      <c r="AM5303">
        <v>99.712601368733303</v>
      </c>
      <c r="AN5303">
        <v>1.00000002846517</v>
      </c>
    </row>
    <row r="5304" spans="1:40" x14ac:dyDescent="0.25">
      <c r="A5304" t="str">
        <f>"20190303154623686"</f>
        <v>20190303154623686</v>
      </c>
      <c r="B5304" t="str">
        <f>"1551599183676833"</f>
        <v>1551599183676833</v>
      </c>
      <c r="C5304" t="s">
        <v>40</v>
      </c>
      <c r="D5304">
        <v>5.4970759999999999</v>
      </c>
      <c r="E5304">
        <v>0.4846878</v>
      </c>
      <c r="F5304" t="s">
        <v>41</v>
      </c>
      <c r="G5304">
        <v>-397.15870000000001</v>
      </c>
      <c r="H5304" s="1">
        <v>-1.632743E-6</v>
      </c>
      <c r="I5304">
        <v>17.873349999999999</v>
      </c>
      <c r="J5304">
        <v>-409.35649999999998</v>
      </c>
      <c r="K5304">
        <v>1.1231439999999999</v>
      </c>
      <c r="L5304">
        <v>20.153169999999999</v>
      </c>
      <c r="M5304">
        <v>0.92428520000000003</v>
      </c>
      <c r="N5304">
        <v>-1.238497E-2</v>
      </c>
      <c r="O5304">
        <v>-0.38150200000000001</v>
      </c>
      <c r="P5304">
        <v>0.96646560000000004</v>
      </c>
      <c r="Q5304">
        <v>-0.12875829999999999</v>
      </c>
      <c r="R5304">
        <v>-0.2221833</v>
      </c>
      <c r="S5304">
        <v>2.940582</v>
      </c>
      <c r="T5304">
        <v>-0.26749319999999999</v>
      </c>
      <c r="U5304">
        <v>-0.55609129999999996</v>
      </c>
      <c r="V5304">
        <v>-0.1626879</v>
      </c>
      <c r="W5304">
        <v>-0.1175707</v>
      </c>
      <c r="X5304">
        <v>0.97964779999999996</v>
      </c>
      <c r="Y5304">
        <v>-0.2011802</v>
      </c>
      <c r="Z5304">
        <v>3.885429E-2</v>
      </c>
      <c r="AA5304">
        <v>0.97878339999999997</v>
      </c>
      <c r="AB5304">
        <v>16</v>
      </c>
      <c r="AC5304">
        <v>12.1977999999999</v>
      </c>
      <c r="AD5304">
        <v>-1.1231456327429901</v>
      </c>
      <c r="AE5304">
        <v>-2.27982</v>
      </c>
      <c r="AF5304">
        <v>-2.5257845873962599</v>
      </c>
      <c r="AG5304">
        <v>-1.1231456327429901</v>
      </c>
      <c r="AH5304">
        <v>12.046247171031199</v>
      </c>
      <c r="AI5304">
        <v>95.213906393214003</v>
      </c>
      <c r="AJ5304">
        <v>101.84188734887999</v>
      </c>
      <c r="AK5304">
        <v>12.359333104979999</v>
      </c>
      <c r="AL5304">
        <v>96.751921300783494</v>
      </c>
      <c r="AM5304">
        <v>99.428930676693</v>
      </c>
      <c r="AN5304">
        <v>1.00000001717487</v>
      </c>
    </row>
    <row r="5305" spans="1:40" x14ac:dyDescent="0.25">
      <c r="A5305" t="str">
        <f>"20190303154623709"</f>
        <v>20190303154623709</v>
      </c>
      <c r="B5305" t="str">
        <f>"1551599183696353"</f>
        <v>1551599183696353</v>
      </c>
      <c r="C5305" t="s">
        <v>40</v>
      </c>
      <c r="D5305">
        <v>5.5057359999999997</v>
      </c>
      <c r="E5305">
        <v>0.4843095</v>
      </c>
      <c r="F5305" t="s">
        <v>41</v>
      </c>
      <c r="G5305">
        <v>-397.11540000000002</v>
      </c>
      <c r="H5305" s="1">
        <v>-1.657199E-6</v>
      </c>
      <c r="I5305">
        <v>17.85089</v>
      </c>
      <c r="J5305">
        <v>-409.20370000000003</v>
      </c>
      <c r="K5305">
        <v>1.123108</v>
      </c>
      <c r="L5305">
        <v>20.097629999999999</v>
      </c>
      <c r="M5305">
        <v>0.92650560000000004</v>
      </c>
      <c r="N5305">
        <v>-1.231901E-2</v>
      </c>
      <c r="O5305">
        <v>-0.37607970000000002</v>
      </c>
      <c r="P5305">
        <v>0.96723000000000003</v>
      </c>
      <c r="Q5305">
        <v>-0.128245</v>
      </c>
      <c r="R5305">
        <v>-0.2191343</v>
      </c>
      <c r="S5305">
        <v>2.940979</v>
      </c>
      <c r="T5305">
        <v>-0.26984039999999998</v>
      </c>
      <c r="U5305">
        <v>-0.55313109999999999</v>
      </c>
      <c r="V5305">
        <v>-0.1600792</v>
      </c>
      <c r="W5305">
        <v>-0.1170863</v>
      </c>
      <c r="X5305">
        <v>0.98013539999999999</v>
      </c>
      <c r="Y5305">
        <v>-0.19641220000000001</v>
      </c>
      <c r="Z5305">
        <v>3.8615209999999997E-2</v>
      </c>
      <c r="AA5305">
        <v>0.97976070000000004</v>
      </c>
      <c r="AB5305">
        <v>16</v>
      </c>
      <c r="AC5305">
        <v>12.0883</v>
      </c>
      <c r="AD5305">
        <v>-1.123109657199</v>
      </c>
      <c r="AE5305">
        <v>-2.2467399999999902</v>
      </c>
      <c r="AF5305">
        <v>-2.4443385575235101</v>
      </c>
      <c r="AG5305">
        <v>-1.123109657199</v>
      </c>
      <c r="AH5305">
        <v>11.9460672336043</v>
      </c>
      <c r="AI5305">
        <v>95.262474907023901</v>
      </c>
      <c r="AJ5305">
        <v>101.563927812014</v>
      </c>
      <c r="AK5305">
        <v>12.2451904287228</v>
      </c>
      <c r="AL5305">
        <v>96.723974469731601</v>
      </c>
      <c r="AM5305">
        <v>99.275852630034905</v>
      </c>
      <c r="AN5305">
        <v>0.99999997712674404</v>
      </c>
    </row>
    <row r="5306" spans="1:40" x14ac:dyDescent="0.25">
      <c r="A5306" t="str">
        <f>"20190303154623731"</f>
        <v>20190303154623731</v>
      </c>
      <c r="B5306" t="str">
        <f>"1551599183726611"</f>
        <v>1551599183726611</v>
      </c>
      <c r="C5306" t="s">
        <v>40</v>
      </c>
      <c r="D5306">
        <v>5.5287350000000002</v>
      </c>
      <c r="E5306">
        <v>0.4837573</v>
      </c>
      <c r="F5306" t="s">
        <v>41</v>
      </c>
      <c r="G5306">
        <v>-396.82600000000002</v>
      </c>
      <c r="H5306" s="1">
        <v>-1.7987489999999999E-6</v>
      </c>
      <c r="I5306">
        <v>17.824169999999999</v>
      </c>
      <c r="J5306">
        <v>-409.05650000000003</v>
      </c>
      <c r="K5306">
        <v>1.1230789999999999</v>
      </c>
      <c r="L5306">
        <v>20.045010000000001</v>
      </c>
      <c r="M5306">
        <v>0.928566</v>
      </c>
      <c r="N5306">
        <v>-1.2261060000000001E-2</v>
      </c>
      <c r="O5306">
        <v>-0.37096509999999999</v>
      </c>
      <c r="P5306">
        <v>0.96825190000000005</v>
      </c>
      <c r="Q5306">
        <v>-0.12625149999999999</v>
      </c>
      <c r="R5306">
        <v>-0.21575220000000001</v>
      </c>
      <c r="S5306">
        <v>2.943695</v>
      </c>
      <c r="T5306">
        <v>-0.26710089999999997</v>
      </c>
      <c r="U5306">
        <v>-0.54067989999999999</v>
      </c>
      <c r="V5306">
        <v>-0.15822079999999999</v>
      </c>
      <c r="W5306">
        <v>-0.11511879999999999</v>
      </c>
      <c r="X5306">
        <v>0.98067009999999999</v>
      </c>
      <c r="Y5306">
        <v>-0.19523670000000001</v>
      </c>
      <c r="Z5306">
        <v>3.7771399999999997E-2</v>
      </c>
      <c r="AA5306">
        <v>0.98002860000000003</v>
      </c>
      <c r="AB5306">
        <v>16</v>
      </c>
      <c r="AC5306">
        <v>12.230499999999999</v>
      </c>
      <c r="AD5306">
        <v>-1.1230807987489999</v>
      </c>
      <c r="AE5306">
        <v>-2.2208399999999902</v>
      </c>
      <c r="AF5306">
        <v>-2.4550376237304299</v>
      </c>
      <c r="AG5306">
        <v>-1.1230807987489999</v>
      </c>
      <c r="AH5306">
        <v>12.082962590732601</v>
      </c>
      <c r="AI5306">
        <v>95.204500726986893</v>
      </c>
      <c r="AJ5306">
        <v>101.485114648676</v>
      </c>
      <c r="AK5306">
        <v>12.3808927458198</v>
      </c>
      <c r="AL5306">
        <v>96.610477280162797</v>
      </c>
      <c r="AM5306">
        <v>99.165091897626098</v>
      </c>
      <c r="AN5306">
        <v>1.0000000023500399</v>
      </c>
    </row>
    <row r="5307" spans="1:40" x14ac:dyDescent="0.25">
      <c r="A5307" t="str">
        <f>"20190303154623754"</f>
        <v>20190303154623754</v>
      </c>
      <c r="B5307" t="str">
        <f>"1551599183747106"</f>
        <v>1551599183747106</v>
      </c>
      <c r="C5307" t="s">
        <v>40</v>
      </c>
      <c r="D5307">
        <v>5.5261129999999996</v>
      </c>
      <c r="E5307">
        <v>0.48342499999999999</v>
      </c>
      <c r="F5307" t="s">
        <v>41</v>
      </c>
      <c r="G5307">
        <v>-396.44330000000002</v>
      </c>
      <c r="H5307" s="1">
        <v>-1.9850890000000002E-6</v>
      </c>
      <c r="I5307">
        <v>17.793410000000002</v>
      </c>
      <c r="J5307">
        <v>-408.89699999999999</v>
      </c>
      <c r="K5307">
        <v>1.1230389999999999</v>
      </c>
      <c r="L5307">
        <v>19.988859999999999</v>
      </c>
      <c r="M5307">
        <v>0.9307145</v>
      </c>
      <c r="N5307">
        <v>-1.220416E-2</v>
      </c>
      <c r="O5307">
        <v>-0.36554330000000002</v>
      </c>
      <c r="P5307">
        <v>0.96965409999999996</v>
      </c>
      <c r="Q5307">
        <v>-0.1239055</v>
      </c>
      <c r="R5307">
        <v>-0.210758</v>
      </c>
      <c r="S5307">
        <v>2.94693</v>
      </c>
      <c r="T5307">
        <v>-0.26239449999999997</v>
      </c>
      <c r="U5307">
        <v>-0.52606200000000003</v>
      </c>
      <c r="V5307">
        <v>-0.15769439999999901</v>
      </c>
      <c r="W5307">
        <v>-0.1128029</v>
      </c>
      <c r="X5307">
        <v>0.98102400000000001</v>
      </c>
      <c r="Y5307">
        <v>-0.19450319999999999</v>
      </c>
      <c r="Z5307">
        <v>3.6634470000000002E-2</v>
      </c>
      <c r="AA5307">
        <v>0.98021749999999996</v>
      </c>
      <c r="AB5307">
        <v>16</v>
      </c>
      <c r="AC5307">
        <v>12.4536999999999</v>
      </c>
      <c r="AD5307">
        <v>-1.123040985089</v>
      </c>
      <c r="AE5307">
        <v>-2.1954499999999899</v>
      </c>
      <c r="AF5307">
        <v>-2.4895809826792399</v>
      </c>
      <c r="AG5307">
        <v>-1.123040985089</v>
      </c>
      <c r="AH5307">
        <v>12.2973053641268</v>
      </c>
      <c r="AI5307">
        <v>95.114816811485099</v>
      </c>
      <c r="AJ5307">
        <v>101.44480630314</v>
      </c>
      <c r="AK5307">
        <v>12.5969422377849</v>
      </c>
      <c r="AL5307">
        <v>96.476915501410801</v>
      </c>
      <c r="AM5307">
        <v>99.131874719591394</v>
      </c>
      <c r="AN5307">
        <v>1.0000000533078801</v>
      </c>
    </row>
    <row r="5308" spans="1:40" x14ac:dyDescent="0.25">
      <c r="A5308" t="str">
        <f>"20190303154623776"</f>
        <v>20190303154623776</v>
      </c>
      <c r="B5308" t="str">
        <f>"1551599183766626"</f>
        <v>1551599183766626</v>
      </c>
      <c r="C5308" t="s">
        <v>40</v>
      </c>
      <c r="D5308">
        <v>5.5798920000000001</v>
      </c>
      <c r="E5308">
        <v>0.48325430000000003</v>
      </c>
      <c r="F5308" t="s">
        <v>41</v>
      </c>
      <c r="G5308">
        <v>-396.03559999999999</v>
      </c>
      <c r="H5308" s="1">
        <v>-2.1813269999999999E-6</v>
      </c>
      <c r="I5308">
        <v>17.77365</v>
      </c>
      <c r="J5308">
        <v>-408.75200000000001</v>
      </c>
      <c r="K5308">
        <v>1.1229899999999999</v>
      </c>
      <c r="L5308">
        <v>19.93854</v>
      </c>
      <c r="M5308">
        <v>0.93259170000000002</v>
      </c>
      <c r="N5308">
        <v>-1.2157350000000001E-2</v>
      </c>
      <c r="O5308">
        <v>-0.36072850000000001</v>
      </c>
      <c r="P5308">
        <v>0.97102569999999999</v>
      </c>
      <c r="Q5308">
        <v>-0.1221888</v>
      </c>
      <c r="R5308">
        <v>-0.20537639999999999</v>
      </c>
      <c r="S5308">
        <v>2.9504700000000001</v>
      </c>
      <c r="T5308">
        <v>-0.25763069999999999</v>
      </c>
      <c r="U5308">
        <v>-0.50817869999999998</v>
      </c>
      <c r="V5308">
        <v>-0.15816759999999999</v>
      </c>
      <c r="W5308">
        <v>-0.1111118</v>
      </c>
      <c r="X5308">
        <v>0.98114069999999998</v>
      </c>
      <c r="Y5308">
        <v>-0.1954795</v>
      </c>
      <c r="Z5308">
        <v>3.5628130000000001E-2</v>
      </c>
      <c r="AA5308">
        <v>0.98006040000000005</v>
      </c>
      <c r="AB5308">
        <v>16</v>
      </c>
      <c r="AC5308">
        <v>12.716399999999901</v>
      </c>
      <c r="AD5308">
        <v>-1.1229921813269901</v>
      </c>
      <c r="AE5308">
        <v>-2.1648900000000002</v>
      </c>
      <c r="AF5308">
        <v>-2.5490794020833998</v>
      </c>
      <c r="AG5308">
        <v>-1.1229921813269901</v>
      </c>
      <c r="AH5308">
        <v>12.5459928331996</v>
      </c>
      <c r="AI5308">
        <v>95.013027037482701</v>
      </c>
      <c r="AJ5308">
        <v>101.484950084765</v>
      </c>
      <c r="AK5308">
        <v>12.8514922638635</v>
      </c>
      <c r="AL5308">
        <v>96.379410261150596</v>
      </c>
      <c r="AM5308">
        <v>99.157742445145104</v>
      </c>
      <c r="AN5308">
        <v>0.99999994749274301</v>
      </c>
    </row>
    <row r="5309" spans="1:40" x14ac:dyDescent="0.25">
      <c r="A5309" t="str">
        <f>"20190303154623797"</f>
        <v>20190303154623797</v>
      </c>
      <c r="B5309" t="str">
        <f>"1551599183787126"</f>
        <v>1551599183787126</v>
      </c>
      <c r="C5309" t="s">
        <v>40</v>
      </c>
      <c r="D5309">
        <v>5.5495960000000002</v>
      </c>
      <c r="E5309">
        <v>0.48318369999999999</v>
      </c>
      <c r="F5309" t="s">
        <v>41</v>
      </c>
      <c r="G5309">
        <v>-395.63389999999998</v>
      </c>
      <c r="H5309" s="1">
        <v>-2.373538E-6</v>
      </c>
      <c r="I5309">
        <v>17.760539999999999</v>
      </c>
      <c r="J5309">
        <v>-408.60930000000002</v>
      </c>
      <c r="K5309">
        <v>1.1229209999999901</v>
      </c>
      <c r="L5309">
        <v>19.889710000000001</v>
      </c>
      <c r="M5309">
        <v>0.9343688</v>
      </c>
      <c r="N5309">
        <v>-1.21155E-2</v>
      </c>
      <c r="O5309">
        <v>-0.35610140000000001</v>
      </c>
      <c r="P5309">
        <v>0.97214920000000005</v>
      </c>
      <c r="Q5309">
        <v>-0.1221443</v>
      </c>
      <c r="R5309">
        <v>-0.20001769999999999</v>
      </c>
      <c r="S5309">
        <v>2.9539789999999999</v>
      </c>
      <c r="T5309">
        <v>-0.25287910000000002</v>
      </c>
      <c r="U5309">
        <v>-0.490448</v>
      </c>
      <c r="V5309">
        <v>-0.15873370000000001</v>
      </c>
      <c r="W5309">
        <v>-0.1110877</v>
      </c>
      <c r="X5309">
        <v>0.98105200000000004</v>
      </c>
      <c r="Y5309">
        <v>-0.19660710000000001</v>
      </c>
      <c r="Z5309">
        <v>3.465356E-2</v>
      </c>
      <c r="AA5309">
        <v>0.97986980000000001</v>
      </c>
      <c r="AB5309">
        <v>16</v>
      </c>
      <c r="AC5309">
        <v>12.9754</v>
      </c>
      <c r="AD5309">
        <v>-1.12292337353799</v>
      </c>
      <c r="AE5309">
        <v>-2.1291699999999998</v>
      </c>
      <c r="AF5309">
        <v>-2.6122692947423101</v>
      </c>
      <c r="AG5309">
        <v>-1.12292337353799</v>
      </c>
      <c r="AH5309">
        <v>12.7896766505726</v>
      </c>
      <c r="AI5309">
        <v>94.9166625373946</v>
      </c>
      <c r="AJ5309">
        <v>101.543786068551</v>
      </c>
      <c r="AK5309">
        <v>13.1019363682356</v>
      </c>
      <c r="AL5309">
        <v>96.378020842958193</v>
      </c>
      <c r="AM5309">
        <v>99.190777472866301</v>
      </c>
      <c r="AN5309">
        <v>0.999999945655488</v>
      </c>
    </row>
    <row r="5310" spans="1:40" x14ac:dyDescent="0.25">
      <c r="A5310" t="str">
        <f>"20190303154623823"</f>
        <v>20190303154623823</v>
      </c>
      <c r="B5310" t="str">
        <f>"1551599183816402"</f>
        <v>1551599183816402</v>
      </c>
      <c r="C5310" t="s">
        <v>40</v>
      </c>
      <c r="D5310">
        <v>5.5644090000000004</v>
      </c>
      <c r="E5310">
        <v>0.48316540000000002</v>
      </c>
      <c r="F5310" t="s">
        <v>41</v>
      </c>
      <c r="G5310">
        <v>-395.55669999999998</v>
      </c>
      <c r="H5310" s="1">
        <v>-2.4032370000000001E-6</v>
      </c>
      <c r="I5310">
        <v>17.798950000000001</v>
      </c>
      <c r="J5310">
        <v>-408.43729999999999</v>
      </c>
      <c r="K5310">
        <v>1.1228279999999999</v>
      </c>
      <c r="L5310">
        <v>19.831630000000001</v>
      </c>
      <c r="M5310">
        <v>0.93642590000000003</v>
      </c>
      <c r="N5310">
        <v>-1.207008E-2</v>
      </c>
      <c r="O5310">
        <v>-0.35065790000000002</v>
      </c>
      <c r="P5310">
        <v>0.97319239999999996</v>
      </c>
      <c r="Q5310">
        <v>-0.1234792</v>
      </c>
      <c r="R5310">
        <v>-0.19403509999999999</v>
      </c>
      <c r="S5310">
        <v>2.956512</v>
      </c>
      <c r="T5310">
        <v>-0.25434960000000001</v>
      </c>
      <c r="U5310">
        <v>-0.47357179999999999</v>
      </c>
      <c r="V5310">
        <v>-0.15901289999999901</v>
      </c>
      <c r="W5310">
        <v>-0.11244030000000001</v>
      </c>
      <c r="X5310">
        <v>0.98085270000000002</v>
      </c>
      <c r="Y5310">
        <v>-0.19647870000000001</v>
      </c>
      <c r="Z5310">
        <v>3.4505580000000001E-2</v>
      </c>
      <c r="AA5310">
        <v>0.97990080000000002</v>
      </c>
      <c r="AB5310">
        <v>16</v>
      </c>
      <c r="AC5310">
        <v>12.880599999999999</v>
      </c>
      <c r="AD5310">
        <v>-1.122830403237</v>
      </c>
      <c r="AE5310">
        <v>-2.0326799999999898</v>
      </c>
      <c r="AF5310">
        <v>-2.5941859738478699</v>
      </c>
      <c r="AG5310">
        <v>-1.122830403237</v>
      </c>
      <c r="AH5310">
        <v>12.6814082596132</v>
      </c>
      <c r="AI5310">
        <v>94.9577143917694</v>
      </c>
      <c r="AJ5310">
        <v>101.561265071861</v>
      </c>
      <c r="AK5310">
        <v>12.992638855456899</v>
      </c>
      <c r="AL5310">
        <v>96.456007563958494</v>
      </c>
      <c r="AM5310">
        <v>99.208505384380501</v>
      </c>
      <c r="AN5310">
        <v>0.99999997126389395</v>
      </c>
    </row>
    <row r="5311" spans="1:40" x14ac:dyDescent="0.25">
      <c r="A5311" t="str">
        <f>"20190303154623842"</f>
        <v>20190303154623842</v>
      </c>
      <c r="B5311" t="str">
        <f>"1551599183836898"</f>
        <v>1551599183836898</v>
      </c>
      <c r="C5311" t="s">
        <v>40</v>
      </c>
      <c r="D5311">
        <v>5.5189979999999998</v>
      </c>
      <c r="E5311">
        <v>0.48333930000000003</v>
      </c>
      <c r="F5311" t="s">
        <v>41</v>
      </c>
      <c r="G5311">
        <v>-395.65989999999999</v>
      </c>
      <c r="H5311" s="1">
        <v>-2.3426019999999999E-6</v>
      </c>
      <c r="I5311">
        <v>17.865679999999902</v>
      </c>
      <c r="J5311">
        <v>-408.30110000000002</v>
      </c>
      <c r="K5311">
        <v>1.1227659999999999</v>
      </c>
      <c r="L5311">
        <v>19.786380000000001</v>
      </c>
      <c r="M5311">
        <v>0.93798510000000002</v>
      </c>
      <c r="N5311">
        <v>-1.203838E-2</v>
      </c>
      <c r="O5311">
        <v>-0.34646670000000002</v>
      </c>
      <c r="P5311">
        <v>0.97391559999999999</v>
      </c>
      <c r="Q5311">
        <v>-0.1239296</v>
      </c>
      <c r="R5311">
        <v>-0.19007930000000001</v>
      </c>
      <c r="S5311">
        <v>2.9588930000000002</v>
      </c>
      <c r="T5311">
        <v>-0.26001729999999901</v>
      </c>
      <c r="U5311">
        <v>-0.45526119999999998</v>
      </c>
      <c r="V5311">
        <v>-0.1586052</v>
      </c>
      <c r="W5311">
        <v>-0.1128979</v>
      </c>
      <c r="X5311">
        <v>0.98086620000000002</v>
      </c>
      <c r="Y5311">
        <v>-0.19805900000000001</v>
      </c>
      <c r="Z5311">
        <v>3.5133099999999903E-2</v>
      </c>
      <c r="AA5311">
        <v>0.97956030000000005</v>
      </c>
      <c r="AB5311">
        <v>16</v>
      </c>
      <c r="AC5311">
        <v>12.6412</v>
      </c>
      <c r="AD5311">
        <v>-1.1227683426020001</v>
      </c>
      <c r="AE5311">
        <v>-1.9207000000000001</v>
      </c>
      <c r="AF5311">
        <v>-2.55862482435563</v>
      </c>
      <c r="AG5311">
        <v>-1.1227683426020001</v>
      </c>
      <c r="AH5311">
        <v>12.427795898363801</v>
      </c>
      <c r="AI5311">
        <v>95.056786952854495</v>
      </c>
      <c r="AJ5311">
        <v>101.633461344872</v>
      </c>
      <c r="AK5311">
        <v>12.738024989547901</v>
      </c>
      <c r="AL5311">
        <v>96.482393786405297</v>
      </c>
      <c r="AM5311">
        <v>99.185173992553203</v>
      </c>
      <c r="AN5311">
        <v>1.00000002379694</v>
      </c>
    </row>
    <row r="5312" spans="1:40" x14ac:dyDescent="0.25">
      <c r="A5312" t="str">
        <f>"20190303154623864"</f>
        <v>20190303154623864</v>
      </c>
      <c r="B5312" t="str">
        <f>"1551599183856417"</f>
        <v>1551599183856417</v>
      </c>
      <c r="C5312" t="s">
        <v>40</v>
      </c>
      <c r="D5312">
        <v>5.5860969999999996</v>
      </c>
      <c r="E5312">
        <v>0.4835623</v>
      </c>
      <c r="F5312" t="s">
        <v>41</v>
      </c>
      <c r="G5312">
        <v>-395.63499999999999</v>
      </c>
      <c r="H5312" s="1">
        <v>-2.3511420000000001E-6</v>
      </c>
      <c r="I5312">
        <v>17.883839999999999</v>
      </c>
      <c r="J5312">
        <v>-408.15190000000001</v>
      </c>
      <c r="K5312">
        <v>1.1227320000000001</v>
      </c>
      <c r="L5312">
        <v>19.73734</v>
      </c>
      <c r="M5312">
        <v>0.93963869999999905</v>
      </c>
      <c r="N5312">
        <v>-1.2008110000000001E-2</v>
      </c>
      <c r="O5312">
        <v>-0.34195730000000002</v>
      </c>
      <c r="P5312">
        <v>0.97470860000000004</v>
      </c>
      <c r="Q5312">
        <v>-0.1228296</v>
      </c>
      <c r="R5312">
        <v>-0.18669769999999999</v>
      </c>
      <c r="S5312">
        <v>2.9602050000000002</v>
      </c>
      <c r="T5312">
        <v>-0.26240229999999998</v>
      </c>
      <c r="U5312">
        <v>-0.44464110000000001</v>
      </c>
      <c r="V5312">
        <v>-0.15736420000000001</v>
      </c>
      <c r="W5312">
        <v>-0.1118017</v>
      </c>
      <c r="X5312">
        <v>0.98119160000000005</v>
      </c>
      <c r="Y5312">
        <v>-0.19683390000000001</v>
      </c>
      <c r="Z5312">
        <v>3.5110559999999999E-2</v>
      </c>
      <c r="AA5312">
        <v>0.97980800000000001</v>
      </c>
      <c r="AB5312">
        <v>16</v>
      </c>
      <c r="AC5312">
        <v>12.5169</v>
      </c>
      <c r="AD5312">
        <v>-1.122734351142</v>
      </c>
      <c r="AE5312">
        <v>-1.8534999999999999</v>
      </c>
      <c r="AF5312">
        <v>-2.5189762995868099</v>
      </c>
      <c r="AG5312">
        <v>-1.122734351142</v>
      </c>
      <c r="AH5312">
        <v>12.2992440601118</v>
      </c>
      <c r="AI5312">
        <v>95.110281738074605</v>
      </c>
      <c r="AJ5312">
        <v>101.574536160805</v>
      </c>
      <c r="AK5312">
        <v>12.604649081640799</v>
      </c>
      <c r="AL5312">
        <v>96.419185900528007</v>
      </c>
      <c r="AM5312">
        <v>99.111543946271894</v>
      </c>
      <c r="AN5312">
        <v>1.0000000337375401</v>
      </c>
    </row>
    <row r="5313" spans="1:40" x14ac:dyDescent="0.25">
      <c r="A5313" t="str">
        <f>"20190303154623887"</f>
        <v>20190303154623887</v>
      </c>
      <c r="B5313" t="str">
        <f>"1551599183876913"</f>
        <v>1551599183876913</v>
      </c>
      <c r="C5313" t="s">
        <v>40</v>
      </c>
      <c r="D5313">
        <v>5.5869629999999999</v>
      </c>
      <c r="E5313">
        <v>0.48381970000000002</v>
      </c>
      <c r="F5313" t="s">
        <v>41</v>
      </c>
      <c r="G5313">
        <v>-395.36770000000001</v>
      </c>
      <c r="H5313" s="1">
        <v>-2.4827119999999999E-6</v>
      </c>
      <c r="I5313">
        <v>17.85454</v>
      </c>
      <c r="J5313">
        <v>-408.00029999999998</v>
      </c>
      <c r="K5313">
        <v>1.1227100000000001</v>
      </c>
      <c r="L5313">
        <v>19.688289999999999</v>
      </c>
      <c r="M5313">
        <v>0.94126370000000004</v>
      </c>
      <c r="N5313">
        <v>-1.198139E-2</v>
      </c>
      <c r="O5313">
        <v>-0.33746009999999999</v>
      </c>
      <c r="P5313">
        <v>0.97550680000000001</v>
      </c>
      <c r="Q5313">
        <v>-0.12131889999999899</v>
      </c>
      <c r="R5313">
        <v>-0.18349019999999999</v>
      </c>
      <c r="S5313">
        <v>2.9615170000000002</v>
      </c>
      <c r="T5313">
        <v>-0.26008569999999998</v>
      </c>
      <c r="U5313">
        <v>-0.43615720000000002</v>
      </c>
      <c r="V5313">
        <v>-0.1559789</v>
      </c>
      <c r="W5313">
        <v>-0.110296699999999</v>
      </c>
      <c r="X5313">
        <v>0.98158299999999998</v>
      </c>
      <c r="Y5313">
        <v>-0.19500770000000001</v>
      </c>
      <c r="Z5313">
        <v>3.4374010000000003E-2</v>
      </c>
      <c r="AA5313">
        <v>0.98019920000000005</v>
      </c>
      <c r="AB5313">
        <v>16</v>
      </c>
      <c r="AC5313">
        <v>12.632599999999901</v>
      </c>
      <c r="AD5313">
        <v>-1.1227124827120001</v>
      </c>
      <c r="AE5313">
        <v>-1.83374999999999</v>
      </c>
      <c r="AF5313">
        <v>-2.51766228312629</v>
      </c>
      <c r="AG5313">
        <v>-1.1227124827120001</v>
      </c>
      <c r="AH5313">
        <v>12.414289543820599</v>
      </c>
      <c r="AI5313">
        <v>95.065048344144401</v>
      </c>
      <c r="AJ5313">
        <v>101.464303616012</v>
      </c>
      <c r="AK5313">
        <v>12.7166698301296</v>
      </c>
      <c r="AL5313">
        <v>96.332419411455703</v>
      </c>
      <c r="AM5313">
        <v>99.029119451461696</v>
      </c>
      <c r="AN5313">
        <v>0.99999998258254896</v>
      </c>
    </row>
    <row r="5314" spans="1:40" x14ac:dyDescent="0.25">
      <c r="A5314" t="str">
        <f>"20190303154623911"</f>
        <v>20190303154623911</v>
      </c>
      <c r="B5314" t="str">
        <f>"1551599183907170"</f>
        <v>1551599183907170</v>
      </c>
      <c r="C5314" t="s">
        <v>40</v>
      </c>
      <c r="D5314">
        <v>5.5529679999999999</v>
      </c>
      <c r="E5314">
        <v>0.48424689999999998</v>
      </c>
      <c r="F5314" t="s">
        <v>41</v>
      </c>
      <c r="G5314">
        <v>-395.01179999999999</v>
      </c>
      <c r="H5314" s="1">
        <v>-2.658797E-6</v>
      </c>
      <c r="I5314">
        <v>17.810269999999999</v>
      </c>
      <c r="J5314">
        <v>-407.83730000000003</v>
      </c>
      <c r="K5314">
        <v>1.1227</v>
      </c>
      <c r="L5314">
        <v>19.63635</v>
      </c>
      <c r="M5314">
        <v>0.94295589999999996</v>
      </c>
      <c r="N5314">
        <v>-1.19566E-2</v>
      </c>
      <c r="O5314">
        <v>-0.33270300000000003</v>
      </c>
      <c r="P5314">
        <v>0.97617710000000002</v>
      </c>
      <c r="Q5314">
        <v>-0.1205664</v>
      </c>
      <c r="R5314">
        <v>-0.18039430000000001</v>
      </c>
      <c r="S5314">
        <v>2.9628909999999999</v>
      </c>
      <c r="T5314">
        <v>-0.25610820000000001</v>
      </c>
      <c r="U5314">
        <v>-0.4284058</v>
      </c>
      <c r="V5314">
        <v>-0.15417719999999999</v>
      </c>
      <c r="W5314">
        <v>-0.109551</v>
      </c>
      <c r="X5314">
        <v>0.98195109999999997</v>
      </c>
      <c r="Y5314">
        <v>-0.1927083</v>
      </c>
      <c r="Z5314">
        <v>3.3366949999999999E-2</v>
      </c>
      <c r="AA5314">
        <v>0.98068860000000002</v>
      </c>
      <c r="AB5314">
        <v>16</v>
      </c>
      <c r="AC5314">
        <v>12.8255</v>
      </c>
      <c r="AD5314">
        <v>-1.1227026587969999</v>
      </c>
      <c r="AE5314">
        <v>-1.8260799999999899</v>
      </c>
      <c r="AF5314">
        <v>-2.5263770802904801</v>
      </c>
      <c r="AG5314">
        <v>-1.1227026587969999</v>
      </c>
      <c r="AH5314">
        <v>12.607641842567601</v>
      </c>
      <c r="AI5314">
        <v>94.990047644951005</v>
      </c>
      <c r="AJ5314">
        <v>101.331118507818</v>
      </c>
      <c r="AK5314">
        <v>12.907194708469699</v>
      </c>
      <c r="AL5314">
        <v>96.289433363355698</v>
      </c>
      <c r="AM5314">
        <v>98.923221475075707</v>
      </c>
      <c r="AN5314">
        <v>0.99999999669602502</v>
      </c>
    </row>
    <row r="5315" spans="1:40" x14ac:dyDescent="0.25">
      <c r="A5315" t="str">
        <f>"20190303154623932"</f>
        <v>20190303154623932</v>
      </c>
      <c r="B5315" t="str">
        <f>"1551599183926690"</f>
        <v>1551599183926690</v>
      </c>
      <c r="C5315" t="s">
        <v>40</v>
      </c>
      <c r="D5315">
        <v>5.5029079999999997</v>
      </c>
      <c r="E5315">
        <v>0.49004110000000001</v>
      </c>
      <c r="F5315" t="s">
        <v>41</v>
      </c>
      <c r="G5315">
        <v>-394.81659999999999</v>
      </c>
      <c r="H5315" s="1">
        <v>-2.756331E-6</v>
      </c>
      <c r="I5315">
        <v>17.780670000000001</v>
      </c>
      <c r="J5315">
        <v>-407.69119999999998</v>
      </c>
      <c r="K5315">
        <v>1.1226959999999999</v>
      </c>
      <c r="L5315">
        <v>19.590420000000002</v>
      </c>
      <c r="M5315">
        <v>0.94443169999999999</v>
      </c>
      <c r="N5315">
        <v>-1.193722E-2</v>
      </c>
      <c r="O5315">
        <v>-0.32849099999999998</v>
      </c>
      <c r="P5315">
        <v>0.97658080000000003</v>
      </c>
      <c r="Q5315">
        <v>-0.12066350000000001</v>
      </c>
      <c r="R5315">
        <v>-0.17813019999999999</v>
      </c>
      <c r="S5315">
        <v>2.9635929999999999</v>
      </c>
      <c r="T5315">
        <v>-0.2555326</v>
      </c>
      <c r="U5315">
        <v>-0.4223633</v>
      </c>
      <c r="V5315">
        <v>-0.1520714</v>
      </c>
      <c r="W5315">
        <v>-0.1096506</v>
      </c>
      <c r="X5315">
        <v>0.98226829999999998</v>
      </c>
      <c r="Y5315">
        <v>-0.1903483</v>
      </c>
      <c r="Z5315">
        <v>3.2886430000000001E-2</v>
      </c>
      <c r="AA5315">
        <v>0.98116559999999997</v>
      </c>
      <c r="AB5315">
        <v>16</v>
      </c>
      <c r="AC5315">
        <v>12.8745999999999</v>
      </c>
      <c r="AD5315">
        <v>-1.122698756331</v>
      </c>
      <c r="AE5315">
        <v>-1.80975</v>
      </c>
      <c r="AF5315">
        <v>-2.5015306427626398</v>
      </c>
      <c r="AG5315">
        <v>-1.122698756331</v>
      </c>
      <c r="AH5315">
        <v>12.660169007844299</v>
      </c>
      <c r="AI5315">
        <v>94.972075571062007</v>
      </c>
      <c r="AJ5315">
        <v>101.177133383282</v>
      </c>
      <c r="AK5315">
        <v>12.9536862460586</v>
      </c>
      <c r="AL5315">
        <v>96.295174658849007</v>
      </c>
      <c r="AM5315">
        <v>98.800468995328401</v>
      </c>
      <c r="AN5315">
        <v>0.99999998898160403</v>
      </c>
    </row>
    <row r="5316" spans="1:40" x14ac:dyDescent="0.25">
      <c r="A5316" t="str">
        <f>"20190303154623954"</f>
        <v>20190303154623954</v>
      </c>
      <c r="B5316" t="str">
        <f>"1551599183947186"</f>
        <v>1551599183947186</v>
      </c>
      <c r="C5316" t="s">
        <v>40</v>
      </c>
      <c r="D5316">
        <v>5.510548</v>
      </c>
      <c r="E5316">
        <v>0.4908904</v>
      </c>
      <c r="F5316" t="s">
        <v>41</v>
      </c>
      <c r="G5316">
        <v>-395.70100000000002</v>
      </c>
      <c r="H5316" s="1">
        <v>-2.3484470000000001E-6</v>
      </c>
      <c r="I5316">
        <v>17.723220000000001</v>
      </c>
      <c r="J5316">
        <v>-407.54399999999998</v>
      </c>
      <c r="K5316">
        <v>1.1226830000000001</v>
      </c>
      <c r="L5316">
        <v>19.54486</v>
      </c>
      <c r="M5316">
        <v>0.94588070000000002</v>
      </c>
      <c r="N5316">
        <v>-1.1919920000000001E-2</v>
      </c>
      <c r="O5316">
        <v>-0.32429560000000002</v>
      </c>
      <c r="P5316">
        <v>0.97708550000000005</v>
      </c>
      <c r="Q5316">
        <v>-0.1205838</v>
      </c>
      <c r="R5316">
        <v>-0.17539579999999999</v>
      </c>
      <c r="S5316">
        <v>2.953827</v>
      </c>
      <c r="T5316">
        <v>-0.27658120000000003</v>
      </c>
      <c r="U5316">
        <v>-0.4599915</v>
      </c>
      <c r="V5316">
        <v>-0.15046970000000001</v>
      </c>
      <c r="W5316">
        <v>-0.1095732</v>
      </c>
      <c r="X5316">
        <v>0.98252360000000005</v>
      </c>
      <c r="Y5316">
        <v>-0.17307700000000001</v>
      </c>
      <c r="Z5316">
        <v>3.4677689999999997E-2</v>
      </c>
      <c r="AA5316">
        <v>0.98429759999999999</v>
      </c>
      <c r="AB5316">
        <v>16</v>
      </c>
      <c r="AC5316">
        <v>11.843</v>
      </c>
      <c r="AD5316">
        <v>-1.1226853484469901</v>
      </c>
      <c r="AE5316">
        <v>-1.8216399999999899</v>
      </c>
      <c r="AF5316">
        <v>-2.0992996858522601</v>
      </c>
      <c r="AG5316">
        <v>-1.1226853484469901</v>
      </c>
      <c r="AH5316">
        <v>11.691019123566701</v>
      </c>
      <c r="AI5316">
        <v>95.399442340723297</v>
      </c>
      <c r="AJ5316">
        <v>100.179839133218</v>
      </c>
      <c r="AK5316">
        <v>11.9309433705067</v>
      </c>
      <c r="AL5316">
        <v>96.290712881938006</v>
      </c>
      <c r="AM5316">
        <v>98.706977838557705</v>
      </c>
      <c r="AN5316">
        <v>1.00000002066664</v>
      </c>
    </row>
    <row r="5317" spans="1:40" x14ac:dyDescent="0.25">
      <c r="A5317" t="str">
        <f>"20190303154623977"</f>
        <v>20190303154623977</v>
      </c>
      <c r="B5317" t="str">
        <f>"1551599183966706"</f>
        <v>1551599183966706</v>
      </c>
      <c r="C5317" t="s">
        <v>40</v>
      </c>
      <c r="D5317">
        <v>5.6331749999999996</v>
      </c>
      <c r="E5317">
        <v>0.471966</v>
      </c>
      <c r="F5317" t="s">
        <v>41</v>
      </c>
      <c r="G5317">
        <v>-395.25170000000003</v>
      </c>
      <c r="H5317" s="1">
        <v>-2.576131E-6</v>
      </c>
      <c r="I5317">
        <v>17.63693</v>
      </c>
      <c r="J5317">
        <v>-407.38240000000002</v>
      </c>
      <c r="K5317">
        <v>1.122662</v>
      </c>
      <c r="L5317">
        <v>19.495539999999998</v>
      </c>
      <c r="M5317">
        <v>0.94743230000000001</v>
      </c>
      <c r="N5317">
        <v>-1.1899949999999999E-2</v>
      </c>
      <c r="O5317">
        <v>-0.31973489999999999</v>
      </c>
      <c r="P5317">
        <v>0.97766730000000002</v>
      </c>
      <c r="Q5317">
        <v>-0.1205237</v>
      </c>
      <c r="R5317">
        <v>-0.17216579999999901</v>
      </c>
      <c r="S5317">
        <v>2.954742</v>
      </c>
      <c r="T5317">
        <v>-0.2698644</v>
      </c>
      <c r="U5317">
        <v>-0.45861819999999998</v>
      </c>
      <c r="V5317">
        <v>-0.14899189999999901</v>
      </c>
      <c r="W5317">
        <v>-0.1095168</v>
      </c>
      <c r="X5317">
        <v>0.98275509999999999</v>
      </c>
      <c r="Y5317">
        <v>-0.1689485</v>
      </c>
      <c r="Z5317">
        <v>3.3218949999999997E-2</v>
      </c>
      <c r="AA5317">
        <v>0.98506490000000002</v>
      </c>
      <c r="AB5317">
        <v>16</v>
      </c>
      <c r="AC5317">
        <v>12.1306999999999</v>
      </c>
      <c r="AD5317">
        <v>-1.1226645761309999</v>
      </c>
      <c r="AE5317">
        <v>-1.8586099999999901</v>
      </c>
      <c r="AF5317">
        <v>-2.1002746965932899</v>
      </c>
      <c r="AG5317">
        <v>-1.1226645761309999</v>
      </c>
      <c r="AH5317">
        <v>11.9878147100242</v>
      </c>
      <c r="AI5317">
        <v>95.270358542727493</v>
      </c>
      <c r="AJ5317">
        <v>99.937408104746794</v>
      </c>
      <c r="AK5317">
        <v>12.2220796541965</v>
      </c>
      <c r="AL5317">
        <v>96.287461642198295</v>
      </c>
      <c r="AM5317">
        <v>98.620755361124097</v>
      </c>
      <c r="AN5317">
        <v>1.00000005116192</v>
      </c>
    </row>
    <row r="5318" spans="1:40" x14ac:dyDescent="0.25">
      <c r="A5318" t="str">
        <f>"20190303154623998"</f>
        <v>20190303154623998</v>
      </c>
      <c r="B5318" t="str">
        <f>"1551599183996962"</f>
        <v>1551599183996962</v>
      </c>
      <c r="C5318" t="s">
        <v>40</v>
      </c>
      <c r="D5318">
        <v>5.59138</v>
      </c>
      <c r="E5318">
        <v>0.4589435</v>
      </c>
      <c r="F5318" t="s">
        <v>41</v>
      </c>
      <c r="G5318">
        <v>-397.07249999999999</v>
      </c>
      <c r="H5318" s="1">
        <v>-1.568741E-6</v>
      </c>
      <c r="I5318">
        <v>18.463850000000001</v>
      </c>
      <c r="J5318">
        <v>-407.23450000000003</v>
      </c>
      <c r="K5318">
        <v>1.122635</v>
      </c>
      <c r="L5318">
        <v>19.451080000000001</v>
      </c>
      <c r="M5318">
        <v>0.94881700000000002</v>
      </c>
      <c r="N5318">
        <v>-1.187823E-2</v>
      </c>
      <c r="O5318">
        <v>-0.31560319999999997</v>
      </c>
      <c r="P5318">
        <v>0.97814730000000005</v>
      </c>
      <c r="Q5318">
        <v>-0.12033290000000001</v>
      </c>
      <c r="R5318">
        <v>-0.16955290000000001</v>
      </c>
      <c r="S5318">
        <v>2.9761660000000001</v>
      </c>
      <c r="T5318">
        <v>-0.32408110000000001</v>
      </c>
      <c r="U5318">
        <v>-0.297821</v>
      </c>
      <c r="V5318">
        <v>-0.147350799999999</v>
      </c>
      <c r="W5318">
        <v>-0.1093296</v>
      </c>
      <c r="X5318">
        <v>0.98302330000000004</v>
      </c>
      <c r="Y5318">
        <v>-0.216776</v>
      </c>
      <c r="Z5318">
        <v>4.2838220000000003E-2</v>
      </c>
      <c r="AA5318">
        <v>0.97528099999999995</v>
      </c>
      <c r="AB5318">
        <v>16</v>
      </c>
      <c r="AC5318">
        <v>10.162000000000001</v>
      </c>
      <c r="AD5318">
        <v>-1.122636568741</v>
      </c>
      <c r="AE5318">
        <v>-0.98722999999999606</v>
      </c>
      <c r="AF5318">
        <v>-2.2434943809029599</v>
      </c>
      <c r="AG5318">
        <v>-1.122636568741</v>
      </c>
      <c r="AH5318">
        <v>9.8352407897076706</v>
      </c>
      <c r="AI5318">
        <v>96.350074469601495</v>
      </c>
      <c r="AJ5318">
        <v>102.849749784509</v>
      </c>
      <c r="AK5318">
        <v>10.150149816340001</v>
      </c>
      <c r="AL5318">
        <v>96.276671312273095</v>
      </c>
      <c r="AM5318">
        <v>98.524911626940096</v>
      </c>
      <c r="AN5318">
        <v>1.00000001401984</v>
      </c>
    </row>
    <row r="5319" spans="1:40" x14ac:dyDescent="0.25">
      <c r="A5319" t="str">
        <f>"20190303154624022"</f>
        <v>20190303154624022</v>
      </c>
      <c r="B5319" t="str">
        <f>"1551599184016482"</f>
        <v>1551599184016482</v>
      </c>
      <c r="C5319" t="s">
        <v>40</v>
      </c>
      <c r="D5319">
        <v>5.5470240000000004</v>
      </c>
      <c r="E5319">
        <v>0.45720280000000002</v>
      </c>
      <c r="F5319" t="s">
        <v>41</v>
      </c>
      <c r="G5319">
        <v>-397.03210000000001</v>
      </c>
      <c r="H5319" s="1">
        <v>-1.525937E-6</v>
      </c>
      <c r="I5319">
        <v>18.812889999999999</v>
      </c>
      <c r="J5319">
        <v>-407.08</v>
      </c>
      <c r="K5319">
        <v>1.1226179999999999</v>
      </c>
      <c r="L5319">
        <v>19.405329999999999</v>
      </c>
      <c r="M5319">
        <v>0.9502256</v>
      </c>
      <c r="N5319">
        <v>-1.1855259999999999E-2</v>
      </c>
      <c r="O5319">
        <v>-0.31133709999999998</v>
      </c>
      <c r="P5319">
        <v>0.97874289999999997</v>
      </c>
      <c r="Q5319">
        <v>-0.12</v>
      </c>
      <c r="R5319">
        <v>-0.1663193</v>
      </c>
      <c r="S5319">
        <v>2.994049</v>
      </c>
      <c r="T5319">
        <v>-0.32945429999999998</v>
      </c>
      <c r="U5319">
        <v>-0.18728639999999999</v>
      </c>
      <c r="V5319">
        <v>-0.146203799999999</v>
      </c>
      <c r="W5319">
        <v>-0.1090039</v>
      </c>
      <c r="X5319">
        <v>0.98323070000000001</v>
      </c>
      <c r="Y5319">
        <v>-0.24834619999999999</v>
      </c>
      <c r="Z5319">
        <v>4.4958100000000001E-2</v>
      </c>
      <c r="AA5319">
        <v>0.96762749999999997</v>
      </c>
      <c r="AB5319">
        <v>16</v>
      </c>
      <c r="AC5319">
        <v>10.047899999999901</v>
      </c>
      <c r="AD5319">
        <v>-1.122619525937</v>
      </c>
      <c r="AE5319">
        <v>-0.59243999999999897</v>
      </c>
      <c r="AF5319">
        <v>-2.53399074941008</v>
      </c>
      <c r="AG5319">
        <v>-1.122619525937</v>
      </c>
      <c r="AH5319">
        <v>9.6133181137396093</v>
      </c>
      <c r="AI5319">
        <v>96.442577884528603</v>
      </c>
      <c r="AJ5319">
        <v>104.766805130984</v>
      </c>
      <c r="AK5319">
        <v>10.004862261623799</v>
      </c>
      <c r="AL5319">
        <v>96.257897930947294</v>
      </c>
      <c r="AM5319">
        <v>98.457757742104107</v>
      </c>
      <c r="AN5319">
        <v>1.00000000538607</v>
      </c>
    </row>
    <row r="5320" spans="1:40" x14ac:dyDescent="0.25">
      <c r="A5320" t="str">
        <f>"20190303154624043"</f>
        <v>20190303154624043</v>
      </c>
      <c r="B5320" t="str">
        <f>"1551599184036978"</f>
        <v>1551599184036978</v>
      </c>
      <c r="C5320" t="s">
        <v>40</v>
      </c>
      <c r="D5320">
        <v>5.5580860000000003</v>
      </c>
      <c r="E5320">
        <v>0.45621590000000001</v>
      </c>
      <c r="F5320" t="s">
        <v>41</v>
      </c>
      <c r="G5320">
        <v>-396.72910000000002</v>
      </c>
      <c r="H5320" s="1">
        <v>-1.664428E-6</v>
      </c>
      <c r="I5320">
        <v>18.839639999999999</v>
      </c>
      <c r="J5320">
        <v>-406.92570000000001</v>
      </c>
      <c r="K5320">
        <v>1.1226039999999999</v>
      </c>
      <c r="L5320">
        <v>19.360320000000002</v>
      </c>
      <c r="M5320">
        <v>0.95159510000000003</v>
      </c>
      <c r="N5320">
        <v>-1.1836050000000001E-2</v>
      </c>
      <c r="O5320">
        <v>-0.30712650000000002</v>
      </c>
      <c r="P5320">
        <v>0.97949330000000001</v>
      </c>
      <c r="Q5320">
        <v>-0.11861919999999999</v>
      </c>
      <c r="R5320">
        <v>-0.16285629999999901</v>
      </c>
      <c r="S5320">
        <v>2.9974980000000002</v>
      </c>
      <c r="T5320">
        <v>-0.32509519999999997</v>
      </c>
      <c r="U5320">
        <v>-0.1638184</v>
      </c>
      <c r="V5320">
        <v>-0.14539160000000001</v>
      </c>
      <c r="W5320">
        <v>-0.1076286</v>
      </c>
      <c r="X5320">
        <v>0.9835026</v>
      </c>
      <c r="Y5320">
        <v>-0.25176079999999901</v>
      </c>
      <c r="Z5320">
        <v>4.4129109999999999E-2</v>
      </c>
      <c r="AA5320">
        <v>0.9667829</v>
      </c>
      <c r="AB5320">
        <v>16</v>
      </c>
      <c r="AC5320">
        <v>10.196599999999901</v>
      </c>
      <c r="AD5320">
        <v>-1.122605664428</v>
      </c>
      <c r="AE5320">
        <v>-0.52068000000000203</v>
      </c>
      <c r="AF5320">
        <v>-2.6048623862550002</v>
      </c>
      <c r="AG5320">
        <v>-1.122605664428</v>
      </c>
      <c r="AH5320">
        <v>9.7458168466895607</v>
      </c>
      <c r="AI5320">
        <v>96.349869353681299</v>
      </c>
      <c r="AJ5320">
        <v>104.96422305838</v>
      </c>
      <c r="AK5320">
        <v>10.150196921161101</v>
      </c>
      <c r="AL5320">
        <v>96.178632723604395</v>
      </c>
      <c r="AM5320">
        <v>98.409154549860901</v>
      </c>
      <c r="AN5320">
        <v>0.99999999854763999</v>
      </c>
    </row>
    <row r="5321" spans="1:40" x14ac:dyDescent="0.25">
      <c r="A5321" t="str">
        <f>"20190303154624066"</f>
        <v>20190303154624066</v>
      </c>
      <c r="B5321" t="str">
        <f>"1551599184056498"</f>
        <v>1551599184056498</v>
      </c>
      <c r="C5321" t="s">
        <v>40</v>
      </c>
      <c r="D5321">
        <v>5.5313589999999904</v>
      </c>
      <c r="E5321">
        <v>0.45580349999999997</v>
      </c>
      <c r="F5321" t="s">
        <v>41</v>
      </c>
      <c r="G5321">
        <v>-396.45229999999998</v>
      </c>
      <c r="H5321" s="1">
        <v>-1.79296E-6</v>
      </c>
      <c r="I5321">
        <v>18.852599999999999</v>
      </c>
      <c r="J5321">
        <v>-406.77010000000001</v>
      </c>
      <c r="K5321">
        <v>1.1225959999999999</v>
      </c>
      <c r="L5321">
        <v>19.315639999999998</v>
      </c>
      <c r="M5321">
        <v>0.95294239999999997</v>
      </c>
      <c r="N5321">
        <v>-1.181977E-2</v>
      </c>
      <c r="O5321">
        <v>-0.30292140000000001</v>
      </c>
      <c r="P5321">
        <v>0.9802128</v>
      </c>
      <c r="Q5321">
        <v>-0.1171765</v>
      </c>
      <c r="R5321">
        <v>-0.15953979999999901</v>
      </c>
      <c r="S5321">
        <v>2.9997250000000002</v>
      </c>
      <c r="T5321">
        <v>-0.32152940000000002</v>
      </c>
      <c r="U5321">
        <v>-0.145416299999999</v>
      </c>
      <c r="V5321">
        <v>-0.1444404</v>
      </c>
      <c r="W5321">
        <v>-0.1061908</v>
      </c>
      <c r="X5321">
        <v>0.98379899999999998</v>
      </c>
      <c r="Y5321">
        <v>-0.25351970000000001</v>
      </c>
      <c r="Z5321">
        <v>4.3333360000000001E-2</v>
      </c>
      <c r="AA5321">
        <v>0.96635910000000003</v>
      </c>
      <c r="AB5321">
        <v>16</v>
      </c>
      <c r="AC5321">
        <v>10.3178</v>
      </c>
      <c r="AD5321">
        <v>-1.12259779296</v>
      </c>
      <c r="AE5321">
        <v>-0.46303999999999901</v>
      </c>
      <c r="AF5321">
        <v>-2.6530754149334701</v>
      </c>
      <c r="AG5321">
        <v>-1.12259779296</v>
      </c>
      <c r="AH5321">
        <v>9.8567801060390998</v>
      </c>
      <c r="AI5321">
        <v>96.275982617791996</v>
      </c>
      <c r="AJ5321">
        <v>105.064840055102</v>
      </c>
      <c r="AK5321">
        <v>10.2691357484888</v>
      </c>
      <c r="AL5321">
        <v>96.095778010913406</v>
      </c>
      <c r="AM5321">
        <v>98.352436491072496</v>
      </c>
      <c r="AN5321">
        <v>0.99999999377889903</v>
      </c>
    </row>
    <row r="5322" spans="1:40" x14ac:dyDescent="0.25">
      <c r="A5322" t="str">
        <f>"20190303154624100"</f>
        <v>20190303154624100</v>
      </c>
      <c r="B5322" t="str">
        <f>"1551599184096513"</f>
        <v>1551599184096513</v>
      </c>
      <c r="C5322" t="s">
        <v>40</v>
      </c>
      <c r="D5322">
        <v>5.5778410000000003</v>
      </c>
      <c r="E5322">
        <v>0.4554745</v>
      </c>
      <c r="F5322" t="s">
        <v>41</v>
      </c>
      <c r="G5322">
        <v>-396.10039999999998</v>
      </c>
      <c r="H5322" s="1">
        <v>-1.9604209999999998E-6</v>
      </c>
      <c r="I5322">
        <v>18.846309999999999</v>
      </c>
      <c r="J5322">
        <v>-406.53449999999998</v>
      </c>
      <c r="K5322">
        <v>1.122609</v>
      </c>
      <c r="L5322">
        <v>19.249300000000002</v>
      </c>
      <c r="M5322">
        <v>0.95492750000000004</v>
      </c>
      <c r="N5322">
        <v>-1.179763E-2</v>
      </c>
      <c r="O5322">
        <v>-0.29660500000000001</v>
      </c>
      <c r="P5322">
        <v>0.98134489999999996</v>
      </c>
      <c r="Q5322">
        <v>-0.1157982</v>
      </c>
      <c r="R5322">
        <v>-0.1534702</v>
      </c>
      <c r="S5322">
        <v>3.0012509999999999</v>
      </c>
      <c r="T5322">
        <v>-0.31577349999999998</v>
      </c>
      <c r="U5322">
        <v>-0.132019</v>
      </c>
      <c r="V5322">
        <v>-0.14406910000000001</v>
      </c>
      <c r="W5322">
        <v>-0.1048316</v>
      </c>
      <c r="X5322">
        <v>0.98399919999999996</v>
      </c>
      <c r="Y5322">
        <v>-0.25159150000000002</v>
      </c>
      <c r="Z5322">
        <v>4.1843850000000002E-2</v>
      </c>
      <c r="AA5322">
        <v>0.96692849999999997</v>
      </c>
      <c r="AB5322">
        <v>16</v>
      </c>
      <c r="AC5322">
        <v>10.434100000000001</v>
      </c>
      <c r="AD5322">
        <v>-1.1226109604209999</v>
      </c>
      <c r="AE5322">
        <v>-0.40299000000000201</v>
      </c>
      <c r="AF5322">
        <v>-2.6792007608288699</v>
      </c>
      <c r="AG5322">
        <v>-1.1226109604209999</v>
      </c>
      <c r="AH5322">
        <v>9.96881399055132</v>
      </c>
      <c r="AI5322">
        <v>96.206700452549796</v>
      </c>
      <c r="AJ5322">
        <v>105.043240297925</v>
      </c>
      <c r="AK5322">
        <v>10.3834302840388</v>
      </c>
      <c r="AL5322">
        <v>96.017464419196898</v>
      </c>
      <c r="AM5322">
        <v>98.329596122164304</v>
      </c>
      <c r="AN5322">
        <v>0.99999999776700399</v>
      </c>
    </row>
    <row r="5323" spans="1:40" x14ac:dyDescent="0.25">
      <c r="A5323" t="str">
        <f>"20190303154624124"</f>
        <v>20190303154624124</v>
      </c>
      <c r="B5323" t="str">
        <f>"1551599184117010"</f>
        <v>1551599184117010</v>
      </c>
      <c r="C5323" t="s">
        <v>40</v>
      </c>
      <c r="D5323">
        <v>5.5537890000000001</v>
      </c>
      <c r="E5323">
        <v>0.4551789</v>
      </c>
      <c r="F5323" t="s">
        <v>41</v>
      </c>
      <c r="G5323">
        <v>-395.94319999999999</v>
      </c>
      <c r="H5323" s="1">
        <v>-2.0324950000000001E-6</v>
      </c>
      <c r="I5323">
        <v>18.859020000000001</v>
      </c>
      <c r="J5323">
        <v>-406.3725</v>
      </c>
      <c r="K5323">
        <v>1.1226309999999999</v>
      </c>
      <c r="L5323">
        <v>19.204619999999998</v>
      </c>
      <c r="M5323">
        <v>0.95626100000000003</v>
      </c>
      <c r="N5323">
        <v>-1.1784050000000001E-2</v>
      </c>
      <c r="O5323">
        <v>-0.29227740000000002</v>
      </c>
      <c r="P5323">
        <v>0.98188949999999997</v>
      </c>
      <c r="Q5323">
        <v>-0.11569889999999999</v>
      </c>
      <c r="R5323">
        <v>-0.15002199999999999</v>
      </c>
      <c r="S5323">
        <v>3.002167</v>
      </c>
      <c r="T5323">
        <v>-0.31820859999999901</v>
      </c>
      <c r="U5323">
        <v>-0.11062619999999999</v>
      </c>
      <c r="V5323">
        <v>-0.143071</v>
      </c>
      <c r="W5323">
        <v>-0.1047444</v>
      </c>
      <c r="X5323">
        <v>0.98415410000000003</v>
      </c>
      <c r="Y5323">
        <v>-0.25406010000000001</v>
      </c>
      <c r="Z5323">
        <v>4.1942140000000003E-2</v>
      </c>
      <c r="AA5323">
        <v>0.96627859999999999</v>
      </c>
      <c r="AB5323">
        <v>16</v>
      </c>
      <c r="AC5323">
        <v>10.4293</v>
      </c>
      <c r="AD5323">
        <v>-1.122633032495</v>
      </c>
      <c r="AE5323">
        <v>-0.34560000000000102</v>
      </c>
      <c r="AF5323">
        <v>-2.6868555094748499</v>
      </c>
      <c r="AG5323">
        <v>-1.122633032495</v>
      </c>
      <c r="AH5323">
        <v>9.9595698006028108</v>
      </c>
      <c r="AI5323">
        <v>96.210962238227793</v>
      </c>
      <c r="AJ5323">
        <v>105.097626218521</v>
      </c>
      <c r="AK5323">
        <v>10.3765373833241</v>
      </c>
      <c r="AL5323">
        <v>96.012440576707505</v>
      </c>
      <c r="AM5323">
        <v>98.271406649756699</v>
      </c>
      <c r="AN5323">
        <v>0.99999999645958504</v>
      </c>
    </row>
    <row r="5324" spans="1:40" x14ac:dyDescent="0.25">
      <c r="A5324" t="str">
        <f>"20190303154624145"</f>
        <v>20190303154624145</v>
      </c>
      <c r="B5324" t="str">
        <f>"1551599184136530"</f>
        <v>1551599184136530</v>
      </c>
      <c r="C5324" t="s">
        <v>40</v>
      </c>
      <c r="D5324">
        <v>5.5047600000000001</v>
      </c>
      <c r="E5324">
        <v>0.45522210000000002</v>
      </c>
      <c r="F5324" t="s">
        <v>41</v>
      </c>
      <c r="G5324">
        <v>-395.96769999999998</v>
      </c>
      <c r="H5324" s="1">
        <v>-2.019605E-6</v>
      </c>
      <c r="I5324">
        <v>18.866489999999999</v>
      </c>
      <c r="J5324">
        <v>-406.22469999999998</v>
      </c>
      <c r="K5324">
        <v>1.1226499999999999</v>
      </c>
      <c r="L5324">
        <v>19.16461</v>
      </c>
      <c r="M5324">
        <v>0.95745809999999998</v>
      </c>
      <c r="N5324">
        <v>-1.176871E-2</v>
      </c>
      <c r="O5324">
        <v>-0.288332599999999</v>
      </c>
      <c r="P5324">
        <v>0.9825258</v>
      </c>
      <c r="Q5324">
        <v>-0.1144105</v>
      </c>
      <c r="R5324">
        <v>-0.1468112</v>
      </c>
      <c r="S5324">
        <v>3.0021969999999998</v>
      </c>
      <c r="T5324">
        <v>-0.32392320000000002</v>
      </c>
      <c r="U5324">
        <v>-9.7564700000000004E-2</v>
      </c>
      <c r="V5324">
        <v>-0.14227670000000001</v>
      </c>
      <c r="W5324">
        <v>-0.10347050000000001</v>
      </c>
      <c r="X5324">
        <v>0.98440399999999995</v>
      </c>
      <c r="Y5324">
        <v>-0.25418410000000002</v>
      </c>
      <c r="Z5324">
        <v>4.2383940000000002E-2</v>
      </c>
      <c r="AA5324">
        <v>0.96622669999999999</v>
      </c>
      <c r="AB5324">
        <v>16</v>
      </c>
      <c r="AC5324">
        <v>10.257</v>
      </c>
      <c r="AD5324">
        <v>-1.1226520196049901</v>
      </c>
      <c r="AE5324">
        <v>-0.29812</v>
      </c>
      <c r="AF5324">
        <v>-2.6405680746623901</v>
      </c>
      <c r="AG5324">
        <v>-1.1226520196049901</v>
      </c>
      <c r="AH5324">
        <v>9.7901060222398399</v>
      </c>
      <c r="AI5324">
        <v>96.317807887672402</v>
      </c>
      <c r="AJ5324">
        <v>105.094515897085</v>
      </c>
      <c r="AK5324">
        <v>10.2019176256597</v>
      </c>
      <c r="AL5324">
        <v>95.939052554903995</v>
      </c>
      <c r="AM5324">
        <v>98.224056010678794</v>
      </c>
      <c r="AN5324">
        <v>1.00000001947456</v>
      </c>
    </row>
    <row r="5325" spans="1:40" x14ac:dyDescent="0.25">
      <c r="A5325" t="str">
        <f>"20190303154624166"</f>
        <v>20190303154624166</v>
      </c>
      <c r="B5325" t="str">
        <f>"1551599184157026"</f>
        <v>1551599184157026</v>
      </c>
      <c r="C5325" t="s">
        <v>40</v>
      </c>
      <c r="D5325">
        <v>5.5579530000000004</v>
      </c>
      <c r="E5325">
        <v>0.45543830000000002</v>
      </c>
      <c r="F5325" t="s">
        <v>41</v>
      </c>
      <c r="G5325">
        <v>-395.82089999999999</v>
      </c>
      <c r="H5325" s="1">
        <v>-2.0901210000000001E-6</v>
      </c>
      <c r="I5325">
        <v>18.859960000000001</v>
      </c>
      <c r="J5325">
        <v>-406.07470000000001</v>
      </c>
      <c r="K5325">
        <v>1.122676</v>
      </c>
      <c r="L5325">
        <v>19.12463</v>
      </c>
      <c r="M5325">
        <v>0.95865829999999996</v>
      </c>
      <c r="N5325">
        <v>-1.174967E-2</v>
      </c>
      <c r="O5325">
        <v>-0.2843175</v>
      </c>
      <c r="P5325">
        <v>0.98319420000000002</v>
      </c>
      <c r="Q5325">
        <v>-0.1131979</v>
      </c>
      <c r="R5325">
        <v>-0.14323169999999999</v>
      </c>
      <c r="S5325">
        <v>3.0025019999999998</v>
      </c>
      <c r="T5325">
        <v>-0.32399309999999998</v>
      </c>
      <c r="U5325">
        <v>-8.7921139999999995E-2</v>
      </c>
      <c r="V5325">
        <v>-0.14177790000000001</v>
      </c>
      <c r="W5325">
        <v>-0.1022782</v>
      </c>
      <c r="X5325">
        <v>0.98460049999999999</v>
      </c>
      <c r="Y5325">
        <v>-0.25325839999999999</v>
      </c>
      <c r="Z5325">
        <v>4.1974709999999998E-2</v>
      </c>
      <c r="AA5325">
        <v>0.9664876</v>
      </c>
      <c r="AB5325">
        <v>16</v>
      </c>
      <c r="AC5325">
        <v>10.2538</v>
      </c>
      <c r="AD5325">
        <v>-1.1226780901210001</v>
      </c>
      <c r="AE5325">
        <v>-0.26466999999999802</v>
      </c>
      <c r="AF5325">
        <v>-2.6302797539181801</v>
      </c>
      <c r="AG5325">
        <v>-1.1226780901210001</v>
      </c>
      <c r="AH5325">
        <v>9.7885579349674501</v>
      </c>
      <c r="AI5325">
        <v>96.320531301216903</v>
      </c>
      <c r="AJ5325">
        <v>105.04064335482001</v>
      </c>
      <c r="AK5325">
        <v>10.197776430385399</v>
      </c>
      <c r="AL5325">
        <v>95.870374681260301</v>
      </c>
      <c r="AM5325">
        <v>98.194002685875304</v>
      </c>
      <c r="AN5325">
        <v>0.99999997386194905</v>
      </c>
    </row>
    <row r="5326" spans="1:40" x14ac:dyDescent="0.25">
      <c r="A5326" t="str">
        <f>"20190303154624188"</f>
        <v>20190303154624188</v>
      </c>
      <c r="B5326" t="str">
        <f>"1551599184176546"</f>
        <v>1551599184176546</v>
      </c>
      <c r="C5326" t="s">
        <v>40</v>
      </c>
      <c r="D5326">
        <v>5.5132459999999996</v>
      </c>
      <c r="E5326">
        <v>0.4556885</v>
      </c>
      <c r="F5326" t="s">
        <v>41</v>
      </c>
      <c r="G5326">
        <v>-395.6703</v>
      </c>
      <c r="H5326" s="1">
        <v>-2.16262E-6</v>
      </c>
      <c r="I5326">
        <v>18.852429999999998</v>
      </c>
      <c r="J5326">
        <v>-405.92270000000002</v>
      </c>
      <c r="K5326">
        <v>1.122687</v>
      </c>
      <c r="L5326">
        <v>19.084869999999999</v>
      </c>
      <c r="M5326">
        <v>0.95985929999999997</v>
      </c>
      <c r="N5326">
        <v>-1.172685E-2</v>
      </c>
      <c r="O5326">
        <v>-0.28023700000000001</v>
      </c>
      <c r="P5326">
        <v>0.98383480000000001</v>
      </c>
      <c r="Q5326">
        <v>-0.1125381</v>
      </c>
      <c r="R5326">
        <v>-0.13929849999999999</v>
      </c>
      <c r="S5326">
        <v>3.0025330000000001</v>
      </c>
      <c r="T5326">
        <v>-0.32398650000000001</v>
      </c>
      <c r="U5326">
        <v>-7.8552250000000004E-2</v>
      </c>
      <c r="V5326">
        <v>-0.14154729999999999</v>
      </c>
      <c r="W5326">
        <v>-0.1016444</v>
      </c>
      <c r="X5326">
        <v>0.9846994</v>
      </c>
      <c r="Y5326">
        <v>-0.2521833</v>
      </c>
      <c r="Z5326">
        <v>4.1543570000000002E-2</v>
      </c>
      <c r="AA5326">
        <v>0.96678730000000002</v>
      </c>
      <c r="AB5326">
        <v>16</v>
      </c>
      <c r="AC5326">
        <v>10.2524</v>
      </c>
      <c r="AD5326">
        <v>-1.12268916262</v>
      </c>
      <c r="AE5326">
        <v>-0.232440000000004</v>
      </c>
      <c r="AF5326">
        <v>-2.6187874707450098</v>
      </c>
      <c r="AG5326">
        <v>-1.12268916262</v>
      </c>
      <c r="AH5326">
        <v>9.7893529083848296</v>
      </c>
      <c r="AI5326">
        <v>96.321959329053897</v>
      </c>
      <c r="AJ5326">
        <v>104.97672498663</v>
      </c>
      <c r="AK5326">
        <v>10.1955828248167</v>
      </c>
      <c r="AL5326">
        <v>95.833869832353102</v>
      </c>
      <c r="AM5326">
        <v>98.180045247611403</v>
      </c>
      <c r="AN5326">
        <v>1.0000000652745</v>
      </c>
    </row>
    <row r="5327" spans="1:40" x14ac:dyDescent="0.25">
      <c r="A5327" t="str">
        <f>"20190303154624211"</f>
        <v>20190303154624211</v>
      </c>
      <c r="B5327" t="str">
        <f>"1551599184206802"</f>
        <v>1551599184206802</v>
      </c>
      <c r="C5327" t="s">
        <v>40</v>
      </c>
      <c r="D5327">
        <v>5.4520910000000002</v>
      </c>
      <c r="E5327">
        <v>0.45614710000000003</v>
      </c>
      <c r="F5327" t="s">
        <v>41</v>
      </c>
      <c r="G5327">
        <v>-395.55720000000002</v>
      </c>
      <c r="H5327" s="1">
        <v>-2.216752E-6</v>
      </c>
      <c r="I5327">
        <v>18.848859999999998</v>
      </c>
      <c r="J5327">
        <v>-405.76389999999998</v>
      </c>
      <c r="K5327">
        <v>1.122695</v>
      </c>
      <c r="L5327">
        <v>19.044039999999999</v>
      </c>
      <c r="M5327">
        <v>0.96109840000000002</v>
      </c>
      <c r="N5327">
        <v>-1.170242E-2</v>
      </c>
      <c r="O5327">
        <v>-0.2759585</v>
      </c>
      <c r="P5327">
        <v>0.98428850000000001</v>
      </c>
      <c r="Q5327">
        <v>-0.1138064</v>
      </c>
      <c r="R5327">
        <v>-0.134997799999999</v>
      </c>
      <c r="S5327">
        <v>3.0024109999999999</v>
      </c>
      <c r="T5327">
        <v>-0.32519029999999999</v>
      </c>
      <c r="U5327">
        <v>-6.8359379999999997E-2</v>
      </c>
      <c r="V5327">
        <v>-0.1414146</v>
      </c>
      <c r="W5327">
        <v>-0.1029426</v>
      </c>
      <c r="X5327">
        <v>0.9845836</v>
      </c>
      <c r="Y5327">
        <v>-0.2511565</v>
      </c>
      <c r="Z5327">
        <v>4.1258209999999997E-2</v>
      </c>
      <c r="AA5327">
        <v>0.9670668</v>
      </c>
      <c r="AB5327">
        <v>16</v>
      </c>
      <c r="AC5327">
        <v>10.2066999999999</v>
      </c>
      <c r="AD5327">
        <v>-1.122697216752</v>
      </c>
      <c r="AE5327">
        <v>-0.19517999999999699</v>
      </c>
      <c r="AF5327">
        <v>-2.59779859789412</v>
      </c>
      <c r="AG5327">
        <v>-1.122697216752</v>
      </c>
      <c r="AH5327">
        <v>9.7463004409442107</v>
      </c>
      <c r="AI5327">
        <v>96.351228719183595</v>
      </c>
      <c r="AJ5327">
        <v>104.92474933264501</v>
      </c>
      <c r="AK5327">
        <v>10.148860964702999</v>
      </c>
      <c r="AL5327">
        <v>95.908643448386897</v>
      </c>
      <c r="AM5327">
        <v>98.173428334606697</v>
      </c>
      <c r="AN5327">
        <v>1.0000000666884299</v>
      </c>
    </row>
    <row r="5328" spans="1:40" x14ac:dyDescent="0.25">
      <c r="A5328" t="str">
        <f>"20190303154624234"</f>
        <v>20190303154624234</v>
      </c>
      <c r="B5328" t="str">
        <f>"1551599184226322"</f>
        <v>1551599184226322</v>
      </c>
      <c r="C5328" t="s">
        <v>40</v>
      </c>
      <c r="D5328">
        <v>5.5077879999999997</v>
      </c>
      <c r="E5328">
        <v>0.4565458</v>
      </c>
      <c r="F5328" t="s">
        <v>41</v>
      </c>
      <c r="G5328">
        <v>-395.48410000000001</v>
      </c>
      <c r="H5328" s="1">
        <v>-2.2524700000000001E-6</v>
      </c>
      <c r="I5328">
        <v>18.84224</v>
      </c>
      <c r="J5328">
        <v>-405.60649999999998</v>
      </c>
      <c r="K5328">
        <v>1.122698</v>
      </c>
      <c r="L5328">
        <v>19.004270000000002</v>
      </c>
      <c r="M5328">
        <v>0.96231080000000002</v>
      </c>
      <c r="N5328">
        <v>-1.168076E-2</v>
      </c>
      <c r="O5328">
        <v>-0.27170119999999998</v>
      </c>
      <c r="P5328">
        <v>0.98473120000000003</v>
      </c>
      <c r="Q5328">
        <v>-0.1153598</v>
      </c>
      <c r="R5328">
        <v>-0.13037109999999999</v>
      </c>
      <c r="S5328">
        <v>3.0018919999999998</v>
      </c>
      <c r="T5328">
        <v>-0.32784839999999998</v>
      </c>
      <c r="U5328">
        <v>-5.892944E-2</v>
      </c>
      <c r="V5328">
        <v>-0.1416231</v>
      </c>
      <c r="W5328">
        <v>-0.1045246</v>
      </c>
      <c r="X5328">
        <v>0.98438689999999995</v>
      </c>
      <c r="Y5328">
        <v>-0.249884</v>
      </c>
      <c r="Z5328">
        <v>4.1149209999999999E-2</v>
      </c>
      <c r="AA5328">
        <v>0.96740099999999996</v>
      </c>
      <c r="AB5328">
        <v>16</v>
      </c>
      <c r="AC5328">
        <v>10.122399999999899</v>
      </c>
      <c r="AD5328">
        <v>-1.12270025247</v>
      </c>
      <c r="AE5328">
        <v>-0.16203000000000101</v>
      </c>
      <c r="AF5328">
        <v>-2.56300106875005</v>
      </c>
      <c r="AG5328">
        <v>-1.12270025247</v>
      </c>
      <c r="AH5328">
        <v>9.6667007356837296</v>
      </c>
      <c r="AI5328">
        <v>96.405327402494294</v>
      </c>
      <c r="AJ5328">
        <v>104.849567004505</v>
      </c>
      <c r="AK5328">
        <v>10.063524901771601</v>
      </c>
      <c r="AL5328">
        <v>95.9997772411201</v>
      </c>
      <c r="AM5328">
        <v>98.186929379103802</v>
      </c>
      <c r="AN5328">
        <v>1.00000003167518</v>
      </c>
    </row>
    <row r="5329" spans="1:40" x14ac:dyDescent="0.25">
      <c r="A5329" t="str">
        <f>"20190303154624324"</f>
        <v>20190303154624324</v>
      </c>
      <c r="B5329" t="str">
        <f>"1551599184317089"</f>
        <v>1551599184317089</v>
      </c>
      <c r="C5329" t="s">
        <v>40</v>
      </c>
      <c r="D5329">
        <v>4.4900399999999996</v>
      </c>
      <c r="E5329">
        <v>0.4565458</v>
      </c>
      <c r="F5329" t="s">
        <v>41</v>
      </c>
      <c r="G5329">
        <v>-395.45209999999997</v>
      </c>
      <c r="H5329" s="1">
        <v>-2.267674E-6</v>
      </c>
      <c r="I5329">
        <v>18.84196</v>
      </c>
      <c r="J5329">
        <v>-404.9683</v>
      </c>
      <c r="K5329">
        <v>1.122722</v>
      </c>
      <c r="L5329">
        <v>18.8508</v>
      </c>
      <c r="M5329">
        <v>0.96703709999999998</v>
      </c>
      <c r="N5329">
        <v>-1.1611990000000001E-2</v>
      </c>
      <c r="O5329">
        <v>-0.25437110000000002</v>
      </c>
      <c r="P5329">
        <v>0.9877129</v>
      </c>
      <c r="Q5329">
        <v>-0.1116519</v>
      </c>
      <c r="R5329">
        <v>-0.1093508</v>
      </c>
      <c r="S5329">
        <v>3.0012819999999998</v>
      </c>
      <c r="T5329">
        <v>-0.33182979999999901</v>
      </c>
      <c r="U5329">
        <v>-4.7973630000000003E-2</v>
      </c>
      <c r="V5329">
        <v>-0.1450351</v>
      </c>
      <c r="W5329">
        <v>-0.1009138</v>
      </c>
      <c r="X5329">
        <v>0.98426689999999994</v>
      </c>
      <c r="Y5329">
        <v>-0.23609920000000001</v>
      </c>
      <c r="Z5329">
        <v>3.9202540000000001E-2</v>
      </c>
      <c r="AA5329">
        <v>0.97093779999999996</v>
      </c>
      <c r="AB5329">
        <v>16</v>
      </c>
      <c r="AC5329">
        <v>9.5162000000000209</v>
      </c>
      <c r="AD5329">
        <v>-1.1227242676739999</v>
      </c>
      <c r="AE5329">
        <v>-8.8399999999992894E-3</v>
      </c>
      <c r="AF5329">
        <v>-2.3791438745976698</v>
      </c>
      <c r="AG5329">
        <v>-1.1227242676739999</v>
      </c>
      <c r="AH5329">
        <v>9.0790127041234996</v>
      </c>
      <c r="AI5329">
        <v>96.821448714937205</v>
      </c>
      <c r="AJ5329">
        <v>104.684112876054</v>
      </c>
      <c r="AK5329">
        <v>9.4524762384729506</v>
      </c>
      <c r="AL5329">
        <v>95.791793253899598</v>
      </c>
      <c r="AM5329">
        <v>98.382407598526996</v>
      </c>
      <c r="AN5329">
        <v>1.00000005284902</v>
      </c>
    </row>
    <row r="5330" spans="1:40" x14ac:dyDescent="0.25">
      <c r="A5330" t="str">
        <f>"20190303154624390"</f>
        <v>20190303154624390</v>
      </c>
      <c r="B5330" t="str">
        <f>"1551599184386387"</f>
        <v>1551599184386387</v>
      </c>
      <c r="C5330" t="s">
        <v>40</v>
      </c>
      <c r="D5330">
        <v>5.4151999999999996</v>
      </c>
      <c r="E5330">
        <v>0.45818920000000002</v>
      </c>
      <c r="F5330" t="s">
        <v>41</v>
      </c>
      <c r="G5330">
        <v>-394.48649999999998</v>
      </c>
      <c r="H5330" s="1">
        <v>-2.712598E-6</v>
      </c>
      <c r="I5330">
        <v>18.906829999999999</v>
      </c>
      <c r="J5330">
        <v>-404.50790000000001</v>
      </c>
      <c r="K5330">
        <v>1.1227640000000001</v>
      </c>
      <c r="L5330">
        <v>18.747800000000002</v>
      </c>
      <c r="M5330">
        <v>0.97026970000000001</v>
      </c>
      <c r="N5330">
        <v>-1.1582220000000001E-2</v>
      </c>
      <c r="O5330">
        <v>-0.24174860000000001</v>
      </c>
      <c r="P5330">
        <v>0.98872389999999999</v>
      </c>
      <c r="Q5330">
        <v>-0.1130563</v>
      </c>
      <c r="R5330">
        <v>-9.8198820000000006E-2</v>
      </c>
      <c r="S5330">
        <v>3.0027469999999998</v>
      </c>
      <c r="T5330">
        <v>-0.32162950000000001</v>
      </c>
      <c r="U5330">
        <v>1.6052250000000001E-2</v>
      </c>
      <c r="V5330">
        <v>-0.14326069999999999</v>
      </c>
      <c r="W5330">
        <v>-0.102354</v>
      </c>
      <c r="X5330">
        <v>0.98437799999999998</v>
      </c>
      <c r="Y5330">
        <v>-0.2443215</v>
      </c>
      <c r="Z5330">
        <v>3.7282660000000002E-2</v>
      </c>
      <c r="AA5330">
        <v>0.96897730000000004</v>
      </c>
      <c r="AB5330">
        <v>16</v>
      </c>
      <c r="AC5330">
        <v>10.0214</v>
      </c>
      <c r="AD5330">
        <v>-1.1227667125980001</v>
      </c>
      <c r="AE5330">
        <v>0.15902999999999701</v>
      </c>
      <c r="AF5330">
        <v>-2.545194575849</v>
      </c>
      <c r="AG5330">
        <v>-1.1227667125980001</v>
      </c>
      <c r="AH5330">
        <v>9.5656259332271691</v>
      </c>
      <c r="AI5330">
        <v>96.471320886906994</v>
      </c>
      <c r="AJ5330">
        <v>104.89987868077399</v>
      </c>
      <c r="AK5330">
        <v>9.9619184906461395</v>
      </c>
      <c r="AL5330">
        <v>95.874740411822799</v>
      </c>
      <c r="AM5330">
        <v>98.280364098738204</v>
      </c>
      <c r="AN5330">
        <v>1.00000000818224</v>
      </c>
    </row>
    <row r="5331" spans="1:40" x14ac:dyDescent="0.25">
      <c r="A5331" t="str">
        <f>"20190303154624412"</f>
        <v>20190303154624412</v>
      </c>
      <c r="B5331" t="str">
        <f>"1551599184406769"</f>
        <v>1551599184406769</v>
      </c>
      <c r="C5331" t="s">
        <v>40</v>
      </c>
      <c r="D5331">
        <v>5.427403</v>
      </c>
      <c r="E5331">
        <v>0.45951170000000002</v>
      </c>
      <c r="F5331" t="s">
        <v>41</v>
      </c>
      <c r="G5331">
        <v>-393.60919999999999</v>
      </c>
      <c r="H5331" s="1">
        <v>-3.132137E-6</v>
      </c>
      <c r="I5331">
        <v>18.879629999999999</v>
      </c>
      <c r="J5331">
        <v>-404.34870000000001</v>
      </c>
      <c r="K5331">
        <v>1.122795</v>
      </c>
      <c r="L5331">
        <v>18.71368</v>
      </c>
      <c r="M5331">
        <v>0.97136369999999905</v>
      </c>
      <c r="N5331">
        <v>-1.1575810000000001E-2</v>
      </c>
      <c r="O5331">
        <v>-0.237316</v>
      </c>
      <c r="P5331">
        <v>0.98912529999999999</v>
      </c>
      <c r="Q5331">
        <v>-0.1118691</v>
      </c>
      <c r="R5331">
        <v>-9.5483159999999997E-2</v>
      </c>
      <c r="S5331">
        <v>3.0024109999999999</v>
      </c>
      <c r="T5331">
        <v>-0.30930200000000002</v>
      </c>
      <c r="U5331">
        <v>3.6315920000000002E-2</v>
      </c>
      <c r="V5331">
        <v>-0.14150299999999999</v>
      </c>
      <c r="W5331">
        <v>-0.10116989999999999</v>
      </c>
      <c r="X5331">
        <v>0.98475460000000004</v>
      </c>
      <c r="Y5331">
        <v>-0.24664030000000001</v>
      </c>
      <c r="Z5331">
        <v>3.5556379999999999E-2</v>
      </c>
      <c r="AA5331">
        <v>0.96845460000000005</v>
      </c>
      <c r="AB5331">
        <v>16</v>
      </c>
      <c r="AC5331">
        <v>10.7395</v>
      </c>
      <c r="AD5331">
        <v>-1.122798132137</v>
      </c>
      <c r="AE5331">
        <v>0.16594999999999799</v>
      </c>
      <c r="AF5331">
        <v>-2.6807396241659198</v>
      </c>
      <c r="AG5331">
        <v>-1.122798132137</v>
      </c>
      <c r="AH5331">
        <v>10.2809249821665</v>
      </c>
      <c r="AI5331">
        <v>96.032531330551393</v>
      </c>
      <c r="AJ5331">
        <v>104.614399367811</v>
      </c>
      <c r="AK5331">
        <v>10.6838410259156</v>
      </c>
      <c r="AL5331">
        <v>95.806542289020101</v>
      </c>
      <c r="AM5331">
        <v>98.177067584734303</v>
      </c>
      <c r="AN5331">
        <v>1.00000003494808</v>
      </c>
    </row>
    <row r="5332" spans="1:40" x14ac:dyDescent="0.25">
      <c r="A5332" t="str">
        <f>"20190303154624434"</f>
        <v>20190303154624434</v>
      </c>
      <c r="B5332" t="str">
        <f>"1551599184426289"</f>
        <v>1551599184426289</v>
      </c>
      <c r="C5332" t="s">
        <v>40</v>
      </c>
      <c r="D5332">
        <v>5.4172640000000003</v>
      </c>
      <c r="E5332">
        <v>0.4601731</v>
      </c>
      <c r="F5332" t="s">
        <v>41</v>
      </c>
      <c r="G5332">
        <v>-392.77050000000003</v>
      </c>
      <c r="H5332" s="1">
        <v>-3.5350090000000001E-6</v>
      </c>
      <c r="I5332">
        <v>18.843450000000001</v>
      </c>
      <c r="J5332">
        <v>-404.19490000000002</v>
      </c>
      <c r="K5332">
        <v>1.1228400000000001</v>
      </c>
      <c r="L5332">
        <v>18.681519999999999</v>
      </c>
      <c r="M5332">
        <v>0.97241250000000001</v>
      </c>
      <c r="N5332">
        <v>-1.1571649999999999E-2</v>
      </c>
      <c r="O5332">
        <v>-0.2329811</v>
      </c>
      <c r="P5332">
        <v>0.98942989999999997</v>
      </c>
      <c r="Q5332">
        <v>-0.11146499999999999</v>
      </c>
      <c r="R5332">
        <v>-9.2758820000000006E-2</v>
      </c>
      <c r="S5332">
        <v>3.0032960000000002</v>
      </c>
      <c r="T5332">
        <v>-0.29124410000000001</v>
      </c>
      <c r="U5332">
        <v>3.3660889999999999E-2</v>
      </c>
      <c r="V5332">
        <v>-0.139827799999999</v>
      </c>
      <c r="W5332">
        <v>-0.10077079999999999</v>
      </c>
      <c r="X5332">
        <v>0.98503470000000004</v>
      </c>
      <c r="Y5332">
        <v>-0.2417791</v>
      </c>
      <c r="Z5332">
        <v>3.2779219999999998E-2</v>
      </c>
      <c r="AA5332">
        <v>0.96977749999999996</v>
      </c>
      <c r="AB5332">
        <v>16</v>
      </c>
      <c r="AC5332">
        <v>11.424399999999901</v>
      </c>
      <c r="AD5332">
        <v>-1.122843535009</v>
      </c>
      <c r="AE5332">
        <v>0.16192999999999799</v>
      </c>
      <c r="AF5332">
        <v>-2.7923521986470998</v>
      </c>
      <c r="AG5332">
        <v>-1.122843535009</v>
      </c>
      <c r="AH5332">
        <v>10.966330992056699</v>
      </c>
      <c r="AI5332">
        <v>95.666565271020801</v>
      </c>
      <c r="AJ5332">
        <v>104.28562210139199</v>
      </c>
      <c r="AK5332">
        <v>11.3718258794595</v>
      </c>
      <c r="AL5332">
        <v>95.783558493548995</v>
      </c>
      <c r="AM5332">
        <v>98.079281073855896</v>
      </c>
      <c r="AN5332">
        <v>0.99999996399478397</v>
      </c>
    </row>
    <row r="5333" spans="1:40" x14ac:dyDescent="0.25">
      <c r="A5333" t="str">
        <f>"20190303154624457"</f>
        <v>20190303154624457</v>
      </c>
      <c r="B5333" t="str">
        <f>"1551599184446785"</f>
        <v>1551599184446785</v>
      </c>
      <c r="C5333" t="s">
        <v>40</v>
      </c>
      <c r="D5333">
        <v>5.3945049999999997</v>
      </c>
      <c r="E5333">
        <v>0.46079049999999999</v>
      </c>
      <c r="F5333" t="s">
        <v>41</v>
      </c>
      <c r="G5333">
        <v>-392.3193</v>
      </c>
      <c r="H5333" s="1">
        <v>-3.7513699999999998E-6</v>
      </c>
      <c r="I5333">
        <v>18.826080000000001</v>
      </c>
      <c r="J5333">
        <v>-404.03210000000001</v>
      </c>
      <c r="K5333">
        <v>1.1228899999999999</v>
      </c>
      <c r="L5333">
        <v>18.648319999999998</v>
      </c>
      <c r="M5333">
        <v>0.97351679999999996</v>
      </c>
      <c r="N5333">
        <v>-1.1569279999999999E-2</v>
      </c>
      <c r="O5333">
        <v>-0.228323</v>
      </c>
      <c r="P5333">
        <v>0.98960289999999995</v>
      </c>
      <c r="Q5333">
        <v>-0.1119222</v>
      </c>
      <c r="R5333">
        <v>-9.0331700000000001E-2</v>
      </c>
      <c r="S5333">
        <v>3.0034480000000001</v>
      </c>
      <c r="T5333">
        <v>-0.28397630000000001</v>
      </c>
      <c r="U5333">
        <v>3.6560059999999998E-2</v>
      </c>
      <c r="V5333">
        <v>-0.1375054</v>
      </c>
      <c r="W5333">
        <v>-0.101231</v>
      </c>
      <c r="X5333">
        <v>0.98531440000000003</v>
      </c>
      <c r="Y5333">
        <v>-0.23820849999999999</v>
      </c>
      <c r="Z5333">
        <v>3.1366339999999999E-2</v>
      </c>
      <c r="AA5333">
        <v>0.9707074</v>
      </c>
      <c r="AB5333">
        <v>16</v>
      </c>
      <c r="AC5333">
        <v>11.7128</v>
      </c>
      <c r="AD5333">
        <v>-1.1228937513699999</v>
      </c>
      <c r="AE5333">
        <v>0.17775999999999501</v>
      </c>
      <c r="AF5333">
        <v>-2.8216171709370301</v>
      </c>
      <c r="AG5333">
        <v>-1.1228937513699999</v>
      </c>
      <c r="AH5333">
        <v>11.2593212589756</v>
      </c>
      <c r="AI5333">
        <v>95.525526350246196</v>
      </c>
      <c r="AJ5333">
        <v>104.06874385187901</v>
      </c>
      <c r="AK5333">
        <v>11.661677797341699</v>
      </c>
      <c r="AL5333">
        <v>95.810061571545305</v>
      </c>
      <c r="AM5333">
        <v>97.9445937551518</v>
      </c>
      <c r="AN5333">
        <v>0.99999995861875901</v>
      </c>
    </row>
    <row r="5334" spans="1:40" x14ac:dyDescent="0.25">
      <c r="A5334" t="str">
        <f>"20190303154624479"</f>
        <v>20190303154624479</v>
      </c>
      <c r="B5334" t="str">
        <f>"1551599184477042"</f>
        <v>1551599184477042</v>
      </c>
      <c r="C5334" t="s">
        <v>40</v>
      </c>
      <c r="D5334">
        <v>5.4129709999999998</v>
      </c>
      <c r="E5334">
        <v>0.46153690000000003</v>
      </c>
      <c r="F5334" t="s">
        <v>41</v>
      </c>
      <c r="G5334">
        <v>-391.9504</v>
      </c>
      <c r="H5334" s="1">
        <v>-3.9295369999999998E-6</v>
      </c>
      <c r="I5334">
        <v>18.80471</v>
      </c>
      <c r="J5334">
        <v>-403.87220000000002</v>
      </c>
      <c r="K5334">
        <v>1.122938</v>
      </c>
      <c r="L5334">
        <v>18.616579999999999</v>
      </c>
      <c r="M5334">
        <v>0.97459629999999997</v>
      </c>
      <c r="N5334">
        <v>-1.1568749999999999E-2</v>
      </c>
      <c r="O5334">
        <v>-0.22367049999999999</v>
      </c>
      <c r="P5334">
        <v>0.98983330000000003</v>
      </c>
      <c r="Q5334">
        <v>-0.1119541</v>
      </c>
      <c r="R5334">
        <v>-8.7730420000000003E-2</v>
      </c>
      <c r="S5334">
        <v>3.0035099999999999</v>
      </c>
      <c r="T5334">
        <v>-0.27915220000000002</v>
      </c>
      <c r="U5334">
        <v>3.887939E-2</v>
      </c>
      <c r="V5334">
        <v>-0.1353781</v>
      </c>
      <c r="W5334">
        <v>-0.10126590000000001</v>
      </c>
      <c r="X5334">
        <v>0.98560539999999996</v>
      </c>
      <c r="Y5334">
        <v>-0.23441970000000001</v>
      </c>
      <c r="Z5334">
        <v>3.024779E-2</v>
      </c>
      <c r="AA5334">
        <v>0.9716648</v>
      </c>
      <c r="AB5334">
        <v>16</v>
      </c>
      <c r="AC5334">
        <v>11.921799999999999</v>
      </c>
      <c r="AD5334">
        <v>-1.122941929537</v>
      </c>
      <c r="AE5334">
        <v>0.18813000000000099</v>
      </c>
      <c r="AF5334">
        <v>-2.8250380635683801</v>
      </c>
      <c r="AG5334">
        <v>-1.122941929537</v>
      </c>
      <c r="AH5334">
        <v>11.4758456568602</v>
      </c>
      <c r="AI5334">
        <v>95.427719249100605</v>
      </c>
      <c r="AJ5334">
        <v>103.82966080646599</v>
      </c>
      <c r="AK5334">
        <v>11.8716836286097</v>
      </c>
      <c r="AL5334">
        <v>95.812071232300696</v>
      </c>
      <c r="AM5334">
        <v>97.820938040322204</v>
      </c>
      <c r="AN5334">
        <v>1.0000000084857801</v>
      </c>
    </row>
    <row r="5335" spans="1:40" x14ac:dyDescent="0.25">
      <c r="A5335" t="str">
        <f>"20190303154624505"</f>
        <v>20190303154624505</v>
      </c>
      <c r="B5335" t="str">
        <f>"1551599184496562"</f>
        <v>1551599184496562</v>
      </c>
      <c r="C5335" t="s">
        <v>40</v>
      </c>
      <c r="D5335">
        <v>5.4385399999999997</v>
      </c>
      <c r="E5335">
        <v>0.4620302</v>
      </c>
      <c r="F5335" t="s">
        <v>41</v>
      </c>
      <c r="G5335">
        <v>-391.44839999999999</v>
      </c>
      <c r="H5335" s="1">
        <v>-4.1703590000000003E-6</v>
      </c>
      <c r="I5335">
        <v>18.784829999999999</v>
      </c>
      <c r="J5335">
        <v>-403.69729999999998</v>
      </c>
      <c r="K5335">
        <v>1.1229960000000001</v>
      </c>
      <c r="L5335">
        <v>18.582979999999999</v>
      </c>
      <c r="M5335">
        <v>0.97577290000000005</v>
      </c>
      <c r="N5335">
        <v>-1.1569940000000001E-2</v>
      </c>
      <c r="O5335">
        <v>-0.21848000000000001</v>
      </c>
      <c r="P5335">
        <v>0.99032719999999996</v>
      </c>
      <c r="Q5335">
        <v>-0.11037139999999999</v>
      </c>
      <c r="R5335">
        <v>-8.4085019999999996E-2</v>
      </c>
      <c r="S5335">
        <v>3.0037539999999998</v>
      </c>
      <c r="T5335">
        <v>-0.2714995</v>
      </c>
      <c r="U5335">
        <v>4.0679930000000003E-2</v>
      </c>
      <c r="V5335">
        <v>-0.13379579999999999</v>
      </c>
      <c r="W5335">
        <v>-9.9688020000000002E-2</v>
      </c>
      <c r="X5335">
        <v>0.98598220000000003</v>
      </c>
      <c r="Y5335">
        <v>-0.22996539999999999</v>
      </c>
      <c r="Z5335">
        <v>2.8760170000000002E-2</v>
      </c>
      <c r="AA5335">
        <v>0.97277369999999996</v>
      </c>
      <c r="AB5335">
        <v>16</v>
      </c>
      <c r="AC5335">
        <v>12.2488999999999</v>
      </c>
      <c r="AD5335">
        <v>-1.12300017035899</v>
      </c>
      <c r="AE5335">
        <v>0.20185</v>
      </c>
      <c r="AF5335">
        <v>-2.84934777519417</v>
      </c>
      <c r="AG5335">
        <v>-1.12300017035899</v>
      </c>
      <c r="AH5335">
        <v>11.8096017454503</v>
      </c>
      <c r="AI5335">
        <v>95.281389214083205</v>
      </c>
      <c r="AJ5335">
        <v>103.56472309055199</v>
      </c>
      <c r="AK5335">
        <v>12.200270714733</v>
      </c>
      <c r="AL5335">
        <v>95.721205811774695</v>
      </c>
      <c r="AM5335">
        <v>97.727720049119498</v>
      </c>
      <c r="AN5335">
        <v>0.99999995807299902</v>
      </c>
    </row>
    <row r="5336" spans="1:40" x14ac:dyDescent="0.25">
      <c r="A5336" t="str">
        <f>"20190303154624526"</f>
        <v>20190303154624526</v>
      </c>
      <c r="B5336" t="str">
        <f>"1551599184517058"</f>
        <v>1551599184517058</v>
      </c>
      <c r="C5336" t="s">
        <v>40</v>
      </c>
      <c r="D5336">
        <v>5.39</v>
      </c>
      <c r="E5336">
        <v>0.46269080000000001</v>
      </c>
      <c r="F5336" t="s">
        <v>41</v>
      </c>
      <c r="G5336">
        <v>-390.86180000000002</v>
      </c>
      <c r="H5336" s="1">
        <v>-4.44728E-6</v>
      </c>
      <c r="I5336">
        <v>18.786909999999999</v>
      </c>
      <c r="J5336">
        <v>-403.53969999999998</v>
      </c>
      <c r="K5336">
        <v>1.1230549999999999</v>
      </c>
      <c r="L5336">
        <v>18.553560000000001</v>
      </c>
      <c r="M5336">
        <v>0.97682919999999995</v>
      </c>
      <c r="N5336">
        <v>-1.157214E-2</v>
      </c>
      <c r="O5336">
        <v>-0.21370810000000001</v>
      </c>
      <c r="P5336">
        <v>0.99080650000000003</v>
      </c>
      <c r="Q5336">
        <v>-0.10871219999999999</v>
      </c>
      <c r="R5336">
        <v>-8.0525970000000002E-2</v>
      </c>
      <c r="S5336">
        <v>3.0040589999999998</v>
      </c>
      <c r="T5336">
        <v>-0.26283010000000001</v>
      </c>
      <c r="U5336">
        <v>4.7729489999999999E-2</v>
      </c>
      <c r="V5336">
        <v>-0.1325576</v>
      </c>
      <c r="W5336">
        <v>-9.8031960000000001E-2</v>
      </c>
      <c r="X5336">
        <v>0.98631550000000001</v>
      </c>
      <c r="Y5336">
        <v>-0.22762489999999999</v>
      </c>
      <c r="Z5336">
        <v>2.733528E-2</v>
      </c>
      <c r="AA5336">
        <v>0.97336509999999998</v>
      </c>
      <c r="AB5336">
        <v>16</v>
      </c>
      <c r="AC5336">
        <v>12.6778999999999</v>
      </c>
      <c r="AD5336">
        <v>-1.12305944728</v>
      </c>
      <c r="AE5336">
        <v>0.233349999999997</v>
      </c>
      <c r="AF5336">
        <v>-2.9146453362149298</v>
      </c>
      <c r="AG5336">
        <v>-1.12305944728</v>
      </c>
      <c r="AH5336">
        <v>12.2390887133969</v>
      </c>
      <c r="AI5336">
        <v>95.100919790853695</v>
      </c>
      <c r="AJ5336">
        <v>103.395052174489</v>
      </c>
      <c r="AK5336">
        <v>12.6313780915798</v>
      </c>
      <c r="AL5336">
        <v>95.625853078082201</v>
      </c>
      <c r="AM5336">
        <v>97.654500160578706</v>
      </c>
      <c r="AN5336">
        <v>1.00000002401972</v>
      </c>
    </row>
    <row r="5337" spans="1:40" x14ac:dyDescent="0.25">
      <c r="A5337" t="str">
        <f>"20190303154624550"</f>
        <v>20190303154624550</v>
      </c>
      <c r="B5337" t="str">
        <f>"1551599184546338"</f>
        <v>1551599184546338</v>
      </c>
      <c r="C5337" t="s">
        <v>40</v>
      </c>
      <c r="D5337">
        <v>5.3986010000000002</v>
      </c>
      <c r="E5337">
        <v>0.46333869999999999</v>
      </c>
      <c r="F5337" t="s">
        <v>41</v>
      </c>
      <c r="G5337">
        <v>-390.14960000000002</v>
      </c>
      <c r="H5337" s="1">
        <v>-4.7833740000000004E-6</v>
      </c>
      <c r="I5337">
        <v>18.790209999999998</v>
      </c>
      <c r="J5337">
        <v>-403.37380000000002</v>
      </c>
      <c r="K5337">
        <v>1.123108</v>
      </c>
      <c r="L5337">
        <v>18.523589999999999</v>
      </c>
      <c r="M5337">
        <v>0.97793010000000002</v>
      </c>
      <c r="N5337">
        <v>-1.1574910000000001E-2</v>
      </c>
      <c r="O5337">
        <v>-0.20861189999999999</v>
      </c>
      <c r="P5337">
        <v>0.99137149999999996</v>
      </c>
      <c r="Q5337">
        <v>-0.10645549999999999</v>
      </c>
      <c r="R5337">
        <v>-7.648771E-2</v>
      </c>
      <c r="S5337">
        <v>3.0045470000000001</v>
      </c>
      <c r="T5337">
        <v>-0.25199880000000002</v>
      </c>
      <c r="U5337">
        <v>5.3100590000000003E-2</v>
      </c>
      <c r="V5337">
        <v>-0.131489299999999</v>
      </c>
      <c r="W5337">
        <v>-9.5775769999999996E-2</v>
      </c>
      <c r="X5337">
        <v>0.98668009999999995</v>
      </c>
      <c r="Y5337">
        <v>-0.22444210000000001</v>
      </c>
      <c r="Z5337">
        <v>2.564899E-2</v>
      </c>
      <c r="AA5337">
        <v>0.97414979999999995</v>
      </c>
      <c r="AB5337">
        <v>16</v>
      </c>
      <c r="AC5337">
        <v>13.2241999999999</v>
      </c>
      <c r="AD5337">
        <v>-1.123112783374</v>
      </c>
      <c r="AE5337">
        <v>0.26662000000000302</v>
      </c>
      <c r="AF5337">
        <v>-2.99804749417657</v>
      </c>
      <c r="AG5337">
        <v>-1.123112783374</v>
      </c>
      <c r="AH5337">
        <v>12.785402690488899</v>
      </c>
      <c r="AI5337">
        <v>94.888243561750102</v>
      </c>
      <c r="AJ5337">
        <v>103.196849745798</v>
      </c>
      <c r="AK5337">
        <v>13.1801438937319</v>
      </c>
      <c r="AL5337">
        <v>95.495971616838403</v>
      </c>
      <c r="AM5337">
        <v>97.590760934625195</v>
      </c>
      <c r="AN5337">
        <v>1.00000002693479</v>
      </c>
    </row>
    <row r="5338" spans="1:40" x14ac:dyDescent="0.25">
      <c r="A5338" t="str">
        <f>"20190303154624570"</f>
        <v>20190303154624570</v>
      </c>
      <c r="B5338" t="str">
        <f>"1551599184566834"</f>
        <v>1551599184566834</v>
      </c>
      <c r="C5338" t="s">
        <v>40</v>
      </c>
      <c r="D5338">
        <v>5.3818659999999996</v>
      </c>
      <c r="E5338">
        <v>0.46380909999999897</v>
      </c>
      <c r="F5338" t="s">
        <v>65</v>
      </c>
      <c r="G5338">
        <v>-389.22879999999998</v>
      </c>
      <c r="H5338" s="1">
        <v>-5.1209319999999898E-7</v>
      </c>
      <c r="I5338">
        <v>18.806419999999999</v>
      </c>
      <c r="J5338">
        <v>-403.22910000000002</v>
      </c>
      <c r="K5338">
        <v>1.1231420000000001</v>
      </c>
      <c r="L5338">
        <v>18.49823</v>
      </c>
      <c r="M5338">
        <v>0.97888030000000004</v>
      </c>
      <c r="N5338">
        <v>-1.1577469999999999E-2</v>
      </c>
      <c r="O5338">
        <v>-0.20410639999999999</v>
      </c>
      <c r="P5338">
        <v>0.99162689999999998</v>
      </c>
      <c r="Q5338">
        <v>-0.1063228</v>
      </c>
      <c r="R5338">
        <v>-7.3292309999999999E-2</v>
      </c>
      <c r="S5338">
        <v>3.005188</v>
      </c>
      <c r="T5338">
        <v>-0.23861070000000001</v>
      </c>
      <c r="U5338">
        <v>6.0089110000000001E-2</v>
      </c>
      <c r="V5338">
        <v>-0.13012370000000001</v>
      </c>
      <c r="W5338">
        <v>-9.5640119999999995E-2</v>
      </c>
      <c r="X5338">
        <v>0.98687429999999998</v>
      </c>
      <c r="Y5338">
        <v>-0.22238569999999999</v>
      </c>
      <c r="Z5338">
        <v>2.383362E-2</v>
      </c>
      <c r="AA5338">
        <v>0.97466739999999996</v>
      </c>
      <c r="AB5338">
        <v>16</v>
      </c>
      <c r="AC5338">
        <v>14.000299999999999</v>
      </c>
      <c r="AD5338">
        <v>-1.1231425120931999</v>
      </c>
      <c r="AE5338">
        <v>0.30819000000000302</v>
      </c>
      <c r="AF5338">
        <v>-3.1392500879282998</v>
      </c>
      <c r="AG5338">
        <v>-1.1231425120931999</v>
      </c>
      <c r="AH5338">
        <v>13.5554316719852</v>
      </c>
      <c r="AI5338">
        <v>94.614865680156498</v>
      </c>
      <c r="AJ5338">
        <v>103.039047677733</v>
      </c>
      <c r="AK5338">
        <v>13.9594436862967</v>
      </c>
      <c r="AL5338">
        <v>95.488163491468796</v>
      </c>
      <c r="AM5338">
        <v>97.511369703951004</v>
      </c>
      <c r="AN5338">
        <v>1.00000004692789</v>
      </c>
    </row>
    <row r="5339" spans="1:40" x14ac:dyDescent="0.25">
      <c r="A5339" t="str">
        <f>"20190303154624592"</f>
        <v>20190303154624592</v>
      </c>
      <c r="B5339" t="str">
        <f>"1551599184586353"</f>
        <v>1551599184586353</v>
      </c>
      <c r="C5339" t="s">
        <v>40</v>
      </c>
      <c r="D5339">
        <v>5.4169210000000003</v>
      </c>
      <c r="E5339">
        <v>0.46421750000000001</v>
      </c>
      <c r="F5339" t="s">
        <v>65</v>
      </c>
      <c r="G5339">
        <v>-388.81139999999999</v>
      </c>
      <c r="H5339" s="1">
        <v>-7.0446320000000001E-7</v>
      </c>
      <c r="I5339">
        <v>18.814779999999999</v>
      </c>
      <c r="J5339">
        <v>-403.07100000000003</v>
      </c>
      <c r="K5339">
        <v>1.123173</v>
      </c>
      <c r="L5339">
        <v>18.471409999999999</v>
      </c>
      <c r="M5339">
        <v>0.97990639999999996</v>
      </c>
      <c r="N5339">
        <v>-1.1580450000000001E-2</v>
      </c>
      <c r="O5339">
        <v>-0.1991222</v>
      </c>
      <c r="P5339">
        <v>0.9919422</v>
      </c>
      <c r="Q5339">
        <v>-0.1061542</v>
      </c>
      <c r="R5339">
        <v>-6.9153409999999998E-2</v>
      </c>
      <c r="S5339">
        <v>3.005096</v>
      </c>
      <c r="T5339">
        <v>-0.23409869999999999</v>
      </c>
      <c r="U5339">
        <v>6.5978999999999996E-2</v>
      </c>
      <c r="V5339">
        <v>-0.12921939999999901</v>
      </c>
      <c r="W5339">
        <v>-9.5470630000000001E-2</v>
      </c>
      <c r="X5339">
        <v>0.98700949999999998</v>
      </c>
      <c r="Y5339">
        <v>-0.2194036</v>
      </c>
      <c r="Z5339">
        <v>2.290795E-2</v>
      </c>
      <c r="AA5339">
        <v>0.97536520000000004</v>
      </c>
      <c r="AB5339">
        <v>16</v>
      </c>
      <c r="AC5339">
        <v>14.259599999999899</v>
      </c>
      <c r="AD5339">
        <v>-1.1231737044632</v>
      </c>
      <c r="AE5339">
        <v>0.34336999999999601</v>
      </c>
      <c r="AF5339">
        <v>-3.1565138695996202</v>
      </c>
      <c r="AG5339">
        <v>-1.1231737044632</v>
      </c>
      <c r="AH5339">
        <v>13.819940327064</v>
      </c>
      <c r="AI5339">
        <v>94.530170587335604</v>
      </c>
      <c r="AJ5339">
        <v>102.86582239452299</v>
      </c>
      <c r="AK5339">
        <v>14.220261939323899</v>
      </c>
      <c r="AL5339">
        <v>95.478407916322297</v>
      </c>
      <c r="AM5339">
        <v>97.4587487409392</v>
      </c>
      <c r="AN5339">
        <v>1.0000000238096001</v>
      </c>
    </row>
    <row r="5340" spans="1:40" x14ac:dyDescent="0.25">
      <c r="A5340" t="str">
        <f>"20190303154624614"</f>
        <v>20190303154624614</v>
      </c>
      <c r="B5340" t="str">
        <f>"1551599184606850"</f>
        <v>1551599184606850</v>
      </c>
      <c r="C5340" t="s">
        <v>40</v>
      </c>
      <c r="D5340">
        <v>5.3492030000000002</v>
      </c>
      <c r="E5340">
        <v>0.46469290000000002</v>
      </c>
      <c r="F5340" t="s">
        <v>65</v>
      </c>
      <c r="G5340">
        <v>-388.3913</v>
      </c>
      <c r="H5340" s="1">
        <v>-8.9884380000000004E-7</v>
      </c>
      <c r="I5340">
        <v>18.838439999999999</v>
      </c>
      <c r="J5340">
        <v>-402.90940000000001</v>
      </c>
      <c r="K5340">
        <v>1.1232070000000001</v>
      </c>
      <c r="L5340">
        <v>18.444890000000001</v>
      </c>
      <c r="M5340">
        <v>0.98093900000000001</v>
      </c>
      <c r="N5340">
        <v>-1.1583899999999999E-2</v>
      </c>
      <c r="O5340">
        <v>-0.19397039999999999</v>
      </c>
      <c r="P5340">
        <v>0.99224109999999999</v>
      </c>
      <c r="Q5340">
        <v>-0.105365899999999</v>
      </c>
      <c r="R5340">
        <v>-6.5998070000000006E-2</v>
      </c>
      <c r="S5340">
        <v>3.0050349999999999</v>
      </c>
      <c r="T5340">
        <v>-0.22992270000000001</v>
      </c>
      <c r="U5340">
        <v>7.5134279999999998E-2</v>
      </c>
      <c r="V5340">
        <v>-0.1271891</v>
      </c>
      <c r="W5340">
        <v>-9.4671500000000006E-2</v>
      </c>
      <c r="X5340">
        <v>0.98735010000000001</v>
      </c>
      <c r="Y5340">
        <v>-0.2173088</v>
      </c>
      <c r="Z5340">
        <v>2.2062729999999999E-2</v>
      </c>
      <c r="AA5340">
        <v>0.97585359999999999</v>
      </c>
      <c r="AB5340">
        <v>16</v>
      </c>
      <c r="AC5340">
        <v>14.5181</v>
      </c>
      <c r="AD5340">
        <v>-1.1232078988437999</v>
      </c>
      <c r="AE5340">
        <v>0.39354999999999701</v>
      </c>
      <c r="AF5340">
        <v>-3.1833053353936198</v>
      </c>
      <c r="AG5340">
        <v>-1.1232078988437999</v>
      </c>
      <c r="AH5340">
        <v>14.0817592092742</v>
      </c>
      <c r="AI5340">
        <v>94.4486615368222</v>
      </c>
      <c r="AJ5340">
        <v>102.738111004324</v>
      </c>
      <c r="AK5340">
        <v>14.4807103164986</v>
      </c>
      <c r="AL5340">
        <v>95.432412988576999</v>
      </c>
      <c r="AM5340">
        <v>97.340340227233099</v>
      </c>
      <c r="AN5340">
        <v>0.99999999002053497</v>
      </c>
    </row>
    <row r="5341" spans="1:40" x14ac:dyDescent="0.25">
      <c r="A5341" t="str">
        <f>"20190303154624636"</f>
        <v>20190303154624636</v>
      </c>
      <c r="B5341" t="str">
        <f>"1551599184626370"</f>
        <v>1551599184626370</v>
      </c>
      <c r="C5341" t="s">
        <v>40</v>
      </c>
      <c r="D5341">
        <v>5.3487289999999996</v>
      </c>
      <c r="E5341">
        <v>0.46520159999999999</v>
      </c>
      <c r="F5341" t="s">
        <v>65</v>
      </c>
      <c r="G5341">
        <v>-387.8399</v>
      </c>
      <c r="H5341" s="1">
        <v>-1.157426E-6</v>
      </c>
      <c r="I5341">
        <v>18.850280000000001</v>
      </c>
      <c r="J5341">
        <v>-402.75580000000002</v>
      </c>
      <c r="K5341">
        <v>1.1232390000000001</v>
      </c>
      <c r="L5341">
        <v>18.420559999999998</v>
      </c>
      <c r="M5341">
        <v>0.98190440000000001</v>
      </c>
      <c r="N5341">
        <v>-1.1587480000000001E-2</v>
      </c>
      <c r="O5341">
        <v>-0.1890232</v>
      </c>
      <c r="P5341">
        <v>0.99255079999999996</v>
      </c>
      <c r="Q5341">
        <v>-0.1036798</v>
      </c>
      <c r="R5341">
        <v>-6.3983890000000002E-2</v>
      </c>
      <c r="S5341">
        <v>3.0050659999999998</v>
      </c>
      <c r="T5341">
        <v>-0.22398270000000001</v>
      </c>
      <c r="U5341">
        <v>8.0841060000000006E-2</v>
      </c>
      <c r="V5341">
        <v>-0.1242571</v>
      </c>
      <c r="W5341">
        <v>-9.2965919999999994E-2</v>
      </c>
      <c r="X5341">
        <v>0.98788540000000002</v>
      </c>
      <c r="Y5341">
        <v>-0.21431829999999999</v>
      </c>
      <c r="Z5341">
        <v>2.1034250000000001E-2</v>
      </c>
      <c r="AA5341">
        <v>0.97653730000000005</v>
      </c>
      <c r="AB5341">
        <v>16</v>
      </c>
      <c r="AC5341">
        <v>14.915900000000001</v>
      </c>
      <c r="AD5341">
        <v>-1.12324015742599</v>
      </c>
      <c r="AE5341">
        <v>0.42971999999999599</v>
      </c>
      <c r="AF5341">
        <v>-3.2233483803200902</v>
      </c>
      <c r="AG5341">
        <v>-1.12324015742599</v>
      </c>
      <c r="AH5341">
        <v>14.483670316184099</v>
      </c>
      <c r="AI5341">
        <v>94.329043328136095</v>
      </c>
      <c r="AJ5341">
        <v>102.546731434648</v>
      </c>
      <c r="AK5341">
        <v>14.880468711034601</v>
      </c>
      <c r="AL5341">
        <v>95.334257310691299</v>
      </c>
      <c r="AM5341">
        <v>97.169065198309895</v>
      </c>
      <c r="AN5341">
        <v>1.0000000263575</v>
      </c>
    </row>
    <row r="5342" spans="1:40" x14ac:dyDescent="0.25">
      <c r="A5342" t="str">
        <f>"20190303154624659"</f>
        <v>20190303154624659</v>
      </c>
      <c r="B5342" t="str">
        <f>"1551599184646869"</f>
        <v>1551599184646869</v>
      </c>
      <c r="C5342" t="s">
        <v>40</v>
      </c>
      <c r="D5342">
        <v>5.4711990000000004</v>
      </c>
      <c r="E5342">
        <v>0.4655957</v>
      </c>
      <c r="F5342" t="s">
        <v>65</v>
      </c>
      <c r="G5342">
        <v>-387.14879999999999</v>
      </c>
      <c r="H5342" s="1">
        <v>-1.4839619999999999E-6</v>
      </c>
      <c r="I5342">
        <v>18.85117</v>
      </c>
      <c r="J5342">
        <v>-402.5926</v>
      </c>
      <c r="K5342">
        <v>1.1232789999999999</v>
      </c>
      <c r="L5342">
        <v>18.395569999999999</v>
      </c>
      <c r="M5342">
        <v>0.9829097</v>
      </c>
      <c r="N5342">
        <v>-1.1590980000000001E-2</v>
      </c>
      <c r="O5342">
        <v>-0.18372279999999999</v>
      </c>
      <c r="P5342">
        <v>0.99283949999999999</v>
      </c>
      <c r="Q5342">
        <v>-0.1025206</v>
      </c>
      <c r="R5342">
        <v>-6.1311850000000001E-2</v>
      </c>
      <c r="S5342">
        <v>3.00528</v>
      </c>
      <c r="T5342">
        <v>-0.21628990000000001</v>
      </c>
      <c r="U5342">
        <v>8.2916260000000006E-2</v>
      </c>
      <c r="V5342">
        <v>-0.1216127</v>
      </c>
      <c r="W5342">
        <v>-9.1789469999999998E-2</v>
      </c>
      <c r="X5342">
        <v>0.98832430000000004</v>
      </c>
      <c r="Y5342">
        <v>-0.209815</v>
      </c>
      <c r="Z5342">
        <v>1.9776970000000001E-2</v>
      </c>
      <c r="AA5342">
        <v>0.97754110000000005</v>
      </c>
      <c r="AB5342">
        <v>16</v>
      </c>
      <c r="AC5342">
        <v>15.4438</v>
      </c>
      <c r="AD5342">
        <v>-1.1232804839620001</v>
      </c>
      <c r="AE5342">
        <v>0.45559999999999601</v>
      </c>
      <c r="AF5342">
        <v>-3.2681387990755701</v>
      </c>
      <c r="AG5342">
        <v>-1.1232804839620001</v>
      </c>
      <c r="AH5342">
        <v>15.0177943687385</v>
      </c>
      <c r="AI5342">
        <v>94.180090967794797</v>
      </c>
      <c r="AJ5342">
        <v>102.27716268960501</v>
      </c>
      <c r="AK5342">
        <v>15.4102770240313</v>
      </c>
      <c r="AL5342">
        <v>95.266562689600207</v>
      </c>
      <c r="AM5342">
        <v>97.014947622391304</v>
      </c>
      <c r="AN5342">
        <v>0.99999993878732796</v>
      </c>
    </row>
    <row r="5343" spans="1:40" x14ac:dyDescent="0.25">
      <c r="A5343" t="str">
        <f>"20190303154624681"</f>
        <v>20190303154624681</v>
      </c>
      <c r="B5343" t="str">
        <f>"1551599184677121"</f>
        <v>1551599184677121</v>
      </c>
      <c r="C5343" t="s">
        <v>40</v>
      </c>
      <c r="D5343">
        <v>5.3076249999999998</v>
      </c>
      <c r="E5343">
        <v>0.46642909999999999</v>
      </c>
      <c r="F5343" t="s">
        <v>65</v>
      </c>
      <c r="G5343">
        <v>-386.73129999999998</v>
      </c>
      <c r="H5343" s="1">
        <v>-1.679755E-6</v>
      </c>
      <c r="I5343">
        <v>18.85979</v>
      </c>
      <c r="J5343">
        <v>-402.43700000000001</v>
      </c>
      <c r="K5343">
        <v>1.1233</v>
      </c>
      <c r="L5343">
        <v>18.372710000000001</v>
      </c>
      <c r="M5343">
        <v>0.98384559999999999</v>
      </c>
      <c r="N5343">
        <v>-1.159381E-2</v>
      </c>
      <c r="O5343">
        <v>-0.17864369999999999</v>
      </c>
      <c r="P5343">
        <v>0.99306030000000001</v>
      </c>
      <c r="Q5343">
        <v>-0.1014554</v>
      </c>
      <c r="R5343">
        <v>-5.9482989999999999E-2</v>
      </c>
      <c r="S5343">
        <v>3.005096</v>
      </c>
      <c r="T5343">
        <v>-0.21281829999999999</v>
      </c>
      <c r="U5343">
        <v>8.7951660000000001E-2</v>
      </c>
      <c r="V5343">
        <v>-0.1183538</v>
      </c>
      <c r="W5343">
        <v>-9.0700729999999993E-2</v>
      </c>
      <c r="X5343">
        <v>0.98882040000000004</v>
      </c>
      <c r="Y5343">
        <v>-0.20645250000000001</v>
      </c>
      <c r="Z5343">
        <v>1.9012689999999999E-2</v>
      </c>
      <c r="AA5343">
        <v>0.97827189999999997</v>
      </c>
      <c r="AB5343">
        <v>16</v>
      </c>
      <c r="AC5343">
        <v>15.705699999999901</v>
      </c>
      <c r="AD5343">
        <v>-1.1233016797549999</v>
      </c>
      <c r="AE5343">
        <v>0.48707999999999801</v>
      </c>
      <c r="AF5343">
        <v>-3.26845309353947</v>
      </c>
      <c r="AG5343">
        <v>-1.1233016797549999</v>
      </c>
      <c r="AH5343">
        <v>15.2878734542443</v>
      </c>
      <c r="AI5343">
        <v>94.109803491971405</v>
      </c>
      <c r="AJ5343">
        <v>102.067809036954</v>
      </c>
      <c r="AK5343">
        <v>15.673661570973</v>
      </c>
      <c r="AL5343">
        <v>95.203920772165404</v>
      </c>
      <c r="AM5343">
        <v>96.825370973597799</v>
      </c>
      <c r="AN5343">
        <v>1.0000000139265599</v>
      </c>
    </row>
    <row r="5344" spans="1:40" x14ac:dyDescent="0.25">
      <c r="A5344" t="str">
        <f>"20190303154624704"</f>
        <v>20190303154624704</v>
      </c>
      <c r="B5344" t="str">
        <f>"1551599184696641"</f>
        <v>1551599184696641</v>
      </c>
      <c r="C5344" t="s">
        <v>40</v>
      </c>
      <c r="D5344">
        <v>5.5092990000000004</v>
      </c>
      <c r="E5344">
        <v>0.46673389999999998</v>
      </c>
      <c r="F5344" t="s">
        <v>65</v>
      </c>
      <c r="G5344">
        <v>-386.19389999999999</v>
      </c>
      <c r="H5344" s="1">
        <v>-1.9368470000000001E-6</v>
      </c>
      <c r="I5344">
        <v>18.842690000000001</v>
      </c>
      <c r="J5344">
        <v>-402.2654</v>
      </c>
      <c r="K5344">
        <v>1.123308</v>
      </c>
      <c r="L5344">
        <v>18.348510000000001</v>
      </c>
      <c r="M5344">
        <v>0.98485089999999997</v>
      </c>
      <c r="N5344">
        <v>-1.1594220000000001E-2</v>
      </c>
      <c r="O5344">
        <v>-0.17301529999999901</v>
      </c>
      <c r="P5344">
        <v>0.99332520000000002</v>
      </c>
      <c r="Q5344">
        <v>-0.10072299999999999</v>
      </c>
      <c r="R5344">
        <v>-5.6219169999999999E-2</v>
      </c>
      <c r="S5344">
        <v>3.0049440000000001</v>
      </c>
      <c r="T5344">
        <v>-0.20780789999999999</v>
      </c>
      <c r="U5344">
        <v>8.6944579999999994E-2</v>
      </c>
      <c r="V5344">
        <v>-0.1159685</v>
      </c>
      <c r="W5344">
        <v>-8.9950989999999995E-2</v>
      </c>
      <c r="X5344">
        <v>0.98917140000000003</v>
      </c>
      <c r="Y5344">
        <v>-0.20059750000000001</v>
      </c>
      <c r="Z5344">
        <v>1.7991460000000001E-2</v>
      </c>
      <c r="AA5344">
        <v>0.9795085</v>
      </c>
      <c r="AB5344">
        <v>16</v>
      </c>
      <c r="AC5344">
        <v>16.0715</v>
      </c>
      <c r="AD5344">
        <v>-1.1233099368470001</v>
      </c>
      <c r="AE5344">
        <v>0.49418000000000001</v>
      </c>
      <c r="AF5344">
        <v>-3.2516584703558</v>
      </c>
      <c r="AG5344">
        <v>-1.1233099368470001</v>
      </c>
      <c r="AH5344">
        <v>15.6671231850176</v>
      </c>
      <c r="AI5344">
        <v>94.015717411958704</v>
      </c>
      <c r="AJ5344">
        <v>101.72508184290901</v>
      </c>
      <c r="AK5344">
        <v>16.040382068908901</v>
      </c>
      <c r="AL5344">
        <v>95.160787764231102</v>
      </c>
      <c r="AM5344">
        <v>96.686719668625202</v>
      </c>
      <c r="AN5344">
        <v>0.99999996608609398</v>
      </c>
    </row>
    <row r="5345" spans="1:40" x14ac:dyDescent="0.25">
      <c r="A5345" t="str">
        <f>"20190303154624728"</f>
        <v>20190303154624728</v>
      </c>
      <c r="B5345" t="str">
        <f>"1551599184716669"</f>
        <v>1551599184716669</v>
      </c>
      <c r="C5345" t="s">
        <v>40</v>
      </c>
      <c r="D5345">
        <v>5.5335089999999996</v>
      </c>
      <c r="E5345">
        <v>0.46707789999999999</v>
      </c>
      <c r="F5345" t="s">
        <v>65</v>
      </c>
      <c r="G5345">
        <v>-385.94850000000002</v>
      </c>
      <c r="H5345" s="1">
        <v>-2.0494159999999998E-6</v>
      </c>
      <c r="I5345">
        <v>18.86195</v>
      </c>
      <c r="J5345">
        <v>-402.09620000000001</v>
      </c>
      <c r="K5345">
        <v>1.123302</v>
      </c>
      <c r="L5345">
        <v>18.325620000000001</v>
      </c>
      <c r="M5345">
        <v>0.9858112</v>
      </c>
      <c r="N5345">
        <v>-1.1582210000000001E-2</v>
      </c>
      <c r="O5345">
        <v>-0.1674582</v>
      </c>
      <c r="P5345">
        <v>0.99354299999999995</v>
      </c>
      <c r="Q5345">
        <v>-0.1004005</v>
      </c>
      <c r="R5345">
        <v>-5.2843759999999997E-2</v>
      </c>
      <c r="S5345">
        <v>3.0045169999999999</v>
      </c>
      <c r="T5345">
        <v>-0.20684169999999999</v>
      </c>
      <c r="U5345">
        <v>9.4543459999999996E-2</v>
      </c>
      <c r="V5345">
        <v>-0.1137613</v>
      </c>
      <c r="W5345">
        <v>-8.9622450000000006E-2</v>
      </c>
      <c r="X5345">
        <v>0.98945749999999999</v>
      </c>
      <c r="Y5345">
        <v>-0.19757630000000001</v>
      </c>
      <c r="Z5345">
        <v>1.7473030000000001E-2</v>
      </c>
      <c r="AA5345">
        <v>0.9801318</v>
      </c>
      <c r="AB5345">
        <v>16</v>
      </c>
      <c r="AC5345">
        <v>16.147699999999901</v>
      </c>
      <c r="AD5345">
        <v>-1.123304049416</v>
      </c>
      <c r="AE5345">
        <v>0.53632999999999897</v>
      </c>
      <c r="AF5345">
        <v>-3.2174488510102899</v>
      </c>
      <c r="AG5345">
        <v>-1.123304049416</v>
      </c>
      <c r="AH5345">
        <v>15.7536803678609</v>
      </c>
      <c r="AI5345">
        <v>93.996309025988893</v>
      </c>
      <c r="AJ5345">
        <v>101.543042179179</v>
      </c>
      <c r="AK5345">
        <v>16.118071665960201</v>
      </c>
      <c r="AL5345">
        <v>95.141887395206794</v>
      </c>
      <c r="AM5345">
        <v>96.558692625037494</v>
      </c>
      <c r="AN5345">
        <v>0.999999980613971</v>
      </c>
    </row>
    <row r="5346" spans="1:40" x14ac:dyDescent="0.25">
      <c r="A5346" t="str">
        <f>"20190303154624748"</f>
        <v>20190303154624748</v>
      </c>
      <c r="B5346" t="str">
        <f>"1551599184737165"</f>
        <v>1551599184737165</v>
      </c>
      <c r="C5346" t="s">
        <v>40</v>
      </c>
      <c r="D5346">
        <v>5.4855119999999999</v>
      </c>
      <c r="E5346">
        <v>0.46740749999999998</v>
      </c>
      <c r="F5346" t="s">
        <v>65</v>
      </c>
      <c r="G5346">
        <v>-385.76679999999999</v>
      </c>
      <c r="H5346" s="1">
        <v>-2.1319709999999999E-6</v>
      </c>
      <c r="I5346">
        <v>18.880849999999999</v>
      </c>
      <c r="J5346">
        <v>-401.94850000000002</v>
      </c>
      <c r="K5346">
        <v>1.123286</v>
      </c>
      <c r="L5346">
        <v>18.306460000000001</v>
      </c>
      <c r="M5346">
        <v>0.98662329999999998</v>
      </c>
      <c r="N5346">
        <v>-1.1561119999999999E-2</v>
      </c>
      <c r="O5346">
        <v>-0.16260569999999999</v>
      </c>
      <c r="P5346">
        <v>0.99367819999999996</v>
      </c>
      <c r="Q5346">
        <v>-0.1004705</v>
      </c>
      <c r="R5346">
        <v>-5.0093819999999997E-2</v>
      </c>
      <c r="S5346">
        <v>3.0040279999999999</v>
      </c>
      <c r="T5346">
        <v>-0.2066481</v>
      </c>
      <c r="U5346">
        <v>0.10214230000000001</v>
      </c>
      <c r="V5346">
        <v>-0.11163389999999999</v>
      </c>
      <c r="W5346">
        <v>-8.9695269999999994E-2</v>
      </c>
      <c r="X5346">
        <v>0.98969320000000005</v>
      </c>
      <c r="Y5346">
        <v>-0.19525020000000001</v>
      </c>
      <c r="Z5346">
        <v>1.7093339999999999E-2</v>
      </c>
      <c r="AA5346">
        <v>0.98060449999999999</v>
      </c>
      <c r="AB5346">
        <v>16</v>
      </c>
      <c r="AC5346">
        <v>16.181699999999999</v>
      </c>
      <c r="AD5346">
        <v>-1.123288131971</v>
      </c>
      <c r="AE5346">
        <v>0.57438999999999696</v>
      </c>
      <c r="AF5346">
        <v>-3.1828392631129701</v>
      </c>
      <c r="AG5346">
        <v>-1.123288131971</v>
      </c>
      <c r="AH5346">
        <v>15.7968801323318</v>
      </c>
      <c r="AI5346">
        <v>93.987487941433699</v>
      </c>
      <c r="AJ5346">
        <v>101.391737796999</v>
      </c>
      <c r="AK5346">
        <v>16.1534412407232</v>
      </c>
      <c r="AL5346">
        <v>95.146076447605594</v>
      </c>
      <c r="AM5346">
        <v>96.435560396377497</v>
      </c>
      <c r="AN5346">
        <v>0.99999999960791097</v>
      </c>
    </row>
    <row r="5347" spans="1:40" x14ac:dyDescent="0.25">
      <c r="A5347" t="str">
        <f>"20190303154624771"</f>
        <v>20190303154624771</v>
      </c>
      <c r="B5347" t="str">
        <f>"1551599184766445"</f>
        <v>1551599184766445</v>
      </c>
      <c r="C5347" t="s">
        <v>40</v>
      </c>
      <c r="D5347">
        <v>5.4404050000000002</v>
      </c>
      <c r="E5347">
        <v>0.46794170000000002</v>
      </c>
      <c r="F5347" t="s">
        <v>65</v>
      </c>
      <c r="G5347">
        <v>-385.74</v>
      </c>
      <c r="H5347" s="1">
        <v>-2.143143E-6</v>
      </c>
      <c r="I5347">
        <v>18.889130000000002</v>
      </c>
      <c r="J5347">
        <v>-401.78660000000002</v>
      </c>
      <c r="K5347">
        <v>1.1232610000000001</v>
      </c>
      <c r="L5347">
        <v>18.28622</v>
      </c>
      <c r="M5347">
        <v>0.98748530000000001</v>
      </c>
      <c r="N5347">
        <v>-1.1523510000000001E-2</v>
      </c>
      <c r="O5347">
        <v>-0.1572886</v>
      </c>
      <c r="P5347">
        <v>0.9938089</v>
      </c>
      <c r="Q5347">
        <v>-0.10044690000000001</v>
      </c>
      <c r="R5347">
        <v>-4.747792E-2</v>
      </c>
      <c r="S5347">
        <v>3.0035099999999999</v>
      </c>
      <c r="T5347">
        <v>-0.20815059999999999</v>
      </c>
      <c r="U5347">
        <v>0.1079712</v>
      </c>
      <c r="V5347">
        <v>-0.10891339999999999</v>
      </c>
      <c r="W5347">
        <v>-8.9685669999999995E-2</v>
      </c>
      <c r="X5347">
        <v>0.98999709999999996</v>
      </c>
      <c r="Y5347">
        <v>-0.19187889999999999</v>
      </c>
      <c r="Z5347">
        <v>1.6789149999999999E-2</v>
      </c>
      <c r="AA5347">
        <v>0.98127500000000001</v>
      </c>
      <c r="AB5347">
        <v>16</v>
      </c>
      <c r="AC5347">
        <v>16.046600000000002</v>
      </c>
      <c r="AD5347">
        <v>-1.123263143143</v>
      </c>
      <c r="AE5347">
        <v>0.60290999999999695</v>
      </c>
      <c r="AF5347">
        <v>-3.1043297848959499</v>
      </c>
      <c r="AG5347">
        <v>-1.123263143143</v>
      </c>
      <c r="AH5347">
        <v>15.675298067794699</v>
      </c>
      <c r="AI5347">
        <v>94.020877853943801</v>
      </c>
      <c r="AJ5347">
        <v>101.20188941567</v>
      </c>
      <c r="AK5347">
        <v>16.019162057247101</v>
      </c>
      <c r="AL5347">
        <v>95.145524422502504</v>
      </c>
      <c r="AM5347">
        <v>96.278082979010705</v>
      </c>
      <c r="AN5347">
        <v>0.99999995305565803</v>
      </c>
    </row>
    <row r="5348" spans="1:40" x14ac:dyDescent="0.25">
      <c r="A5348" t="str">
        <f>"20190303154624793"</f>
        <v>20190303154624793</v>
      </c>
      <c r="B5348" t="str">
        <f>"1551599184786941"</f>
        <v>1551599184786941</v>
      </c>
      <c r="C5348" t="s">
        <v>40</v>
      </c>
      <c r="D5348">
        <v>5.5264569999999997</v>
      </c>
      <c r="E5348">
        <v>0.46852670000000002</v>
      </c>
      <c r="F5348" t="s">
        <v>65</v>
      </c>
      <c r="G5348">
        <v>-385.63940000000002</v>
      </c>
      <c r="H5348" s="1">
        <v>-2.191197E-6</v>
      </c>
      <c r="I5348">
        <v>18.886340000000001</v>
      </c>
      <c r="J5348">
        <v>-401.61880000000002</v>
      </c>
      <c r="K5348">
        <v>1.12323</v>
      </c>
      <c r="L5348">
        <v>18.266200000000001</v>
      </c>
      <c r="M5348">
        <v>0.98834540000000004</v>
      </c>
      <c r="N5348">
        <v>-1.146456E-2</v>
      </c>
      <c r="O5348">
        <v>-0.1517965</v>
      </c>
      <c r="P5348">
        <v>0.99393419999999999</v>
      </c>
      <c r="Q5348">
        <v>-0.1004613</v>
      </c>
      <c r="R5348">
        <v>-4.4751739999999998E-2</v>
      </c>
      <c r="S5348">
        <v>3.002869</v>
      </c>
      <c r="T5348">
        <v>-0.20889150000000001</v>
      </c>
      <c r="U5348">
        <v>0.1116028</v>
      </c>
      <c r="V5348">
        <v>-0.10613110000000001</v>
      </c>
      <c r="W5348">
        <v>-8.9734659999999994E-2</v>
      </c>
      <c r="X5348">
        <v>0.99029489999999998</v>
      </c>
      <c r="Y5348">
        <v>-0.1876293</v>
      </c>
      <c r="Z5348">
        <v>1.6371509999999999E-2</v>
      </c>
      <c r="AA5348">
        <v>0.98210350000000002</v>
      </c>
      <c r="AB5348">
        <v>16</v>
      </c>
      <c r="AC5348">
        <v>15.979399999999901</v>
      </c>
      <c r="AD5348">
        <v>-1.123232191197</v>
      </c>
      <c r="AE5348">
        <v>0.62013999999999903</v>
      </c>
      <c r="AF5348">
        <v>-3.02381055226537</v>
      </c>
      <c r="AG5348">
        <v>-1.123232191197</v>
      </c>
      <c r="AH5348">
        <v>15.6229836456697</v>
      </c>
      <c r="AI5348">
        <v>94.037593085387797</v>
      </c>
      <c r="AJ5348">
        <v>100.95408832858</v>
      </c>
      <c r="AK5348">
        <v>15.952513870992099</v>
      </c>
      <c r="AL5348">
        <v>95.148342183895494</v>
      </c>
      <c r="AM5348">
        <v>96.117109469716297</v>
      </c>
      <c r="AN5348">
        <v>1.00000005427926</v>
      </c>
    </row>
    <row r="5349" spans="1:40" x14ac:dyDescent="0.25">
      <c r="A5349" t="str">
        <f>"20190303154624817"</f>
        <v>20190303154624817</v>
      </c>
      <c r="B5349" t="str">
        <f>"1551599184806463"</f>
        <v>1551599184806463</v>
      </c>
      <c r="C5349" t="s">
        <v>40</v>
      </c>
      <c r="D5349">
        <v>5.5205520000000003</v>
      </c>
      <c r="E5349">
        <v>0.46882760000000001</v>
      </c>
      <c r="F5349" t="s">
        <v>65</v>
      </c>
      <c r="G5349">
        <v>-385.3768</v>
      </c>
      <c r="H5349" s="1">
        <v>-2.3148479999999999E-6</v>
      </c>
      <c r="I5349">
        <v>18.88908</v>
      </c>
      <c r="J5349">
        <v>-401.4547</v>
      </c>
      <c r="K5349">
        <v>1.1231960000000001</v>
      </c>
      <c r="L5349">
        <v>18.24747</v>
      </c>
      <c r="M5349">
        <v>0.98915200000000003</v>
      </c>
      <c r="N5349">
        <v>-1.138951E-2</v>
      </c>
      <c r="O5349">
        <v>-0.1464539</v>
      </c>
      <c r="P5349">
        <v>0.99411059999999996</v>
      </c>
      <c r="Q5349">
        <v>-0.10004780000000001</v>
      </c>
      <c r="R5349">
        <v>-4.1647980000000001E-2</v>
      </c>
      <c r="S5349">
        <v>3.002472</v>
      </c>
      <c r="T5349">
        <v>-0.20763970000000001</v>
      </c>
      <c r="U5349">
        <v>0.1151428</v>
      </c>
      <c r="V5349">
        <v>-0.10388600000000001</v>
      </c>
      <c r="W5349">
        <v>-8.9374789999999996E-2</v>
      </c>
      <c r="X5349">
        <v>0.99056540000000004</v>
      </c>
      <c r="Y5349">
        <v>-0.18351120000000001</v>
      </c>
      <c r="Z5349">
        <v>1.5805409999999999E-2</v>
      </c>
      <c r="AA5349">
        <v>0.9828905</v>
      </c>
      <c r="AB5349">
        <v>17</v>
      </c>
      <c r="AC5349">
        <v>16.0779</v>
      </c>
      <c r="AD5349">
        <v>-1.12319831484799</v>
      </c>
      <c r="AE5349">
        <v>0.64161000000000001</v>
      </c>
      <c r="AF5349">
        <v>-2.9750185089978598</v>
      </c>
      <c r="AG5349">
        <v>-1.12319831484799</v>
      </c>
      <c r="AH5349">
        <v>15.7338796939412</v>
      </c>
      <c r="AI5349">
        <v>94.012402307534998</v>
      </c>
      <c r="AJ5349">
        <v>100.707281780003</v>
      </c>
      <c r="AK5349">
        <v>16.0520179356607</v>
      </c>
      <c r="AL5349">
        <v>95.127640336318606</v>
      </c>
      <c r="AM5349">
        <v>95.987034940195102</v>
      </c>
      <c r="AN5349">
        <v>0.99999998288035197</v>
      </c>
    </row>
    <row r="5350" spans="1:40" x14ac:dyDescent="0.25">
      <c r="A5350" t="str">
        <f>"20190303154624838"</f>
        <v>20190303154624838</v>
      </c>
      <c r="B5350" t="str">
        <f>"1551599184826957"</f>
        <v>1551599184826957</v>
      </c>
      <c r="C5350" t="s">
        <v>40</v>
      </c>
      <c r="D5350">
        <v>5.5326909999999998</v>
      </c>
      <c r="E5350">
        <v>0.46912969999999998</v>
      </c>
      <c r="F5350" t="s">
        <v>65</v>
      </c>
      <c r="G5350">
        <v>-385.17649999999998</v>
      </c>
      <c r="H5350" s="1">
        <v>-2.4059239999999999E-6</v>
      </c>
      <c r="I5350">
        <v>18.90954</v>
      </c>
      <c r="J5350">
        <v>-401.29649999999998</v>
      </c>
      <c r="K5350">
        <v>1.1231500000000001</v>
      </c>
      <c r="L5350">
        <v>18.230219999999999</v>
      </c>
      <c r="M5350">
        <v>0.98989490000000002</v>
      </c>
      <c r="N5350">
        <v>-1.1308479999999999E-2</v>
      </c>
      <c r="O5350">
        <v>-0.14135120000000001</v>
      </c>
      <c r="P5350">
        <v>0.99425269999999999</v>
      </c>
      <c r="Q5350">
        <v>-9.9938840000000001E-2</v>
      </c>
      <c r="R5350">
        <v>-3.8390349999999997E-2</v>
      </c>
      <c r="S5350">
        <v>3.002075</v>
      </c>
      <c r="T5350">
        <v>-0.20714350000000001</v>
      </c>
      <c r="U5350">
        <v>0.1221008</v>
      </c>
      <c r="V5350">
        <v>-0.10203230000000001</v>
      </c>
      <c r="W5350">
        <v>-8.9327039999999996E-2</v>
      </c>
      <c r="X5350">
        <v>0.99076240000000004</v>
      </c>
      <c r="Y5350">
        <v>-0.1807407</v>
      </c>
      <c r="Z5350">
        <v>1.537031E-2</v>
      </c>
      <c r="AA5350">
        <v>0.98341069999999997</v>
      </c>
      <c r="AB5350">
        <v>17</v>
      </c>
      <c r="AC5350">
        <v>16.12</v>
      </c>
      <c r="AD5350">
        <v>-1.1231524059239999</v>
      </c>
      <c r="AE5350">
        <v>0.67931999999999704</v>
      </c>
      <c r="AF5350">
        <v>-2.9369930721066599</v>
      </c>
      <c r="AG5350">
        <v>-1.1231524059239999</v>
      </c>
      <c r="AH5350">
        <v>15.7856018546037</v>
      </c>
      <c r="AI5350">
        <v>94.001323225017202</v>
      </c>
      <c r="AJ5350">
        <v>100.539664045441</v>
      </c>
      <c r="AK5350">
        <v>16.095733147160601</v>
      </c>
      <c r="AL5350">
        <v>95.124893276007398</v>
      </c>
      <c r="AM5350">
        <v>95.879799016833701</v>
      </c>
      <c r="AN5350">
        <v>1.0000000217861</v>
      </c>
    </row>
    <row r="5351" spans="1:40" x14ac:dyDescent="0.25">
      <c r="A5351" t="str">
        <f>"20190303154624861"</f>
        <v>20190303154624861</v>
      </c>
      <c r="B5351" t="str">
        <f>"1551599184856237"</f>
        <v>1551599184856237</v>
      </c>
      <c r="C5351" t="s">
        <v>40</v>
      </c>
      <c r="D5351">
        <v>5.5046629999999999</v>
      </c>
      <c r="E5351">
        <v>0.46953899999999998</v>
      </c>
      <c r="F5351" t="s">
        <v>65</v>
      </c>
      <c r="G5351">
        <v>-385.10739999999998</v>
      </c>
      <c r="H5351" s="1">
        <v>-2.4350310000000002E-6</v>
      </c>
      <c r="I5351">
        <v>18.929480000000002</v>
      </c>
      <c r="J5351">
        <v>-401.1343</v>
      </c>
      <c r="K5351">
        <v>1.1230960000000001</v>
      </c>
      <c r="L5351">
        <v>18.213290000000001</v>
      </c>
      <c r="M5351">
        <v>0.9906201</v>
      </c>
      <c r="N5351">
        <v>-1.1220610000000001E-2</v>
      </c>
      <c r="O5351">
        <v>-0.13618379999999999</v>
      </c>
      <c r="P5351">
        <v>0.99432670000000001</v>
      </c>
      <c r="Q5351">
        <v>-0.1002479</v>
      </c>
      <c r="R5351">
        <v>-3.5570989999999997E-2</v>
      </c>
      <c r="S5351">
        <v>3.0013730000000001</v>
      </c>
      <c r="T5351">
        <v>-0.20822660000000001</v>
      </c>
      <c r="U5351">
        <v>0.1296387</v>
      </c>
      <c r="V5351">
        <v>-9.9675970000000003E-2</v>
      </c>
      <c r="W5351">
        <v>-8.9698040000000007E-2</v>
      </c>
      <c r="X5351">
        <v>0.99096870000000004</v>
      </c>
      <c r="Y5351">
        <v>-0.1780909</v>
      </c>
      <c r="Z5351">
        <v>1.50572999999999E-2</v>
      </c>
      <c r="AA5351">
        <v>0.98389879999999996</v>
      </c>
      <c r="AB5351">
        <v>17</v>
      </c>
      <c r="AC5351">
        <v>16.026900000000001</v>
      </c>
      <c r="AD5351">
        <v>-1.12309843503099</v>
      </c>
      <c r="AE5351">
        <v>0.716189999999997</v>
      </c>
      <c r="AF5351">
        <v>-2.8781529113771902</v>
      </c>
      <c r="AG5351">
        <v>-1.12309843503099</v>
      </c>
      <c r="AH5351">
        <v>15.703070143238101</v>
      </c>
      <c r="AI5351">
        <v>94.024074727520599</v>
      </c>
      <c r="AJ5351">
        <v>100.386233972192</v>
      </c>
      <c r="AK5351">
        <v>16.0041096659419</v>
      </c>
      <c r="AL5351">
        <v>95.146235792689296</v>
      </c>
      <c r="AM5351">
        <v>95.743742082455796</v>
      </c>
      <c r="AN5351">
        <v>1.0000000008774801</v>
      </c>
    </row>
    <row r="5352" spans="1:40" x14ac:dyDescent="0.25">
      <c r="A5352" t="str">
        <f>"20190303154624881"</f>
        <v>20190303154624881</v>
      </c>
      <c r="B5352" t="str">
        <f>"1551599184876733"</f>
        <v>1551599184876733</v>
      </c>
      <c r="C5352" t="s">
        <v>40</v>
      </c>
      <c r="D5352">
        <v>5.4621930000000001</v>
      </c>
      <c r="E5352">
        <v>0.46987329999999999</v>
      </c>
      <c r="F5352" t="s">
        <v>65</v>
      </c>
      <c r="G5352">
        <v>-385.15179999999998</v>
      </c>
      <c r="H5352" s="1">
        <v>-2.4135939999999999E-6</v>
      </c>
      <c r="I5352">
        <v>18.93207</v>
      </c>
      <c r="J5352">
        <v>-400.98180000000002</v>
      </c>
      <c r="K5352">
        <v>1.1230279999999999</v>
      </c>
      <c r="L5352">
        <v>18.198090000000001</v>
      </c>
      <c r="M5352">
        <v>0.9912649</v>
      </c>
      <c r="N5352">
        <v>-1.113223E-2</v>
      </c>
      <c r="O5352">
        <v>-0.131415</v>
      </c>
      <c r="P5352">
        <v>0.99429029999999996</v>
      </c>
      <c r="Q5352">
        <v>-0.10135470000000001</v>
      </c>
      <c r="R5352">
        <v>-3.3380569999999998E-2</v>
      </c>
      <c r="S5352">
        <v>3.0006710000000001</v>
      </c>
      <c r="T5352">
        <v>-0.21085889999999999</v>
      </c>
      <c r="U5352">
        <v>0.1349487</v>
      </c>
      <c r="V5352">
        <v>-9.7082489999999994E-2</v>
      </c>
      <c r="W5352">
        <v>-9.0863719999999995E-2</v>
      </c>
      <c r="X5352">
        <v>0.99112</v>
      </c>
      <c r="Y5352">
        <v>-0.17510029999999999</v>
      </c>
      <c r="Z5352">
        <v>1.486053E-2</v>
      </c>
      <c r="AA5352">
        <v>0.98443840000000005</v>
      </c>
      <c r="AB5352">
        <v>17</v>
      </c>
      <c r="AC5352">
        <v>15.83</v>
      </c>
      <c r="AD5352">
        <v>-1.1230304135939999</v>
      </c>
      <c r="AE5352">
        <v>0.73397999999999897</v>
      </c>
      <c r="AF5352">
        <v>-2.79401025752379</v>
      </c>
      <c r="AG5352">
        <v>-1.1230304135939999</v>
      </c>
      <c r="AH5352">
        <v>15.518299326055001</v>
      </c>
      <c r="AI5352">
        <v>94.073894626335701</v>
      </c>
      <c r="AJ5352">
        <v>100.206535666495</v>
      </c>
      <c r="AK5352">
        <v>15.807760897801</v>
      </c>
      <c r="AL5352">
        <v>95.213297996455907</v>
      </c>
      <c r="AM5352">
        <v>95.594407170318803</v>
      </c>
      <c r="AN5352">
        <v>1.0000000399384099</v>
      </c>
    </row>
    <row r="5353" spans="1:40" x14ac:dyDescent="0.25">
      <c r="A5353" t="str">
        <f>"20190303154624905"</f>
        <v>20190303154624905</v>
      </c>
      <c r="B5353" t="str">
        <f>"1551599184896253"</f>
        <v>1551599184896253</v>
      </c>
      <c r="C5353" t="s">
        <v>40</v>
      </c>
      <c r="D5353">
        <v>5.4574400000000001</v>
      </c>
      <c r="E5353">
        <v>0.50639209999999901</v>
      </c>
      <c r="F5353" t="s">
        <v>65</v>
      </c>
      <c r="G5353">
        <v>-385.19159999999999</v>
      </c>
      <c r="H5353" s="1">
        <v>-2.3952369999999999E-6</v>
      </c>
      <c r="I5353">
        <v>18.929390000000001</v>
      </c>
      <c r="J5353">
        <v>-400.81459999999998</v>
      </c>
      <c r="K5353">
        <v>1.1229340000000001</v>
      </c>
      <c r="L5353">
        <v>18.182189999999999</v>
      </c>
      <c r="M5353">
        <v>0.99192880000000005</v>
      </c>
      <c r="N5353">
        <v>-1.102798E-2</v>
      </c>
      <c r="O5353">
        <v>-0.12631709999999999</v>
      </c>
      <c r="P5353">
        <v>0.99434480000000003</v>
      </c>
      <c r="Q5353">
        <v>-0.1017224</v>
      </c>
      <c r="R5353">
        <v>-3.0516419999999999E-2</v>
      </c>
      <c r="S5353">
        <v>3.0001220000000002</v>
      </c>
      <c r="T5353">
        <v>-0.21337519999999999</v>
      </c>
      <c r="U5353">
        <v>0.1389465</v>
      </c>
      <c r="V5353">
        <v>-9.4852439999999996E-2</v>
      </c>
      <c r="W5353">
        <v>-9.1303209999999996E-2</v>
      </c>
      <c r="X5353">
        <v>0.9912955</v>
      </c>
      <c r="Y5353">
        <v>-0.17135690000000001</v>
      </c>
      <c r="Z5353">
        <v>1.4593170000000001E-2</v>
      </c>
      <c r="AA5353">
        <v>0.98510089999999995</v>
      </c>
      <c r="AB5353">
        <v>17</v>
      </c>
      <c r="AC5353">
        <v>15.6229999999999</v>
      </c>
      <c r="AD5353">
        <v>-1.122936395237</v>
      </c>
      <c r="AE5353">
        <v>0.74719999999999898</v>
      </c>
      <c r="AF5353">
        <v>-2.7008641475500399</v>
      </c>
      <c r="AG5353">
        <v>-1.122936395237</v>
      </c>
      <c r="AH5353">
        <v>15.324462914665499</v>
      </c>
      <c r="AI5353">
        <v>94.1276022690258</v>
      </c>
      <c r="AJ5353">
        <v>99.995459585634407</v>
      </c>
      <c r="AK5353">
        <v>15.6011158868276</v>
      </c>
      <c r="AL5353">
        <v>95.238584156586697</v>
      </c>
      <c r="AM5353">
        <v>95.465725456962801</v>
      </c>
      <c r="AN5353">
        <v>1.0000000149252499</v>
      </c>
    </row>
    <row r="5354" spans="1:40" x14ac:dyDescent="0.25">
      <c r="A5354" t="str">
        <f>"20190303154624928"</f>
        <v>20190303154624928</v>
      </c>
      <c r="B5354" t="str">
        <f>"1551599184916749"</f>
        <v>1551599184916749</v>
      </c>
      <c r="C5354" t="s">
        <v>40</v>
      </c>
      <c r="D5354">
        <v>5.4812010000000004</v>
      </c>
      <c r="E5354">
        <v>0.50703529999999997</v>
      </c>
      <c r="F5354" t="s">
        <v>65</v>
      </c>
      <c r="G5354">
        <v>-384.00400000000002</v>
      </c>
      <c r="H5354" s="1">
        <v>-3.2323540000000002E-6</v>
      </c>
      <c r="I5354">
        <v>17.375</v>
      </c>
      <c r="J5354">
        <v>-400.63810000000001</v>
      </c>
      <c r="K5354">
        <v>1.1228359999999999</v>
      </c>
      <c r="L5354">
        <v>18.166139999999999</v>
      </c>
      <c r="M5354">
        <v>0.99258489999999999</v>
      </c>
      <c r="N5354">
        <v>-1.091806E-2</v>
      </c>
      <c r="O5354">
        <v>-0.12106169999999999</v>
      </c>
      <c r="P5354">
        <v>0.99430010000000002</v>
      </c>
      <c r="Q5354">
        <v>-0.1028999</v>
      </c>
      <c r="R5354">
        <v>-2.791269E-2</v>
      </c>
      <c r="S5354">
        <v>2.9922179999999998</v>
      </c>
      <c r="T5354">
        <v>-0.19987830000000001</v>
      </c>
      <c r="U5354">
        <v>-0.14367679999999999</v>
      </c>
      <c r="V5354">
        <v>-9.2196730000000005E-2</v>
      </c>
      <c r="W5354">
        <v>-9.2556219999999995E-2</v>
      </c>
      <c r="X5354">
        <v>0.99142980000000003</v>
      </c>
      <c r="Y5354">
        <v>-7.2945339999999997E-2</v>
      </c>
      <c r="Z5354">
        <v>9.5604490000000004E-3</v>
      </c>
      <c r="AA5354">
        <v>0.99729009999999996</v>
      </c>
      <c r="AB5354">
        <v>17</v>
      </c>
      <c r="AC5354">
        <v>16.634099999999901</v>
      </c>
      <c r="AD5354">
        <v>-1.122839232354</v>
      </c>
      <c r="AE5354">
        <v>-0.79113999999999796</v>
      </c>
      <c r="AF5354">
        <v>-1.22299202769932</v>
      </c>
      <c r="AG5354">
        <v>-1.122839232354</v>
      </c>
      <c r="AH5354">
        <v>16.532363160101099</v>
      </c>
      <c r="AI5354">
        <v>93.874872148181197</v>
      </c>
      <c r="AJ5354">
        <v>94.230785272271703</v>
      </c>
      <c r="AK5354">
        <v>16.615520127248399</v>
      </c>
      <c r="AL5354">
        <v>95.310681883348906</v>
      </c>
      <c r="AM5354">
        <v>95.312867034001499</v>
      </c>
      <c r="AN5354">
        <v>0.99999996960571003</v>
      </c>
    </row>
    <row r="5355" spans="1:40" x14ac:dyDescent="0.25">
      <c r="A5355" t="str">
        <f>"20190303154624949"</f>
        <v>20190303154624949</v>
      </c>
      <c r="B5355" t="str">
        <f>"1551599184947006"</f>
        <v>1551599184947006</v>
      </c>
      <c r="C5355" t="s">
        <v>40</v>
      </c>
      <c r="D5355">
        <v>5.4305529999999997</v>
      </c>
      <c r="E5355">
        <v>0.50734069999999998</v>
      </c>
      <c r="F5355" t="s">
        <v>65</v>
      </c>
      <c r="G5355">
        <v>-384.4796</v>
      </c>
      <c r="H5355" s="1">
        <v>-3.0021539999999998E-6</v>
      </c>
      <c r="I5355">
        <v>17.405460000000001</v>
      </c>
      <c r="J5355">
        <v>-400.4769</v>
      </c>
      <c r="K5355">
        <v>1.12276</v>
      </c>
      <c r="L5355">
        <v>18.152100000000001</v>
      </c>
      <c r="M5355">
        <v>0.99314400000000003</v>
      </c>
      <c r="N5355">
        <v>-1.0817500000000001E-2</v>
      </c>
      <c r="O5355">
        <v>-0.1163966</v>
      </c>
      <c r="P5355">
        <v>0.99436519999999995</v>
      </c>
      <c r="Q5355">
        <v>-0.1028376</v>
      </c>
      <c r="R5355">
        <v>-2.5739629999999999E-2</v>
      </c>
      <c r="S5355">
        <v>2.9916990000000001</v>
      </c>
      <c r="T5355">
        <v>-0.2078903</v>
      </c>
      <c r="U5355">
        <v>-0.14083860000000001</v>
      </c>
      <c r="V5355">
        <v>-8.9723899999999995E-2</v>
      </c>
      <c r="W5355">
        <v>-9.2563030000000004E-2</v>
      </c>
      <c r="X5355">
        <v>0.99165610000000004</v>
      </c>
      <c r="Y5355">
        <v>-6.9179439999999995E-2</v>
      </c>
      <c r="Z5355">
        <v>9.5689030000000001E-3</v>
      </c>
      <c r="AA5355">
        <v>0.99755839999999996</v>
      </c>
      <c r="AB5355">
        <v>17</v>
      </c>
      <c r="AC5355">
        <v>15.9972999999999</v>
      </c>
      <c r="AD5355">
        <v>-1.122763002154</v>
      </c>
      <c r="AE5355">
        <v>-0.74663999999999897</v>
      </c>
      <c r="AF5355">
        <v>-1.11509488018555</v>
      </c>
      <c r="AG5355">
        <v>-1.122763002154</v>
      </c>
      <c r="AH5355">
        <v>15.8973241618058</v>
      </c>
      <c r="AI5355">
        <v>94.029989471038405</v>
      </c>
      <c r="AJ5355">
        <v>94.012358021891501</v>
      </c>
      <c r="AK5355">
        <v>15.975886481080099</v>
      </c>
      <c r="AL5355">
        <v>95.311073285895901</v>
      </c>
      <c r="AM5355">
        <v>95.169978827843593</v>
      </c>
      <c r="AN5355">
        <v>1.00000005671059</v>
      </c>
    </row>
    <row r="5356" spans="1:40" x14ac:dyDescent="0.25">
      <c r="A5356" t="str">
        <f>"20190303154624975"</f>
        <v>20190303154624975</v>
      </c>
      <c r="B5356" t="str">
        <f>"1551599184967502"</f>
        <v>1551599184967502</v>
      </c>
      <c r="C5356" t="s">
        <v>40</v>
      </c>
      <c r="D5356">
        <v>5.426272</v>
      </c>
      <c r="E5356">
        <v>0.5078203</v>
      </c>
      <c r="F5356" t="s">
        <v>65</v>
      </c>
      <c r="G5356">
        <v>-384.14060000000001</v>
      </c>
      <c r="H5356" s="1">
        <v>-3.1623690000000002E-6</v>
      </c>
      <c r="I5356">
        <v>17.405479999999901</v>
      </c>
      <c r="J5356">
        <v>-400.2987</v>
      </c>
      <c r="K5356">
        <v>1.1226700000000001</v>
      </c>
      <c r="L5356">
        <v>18.137270000000001</v>
      </c>
      <c r="M5356">
        <v>0.99371699999999996</v>
      </c>
      <c r="N5356">
        <v>-1.069781E-2</v>
      </c>
      <c r="O5356">
        <v>-0.11140890000000001</v>
      </c>
      <c r="P5356">
        <v>0.99449240000000005</v>
      </c>
      <c r="Q5356">
        <v>-0.1021441</v>
      </c>
      <c r="R5356">
        <v>-2.3484430000000001E-2</v>
      </c>
      <c r="S5356">
        <v>2.9921259999999998</v>
      </c>
      <c r="T5356">
        <v>-0.2056434</v>
      </c>
      <c r="U5356">
        <v>-0.13674929999999999</v>
      </c>
      <c r="V5356">
        <v>-8.7024690000000002E-2</v>
      </c>
      <c r="W5356">
        <v>-9.1954839999999996E-2</v>
      </c>
      <c r="X5356">
        <v>0.99195310000000003</v>
      </c>
      <c r="Y5356">
        <v>-6.5563930000000006E-2</v>
      </c>
      <c r="Z5356">
        <v>9.0350429999999995E-3</v>
      </c>
      <c r="AA5356">
        <v>0.99780740000000001</v>
      </c>
      <c r="AB5356">
        <v>17</v>
      </c>
      <c r="AC5356">
        <v>16.158099999999902</v>
      </c>
      <c r="AD5356">
        <v>-1.1226731623690001</v>
      </c>
      <c r="AE5356">
        <v>-0.73179000000000305</v>
      </c>
      <c r="AF5356">
        <v>-1.06788077221378</v>
      </c>
      <c r="AG5356">
        <v>-1.1226731623690001</v>
      </c>
      <c r="AH5356">
        <v>16.061651626306698</v>
      </c>
      <c r="AI5356">
        <v>93.989562904223007</v>
      </c>
      <c r="AJ5356">
        <v>93.803789682854401</v>
      </c>
      <c r="AK5356">
        <v>16.1362144674025</v>
      </c>
      <c r="AL5356">
        <v>95.276077764938904</v>
      </c>
      <c r="AM5356">
        <v>95.013759182226593</v>
      </c>
      <c r="AN5356">
        <v>0.99999997093431503</v>
      </c>
    </row>
    <row r="5357" spans="1:40" x14ac:dyDescent="0.25">
      <c r="A5357" t="str">
        <f>"20190303154624995"</f>
        <v>20190303154624995</v>
      </c>
      <c r="B5357" t="str">
        <f>"1551599184987021"</f>
        <v>1551599184987021</v>
      </c>
      <c r="C5357" t="s">
        <v>40</v>
      </c>
      <c r="D5357">
        <v>5.4446149999999998</v>
      </c>
      <c r="E5357">
        <v>0.50818569999999996</v>
      </c>
      <c r="F5357" t="s">
        <v>65</v>
      </c>
      <c r="G5357">
        <v>-383.49869999999999</v>
      </c>
      <c r="H5357" s="1">
        <v>-3.4693080000000002E-6</v>
      </c>
      <c r="I5357">
        <v>17.3856</v>
      </c>
      <c r="J5357">
        <v>-400.13990000000001</v>
      </c>
      <c r="K5357">
        <v>1.1225889999999901</v>
      </c>
      <c r="L5357">
        <v>18.124659999999999</v>
      </c>
      <c r="M5357">
        <v>0.99418839999999997</v>
      </c>
      <c r="N5357">
        <v>-1.0583769999999999E-2</v>
      </c>
      <c r="O5357">
        <v>-0.1071341</v>
      </c>
      <c r="P5357">
        <v>0.99465340000000002</v>
      </c>
      <c r="Q5357">
        <v>-0.10088279999999999</v>
      </c>
      <c r="R5357">
        <v>-2.2081360000000001E-2</v>
      </c>
      <c r="S5357">
        <v>2.99295</v>
      </c>
      <c r="T5357">
        <v>-0.20000660000000001</v>
      </c>
      <c r="U5357">
        <v>-0.13391110000000001</v>
      </c>
      <c r="V5357">
        <v>-8.4196430000000003E-2</v>
      </c>
      <c r="W5357">
        <v>-9.0773809999999996E-2</v>
      </c>
      <c r="X5357">
        <v>0.99230589999999996</v>
      </c>
      <c r="Y5357">
        <v>-6.2264449999999999E-2</v>
      </c>
      <c r="Z5357">
        <v>8.4057750000000007E-3</v>
      </c>
      <c r="AA5357">
        <v>0.99802429999999998</v>
      </c>
      <c r="AB5357">
        <v>17</v>
      </c>
      <c r="AC5357">
        <v>16.641200000000001</v>
      </c>
      <c r="AD5357">
        <v>-1.1225924693079901</v>
      </c>
      <c r="AE5357">
        <v>-0.73906000000000205</v>
      </c>
      <c r="AF5357">
        <v>-1.0433948562309501</v>
      </c>
      <c r="AG5357">
        <v>-1.1225924693079901</v>
      </c>
      <c r="AH5357">
        <v>16.549432430525702</v>
      </c>
      <c r="AI5357">
        <v>93.872915878415</v>
      </c>
      <c r="AJ5357">
        <v>93.607561771860205</v>
      </c>
      <c r="AK5357">
        <v>16.620246702461799</v>
      </c>
      <c r="AL5357">
        <v>95.208125566775095</v>
      </c>
      <c r="AM5357">
        <v>94.849888495488003</v>
      </c>
      <c r="AN5357">
        <v>0.99999996129073399</v>
      </c>
    </row>
    <row r="5358" spans="1:40" x14ac:dyDescent="0.25">
      <c r="A5358" t="str">
        <f>"20190303154625018"</f>
        <v>20190303154625018</v>
      </c>
      <c r="B5358" t="str">
        <f>"1551599185006541"</f>
        <v>1551599185006541</v>
      </c>
      <c r="C5358" t="s">
        <v>40</v>
      </c>
      <c r="D5358">
        <v>5.4269239999999996</v>
      </c>
      <c r="E5358">
        <v>0.50862700000000005</v>
      </c>
      <c r="F5358" t="s">
        <v>65</v>
      </c>
      <c r="G5358">
        <v>-382.7627</v>
      </c>
      <c r="H5358" s="1">
        <v>-3.8226310000000003E-6</v>
      </c>
      <c r="I5358">
        <v>17.35529</v>
      </c>
      <c r="J5358">
        <v>-399.9751</v>
      </c>
      <c r="K5358">
        <v>1.122498</v>
      </c>
      <c r="L5358">
        <v>18.11206</v>
      </c>
      <c r="M5358">
        <v>0.99463959999999996</v>
      </c>
      <c r="N5358">
        <v>-1.046704E-2</v>
      </c>
      <c r="O5358">
        <v>-0.10287200000000001</v>
      </c>
      <c r="P5358">
        <v>0.99484110000000003</v>
      </c>
      <c r="Q5358">
        <v>-9.9229780000000004E-2</v>
      </c>
      <c r="R5358">
        <v>-2.1090020000000001E-2</v>
      </c>
      <c r="S5358">
        <v>2.9935299999999998</v>
      </c>
      <c r="T5358">
        <v>-0.1933868</v>
      </c>
      <c r="U5358">
        <v>-0.13253779999999901</v>
      </c>
      <c r="V5358">
        <v>-8.09777E-2</v>
      </c>
      <c r="W5358">
        <v>-8.9200539999999995E-2</v>
      </c>
      <c r="X5358">
        <v>0.99271640000000005</v>
      </c>
      <c r="Y5358">
        <v>-5.8489449999999998E-2</v>
      </c>
      <c r="Z5358">
        <v>7.7385589999999999E-3</v>
      </c>
      <c r="AA5358">
        <v>0.99825810000000004</v>
      </c>
      <c r="AB5358">
        <v>17</v>
      </c>
      <c r="AC5358">
        <v>17.212399999999999</v>
      </c>
      <c r="AD5358">
        <v>-1.122501822631</v>
      </c>
      <c r="AE5358">
        <v>-0.75676999999999905</v>
      </c>
      <c r="AF5358">
        <v>-1.0137133348452301</v>
      </c>
      <c r="AG5358">
        <v>-1.122501822631</v>
      </c>
      <c r="AH5358">
        <v>17.126229420240801</v>
      </c>
      <c r="AI5358">
        <v>93.743431612364702</v>
      </c>
      <c r="AJ5358">
        <v>93.387424417413996</v>
      </c>
      <c r="AK5358">
        <v>17.1928868786419</v>
      </c>
      <c r="AL5358">
        <v>95.117616486323001</v>
      </c>
      <c r="AM5358">
        <v>94.663396896272403</v>
      </c>
      <c r="AN5358">
        <v>0.99999998753126995</v>
      </c>
    </row>
    <row r="5359" spans="1:40" x14ac:dyDescent="0.25">
      <c r="A5359" t="str">
        <f>"20190303154625038"</f>
        <v>20190303154625038</v>
      </c>
      <c r="B5359" t="str">
        <f>"1551599185027040"</f>
        <v>1551599185027040</v>
      </c>
      <c r="C5359" t="s">
        <v>40</v>
      </c>
      <c r="D5359">
        <v>5.4235949999999997</v>
      </c>
      <c r="E5359">
        <v>0.50886549999999997</v>
      </c>
      <c r="F5359" t="s">
        <v>65</v>
      </c>
      <c r="G5359">
        <v>-382.01900000000001</v>
      </c>
      <c r="H5359" s="1">
        <v>-4.1814280000000002E-6</v>
      </c>
      <c r="I5359">
        <v>17.31428</v>
      </c>
      <c r="J5359">
        <v>-399.82130000000001</v>
      </c>
      <c r="K5359">
        <v>1.1224080000000001</v>
      </c>
      <c r="L5359">
        <v>18.100770000000001</v>
      </c>
      <c r="M5359">
        <v>0.99502880000000005</v>
      </c>
      <c r="N5359">
        <v>-1.036723E-2</v>
      </c>
      <c r="O5359">
        <v>-9.9048520000000001E-2</v>
      </c>
      <c r="P5359">
        <v>0.99493560000000003</v>
      </c>
      <c r="Q5359">
        <v>-9.822053E-2</v>
      </c>
      <c r="R5359">
        <v>-2.1363E-2</v>
      </c>
      <c r="S5359">
        <v>2.99411</v>
      </c>
      <c r="T5359">
        <v>-0.18717310000000001</v>
      </c>
      <c r="U5359">
        <v>-0.13302610000000001</v>
      </c>
      <c r="V5359">
        <v>-7.6924939999999997E-2</v>
      </c>
      <c r="W5359">
        <v>-8.825247E-2</v>
      </c>
      <c r="X5359">
        <v>0.99312339999999999</v>
      </c>
      <c r="Y5359">
        <v>-5.4531650000000001E-2</v>
      </c>
      <c r="Z5359">
        <v>7.1295519999999999E-3</v>
      </c>
      <c r="AA5359">
        <v>0.9984866</v>
      </c>
      <c r="AB5359">
        <v>17</v>
      </c>
      <c r="AC5359">
        <v>17.802299999999999</v>
      </c>
      <c r="AD5359">
        <v>-1.1224121814279999</v>
      </c>
      <c r="AE5359">
        <v>-0.78649000000000002</v>
      </c>
      <c r="AF5359">
        <v>-0.97688807410394096</v>
      </c>
      <c r="AG5359">
        <v>-1.1224121814279999</v>
      </c>
      <c r="AH5359">
        <v>17.722342927865199</v>
      </c>
      <c r="AI5359">
        <v>93.618405036533503</v>
      </c>
      <c r="AJ5359">
        <v>93.155055668416693</v>
      </c>
      <c r="AK5359">
        <v>17.784700117438</v>
      </c>
      <c r="AL5359">
        <v>95.0630808415372</v>
      </c>
      <c r="AM5359">
        <v>94.429149007495397</v>
      </c>
      <c r="AN5359">
        <v>1.0000000162413301</v>
      </c>
    </row>
    <row r="5360" spans="1:40" x14ac:dyDescent="0.25">
      <c r="A5360" t="str">
        <f>"20190303154625061"</f>
        <v>20190303154625061</v>
      </c>
      <c r="B5360" t="str">
        <f>"1551599185056318"</f>
        <v>1551599185056318</v>
      </c>
      <c r="C5360" t="s">
        <v>40</v>
      </c>
      <c r="D5360">
        <v>5.4331630000000004</v>
      </c>
      <c r="E5360">
        <v>0.50934049999999997</v>
      </c>
      <c r="F5360" t="s">
        <v>65</v>
      </c>
      <c r="G5360">
        <v>-381.49930000000001</v>
      </c>
      <c r="H5360" s="1">
        <v>-4.4348670000000002E-6</v>
      </c>
      <c r="I5360">
        <v>17.270720000000001</v>
      </c>
      <c r="J5360">
        <v>-399.6499</v>
      </c>
      <c r="K5360">
        <v>1.122304</v>
      </c>
      <c r="L5360">
        <v>18.088650000000001</v>
      </c>
      <c r="M5360">
        <v>0.99542889999999995</v>
      </c>
      <c r="N5360">
        <v>-1.026738E-2</v>
      </c>
      <c r="O5360">
        <v>-9.4953540000000003E-2</v>
      </c>
      <c r="P5360">
        <v>0.99484099999999998</v>
      </c>
      <c r="Q5360">
        <v>-9.9230100000000002E-2</v>
      </c>
      <c r="R5360">
        <v>-2.1097069999999999E-2</v>
      </c>
      <c r="S5360">
        <v>2.9942630000000001</v>
      </c>
      <c r="T5360">
        <v>-0.1834297</v>
      </c>
      <c r="U5360">
        <v>-0.13565060000000001</v>
      </c>
      <c r="V5360">
        <v>-7.3112789999999997E-2</v>
      </c>
      <c r="W5360">
        <v>-8.9327039999999996E-2</v>
      </c>
      <c r="X5360">
        <v>0.99331530000000001</v>
      </c>
      <c r="Y5360">
        <v>-4.9577929999999999E-2</v>
      </c>
      <c r="Z5360">
        <v>6.594773E-3</v>
      </c>
      <c r="AA5360">
        <v>0.99874850000000004</v>
      </c>
      <c r="AB5360">
        <v>17</v>
      </c>
      <c r="AC5360">
        <v>18.150600000000001</v>
      </c>
      <c r="AD5360">
        <v>-1.122308434867</v>
      </c>
      <c r="AE5360">
        <v>-0.81793000000000005</v>
      </c>
      <c r="AF5360">
        <v>-0.90586395933707398</v>
      </c>
      <c r="AG5360">
        <v>-1.122308434867</v>
      </c>
      <c r="AH5360">
        <v>18.0772755954529</v>
      </c>
      <c r="AI5360">
        <v>93.548147203841395</v>
      </c>
      <c r="AJ5360">
        <v>92.868728934861295</v>
      </c>
      <c r="AK5360">
        <v>18.134719702541801</v>
      </c>
      <c r="AL5360">
        <v>95.124893168665494</v>
      </c>
      <c r="AM5360">
        <v>94.209654096301307</v>
      </c>
      <c r="AN5360">
        <v>1.0000000426754101</v>
      </c>
    </row>
    <row r="5361" spans="1:40" x14ac:dyDescent="0.25">
      <c r="A5361" t="str">
        <f>"20190303154625084"</f>
        <v>20190303154625084</v>
      </c>
      <c r="B5361" t="str">
        <f>"1551599185076813"</f>
        <v>1551599185076813</v>
      </c>
      <c r="C5361" t="s">
        <v>40</v>
      </c>
      <c r="D5361">
        <v>5.4549949999999896</v>
      </c>
      <c r="E5361">
        <v>0.50958870000000001</v>
      </c>
      <c r="F5361" t="s">
        <v>65</v>
      </c>
      <c r="G5361">
        <v>-381.51859999999999</v>
      </c>
      <c r="H5361" s="1">
        <v>-4.4296410000000004E-6</v>
      </c>
      <c r="I5361">
        <v>17.248550000000002</v>
      </c>
      <c r="J5361">
        <v>-399.48009999999999</v>
      </c>
      <c r="K5361">
        <v>1.1222160000000001</v>
      </c>
      <c r="L5361">
        <v>18.077179999999998</v>
      </c>
      <c r="M5361">
        <v>0.99579169999999995</v>
      </c>
      <c r="N5361">
        <v>-1.017266E-2</v>
      </c>
      <c r="O5361">
        <v>-9.1079869999999993E-2</v>
      </c>
      <c r="P5361">
        <v>0.9947783</v>
      </c>
      <c r="Q5361">
        <v>-9.9746029999999999E-2</v>
      </c>
      <c r="R5361">
        <v>-2.1608949999999998E-2</v>
      </c>
      <c r="S5361">
        <v>2.9941710000000001</v>
      </c>
      <c r="T5361">
        <v>-0.18533669999999999</v>
      </c>
      <c r="U5361">
        <v>-0.13873289999999999</v>
      </c>
      <c r="V5361">
        <v>-6.8750469999999994E-2</v>
      </c>
      <c r="W5361">
        <v>-8.9903979999999994E-2</v>
      </c>
      <c r="X5361">
        <v>0.99357470000000003</v>
      </c>
      <c r="Y5361">
        <v>-4.4674480000000003E-2</v>
      </c>
      <c r="Z5361">
        <v>6.3019769999999899E-3</v>
      </c>
      <c r="AA5361">
        <v>0.99898169999999997</v>
      </c>
      <c r="AB5361">
        <v>17</v>
      </c>
      <c r="AC5361">
        <v>17.961500000000001</v>
      </c>
      <c r="AD5361">
        <v>-1.1222204296410001</v>
      </c>
      <c r="AE5361">
        <v>-0.82862999999999598</v>
      </c>
      <c r="AF5361">
        <v>-0.807683887374677</v>
      </c>
      <c r="AG5361">
        <v>-1.1222204296410001</v>
      </c>
      <c r="AH5361">
        <v>17.892614130377002</v>
      </c>
      <c r="AI5361">
        <v>93.585235041991893</v>
      </c>
      <c r="AJ5361">
        <v>92.584613043557198</v>
      </c>
      <c r="AK5361">
        <v>17.945956992403399</v>
      </c>
      <c r="AL5361">
        <v>95.1580830603679</v>
      </c>
      <c r="AM5361">
        <v>93.958276114291294</v>
      </c>
      <c r="AN5361">
        <v>1.0000000186125699</v>
      </c>
    </row>
    <row r="5362" spans="1:40" x14ac:dyDescent="0.25">
      <c r="A5362" t="str">
        <f>"20190303154625106"</f>
        <v>20190303154625106</v>
      </c>
      <c r="B5362" t="str">
        <f>"1551599185096335"</f>
        <v>1551599185096335</v>
      </c>
      <c r="C5362" t="s">
        <v>40</v>
      </c>
      <c r="D5362">
        <v>5.4310320000000001</v>
      </c>
      <c r="E5362">
        <v>0.50977439999999996</v>
      </c>
      <c r="F5362" t="s">
        <v>65</v>
      </c>
      <c r="G5362">
        <v>-381.48829999999998</v>
      </c>
      <c r="H5362" s="1">
        <v>-4.4487740000000002E-6</v>
      </c>
      <c r="I5362">
        <v>17.221640000000001</v>
      </c>
      <c r="J5362">
        <v>-399.31479999999999</v>
      </c>
      <c r="K5362">
        <v>1.1221479999999999</v>
      </c>
      <c r="L5362">
        <v>18.066410000000001</v>
      </c>
      <c r="M5362">
        <v>0.99611769999999999</v>
      </c>
      <c r="N5362">
        <v>-1.0083170000000001E-2</v>
      </c>
      <c r="O5362">
        <v>-8.7452719999999998E-2</v>
      </c>
      <c r="P5362">
        <v>0.99454549999999997</v>
      </c>
      <c r="Q5362">
        <v>-0.1014606</v>
      </c>
      <c r="R5362">
        <v>-2.419164E-2</v>
      </c>
      <c r="S5362">
        <v>2.9939269999999998</v>
      </c>
      <c r="T5362">
        <v>-0.18674279999999999</v>
      </c>
      <c r="U5362">
        <v>-0.1423645</v>
      </c>
      <c r="V5362">
        <v>-6.2548720000000002E-2</v>
      </c>
      <c r="W5362">
        <v>-9.1672370000000003E-2</v>
      </c>
      <c r="X5362">
        <v>0.99382280000000001</v>
      </c>
      <c r="Y5362">
        <v>-3.9834670000000003E-2</v>
      </c>
      <c r="Z5362">
        <v>5.9980220000000004E-3</v>
      </c>
      <c r="AA5362">
        <v>0.99918830000000003</v>
      </c>
      <c r="AB5362">
        <v>17</v>
      </c>
      <c r="AC5362">
        <v>17.826499999999999</v>
      </c>
      <c r="AD5362">
        <v>-1.122152448774</v>
      </c>
      <c r="AE5362">
        <v>-0.84477000000000002</v>
      </c>
      <c r="AF5362">
        <v>-0.71469634291730599</v>
      </c>
      <c r="AG5362">
        <v>-1.122152448774</v>
      </c>
      <c r="AH5362">
        <v>17.761851050678398</v>
      </c>
      <c r="AI5362">
        <v>93.612094366221797</v>
      </c>
      <c r="AJ5362">
        <v>92.304208358992497</v>
      </c>
      <c r="AK5362">
        <v>17.811607724384501</v>
      </c>
      <c r="AL5362">
        <v>95.259824824565598</v>
      </c>
      <c r="AM5362">
        <v>93.6013029181576</v>
      </c>
      <c r="AN5362">
        <v>0.99999996179744599</v>
      </c>
    </row>
    <row r="5363" spans="1:40" x14ac:dyDescent="0.25">
      <c r="A5363" t="str">
        <f>"20190303154625141"</f>
        <v>20190303154625141</v>
      </c>
      <c r="B5363" t="str">
        <f>"1551599185136350"</f>
        <v>1551599185136350</v>
      </c>
      <c r="C5363" t="s">
        <v>40</v>
      </c>
      <c r="D5363">
        <v>5.3833789999999997</v>
      </c>
      <c r="E5363">
        <v>0.50993630000000001</v>
      </c>
      <c r="F5363" t="s">
        <v>65</v>
      </c>
      <c r="G5363">
        <v>-381.82690000000002</v>
      </c>
      <c r="H5363" s="1">
        <v>-4.2961509999999998E-6</v>
      </c>
      <c r="I5363">
        <v>17.1797</v>
      </c>
      <c r="J5363">
        <v>-399.04899999999998</v>
      </c>
      <c r="K5363">
        <v>1.1220829999999999</v>
      </c>
      <c r="L5363">
        <v>18.050080000000001</v>
      </c>
      <c r="M5363">
        <v>0.99659560000000003</v>
      </c>
      <c r="N5363">
        <v>-9.9568220000000006E-3</v>
      </c>
      <c r="O5363">
        <v>-8.1841209999999998E-2</v>
      </c>
      <c r="P5363">
        <v>0.99423229999999996</v>
      </c>
      <c r="Q5363">
        <v>-0.1042299</v>
      </c>
      <c r="R5363">
        <v>-2.5267850000000001E-2</v>
      </c>
      <c r="S5363">
        <v>2.9931640000000002</v>
      </c>
      <c r="T5363">
        <v>-0.19206290000000001</v>
      </c>
      <c r="U5363">
        <v>-0.15176389999999901</v>
      </c>
      <c r="V5363">
        <v>-5.5859480000000003E-2</v>
      </c>
      <c r="W5363">
        <v>-9.4534480000000004E-2</v>
      </c>
      <c r="X5363">
        <v>0.99395319999999998</v>
      </c>
      <c r="Y5363">
        <v>-3.1078720000000001E-2</v>
      </c>
      <c r="Z5363">
        <v>5.5713330000000004E-3</v>
      </c>
      <c r="AA5363">
        <v>0.99950139999999998</v>
      </c>
      <c r="AB5363">
        <v>17</v>
      </c>
      <c r="AC5363">
        <v>17.222100000000001</v>
      </c>
      <c r="AD5363">
        <v>-1.122087296151</v>
      </c>
      <c r="AE5363">
        <v>-0.87037999999999704</v>
      </c>
      <c r="AF5363">
        <v>-0.53980188079811198</v>
      </c>
      <c r="AG5363">
        <v>-1.122087296151</v>
      </c>
      <c r="AH5363">
        <v>17.162885763243299</v>
      </c>
      <c r="AI5363">
        <v>93.738757018692198</v>
      </c>
      <c r="AJ5363">
        <v>91.801455641462098</v>
      </c>
      <c r="AK5363">
        <v>17.2079956326365</v>
      </c>
      <c r="AL5363">
        <v>95.424526862321997</v>
      </c>
      <c r="AM5363">
        <v>93.216599495480395</v>
      </c>
      <c r="AN5363">
        <v>1.0000000066024901</v>
      </c>
    </row>
    <row r="5364" spans="1:40" x14ac:dyDescent="0.25">
      <c r="A5364" t="str">
        <f>"20190303154625162"</f>
        <v>20190303154625162</v>
      </c>
      <c r="B5364" t="str">
        <f>"1551599185156846"</f>
        <v>1551599185156846</v>
      </c>
      <c r="C5364" t="s">
        <v>40</v>
      </c>
      <c r="D5364">
        <v>5.338679</v>
      </c>
      <c r="E5364">
        <v>0.5099629</v>
      </c>
      <c r="F5364" t="s">
        <v>65</v>
      </c>
      <c r="G5364">
        <v>-382.315</v>
      </c>
      <c r="H5364" s="1">
        <v>-4.0661459999999999E-6</v>
      </c>
      <c r="I5364">
        <v>17.175619999999999</v>
      </c>
      <c r="J5364">
        <v>-398.88299999999998</v>
      </c>
      <c r="K5364">
        <v>1.122055</v>
      </c>
      <c r="L5364">
        <v>18.040469999999999</v>
      </c>
      <c r="M5364">
        <v>0.99686730000000001</v>
      </c>
      <c r="N5364">
        <v>-9.8920280000000006E-3</v>
      </c>
      <c r="O5364">
        <v>-7.8472520000000004E-2</v>
      </c>
      <c r="P5364">
        <v>0.99422089999999996</v>
      </c>
      <c r="Q5364">
        <v>-0.10428179999999999</v>
      </c>
      <c r="R5364">
        <v>-2.5501349999999999E-2</v>
      </c>
      <c r="S5364">
        <v>2.9924010000000001</v>
      </c>
      <c r="T5364">
        <v>-0.20065250000000001</v>
      </c>
      <c r="U5364">
        <v>-0.15637210000000001</v>
      </c>
      <c r="V5364">
        <v>-5.2273640000000003E-2</v>
      </c>
      <c r="W5364">
        <v>-9.4633510000000004E-2</v>
      </c>
      <c r="X5364">
        <v>0.99413879999999999</v>
      </c>
      <c r="Y5364">
        <v>-2.6150759999999999E-2</v>
      </c>
      <c r="Z5364">
        <v>5.4744579999999998E-3</v>
      </c>
      <c r="AA5364">
        <v>0.99964299999999995</v>
      </c>
      <c r="AB5364">
        <v>17</v>
      </c>
      <c r="AC5364">
        <v>16.568000000000001</v>
      </c>
      <c r="AD5364">
        <v>-1.1220590661459999</v>
      </c>
      <c r="AE5364">
        <v>-0.86485000000000001</v>
      </c>
      <c r="AF5364">
        <v>-0.43601900130374499</v>
      </c>
      <c r="AG5364">
        <v>-1.1220590661459999</v>
      </c>
      <c r="AH5364">
        <v>16.509258488597698</v>
      </c>
      <c r="AI5364">
        <v>93.886802374780402</v>
      </c>
      <c r="AJ5364">
        <v>91.512862769050002</v>
      </c>
      <c r="AK5364">
        <v>16.553088683407498</v>
      </c>
      <c r="AL5364">
        <v>95.430226482854295</v>
      </c>
      <c r="AM5364">
        <v>93.009945116788501</v>
      </c>
      <c r="AN5364">
        <v>0.99999999415960406</v>
      </c>
    </row>
    <row r="5365" spans="1:40" x14ac:dyDescent="0.25">
      <c r="A5365" t="str">
        <f>"20190303154625186"</f>
        <v>20190303154625186</v>
      </c>
      <c r="B5365" t="str">
        <f>"1551599185176365"</f>
        <v>1551599185176365</v>
      </c>
      <c r="C5365" t="s">
        <v>40</v>
      </c>
      <c r="D5365">
        <v>5.3700999999999999</v>
      </c>
      <c r="E5365">
        <v>0.51000979999999996</v>
      </c>
      <c r="F5365" t="s">
        <v>65</v>
      </c>
      <c r="G5365">
        <v>-382.21539999999999</v>
      </c>
      <c r="H5365" s="1">
        <v>-4.1153110000000003E-6</v>
      </c>
      <c r="I5365">
        <v>17.163829999999901</v>
      </c>
      <c r="J5365">
        <v>-398.7081</v>
      </c>
      <c r="K5365">
        <v>1.122009</v>
      </c>
      <c r="L5365">
        <v>18.030850000000001</v>
      </c>
      <c r="M5365">
        <v>0.99712909999999999</v>
      </c>
      <c r="N5365">
        <v>-9.8307210000000006E-3</v>
      </c>
      <c r="O5365">
        <v>-7.5080540000000001E-2</v>
      </c>
      <c r="P5365">
        <v>0.99433950000000004</v>
      </c>
      <c r="Q5365">
        <v>-0.10319929999999999</v>
      </c>
      <c r="R5365">
        <v>-2.528244E-2</v>
      </c>
      <c r="S5365">
        <v>2.9922789999999999</v>
      </c>
      <c r="T5365">
        <v>-0.2014396</v>
      </c>
      <c r="U5365">
        <v>-0.1573792</v>
      </c>
      <c r="V5365">
        <v>-4.913534E-2</v>
      </c>
      <c r="W5365">
        <v>-9.3593029999999994E-2</v>
      </c>
      <c r="X5365">
        <v>0.99439730000000004</v>
      </c>
      <c r="Y5365">
        <v>-2.2425130000000001E-2</v>
      </c>
      <c r="Z5365">
        <v>5.1652909999999998E-3</v>
      </c>
      <c r="AA5365">
        <v>0.99973520000000005</v>
      </c>
      <c r="AB5365">
        <v>17</v>
      </c>
      <c r="AC5365">
        <v>16.492699999999999</v>
      </c>
      <c r="AD5365">
        <v>-1.122013115311</v>
      </c>
      <c r="AE5365">
        <v>-0.86702000000000301</v>
      </c>
      <c r="AF5365">
        <v>-0.37205079817117798</v>
      </c>
      <c r="AG5365">
        <v>-1.122013115311</v>
      </c>
      <c r="AH5365">
        <v>16.435387217884401</v>
      </c>
      <c r="AI5365">
        <v>93.904418838044805</v>
      </c>
      <c r="AJ5365">
        <v>91.296793321957196</v>
      </c>
      <c r="AK5365">
        <v>16.477842341433799</v>
      </c>
      <c r="AL5365">
        <v>95.370345750185294</v>
      </c>
      <c r="AM5365">
        <v>92.828808722079501</v>
      </c>
      <c r="AN5365">
        <v>0.99999996357439203</v>
      </c>
    </row>
    <row r="5366" spans="1:40" x14ac:dyDescent="0.25">
      <c r="A5366" t="str">
        <f>"20190303154625206"</f>
        <v>20190303154625206</v>
      </c>
      <c r="B5366" t="str">
        <f>"1551599185196865"</f>
        <v>1551599185196865</v>
      </c>
      <c r="C5366" t="s">
        <v>40</v>
      </c>
      <c r="D5366">
        <v>5.3657779999999997</v>
      </c>
      <c r="E5366">
        <v>0.51004170000000004</v>
      </c>
      <c r="F5366" t="s">
        <v>65</v>
      </c>
      <c r="G5366">
        <v>-381.74770000000001</v>
      </c>
      <c r="H5366" s="1">
        <v>-4.3406660000000001E-6</v>
      </c>
      <c r="I5366">
        <v>17.139749999999999</v>
      </c>
      <c r="J5366">
        <v>-398.5498</v>
      </c>
      <c r="K5366">
        <v>1.121947</v>
      </c>
      <c r="L5366">
        <v>18.02252</v>
      </c>
      <c r="M5366">
        <v>0.99734800000000001</v>
      </c>
      <c r="N5366">
        <v>-9.7796029999999996E-3</v>
      </c>
      <c r="O5366">
        <v>-7.2120290000000004E-2</v>
      </c>
      <c r="P5366">
        <v>0.9943668</v>
      </c>
      <c r="Q5366">
        <v>-0.10286679999999999</v>
      </c>
      <c r="R5366">
        <v>-2.5552930000000001E-2</v>
      </c>
      <c r="S5366">
        <v>2.9924930000000001</v>
      </c>
      <c r="T5366">
        <v>-0.19796749999999999</v>
      </c>
      <c r="U5366">
        <v>-0.15722659999999999</v>
      </c>
      <c r="V5366">
        <v>-4.5931510000000002E-2</v>
      </c>
      <c r="W5366">
        <v>-9.3292739999999999E-2</v>
      </c>
      <c r="X5366">
        <v>0.99457870000000004</v>
      </c>
      <c r="Y5366">
        <v>-1.953042E-2</v>
      </c>
      <c r="Z5366">
        <v>4.7928349999999996E-3</v>
      </c>
      <c r="AA5366">
        <v>0.99979779999999996</v>
      </c>
      <c r="AB5366">
        <v>17</v>
      </c>
      <c r="AC5366">
        <v>16.8020999999999</v>
      </c>
      <c r="AD5366">
        <v>-1.121951340666</v>
      </c>
      <c r="AE5366">
        <v>-0.88277000000000005</v>
      </c>
      <c r="AF5366">
        <v>-0.32989239015127603</v>
      </c>
      <c r="AG5366">
        <v>-1.121951340666</v>
      </c>
      <c r="AH5366">
        <v>16.747541948200102</v>
      </c>
      <c r="AI5366">
        <v>93.831891098717605</v>
      </c>
      <c r="AJ5366">
        <v>91.128463963832701</v>
      </c>
      <c r="AK5366">
        <v>16.788322283856299</v>
      </c>
      <c r="AL5366">
        <v>95.353064514873296</v>
      </c>
      <c r="AM5366">
        <v>92.644147858858105</v>
      </c>
      <c r="AN5366">
        <v>1.00000001472063</v>
      </c>
    </row>
    <row r="5367" spans="1:40" x14ac:dyDescent="0.25">
      <c r="A5367" t="str">
        <f>"20190303154625228"</f>
        <v>20190303154625228</v>
      </c>
      <c r="B5367" t="str">
        <f>"1551599185216381"</f>
        <v>1551599185216381</v>
      </c>
      <c r="C5367" t="s">
        <v>40</v>
      </c>
      <c r="D5367">
        <v>5.3483179999999999</v>
      </c>
      <c r="E5367">
        <v>0.51009179999999998</v>
      </c>
      <c r="F5367" t="s">
        <v>65</v>
      </c>
      <c r="G5367">
        <v>-381.55599999999998</v>
      </c>
      <c r="H5367" s="1">
        <v>-4.4343269999999997E-6</v>
      </c>
      <c r="I5367">
        <v>17.12256</v>
      </c>
      <c r="J5367">
        <v>-398.38380000000001</v>
      </c>
      <c r="K5367">
        <v>1.1218619999999999</v>
      </c>
      <c r="L5367">
        <v>18.014129999999899</v>
      </c>
      <c r="M5367">
        <v>0.99755930000000004</v>
      </c>
      <c r="N5367">
        <v>-9.7309409999999999E-3</v>
      </c>
      <c r="O5367">
        <v>-6.9143620000000003E-2</v>
      </c>
      <c r="P5367">
        <v>0.994259</v>
      </c>
      <c r="Q5367">
        <v>-0.1039882</v>
      </c>
      <c r="R5367">
        <v>-2.5219220000000001E-2</v>
      </c>
      <c r="S5367">
        <v>2.9924930000000001</v>
      </c>
      <c r="T5367">
        <v>-0.19756789999999999</v>
      </c>
      <c r="U5367">
        <v>-0.158477799999999</v>
      </c>
      <c r="V5367">
        <v>-4.3304000000000002E-2</v>
      </c>
      <c r="W5367">
        <v>-9.4446559999999999E-2</v>
      </c>
      <c r="X5367">
        <v>0.99458769999999996</v>
      </c>
      <c r="Y5367">
        <v>-1.6143359999999999E-2</v>
      </c>
      <c r="Z5367">
        <v>4.4901709999999899E-3</v>
      </c>
      <c r="AA5367">
        <v>0.99985959999999996</v>
      </c>
      <c r="AB5367">
        <v>17</v>
      </c>
      <c r="AC5367">
        <v>16.8278</v>
      </c>
      <c r="AD5367">
        <v>-1.121866434327</v>
      </c>
      <c r="AE5367">
        <v>-0.89156999999999698</v>
      </c>
      <c r="AF5367">
        <v>-0.27294431332818297</v>
      </c>
      <c r="AG5367">
        <v>-1.121866434327</v>
      </c>
      <c r="AH5367">
        <v>16.774823960535102</v>
      </c>
      <c r="AI5367">
        <v>93.825623895991797</v>
      </c>
      <c r="AJ5367">
        <v>90.932181307011604</v>
      </c>
      <c r="AK5367">
        <v>16.814511643267899</v>
      </c>
      <c r="AL5367">
        <v>95.419466590137503</v>
      </c>
      <c r="AM5367">
        <v>92.493063593979997</v>
      </c>
      <c r="AN5367">
        <v>1.0000000410515599</v>
      </c>
    </row>
    <row r="5368" spans="1:40" x14ac:dyDescent="0.25">
      <c r="A5368" t="str">
        <f>"20190303154625251"</f>
        <v>20190303154625251</v>
      </c>
      <c r="B5368" t="str">
        <f>"1551599185246638"</f>
        <v>1551599185246638</v>
      </c>
      <c r="C5368" t="s">
        <v>40</v>
      </c>
      <c r="D5368">
        <v>5.3390879999999896</v>
      </c>
      <c r="E5368">
        <v>0.51022089999999998</v>
      </c>
      <c r="F5368" t="s">
        <v>65</v>
      </c>
      <c r="G5368">
        <v>-381.73349999999999</v>
      </c>
      <c r="H5368" s="1">
        <v>-4.3482670000000001E-6</v>
      </c>
      <c r="I5368">
        <v>17.13466</v>
      </c>
      <c r="J5368">
        <v>-398.20100000000002</v>
      </c>
      <c r="K5368">
        <v>1.121753</v>
      </c>
      <c r="L5368">
        <v>18.005220000000001</v>
      </c>
      <c r="M5368">
        <v>0.99776969999999998</v>
      </c>
      <c r="N5368">
        <v>-9.683657E-3</v>
      </c>
      <c r="O5368">
        <v>-6.6045909999999999E-2</v>
      </c>
      <c r="P5368">
        <v>0.99399400000000004</v>
      </c>
      <c r="Q5368">
        <v>-0.1065936</v>
      </c>
      <c r="R5368">
        <v>-2.4778680000000001E-2</v>
      </c>
      <c r="S5368">
        <v>2.9922490000000002</v>
      </c>
      <c r="T5368">
        <v>-0.20161209999999999</v>
      </c>
      <c r="U5368">
        <v>-0.15805050000000001</v>
      </c>
      <c r="V5368">
        <v>-4.0654259999999998E-2</v>
      </c>
      <c r="W5368">
        <v>-9.7083199999999995E-2</v>
      </c>
      <c r="X5368">
        <v>0.99444560000000004</v>
      </c>
      <c r="Y5368">
        <v>-1.3182499999999899E-2</v>
      </c>
      <c r="Z5368">
        <v>4.3056709999999996E-3</v>
      </c>
      <c r="AA5368">
        <v>0.99990389999999996</v>
      </c>
      <c r="AB5368">
        <v>17</v>
      </c>
      <c r="AC5368">
        <v>16.467499999999902</v>
      </c>
      <c r="AD5368">
        <v>-1.121757348267</v>
      </c>
      <c r="AE5368">
        <v>-0.870560000000001</v>
      </c>
      <c r="AF5368">
        <v>-0.21799414766046701</v>
      </c>
      <c r="AG5368">
        <v>-1.121757348267</v>
      </c>
      <c r="AH5368">
        <v>16.4130920767359</v>
      </c>
      <c r="AI5368">
        <v>93.909472146656597</v>
      </c>
      <c r="AJ5368">
        <v>90.760941948107501</v>
      </c>
      <c r="AK5368">
        <v>16.4528250618614</v>
      </c>
      <c r="AL5368">
        <v>95.571232811179598</v>
      </c>
      <c r="AM5368">
        <v>92.341024151688003</v>
      </c>
      <c r="AN5368">
        <v>0.99999998396887302</v>
      </c>
    </row>
    <row r="5369" spans="1:40" x14ac:dyDescent="0.25">
      <c r="A5369" t="str">
        <f>"20190303154625273"</f>
        <v>20190303154625273</v>
      </c>
      <c r="B5369" t="str">
        <f>"1551599185266157"</f>
        <v>1551599185266157</v>
      </c>
      <c r="C5369" t="s">
        <v>40</v>
      </c>
      <c r="D5369">
        <v>5.3911100000000003</v>
      </c>
      <c r="E5369">
        <v>0.51089180000000001</v>
      </c>
      <c r="F5369" t="s">
        <v>65</v>
      </c>
      <c r="G5369">
        <v>-382.19850000000002</v>
      </c>
      <c r="H5369" s="1">
        <v>-4.1239130000000002E-6</v>
      </c>
      <c r="I5369">
        <v>17.16047</v>
      </c>
      <c r="J5369">
        <v>-398.02870000000001</v>
      </c>
      <c r="K5369">
        <v>1.1216429999999999</v>
      </c>
      <c r="L5369">
        <v>17.997070000000001</v>
      </c>
      <c r="M5369">
        <v>0.99794669999999996</v>
      </c>
      <c r="N5369">
        <v>-9.6442479999999994E-3</v>
      </c>
      <c r="O5369">
        <v>-6.332103E-2</v>
      </c>
      <c r="P5369">
        <v>0.99387899999999996</v>
      </c>
      <c r="Q5369">
        <v>-0.1077736</v>
      </c>
      <c r="R5369">
        <v>-2.4283969999999998E-2</v>
      </c>
      <c r="S5369">
        <v>2.99173</v>
      </c>
      <c r="T5369">
        <v>-0.20971580000000001</v>
      </c>
      <c r="U5369">
        <v>-0.1579285</v>
      </c>
      <c r="V5369">
        <v>-3.8447450000000001E-2</v>
      </c>
      <c r="W5369">
        <v>-9.8287429999999995E-2</v>
      </c>
      <c r="X5369">
        <v>0.9944151</v>
      </c>
      <c r="Y5369">
        <v>-1.048264E-2</v>
      </c>
      <c r="Z5369">
        <v>4.233293E-3</v>
      </c>
      <c r="AA5369">
        <v>0.99993609999999999</v>
      </c>
      <c r="AB5369">
        <v>17</v>
      </c>
      <c r="AC5369">
        <v>15.8301999999999</v>
      </c>
      <c r="AD5369">
        <v>-1.1216471239129999</v>
      </c>
      <c r="AE5369">
        <v>-0.83660000000000001</v>
      </c>
      <c r="AF5369">
        <v>-0.16667568447546399</v>
      </c>
      <c r="AG5369">
        <v>-1.1216471239129999</v>
      </c>
      <c r="AH5369">
        <v>15.772442315346799</v>
      </c>
      <c r="AI5369">
        <v>94.067478371955303</v>
      </c>
      <c r="AJ5369">
        <v>90.605452067387603</v>
      </c>
      <c r="AK5369">
        <v>15.813153058303101</v>
      </c>
      <c r="AL5369">
        <v>95.640561551591006</v>
      </c>
      <c r="AM5369">
        <v>92.214145722068807</v>
      </c>
      <c r="AN5369">
        <v>1.00000000820775</v>
      </c>
    </row>
    <row r="5370" spans="1:40" x14ac:dyDescent="0.25">
      <c r="A5370" t="str">
        <f>"20190303154625440"</f>
        <v>20190303154625440</v>
      </c>
      <c r="B5370" t="str">
        <f>"1551599185436958"</f>
        <v>1551599185436958</v>
      </c>
      <c r="C5370" t="s">
        <v>40</v>
      </c>
      <c r="D5370">
        <v>5.3806710000000004</v>
      </c>
      <c r="E5370">
        <v>0.51133359999999894</v>
      </c>
      <c r="F5370" t="s">
        <v>65</v>
      </c>
      <c r="G5370">
        <v>-381.84429999999998</v>
      </c>
      <c r="H5370" s="1">
        <v>-4.2985509999999999E-6</v>
      </c>
      <c r="I5370">
        <v>17.119700000000002</v>
      </c>
      <c r="J5370">
        <v>-396.72309999999999</v>
      </c>
      <c r="K5370">
        <v>1.1210560000000001</v>
      </c>
      <c r="L5370">
        <v>17.94098</v>
      </c>
      <c r="M5370">
        <v>0.99874750000000001</v>
      </c>
      <c r="N5370">
        <v>-9.4550950000000002E-3</v>
      </c>
      <c r="O5370">
        <v>-4.9132910000000002E-2</v>
      </c>
      <c r="P5370">
        <v>0.99447490000000005</v>
      </c>
      <c r="Q5370">
        <v>-0.1027154</v>
      </c>
      <c r="R5370">
        <v>-2.1659910000000001E-2</v>
      </c>
      <c r="S5370">
        <v>2.992035</v>
      </c>
      <c r="T5370">
        <v>-0.20736009999999999</v>
      </c>
      <c r="U5370">
        <v>-0.16220090000000001</v>
      </c>
      <c r="V5370">
        <v>-2.7125420000000001E-2</v>
      </c>
      <c r="W5370">
        <v>-9.3339699999999998E-2</v>
      </c>
      <c r="X5370">
        <v>0.99526479999999995</v>
      </c>
      <c r="Y5370">
        <v>5.0766580000000004E-3</v>
      </c>
      <c r="Z5370">
        <v>2.7327190000000002E-3</v>
      </c>
      <c r="AA5370">
        <v>0.99998339999999997</v>
      </c>
      <c r="AB5370">
        <v>18</v>
      </c>
      <c r="AC5370">
        <v>14.8788</v>
      </c>
      <c r="AD5370">
        <v>-1.1210602985510001</v>
      </c>
      <c r="AE5370">
        <v>-0.82127999999999701</v>
      </c>
      <c r="AF5370">
        <v>8.8714486973055506E-2</v>
      </c>
      <c r="AG5370">
        <v>-1.1210602985510001</v>
      </c>
      <c r="AH5370">
        <v>14.8173191578974</v>
      </c>
      <c r="AI5370">
        <v>94.326608442485593</v>
      </c>
      <c r="AJ5370">
        <v>89.656961904078003</v>
      </c>
      <c r="AK5370">
        <v>14.8599324857207</v>
      </c>
      <c r="AL5370">
        <v>95.355766699816897</v>
      </c>
      <c r="AM5370">
        <v>91.561179937838403</v>
      </c>
      <c r="AN5370">
        <v>1.00000005506265</v>
      </c>
    </row>
    <row r="5371" spans="1:40" x14ac:dyDescent="0.25">
      <c r="A5371" t="str">
        <f>"20190303154625463"</f>
        <v>20190303154625463</v>
      </c>
      <c r="B5371" t="str">
        <f>"1551599185456477"</f>
        <v>1551599185456477</v>
      </c>
      <c r="C5371" t="s">
        <v>40</v>
      </c>
      <c r="D5371">
        <v>5.3110609999999996</v>
      </c>
      <c r="E5371">
        <v>0.51222780000000001</v>
      </c>
      <c r="F5371" t="s">
        <v>66</v>
      </c>
      <c r="G5371">
        <v>-378.64949999999999</v>
      </c>
      <c r="H5371" s="1">
        <v>-1.2021450000000001E-6</v>
      </c>
      <c r="I5371">
        <v>16.988</v>
      </c>
      <c r="J5371">
        <v>-396.54379999999998</v>
      </c>
      <c r="K5371">
        <v>1.1210209999999901</v>
      </c>
      <c r="L5371">
        <v>17.93384</v>
      </c>
      <c r="M5371">
        <v>0.99881220000000004</v>
      </c>
      <c r="N5371">
        <v>-9.4410459999999998E-3</v>
      </c>
      <c r="O5371">
        <v>-4.7802490000000003E-2</v>
      </c>
      <c r="P5371">
        <v>0.99449030000000005</v>
      </c>
      <c r="Q5371">
        <v>-0.102757399999999</v>
      </c>
      <c r="R5371">
        <v>-2.0740910000000001E-2</v>
      </c>
      <c r="S5371">
        <v>2.9940190000000002</v>
      </c>
      <c r="T5371">
        <v>-0.18571109999999999</v>
      </c>
      <c r="U5371">
        <v>-0.15786739999999999</v>
      </c>
      <c r="V5371">
        <v>-2.672474E-2</v>
      </c>
      <c r="W5371">
        <v>-9.3393729999999994E-2</v>
      </c>
      <c r="X5371">
        <v>0.99527049999999995</v>
      </c>
      <c r="Y5371">
        <v>4.9108449999999996E-3</v>
      </c>
      <c r="Z5371">
        <v>2.3322059999999999E-3</v>
      </c>
      <c r="AA5371">
        <v>0.99998520000000002</v>
      </c>
      <c r="AB5371">
        <v>18</v>
      </c>
      <c r="AC5371">
        <v>17.894299999999902</v>
      </c>
      <c r="AD5371">
        <v>-1.12102220214499</v>
      </c>
      <c r="AE5371">
        <v>-0.94584000000000001</v>
      </c>
      <c r="AF5371">
        <v>8.8980173064232407E-2</v>
      </c>
      <c r="AG5371">
        <v>-1.12102220214499</v>
      </c>
      <c r="AH5371">
        <v>17.849200684457202</v>
      </c>
      <c r="AI5371">
        <v>93.593706804765205</v>
      </c>
      <c r="AJ5371">
        <v>89.714376781599697</v>
      </c>
      <c r="AK5371">
        <v>17.884590387339799</v>
      </c>
      <c r="AL5371">
        <v>95.358876352620996</v>
      </c>
      <c r="AM5371">
        <v>91.538121505400298</v>
      </c>
      <c r="AN5371">
        <v>0.99999998435081505</v>
      </c>
    </row>
    <row r="5372" spans="1:40" x14ac:dyDescent="0.25">
      <c r="A5372" t="str">
        <f>"20190303154625486"</f>
        <v>20190303154625486</v>
      </c>
      <c r="B5372" t="str">
        <f>"1551599185476974"</f>
        <v>1551599185476974</v>
      </c>
      <c r="C5372" t="s">
        <v>40</v>
      </c>
      <c r="D5372">
        <v>5.4061269999999997</v>
      </c>
      <c r="E5372">
        <v>0.51278729999999995</v>
      </c>
      <c r="F5372" t="s">
        <v>66</v>
      </c>
      <c r="G5372">
        <v>-377.26600000000002</v>
      </c>
      <c r="H5372" s="1">
        <v>-1.7599239999999999E-6</v>
      </c>
      <c r="I5372">
        <v>16.888500000000001</v>
      </c>
      <c r="J5372">
        <v>-396.3578</v>
      </c>
      <c r="K5372">
        <v>1.1209979999999999</v>
      </c>
      <c r="L5372">
        <v>17.926570000000002</v>
      </c>
      <c r="M5372">
        <v>0.99887510000000002</v>
      </c>
      <c r="N5372">
        <v>-9.4288289999999997E-3</v>
      </c>
      <c r="O5372">
        <v>-4.6473019999999997E-2</v>
      </c>
      <c r="P5372">
        <v>0.99435519999999999</v>
      </c>
      <c r="Q5372">
        <v>-0.10430830000000001</v>
      </c>
      <c r="R5372">
        <v>-1.942961E-2</v>
      </c>
      <c r="S5372">
        <v>2.995209</v>
      </c>
      <c r="T5372">
        <v>-0.1741742</v>
      </c>
      <c r="U5372">
        <v>-0.16241459999999999</v>
      </c>
      <c r="V5372">
        <v>-2.670463E-2</v>
      </c>
      <c r="W5372">
        <v>-9.4957650000000005E-2</v>
      </c>
      <c r="X5372">
        <v>0.99512310000000004</v>
      </c>
      <c r="Y5372">
        <v>7.7195809999999997E-3</v>
      </c>
      <c r="Z5372">
        <v>1.9982390000000002E-3</v>
      </c>
      <c r="AA5372">
        <v>0.99996819999999997</v>
      </c>
      <c r="AB5372">
        <v>18</v>
      </c>
      <c r="AC5372">
        <v>19.091799999999999</v>
      </c>
      <c r="AD5372">
        <v>-1.120999759924</v>
      </c>
      <c r="AE5372">
        <v>-1.03807</v>
      </c>
      <c r="AF5372">
        <v>0.14914264710237299</v>
      </c>
      <c r="AG5372">
        <v>-1.120999759924</v>
      </c>
      <c r="AH5372">
        <v>19.0539180184701</v>
      </c>
      <c r="AI5372">
        <v>93.366900315076293</v>
      </c>
      <c r="AJ5372">
        <v>89.551532146550201</v>
      </c>
      <c r="AK5372">
        <v>19.087448122929199</v>
      </c>
      <c r="AL5372">
        <v>95.448882107326597</v>
      </c>
      <c r="AM5372">
        <v>91.537192195086206</v>
      </c>
      <c r="AN5372">
        <v>1.0000000383552801</v>
      </c>
    </row>
    <row r="5373" spans="1:40" x14ac:dyDescent="0.25">
      <c r="A5373" t="str">
        <f>"20190303154625509"</f>
        <v>20190303154625509</v>
      </c>
      <c r="B5373" t="str">
        <f>"1551599185506254"</f>
        <v>1551599185506254</v>
      </c>
      <c r="C5373" t="s">
        <v>40</v>
      </c>
      <c r="D5373">
        <v>5.4405080000000003</v>
      </c>
      <c r="E5373">
        <v>0.5130673</v>
      </c>
      <c r="F5373" t="s">
        <v>66</v>
      </c>
      <c r="G5373">
        <v>-376.94529999999997</v>
      </c>
      <c r="H5373" s="1">
        <v>-1.911299E-6</v>
      </c>
      <c r="I5373">
        <v>16.87154</v>
      </c>
      <c r="J5373">
        <v>-396.17809999999997</v>
      </c>
      <c r="K5373">
        <v>1.120987</v>
      </c>
      <c r="L5373">
        <v>17.919740000000001</v>
      </c>
      <c r="M5373">
        <v>0.99893370000000004</v>
      </c>
      <c r="N5373">
        <v>-9.419017E-3</v>
      </c>
      <c r="O5373">
        <v>-4.5200360000000002E-2</v>
      </c>
      <c r="P5373">
        <v>0.99408169999999996</v>
      </c>
      <c r="Q5373">
        <v>-0.1070642</v>
      </c>
      <c r="R5373">
        <v>-1.8414799999999999E-2</v>
      </c>
      <c r="S5373">
        <v>2.9956969999999998</v>
      </c>
      <c r="T5373">
        <v>-0.17299129999999999</v>
      </c>
      <c r="U5373">
        <v>-0.16281129999999999</v>
      </c>
      <c r="V5373">
        <v>-2.6434630000000001E-2</v>
      </c>
      <c r="W5373">
        <v>-9.7726160000000006E-2</v>
      </c>
      <c r="X5373">
        <v>0.99486220000000003</v>
      </c>
      <c r="Y5373">
        <v>9.111971E-3</v>
      </c>
      <c r="Z5373">
        <v>1.8735609999999999E-3</v>
      </c>
      <c r="AA5373">
        <v>0.99995670000000003</v>
      </c>
      <c r="AB5373">
        <v>18</v>
      </c>
      <c r="AC5373">
        <v>19.232800000000001</v>
      </c>
      <c r="AD5373">
        <v>-1.1209889112989999</v>
      </c>
      <c r="AE5373">
        <v>-1.0482</v>
      </c>
      <c r="AF5373">
        <v>0.17716061408852499</v>
      </c>
      <c r="AG5373">
        <v>-1.1209889112989999</v>
      </c>
      <c r="AH5373">
        <v>19.1955050048952</v>
      </c>
      <c r="AI5373">
        <v>93.342050262484804</v>
      </c>
      <c r="AJ5373">
        <v>89.471216449433101</v>
      </c>
      <c r="AK5373">
        <v>19.229025311112299</v>
      </c>
      <c r="AL5373">
        <v>95.608247658699298</v>
      </c>
      <c r="AM5373">
        <v>91.522056457362098</v>
      </c>
      <c r="AN5373">
        <v>0.99999999450021104</v>
      </c>
    </row>
    <row r="5374" spans="1:40" x14ac:dyDescent="0.25">
      <c r="A5374" t="str">
        <f>"20190303154625532"</f>
        <v>20190303154625532</v>
      </c>
      <c r="B5374" t="str">
        <f>"1551599185526750"</f>
        <v>1551599185526750</v>
      </c>
      <c r="C5374" t="s">
        <v>40</v>
      </c>
      <c r="D5374">
        <v>5.4267669999999999</v>
      </c>
      <c r="E5374">
        <v>0.51320600000000005</v>
      </c>
      <c r="F5374" t="s">
        <v>66</v>
      </c>
      <c r="G5374">
        <v>-377.29939999999999</v>
      </c>
      <c r="H5374" s="1">
        <v>-1.744216E-6</v>
      </c>
      <c r="I5374">
        <v>16.899290000000001</v>
      </c>
      <c r="J5374">
        <v>-395.99700000000001</v>
      </c>
      <c r="K5374">
        <v>1.1209929999999999</v>
      </c>
      <c r="L5374">
        <v>17.913060000000002</v>
      </c>
      <c r="M5374">
        <v>0.99899110000000002</v>
      </c>
      <c r="N5374">
        <v>-9.4106959999999996E-3</v>
      </c>
      <c r="O5374">
        <v>-4.3913590000000002E-2</v>
      </c>
      <c r="P5374">
        <v>0.99363950000000001</v>
      </c>
      <c r="Q5374">
        <v>-0.1111163</v>
      </c>
      <c r="R5374">
        <v>-1.8260889999999998E-2</v>
      </c>
      <c r="S5374">
        <v>2.9956969999999998</v>
      </c>
      <c r="T5374">
        <v>-0.17788029999999999</v>
      </c>
      <c r="U5374">
        <v>-0.1619263</v>
      </c>
      <c r="V5374">
        <v>-2.5278140000000001E-2</v>
      </c>
      <c r="W5374">
        <v>-0.10179059999999999</v>
      </c>
      <c r="X5374">
        <v>0.9944847</v>
      </c>
      <c r="Y5374">
        <v>1.010454E-2</v>
      </c>
      <c r="Z5374">
        <v>1.841912E-3</v>
      </c>
      <c r="AA5374">
        <v>0.99994720000000004</v>
      </c>
      <c r="AB5374">
        <v>18</v>
      </c>
      <c r="AC5374">
        <v>18.697599999999898</v>
      </c>
      <c r="AD5374">
        <v>-1.120994744216</v>
      </c>
      <c r="AE5374">
        <v>-1.0137700000000001</v>
      </c>
      <c r="AF5374">
        <v>0.190992432138514</v>
      </c>
      <c r="AG5374">
        <v>-1.120994744216</v>
      </c>
      <c r="AH5374">
        <v>18.657215376408601</v>
      </c>
      <c r="AI5374">
        <v>93.4382297267626</v>
      </c>
      <c r="AJ5374">
        <v>89.413488142465297</v>
      </c>
      <c r="AK5374">
        <v>18.691837601675001</v>
      </c>
      <c r="AL5374">
        <v>95.842290152338506</v>
      </c>
      <c r="AM5374">
        <v>91.456049488493306</v>
      </c>
      <c r="AN5374">
        <v>1.0000000645721501</v>
      </c>
    </row>
    <row r="5375" spans="1:40" x14ac:dyDescent="0.25">
      <c r="A5375" t="str">
        <f>"20190303154625554"</f>
        <v>20190303154625554</v>
      </c>
      <c r="B5375" t="str">
        <f>"1551599185546269"</f>
        <v>1551599185546269</v>
      </c>
      <c r="C5375" t="s">
        <v>40</v>
      </c>
      <c r="D5375">
        <v>5.4641950000000001</v>
      </c>
      <c r="E5375">
        <v>0.51335540000000002</v>
      </c>
      <c r="F5375" t="s">
        <v>66</v>
      </c>
      <c r="G5375">
        <v>-378.214</v>
      </c>
      <c r="H5375" s="1">
        <v>-1.3803609999999999E-6</v>
      </c>
      <c r="I5375">
        <v>16.946760000000001</v>
      </c>
      <c r="J5375">
        <v>-395.81740000000002</v>
      </c>
      <c r="K5375">
        <v>1.1210089999999999</v>
      </c>
      <c r="L5375">
        <v>17.906649999999999</v>
      </c>
      <c r="M5375">
        <v>0.99904700000000002</v>
      </c>
      <c r="N5375">
        <v>-9.4038119999999992E-3</v>
      </c>
      <c r="O5375">
        <v>-4.2625530000000002E-2</v>
      </c>
      <c r="P5375">
        <v>0.99315359999999997</v>
      </c>
      <c r="Q5375">
        <v>-0.1153204</v>
      </c>
      <c r="R5375">
        <v>-1.864646E-2</v>
      </c>
      <c r="S5375">
        <v>2.995117</v>
      </c>
      <c r="T5375">
        <v>-0.1888049</v>
      </c>
      <c r="U5375">
        <v>-0.16275020000000001</v>
      </c>
      <c r="V5375">
        <v>-2.3577589999999999E-2</v>
      </c>
      <c r="W5375">
        <v>-0.10600560000000001</v>
      </c>
      <c r="X5375">
        <v>0.99408600000000003</v>
      </c>
      <c r="Y5375">
        <v>1.167896E-2</v>
      </c>
      <c r="Z5375">
        <v>1.858073E-3</v>
      </c>
      <c r="AA5375">
        <v>0.99993010000000004</v>
      </c>
      <c r="AB5375">
        <v>18</v>
      </c>
      <c r="AC5375">
        <v>17.603400000000001</v>
      </c>
      <c r="AD5375">
        <v>-1.1210103803610001</v>
      </c>
      <c r="AE5375">
        <v>-0.95988999999999802</v>
      </c>
      <c r="AF5375">
        <v>0.20779000737852599</v>
      </c>
      <c r="AG5375">
        <v>-1.1210103803610001</v>
      </c>
      <c r="AH5375">
        <v>17.557327148927701</v>
      </c>
      <c r="AI5375">
        <v>93.653039937854302</v>
      </c>
      <c r="AJ5375">
        <v>89.3219392369746</v>
      </c>
      <c r="AK5375">
        <v>17.5943052597855</v>
      </c>
      <c r="AL5375">
        <v>96.085106361689299</v>
      </c>
      <c r="AM5375">
        <v>91.358678397971005</v>
      </c>
      <c r="AN5375">
        <v>1.0000000326887799</v>
      </c>
    </row>
    <row r="5376" spans="1:40" x14ac:dyDescent="0.25">
      <c r="A5376" t="str">
        <f>"20190303154625574"</f>
        <v>20190303154625574</v>
      </c>
      <c r="B5376" t="str">
        <f>"1551599185566766"</f>
        <v>1551599185566766</v>
      </c>
      <c r="C5376" t="s">
        <v>40</v>
      </c>
      <c r="D5376">
        <v>5.4842170000000001</v>
      </c>
      <c r="E5376">
        <v>0.51340200000000003</v>
      </c>
      <c r="F5376" t="s">
        <v>66</v>
      </c>
      <c r="G5376">
        <v>-379.04230000000001</v>
      </c>
      <c r="H5376" s="1">
        <v>-1.0532459999999999E-6</v>
      </c>
      <c r="I5376">
        <v>16.980689999999999</v>
      </c>
      <c r="J5376">
        <v>-395.64879999999999</v>
      </c>
      <c r="K5376">
        <v>1.121032</v>
      </c>
      <c r="L5376">
        <v>17.900879999999901</v>
      </c>
      <c r="M5376">
        <v>0.99909859999999995</v>
      </c>
      <c r="N5376">
        <v>-9.3983250000000008E-3</v>
      </c>
      <c r="O5376">
        <v>-4.1398619999999997E-2</v>
      </c>
      <c r="P5376">
        <v>0.99283279999999996</v>
      </c>
      <c r="Q5376">
        <v>-0.11801590000000001</v>
      </c>
      <c r="R5376">
        <v>-1.8857579999999999E-2</v>
      </c>
      <c r="S5376">
        <v>2.994354</v>
      </c>
      <c r="T5376">
        <v>-0.20010049999999999</v>
      </c>
      <c r="U5376">
        <v>-0.16528319999999999</v>
      </c>
      <c r="V5376">
        <v>-2.2120109999999998E-2</v>
      </c>
      <c r="W5376">
        <v>-0.10870929999999999</v>
      </c>
      <c r="X5376">
        <v>0.99382749999999997</v>
      </c>
      <c r="Y5376">
        <v>1.376259E-2</v>
      </c>
      <c r="Z5376">
        <v>1.847539E-3</v>
      </c>
      <c r="AA5376">
        <v>0.9999036</v>
      </c>
      <c r="AB5376">
        <v>18</v>
      </c>
      <c r="AC5376">
        <v>16.606499999999901</v>
      </c>
      <c r="AD5376">
        <v>-1.121033053246</v>
      </c>
      <c r="AE5376">
        <v>-0.92018999999999795</v>
      </c>
      <c r="AF5376">
        <v>0.23083587432619801</v>
      </c>
      <c r="AG5376">
        <v>-1.121033053246</v>
      </c>
      <c r="AH5376">
        <v>16.555147276035999</v>
      </c>
      <c r="AI5376">
        <v>93.873498900292205</v>
      </c>
      <c r="AJ5376">
        <v>89.201150910255606</v>
      </c>
      <c r="AK5376">
        <v>16.594664854663101</v>
      </c>
      <c r="AL5376">
        <v>96.240917374842397</v>
      </c>
      <c r="AM5376">
        <v>91.275049966976994</v>
      </c>
      <c r="AN5376">
        <v>1.00000005546457</v>
      </c>
    </row>
    <row r="5377" spans="1:40" x14ac:dyDescent="0.25">
      <c r="A5377" t="str">
        <f>"20190303154625597"</f>
        <v>20190303154625597</v>
      </c>
      <c r="B5377" t="str">
        <f>"1551599185587275"</f>
        <v>1551599185587275</v>
      </c>
      <c r="C5377" t="s">
        <v>40</v>
      </c>
      <c r="D5377">
        <v>5.45974</v>
      </c>
      <c r="E5377">
        <v>0.51357159999999902</v>
      </c>
      <c r="F5377" t="s">
        <v>66</v>
      </c>
      <c r="G5377">
        <v>-379.44940000000003</v>
      </c>
      <c r="H5377" s="1">
        <v>-8.916834E-7</v>
      </c>
      <c r="I5377">
        <v>17.000429999999898</v>
      </c>
      <c r="J5377">
        <v>-395.47089999999997</v>
      </c>
      <c r="K5377">
        <v>1.1210639999999901</v>
      </c>
      <c r="L5377">
        <v>17.895050000000001</v>
      </c>
      <c r="M5377">
        <v>0.99915240000000005</v>
      </c>
      <c r="N5377">
        <v>-9.3934420000000001E-3</v>
      </c>
      <c r="O5377">
        <v>-4.0081600000000002E-2</v>
      </c>
      <c r="P5377">
        <v>0.99281039999999998</v>
      </c>
      <c r="Q5377">
        <v>-0.1182816</v>
      </c>
      <c r="R5377">
        <v>-1.8368949999999998E-2</v>
      </c>
      <c r="S5377">
        <v>2.9938349999999998</v>
      </c>
      <c r="T5377">
        <v>-0.20717930000000001</v>
      </c>
      <c r="U5377">
        <v>-0.16641239999999999</v>
      </c>
      <c r="V5377">
        <v>-2.1288720000000001E-2</v>
      </c>
      <c r="W5377">
        <v>-0.10898090000000001</v>
      </c>
      <c r="X5377">
        <v>0.99381580000000003</v>
      </c>
      <c r="Y5377">
        <v>1.546256E-2</v>
      </c>
      <c r="Z5377">
        <v>1.7841930000000001E-3</v>
      </c>
      <c r="AA5377">
        <v>0.99987890000000001</v>
      </c>
      <c r="AB5377">
        <v>18</v>
      </c>
      <c r="AC5377">
        <v>16.0214999999999</v>
      </c>
      <c r="AD5377">
        <v>-1.1210648916833901</v>
      </c>
      <c r="AE5377">
        <v>-0.89462000000000297</v>
      </c>
      <c r="AF5377">
        <v>0.25048284346170302</v>
      </c>
      <c r="AG5377">
        <v>-1.1210648916833901</v>
      </c>
      <c r="AH5377">
        <v>15.966551800674599</v>
      </c>
      <c r="AI5377">
        <v>94.015843973511593</v>
      </c>
      <c r="AJ5377">
        <v>89.101219051332706</v>
      </c>
      <c r="AK5377">
        <v>16.0078201061187</v>
      </c>
      <c r="AL5377">
        <v>96.256572608042006</v>
      </c>
      <c r="AM5377">
        <v>91.227156269926596</v>
      </c>
      <c r="AN5377">
        <v>0.99999994524684199</v>
      </c>
    </row>
    <row r="5378" spans="1:40" x14ac:dyDescent="0.25">
      <c r="A5378" t="str">
        <f>"20190303154625619"</f>
        <v>20190303154625619</v>
      </c>
      <c r="B5378" t="str">
        <f>"1551599185606782"</f>
        <v>1551599185606782</v>
      </c>
      <c r="C5378" t="s">
        <v>40</v>
      </c>
      <c r="D5378">
        <v>5.4702159999999997</v>
      </c>
      <c r="E5378">
        <v>0.51372580000000001</v>
      </c>
      <c r="F5378" t="s">
        <v>66</v>
      </c>
      <c r="G5378">
        <v>-379.22120000000001</v>
      </c>
      <c r="H5378" s="1">
        <v>-9.8144719999999994E-7</v>
      </c>
      <c r="I5378">
        <v>16.992370000000001</v>
      </c>
      <c r="J5378">
        <v>-395.28949999999998</v>
      </c>
      <c r="K5378">
        <v>1.1211070000000001</v>
      </c>
      <c r="L5378">
        <v>17.889309999999998</v>
      </c>
      <c r="M5378">
        <v>0.99920620000000004</v>
      </c>
      <c r="N5378">
        <v>-9.3890850000000001E-3</v>
      </c>
      <c r="O5378">
        <v>-3.8713619999999997E-2</v>
      </c>
      <c r="P5378">
        <v>0.99304340000000002</v>
      </c>
      <c r="Q5378">
        <v>-0.11645469999999999</v>
      </c>
      <c r="R5378">
        <v>-1.7407289999999999E-2</v>
      </c>
      <c r="S5378">
        <v>2.994049</v>
      </c>
      <c r="T5378">
        <v>-0.2065594</v>
      </c>
      <c r="U5378">
        <v>-0.16632079999999999</v>
      </c>
      <c r="V5378">
        <v>-2.0893399999999999E-2</v>
      </c>
      <c r="W5378">
        <v>-0.1071575</v>
      </c>
      <c r="X5378">
        <v>0.99402250000000003</v>
      </c>
      <c r="Y5378">
        <v>1.679081E-2</v>
      </c>
      <c r="Z5378">
        <v>1.6443499999999999E-3</v>
      </c>
      <c r="AA5378">
        <v>0.99985769999999996</v>
      </c>
      <c r="AB5378">
        <v>18</v>
      </c>
      <c r="AC5378">
        <v>16.068299999999901</v>
      </c>
      <c r="AD5378">
        <v>-1.12110798144719</v>
      </c>
      <c r="AE5378">
        <v>-0.89693999999999996</v>
      </c>
      <c r="AF5378">
        <v>0.27285390328895598</v>
      </c>
      <c r="AG5378">
        <v>-1.12110798144719</v>
      </c>
      <c r="AH5378">
        <v>16.013267367776901</v>
      </c>
      <c r="AI5378">
        <v>94.004231876372501</v>
      </c>
      <c r="AJ5378">
        <v>89.023817937287703</v>
      </c>
      <c r="AK5378">
        <v>16.054783217175999</v>
      </c>
      <c r="AL5378">
        <v>96.151483676980803</v>
      </c>
      <c r="AM5378">
        <v>91.204125050382601</v>
      </c>
      <c r="AN5378">
        <v>0.99999999723803001</v>
      </c>
    </row>
    <row r="5379" spans="1:40" x14ac:dyDescent="0.25">
      <c r="A5379" t="str">
        <f>"20190303154625643"</f>
        <v>20190303154625643</v>
      </c>
      <c r="B5379" t="str">
        <f>"1551599185636569"</f>
        <v>1551599185636569</v>
      </c>
      <c r="C5379" t="s">
        <v>40</v>
      </c>
      <c r="D5379">
        <v>5.4744279999999996</v>
      </c>
      <c r="E5379">
        <v>0.51398909999999998</v>
      </c>
      <c r="F5379" t="s">
        <v>66</v>
      </c>
      <c r="G5379">
        <v>-378.447</v>
      </c>
      <c r="H5379" s="1">
        <v>-1.2862390000000001E-6</v>
      </c>
      <c r="I5379">
        <v>16.964220000000001</v>
      </c>
      <c r="J5379">
        <v>-395.10289999999998</v>
      </c>
      <c r="K5379">
        <v>1.1211359999999999</v>
      </c>
      <c r="L5379">
        <v>17.883759999999999</v>
      </c>
      <c r="M5379">
        <v>0.9992607</v>
      </c>
      <c r="N5379">
        <v>-9.3851869999999997E-3</v>
      </c>
      <c r="O5379">
        <v>-3.7284560000000001E-2</v>
      </c>
      <c r="P5379">
        <v>0.9934077</v>
      </c>
      <c r="Q5379">
        <v>-0.1135549</v>
      </c>
      <c r="R5379">
        <v>-1.5692250000000001E-2</v>
      </c>
      <c r="S5379">
        <v>2.9947509999999999</v>
      </c>
      <c r="T5379">
        <v>-0.19934370000000001</v>
      </c>
      <c r="U5379">
        <v>-0.16448969999999999</v>
      </c>
      <c r="V5379">
        <v>-2.119857E-2</v>
      </c>
      <c r="W5379">
        <v>-0.104260199999999</v>
      </c>
      <c r="X5379">
        <v>0.99432410000000004</v>
      </c>
      <c r="Y5379">
        <v>1.759148E-2</v>
      </c>
      <c r="Z5379">
        <v>1.459555E-3</v>
      </c>
      <c r="AA5379">
        <v>0.99984419999999996</v>
      </c>
      <c r="AB5379">
        <v>18</v>
      </c>
      <c r="AC5379">
        <v>16.655899999999999</v>
      </c>
      <c r="AD5379">
        <v>-1.1211372862389899</v>
      </c>
      <c r="AE5379">
        <v>-0.91954000000000102</v>
      </c>
      <c r="AF5379">
        <v>0.29652593759411799</v>
      </c>
      <c r="AG5379">
        <v>-1.1211372862389899</v>
      </c>
      <c r="AH5379">
        <v>16.6036039653724</v>
      </c>
      <c r="AI5379">
        <v>93.8623468900701</v>
      </c>
      <c r="AJ5379">
        <v>88.976855937853401</v>
      </c>
      <c r="AK5379">
        <v>16.6440542262152</v>
      </c>
      <c r="AL5379">
        <v>95.984545248156707</v>
      </c>
      <c r="AM5379">
        <v>91.221336808422905</v>
      </c>
      <c r="AN5379">
        <v>0.99999999225744696</v>
      </c>
    </row>
    <row r="5380" spans="1:40" x14ac:dyDescent="0.25">
      <c r="A5380" t="str">
        <f>"20190303154625665"</f>
        <v>20190303154625665</v>
      </c>
      <c r="B5380" t="str">
        <f>"1551599185657066"</f>
        <v>1551599185657066</v>
      </c>
      <c r="C5380" t="s">
        <v>40</v>
      </c>
      <c r="D5380">
        <v>5.4684559999999998</v>
      </c>
      <c r="E5380">
        <v>0.5141133</v>
      </c>
      <c r="F5380" t="s">
        <v>66</v>
      </c>
      <c r="G5380">
        <v>-377.22329999999999</v>
      </c>
      <c r="H5380" s="1">
        <v>-1.7708949999999999E-6</v>
      </c>
      <c r="I5380">
        <v>16.92229</v>
      </c>
      <c r="J5380">
        <v>-394.91520000000003</v>
      </c>
      <c r="K5380">
        <v>1.121148</v>
      </c>
      <c r="L5380">
        <v>17.878450000000001</v>
      </c>
      <c r="M5380">
        <v>0.99931349999999997</v>
      </c>
      <c r="N5380">
        <v>-9.381637E-3</v>
      </c>
      <c r="O5380">
        <v>-3.5838420000000003E-2</v>
      </c>
      <c r="P5380">
        <v>0.99362240000000002</v>
      </c>
      <c r="Q5380">
        <v>-0.11192920000000001</v>
      </c>
      <c r="R5380">
        <v>-1.365705E-2</v>
      </c>
      <c r="S5380">
        <v>2.9958800000000001</v>
      </c>
      <c r="T5380">
        <v>-0.18785679999999999</v>
      </c>
      <c r="U5380">
        <v>-0.1611023</v>
      </c>
      <c r="V5380">
        <v>-2.1801569999999999E-2</v>
      </c>
      <c r="W5380">
        <v>-0.1026384</v>
      </c>
      <c r="X5380">
        <v>0.99447980000000002</v>
      </c>
      <c r="Y5380">
        <v>1.7884669999999998E-2</v>
      </c>
      <c r="Z5380">
        <v>1.2628590000000001E-3</v>
      </c>
      <c r="AA5380">
        <v>0.99983920000000004</v>
      </c>
      <c r="AB5380">
        <v>18</v>
      </c>
      <c r="AC5380">
        <v>17.6919</v>
      </c>
      <c r="AD5380">
        <v>-1.121149770895</v>
      </c>
      <c r="AE5380">
        <v>-0.95616000000000001</v>
      </c>
      <c r="AF5380">
        <v>0.32018594378334603</v>
      </c>
      <c r="AG5380">
        <v>-1.121149770895</v>
      </c>
      <c r="AH5380">
        <v>17.6441524053573</v>
      </c>
      <c r="AI5380">
        <v>93.635219790657302</v>
      </c>
      <c r="AJ5380">
        <v>88.960375683688895</v>
      </c>
      <c r="AK5380">
        <v>17.682635831539599</v>
      </c>
      <c r="AL5380">
        <v>95.891121587395702</v>
      </c>
      <c r="AM5380">
        <v>91.255870550229005</v>
      </c>
      <c r="AN5380">
        <v>1.0000000111085301</v>
      </c>
    </row>
    <row r="5381" spans="1:40" x14ac:dyDescent="0.25">
      <c r="A5381" t="str">
        <f>"20190303154625688"</f>
        <v>20190303154625688</v>
      </c>
      <c r="B5381" t="str">
        <f>"1551599185676589"</f>
        <v>1551599185676589</v>
      </c>
      <c r="C5381" t="s">
        <v>40</v>
      </c>
      <c r="D5381">
        <v>5.5151300000000001</v>
      </c>
      <c r="E5381">
        <v>0.51416759999999995</v>
      </c>
      <c r="F5381" t="s">
        <v>66</v>
      </c>
      <c r="G5381">
        <v>-376.39019999999999</v>
      </c>
      <c r="H5381" s="1">
        <v>-2.166095E-6</v>
      </c>
      <c r="I5381">
        <v>16.91459</v>
      </c>
      <c r="J5381">
        <v>-394.73899999999998</v>
      </c>
      <c r="K5381">
        <v>1.121148</v>
      </c>
      <c r="L5381">
        <v>17.873719999999999</v>
      </c>
      <c r="M5381">
        <v>0.99936130000000001</v>
      </c>
      <c r="N5381">
        <v>-9.3788459999999997E-3</v>
      </c>
      <c r="O5381">
        <v>-3.4483430000000002E-2</v>
      </c>
      <c r="P5381">
        <v>0.99361189999999999</v>
      </c>
      <c r="Q5381">
        <v>-0.1122483</v>
      </c>
      <c r="R5381">
        <v>-1.166358E-2</v>
      </c>
      <c r="S5381">
        <v>2.9966430000000002</v>
      </c>
      <c r="T5381">
        <v>-0.1813593</v>
      </c>
      <c r="U5381">
        <v>-0.15591429999999901</v>
      </c>
      <c r="V5381">
        <v>-2.2444309999999999E-2</v>
      </c>
      <c r="W5381">
        <v>-0.1029621</v>
      </c>
      <c r="X5381">
        <v>0.99443199999999998</v>
      </c>
      <c r="Y5381">
        <v>1.7498110000000001E-2</v>
      </c>
      <c r="Z5381">
        <v>1.148942E-3</v>
      </c>
      <c r="AA5381">
        <v>0.99984620000000002</v>
      </c>
      <c r="AB5381">
        <v>18</v>
      </c>
      <c r="AC5381">
        <v>18.348800000000001</v>
      </c>
      <c r="AD5381">
        <v>-1.1211501660950001</v>
      </c>
      <c r="AE5381">
        <v>-0.95913000000000104</v>
      </c>
      <c r="AF5381">
        <v>0.32459360312256302</v>
      </c>
      <c r="AG5381">
        <v>-1.1211501660950001</v>
      </c>
      <c r="AH5381">
        <v>18.3028152563943</v>
      </c>
      <c r="AI5381">
        <v>93.504758468163203</v>
      </c>
      <c r="AJ5381">
        <v>88.983987225794195</v>
      </c>
      <c r="AK5381">
        <v>18.3399941388165</v>
      </c>
      <c r="AL5381">
        <v>95.909767246998697</v>
      </c>
      <c r="AM5381">
        <v>91.292945063477902</v>
      </c>
      <c r="AN5381">
        <v>0.99999997185589196</v>
      </c>
    </row>
    <row r="5382" spans="1:40" x14ac:dyDescent="0.25">
      <c r="A5382" t="str">
        <f>"20190303154625708"</f>
        <v>20190303154625708</v>
      </c>
      <c r="B5382" t="str">
        <f>"1551599185697085"</f>
        <v>1551599185697085</v>
      </c>
      <c r="C5382" t="s">
        <v>40</v>
      </c>
      <c r="D5382">
        <v>5.5472650000000003</v>
      </c>
      <c r="E5382">
        <v>0.51370969999999905</v>
      </c>
      <c r="F5382" t="s">
        <v>66</v>
      </c>
      <c r="G5382">
        <v>-376.27640000000002</v>
      </c>
      <c r="H5382" s="1">
        <v>-2.2140030000000002E-6</v>
      </c>
      <c r="I5382">
        <v>16.947620000000001</v>
      </c>
      <c r="J5382">
        <v>-394.56369999999998</v>
      </c>
      <c r="K5382">
        <v>1.12114</v>
      </c>
      <c r="L5382">
        <v>17.869229999999899</v>
      </c>
      <c r="M5382">
        <v>0.99940649999999998</v>
      </c>
      <c r="N5382">
        <v>-9.3761030000000002E-3</v>
      </c>
      <c r="O5382">
        <v>-3.3149720000000001E-2</v>
      </c>
      <c r="P5382">
        <v>0.99347830000000004</v>
      </c>
      <c r="Q5382">
        <v>-0.1135878</v>
      </c>
      <c r="R5382">
        <v>-9.9467570000000005E-3</v>
      </c>
      <c r="S5382">
        <v>2.9969480000000002</v>
      </c>
      <c r="T5382">
        <v>-0.18199109999999999</v>
      </c>
      <c r="U5382">
        <v>-0.15032960000000001</v>
      </c>
      <c r="V5382">
        <v>-2.2827070000000001E-2</v>
      </c>
      <c r="W5382">
        <v>-0.1043065</v>
      </c>
      <c r="X5382">
        <v>0.99428320000000003</v>
      </c>
      <c r="Y5382">
        <v>1.6968339999999998E-2</v>
      </c>
      <c r="Z5382">
        <v>1.10464E-3</v>
      </c>
      <c r="AA5382">
        <v>0.99985539999999995</v>
      </c>
      <c r="AB5382">
        <v>18</v>
      </c>
      <c r="AC5382">
        <v>18.287299999999899</v>
      </c>
      <c r="AD5382">
        <v>-1.1211422140030001</v>
      </c>
      <c r="AE5382">
        <v>-0.92160999999999704</v>
      </c>
      <c r="AF5382">
        <v>0.3136819559549</v>
      </c>
      <c r="AG5382">
        <v>-1.1211422140030001</v>
      </c>
      <c r="AH5382">
        <v>18.239420414104899</v>
      </c>
      <c r="AI5382">
        <v>93.516917439778396</v>
      </c>
      <c r="AJ5382">
        <v>89.014723047309005</v>
      </c>
      <c r="AK5382">
        <v>18.276537234278798</v>
      </c>
      <c r="AL5382">
        <v>95.987212530943196</v>
      </c>
      <c r="AM5382">
        <v>91.315183694139193</v>
      </c>
      <c r="AN5382">
        <v>1.00000000143463</v>
      </c>
    </row>
    <row r="5383" spans="1:40" x14ac:dyDescent="0.25">
      <c r="A5383" t="str">
        <f>"20190303154625733"</f>
        <v>20190303154625733</v>
      </c>
      <c r="B5383" t="str">
        <f>"1551599185726362"</f>
        <v>1551599185726362</v>
      </c>
      <c r="C5383" t="s">
        <v>40</v>
      </c>
      <c r="D5383">
        <v>5.6372109999999997</v>
      </c>
      <c r="E5383">
        <v>0.51258530000000002</v>
      </c>
      <c r="F5383" t="s">
        <v>66</v>
      </c>
      <c r="G5383">
        <v>-376.35789999999997</v>
      </c>
      <c r="H5383" s="1">
        <v>-2.164499E-6</v>
      </c>
      <c r="I5383">
        <v>17.009650000000001</v>
      </c>
      <c r="J5383">
        <v>-394.3689</v>
      </c>
      <c r="K5383">
        <v>1.1211199999999999</v>
      </c>
      <c r="L5383">
        <v>17.8645</v>
      </c>
      <c r="M5383">
        <v>0.99945340000000005</v>
      </c>
      <c r="N5383">
        <v>-9.3731530000000004E-3</v>
      </c>
      <c r="O5383">
        <v>-3.1702380000000002E-2</v>
      </c>
      <c r="P5383">
        <v>0.9934965</v>
      </c>
      <c r="Q5383">
        <v>-0.11360919999999999</v>
      </c>
      <c r="R5383">
        <v>-7.5959649999999997E-3</v>
      </c>
      <c r="S5383">
        <v>2.9971619999999999</v>
      </c>
      <c r="T5383">
        <v>-0.18457029999999999</v>
      </c>
      <c r="U5383">
        <v>-0.14151</v>
      </c>
      <c r="V5383">
        <v>-2.3741089999999999E-2</v>
      </c>
      <c r="W5383">
        <v>-0.10433199999999999</v>
      </c>
      <c r="X5383">
        <v>0.99425909999999995</v>
      </c>
      <c r="Y5383">
        <v>1.547924E-2</v>
      </c>
      <c r="Z5383">
        <v>1.10333E-3</v>
      </c>
      <c r="AA5383">
        <v>0.99987959999999998</v>
      </c>
      <c r="AB5383">
        <v>18</v>
      </c>
      <c r="AC5383">
        <v>18.010999999999999</v>
      </c>
      <c r="AD5383">
        <v>-1.1211221644989999</v>
      </c>
      <c r="AE5383">
        <v>-0.854849999999999</v>
      </c>
      <c r="AF5383">
        <v>0.28231222625459701</v>
      </c>
      <c r="AG5383">
        <v>-1.1211221644989999</v>
      </c>
      <c r="AH5383">
        <v>17.959617538714799</v>
      </c>
      <c r="AI5383">
        <v>93.571591680108199</v>
      </c>
      <c r="AJ5383">
        <v>89.099425867526705</v>
      </c>
      <c r="AK5383">
        <v>17.99679074829</v>
      </c>
      <c r="AL5383">
        <v>95.988681706982604</v>
      </c>
      <c r="AM5383">
        <v>91.367858559672101</v>
      </c>
      <c r="AN5383">
        <v>0.99999998175559801</v>
      </c>
    </row>
    <row r="5384" spans="1:40" x14ac:dyDescent="0.25">
      <c r="A5384" t="str">
        <f>"20190303154625755"</f>
        <v>20190303154625755</v>
      </c>
      <c r="B5384" t="str">
        <f>"1551599185746858"</f>
        <v>1551599185746858</v>
      </c>
      <c r="C5384" t="s">
        <v>40</v>
      </c>
      <c r="D5384">
        <v>5.6783999999999999</v>
      </c>
      <c r="E5384">
        <v>0.51186409999999904</v>
      </c>
      <c r="F5384" t="s">
        <v>66</v>
      </c>
      <c r="G5384">
        <v>-376.20650000000001</v>
      </c>
      <c r="H5384" s="1">
        <v>-2.2188939999999999E-6</v>
      </c>
      <c r="I5384">
        <v>17.106560000000002</v>
      </c>
      <c r="J5384">
        <v>-394.17869999999999</v>
      </c>
      <c r="K5384">
        <v>1.121094</v>
      </c>
      <c r="L5384">
        <v>17.860139999999902</v>
      </c>
      <c r="M5384">
        <v>0.99949569999999999</v>
      </c>
      <c r="N5384">
        <v>-9.3705049999999995E-3</v>
      </c>
      <c r="O5384">
        <v>-3.0340160000000001E-2</v>
      </c>
      <c r="P5384">
        <v>0.99358329999999995</v>
      </c>
      <c r="Q5384">
        <v>-0.112959199999999</v>
      </c>
      <c r="R5384">
        <v>-5.7051669999999997E-3</v>
      </c>
      <c r="S5384">
        <v>2.9975589999999999</v>
      </c>
      <c r="T5384">
        <v>-0.1850318</v>
      </c>
      <c r="U5384">
        <v>-0.1250916</v>
      </c>
      <c r="V5384">
        <v>-2.4286530000000001E-2</v>
      </c>
      <c r="W5384">
        <v>-0.1036837</v>
      </c>
      <c r="X5384">
        <v>0.99431380000000003</v>
      </c>
      <c r="Y5384">
        <v>1.1377089999999999E-2</v>
      </c>
      <c r="Z5384">
        <v>1.1816439999999999E-3</v>
      </c>
      <c r="AA5384">
        <v>0.99993460000000001</v>
      </c>
      <c r="AB5384">
        <v>18</v>
      </c>
      <c r="AC5384">
        <v>17.972199999999901</v>
      </c>
      <c r="AD5384">
        <v>-1.1210962188939999</v>
      </c>
      <c r="AE5384">
        <v>-0.75357999999999503</v>
      </c>
      <c r="AF5384">
        <v>0.207125126204149</v>
      </c>
      <c r="AG5384">
        <v>-1.1210962188939999</v>
      </c>
      <c r="AH5384">
        <v>17.9171932000833</v>
      </c>
      <c r="AI5384">
        <v>93.580146420582906</v>
      </c>
      <c r="AJ5384">
        <v>89.337682703268896</v>
      </c>
      <c r="AK5384">
        <v>17.953427798585899</v>
      </c>
      <c r="AL5384">
        <v>95.951333955119495</v>
      </c>
      <c r="AM5384">
        <v>91.399195143897401</v>
      </c>
      <c r="AN5384">
        <v>1.0000000390277799</v>
      </c>
    </row>
    <row r="5385" spans="1:40" x14ac:dyDescent="0.25">
      <c r="A5385" t="str">
        <f>"20190303154625777"</f>
        <v>20190303154625777</v>
      </c>
      <c r="B5385" t="str">
        <f>"1551599185766378"</f>
        <v>1551599185766378</v>
      </c>
      <c r="C5385" t="s">
        <v>40</v>
      </c>
      <c r="D5385">
        <v>5.6573929999999999</v>
      </c>
      <c r="E5385">
        <v>0.511250599999999</v>
      </c>
      <c r="F5385" t="s">
        <v>66</v>
      </c>
      <c r="G5385">
        <v>-375.82049999999998</v>
      </c>
      <c r="H5385" s="1">
        <v>-2.390736E-6</v>
      </c>
      <c r="I5385">
        <v>17.166439999999898</v>
      </c>
      <c r="J5385">
        <v>-394.00779999999997</v>
      </c>
      <c r="K5385">
        <v>1.1210610000000001</v>
      </c>
      <c r="L5385">
        <v>17.85632</v>
      </c>
      <c r="M5385">
        <v>0.99953040000000004</v>
      </c>
      <c r="N5385">
        <v>-9.3679100000000001E-3</v>
      </c>
      <c r="O5385">
        <v>-2.9179770000000001E-2</v>
      </c>
      <c r="P5385">
        <v>0.99365340000000002</v>
      </c>
      <c r="Q5385">
        <v>-0.112401</v>
      </c>
      <c r="R5385">
        <v>-4.4053979999999996E-3</v>
      </c>
      <c r="S5385">
        <v>2.997925</v>
      </c>
      <c r="T5385">
        <v>-0.18307670000000001</v>
      </c>
      <c r="U5385">
        <v>-0.1132813</v>
      </c>
      <c r="V5385">
        <v>-2.4443940000000001E-2</v>
      </c>
      <c r="W5385">
        <v>-0.1031256</v>
      </c>
      <c r="X5385">
        <v>0.99436800000000003</v>
      </c>
      <c r="Y5385">
        <v>8.6037119999999995E-3</v>
      </c>
      <c r="Z5385">
        <v>1.20338E-3</v>
      </c>
      <c r="AA5385">
        <v>0.99996229999999997</v>
      </c>
      <c r="AB5385">
        <v>18</v>
      </c>
      <c r="AC5385">
        <v>18.1873</v>
      </c>
      <c r="AD5385">
        <v>-1.1210633907359999</v>
      </c>
      <c r="AE5385">
        <v>-0.68988000000000205</v>
      </c>
      <c r="AF5385">
        <v>0.15826130707610001</v>
      </c>
      <c r="AG5385">
        <v>-1.1210633907359999</v>
      </c>
      <c r="AH5385">
        <v>18.130897263089299</v>
      </c>
      <c r="AI5385">
        <v>93.538054025700106</v>
      </c>
      <c r="AJ5385">
        <v>89.499888254932898</v>
      </c>
      <c r="AK5385">
        <v>18.166212189998902</v>
      </c>
      <c r="AL5385">
        <v>95.919184732196101</v>
      </c>
      <c r="AM5385">
        <v>91.408183476797205</v>
      </c>
      <c r="AN5385">
        <v>1.0000000575010399</v>
      </c>
    </row>
    <row r="5386" spans="1:40" x14ac:dyDescent="0.25">
      <c r="A5386" t="str">
        <f>"20190303154625799"</f>
        <v>20190303154625799</v>
      </c>
      <c r="B5386" t="str">
        <f>"1551599185786873"</f>
        <v>1551599185786873</v>
      </c>
      <c r="C5386" t="s">
        <v>40</v>
      </c>
      <c r="D5386">
        <v>5.681171</v>
      </c>
      <c r="E5386">
        <v>0.51060660000000002</v>
      </c>
      <c r="F5386" t="s">
        <v>66</v>
      </c>
      <c r="G5386">
        <v>-375.4776</v>
      </c>
      <c r="H5386" s="1">
        <v>-2.5448109999999999E-6</v>
      </c>
      <c r="I5386">
        <v>17.211639999999999</v>
      </c>
      <c r="J5386">
        <v>-393.82010000000002</v>
      </c>
      <c r="K5386">
        <v>1.121003</v>
      </c>
      <c r="L5386">
        <v>17.852329999999998</v>
      </c>
      <c r="M5386">
        <v>0.99956420000000001</v>
      </c>
      <c r="N5386">
        <v>-9.3651629999999993E-3</v>
      </c>
      <c r="O5386">
        <v>-2.7992510000000002E-2</v>
      </c>
      <c r="P5386">
        <v>0.99369019999999997</v>
      </c>
      <c r="Q5386">
        <v>-0.112093</v>
      </c>
      <c r="R5386">
        <v>-3.890789E-3</v>
      </c>
      <c r="S5386">
        <v>2.9981689999999999</v>
      </c>
      <c r="T5386">
        <v>-0.1813862</v>
      </c>
      <c r="U5386">
        <v>-0.1043091</v>
      </c>
      <c r="V5386">
        <v>-2.3793689999999999E-2</v>
      </c>
      <c r="W5386">
        <v>-0.1028158</v>
      </c>
      <c r="X5386">
        <v>0.99441579999999996</v>
      </c>
      <c r="Y5386">
        <v>6.8016029999999998E-3</v>
      </c>
      <c r="Z5386">
        <v>1.1917659999999999E-3</v>
      </c>
      <c r="AA5386">
        <v>0.99997619999999998</v>
      </c>
      <c r="AB5386">
        <v>18</v>
      </c>
      <c r="AC5386">
        <v>18.342500000000001</v>
      </c>
      <c r="AD5386">
        <v>-1.1210055448109999</v>
      </c>
      <c r="AE5386">
        <v>-0.64068999999999898</v>
      </c>
      <c r="AF5386">
        <v>0.12649186836429799</v>
      </c>
      <c r="AG5386">
        <v>-1.1210055448109999</v>
      </c>
      <c r="AH5386">
        <v>18.2850342394756</v>
      </c>
      <c r="AI5386">
        <v>93.508173175435005</v>
      </c>
      <c r="AJ5386">
        <v>89.603646649067997</v>
      </c>
      <c r="AK5386">
        <v>18.319801602720901</v>
      </c>
      <c r="AL5386">
        <v>95.901339949003301</v>
      </c>
      <c r="AM5386">
        <v>91.370672046093901</v>
      </c>
      <c r="AN5386">
        <v>1.0000000058515399</v>
      </c>
    </row>
    <row r="5387" spans="1:40" x14ac:dyDescent="0.25">
      <c r="A5387" t="str">
        <f>"20190303154625823"</f>
        <v>20190303154625823</v>
      </c>
      <c r="B5387" t="str">
        <f>"1551599185817129"</f>
        <v>1551599185817129</v>
      </c>
      <c r="C5387" t="s">
        <v>40</v>
      </c>
      <c r="D5387">
        <v>5.5735590000000004</v>
      </c>
      <c r="E5387">
        <v>0.51014570000000004</v>
      </c>
      <c r="F5387" t="s">
        <v>66</v>
      </c>
      <c r="G5387">
        <v>-375.27499999999998</v>
      </c>
      <c r="H5387" s="1">
        <v>-2.634095E-6</v>
      </c>
      <c r="I5387">
        <v>17.248089999999898</v>
      </c>
      <c r="J5387">
        <v>-393.62079999999997</v>
      </c>
      <c r="K5387">
        <v>1.1209309999999999</v>
      </c>
      <c r="L5387">
        <v>17.848140000000001</v>
      </c>
      <c r="M5387">
        <v>0.99959549999999997</v>
      </c>
      <c r="N5387">
        <v>-9.3622080000000003E-3</v>
      </c>
      <c r="O5387">
        <v>-2.685827E-2</v>
      </c>
      <c r="P5387">
        <v>0.99367369999999999</v>
      </c>
      <c r="Q5387">
        <v>-0.1122732</v>
      </c>
      <c r="R5387">
        <v>-2.764463E-3</v>
      </c>
      <c r="S5387">
        <v>2.9981990000000001</v>
      </c>
      <c r="T5387">
        <v>-0.18123349999999999</v>
      </c>
      <c r="U5387">
        <v>-9.7686770000000006E-2</v>
      </c>
      <c r="V5387">
        <v>-2.3810319999999999E-2</v>
      </c>
      <c r="W5387">
        <v>-0.1029948</v>
      </c>
      <c r="X5387">
        <v>0.99439690000000003</v>
      </c>
      <c r="Y5387">
        <v>5.7304679999999998E-3</v>
      </c>
      <c r="Z5387">
        <v>1.17018E-3</v>
      </c>
      <c r="AA5387">
        <v>0.99998290000000001</v>
      </c>
      <c r="AB5387">
        <v>18</v>
      </c>
      <c r="AC5387">
        <v>18.345800000000001</v>
      </c>
      <c r="AD5387">
        <v>-1.12093363409499</v>
      </c>
      <c r="AE5387">
        <v>-0.60005000000000297</v>
      </c>
      <c r="AF5387">
        <v>0.106677684706581</v>
      </c>
      <c r="AG5387">
        <v>-1.12093363409499</v>
      </c>
      <c r="AH5387">
        <v>18.287100941859901</v>
      </c>
      <c r="AI5387">
        <v>93.507577421823896</v>
      </c>
      <c r="AJ5387">
        <v>89.665769233134597</v>
      </c>
      <c r="AK5387">
        <v>18.321733902615001</v>
      </c>
      <c r="AL5387">
        <v>95.9116505031527</v>
      </c>
      <c r="AM5387">
        <v>91.371655736844403</v>
      </c>
      <c r="AN5387">
        <v>1.00000002744757</v>
      </c>
    </row>
    <row r="5388" spans="1:40" x14ac:dyDescent="0.25">
      <c r="A5388" t="str">
        <f>"20190303154625844"</f>
        <v>20190303154625844</v>
      </c>
      <c r="B5388" t="str">
        <f>"1551599185836650"</f>
        <v>1551599185836650</v>
      </c>
      <c r="C5388" t="s">
        <v>40</v>
      </c>
      <c r="D5388">
        <v>5.5878959999999998</v>
      </c>
      <c r="E5388">
        <v>0.50974750000000002</v>
      </c>
      <c r="F5388" t="s">
        <v>66</v>
      </c>
      <c r="G5388">
        <v>-374.69880000000001</v>
      </c>
      <c r="H5388" s="1">
        <v>-2.901197E-6</v>
      </c>
      <c r="I5388">
        <v>17.27777</v>
      </c>
      <c r="J5388">
        <v>-393.44479999999999</v>
      </c>
      <c r="K5388">
        <v>1.1208560000000001</v>
      </c>
      <c r="L5388">
        <v>17.844570000000001</v>
      </c>
      <c r="M5388">
        <v>0.99961880000000003</v>
      </c>
      <c r="N5388">
        <v>-9.3596889999999992E-3</v>
      </c>
      <c r="O5388">
        <v>-2.5978310000000001E-2</v>
      </c>
      <c r="P5388">
        <v>0.99366350000000003</v>
      </c>
      <c r="Q5388">
        <v>-0.1123815</v>
      </c>
      <c r="R5388">
        <v>-1.7943099999999999E-3</v>
      </c>
      <c r="S5388">
        <v>2.9987789999999999</v>
      </c>
      <c r="T5388">
        <v>-0.17764739999999901</v>
      </c>
      <c r="U5388">
        <v>-9.0393070000000006E-2</v>
      </c>
      <c r="V5388">
        <v>-2.3923860000000002E-2</v>
      </c>
      <c r="W5388">
        <v>-0.1031016</v>
      </c>
      <c r="X5388">
        <v>0.99438309999999996</v>
      </c>
      <c r="Y5388">
        <v>4.1755550000000001E-3</v>
      </c>
      <c r="Z5388">
        <v>1.150903E-3</v>
      </c>
      <c r="AA5388">
        <v>0.99999059999999995</v>
      </c>
      <c r="AB5388">
        <v>19</v>
      </c>
      <c r="AC5388">
        <v>18.745999999999899</v>
      </c>
      <c r="AD5388">
        <v>-1.1208589011969901</v>
      </c>
      <c r="AE5388">
        <v>-0.56679999999999997</v>
      </c>
      <c r="AF5388">
        <v>7.9314717624622805E-2</v>
      </c>
      <c r="AG5388">
        <v>-1.1208589011969901</v>
      </c>
      <c r="AH5388">
        <v>18.687649297827399</v>
      </c>
      <c r="AI5388">
        <v>93.432377358232799</v>
      </c>
      <c r="AJ5388">
        <v>89.756824883954806</v>
      </c>
      <c r="AK5388">
        <v>18.721400903228702</v>
      </c>
      <c r="AL5388">
        <v>95.917802485479498</v>
      </c>
      <c r="AM5388">
        <v>91.378213107831399</v>
      </c>
      <c r="AN5388">
        <v>1.0000000202827299</v>
      </c>
    </row>
    <row r="5389" spans="1:40" x14ac:dyDescent="0.25">
      <c r="A5389" t="str">
        <f>"20190303154625864"</f>
        <v>20190303154625864</v>
      </c>
      <c r="B5389" t="str">
        <f>"1551599185857146"</f>
        <v>1551599185857146</v>
      </c>
      <c r="C5389" t="s">
        <v>40</v>
      </c>
      <c r="D5389">
        <v>5.5752090000000001</v>
      </c>
      <c r="E5389">
        <v>0.50951080000000004</v>
      </c>
      <c r="F5389" t="s">
        <v>66</v>
      </c>
      <c r="G5389">
        <v>-374.39550000000003</v>
      </c>
      <c r="H5389" s="1">
        <v>-3.0385689999999998E-6</v>
      </c>
      <c r="I5389">
        <v>17.311699999999998</v>
      </c>
      <c r="J5389">
        <v>-393.27140000000003</v>
      </c>
      <c r="K5389">
        <v>1.1207879999999999</v>
      </c>
      <c r="L5389">
        <v>17.84103</v>
      </c>
      <c r="M5389">
        <v>0.99963849999999999</v>
      </c>
      <c r="N5389">
        <v>-9.3572640000000006E-3</v>
      </c>
      <c r="O5389">
        <v>-2.5206280000000001E-2</v>
      </c>
      <c r="P5389">
        <v>0.99371620000000005</v>
      </c>
      <c r="Q5389">
        <v>-0.11192829999999999</v>
      </c>
      <c r="R5389">
        <v>-4.2648239999999997E-4</v>
      </c>
      <c r="S5389">
        <v>2.9990230000000002</v>
      </c>
      <c r="T5389">
        <v>-0.1764618</v>
      </c>
      <c r="U5389">
        <v>-8.3892820000000007E-2</v>
      </c>
      <c r="V5389">
        <v>-2.4542359999999999E-2</v>
      </c>
      <c r="W5389">
        <v>-0.102647</v>
      </c>
      <c r="X5389">
        <v>0.99441500000000005</v>
      </c>
      <c r="Y5389">
        <v>2.7812449999999999E-3</v>
      </c>
      <c r="Z5389">
        <v>1.150858E-3</v>
      </c>
      <c r="AA5389">
        <v>0.99999550000000004</v>
      </c>
      <c r="AB5389">
        <v>19</v>
      </c>
      <c r="AC5389">
        <v>18.875900000000001</v>
      </c>
      <c r="AD5389">
        <v>-1.1207910385690001</v>
      </c>
      <c r="AE5389">
        <v>-0.52933000000000097</v>
      </c>
      <c r="AF5389">
        <v>5.3162478240754298E-2</v>
      </c>
      <c r="AG5389">
        <v>-1.1207910385690001</v>
      </c>
      <c r="AH5389">
        <v>18.816956010333701</v>
      </c>
      <c r="AI5389">
        <v>93.408657649206503</v>
      </c>
      <c r="AJ5389">
        <v>89.838125915495198</v>
      </c>
      <c r="AK5389">
        <v>18.850380163170801</v>
      </c>
      <c r="AL5389">
        <v>95.8916172310891</v>
      </c>
      <c r="AM5389">
        <v>91.413784230666707</v>
      </c>
      <c r="AN5389">
        <v>0.99999996313418404</v>
      </c>
    </row>
    <row r="5390" spans="1:40" x14ac:dyDescent="0.25">
      <c r="A5390" t="str">
        <f>"20190303154625888"</f>
        <v>20190303154625888</v>
      </c>
      <c r="B5390" t="str">
        <f>"1551599185876666"</f>
        <v>1551599185876666</v>
      </c>
      <c r="C5390" t="s">
        <v>40</v>
      </c>
      <c r="D5390">
        <v>5.5713229999999996</v>
      </c>
      <c r="E5390">
        <v>0.50928830000000003</v>
      </c>
      <c r="F5390" t="s">
        <v>66</v>
      </c>
      <c r="G5390">
        <v>-373.8116</v>
      </c>
      <c r="H5390" s="1">
        <v>-3.3101229999999999E-6</v>
      </c>
      <c r="I5390">
        <v>17.336749999999999</v>
      </c>
      <c r="J5390">
        <v>-393.07589999999999</v>
      </c>
      <c r="K5390">
        <v>1.1207240000000001</v>
      </c>
      <c r="L5390">
        <v>17.837070000000001</v>
      </c>
      <c r="M5390">
        <v>0.99965729999999997</v>
      </c>
      <c r="N5390">
        <v>-9.3549810000000001E-3</v>
      </c>
      <c r="O5390">
        <v>-2.4454170000000001E-2</v>
      </c>
      <c r="P5390">
        <v>0.99379419999999996</v>
      </c>
      <c r="Q5390">
        <v>-0.11122990000000001</v>
      </c>
      <c r="R5390">
        <v>1.106828E-3</v>
      </c>
      <c r="S5390">
        <v>2.9994809999999998</v>
      </c>
      <c r="T5390">
        <v>-0.1727562</v>
      </c>
      <c r="U5390">
        <v>-7.7728270000000002E-2</v>
      </c>
      <c r="V5390">
        <v>-2.5346500000000001E-2</v>
      </c>
      <c r="W5390">
        <v>-0.101947</v>
      </c>
      <c r="X5390">
        <v>0.99446690000000004</v>
      </c>
      <c r="Y5390">
        <v>1.4759910000000001E-3</v>
      </c>
      <c r="Z5390">
        <v>1.1288419999999999E-3</v>
      </c>
      <c r="AA5390">
        <v>0.99999830000000001</v>
      </c>
      <c r="AB5390">
        <v>19</v>
      </c>
      <c r="AC5390">
        <v>19.264299999999899</v>
      </c>
      <c r="AD5390">
        <v>-1.120727310123</v>
      </c>
      <c r="AE5390">
        <v>-0.50032000000000199</v>
      </c>
      <c r="AF5390">
        <v>2.8959394476744602E-2</v>
      </c>
      <c r="AG5390">
        <v>-1.120727310123</v>
      </c>
      <c r="AH5390">
        <v>19.205815884197399</v>
      </c>
      <c r="AI5390">
        <v>93.339620480042399</v>
      </c>
      <c r="AJ5390">
        <v>89.913606907757</v>
      </c>
      <c r="AK5390">
        <v>19.238509093167099</v>
      </c>
      <c r="AL5390">
        <v>95.851298301521595</v>
      </c>
      <c r="AM5390">
        <v>91.4600115209564</v>
      </c>
      <c r="AN5390">
        <v>1.00000002553342</v>
      </c>
    </row>
    <row r="5391" spans="1:40" x14ac:dyDescent="0.25">
      <c r="A5391" t="str">
        <f>"20190303154625909"</f>
        <v>20190303154625909</v>
      </c>
      <c r="B5391" t="str">
        <f>"1551599185906922"</f>
        <v>1551599185906922</v>
      </c>
      <c r="C5391" t="s">
        <v>40</v>
      </c>
      <c r="D5391">
        <v>5.5628739999999999</v>
      </c>
      <c r="E5391">
        <v>0.50898559999999904</v>
      </c>
      <c r="F5391" t="s">
        <v>66</v>
      </c>
      <c r="G5391">
        <v>-373.14569999999998</v>
      </c>
      <c r="H5391" s="1">
        <v>-3.6199989999999998E-6</v>
      </c>
      <c r="I5391">
        <v>17.364470000000001</v>
      </c>
      <c r="J5391">
        <v>-392.89409999999998</v>
      </c>
      <c r="K5391">
        <v>1.120668</v>
      </c>
      <c r="L5391">
        <v>17.833400000000001</v>
      </c>
      <c r="M5391">
        <v>0.99967159999999999</v>
      </c>
      <c r="N5391">
        <v>-9.3528980000000001E-3</v>
      </c>
      <c r="O5391">
        <v>-2.3863809999999999E-2</v>
      </c>
      <c r="P5391">
        <v>0.99380670000000004</v>
      </c>
      <c r="Q5391">
        <v>-0.11108510000000001</v>
      </c>
      <c r="R5391">
        <v>2.985971E-3</v>
      </c>
      <c r="S5391">
        <v>2.9999690000000001</v>
      </c>
      <c r="T5391">
        <v>-0.16869629999999999</v>
      </c>
      <c r="U5391">
        <v>-7.1136469999999993E-2</v>
      </c>
      <c r="V5391">
        <v>-2.6651870000000001E-2</v>
      </c>
      <c r="W5391">
        <v>-0.1018018</v>
      </c>
      <c r="X5391">
        <v>0.99444759999999999</v>
      </c>
      <c r="Y5391">
        <v>-1.327414E-4</v>
      </c>
      <c r="Z5391">
        <v>1.121784E-3</v>
      </c>
      <c r="AA5391">
        <v>0.99999930000000004</v>
      </c>
      <c r="AB5391">
        <v>19</v>
      </c>
      <c r="AC5391">
        <v>19.7484</v>
      </c>
      <c r="AD5391">
        <v>-1.1206716199989999</v>
      </c>
      <c r="AE5391">
        <v>-0.46893000000000001</v>
      </c>
      <c r="AF5391">
        <v>-2.4881628123231601E-3</v>
      </c>
      <c r="AG5391">
        <v>-1.1206716199989999</v>
      </c>
      <c r="AH5391">
        <v>19.690593093264599</v>
      </c>
      <c r="AI5391">
        <v>93.257421349916697</v>
      </c>
      <c r="AJ5391">
        <v>90.007240067704004</v>
      </c>
      <c r="AK5391">
        <v>19.722458453127601</v>
      </c>
      <c r="AL5391">
        <v>95.842935718264897</v>
      </c>
      <c r="AM5391">
        <v>91.535198247207305</v>
      </c>
      <c r="AN5391">
        <v>0.99999997890174797</v>
      </c>
    </row>
    <row r="5392" spans="1:40" x14ac:dyDescent="0.25">
      <c r="A5392" t="str">
        <f>"20190303154625934"</f>
        <v>20190303154625934</v>
      </c>
      <c r="B5392" t="str">
        <f>"1551599185926442"</f>
        <v>1551599185926442</v>
      </c>
      <c r="C5392" t="s">
        <v>40</v>
      </c>
      <c r="D5392">
        <v>5.640155</v>
      </c>
      <c r="E5392">
        <v>0.50882419999999995</v>
      </c>
      <c r="F5392" t="s">
        <v>66</v>
      </c>
      <c r="G5392">
        <v>-372.56729999999999</v>
      </c>
      <c r="H5392" s="1">
        <v>-3.8857519999999997E-6</v>
      </c>
      <c r="I5392">
        <v>17.407509999999998</v>
      </c>
      <c r="J5392">
        <v>-392.69459999999998</v>
      </c>
      <c r="K5392">
        <v>1.1206069999999999</v>
      </c>
      <c r="L5392">
        <v>17.82938</v>
      </c>
      <c r="M5392">
        <v>0.99968429999999997</v>
      </c>
      <c r="N5392">
        <v>-9.350611E-3</v>
      </c>
      <c r="O5392">
        <v>-2.3327339999999998E-2</v>
      </c>
      <c r="P5392">
        <v>0.99377660000000001</v>
      </c>
      <c r="Q5392">
        <v>-0.1112557</v>
      </c>
      <c r="R5392">
        <v>5.5349489999999999E-3</v>
      </c>
      <c r="S5392">
        <v>3.000397</v>
      </c>
      <c r="T5392">
        <v>-0.16542009999999999</v>
      </c>
      <c r="U5392">
        <v>-6.2866210000000006E-2</v>
      </c>
      <c r="V5392">
        <v>-2.8679420000000001E-2</v>
      </c>
      <c r="W5392">
        <v>-0.1019727</v>
      </c>
      <c r="X5392">
        <v>0.99437370000000003</v>
      </c>
      <c r="Y5392">
        <v>-2.3523250000000002E-3</v>
      </c>
      <c r="Z5392">
        <v>1.1426190000000001E-3</v>
      </c>
      <c r="AA5392">
        <v>0.99999660000000001</v>
      </c>
      <c r="AB5392">
        <v>19</v>
      </c>
      <c r="AC5392">
        <v>20.127299999999899</v>
      </c>
      <c r="AD5392">
        <v>-1.1206108857520001</v>
      </c>
      <c r="AE5392">
        <v>-0.42186999999999802</v>
      </c>
      <c r="AF5392">
        <v>-4.7634043672013203E-2</v>
      </c>
      <c r="AG5392">
        <v>-1.1206108857520001</v>
      </c>
      <c r="AH5392">
        <v>20.069479264127601</v>
      </c>
      <c r="AI5392">
        <v>93.1958722925079</v>
      </c>
      <c r="AJ5392">
        <v>90.135988806824102</v>
      </c>
      <c r="AK5392">
        <v>20.10079689198</v>
      </c>
      <c r="AL5392">
        <v>95.8527786790589</v>
      </c>
      <c r="AM5392">
        <v>91.652049245884001</v>
      </c>
      <c r="AN5392">
        <v>0.99999999796425798</v>
      </c>
    </row>
    <row r="5393" spans="1:40" x14ac:dyDescent="0.25">
      <c r="A5393" t="str">
        <f>"20190303154625956"</f>
        <v>20190303154625956</v>
      </c>
      <c r="B5393" t="str">
        <f>"1551599185946938"</f>
        <v>1551599185946938</v>
      </c>
      <c r="C5393" t="s">
        <v>40</v>
      </c>
      <c r="D5393">
        <v>5.5640839999999896</v>
      </c>
      <c r="E5393">
        <v>0.50867119999999999</v>
      </c>
      <c r="F5393" t="s">
        <v>66</v>
      </c>
      <c r="G5393">
        <v>-372.19850000000002</v>
      </c>
      <c r="H5393" s="1">
        <v>-4.0505070000000004E-6</v>
      </c>
      <c r="I5393">
        <v>17.461679999999902</v>
      </c>
      <c r="J5393">
        <v>-392.50619999999998</v>
      </c>
      <c r="K5393">
        <v>1.120557</v>
      </c>
      <c r="L5393">
        <v>17.825559999999999</v>
      </c>
      <c r="M5393">
        <v>0.99969379999999997</v>
      </c>
      <c r="N5393">
        <v>-9.3488210000000002E-3</v>
      </c>
      <c r="O5393">
        <v>-2.2910130000000001E-2</v>
      </c>
      <c r="P5393">
        <v>0.99366310000000002</v>
      </c>
      <c r="Q5393">
        <v>-0.11216429999999999</v>
      </c>
      <c r="R5393">
        <v>7.2801029999999996E-3</v>
      </c>
      <c r="S5393">
        <v>3.000702</v>
      </c>
      <c r="T5393">
        <v>-0.16406129999999999</v>
      </c>
      <c r="U5393">
        <v>-5.3833010000000001E-2</v>
      </c>
      <c r="V5393">
        <v>-3.0017470000000001E-2</v>
      </c>
      <c r="W5393">
        <v>-0.1028816</v>
      </c>
      <c r="X5393">
        <v>0.99424060000000003</v>
      </c>
      <c r="Y5393">
        <v>-4.9427550000000001E-3</v>
      </c>
      <c r="Z5393">
        <v>1.1954870000000001E-3</v>
      </c>
      <c r="AA5393">
        <v>0.99998710000000002</v>
      </c>
      <c r="AB5393">
        <v>19</v>
      </c>
      <c r="AC5393">
        <v>20.307699999999901</v>
      </c>
      <c r="AD5393">
        <v>-1.1205610505069901</v>
      </c>
      <c r="AE5393">
        <v>-0.36388000000000098</v>
      </c>
      <c r="AF5393">
        <v>-0.101179936544287</v>
      </c>
      <c r="AG5393">
        <v>-1.1205610505069901</v>
      </c>
      <c r="AH5393">
        <v>20.249072962065199</v>
      </c>
      <c r="AI5393">
        <v>93.167414204224997</v>
      </c>
      <c r="AJ5393">
        <v>90.286291382303205</v>
      </c>
      <c r="AK5393">
        <v>20.280306957009099</v>
      </c>
      <c r="AL5393">
        <v>95.905130018277802</v>
      </c>
      <c r="AM5393">
        <v>91.7293118616127</v>
      </c>
      <c r="AN5393">
        <v>1.00000002140606</v>
      </c>
    </row>
    <row r="5394" spans="1:40" x14ac:dyDescent="0.25">
      <c r="A5394" t="str">
        <f>"20190303154625978"</f>
        <v>20190303154625978</v>
      </c>
      <c r="B5394" t="str">
        <f>"1551599185966458"</f>
        <v>1551599185966458</v>
      </c>
      <c r="C5394" t="s">
        <v>40</v>
      </c>
      <c r="D5394">
        <v>5.639888</v>
      </c>
      <c r="E5394">
        <v>0.50849800000000001</v>
      </c>
      <c r="F5394" t="s">
        <v>66</v>
      </c>
      <c r="G5394">
        <v>-372.18009999999998</v>
      </c>
      <c r="H5394" s="1">
        <v>-4.0514519999999996E-6</v>
      </c>
      <c r="I5394">
        <v>17.505369999999999</v>
      </c>
      <c r="J5394">
        <v>-392.32639999999998</v>
      </c>
      <c r="K5394">
        <v>1.120512</v>
      </c>
      <c r="L5394">
        <v>17.821929999999998</v>
      </c>
      <c r="M5394">
        <v>0.99970159999999997</v>
      </c>
      <c r="N5394">
        <v>-9.3473329999999993E-3</v>
      </c>
      <c r="O5394">
        <v>-2.2573280000000001E-2</v>
      </c>
      <c r="P5394">
        <v>0.99351820000000002</v>
      </c>
      <c r="Q5394">
        <v>-0.1133366</v>
      </c>
      <c r="R5394">
        <v>8.7457449999999992E-3</v>
      </c>
      <c r="S5394">
        <v>3.0008240000000002</v>
      </c>
      <c r="T5394">
        <v>-0.16543260000000001</v>
      </c>
      <c r="U5394">
        <v>-4.7271729999999998E-2</v>
      </c>
      <c r="V5394">
        <v>-3.1153340000000002E-2</v>
      </c>
      <c r="W5394">
        <v>-0.10405449999999999</v>
      </c>
      <c r="X5394">
        <v>0.99408359999999996</v>
      </c>
      <c r="Y5394">
        <v>-6.7888310000000004E-3</v>
      </c>
      <c r="Z5394">
        <v>1.2511429999999999E-3</v>
      </c>
      <c r="AA5394">
        <v>0.99997619999999998</v>
      </c>
      <c r="AB5394">
        <v>19</v>
      </c>
      <c r="AC5394">
        <v>20.1463</v>
      </c>
      <c r="AD5394">
        <v>-1.1205160514520001</v>
      </c>
      <c r="AE5394">
        <v>-0.31655999999999501</v>
      </c>
      <c r="AF5394">
        <v>-0.137882131227789</v>
      </c>
      <c r="AG5394">
        <v>-1.1205160514520001</v>
      </c>
      <c r="AH5394">
        <v>20.0861915588291</v>
      </c>
      <c r="AI5394">
        <v>93.192882968898303</v>
      </c>
      <c r="AJ5394">
        <v>90.393302039457794</v>
      </c>
      <c r="AK5394">
        <v>20.117894001153498</v>
      </c>
      <c r="AL5394">
        <v>95.972694784706405</v>
      </c>
      <c r="AM5394">
        <v>91.794990782198894</v>
      </c>
      <c r="AN5394">
        <v>1.0000000366761801</v>
      </c>
    </row>
    <row r="5395" spans="1:40" x14ac:dyDescent="0.25">
      <c r="A5395" t="str">
        <f>"20190303154625999"</f>
        <v>20190303154625999</v>
      </c>
      <c r="B5395" t="str">
        <f>"1551599185996714"</f>
        <v>1551599185996714</v>
      </c>
      <c r="C5395" t="s">
        <v>40</v>
      </c>
      <c r="D5395">
        <v>5.5883649999999996</v>
      </c>
      <c r="E5395">
        <v>0.50835259999999904</v>
      </c>
      <c r="F5395" t="s">
        <v>66</v>
      </c>
      <c r="G5395">
        <v>-372.2792</v>
      </c>
      <c r="H5395" s="1">
        <v>-3.9975649999999997E-6</v>
      </c>
      <c r="I5395">
        <v>17.545059999999999</v>
      </c>
      <c r="J5395">
        <v>-392.14170000000001</v>
      </c>
      <c r="K5395">
        <v>1.120479</v>
      </c>
      <c r="L5395">
        <v>17.818149999999999</v>
      </c>
      <c r="M5395">
        <v>0.99970840000000005</v>
      </c>
      <c r="N5395">
        <v>-9.3459430000000007E-3</v>
      </c>
      <c r="O5395">
        <v>-2.2269210000000001E-2</v>
      </c>
      <c r="P5395">
        <v>0.99335370000000001</v>
      </c>
      <c r="Q5395">
        <v>-0.1146987</v>
      </c>
      <c r="R5395">
        <v>9.638275E-3</v>
      </c>
      <c r="S5395">
        <v>3.0007929999999998</v>
      </c>
      <c r="T5395">
        <v>-0.1677254</v>
      </c>
      <c r="U5395">
        <v>-4.144287E-2</v>
      </c>
      <c r="V5395">
        <v>-3.174602E-2</v>
      </c>
      <c r="W5395">
        <v>-0.10541780000000001</v>
      </c>
      <c r="X5395">
        <v>0.99392119999999995</v>
      </c>
      <c r="Y5395">
        <v>-8.4227209999999993E-3</v>
      </c>
      <c r="Z5395">
        <v>1.310138E-3</v>
      </c>
      <c r="AA5395">
        <v>0.99996359999999995</v>
      </c>
      <c r="AB5395">
        <v>19</v>
      </c>
      <c r="AC5395">
        <v>19.862500000000001</v>
      </c>
      <c r="AD5395">
        <v>-1.1204829975649999</v>
      </c>
      <c r="AE5395">
        <v>-0.273089999999999</v>
      </c>
      <c r="AF5395">
        <v>-0.16878218290731301</v>
      </c>
      <c r="AG5395">
        <v>-1.1204829975649999</v>
      </c>
      <c r="AH5395">
        <v>19.800655690698399</v>
      </c>
      <c r="AI5395">
        <v>93.238692089309893</v>
      </c>
      <c r="AJ5395">
        <v>90.488381429378407</v>
      </c>
      <c r="AK5395">
        <v>19.8330515895736</v>
      </c>
      <c r="AL5395">
        <v>96.051238106685105</v>
      </c>
      <c r="AM5395">
        <v>91.829415454847506</v>
      </c>
      <c r="AN5395">
        <v>1.00000003707605</v>
      </c>
    </row>
    <row r="5396" spans="1:40" x14ac:dyDescent="0.25">
      <c r="A5396" t="str">
        <f>"20190303154626022"</f>
        <v>20190303154626022</v>
      </c>
      <c r="B5396" t="str">
        <f>"1551599186017210"</f>
        <v>1551599186017210</v>
      </c>
      <c r="C5396" t="s">
        <v>40</v>
      </c>
      <c r="D5396">
        <v>5.7170170000000002</v>
      </c>
      <c r="E5396">
        <v>0.50811509999999904</v>
      </c>
      <c r="F5396" t="s">
        <v>66</v>
      </c>
      <c r="G5396">
        <v>-372.46679999999998</v>
      </c>
      <c r="H5396" s="1">
        <v>-3.903985E-6</v>
      </c>
      <c r="I5396">
        <v>17.572620000000001</v>
      </c>
      <c r="J5396">
        <v>-391.9554</v>
      </c>
      <c r="K5396">
        <v>1.120474</v>
      </c>
      <c r="L5396">
        <v>17.814360000000001</v>
      </c>
      <c r="M5396">
        <v>0.99971460000000001</v>
      </c>
      <c r="N5396">
        <v>-9.3446970000000008E-3</v>
      </c>
      <c r="O5396">
        <v>-2.1988690000000002E-2</v>
      </c>
      <c r="P5396">
        <v>0.99337640000000005</v>
      </c>
      <c r="Q5396">
        <v>-0.1145118</v>
      </c>
      <c r="R5396">
        <v>9.5356550000000005E-3</v>
      </c>
      <c r="S5396">
        <v>3.0006710000000001</v>
      </c>
      <c r="T5396">
        <v>-0.17088780000000001</v>
      </c>
      <c r="U5396">
        <v>-3.7445069999999997E-2</v>
      </c>
      <c r="V5396">
        <v>-3.136796E-2</v>
      </c>
      <c r="W5396">
        <v>-0.10523109999999999</v>
      </c>
      <c r="X5396">
        <v>0.99395290000000003</v>
      </c>
      <c r="Y5396">
        <v>-9.4702880000000003E-3</v>
      </c>
      <c r="Z5396">
        <v>1.3594480000000001E-3</v>
      </c>
      <c r="AA5396">
        <v>0.99995420000000002</v>
      </c>
      <c r="AB5396">
        <v>19</v>
      </c>
      <c r="AC5396">
        <v>19.488600000000002</v>
      </c>
      <c r="AD5396">
        <v>-1.1204779039849999</v>
      </c>
      <c r="AE5396">
        <v>-0.24174000000000001</v>
      </c>
      <c r="AF5396">
        <v>-0.18625035816642899</v>
      </c>
      <c r="AG5396">
        <v>-1.1204779039849999</v>
      </c>
      <c r="AH5396">
        <v>19.4250027307239</v>
      </c>
      <c r="AI5396">
        <v>93.301140037717801</v>
      </c>
      <c r="AJ5396">
        <v>90.549345222985707</v>
      </c>
      <c r="AK5396">
        <v>19.458183137638098</v>
      </c>
      <c r="AL5396">
        <v>96.040481679608604</v>
      </c>
      <c r="AM5396">
        <v>91.807586067647193</v>
      </c>
      <c r="AN5396">
        <v>0.99999995037008904</v>
      </c>
    </row>
    <row r="5397" spans="1:40" x14ac:dyDescent="0.25">
      <c r="A5397" t="str">
        <f>"20190303154626044"</f>
        <v>20190303154626044</v>
      </c>
      <c r="B5397" t="str">
        <f>"1551599186036730"</f>
        <v>1551599186036730</v>
      </c>
      <c r="C5397" t="s">
        <v>40</v>
      </c>
      <c r="D5397">
        <v>5.6166330000000002</v>
      </c>
      <c r="E5397">
        <v>0.50805469999999997</v>
      </c>
      <c r="F5397" t="s">
        <v>66</v>
      </c>
      <c r="G5397">
        <v>-372.29939999999999</v>
      </c>
      <c r="H5397" s="1">
        <v>-3.9820569999999901E-6</v>
      </c>
      <c r="I5397">
        <v>17.578669999999999</v>
      </c>
      <c r="J5397">
        <v>-391.76209999999998</v>
      </c>
      <c r="K5397">
        <v>1.1204799999999999</v>
      </c>
      <c r="L5397">
        <v>17.810459999999999</v>
      </c>
      <c r="M5397">
        <v>0.99972070000000002</v>
      </c>
      <c r="N5397">
        <v>-9.3436189999999992E-3</v>
      </c>
      <c r="O5397">
        <v>-2.170942E-2</v>
      </c>
      <c r="P5397">
        <v>0.99341650000000004</v>
      </c>
      <c r="Q5397">
        <v>-0.11420139999999999</v>
      </c>
      <c r="R5397">
        <v>9.034004E-3</v>
      </c>
      <c r="S5397">
        <v>3.0006710000000001</v>
      </c>
      <c r="T5397">
        <v>-0.1710516</v>
      </c>
      <c r="U5397">
        <v>-3.598022E-2</v>
      </c>
      <c r="V5397">
        <v>-3.0587400000000001E-2</v>
      </c>
      <c r="W5397">
        <v>-0.1049218</v>
      </c>
      <c r="X5397">
        <v>0.99400999999999995</v>
      </c>
      <c r="Y5397">
        <v>-9.6788519999999999E-3</v>
      </c>
      <c r="Z5397">
        <v>1.3545479999999999E-3</v>
      </c>
      <c r="AA5397">
        <v>0.99995230000000002</v>
      </c>
      <c r="AB5397">
        <v>19</v>
      </c>
      <c r="AC5397">
        <v>19.462699999999899</v>
      </c>
      <c r="AD5397">
        <v>-1.1204839820569901</v>
      </c>
      <c r="AE5397">
        <v>-0.231789999999996</v>
      </c>
      <c r="AF5397">
        <v>-0.19017675639478099</v>
      </c>
      <c r="AG5397">
        <v>-1.1204839820569901</v>
      </c>
      <c r="AH5397">
        <v>19.398858441436801</v>
      </c>
      <c r="AI5397">
        <v>93.3055902072376</v>
      </c>
      <c r="AJ5397">
        <v>90.561681321550296</v>
      </c>
      <c r="AK5397">
        <v>19.4321218703369</v>
      </c>
      <c r="AL5397">
        <v>96.022660982867706</v>
      </c>
      <c r="AM5397">
        <v>91.762533661053695</v>
      </c>
      <c r="AN5397">
        <v>1.0000000266269899</v>
      </c>
    </row>
    <row r="5398" spans="1:40" x14ac:dyDescent="0.25">
      <c r="A5398" t="str">
        <f>"20190303154626066"</f>
        <v>20190303154626066</v>
      </c>
      <c r="B5398" t="str">
        <f>"1551599186057230"</f>
        <v>1551599186057230</v>
      </c>
      <c r="C5398" t="s">
        <v>40</v>
      </c>
      <c r="D5398">
        <v>5.624835</v>
      </c>
      <c r="E5398">
        <v>0.50797329999999996</v>
      </c>
      <c r="F5398" t="s">
        <v>66</v>
      </c>
      <c r="G5398">
        <v>-371.80130000000003</v>
      </c>
      <c r="H5398" s="1">
        <v>-4.2202249999999999E-6</v>
      </c>
      <c r="I5398">
        <v>17.563410000000001</v>
      </c>
      <c r="J5398">
        <v>-391.57470000000001</v>
      </c>
      <c r="K5398">
        <v>1.120498</v>
      </c>
      <c r="L5398">
        <v>17.80667</v>
      </c>
      <c r="M5398">
        <v>0.99972669999999997</v>
      </c>
      <c r="N5398">
        <v>-9.3428060000000004E-3</v>
      </c>
      <c r="O5398">
        <v>-2.143575E-2</v>
      </c>
      <c r="P5398">
        <v>0.99345870000000003</v>
      </c>
      <c r="Q5398">
        <v>-0.11387419999999999</v>
      </c>
      <c r="R5398">
        <v>8.5400000000000007E-3</v>
      </c>
      <c r="S5398">
        <v>3.0008240000000002</v>
      </c>
      <c r="T5398">
        <v>-0.1684484</v>
      </c>
      <c r="U5398">
        <v>-3.7139890000000002E-2</v>
      </c>
      <c r="V5398">
        <v>-2.9818210000000001E-2</v>
      </c>
      <c r="W5398">
        <v>-0.10459599999999999</v>
      </c>
      <c r="X5398">
        <v>0.9940677</v>
      </c>
      <c r="Y5398">
        <v>-9.0222619999999996E-3</v>
      </c>
      <c r="Z5398">
        <v>1.2972280000000001E-3</v>
      </c>
      <c r="AA5398">
        <v>0.99995849999999997</v>
      </c>
      <c r="AB5398">
        <v>19</v>
      </c>
      <c r="AC5398">
        <v>19.773399999999899</v>
      </c>
      <c r="AD5398">
        <v>-1.1205022202249999</v>
      </c>
      <c r="AE5398">
        <v>-0.243259999999999</v>
      </c>
      <c r="AF5398">
        <v>-0.18009378098701501</v>
      </c>
      <c r="AG5398">
        <v>-1.1205022202249999</v>
      </c>
      <c r="AH5398">
        <v>19.7107858917995</v>
      </c>
      <c r="AI5398">
        <v>93.253465135665394</v>
      </c>
      <c r="AJ5398">
        <v>90.523486303428498</v>
      </c>
      <c r="AK5398">
        <v>19.743430286245601</v>
      </c>
      <c r="AL5398">
        <v>96.003890774612501</v>
      </c>
      <c r="AM5398">
        <v>91.718137965996405</v>
      </c>
      <c r="AN5398">
        <v>1.0000000205234401</v>
      </c>
    </row>
    <row r="5399" spans="1:40" x14ac:dyDescent="0.25">
      <c r="A5399" t="str">
        <f>"20190303154626088"</f>
        <v>20190303154626088</v>
      </c>
      <c r="B5399" t="str">
        <f>"1551599186076750"</f>
        <v>1551599186076750</v>
      </c>
      <c r="C5399" t="s">
        <v>40</v>
      </c>
      <c r="D5399">
        <v>5.574675</v>
      </c>
      <c r="E5399">
        <v>0.50795610000000002</v>
      </c>
      <c r="F5399" t="s">
        <v>66</v>
      </c>
      <c r="G5399">
        <v>-371.20929999999998</v>
      </c>
      <c r="H5399" s="1">
        <v>-4.5022589999999996E-6</v>
      </c>
      <c r="I5399">
        <v>17.550920000000001</v>
      </c>
      <c r="J5399">
        <v>-391.39030000000002</v>
      </c>
      <c r="K5399">
        <v>1.12052</v>
      </c>
      <c r="L5399">
        <v>17.803070000000002</v>
      </c>
      <c r="M5399">
        <v>0.99973270000000003</v>
      </c>
      <c r="N5399">
        <v>-9.3421839999999999E-3</v>
      </c>
      <c r="O5399">
        <v>-2.1154409999999998E-2</v>
      </c>
      <c r="P5399">
        <v>0.9934385</v>
      </c>
      <c r="Q5399">
        <v>-0.1140626</v>
      </c>
      <c r="R5399">
        <v>8.3509459999999997E-3</v>
      </c>
      <c r="S5399">
        <v>3.0011899999999998</v>
      </c>
      <c r="T5399">
        <v>-0.1651253</v>
      </c>
      <c r="U5399">
        <v>-3.7689210000000001E-2</v>
      </c>
      <c r="V5399">
        <v>-2.9343600000000001E-2</v>
      </c>
      <c r="W5399">
        <v>-0.10478659999999999</v>
      </c>
      <c r="X5399">
        <v>0.99406170000000005</v>
      </c>
      <c r="Y5399">
        <v>-8.5621859999999994E-3</v>
      </c>
      <c r="Z5399">
        <v>1.2407570000000001E-3</v>
      </c>
      <c r="AA5399">
        <v>0.99996260000000003</v>
      </c>
      <c r="AB5399">
        <v>19</v>
      </c>
      <c r="AC5399">
        <v>20.181000000000001</v>
      </c>
      <c r="AD5399">
        <v>-1.120524502259</v>
      </c>
      <c r="AE5399">
        <v>-0.25214999999999999</v>
      </c>
      <c r="AF5399">
        <v>-0.17430487735911901</v>
      </c>
      <c r="AG5399">
        <v>-1.120524502259</v>
      </c>
      <c r="AH5399">
        <v>20.119800474824899</v>
      </c>
      <c r="AI5399">
        <v>93.187540025235094</v>
      </c>
      <c r="AJ5399">
        <v>90.496360984944602</v>
      </c>
      <c r="AK5399">
        <v>20.151732642559502</v>
      </c>
      <c r="AL5399">
        <v>96.014871992238696</v>
      </c>
      <c r="AM5399">
        <v>91.6908169374354</v>
      </c>
      <c r="AN5399">
        <v>0.99999997090370396</v>
      </c>
    </row>
    <row r="5400" spans="1:40" x14ac:dyDescent="0.25">
      <c r="A5400" t="str">
        <f>"20190303154626110"</f>
        <v>20190303154626110</v>
      </c>
      <c r="B5400" t="str">
        <f>"1551599186107002"</f>
        <v>1551599186107002</v>
      </c>
      <c r="C5400" t="s">
        <v>40</v>
      </c>
      <c r="D5400">
        <v>5.6035919999999999</v>
      </c>
      <c r="E5400">
        <v>0.50795389999999996</v>
      </c>
      <c r="F5400" t="s">
        <v>66</v>
      </c>
      <c r="G5400">
        <v>-370.90100000000001</v>
      </c>
      <c r="H5400" s="1">
        <v>-4.6493380000000003E-6</v>
      </c>
      <c r="I5400">
        <v>17.543479999999999</v>
      </c>
      <c r="J5400">
        <v>-391.19569999999999</v>
      </c>
      <c r="K5400">
        <v>1.120539</v>
      </c>
      <c r="L5400">
        <v>17.799320000000002</v>
      </c>
      <c r="M5400">
        <v>0.99973939999999994</v>
      </c>
      <c r="N5400">
        <v>-9.3416999999999997E-3</v>
      </c>
      <c r="O5400">
        <v>-2.083778E-2</v>
      </c>
      <c r="P5400">
        <v>0.99348369999999997</v>
      </c>
      <c r="Q5400">
        <v>-0.1136732</v>
      </c>
      <c r="R5400">
        <v>8.3118830000000008E-3</v>
      </c>
      <c r="S5400">
        <v>3.0012819999999998</v>
      </c>
      <c r="T5400">
        <v>-0.16413449999999999</v>
      </c>
      <c r="U5400">
        <v>-3.80249E-2</v>
      </c>
      <c r="V5400">
        <v>-2.8985489999999999E-2</v>
      </c>
      <c r="W5400">
        <v>-0.1043987</v>
      </c>
      <c r="X5400">
        <v>0.99411300000000002</v>
      </c>
      <c r="Y5400">
        <v>-8.135593E-3</v>
      </c>
      <c r="Z5400">
        <v>1.204351E-3</v>
      </c>
      <c r="AA5400">
        <v>0.99996620000000003</v>
      </c>
      <c r="AB5400">
        <v>19</v>
      </c>
      <c r="AC5400">
        <v>20.294699999999899</v>
      </c>
      <c r="AD5400">
        <v>-1.1205436493380001</v>
      </c>
      <c r="AE5400">
        <v>-0.25584000000000201</v>
      </c>
      <c r="AF5400">
        <v>-0.16662255396995601</v>
      </c>
      <c r="AG5400">
        <v>-1.1205436493380001</v>
      </c>
      <c r="AH5400">
        <v>20.233950135511801</v>
      </c>
      <c r="AI5400">
        <v>93.169659816665103</v>
      </c>
      <c r="AJ5400">
        <v>90.471808681152595</v>
      </c>
      <c r="AK5400">
        <v>20.2656388804286</v>
      </c>
      <c r="AL5400">
        <v>95.992524499038694</v>
      </c>
      <c r="AM5400">
        <v>91.670107787020001</v>
      </c>
      <c r="AN5400">
        <v>0.99999995198061398</v>
      </c>
    </row>
    <row r="5401" spans="1:40" x14ac:dyDescent="0.25">
      <c r="A5401" t="str">
        <f>"20190303154626135"</f>
        <v>20190303154626135</v>
      </c>
      <c r="B5401" t="str">
        <f>"1551599186126522"</f>
        <v>1551599186126522</v>
      </c>
      <c r="C5401" t="s">
        <v>40</v>
      </c>
      <c r="D5401">
        <v>5.7172090000000004</v>
      </c>
      <c r="E5401">
        <v>0.50788350000000004</v>
      </c>
      <c r="F5401" t="s">
        <v>66</v>
      </c>
      <c r="G5401">
        <v>-370.24900000000002</v>
      </c>
      <c r="H5401" s="1">
        <v>-4.9595109999999998E-6</v>
      </c>
      <c r="I5401">
        <v>17.532260000000001</v>
      </c>
      <c r="J5401">
        <v>-390.98919999999998</v>
      </c>
      <c r="K5401">
        <v>1.1205529999999999</v>
      </c>
      <c r="L5401">
        <v>17.79541</v>
      </c>
      <c r="M5401">
        <v>0.99974680000000005</v>
      </c>
      <c r="N5401">
        <v>-9.3413209999999997E-3</v>
      </c>
      <c r="O5401">
        <v>-2.0478739999999999E-2</v>
      </c>
      <c r="P5401">
        <v>0.9935872</v>
      </c>
      <c r="Q5401">
        <v>-0.1127388</v>
      </c>
      <c r="R5401">
        <v>8.6475749999999994E-3</v>
      </c>
      <c r="S5401">
        <v>3.001617</v>
      </c>
      <c r="T5401">
        <v>-0.1605713</v>
      </c>
      <c r="U5401">
        <v>-3.8269039999999997E-2</v>
      </c>
      <c r="V5401">
        <v>-2.8961319999999999E-2</v>
      </c>
      <c r="W5401">
        <v>-0.1034651</v>
      </c>
      <c r="X5401">
        <v>0.99421139999999997</v>
      </c>
      <c r="Y5401">
        <v>-7.6993369999999997E-3</v>
      </c>
      <c r="Z5401">
        <v>1.145166E-3</v>
      </c>
      <c r="AA5401">
        <v>0.99996969999999996</v>
      </c>
      <c r="AB5401">
        <v>19</v>
      </c>
      <c r="AC5401">
        <v>20.740199999999898</v>
      </c>
      <c r="AD5401">
        <v>-1.120557959511</v>
      </c>
      <c r="AE5401">
        <v>-0.263149999999999</v>
      </c>
      <c r="AF5401">
        <v>-0.16118638496167401</v>
      </c>
      <c r="AG5401">
        <v>-1.120557959511</v>
      </c>
      <c r="AH5401">
        <v>20.680880401492001</v>
      </c>
      <c r="AI5401">
        <v>93.101346598111107</v>
      </c>
      <c r="AJ5401">
        <v>90.446553163979402</v>
      </c>
      <c r="AK5401">
        <v>20.711843118663701</v>
      </c>
      <c r="AL5401">
        <v>95.9387413274751</v>
      </c>
      <c r="AM5401">
        <v>91.668550865176101</v>
      </c>
      <c r="AN5401">
        <v>1.00000004643205</v>
      </c>
    </row>
    <row r="5402" spans="1:40" x14ac:dyDescent="0.25">
      <c r="A5402" t="str">
        <f>"20190303154626158"</f>
        <v>20190303154626158</v>
      </c>
      <c r="B5402" t="str">
        <f>"1551599186147018"</f>
        <v>1551599186147018</v>
      </c>
      <c r="C5402" t="s">
        <v>40</v>
      </c>
      <c r="D5402">
        <v>5.5858290000000004</v>
      </c>
      <c r="E5402">
        <v>0.507938</v>
      </c>
      <c r="F5402" t="s">
        <v>67</v>
      </c>
      <c r="G5402">
        <v>-369.62830000000002</v>
      </c>
      <c r="H5402" s="1">
        <v>-6.97343E-7</v>
      </c>
      <c r="I5402">
        <v>17.53351</v>
      </c>
      <c r="J5402">
        <v>-390.78190000000001</v>
      </c>
      <c r="K5402">
        <v>1.1205689999999999</v>
      </c>
      <c r="L5402">
        <v>17.791599999999999</v>
      </c>
      <c r="M5402">
        <v>0.99975440000000004</v>
      </c>
      <c r="N5402">
        <v>-9.3407809999999994E-3</v>
      </c>
      <c r="O5402">
        <v>-2.0099490000000001E-2</v>
      </c>
      <c r="P5402">
        <v>0.99369750000000001</v>
      </c>
      <c r="Q5402">
        <v>-0.1116731</v>
      </c>
      <c r="R5402">
        <v>9.7428099999999993E-3</v>
      </c>
      <c r="S5402">
        <v>3.0018009999999999</v>
      </c>
      <c r="T5402">
        <v>-0.15746930000000001</v>
      </c>
      <c r="U5402">
        <v>-3.6804200000000002E-2</v>
      </c>
      <c r="V5402">
        <v>-2.9678550000000001E-2</v>
      </c>
      <c r="W5402">
        <v>-0.10240050000000001</v>
      </c>
      <c r="X5402">
        <v>0.99430039999999997</v>
      </c>
      <c r="Y5402">
        <v>-7.8102349999999996E-3</v>
      </c>
      <c r="Z5402">
        <v>1.1071E-3</v>
      </c>
      <c r="AA5402">
        <v>0.99996890000000005</v>
      </c>
      <c r="AB5402">
        <v>19</v>
      </c>
      <c r="AC5402">
        <v>21.153599999999901</v>
      </c>
      <c r="AD5402">
        <v>-1.1205696973429999</v>
      </c>
      <c r="AE5402">
        <v>-0.25808999999999899</v>
      </c>
      <c r="AF5402">
        <v>-0.166689558175519</v>
      </c>
      <c r="AG5402">
        <v>-1.1205696973429999</v>
      </c>
      <c r="AH5402">
        <v>21.095326376703198</v>
      </c>
      <c r="AI5402">
        <v>93.040561178371902</v>
      </c>
      <c r="AJ5402">
        <v>90.452726316615397</v>
      </c>
      <c r="AK5402">
        <v>21.1257250004595</v>
      </c>
      <c r="AL5402">
        <v>95.877418892349795</v>
      </c>
      <c r="AM5402">
        <v>91.709695504083896</v>
      </c>
      <c r="AN5402">
        <v>0.99999998208525598</v>
      </c>
    </row>
    <row r="5403" spans="1:40" x14ac:dyDescent="0.25">
      <c r="A5403" t="str">
        <f>"20190303154626179"</f>
        <v>20190303154626179</v>
      </c>
      <c r="B5403" t="str">
        <f>"1551599186177274"</f>
        <v>1551599186177274</v>
      </c>
      <c r="C5403" t="s">
        <v>40</v>
      </c>
      <c r="D5403">
        <v>5.7865549999999999</v>
      </c>
      <c r="E5403">
        <v>0.50846250000000004</v>
      </c>
      <c r="F5403" t="s">
        <v>67</v>
      </c>
      <c r="G5403">
        <v>-368.84300000000002</v>
      </c>
      <c r="H5403" s="1">
        <v>-9.9609889999999991E-7</v>
      </c>
      <c r="I5403">
        <v>17.544049999999999</v>
      </c>
      <c r="J5403">
        <v>-390.60109999999997</v>
      </c>
      <c r="K5403">
        <v>1.1205780000000001</v>
      </c>
      <c r="L5403">
        <v>17.7883</v>
      </c>
      <c r="M5403">
        <v>0.99976100000000001</v>
      </c>
      <c r="N5403">
        <v>-9.3402209999999992E-3</v>
      </c>
      <c r="O5403">
        <v>-1.975905E-2</v>
      </c>
      <c r="P5403">
        <v>0.99385389999999996</v>
      </c>
      <c r="Q5403">
        <v>-0.11014359999999999</v>
      </c>
      <c r="R5403">
        <v>1.1077429999999999E-2</v>
      </c>
      <c r="S5403">
        <v>3.0021360000000001</v>
      </c>
      <c r="T5403">
        <v>-0.15334029999999901</v>
      </c>
      <c r="U5403">
        <v>-3.3874509999999997E-2</v>
      </c>
      <c r="V5403">
        <v>-3.0675689999999999E-2</v>
      </c>
      <c r="W5403">
        <v>-0.1008714</v>
      </c>
      <c r="X5403">
        <v>0.99442640000000004</v>
      </c>
      <c r="Y5403">
        <v>-8.4478899999999996E-3</v>
      </c>
      <c r="Z5403">
        <v>1.0790839999999999E-3</v>
      </c>
      <c r="AA5403">
        <v>0.99996379999999996</v>
      </c>
      <c r="AB5403">
        <v>19</v>
      </c>
      <c r="AC5403">
        <v>21.758099999999899</v>
      </c>
      <c r="AD5403">
        <v>-1.1205789960988899</v>
      </c>
      <c r="AE5403">
        <v>-0.24424999999999999</v>
      </c>
      <c r="AF5403">
        <v>-0.18524460439375801</v>
      </c>
      <c r="AG5403">
        <v>-1.1205789960988899</v>
      </c>
      <c r="AH5403">
        <v>21.7011248324152</v>
      </c>
      <c r="AI5403">
        <v>92.955844068115695</v>
      </c>
      <c r="AJ5403">
        <v>90.489074935428405</v>
      </c>
      <c r="AK5403">
        <v>21.730826763886</v>
      </c>
      <c r="AL5403">
        <v>95.789352044006606</v>
      </c>
      <c r="AM5403">
        <v>91.766878268851897</v>
      </c>
      <c r="AN5403">
        <v>0.99999995115594698</v>
      </c>
    </row>
    <row r="5404" spans="1:40" x14ac:dyDescent="0.25">
      <c r="A5404" t="str">
        <f>"20190303154626200"</f>
        <v>20190303154626200</v>
      </c>
      <c r="B5404" t="str">
        <f>"1551599186196795"</f>
        <v>1551599186196795</v>
      </c>
      <c r="C5404" t="s">
        <v>40</v>
      </c>
      <c r="D5404">
        <v>5.6157839999999997</v>
      </c>
      <c r="E5404">
        <v>0.50895329999999905</v>
      </c>
      <c r="F5404" t="s">
        <v>67</v>
      </c>
      <c r="G5404">
        <v>-368.53640000000001</v>
      </c>
      <c r="H5404" s="1">
        <v>-1.1155820000000001E-6</v>
      </c>
      <c r="I5404">
        <v>17.53753</v>
      </c>
      <c r="J5404">
        <v>-390.41930000000002</v>
      </c>
      <c r="K5404">
        <v>1.120584</v>
      </c>
      <c r="L5404">
        <v>17.7851</v>
      </c>
      <c r="M5404">
        <v>0.99976810000000005</v>
      </c>
      <c r="N5404">
        <v>-9.3397610000000002E-3</v>
      </c>
      <c r="O5404">
        <v>-1.941387E-2</v>
      </c>
      <c r="P5404">
        <v>0.9939405</v>
      </c>
      <c r="Q5404">
        <v>-0.1092086</v>
      </c>
      <c r="R5404">
        <v>1.2494720000000001E-2</v>
      </c>
      <c r="S5404">
        <v>3.002075</v>
      </c>
      <c r="T5404">
        <v>-0.15246370000000001</v>
      </c>
      <c r="U5404">
        <v>-3.411865E-2</v>
      </c>
      <c r="V5404">
        <v>-3.1750319999999999E-2</v>
      </c>
      <c r="W5404">
        <v>-9.9937100000000001E-2</v>
      </c>
      <c r="X5404">
        <v>0.99448700000000001</v>
      </c>
      <c r="Y5404">
        <v>-8.0224159999999992E-3</v>
      </c>
      <c r="Z5404">
        <v>1.0450469999999999E-3</v>
      </c>
      <c r="AA5404">
        <v>0.9999673</v>
      </c>
      <c r="AB5404">
        <v>19</v>
      </c>
      <c r="AC5404">
        <v>21.882899999999999</v>
      </c>
      <c r="AD5404">
        <v>-1.1205851155819999</v>
      </c>
      <c r="AE5404">
        <v>-0.24756999999999901</v>
      </c>
      <c r="AF5404">
        <v>-0.176863161382569</v>
      </c>
      <c r="AG5404">
        <v>-1.1205851155819999</v>
      </c>
      <c r="AH5404">
        <v>21.826354334854798</v>
      </c>
      <c r="AI5404">
        <v>92.938941211008</v>
      </c>
      <c r="AJ5404">
        <v>90.464268597364295</v>
      </c>
      <c r="AK5404">
        <v>21.8558169632194</v>
      </c>
      <c r="AL5404">
        <v>95.735548716330101</v>
      </c>
      <c r="AM5404">
        <v>91.828622825590998</v>
      </c>
      <c r="AN5404">
        <v>0.99999994997275399</v>
      </c>
    </row>
    <row r="5405" spans="1:40" x14ac:dyDescent="0.25">
      <c r="A5405" t="str">
        <f>"20190303154626224"</f>
        <v>20190303154626224</v>
      </c>
      <c r="B5405" t="str">
        <f>"1551599186216909"</f>
        <v>1551599186216909</v>
      </c>
      <c r="C5405" t="s">
        <v>40</v>
      </c>
      <c r="D5405">
        <v>5.7873429999999999</v>
      </c>
      <c r="E5405">
        <v>0.50921450000000001</v>
      </c>
      <c r="F5405" t="s">
        <v>67</v>
      </c>
      <c r="G5405">
        <v>-368.12029999999999</v>
      </c>
      <c r="H5405" s="1">
        <v>-1.276517E-6</v>
      </c>
      <c r="I5405">
        <v>17.533259999999999</v>
      </c>
      <c r="J5405">
        <v>-390.21699999999998</v>
      </c>
      <c r="K5405">
        <v>1.1206020000000001</v>
      </c>
      <c r="L5405">
        <v>17.781589999999898</v>
      </c>
      <c r="M5405">
        <v>0.99977519999999998</v>
      </c>
      <c r="N5405">
        <v>-9.3393499999999997E-3</v>
      </c>
      <c r="O5405">
        <v>-1.9031159999999998E-2</v>
      </c>
      <c r="P5405">
        <v>0.99402509999999999</v>
      </c>
      <c r="Q5405">
        <v>-0.10823480000000001</v>
      </c>
      <c r="R5405">
        <v>1.4126619999999999E-2</v>
      </c>
      <c r="S5405">
        <v>3.0021360000000001</v>
      </c>
      <c r="T5405">
        <v>-0.1508659</v>
      </c>
      <c r="U5405">
        <v>-3.3905030000000003E-2</v>
      </c>
      <c r="V5405">
        <v>-3.3002589999999998E-2</v>
      </c>
      <c r="W5405">
        <v>-9.8964150000000001E-2</v>
      </c>
      <c r="X5405">
        <v>0.99454359999999997</v>
      </c>
      <c r="Y5405">
        <v>-7.7124539999999997E-3</v>
      </c>
      <c r="Z5405">
        <v>1.0077109999999999E-3</v>
      </c>
      <c r="AA5405">
        <v>0.99996980000000002</v>
      </c>
      <c r="AB5405">
        <v>19</v>
      </c>
      <c r="AC5405">
        <v>22.096699999999998</v>
      </c>
      <c r="AD5405">
        <v>-1.120603276517</v>
      </c>
      <c r="AE5405">
        <v>-0.248329999999995</v>
      </c>
      <c r="AF5405">
        <v>-0.17181734658324099</v>
      </c>
      <c r="AG5405">
        <v>-1.120603276517</v>
      </c>
      <c r="AH5405">
        <v>22.0407451921863</v>
      </c>
      <c r="AI5405">
        <v>92.910457643549805</v>
      </c>
      <c r="AJ5405">
        <v>90.446636868057197</v>
      </c>
      <c r="AK5405">
        <v>22.069882680494899</v>
      </c>
      <c r="AL5405">
        <v>95.679524628309395</v>
      </c>
      <c r="AM5405">
        <v>91.900585873716395</v>
      </c>
      <c r="AN5405">
        <v>1.0000000231164401</v>
      </c>
    </row>
    <row r="5406" spans="1:40" x14ac:dyDescent="0.25">
      <c r="A5406" t="str">
        <f>"20190303154626256"</f>
        <v>20190303154626256</v>
      </c>
      <c r="B5406" t="str">
        <f>"1551599186247168"</f>
        <v>1551599186247168</v>
      </c>
      <c r="C5406" t="s">
        <v>40</v>
      </c>
      <c r="D5406">
        <v>5.6315309999999998</v>
      </c>
      <c r="E5406">
        <v>0.50983429999999996</v>
      </c>
      <c r="F5406" t="s">
        <v>67</v>
      </c>
      <c r="G5406">
        <v>-368.03750000000002</v>
      </c>
      <c r="H5406" s="1">
        <v>-1.3037290000000001E-6</v>
      </c>
      <c r="I5406">
        <v>17.550470000000001</v>
      </c>
      <c r="J5406">
        <v>-389.93450000000001</v>
      </c>
      <c r="K5406">
        <v>1.1206179999999999</v>
      </c>
      <c r="L5406">
        <v>17.776859999999999</v>
      </c>
      <c r="M5406">
        <v>0.99978540000000005</v>
      </c>
      <c r="N5406">
        <v>-9.3388580000000002E-3</v>
      </c>
      <c r="O5406">
        <v>-1.8503260000000001E-2</v>
      </c>
      <c r="P5406">
        <v>0.99422509999999997</v>
      </c>
      <c r="Q5406">
        <v>-0.10645490000000001</v>
      </c>
      <c r="R5406">
        <v>1.356635E-2</v>
      </c>
      <c r="S5406">
        <v>3.0019230000000001</v>
      </c>
      <c r="T5406">
        <v>-0.15167</v>
      </c>
      <c r="U5406">
        <v>-3.1280519999999999E-2</v>
      </c>
      <c r="V5406">
        <v>-3.1920299999999999E-2</v>
      </c>
      <c r="W5406">
        <v>-9.7182530000000003E-2</v>
      </c>
      <c r="X5406">
        <v>0.99475460000000004</v>
      </c>
      <c r="Y5406">
        <v>-8.0573889999999999E-3</v>
      </c>
      <c r="Z5406">
        <v>1.002525E-3</v>
      </c>
      <c r="AA5406">
        <v>0.99996700000000005</v>
      </c>
      <c r="AB5406">
        <v>19</v>
      </c>
      <c r="AC5406">
        <v>21.896999999999899</v>
      </c>
      <c r="AD5406">
        <v>-1.120619303729</v>
      </c>
      <c r="AE5406">
        <v>-0.22638999999999801</v>
      </c>
      <c r="AF5406">
        <v>-0.17836512684078101</v>
      </c>
      <c r="AG5406">
        <v>-1.120619303729</v>
      </c>
      <c r="AH5406">
        <v>21.840245045750301</v>
      </c>
      <c r="AI5406">
        <v>92.9371632094756</v>
      </c>
      <c r="AJ5406">
        <v>90.467913329903297</v>
      </c>
      <c r="AK5406">
        <v>21.869702910665801</v>
      </c>
      <c r="AL5406">
        <v>95.576950771670099</v>
      </c>
      <c r="AM5406">
        <v>91.837911714076697</v>
      </c>
      <c r="AN5406">
        <v>1.00000003195522</v>
      </c>
    </row>
    <row r="5407" spans="1:40" x14ac:dyDescent="0.25">
      <c r="A5407" t="str">
        <f>"20190303154626277"</f>
        <v>20190303154626277</v>
      </c>
      <c r="B5407" t="str">
        <f>"1551599186266685"</f>
        <v>1551599186266685</v>
      </c>
      <c r="C5407" t="s">
        <v>40</v>
      </c>
      <c r="D5407">
        <v>5.6189269999999896</v>
      </c>
      <c r="E5407">
        <v>0.5102196</v>
      </c>
      <c r="F5407" t="s">
        <v>67</v>
      </c>
      <c r="G5407">
        <v>-367.49889999999999</v>
      </c>
      <c r="H5407" s="1">
        <v>-1.559621E-6</v>
      </c>
      <c r="I5407">
        <v>17.491520000000001</v>
      </c>
      <c r="J5407">
        <v>-389.75240000000002</v>
      </c>
      <c r="K5407">
        <v>1.120627</v>
      </c>
      <c r="L5407">
        <v>17.77383</v>
      </c>
      <c r="M5407">
        <v>0.9997914</v>
      </c>
      <c r="N5407">
        <v>-9.3386029999999991E-3</v>
      </c>
      <c r="O5407">
        <v>-1.8167429999999998E-2</v>
      </c>
      <c r="P5407">
        <v>0.99442079999999999</v>
      </c>
      <c r="Q5407">
        <v>-0.10476870000000001</v>
      </c>
      <c r="R5407">
        <v>1.2286200000000001E-2</v>
      </c>
      <c r="S5407">
        <v>3.0018919999999998</v>
      </c>
      <c r="T5407">
        <v>-0.149939299999999</v>
      </c>
      <c r="U5407">
        <v>-3.8177490000000001E-2</v>
      </c>
      <c r="V5407">
        <v>-3.0311069999999999E-2</v>
      </c>
      <c r="W5407">
        <v>-9.5494010000000004E-2</v>
      </c>
      <c r="X5407">
        <v>0.99496839999999998</v>
      </c>
      <c r="Y5407">
        <v>-5.4290759999999997E-3</v>
      </c>
      <c r="Z5407">
        <v>8.9805179999999905E-4</v>
      </c>
      <c r="AA5407">
        <v>0.99998489999999995</v>
      </c>
      <c r="AB5407">
        <v>19</v>
      </c>
      <c r="AC5407">
        <v>22.253499999999999</v>
      </c>
      <c r="AD5407">
        <v>-1.1206285596209999</v>
      </c>
      <c r="AE5407">
        <v>-0.28230999999999801</v>
      </c>
      <c r="AF5407">
        <v>-0.121734455631483</v>
      </c>
      <c r="AG5407">
        <v>-1.1206285596209999</v>
      </c>
      <c r="AH5407">
        <v>22.198672148085699</v>
      </c>
      <c r="AI5407">
        <v>92.889896501175897</v>
      </c>
      <c r="AJ5407">
        <v>90.314199000999196</v>
      </c>
      <c r="AK5407">
        <v>22.227273174740098</v>
      </c>
      <c r="AL5407">
        <v>95.479753815149706</v>
      </c>
      <c r="AM5407">
        <v>91.744939256267898</v>
      </c>
      <c r="AN5407">
        <v>0.99999999195449196</v>
      </c>
    </row>
    <row r="5408" spans="1:40" x14ac:dyDescent="0.25">
      <c r="A5408" t="str">
        <f>"20190303154626300"</f>
        <v>20190303154626300</v>
      </c>
      <c r="B5408" t="str">
        <f>"1551599186296941"</f>
        <v>1551599186296941</v>
      </c>
      <c r="C5408" t="s">
        <v>40</v>
      </c>
      <c r="D5408">
        <v>5.6201089999999896</v>
      </c>
      <c r="E5408">
        <v>0.51081160000000003</v>
      </c>
      <c r="F5408" t="s">
        <v>67</v>
      </c>
      <c r="G5408">
        <v>-366.96140000000003</v>
      </c>
      <c r="H5408" s="1">
        <v>-1.8243080000000001E-6</v>
      </c>
      <c r="I5408">
        <v>17.431840000000001</v>
      </c>
      <c r="J5408">
        <v>-389.54829999999998</v>
      </c>
      <c r="K5408">
        <v>1.120638</v>
      </c>
      <c r="L5408">
        <v>17.770569999999999</v>
      </c>
      <c r="M5408">
        <v>0.99979819999999997</v>
      </c>
      <c r="N5408">
        <v>-9.3383830000000004E-3</v>
      </c>
      <c r="O5408">
        <v>-1.779418E-2</v>
      </c>
      <c r="P5408">
        <v>0.99466920000000003</v>
      </c>
      <c r="Q5408">
        <v>-0.10245219999999999</v>
      </c>
      <c r="R5408">
        <v>1.171616E-2</v>
      </c>
      <c r="S5408">
        <v>3.0018009999999999</v>
      </c>
      <c r="T5408">
        <v>-0.14759739999999999</v>
      </c>
      <c r="U5408">
        <v>-4.5043949999999999E-2</v>
      </c>
      <c r="V5408">
        <v>-2.9375310000000002E-2</v>
      </c>
      <c r="W5408">
        <v>-9.3175030000000006E-2</v>
      </c>
      <c r="X5408">
        <v>0.99521630000000005</v>
      </c>
      <c r="Y5408">
        <v>-2.7732870000000001E-3</v>
      </c>
      <c r="Z5408">
        <v>7.8929320000000001E-4</v>
      </c>
      <c r="AA5408">
        <v>0.99999579999999999</v>
      </c>
      <c r="AB5408">
        <v>19</v>
      </c>
      <c r="AC5408">
        <v>22.586899999999901</v>
      </c>
      <c r="AD5408">
        <v>-1.120639824308</v>
      </c>
      <c r="AE5408">
        <v>-0.33873000000000097</v>
      </c>
      <c r="AF5408">
        <v>-6.3101173934655905E-2</v>
      </c>
      <c r="AG5408">
        <v>-1.120639824308</v>
      </c>
      <c r="AH5408">
        <v>22.5338940781443</v>
      </c>
      <c r="AI5408">
        <v>92.847036836497495</v>
      </c>
      <c r="AJ5408">
        <v>90.160443706980999</v>
      </c>
      <c r="AK5408">
        <v>22.561830548494999</v>
      </c>
      <c r="AL5408">
        <v>95.346290859382293</v>
      </c>
      <c r="AM5408">
        <v>91.690680467975596</v>
      </c>
      <c r="AN5408">
        <v>0.99999998941939305</v>
      </c>
    </row>
    <row r="5409" spans="1:40" x14ac:dyDescent="0.25">
      <c r="A5409" t="str">
        <f>"20190303154626334"</f>
        <v>20190303154626334</v>
      </c>
      <c r="B5409" t="str">
        <f>"1551599186326776"</f>
        <v>1551599186326776</v>
      </c>
      <c r="C5409" t="s">
        <v>40</v>
      </c>
      <c r="D5409">
        <v>5.6187060000000004</v>
      </c>
      <c r="E5409">
        <v>0.5114765</v>
      </c>
      <c r="F5409" t="s">
        <v>67</v>
      </c>
      <c r="G5409">
        <v>-366.18810000000002</v>
      </c>
      <c r="H5409" s="1">
        <v>-2.2005189999999998E-6</v>
      </c>
      <c r="I5409">
        <v>17.371579999999899</v>
      </c>
      <c r="J5409">
        <v>-389.25319999999999</v>
      </c>
      <c r="K5409">
        <v>1.120652</v>
      </c>
      <c r="L5409">
        <v>17.76596</v>
      </c>
      <c r="M5409">
        <v>0.99980769999999997</v>
      </c>
      <c r="N5409">
        <v>-9.3381680000000009E-3</v>
      </c>
      <c r="O5409">
        <v>-1.725486E-2</v>
      </c>
      <c r="P5409">
        <v>0.99493989999999999</v>
      </c>
      <c r="Q5409">
        <v>-9.98864E-2</v>
      </c>
      <c r="R5409">
        <v>1.085707E-2</v>
      </c>
      <c r="S5409">
        <v>3.0018310000000001</v>
      </c>
      <c r="T5409">
        <v>-0.1440042</v>
      </c>
      <c r="U5409">
        <v>-5.1269530000000001E-2</v>
      </c>
      <c r="V5409">
        <v>-2.7985320000000001E-2</v>
      </c>
      <c r="W5409">
        <v>-9.0606309999999995E-2</v>
      </c>
      <c r="X5409">
        <v>0.99549350000000003</v>
      </c>
      <c r="Y5409">
        <v>-1.6561829999999999E-4</v>
      </c>
      <c r="Z5409">
        <v>6.7084100000000004E-4</v>
      </c>
      <c r="AA5409">
        <v>0.99999979999999999</v>
      </c>
      <c r="AB5409">
        <v>20</v>
      </c>
      <c r="AC5409">
        <v>23.065099999999902</v>
      </c>
      <c r="AD5409">
        <v>-1.1206542005190001</v>
      </c>
      <c r="AE5409">
        <v>-0.39438000000000101</v>
      </c>
      <c r="AF5409">
        <v>-3.6724037370880402E-3</v>
      </c>
      <c r="AG5409">
        <v>-1.1206542005190001</v>
      </c>
      <c r="AH5409">
        <v>23.014158510301101</v>
      </c>
      <c r="AI5409">
        <v>92.787765556768406</v>
      </c>
      <c r="AJ5409">
        <v>90.009142773259398</v>
      </c>
      <c r="AK5409">
        <v>23.041427283503001</v>
      </c>
      <c r="AL5409">
        <v>95.198488635898798</v>
      </c>
      <c r="AM5409">
        <v>91.610275238179796</v>
      </c>
      <c r="AN5409">
        <v>0.99999999504478398</v>
      </c>
    </row>
    <row r="5410" spans="1:40" x14ac:dyDescent="0.25">
      <c r="A5410" t="str">
        <f>"20190303154626358"</f>
        <v>20190303154626358</v>
      </c>
      <c r="B5410" t="str">
        <f>"1551599186347272"</f>
        <v>1551599186347272</v>
      </c>
      <c r="C5410" t="s">
        <v>40</v>
      </c>
      <c r="D5410">
        <v>5.641229</v>
      </c>
      <c r="E5410">
        <v>0.51190369999999996</v>
      </c>
      <c r="F5410" t="s">
        <v>67</v>
      </c>
      <c r="G5410">
        <v>-364.97359999999998</v>
      </c>
      <c r="H5410" s="1">
        <v>-2.7892860000000002E-6</v>
      </c>
      <c r="I5410">
        <v>17.28886</v>
      </c>
      <c r="J5410">
        <v>-389.04450000000003</v>
      </c>
      <c r="K5410">
        <v>1.120655</v>
      </c>
      <c r="L5410">
        <v>17.76285</v>
      </c>
      <c r="M5410">
        <v>0.99981430000000004</v>
      </c>
      <c r="N5410">
        <v>-9.3380900000000003E-3</v>
      </c>
      <c r="O5410">
        <v>-1.6870159999999999E-2</v>
      </c>
      <c r="P5410">
        <v>0.99501490000000004</v>
      </c>
      <c r="Q5410">
        <v>-9.9128579999999994E-2</v>
      </c>
      <c r="R5410">
        <v>1.0918819999999999E-2</v>
      </c>
      <c r="S5410">
        <v>3.002014</v>
      </c>
      <c r="T5410">
        <v>-0.13856199999999999</v>
      </c>
      <c r="U5410">
        <v>-5.8990479999999998E-2</v>
      </c>
      <c r="V5410">
        <v>-2.7665390000000002E-2</v>
      </c>
      <c r="W5410">
        <v>-8.9847839999999998E-2</v>
      </c>
      <c r="X5410">
        <v>0.99557119999999999</v>
      </c>
      <c r="Y5410">
        <v>2.7839380000000001E-3</v>
      </c>
      <c r="Z5410">
        <v>5.4343070000000004E-4</v>
      </c>
      <c r="AA5410">
        <v>0.999996</v>
      </c>
      <c r="AB5410">
        <v>20</v>
      </c>
      <c r="AC5410">
        <v>24.070900000000002</v>
      </c>
      <c r="AD5410">
        <v>-1.1206577892859999</v>
      </c>
      <c r="AE5410">
        <v>-0.47399000000000002</v>
      </c>
      <c r="AF5410">
        <v>6.7678351400917505E-2</v>
      </c>
      <c r="AG5410">
        <v>-1.1206577892859999</v>
      </c>
      <c r="AH5410">
        <v>24.0234199248934</v>
      </c>
      <c r="AI5410">
        <v>92.670818455677505</v>
      </c>
      <c r="AJ5410">
        <v>89.838587775869698</v>
      </c>
      <c r="AK5410">
        <v>24.049639480202199</v>
      </c>
      <c r="AL5410">
        <v>95.154853443104201</v>
      </c>
      <c r="AM5410">
        <v>91.591751818435398</v>
      </c>
      <c r="AN5410">
        <v>1.0000000112129701</v>
      </c>
    </row>
    <row r="5411" spans="1:40" x14ac:dyDescent="0.25">
      <c r="A5411" t="str">
        <f>"20190303154626379"</f>
        <v>20190303154626379</v>
      </c>
      <c r="B5411" t="str">
        <f>"1551599186376552"</f>
        <v>1551599186376552</v>
      </c>
      <c r="C5411" t="s">
        <v>40</v>
      </c>
      <c r="D5411">
        <v>5.5948599999999997</v>
      </c>
      <c r="E5411">
        <v>0.51251610000000003</v>
      </c>
      <c r="F5411" t="s">
        <v>67</v>
      </c>
      <c r="G5411">
        <v>-364.68939999999998</v>
      </c>
      <c r="H5411" s="1">
        <v>-2.929128E-6</v>
      </c>
      <c r="I5411">
        <v>17.257999999999999</v>
      </c>
      <c r="J5411">
        <v>-388.858</v>
      </c>
      <c r="K5411">
        <v>1.1206579999999999</v>
      </c>
      <c r="L5411">
        <v>17.760069999999999</v>
      </c>
      <c r="M5411">
        <v>0.99981989999999998</v>
      </c>
      <c r="N5411">
        <v>-9.3381160000000005E-3</v>
      </c>
      <c r="O5411">
        <v>-1.65218E-2</v>
      </c>
      <c r="P5411">
        <v>0.99512829999999997</v>
      </c>
      <c r="Q5411">
        <v>-9.7974790000000006E-2</v>
      </c>
      <c r="R5411">
        <v>1.0984239999999999E-2</v>
      </c>
      <c r="S5411">
        <v>3.0019230000000001</v>
      </c>
      <c r="T5411">
        <v>-0.13812820000000001</v>
      </c>
      <c r="U5411">
        <v>-6.2225339999999997E-2</v>
      </c>
      <c r="V5411">
        <v>-2.7385300000000001E-2</v>
      </c>
      <c r="W5411">
        <v>-8.8692999999999994E-2</v>
      </c>
      <c r="X5411">
        <v>0.99568250000000003</v>
      </c>
      <c r="Y5411">
        <v>4.207985E-3</v>
      </c>
      <c r="Z5411">
        <v>4.890513E-4</v>
      </c>
      <c r="AA5411">
        <v>0.99999099999999996</v>
      </c>
      <c r="AB5411">
        <v>20</v>
      </c>
      <c r="AC5411">
        <v>24.168600000000001</v>
      </c>
      <c r="AD5411">
        <v>-1.1206609291280001</v>
      </c>
      <c r="AE5411">
        <v>-0.50207000000000301</v>
      </c>
      <c r="AF5411">
        <v>0.102455091350628</v>
      </c>
      <c r="AG5411">
        <v>-1.1206609291280001</v>
      </c>
      <c r="AH5411">
        <v>24.121756057379301</v>
      </c>
      <c r="AI5411">
        <v>92.659940137016903</v>
      </c>
      <c r="AJ5411">
        <v>89.756642550829696</v>
      </c>
      <c r="AK5411">
        <v>24.147991495267998</v>
      </c>
      <c r="AL5411">
        <v>95.088420690263305</v>
      </c>
      <c r="AM5411">
        <v>91.575468725522498</v>
      </c>
      <c r="AN5411">
        <v>1.0000000218556599</v>
      </c>
    </row>
    <row r="5412" spans="1:40" x14ac:dyDescent="0.25">
      <c r="A5412" t="str">
        <f>"20190303154626400"</f>
        <v>20190303154626400</v>
      </c>
      <c r="B5412" t="str">
        <f>"1551599186397049"</f>
        <v>1551599186397049</v>
      </c>
      <c r="C5412" t="s">
        <v>40</v>
      </c>
      <c r="D5412">
        <v>5.5922660000000004</v>
      </c>
      <c r="E5412">
        <v>0.51289949999999995</v>
      </c>
      <c r="F5412" t="s">
        <v>67</v>
      </c>
      <c r="G5412">
        <v>-364.32769999999999</v>
      </c>
      <c r="H5412" s="1">
        <v>-3.1079310000000001E-6</v>
      </c>
      <c r="I5412">
        <v>17.213940000000001</v>
      </c>
      <c r="J5412">
        <v>-388.66730000000001</v>
      </c>
      <c r="K5412">
        <v>1.120668</v>
      </c>
      <c r="L5412">
        <v>17.75732</v>
      </c>
      <c r="M5412">
        <v>0.99982590000000005</v>
      </c>
      <c r="N5412">
        <v>-9.3382670000000008E-3</v>
      </c>
      <c r="O5412">
        <v>-1.6158289999999999E-2</v>
      </c>
      <c r="P5412">
        <v>0.9951776</v>
      </c>
      <c r="Q5412">
        <v>-9.7467239999999997E-2</v>
      </c>
      <c r="R5412">
        <v>1.104319E-2</v>
      </c>
      <c r="S5412">
        <v>3.0019529999999999</v>
      </c>
      <c r="T5412">
        <v>-0.13714309999999999</v>
      </c>
      <c r="U5412">
        <v>-6.6833500000000004E-2</v>
      </c>
      <c r="V5412">
        <v>-2.7082660000000001E-2</v>
      </c>
      <c r="W5412">
        <v>-8.8184979999999996E-2</v>
      </c>
      <c r="X5412">
        <v>0.99573590000000001</v>
      </c>
      <c r="Y5412">
        <v>6.1029219999999898E-3</v>
      </c>
      <c r="Z5412">
        <v>4.1899580000000002E-4</v>
      </c>
      <c r="AA5412">
        <v>0.99998129999999996</v>
      </c>
      <c r="AB5412">
        <v>20</v>
      </c>
      <c r="AC5412">
        <v>24.339600000000001</v>
      </c>
      <c r="AD5412">
        <v>-1.1206711079310001</v>
      </c>
      <c r="AE5412">
        <v>-0.54337999999999897</v>
      </c>
      <c r="AF5412">
        <v>0.14968843685599201</v>
      </c>
      <c r="AG5412">
        <v>-1.1206711079310001</v>
      </c>
      <c r="AH5412">
        <v>24.2937262857705</v>
      </c>
      <c r="AI5412">
        <v>92.641135412386603</v>
      </c>
      <c r="AJ5412">
        <v>89.646970290257997</v>
      </c>
      <c r="AK5412">
        <v>24.320021529764599</v>
      </c>
      <c r="AL5412">
        <v>95.059198785412605</v>
      </c>
      <c r="AM5412">
        <v>91.557983044201507</v>
      </c>
      <c r="AN5412">
        <v>1.00000002185954</v>
      </c>
    </row>
    <row r="5413" spans="1:40" x14ac:dyDescent="0.25">
      <c r="A5413" t="str">
        <f>"20190303154626424"</f>
        <v>20190303154626424</v>
      </c>
      <c r="B5413" t="str">
        <f>"1551599186417297"</f>
        <v>1551599186417297</v>
      </c>
      <c r="C5413" t="s">
        <v>40</v>
      </c>
      <c r="D5413">
        <v>5.6198800000000002</v>
      </c>
      <c r="E5413">
        <v>0.51326910000000003</v>
      </c>
      <c r="F5413" t="s">
        <v>67</v>
      </c>
      <c r="G5413">
        <v>-364.19369999999998</v>
      </c>
      <c r="H5413" s="1">
        <v>-3.1757759999999999E-6</v>
      </c>
      <c r="I5413">
        <v>17.188549999999999</v>
      </c>
      <c r="J5413">
        <v>-388.46269999999998</v>
      </c>
      <c r="K5413">
        <v>1.1206719999999999</v>
      </c>
      <c r="L5413">
        <v>17.754490000000001</v>
      </c>
      <c r="M5413">
        <v>0.99983219999999995</v>
      </c>
      <c r="N5413">
        <v>-9.3385410000000005E-3</v>
      </c>
      <c r="O5413">
        <v>-1.5756490000000001E-2</v>
      </c>
      <c r="P5413">
        <v>0.99526550000000003</v>
      </c>
      <c r="Q5413">
        <v>-9.6595470000000003E-2</v>
      </c>
      <c r="R5413">
        <v>1.07806E-2</v>
      </c>
      <c r="S5413">
        <v>3.001862</v>
      </c>
      <c r="T5413">
        <v>-0.1374581</v>
      </c>
      <c r="U5413">
        <v>-6.9763179999999994E-2</v>
      </c>
      <c r="V5413">
        <v>-2.6420929999999999E-2</v>
      </c>
      <c r="W5413">
        <v>-8.7312189999999998E-2</v>
      </c>
      <c r="X5413">
        <v>0.99583060000000001</v>
      </c>
      <c r="Y5413">
        <v>7.47891599999999E-3</v>
      </c>
      <c r="Z5413">
        <v>3.6782900000000002E-4</v>
      </c>
      <c r="AA5413">
        <v>0.99997199999999997</v>
      </c>
      <c r="AB5413">
        <v>20</v>
      </c>
      <c r="AC5413">
        <v>24.268999999999998</v>
      </c>
      <c r="AD5413">
        <v>-1.1206751757759901</v>
      </c>
      <c r="AE5413">
        <v>-0.565940000000001</v>
      </c>
      <c r="AF5413">
        <v>0.18306863628397199</v>
      </c>
      <c r="AG5413">
        <v>-1.1206751757759901</v>
      </c>
      <c r="AH5413">
        <v>24.223280459555902</v>
      </c>
      <c r="AI5413">
        <v>92.648789678776694</v>
      </c>
      <c r="AJ5413">
        <v>89.566992565478699</v>
      </c>
      <c r="AK5413">
        <v>24.249881302750701</v>
      </c>
      <c r="AL5413">
        <v>95.008997898619597</v>
      </c>
      <c r="AM5413">
        <v>91.519789337959594</v>
      </c>
      <c r="AN5413">
        <v>1.0000000339805</v>
      </c>
    </row>
    <row r="5414" spans="1:40" x14ac:dyDescent="0.25">
      <c r="A5414" t="str">
        <f>"20190303154626581"</f>
        <v>20190303154626581</v>
      </c>
      <c r="B5414" t="str">
        <f>"1551599186576894"</f>
        <v>1551599186576894</v>
      </c>
      <c r="C5414" t="s">
        <v>40</v>
      </c>
      <c r="D5414">
        <v>5.5200239999999896</v>
      </c>
      <c r="E5414">
        <v>0.5136522</v>
      </c>
      <c r="F5414" t="s">
        <v>67</v>
      </c>
      <c r="G5414">
        <v>-363.98450000000003</v>
      </c>
      <c r="H5414" s="1">
        <v>-3.2806E-6</v>
      </c>
      <c r="I5414">
        <v>17.154979999999998</v>
      </c>
      <c r="J5414">
        <v>-387.05860000000001</v>
      </c>
      <c r="K5414">
        <v>1.120746</v>
      </c>
      <c r="L5414">
        <v>17.737729999999999</v>
      </c>
      <c r="M5414">
        <v>0.99987729999999997</v>
      </c>
      <c r="N5414">
        <v>-9.3417369999999993E-3</v>
      </c>
      <c r="O5414">
        <v>-1.258422E-2</v>
      </c>
      <c r="P5414">
        <v>0.99500909999999998</v>
      </c>
      <c r="Q5414">
        <v>-9.9427539999999995E-2</v>
      </c>
      <c r="R5414">
        <v>8.4500340000000004E-3</v>
      </c>
      <c r="S5414">
        <v>3.0017399999999999</v>
      </c>
      <c r="T5414">
        <v>-0.1374272</v>
      </c>
      <c r="U5414">
        <v>-7.3516849999999995E-2</v>
      </c>
      <c r="V5414">
        <v>-2.0910330000000001E-2</v>
      </c>
      <c r="W5414">
        <v>-9.0144039999999995E-2</v>
      </c>
      <c r="X5414">
        <v>0.99570919999999896</v>
      </c>
      <c r="Y5414">
        <v>1.1894490000000001E-2</v>
      </c>
      <c r="Z5414">
        <v>1.3051609999999999E-4</v>
      </c>
      <c r="AA5414">
        <v>0.99992919999999996</v>
      </c>
      <c r="AB5414">
        <v>20</v>
      </c>
      <c r="AC5414">
        <v>23.074099999999898</v>
      </c>
      <c r="AD5414">
        <v>-1.1207492805999999</v>
      </c>
      <c r="AE5414">
        <v>-0.58274999999999999</v>
      </c>
      <c r="AF5414">
        <v>0.29163407669256403</v>
      </c>
      <c r="AG5414">
        <v>-1.1207492805999999</v>
      </c>
      <c r="AH5414">
        <v>23.025319467974299</v>
      </c>
      <c r="AI5414">
        <v>92.786429316120106</v>
      </c>
      <c r="AJ5414">
        <v>89.274341954528495</v>
      </c>
      <c r="AK5414">
        <v>23.054424000328702</v>
      </c>
      <c r="AL5414">
        <v>95.171893655612195</v>
      </c>
      <c r="AM5414">
        <v>91.203059668053399</v>
      </c>
      <c r="AN5414">
        <v>1.00000000040643</v>
      </c>
    </row>
    <row r="5415" spans="1:40" x14ac:dyDescent="0.25">
      <c r="A5415" t="str">
        <f>"20190303154626603"</f>
        <v>20190303154626603</v>
      </c>
      <c r="B5415" t="str">
        <f>"1551599186596413"</f>
        <v>1551599186596413</v>
      </c>
      <c r="C5415" t="s">
        <v>40</v>
      </c>
      <c r="D5415">
        <v>5.471851</v>
      </c>
      <c r="E5415">
        <v>0.5137969</v>
      </c>
      <c r="F5415" t="s">
        <v>67</v>
      </c>
      <c r="G5415">
        <v>-364.45609999999999</v>
      </c>
      <c r="H5415" s="1">
        <v>-3.0670640000000001E-6</v>
      </c>
      <c r="I5415">
        <v>17.102180000000001</v>
      </c>
      <c r="J5415">
        <v>-386.86900000000003</v>
      </c>
      <c r="K5415">
        <v>1.1207659999999999</v>
      </c>
      <c r="L5415">
        <v>17.735959999999999</v>
      </c>
      <c r="M5415">
        <v>0.99988370000000004</v>
      </c>
      <c r="N5415">
        <v>-9.342454E-3</v>
      </c>
      <c r="O5415">
        <v>-1.2066540000000001E-2</v>
      </c>
      <c r="P5415">
        <v>0.99496099999999998</v>
      </c>
      <c r="Q5415">
        <v>-9.9932820000000006E-2</v>
      </c>
      <c r="R5415">
        <v>8.1373729999999998E-3</v>
      </c>
      <c r="S5415">
        <v>3.0009160000000001</v>
      </c>
      <c r="T5415">
        <v>-0.14880070000000001</v>
      </c>
      <c r="U5415">
        <v>-8.4381100000000001E-2</v>
      </c>
      <c r="V5415">
        <v>-2.0077089999999999E-2</v>
      </c>
      <c r="W5415">
        <v>-9.0649339999999995E-2</v>
      </c>
      <c r="X5415">
        <v>0.99568049999999997</v>
      </c>
      <c r="Y5415">
        <v>1.6029370000000001E-2</v>
      </c>
      <c r="Z5415" s="1">
        <v>1.310252E-5</v>
      </c>
      <c r="AA5415">
        <v>0.99987150000000002</v>
      </c>
      <c r="AB5415">
        <v>20</v>
      </c>
      <c r="AC5415">
        <v>22.4129</v>
      </c>
      <c r="AD5415">
        <v>-1.120769067064</v>
      </c>
      <c r="AE5415">
        <v>-0.63378000000000101</v>
      </c>
      <c r="AF5415">
        <v>0.36237053419434401</v>
      </c>
      <c r="AG5415">
        <v>-1.120769067064</v>
      </c>
      <c r="AH5415">
        <v>22.363040685558399</v>
      </c>
      <c r="AI5415">
        <v>92.8687175348512</v>
      </c>
      <c r="AJ5415">
        <v>89.071660887894893</v>
      </c>
      <c r="AK5415">
        <v>22.394039930519</v>
      </c>
      <c r="AL5415">
        <v>95.200964103478796</v>
      </c>
      <c r="AM5415">
        <v>91.155166394867805</v>
      </c>
      <c r="AN5415">
        <v>1.0000000252327701</v>
      </c>
    </row>
    <row r="5416" spans="1:40" x14ac:dyDescent="0.25">
      <c r="A5416" t="str">
        <f>"20190303154626624"</f>
        <v>20190303154626624</v>
      </c>
      <c r="B5416" t="str">
        <f>"1551599186616910"</f>
        <v>1551599186616910</v>
      </c>
      <c r="C5416" t="s">
        <v>40</v>
      </c>
      <c r="D5416">
        <v>5.4090089999999904</v>
      </c>
      <c r="E5416">
        <v>0.51411819999999997</v>
      </c>
      <c r="F5416" t="s">
        <v>67</v>
      </c>
      <c r="G5416">
        <v>-364.26069999999999</v>
      </c>
      <c r="H5416" s="1">
        <v>-3.1624840000000002E-6</v>
      </c>
      <c r="I5416">
        <v>17.084849999999999</v>
      </c>
      <c r="J5416">
        <v>-386.66199999999998</v>
      </c>
      <c r="K5416">
        <v>1.120776</v>
      </c>
      <c r="L5416">
        <v>17.734159999999999</v>
      </c>
      <c r="M5416">
        <v>0.99989059999999996</v>
      </c>
      <c r="N5416">
        <v>-9.3432670000000006E-3</v>
      </c>
      <c r="O5416">
        <v>-1.147112E-2</v>
      </c>
      <c r="P5416">
        <v>0.99492760000000002</v>
      </c>
      <c r="Q5416">
        <v>-0.1002569</v>
      </c>
      <c r="R5416">
        <v>8.2099040000000005E-3</v>
      </c>
      <c r="S5416">
        <v>3.0009160000000001</v>
      </c>
      <c r="T5416">
        <v>-0.1487657</v>
      </c>
      <c r="U5416">
        <v>-8.6425779999999994E-2</v>
      </c>
      <c r="V5416">
        <v>-1.9551880000000001E-2</v>
      </c>
      <c r="W5416">
        <v>-9.0973440000000003E-2</v>
      </c>
      <c r="X5416">
        <v>0.99566140000000003</v>
      </c>
      <c r="Y5416">
        <v>1.7303140000000002E-2</v>
      </c>
      <c r="Z5416" s="1">
        <v>-4.8394460000000003E-5</v>
      </c>
      <c r="AA5416">
        <v>0.99985029999999997</v>
      </c>
      <c r="AB5416">
        <v>20</v>
      </c>
      <c r="AC5416">
        <v>22.4012999999999</v>
      </c>
      <c r="AD5416">
        <v>-1.120779162484</v>
      </c>
      <c r="AE5416">
        <v>-0.64930999999999905</v>
      </c>
      <c r="AF5416">
        <v>0.39130937036674701</v>
      </c>
      <c r="AG5416">
        <v>-1.120779162484</v>
      </c>
      <c r="AH5416">
        <v>22.351371862623601</v>
      </c>
      <c r="AI5416">
        <v>92.870175569414798</v>
      </c>
      <c r="AJ5416">
        <v>88.997015246260403</v>
      </c>
      <c r="AK5416">
        <v>22.3828749962037</v>
      </c>
      <c r="AL5416">
        <v>95.219610669670999</v>
      </c>
      <c r="AM5416">
        <v>91.124977070633406</v>
      </c>
      <c r="AN5416">
        <v>1.00000003312346</v>
      </c>
    </row>
    <row r="5417" spans="1:40" x14ac:dyDescent="0.25">
      <c r="A5417" t="str">
        <f>"20190303154626647"</f>
        <v>20190303154626647</v>
      </c>
      <c r="B5417" t="str">
        <f>"1551599186636429"</f>
        <v>1551599186636429</v>
      </c>
      <c r="C5417" t="s">
        <v>40</v>
      </c>
      <c r="D5417">
        <v>5.4715339999999903</v>
      </c>
      <c r="E5417">
        <v>0.5143527</v>
      </c>
      <c r="F5417" t="s">
        <v>67</v>
      </c>
      <c r="G5417">
        <v>-363.98439999999999</v>
      </c>
      <c r="H5417" s="1">
        <v>-3.2968310000000001E-6</v>
      </c>
      <c r="I5417">
        <v>17.063779999999898</v>
      </c>
      <c r="J5417">
        <v>-386.46409999999997</v>
      </c>
      <c r="K5417">
        <v>1.12079</v>
      </c>
      <c r="L5417">
        <v>17.73254</v>
      </c>
      <c r="M5417">
        <v>0.99989729999999999</v>
      </c>
      <c r="N5417">
        <v>-9.3440769999999992E-3</v>
      </c>
      <c r="O5417">
        <v>-1.0880300000000001E-2</v>
      </c>
      <c r="P5417">
        <v>0.99480610000000003</v>
      </c>
      <c r="Q5417">
        <v>-0.1014583</v>
      </c>
      <c r="R5417">
        <v>8.206362E-3</v>
      </c>
      <c r="S5417">
        <v>3.0010379999999999</v>
      </c>
      <c r="T5417">
        <v>-0.14831839999999999</v>
      </c>
      <c r="U5417">
        <v>-8.8714600000000005E-2</v>
      </c>
      <c r="V5417">
        <v>-1.8955360000000001E-2</v>
      </c>
      <c r="W5417">
        <v>-9.217525E-2</v>
      </c>
      <c r="X5417">
        <v>0.99556239999999996</v>
      </c>
      <c r="Y5417">
        <v>1.86523E-2</v>
      </c>
      <c r="Z5417">
        <v>-1.121134E-4</v>
      </c>
      <c r="AA5417">
        <v>0.99982599999999999</v>
      </c>
      <c r="AB5417">
        <v>20</v>
      </c>
      <c r="AC5417">
        <v>22.479699999999902</v>
      </c>
      <c r="AD5417">
        <v>-1.1207932968309999</v>
      </c>
      <c r="AE5417">
        <v>-0.66876000000000202</v>
      </c>
      <c r="AF5417">
        <v>0.423073135480587</v>
      </c>
      <c r="AG5417">
        <v>-1.1207932968309999</v>
      </c>
      <c r="AH5417">
        <v>22.4299383557121</v>
      </c>
      <c r="AI5417">
        <v>92.860104466883499</v>
      </c>
      <c r="AJ5417">
        <v>88.919416066870198</v>
      </c>
      <c r="AK5417">
        <v>22.4619078248761</v>
      </c>
      <c r="AL5417">
        <v>95.288759838217601</v>
      </c>
      <c r="AM5417">
        <v>91.0907713242417</v>
      </c>
      <c r="AN5417">
        <v>1.0000000373395199</v>
      </c>
    </row>
    <row r="5418" spans="1:40" x14ac:dyDescent="0.25">
      <c r="A5418" t="str">
        <f>"20190303154626668"</f>
        <v>20190303154626668</v>
      </c>
      <c r="B5418" t="str">
        <f>"1551599186656925"</f>
        <v>1551599186656925</v>
      </c>
      <c r="C5418" t="s">
        <v>40</v>
      </c>
      <c r="D5418">
        <v>5.5196139999999998</v>
      </c>
      <c r="E5418">
        <v>0.51437650000000001</v>
      </c>
      <c r="F5418" t="s">
        <v>67</v>
      </c>
      <c r="G5418">
        <v>-364.16149999999999</v>
      </c>
      <c r="H5418" s="1">
        <v>-3.2138929999999999E-6</v>
      </c>
      <c r="I5418">
        <v>17.059419999999999</v>
      </c>
      <c r="J5418">
        <v>-386.26589999999999</v>
      </c>
      <c r="K5418">
        <v>1.1207929999999999</v>
      </c>
      <c r="L5418">
        <v>17.731079999999999</v>
      </c>
      <c r="M5418">
        <v>0.9999036</v>
      </c>
      <c r="N5418">
        <v>-9.3448609999999994E-3</v>
      </c>
      <c r="O5418">
        <v>-1.027285E-2</v>
      </c>
      <c r="P5418">
        <v>0.9948013</v>
      </c>
      <c r="Q5418">
        <v>-0.1015165</v>
      </c>
      <c r="R5418">
        <v>8.0590669999999996E-3</v>
      </c>
      <c r="S5418">
        <v>3.0010379999999999</v>
      </c>
      <c r="T5418">
        <v>-0.15081369999999999</v>
      </c>
      <c r="U5418">
        <v>-9.0576169999999998E-2</v>
      </c>
      <c r="V5418">
        <v>-1.8200919999999999E-2</v>
      </c>
      <c r="W5418">
        <v>-9.2232380000000003E-2</v>
      </c>
      <c r="X5418">
        <v>0.99557110000000004</v>
      </c>
      <c r="Y5418">
        <v>1.9876520000000002E-2</v>
      </c>
      <c r="Z5418">
        <v>-1.7212560000000001E-4</v>
      </c>
      <c r="AA5418">
        <v>0.99980239999999998</v>
      </c>
      <c r="AB5418">
        <v>20</v>
      </c>
      <c r="AC5418">
        <v>22.104399999999998</v>
      </c>
      <c r="AD5418">
        <v>-1.1207962138930001</v>
      </c>
      <c r="AE5418">
        <v>-0.67165999999999504</v>
      </c>
      <c r="AF5418">
        <v>0.443400547049905</v>
      </c>
      <c r="AG5418">
        <v>-1.1207962138930001</v>
      </c>
      <c r="AH5418">
        <v>22.053487275053499</v>
      </c>
      <c r="AI5418">
        <v>92.9087802699554</v>
      </c>
      <c r="AJ5418">
        <v>88.848184086828894</v>
      </c>
      <c r="AK5418">
        <v>22.086400548508301</v>
      </c>
      <c r="AL5418">
        <v>95.292047611439997</v>
      </c>
      <c r="AM5418">
        <v>91.047358386644703</v>
      </c>
      <c r="AN5418">
        <v>0.99999995028225896</v>
      </c>
    </row>
    <row r="5419" spans="1:40" x14ac:dyDescent="0.25">
      <c r="A5419" t="str">
        <f>"20190303154626692"</f>
        <v>20190303154626692</v>
      </c>
      <c r="B5419" t="str">
        <f>"1551599186687182"</f>
        <v>1551599186687182</v>
      </c>
      <c r="C5419" t="s">
        <v>40</v>
      </c>
      <c r="D5419">
        <v>5.54</v>
      </c>
      <c r="E5419">
        <v>0.51443039999999995</v>
      </c>
      <c r="F5419" t="s">
        <v>67</v>
      </c>
      <c r="G5419">
        <v>-364.04160000000002</v>
      </c>
      <c r="H5419" s="1">
        <v>-3.2712309999999999E-6</v>
      </c>
      <c r="I5419">
        <v>17.055769999999999</v>
      </c>
      <c r="J5419">
        <v>-386.05259999999998</v>
      </c>
      <c r="K5419">
        <v>1.120803</v>
      </c>
      <c r="L5419">
        <v>17.72964</v>
      </c>
      <c r="M5419">
        <v>0.99991010000000002</v>
      </c>
      <c r="N5419">
        <v>-9.3457850000000006E-3</v>
      </c>
      <c r="O5419">
        <v>-9.6088340000000001E-3</v>
      </c>
      <c r="P5419">
        <v>0.9948108</v>
      </c>
      <c r="Q5419">
        <v>-0.1013932</v>
      </c>
      <c r="R5419">
        <v>8.4304219999999999E-3</v>
      </c>
      <c r="S5419">
        <v>3.0009769999999998</v>
      </c>
      <c r="T5419">
        <v>-0.15134239999999999</v>
      </c>
      <c r="U5419">
        <v>-9.1186519999999993E-2</v>
      </c>
      <c r="V5419">
        <v>-1.7911549999999998E-2</v>
      </c>
      <c r="W5419">
        <v>-9.2107869999999994E-2</v>
      </c>
      <c r="X5419">
        <v>0.99558789999999997</v>
      </c>
      <c r="Y5419">
        <v>2.074225E-2</v>
      </c>
      <c r="Z5419">
        <v>-2.2519799999999999E-4</v>
      </c>
      <c r="AA5419">
        <v>0.99978480000000003</v>
      </c>
      <c r="AB5419">
        <v>20</v>
      </c>
      <c r="AC5419">
        <v>22.0109999999999</v>
      </c>
      <c r="AD5419">
        <v>-1.1208062712310001</v>
      </c>
      <c r="AE5419">
        <v>-0.67386999999999697</v>
      </c>
      <c r="AF5419">
        <v>0.461135046705693</v>
      </c>
      <c r="AG5419">
        <v>-1.1208062712310001</v>
      </c>
      <c r="AH5419">
        <v>21.9595740316296</v>
      </c>
      <c r="AI5419">
        <v>92.9211712165378</v>
      </c>
      <c r="AJ5419">
        <v>88.797007204234006</v>
      </c>
      <c r="AK5419">
        <v>21.992993063236099</v>
      </c>
      <c r="AL5419">
        <v>95.284883085794903</v>
      </c>
      <c r="AM5419">
        <v>91.030693037812995</v>
      </c>
      <c r="AN5419">
        <v>0.99999997498287396</v>
      </c>
    </row>
    <row r="5420" spans="1:40" x14ac:dyDescent="0.25">
      <c r="A5420" t="str">
        <f>"20190303154626714"</f>
        <v>20190303154626714</v>
      </c>
      <c r="B5420" t="str">
        <f>"1551599186706701"</f>
        <v>1551599186706701</v>
      </c>
      <c r="C5420" t="s">
        <v>40</v>
      </c>
      <c r="D5420">
        <v>5.5307240000000002</v>
      </c>
      <c r="E5420">
        <v>0.51443179999999999</v>
      </c>
      <c r="F5420" t="s">
        <v>67</v>
      </c>
      <c r="G5420">
        <v>-363.83969999999999</v>
      </c>
      <c r="H5420" s="1">
        <v>-3.3657869999999999E-6</v>
      </c>
      <c r="I5420">
        <v>17.060790000000001</v>
      </c>
      <c r="J5420">
        <v>-385.84879999999998</v>
      </c>
      <c r="K5420">
        <v>1.1208039999999999</v>
      </c>
      <c r="L5420">
        <v>17.72842</v>
      </c>
      <c r="M5420">
        <v>0.99991609999999997</v>
      </c>
      <c r="N5420">
        <v>-9.3466529999999999E-3</v>
      </c>
      <c r="O5420">
        <v>-8.9714489999999994E-3</v>
      </c>
      <c r="P5420">
        <v>0.99482459999999995</v>
      </c>
      <c r="Q5420">
        <v>-0.1011539</v>
      </c>
      <c r="R5420">
        <v>9.5984820000000002E-3</v>
      </c>
      <c r="S5420">
        <v>3.0009769999999998</v>
      </c>
      <c r="T5420">
        <v>-0.15142139999999901</v>
      </c>
      <c r="U5420">
        <v>-9.036255E-2</v>
      </c>
      <c r="V5420">
        <v>-1.8446029999999999E-2</v>
      </c>
      <c r="W5420">
        <v>-9.1867950000000004E-2</v>
      </c>
      <c r="X5420">
        <v>0.99560029999999999</v>
      </c>
      <c r="Y5420">
        <v>2.1104189999999998E-2</v>
      </c>
      <c r="Z5420">
        <v>-2.6222799999999998E-4</v>
      </c>
      <c r="AA5420">
        <v>0.99977729999999998</v>
      </c>
      <c r="AB5420">
        <v>20</v>
      </c>
      <c r="AC5420">
        <v>22.009099999999901</v>
      </c>
      <c r="AD5420">
        <v>-1.1208073657869999</v>
      </c>
      <c r="AE5420">
        <v>-0.66762999999999895</v>
      </c>
      <c r="AF5420">
        <v>0.468926030326625</v>
      </c>
      <c r="AG5420">
        <v>-1.1208073657869999</v>
      </c>
      <c r="AH5420">
        <v>21.9573138926573</v>
      </c>
      <c r="AI5420">
        <v>92.921452191016897</v>
      </c>
      <c r="AJ5420">
        <v>88.776562605533499</v>
      </c>
      <c r="AK5420">
        <v>21.990901167387399</v>
      </c>
      <c r="AL5420">
        <v>95.271078193981197</v>
      </c>
      <c r="AM5420">
        <v>91.061428728975699</v>
      </c>
      <c r="AN5420">
        <v>0.99999996681002601</v>
      </c>
    </row>
    <row r="5421" spans="1:40" x14ac:dyDescent="0.25">
      <c r="A5421" t="str">
        <f>"20190303154626735"</f>
        <v>20190303154626735</v>
      </c>
      <c r="B5421" t="str">
        <f>"1551599186727197"</f>
        <v>1551599186727197</v>
      </c>
      <c r="C5421" t="s">
        <v>40</v>
      </c>
      <c r="D5421">
        <v>5.5201960000000003</v>
      </c>
      <c r="E5421">
        <v>0.51443589999999995</v>
      </c>
      <c r="F5421" t="s">
        <v>67</v>
      </c>
      <c r="G5421">
        <v>-363.54300000000001</v>
      </c>
      <c r="H5421" s="1">
        <v>-3.5020629999999999E-6</v>
      </c>
      <c r="I5421">
        <v>17.083110000000001</v>
      </c>
      <c r="J5421">
        <v>-385.65519999999998</v>
      </c>
      <c r="K5421">
        <v>1.1208070000000001</v>
      </c>
      <c r="L5421">
        <v>17.72739</v>
      </c>
      <c r="M5421">
        <v>0.99992139999999996</v>
      </c>
      <c r="N5421">
        <v>-9.3472999999999994E-3</v>
      </c>
      <c r="O5421">
        <v>-8.3678199999999998E-3</v>
      </c>
      <c r="P5421">
        <v>0.9948477</v>
      </c>
      <c r="Q5421">
        <v>-0.10082729999999999</v>
      </c>
      <c r="R5421">
        <v>1.0609199999999999E-2</v>
      </c>
      <c r="S5421">
        <v>3.001099</v>
      </c>
      <c r="T5421">
        <v>-0.1507975</v>
      </c>
      <c r="U5421">
        <v>-8.6822510000000006E-2</v>
      </c>
      <c r="V5421">
        <v>-1.8857720000000001E-2</v>
      </c>
      <c r="W5421">
        <v>-9.1540720000000006E-2</v>
      </c>
      <c r="X5421">
        <v>0.99562280000000003</v>
      </c>
      <c r="Y5421">
        <v>2.052874E-2</v>
      </c>
      <c r="Z5421">
        <v>-2.6943589999999998E-4</v>
      </c>
      <c r="AA5421">
        <v>0.99978920000000004</v>
      </c>
      <c r="AB5421">
        <v>20</v>
      </c>
      <c r="AC5421">
        <v>22.112199999999898</v>
      </c>
      <c r="AD5421">
        <v>-1.1208105020629999</v>
      </c>
      <c r="AE5421">
        <v>-0.64427999999999797</v>
      </c>
      <c r="AF5421">
        <v>0.45804265452599802</v>
      </c>
      <c r="AG5421">
        <v>-1.1208105020629999</v>
      </c>
      <c r="AH5421">
        <v>22.060187926933398</v>
      </c>
      <c r="AI5421">
        <v>92.907896274631995</v>
      </c>
      <c r="AJ5421">
        <v>88.810520535017005</v>
      </c>
      <c r="AK5421">
        <v>22.093390654820599</v>
      </c>
      <c r="AL5421">
        <v>95.252249581087</v>
      </c>
      <c r="AM5421">
        <v>91.085088238298198</v>
      </c>
      <c r="AN5421">
        <v>1.0000000384507699</v>
      </c>
    </row>
    <row r="5422" spans="1:40" x14ac:dyDescent="0.25">
      <c r="A5422" t="str">
        <f>"20190303154626759"</f>
        <v>20190303154626759</v>
      </c>
      <c r="B5422" t="str">
        <f>"1551599186756478"</f>
        <v>1551599186756478</v>
      </c>
      <c r="C5422" t="s">
        <v>40</v>
      </c>
      <c r="D5422">
        <v>5.5486500000000003</v>
      </c>
      <c r="E5422">
        <v>0.51447149999999997</v>
      </c>
      <c r="F5422" t="s">
        <v>67</v>
      </c>
      <c r="G5422">
        <v>-363.24590000000001</v>
      </c>
      <c r="H5422" s="1">
        <v>-3.6395079999999998E-6</v>
      </c>
      <c r="I5422">
        <v>17.09984</v>
      </c>
      <c r="J5422">
        <v>-385.43979999999999</v>
      </c>
      <c r="K5422">
        <v>1.1208009999999999</v>
      </c>
      <c r="L5422">
        <v>17.72635</v>
      </c>
      <c r="M5422">
        <v>0.99992669999999995</v>
      </c>
      <c r="N5422">
        <v>-9.3482570000000004E-3</v>
      </c>
      <c r="O5422">
        <v>-7.7026869999999997E-3</v>
      </c>
      <c r="P5422">
        <v>0.99480489999999999</v>
      </c>
      <c r="Q5422">
        <v>-0.1011671</v>
      </c>
      <c r="R5422">
        <v>1.13464E-2</v>
      </c>
      <c r="S5422">
        <v>3.0012210000000001</v>
      </c>
      <c r="T5422">
        <v>-0.15010799999999999</v>
      </c>
      <c r="U5422">
        <v>-8.4045410000000001E-2</v>
      </c>
      <c r="V5422">
        <v>-1.893309E-2</v>
      </c>
      <c r="W5422">
        <v>-9.1879790000000003E-2</v>
      </c>
      <c r="X5422">
        <v>0.99559010000000003</v>
      </c>
      <c r="Y5422">
        <v>2.026824E-2</v>
      </c>
      <c r="Z5422">
        <v>-2.8831050000000002E-4</v>
      </c>
      <c r="AA5422">
        <v>0.99979450000000003</v>
      </c>
      <c r="AB5422">
        <v>20</v>
      </c>
      <c r="AC5422">
        <v>22.1938999999999</v>
      </c>
      <c r="AD5422">
        <v>-1.120804639508</v>
      </c>
      <c r="AE5422">
        <v>-0.62650999999999901</v>
      </c>
      <c r="AF5422">
        <v>0.45437341843409401</v>
      </c>
      <c r="AG5422">
        <v>-1.120804639508</v>
      </c>
      <c r="AH5422">
        <v>22.141644510764198</v>
      </c>
      <c r="AI5422">
        <v>92.897216035505195</v>
      </c>
      <c r="AJ5422">
        <v>88.824386071527499</v>
      </c>
      <c r="AK5422">
        <v>22.174649487294602</v>
      </c>
      <c r="AL5422">
        <v>95.271759268848399</v>
      </c>
      <c r="AM5422">
        <v>91.089459818381997</v>
      </c>
      <c r="AN5422">
        <v>1.0000000024627</v>
      </c>
    </row>
    <row r="5423" spans="1:40" x14ac:dyDescent="0.25">
      <c r="A5423" t="str">
        <f>"20190303154626783"</f>
        <v>20190303154626783</v>
      </c>
      <c r="B5423" t="str">
        <f>"1551599186776973"</f>
        <v>1551599186776973</v>
      </c>
      <c r="C5423" t="s">
        <v>40</v>
      </c>
      <c r="D5423">
        <v>5.5490640000000004</v>
      </c>
      <c r="E5423">
        <v>0.51446689999999995</v>
      </c>
      <c r="F5423" t="s">
        <v>67</v>
      </c>
      <c r="G5423">
        <v>-363.2106</v>
      </c>
      <c r="H5423" s="1">
        <v>-3.6529580000000001E-6</v>
      </c>
      <c r="I5423">
        <v>17.118089999999999</v>
      </c>
      <c r="J5423">
        <v>-385.22120000000001</v>
      </c>
      <c r="K5423">
        <v>1.120795</v>
      </c>
      <c r="L5423">
        <v>17.725429999999999</v>
      </c>
      <c r="M5423">
        <v>0.99993160000000003</v>
      </c>
      <c r="N5423">
        <v>-9.3491689999999992E-3</v>
      </c>
      <c r="O5423">
        <v>-7.0354019999999996E-3</v>
      </c>
      <c r="P5423">
        <v>0.99479030000000002</v>
      </c>
      <c r="Q5423">
        <v>-0.1011644</v>
      </c>
      <c r="R5423">
        <v>1.257928E-2</v>
      </c>
      <c r="S5423">
        <v>3.0012210000000001</v>
      </c>
      <c r="T5423">
        <v>-0.15132279999999901</v>
      </c>
      <c r="U5423">
        <v>-8.2122799999999996E-2</v>
      </c>
      <c r="V5423">
        <v>-1.95023E-2</v>
      </c>
      <c r="W5423">
        <v>-9.1876609999999997E-2</v>
      </c>
      <c r="X5423">
        <v>0.9955794</v>
      </c>
      <c r="Y5423">
        <v>2.029452E-2</v>
      </c>
      <c r="Z5423">
        <v>-3.1747500000000001E-4</v>
      </c>
      <c r="AA5423">
        <v>0.99979399999999996</v>
      </c>
      <c r="AB5423">
        <v>20</v>
      </c>
      <c r="AC5423">
        <v>22.0106</v>
      </c>
      <c r="AD5423">
        <v>-1.1207986529580001</v>
      </c>
      <c r="AE5423">
        <v>-0.60733999999999999</v>
      </c>
      <c r="AF5423">
        <v>0.45129549974042799</v>
      </c>
      <c r="AG5423">
        <v>-1.1207986529580001</v>
      </c>
      <c r="AH5423">
        <v>21.957437417863598</v>
      </c>
      <c r="AI5423">
        <v>92.921462168362496</v>
      </c>
      <c r="AJ5423">
        <v>88.822554432214403</v>
      </c>
      <c r="AK5423">
        <v>21.990655179142699</v>
      </c>
      <c r="AL5423">
        <v>95.271576326187002</v>
      </c>
      <c r="AM5423">
        <v>91.122217463585997</v>
      </c>
      <c r="AN5423">
        <v>0.99999999643737103</v>
      </c>
    </row>
    <row r="5424" spans="1:40" x14ac:dyDescent="0.25">
      <c r="A5424" t="str">
        <f>"20190303154626804"</f>
        <v>20190303154626804</v>
      </c>
      <c r="B5424" t="str">
        <f>"1551599186796493"</f>
        <v>1551599186796493</v>
      </c>
      <c r="C5424" t="s">
        <v>40</v>
      </c>
      <c r="D5424">
        <v>5.5748639999999998</v>
      </c>
      <c r="E5424">
        <v>0.51446020000000003</v>
      </c>
      <c r="F5424" t="s">
        <v>67</v>
      </c>
      <c r="G5424">
        <v>-363.00740000000002</v>
      </c>
      <c r="H5424" s="1">
        <v>-3.744067E-6</v>
      </c>
      <c r="I5424">
        <v>17.146059999999999</v>
      </c>
      <c r="J5424">
        <v>-385.0265</v>
      </c>
      <c r="K5424">
        <v>1.1208</v>
      </c>
      <c r="L5424">
        <v>17.724729999999902</v>
      </c>
      <c r="M5424">
        <v>0.99993560000000004</v>
      </c>
      <c r="N5424">
        <v>-9.3499919999999997E-3</v>
      </c>
      <c r="O5424">
        <v>-6.4476159999999998E-3</v>
      </c>
      <c r="P5424">
        <v>0.99479980000000001</v>
      </c>
      <c r="Q5424">
        <v>-0.1009414</v>
      </c>
      <c r="R5424">
        <v>1.35747E-2</v>
      </c>
      <c r="S5424">
        <v>3.0012819999999998</v>
      </c>
      <c r="T5424">
        <v>-0.15143000000000001</v>
      </c>
      <c r="U5424">
        <v>-7.8277589999999994E-2</v>
      </c>
      <c r="V5424">
        <v>-1.991383E-2</v>
      </c>
      <c r="W5424">
        <v>-9.1652990000000004E-2</v>
      </c>
      <c r="X5424">
        <v>0.99559189999999997</v>
      </c>
      <c r="Y5424">
        <v>1.9602169999999999E-2</v>
      </c>
      <c r="Z5424">
        <v>-3.2104529999999999E-4</v>
      </c>
      <c r="AA5424">
        <v>0.99980780000000002</v>
      </c>
      <c r="AB5424">
        <v>21</v>
      </c>
      <c r="AC5424">
        <v>22.019099999999899</v>
      </c>
      <c r="AD5424">
        <v>-1.120803744067</v>
      </c>
      <c r="AE5424">
        <v>-0.57866999999999502</v>
      </c>
      <c r="AF5424">
        <v>0.43555335649555998</v>
      </c>
      <c r="AG5424">
        <v>-1.120803744067</v>
      </c>
      <c r="AH5424">
        <v>21.9655011086891</v>
      </c>
      <c r="AI5424">
        <v>92.920447391982606</v>
      </c>
      <c r="AJ5424">
        <v>88.864032329204903</v>
      </c>
      <c r="AK5424">
        <v>21.9983896391279</v>
      </c>
      <c r="AL5424">
        <v>95.258709371546004</v>
      </c>
      <c r="AM5424">
        <v>91.145877430864303</v>
      </c>
      <c r="AN5424">
        <v>1.0000000312734001</v>
      </c>
    </row>
    <row r="5425" spans="1:40" x14ac:dyDescent="0.25">
      <c r="A5425" t="str">
        <f>"20190303154626826"</f>
        <v>20190303154626826</v>
      </c>
      <c r="B5425" t="str">
        <f>"1551599186816989"</f>
        <v>1551599186816989</v>
      </c>
      <c r="C5425" t="s">
        <v>40</v>
      </c>
      <c r="D5425">
        <v>5.544899</v>
      </c>
      <c r="E5425">
        <v>0.51444619999999996</v>
      </c>
      <c r="F5425" t="s">
        <v>67</v>
      </c>
      <c r="G5425">
        <v>-362.76330000000002</v>
      </c>
      <c r="H5425" s="1">
        <v>-3.8557059999999999E-6</v>
      </c>
      <c r="I5425">
        <v>17.167179999999998</v>
      </c>
      <c r="J5425">
        <v>-384.82150000000001</v>
      </c>
      <c r="K5425">
        <v>1.1208020000000001</v>
      </c>
      <c r="L5425">
        <v>17.724150000000002</v>
      </c>
      <c r="M5425">
        <v>0.99993929999999998</v>
      </c>
      <c r="N5425">
        <v>-9.3508329999999994E-3</v>
      </c>
      <c r="O5425">
        <v>-5.8333589999999998E-3</v>
      </c>
      <c r="P5425">
        <v>0.9948707</v>
      </c>
      <c r="Q5425">
        <v>-0.1001536</v>
      </c>
      <c r="R5425">
        <v>1.419694E-2</v>
      </c>
      <c r="S5425">
        <v>3.0013730000000001</v>
      </c>
      <c r="T5425">
        <v>-0.15109929999999999</v>
      </c>
      <c r="U5425">
        <v>-7.5164789999999995E-2</v>
      </c>
      <c r="V5425">
        <v>-1.992619E-2</v>
      </c>
      <c r="W5425">
        <v>-9.0863589999999994E-2</v>
      </c>
      <c r="X5425">
        <v>0.99566399999999999</v>
      </c>
      <c r="Y5425">
        <v>1.917951E-2</v>
      </c>
      <c r="Z5425">
        <v>-3.3323519999999999E-4</v>
      </c>
      <c r="AA5425">
        <v>0.99981600000000004</v>
      </c>
      <c r="AB5425">
        <v>21</v>
      </c>
      <c r="AC5425">
        <v>22.058199999999999</v>
      </c>
      <c r="AD5425">
        <v>-1.1208058557060001</v>
      </c>
      <c r="AE5425">
        <v>-0.55697000000000296</v>
      </c>
      <c r="AF5425">
        <v>0.42717931804749498</v>
      </c>
      <c r="AG5425">
        <v>-1.1208058557060001</v>
      </c>
      <c r="AH5425">
        <v>22.004299565046999</v>
      </c>
      <c r="AI5425">
        <v>92.915336088926793</v>
      </c>
      <c r="AJ5425">
        <v>88.887831087659407</v>
      </c>
      <c r="AK5425">
        <v>22.0369663811578</v>
      </c>
      <c r="AL5425">
        <v>95.213290605793304</v>
      </c>
      <c r="AM5425">
        <v>91.146505450707707</v>
      </c>
      <c r="AN5425">
        <v>1.0000000229657999</v>
      </c>
    </row>
    <row r="5426" spans="1:40" x14ac:dyDescent="0.25">
      <c r="A5426" t="str">
        <f>"20190303154626848"</f>
        <v>20190303154626848</v>
      </c>
      <c r="B5426" t="str">
        <f>"1551599186836510"</f>
        <v>1551599186836510</v>
      </c>
      <c r="C5426" t="s">
        <v>40</v>
      </c>
      <c r="D5426">
        <v>5.5948979999999997</v>
      </c>
      <c r="E5426">
        <v>0.51442840000000001</v>
      </c>
      <c r="F5426" t="s">
        <v>67</v>
      </c>
      <c r="G5426">
        <v>-362.28269999999998</v>
      </c>
      <c r="H5426" s="1">
        <v>-4.0815139999999998E-6</v>
      </c>
      <c r="I5426">
        <v>17.174849999999999</v>
      </c>
      <c r="J5426">
        <v>-384.6216</v>
      </c>
      <c r="K5426">
        <v>1.120808</v>
      </c>
      <c r="L5426">
        <v>17.723689999999898</v>
      </c>
      <c r="M5426">
        <v>0.99994260000000001</v>
      </c>
      <c r="N5426">
        <v>-9.3516869999999992E-3</v>
      </c>
      <c r="O5426">
        <v>-5.2359059999999898E-3</v>
      </c>
      <c r="P5426">
        <v>0.99492769999999997</v>
      </c>
      <c r="Q5426">
        <v>-9.9497940000000007E-2</v>
      </c>
      <c r="R5426">
        <v>1.479629E-2</v>
      </c>
      <c r="S5426">
        <v>3.0014949999999998</v>
      </c>
      <c r="T5426">
        <v>-0.149258</v>
      </c>
      <c r="U5426">
        <v>-7.3150629999999994E-2</v>
      </c>
      <c r="V5426">
        <v>-1.9932129999999999E-2</v>
      </c>
      <c r="W5426">
        <v>-9.0206439999999999E-2</v>
      </c>
      <c r="X5426">
        <v>0.99572360000000004</v>
      </c>
      <c r="Y5426">
        <v>1.9105469999999999E-2</v>
      </c>
      <c r="Z5426">
        <v>-3.5285729999999998E-4</v>
      </c>
      <c r="AA5426">
        <v>0.99981739999999997</v>
      </c>
      <c r="AB5426">
        <v>21</v>
      </c>
      <c r="AC5426">
        <v>22.338899999999999</v>
      </c>
      <c r="AD5426">
        <v>-1.1208120815139999</v>
      </c>
      <c r="AE5426">
        <v>-0.548839999999998</v>
      </c>
      <c r="AF5426">
        <v>0.43077922099502902</v>
      </c>
      <c r="AG5426">
        <v>-1.1208120815139999</v>
      </c>
      <c r="AH5426">
        <v>22.2854014535645</v>
      </c>
      <c r="AI5426">
        <v>92.878645691991494</v>
      </c>
      <c r="AJ5426">
        <v>88.892604297125004</v>
      </c>
      <c r="AK5426">
        <v>22.317726326976999</v>
      </c>
      <c r="AL5426">
        <v>95.175483593768902</v>
      </c>
      <c r="AM5426">
        <v>91.146778505561301</v>
      </c>
      <c r="AN5426">
        <v>0.99999998961038505</v>
      </c>
    </row>
    <row r="5427" spans="1:40" x14ac:dyDescent="0.25">
      <c r="A5427" t="str">
        <f>"20190303154626869"</f>
        <v>20190303154626869</v>
      </c>
      <c r="B5427" t="str">
        <f>"1551599186866767"</f>
        <v>1551599186866767</v>
      </c>
      <c r="C5427" t="s">
        <v>40</v>
      </c>
      <c r="D5427">
        <v>5.6039409999999998</v>
      </c>
      <c r="E5427">
        <v>0.51442739999999998</v>
      </c>
      <c r="F5427" t="s">
        <v>67</v>
      </c>
      <c r="G5427">
        <v>-361.8818</v>
      </c>
      <c r="H5427" s="1">
        <v>-4.2694329999999996E-6</v>
      </c>
      <c r="I5427">
        <v>17.18384</v>
      </c>
      <c r="J5427">
        <v>-384.4171</v>
      </c>
      <c r="K5427">
        <v>1.1208089999999999</v>
      </c>
      <c r="L5427">
        <v>17.72336</v>
      </c>
      <c r="M5427">
        <v>0.99994559999999999</v>
      </c>
      <c r="N5427">
        <v>-9.3526149999999999E-3</v>
      </c>
      <c r="O5427">
        <v>-4.6254549999999997E-3</v>
      </c>
      <c r="P5427">
        <v>0.99493779999999998</v>
      </c>
      <c r="Q5427">
        <v>-9.9368540000000005E-2</v>
      </c>
      <c r="R5427">
        <v>1.4998030000000001E-2</v>
      </c>
      <c r="S5427">
        <v>3.0015869999999998</v>
      </c>
      <c r="T5427">
        <v>-0.14794399999999999</v>
      </c>
      <c r="U5427">
        <v>-7.1258539999999995E-2</v>
      </c>
      <c r="V5427">
        <v>-1.9527360000000001E-2</v>
      </c>
      <c r="W5427">
        <v>-9.0075569999999994E-2</v>
      </c>
      <c r="X5427">
        <v>0.9957435</v>
      </c>
      <c r="Y5427">
        <v>1.9085129999999999E-2</v>
      </c>
      <c r="Z5427">
        <v>-3.7474120000000001E-4</v>
      </c>
      <c r="AA5427">
        <v>0.99981779999999998</v>
      </c>
      <c r="AB5427">
        <v>21</v>
      </c>
      <c r="AC5427">
        <v>22.535299999999999</v>
      </c>
      <c r="AD5427">
        <v>-1.120813269433</v>
      </c>
      <c r="AE5427">
        <v>-0.539519999999999</v>
      </c>
      <c r="AF5427">
        <v>0.43420020840446399</v>
      </c>
      <c r="AG5427">
        <v>-1.120813269433</v>
      </c>
      <c r="AH5427">
        <v>22.4819736626803</v>
      </c>
      <c r="AI5427">
        <v>92.853521844659198</v>
      </c>
      <c r="AJ5427">
        <v>88.893569252010394</v>
      </c>
      <c r="AK5427">
        <v>22.514082081563199</v>
      </c>
      <c r="AL5427">
        <v>95.167954477204702</v>
      </c>
      <c r="AM5427">
        <v>91.123473984118206</v>
      </c>
      <c r="AN5427">
        <v>1.0000000219458201</v>
      </c>
    </row>
    <row r="5428" spans="1:40" x14ac:dyDescent="0.25">
      <c r="A5428" t="str">
        <f>"20190303154626893"</f>
        <v>20190303154626893</v>
      </c>
      <c r="B5428" t="str">
        <f>"1551599186887261"</f>
        <v>1551599186887261</v>
      </c>
      <c r="C5428" t="s">
        <v>40</v>
      </c>
      <c r="D5428">
        <v>5.6786760000000003</v>
      </c>
      <c r="E5428">
        <v>0.51433530000000005</v>
      </c>
      <c r="F5428" t="s">
        <v>67</v>
      </c>
      <c r="G5428">
        <v>-361.74869999999999</v>
      </c>
      <c r="H5428" s="1">
        <v>-4.3313539999999997E-6</v>
      </c>
      <c r="I5428">
        <v>17.18956</v>
      </c>
      <c r="J5428">
        <v>-384.20299999999997</v>
      </c>
      <c r="K5428">
        <v>1.120811</v>
      </c>
      <c r="L5428">
        <v>17.723109999999998</v>
      </c>
      <c r="M5428">
        <v>0.99994839999999996</v>
      </c>
      <c r="N5428">
        <v>-9.3536969999999994E-3</v>
      </c>
      <c r="O5428">
        <v>-3.9860340000000003E-3</v>
      </c>
      <c r="P5428">
        <v>0.99492879999999995</v>
      </c>
      <c r="Q5428">
        <v>-9.9471050000000005E-2</v>
      </c>
      <c r="R5428">
        <v>1.4918890000000001E-2</v>
      </c>
      <c r="S5428">
        <v>3.001465</v>
      </c>
      <c r="T5428">
        <v>-0.14840390000000001</v>
      </c>
      <c r="U5428">
        <v>-7.0678710000000006E-2</v>
      </c>
      <c r="V5428">
        <v>-1.8811649999999999E-2</v>
      </c>
      <c r="W5428">
        <v>-9.017638E-2</v>
      </c>
      <c r="X5428">
        <v>0.99574810000000002</v>
      </c>
      <c r="Y5428">
        <v>1.9531090000000001E-2</v>
      </c>
      <c r="Z5428">
        <v>-4.1423680000000001E-4</v>
      </c>
      <c r="AA5428">
        <v>0.99980910000000001</v>
      </c>
      <c r="AB5428">
        <v>21</v>
      </c>
      <c r="AC5428">
        <v>22.4543</v>
      </c>
      <c r="AD5428">
        <v>-1.1208153313539999</v>
      </c>
      <c r="AE5428">
        <v>-0.53355000000000097</v>
      </c>
      <c r="AF5428">
        <v>0.44293527892202</v>
      </c>
      <c r="AG5428">
        <v>-1.1208153313539999</v>
      </c>
      <c r="AH5428">
        <v>22.400468117936398</v>
      </c>
      <c r="AI5428">
        <v>92.863866867670396</v>
      </c>
      <c r="AJ5428">
        <v>88.867210490436705</v>
      </c>
      <c r="AK5428">
        <v>22.432864074188</v>
      </c>
      <c r="AL5428">
        <v>95.173754345759804</v>
      </c>
      <c r="AM5428">
        <v>91.082301789045502</v>
      </c>
      <c r="AN5428">
        <v>0.999999968169618</v>
      </c>
    </row>
    <row r="5429" spans="1:40" x14ac:dyDescent="0.25">
      <c r="A5429" t="str">
        <f>"20190303154626914"</f>
        <v>20190303154626914</v>
      </c>
      <c r="B5429" t="str">
        <f>"1551599186906782"</f>
        <v>1551599186906782</v>
      </c>
      <c r="C5429" t="s">
        <v>40</v>
      </c>
      <c r="D5429">
        <v>5.7211080000000001</v>
      </c>
      <c r="E5429">
        <v>0.51422879999999904</v>
      </c>
      <c r="F5429" t="s">
        <v>67</v>
      </c>
      <c r="G5429">
        <v>-361.81979999999999</v>
      </c>
      <c r="H5429" s="1">
        <v>-4.2959389999999998E-6</v>
      </c>
      <c r="I5429">
        <v>17.199639999999999</v>
      </c>
      <c r="J5429">
        <v>-383.99770000000001</v>
      </c>
      <c r="K5429">
        <v>1.1208119999999999</v>
      </c>
      <c r="L5429">
        <v>17.722989999999999</v>
      </c>
      <c r="M5429">
        <v>0.99995060000000002</v>
      </c>
      <c r="N5429">
        <v>-9.354757E-3</v>
      </c>
      <c r="O5429">
        <v>-3.371761E-3</v>
      </c>
      <c r="P5429">
        <v>0.99498149999999996</v>
      </c>
      <c r="Q5429">
        <v>-9.899057E-2</v>
      </c>
      <c r="R5429">
        <v>1.4598720000000001E-2</v>
      </c>
      <c r="S5429">
        <v>3.001312</v>
      </c>
      <c r="T5429">
        <v>-0.15028749999999999</v>
      </c>
      <c r="U5429">
        <v>-7.0190429999999998E-2</v>
      </c>
      <c r="V5429">
        <v>-1.788085E-2</v>
      </c>
      <c r="W5429">
        <v>-8.9693519999999999E-2</v>
      </c>
      <c r="X5429">
        <v>0.9958089</v>
      </c>
      <c r="Y5429">
        <v>1.9982159999999999E-2</v>
      </c>
      <c r="Z5429">
        <v>-4.5627560000000001E-4</v>
      </c>
      <c r="AA5429">
        <v>0.99980020000000003</v>
      </c>
      <c r="AB5429">
        <v>21</v>
      </c>
      <c r="AC5429">
        <v>22.177900000000001</v>
      </c>
      <c r="AD5429">
        <v>-1.120816295939</v>
      </c>
      <c r="AE5429">
        <v>-0.52334999999999998</v>
      </c>
      <c r="AF5429">
        <v>0.44742307607887</v>
      </c>
      <c r="AG5429">
        <v>-1.120816295939</v>
      </c>
      <c r="AH5429">
        <v>22.123066814449</v>
      </c>
      <c r="AI5429">
        <v>92.899692411956494</v>
      </c>
      <c r="AJ5429">
        <v>88.841392116279096</v>
      </c>
      <c r="AK5429">
        <v>22.155958608347898</v>
      </c>
      <c r="AL5429">
        <v>95.1459757266623</v>
      </c>
      <c r="AM5429">
        <v>91.0286985320935</v>
      </c>
      <c r="AN5429">
        <v>1.0000000088229599</v>
      </c>
    </row>
    <row r="5430" spans="1:40" x14ac:dyDescent="0.25">
      <c r="A5430" t="str">
        <f>"20190303154626938"</f>
        <v>20190303154626938</v>
      </c>
      <c r="B5430" t="str">
        <f>"1551599186926302"</f>
        <v>1551599186926302</v>
      </c>
      <c r="C5430" t="s">
        <v>40</v>
      </c>
      <c r="D5430">
        <v>5.9083560000000004</v>
      </c>
      <c r="E5430">
        <v>0.51435410000000004</v>
      </c>
      <c r="F5430" t="s">
        <v>67</v>
      </c>
      <c r="G5430">
        <v>-361.6454</v>
      </c>
      <c r="H5430" s="1">
        <v>-4.3785560000000004E-6</v>
      </c>
      <c r="I5430">
        <v>17.19886</v>
      </c>
      <c r="J5430">
        <v>-383.78559999999999</v>
      </c>
      <c r="K5430">
        <v>1.120816</v>
      </c>
      <c r="L5430">
        <v>17.722989999999999</v>
      </c>
      <c r="M5430">
        <v>0.99995259999999997</v>
      </c>
      <c r="N5430">
        <v>-9.3558080000000002E-3</v>
      </c>
      <c r="O5430">
        <v>-2.7362659999999998E-3</v>
      </c>
      <c r="P5430">
        <v>0.99507769999999995</v>
      </c>
      <c r="Q5430">
        <v>-9.8107799999999995E-2</v>
      </c>
      <c r="R5430">
        <v>1.3978999999999899E-2</v>
      </c>
      <c r="S5430">
        <v>3.0011899999999998</v>
      </c>
      <c r="T5430">
        <v>-0.15048900000000001</v>
      </c>
      <c r="U5430">
        <v>-7.0373539999999998E-2</v>
      </c>
      <c r="V5430">
        <v>-1.6629540000000002E-2</v>
      </c>
      <c r="W5430">
        <v>-8.8807739999999996E-2</v>
      </c>
      <c r="X5430">
        <v>0.99590990000000001</v>
      </c>
      <c r="Y5430">
        <v>2.0677830000000001E-2</v>
      </c>
      <c r="Z5430">
        <v>-5.0333059999999995E-4</v>
      </c>
      <c r="AA5430">
        <v>0.99978610000000001</v>
      </c>
      <c r="AB5430">
        <v>21</v>
      </c>
      <c r="AC5430">
        <v>22.1402</v>
      </c>
      <c r="AD5430">
        <v>-1.120820378556</v>
      </c>
      <c r="AE5430">
        <v>-0.52412999999999899</v>
      </c>
      <c r="AF5430">
        <v>0.46235966038940801</v>
      </c>
      <c r="AG5430">
        <v>-1.120820378556</v>
      </c>
      <c r="AH5430">
        <v>22.084984384503699</v>
      </c>
      <c r="AI5430">
        <v>92.904652104930193</v>
      </c>
      <c r="AJ5430">
        <v>88.8006607841467</v>
      </c>
      <c r="AK5430">
        <v>22.1182402111993</v>
      </c>
      <c r="AL5430">
        <v>95.095021257635096</v>
      </c>
      <c r="AM5430">
        <v>90.956626617848102</v>
      </c>
      <c r="AN5430">
        <v>0.99999994260126202</v>
      </c>
    </row>
    <row r="5431" spans="1:40" x14ac:dyDescent="0.25">
      <c r="A5431" t="str">
        <f>"20190303154626960"</f>
        <v>20190303154626960</v>
      </c>
      <c r="B5431" t="str">
        <f>"1551599186956558"</f>
        <v>1551599186956558</v>
      </c>
      <c r="C5431" t="s">
        <v>40</v>
      </c>
      <c r="D5431">
        <v>5.7837699999999996</v>
      </c>
      <c r="E5431">
        <v>0.51511379999999996</v>
      </c>
      <c r="F5431" t="s">
        <v>67</v>
      </c>
      <c r="G5431">
        <v>-361.07639999999998</v>
      </c>
      <c r="H5431" s="1">
        <v>-4.6527810000000003E-6</v>
      </c>
      <c r="I5431">
        <v>17.169029999999999</v>
      </c>
      <c r="J5431">
        <v>-383.5772</v>
      </c>
      <c r="K5431">
        <v>1.120816</v>
      </c>
      <c r="L5431">
        <v>17.723140000000001</v>
      </c>
      <c r="M5431">
        <v>0.99995400000000001</v>
      </c>
      <c r="N5431">
        <v>-9.3568780000000008E-3</v>
      </c>
      <c r="O5431">
        <v>-2.111974E-3</v>
      </c>
      <c r="P5431">
        <v>0.99518309999999999</v>
      </c>
      <c r="Q5431">
        <v>-9.7008479999999994E-2</v>
      </c>
      <c r="R5431">
        <v>1.4150380000000001E-2</v>
      </c>
      <c r="S5431">
        <v>3.0012509999999999</v>
      </c>
      <c r="T5431">
        <v>-0.14812800000000001</v>
      </c>
      <c r="U5431">
        <v>-7.3211670000000006E-2</v>
      </c>
      <c r="V5431">
        <v>-1.6180449999999999E-2</v>
      </c>
      <c r="W5431">
        <v>-8.7706010000000001E-2</v>
      </c>
      <c r="X5431">
        <v>0.99601499999999998</v>
      </c>
      <c r="Y5431">
        <v>2.2244460000000001E-2</v>
      </c>
      <c r="Z5431">
        <v>-5.6828119999999998E-4</v>
      </c>
      <c r="AA5431">
        <v>0.99975239999999999</v>
      </c>
      <c r="AB5431">
        <v>21</v>
      </c>
      <c r="AC5431">
        <v>22.500800000000002</v>
      </c>
      <c r="AD5431">
        <v>-1.1208206527810001</v>
      </c>
      <c r="AE5431">
        <v>-0.55411000000000099</v>
      </c>
      <c r="AF5431">
        <v>0.50533246645578</v>
      </c>
      <c r="AG5431">
        <v>-1.1208206527810001</v>
      </c>
      <c r="AH5431">
        <v>22.446258363934898</v>
      </c>
      <c r="AI5431">
        <v>92.857882647151499</v>
      </c>
      <c r="AJ5431">
        <v>88.710318349607405</v>
      </c>
      <c r="AK5431">
        <v>22.4799046790211</v>
      </c>
      <c r="AL5431">
        <v>95.031649110192305</v>
      </c>
      <c r="AM5431">
        <v>90.930698789936102</v>
      </c>
      <c r="AN5431">
        <v>1.0000000156886599</v>
      </c>
    </row>
    <row r="5432" spans="1:40" x14ac:dyDescent="0.25">
      <c r="A5432" t="str">
        <f>"20190303154626984"</f>
        <v>20190303154626984</v>
      </c>
      <c r="B5432" t="str">
        <f>"1551599186977053"</f>
        <v>1551599186977053</v>
      </c>
      <c r="C5432" t="s">
        <v>40</v>
      </c>
      <c r="D5432">
        <v>5.7934710000000003</v>
      </c>
      <c r="E5432">
        <v>0.51558800000000005</v>
      </c>
      <c r="F5432" t="s">
        <v>67</v>
      </c>
      <c r="G5432">
        <v>-360.43720000000002</v>
      </c>
      <c r="H5432" s="1">
        <v>-4.964335E-6</v>
      </c>
      <c r="I5432">
        <v>17.116129999999998</v>
      </c>
      <c r="J5432">
        <v>-383.35359999999997</v>
      </c>
      <c r="K5432">
        <v>1.120817</v>
      </c>
      <c r="L5432">
        <v>17.72345</v>
      </c>
      <c r="M5432">
        <v>0.99995520000000004</v>
      </c>
      <c r="N5432">
        <v>-9.3580099999999999E-3</v>
      </c>
      <c r="O5432">
        <v>-1.446814E-3</v>
      </c>
      <c r="P5432">
        <v>0.99525280000000005</v>
      </c>
      <c r="Q5432">
        <v>-9.6217449999999996E-2</v>
      </c>
      <c r="R5432">
        <v>1.4622919999999999E-2</v>
      </c>
      <c r="S5432">
        <v>3.001465</v>
      </c>
      <c r="T5432">
        <v>-0.14538010000000001</v>
      </c>
      <c r="U5432">
        <v>-7.8735349999999996E-2</v>
      </c>
      <c r="V5432">
        <v>-1.599159E-2</v>
      </c>
      <c r="W5432">
        <v>-8.6912970000000006E-2</v>
      </c>
      <c r="X5432">
        <v>0.99608759999999996</v>
      </c>
      <c r="Y5432">
        <v>2.4743390000000001E-2</v>
      </c>
      <c r="Z5432">
        <v>-6.5817019999999998E-4</v>
      </c>
      <c r="AA5432">
        <v>0.99969359999999996</v>
      </c>
      <c r="AB5432">
        <v>21</v>
      </c>
      <c r="AC5432">
        <v>22.9163999999999</v>
      </c>
      <c r="AD5432">
        <v>-1.1208219643349999</v>
      </c>
      <c r="AE5432">
        <v>-0.60732000000000097</v>
      </c>
      <c r="AF5432">
        <v>0.57279292528563597</v>
      </c>
      <c r="AG5432">
        <v>-1.1208219643349999</v>
      </c>
      <c r="AH5432">
        <v>22.862603335862602</v>
      </c>
      <c r="AI5432">
        <v>92.805756522604696</v>
      </c>
      <c r="AJ5432">
        <v>88.564828657624702</v>
      </c>
      <c r="AK5432">
        <v>22.897226139949598</v>
      </c>
      <c r="AL5432">
        <v>94.986036906129101</v>
      </c>
      <c r="AM5432">
        <v>90.919770417351003</v>
      </c>
      <c r="AN5432">
        <v>1.0000000510893501</v>
      </c>
    </row>
    <row r="5433" spans="1:40" x14ac:dyDescent="0.25">
      <c r="A5433" t="str">
        <f>"20190303154627004"</f>
        <v>20190303154627004</v>
      </c>
      <c r="B5433" t="str">
        <f>"1551599186996574"</f>
        <v>1551599186996574</v>
      </c>
      <c r="C5433" t="s">
        <v>40</v>
      </c>
      <c r="D5433">
        <v>5.7823659999999997</v>
      </c>
      <c r="E5433">
        <v>0.51608220000000005</v>
      </c>
      <c r="F5433" t="s">
        <v>41</v>
      </c>
      <c r="G5433">
        <v>-359.91660000000002</v>
      </c>
      <c r="H5433" s="1">
        <v>-6.8629160000000002E-7</v>
      </c>
      <c r="I5433">
        <v>17.091190000000001</v>
      </c>
      <c r="J5433">
        <v>-383.15660000000003</v>
      </c>
      <c r="K5433">
        <v>1.120819</v>
      </c>
      <c r="L5433">
        <v>17.723849999999999</v>
      </c>
      <c r="M5433">
        <v>0.99995599999999996</v>
      </c>
      <c r="N5433">
        <v>-9.3590080000000003E-3</v>
      </c>
      <c r="O5433">
        <v>-8.7097599999999998E-4</v>
      </c>
      <c r="P5433">
        <v>0.99523249999999996</v>
      </c>
      <c r="Q5433">
        <v>-9.6369850000000007E-2</v>
      </c>
      <c r="R5433">
        <v>1.5011200000000001E-2</v>
      </c>
      <c r="S5433">
        <v>3.001617</v>
      </c>
      <c r="T5433">
        <v>-0.1435448</v>
      </c>
      <c r="U5433">
        <v>-8.0963129999999994E-2</v>
      </c>
      <c r="V5433">
        <v>-1.5808039999999999E-2</v>
      </c>
      <c r="W5433">
        <v>-8.7064130000000003E-2</v>
      </c>
      <c r="X5433">
        <v>0.99607730000000005</v>
      </c>
      <c r="Y5433">
        <v>2.6057710000000001E-2</v>
      </c>
      <c r="Z5433">
        <v>-7.1117420000000003E-4</v>
      </c>
      <c r="AA5433">
        <v>0.9996602</v>
      </c>
      <c r="AB5433">
        <v>21</v>
      </c>
      <c r="AC5433">
        <v>23.24</v>
      </c>
      <c r="AD5433">
        <v>-1.1208196862916</v>
      </c>
      <c r="AE5433">
        <v>-0.632659999999997</v>
      </c>
      <c r="AF5433">
        <v>0.61099730169183997</v>
      </c>
      <c r="AG5433">
        <v>-1.1208196862916</v>
      </c>
      <c r="AH5433">
        <v>23.186651325409599</v>
      </c>
      <c r="AI5433">
        <v>92.766507993915496</v>
      </c>
      <c r="AJ5433">
        <v>88.490533772501294</v>
      </c>
      <c r="AK5433">
        <v>23.221764665028601</v>
      </c>
      <c r="AL5433">
        <v>94.994730835724098</v>
      </c>
      <c r="AM5433">
        <v>90.909224559772298</v>
      </c>
      <c r="AN5433">
        <v>1.0000000222182901</v>
      </c>
    </row>
    <row r="5434" spans="1:40" x14ac:dyDescent="0.25">
      <c r="A5434" t="str">
        <f>"20190303154627027"</f>
        <v>20190303154627027</v>
      </c>
      <c r="B5434" t="str">
        <f>"1551599187017070"</f>
        <v>1551599187017070</v>
      </c>
      <c r="C5434" t="s">
        <v>40</v>
      </c>
      <c r="D5434">
        <v>5.7532740000000002</v>
      </c>
      <c r="E5434">
        <v>0.51657900000000001</v>
      </c>
      <c r="F5434" t="s">
        <v>41</v>
      </c>
      <c r="G5434">
        <v>-359.88130000000001</v>
      </c>
      <c r="H5434" s="1">
        <v>-7.0249679999999998E-7</v>
      </c>
      <c r="I5434">
        <v>17.075369999999999</v>
      </c>
      <c r="J5434">
        <v>-382.94600000000003</v>
      </c>
      <c r="K5434">
        <v>1.1208129999999901</v>
      </c>
      <c r="L5434">
        <v>17.72437</v>
      </c>
      <c r="M5434">
        <v>0.99995630000000002</v>
      </c>
      <c r="N5434">
        <v>-9.3600899999999997E-3</v>
      </c>
      <c r="O5434">
        <v>-2.6739599999999999E-4</v>
      </c>
      <c r="P5434">
        <v>0.99526380000000003</v>
      </c>
      <c r="Q5434">
        <v>-9.599444E-2</v>
      </c>
      <c r="R5434">
        <v>1.534961E-2</v>
      </c>
      <c r="S5434">
        <v>3.0016479999999999</v>
      </c>
      <c r="T5434">
        <v>-0.14454420000000001</v>
      </c>
      <c r="U5434">
        <v>-8.3618159999999997E-2</v>
      </c>
      <c r="V5434">
        <v>-1.5547800000000001E-2</v>
      </c>
      <c r="W5434">
        <v>-8.6686750000000007E-2</v>
      </c>
      <c r="X5434">
        <v>0.99611430000000001</v>
      </c>
      <c r="Y5434">
        <v>2.754142E-2</v>
      </c>
      <c r="Z5434">
        <v>-7.8126249999999997E-4</v>
      </c>
      <c r="AA5434">
        <v>0.99962039999999996</v>
      </c>
      <c r="AB5434">
        <v>21</v>
      </c>
      <c r="AC5434">
        <v>23.064699999999899</v>
      </c>
      <c r="AD5434">
        <v>-1.1208137024967999</v>
      </c>
      <c r="AE5434">
        <v>-0.64900000000000002</v>
      </c>
      <c r="AF5434">
        <v>0.64131908032477802</v>
      </c>
      <c r="AG5434">
        <v>-1.1208137024967999</v>
      </c>
      <c r="AH5434">
        <v>23.010578320714401</v>
      </c>
      <c r="AI5434">
        <v>92.787514156870799</v>
      </c>
      <c r="AJ5434">
        <v>88.403544386418901</v>
      </c>
      <c r="AK5434">
        <v>23.0467834669445</v>
      </c>
      <c r="AL5434">
        <v>94.973026542149199</v>
      </c>
      <c r="AM5434">
        <v>90.894225682126901</v>
      </c>
      <c r="AN5434">
        <v>1.00000001268744</v>
      </c>
    </row>
    <row r="5435" spans="1:40" x14ac:dyDescent="0.25">
      <c r="A5435" t="str">
        <f>"20190303154627049"</f>
        <v>20190303154627049</v>
      </c>
      <c r="B5435" t="str">
        <f>"1551599187036591"</f>
        <v>1551599187036591</v>
      </c>
      <c r="C5435" t="s">
        <v>40</v>
      </c>
      <c r="D5435">
        <v>5.7674440000000002</v>
      </c>
      <c r="E5435">
        <v>0.51706540000000001</v>
      </c>
      <c r="F5435" t="s">
        <v>41</v>
      </c>
      <c r="G5435">
        <v>-359.59030000000001</v>
      </c>
      <c r="H5435" s="1">
        <v>-8.0798220000000005E-7</v>
      </c>
      <c r="I5435">
        <v>17.051110000000001</v>
      </c>
      <c r="J5435">
        <v>-382.74700000000001</v>
      </c>
      <c r="K5435">
        <v>1.120803</v>
      </c>
      <c r="L5435">
        <v>17.725010000000001</v>
      </c>
      <c r="M5435">
        <v>0.99995619999999996</v>
      </c>
      <c r="N5435">
        <v>-9.3610929999999992E-3</v>
      </c>
      <c r="O5435">
        <v>2.856693E-4</v>
      </c>
      <c r="P5435">
        <v>0.99524349999999995</v>
      </c>
      <c r="Q5435">
        <v>-9.6136990000000005E-2</v>
      </c>
      <c r="R5435">
        <v>1.5750119999999999E-2</v>
      </c>
      <c r="S5435">
        <v>3.001709</v>
      </c>
      <c r="T5435">
        <v>-0.14404919999999999</v>
      </c>
      <c r="U5435">
        <v>-8.6517330000000003E-2</v>
      </c>
      <c r="V5435">
        <v>-1.5399410000000001E-2</v>
      </c>
      <c r="W5435">
        <v>-8.6827929999999998E-2</v>
      </c>
      <c r="X5435">
        <v>0.99610430000000005</v>
      </c>
      <c r="Y5435">
        <v>2.9056140000000001E-2</v>
      </c>
      <c r="Z5435">
        <v>-8.4379219999999996E-4</v>
      </c>
      <c r="AA5435">
        <v>0.99957739999999995</v>
      </c>
      <c r="AB5435">
        <v>21</v>
      </c>
      <c r="AC5435">
        <v>23.156699999999901</v>
      </c>
      <c r="AD5435">
        <v>-1.1208038079822</v>
      </c>
      <c r="AE5435">
        <v>-0.67389999999999906</v>
      </c>
      <c r="AF5435">
        <v>0.67892628514095299</v>
      </c>
      <c r="AG5435">
        <v>-1.1208038079822</v>
      </c>
      <c r="AH5435">
        <v>23.1024316126088</v>
      </c>
      <c r="AI5435">
        <v>92.776303849187101</v>
      </c>
      <c r="AJ5435">
        <v>88.316695885311105</v>
      </c>
      <c r="AK5435">
        <v>23.139565434379001</v>
      </c>
      <c r="AL5435">
        <v>94.981146219541401</v>
      </c>
      <c r="AM5435">
        <v>90.885701345108401</v>
      </c>
      <c r="AN5435">
        <v>1.0000000038674599</v>
      </c>
    </row>
    <row r="5436" spans="1:40" x14ac:dyDescent="0.25">
      <c r="A5436" t="str">
        <f>"20190303154627071"</f>
        <v>20190303154627071</v>
      </c>
      <c r="B5436" t="str">
        <f>"1551599187066846"</f>
        <v>1551599187066846</v>
      </c>
      <c r="C5436" t="s">
        <v>40</v>
      </c>
      <c r="D5436">
        <v>5.7300810000000002</v>
      </c>
      <c r="E5436">
        <v>0.51780340000000002</v>
      </c>
      <c r="F5436" t="s">
        <v>41</v>
      </c>
      <c r="G5436">
        <v>-359.51639999999998</v>
      </c>
      <c r="H5436" s="1">
        <v>-8.374117E-7</v>
      </c>
      <c r="I5436">
        <v>17.035049999999998</v>
      </c>
      <c r="J5436">
        <v>-382.5292</v>
      </c>
      <c r="K5436">
        <v>1.120789</v>
      </c>
      <c r="L5436">
        <v>17.725739999999998</v>
      </c>
      <c r="M5436">
        <v>0.99995590000000001</v>
      </c>
      <c r="N5436">
        <v>-9.3622340000000005E-3</v>
      </c>
      <c r="O5436">
        <v>8.6352969999999995E-4</v>
      </c>
      <c r="P5436">
        <v>0.995282</v>
      </c>
      <c r="Q5436">
        <v>-9.5586450000000003E-2</v>
      </c>
      <c r="R5436">
        <v>1.664769E-2</v>
      </c>
      <c r="S5436">
        <v>3.00177</v>
      </c>
      <c r="T5436">
        <v>-0.14482590000000001</v>
      </c>
      <c r="U5436">
        <v>-8.9141849999999995E-2</v>
      </c>
      <c r="V5436">
        <v>-1.5725530000000001E-2</v>
      </c>
      <c r="W5436">
        <v>-8.6275459999999998E-2</v>
      </c>
      <c r="X5436">
        <v>0.99614720000000001</v>
      </c>
      <c r="Y5436">
        <v>3.0503530000000001E-2</v>
      </c>
      <c r="Z5436">
        <v>-9.1173440000000001E-4</v>
      </c>
      <c r="AA5436">
        <v>0.99953420000000004</v>
      </c>
      <c r="AB5436">
        <v>21</v>
      </c>
      <c r="AC5436">
        <v>23.012799999999999</v>
      </c>
      <c r="AD5436">
        <v>-1.12078983741169</v>
      </c>
      <c r="AE5436">
        <v>-0.69068999999999903</v>
      </c>
      <c r="AF5436">
        <v>0.70888291104810996</v>
      </c>
      <c r="AG5436">
        <v>-1.12078983741169</v>
      </c>
      <c r="AH5436">
        <v>22.9577887530873</v>
      </c>
      <c r="AI5436">
        <v>92.793608114465897</v>
      </c>
      <c r="AJ5436">
        <v>88.231402047706695</v>
      </c>
      <c r="AK5436">
        <v>22.9960594292283</v>
      </c>
      <c r="AL5436">
        <v>94.949372826336401</v>
      </c>
      <c r="AM5436">
        <v>90.904416199249098</v>
      </c>
      <c r="AN5436">
        <v>0.99999999567991604</v>
      </c>
    </row>
    <row r="5437" spans="1:40" x14ac:dyDescent="0.25">
      <c r="A5437" t="str">
        <f>"20190303154627094"</f>
        <v>20190303154627094</v>
      </c>
      <c r="B5437" t="str">
        <f>"1551599187086366"</f>
        <v>1551599187086366</v>
      </c>
      <c r="C5437" t="s">
        <v>40</v>
      </c>
      <c r="D5437">
        <v>5.7056110000000002</v>
      </c>
      <c r="E5437">
        <v>0.51829950000000002</v>
      </c>
      <c r="F5437" t="s">
        <v>41</v>
      </c>
      <c r="G5437">
        <v>-359.0471</v>
      </c>
      <c r="H5437" s="1">
        <v>-1.005365E-6</v>
      </c>
      <c r="I5437">
        <v>17.004020000000001</v>
      </c>
      <c r="J5437">
        <v>-382.30810000000002</v>
      </c>
      <c r="K5437">
        <v>1.120773</v>
      </c>
      <c r="L5437">
        <v>17.726589999999899</v>
      </c>
      <c r="M5437">
        <v>0.99995529999999999</v>
      </c>
      <c r="N5437">
        <v>-9.363405E-3</v>
      </c>
      <c r="O5437">
        <v>1.4134389999999901E-3</v>
      </c>
      <c r="P5437">
        <v>0.99536139999999995</v>
      </c>
      <c r="Q5437">
        <v>-9.4477679999999994E-2</v>
      </c>
      <c r="R5437">
        <v>1.8163240000000001E-2</v>
      </c>
      <c r="S5437">
        <v>3.002014</v>
      </c>
      <c r="T5437">
        <v>-0.14328479999999999</v>
      </c>
      <c r="U5437">
        <v>-9.2254639999999999E-2</v>
      </c>
      <c r="V5437">
        <v>-1.6699450000000001E-2</v>
      </c>
      <c r="W5437">
        <v>-8.516456E-2</v>
      </c>
      <c r="X5437">
        <v>0.99622699999999997</v>
      </c>
      <c r="Y5437">
        <v>3.2084519999999998E-2</v>
      </c>
      <c r="Z5437">
        <v>-9.6960830000000005E-4</v>
      </c>
      <c r="AA5437">
        <v>0.9994847</v>
      </c>
      <c r="AB5437">
        <v>21</v>
      </c>
      <c r="AC5437">
        <v>23.260999999999999</v>
      </c>
      <c r="AD5437">
        <v>-1.1207740053649999</v>
      </c>
      <c r="AE5437">
        <v>-0.72256999999999705</v>
      </c>
      <c r="AF5437">
        <v>0.75370064744308896</v>
      </c>
      <c r="AG5437">
        <v>-1.1207740053649999</v>
      </c>
      <c r="AH5437">
        <v>23.206132986244501</v>
      </c>
      <c r="AI5437">
        <v>92.763579691199297</v>
      </c>
      <c r="AJ5437">
        <v>88.139772295395503</v>
      </c>
      <c r="AK5437">
        <v>23.2454040019167</v>
      </c>
      <c r="AL5437">
        <v>94.885487508293593</v>
      </c>
      <c r="AM5437">
        <v>90.960341772625398</v>
      </c>
      <c r="AN5437">
        <v>1.0000000547196399</v>
      </c>
    </row>
    <row r="5438" spans="1:40" x14ac:dyDescent="0.25">
      <c r="A5438" t="str">
        <f>"20190303154627116"</f>
        <v>20190303154627116</v>
      </c>
      <c r="B5438" t="str">
        <f>"1551599187106862"</f>
        <v>1551599187106862</v>
      </c>
      <c r="C5438" t="s">
        <v>40</v>
      </c>
      <c r="D5438">
        <v>5.7231040000000002</v>
      </c>
      <c r="E5438">
        <v>0.51879549999999997</v>
      </c>
      <c r="F5438" t="s">
        <v>41</v>
      </c>
      <c r="G5438">
        <v>-358.24639999999999</v>
      </c>
      <c r="H5438" s="1">
        <v>-1.280926E-6</v>
      </c>
      <c r="I5438">
        <v>16.992550000000001</v>
      </c>
      <c r="J5438">
        <v>-382.1037</v>
      </c>
      <c r="K5438">
        <v>1.120754</v>
      </c>
      <c r="L5438">
        <v>17.72748</v>
      </c>
      <c r="M5438">
        <v>0.99995429999999996</v>
      </c>
      <c r="N5438">
        <v>-9.3644669999999996E-3</v>
      </c>
      <c r="O5438">
        <v>1.8815990000000001E-3</v>
      </c>
      <c r="P5438">
        <v>0.99536720000000001</v>
      </c>
      <c r="Q5438">
        <v>-9.4160300000000002E-2</v>
      </c>
      <c r="R5438">
        <v>1.9441150000000001E-2</v>
      </c>
      <c r="S5438">
        <v>3.0024109999999999</v>
      </c>
      <c r="T5438">
        <v>-0.13984969999999999</v>
      </c>
      <c r="U5438">
        <v>-9.1583250000000005E-2</v>
      </c>
      <c r="V5438">
        <v>-1.7516520000000001E-2</v>
      </c>
      <c r="W5438">
        <v>-8.4845509999999999E-2</v>
      </c>
      <c r="X5438">
        <v>0.99624009999999996</v>
      </c>
      <c r="Y5438">
        <v>3.2326430000000003E-2</v>
      </c>
      <c r="Z5438">
        <v>-9.7375010000000004E-4</v>
      </c>
      <c r="AA5438">
        <v>0.9994769</v>
      </c>
      <c r="AB5438">
        <v>21</v>
      </c>
      <c r="AC5438">
        <v>23.857299999999999</v>
      </c>
      <c r="AD5438">
        <v>-1.120755280926</v>
      </c>
      <c r="AE5438">
        <v>-0.73492999999999797</v>
      </c>
      <c r="AF5438">
        <v>0.77810498535662997</v>
      </c>
      <c r="AG5438">
        <v>-1.120755280926</v>
      </c>
      <c r="AH5438">
        <v>23.803393395212201</v>
      </c>
      <c r="AI5438">
        <v>92.694277743801095</v>
      </c>
      <c r="AJ5438">
        <v>88.127734917408603</v>
      </c>
      <c r="AK5438">
        <v>23.842463733750101</v>
      </c>
      <c r="AL5438">
        <v>94.867141333327297</v>
      </c>
      <c r="AM5438">
        <v>91.007306636229799</v>
      </c>
      <c r="AN5438">
        <v>0.99999996294403903</v>
      </c>
    </row>
    <row r="5439" spans="1:40" x14ac:dyDescent="0.25">
      <c r="A5439" t="str">
        <f>"20190303154627138"</f>
        <v>20190303154627138</v>
      </c>
      <c r="B5439" t="str">
        <f>"1551599187126382"</f>
        <v>1551599187126382</v>
      </c>
      <c r="C5439" t="s">
        <v>40</v>
      </c>
      <c r="D5439">
        <v>5.7023659999999996</v>
      </c>
      <c r="E5439">
        <v>0.51926930000000004</v>
      </c>
      <c r="F5439" t="s">
        <v>41</v>
      </c>
      <c r="G5439">
        <v>-357.89420000000001</v>
      </c>
      <c r="H5439" s="1">
        <v>-1.4019089999999999E-6</v>
      </c>
      <c r="I5439">
        <v>16.988229999999898</v>
      </c>
      <c r="J5439">
        <v>-381.89299999999997</v>
      </c>
      <c r="K5439">
        <v>1.1207240000000001</v>
      </c>
      <c r="L5439">
        <v>17.728359999999999</v>
      </c>
      <c r="M5439">
        <v>0.9999536</v>
      </c>
      <c r="N5439">
        <v>-9.3655700000000001E-3</v>
      </c>
      <c r="O5439">
        <v>2.318652E-3</v>
      </c>
      <c r="P5439">
        <v>0.99532699999999996</v>
      </c>
      <c r="Q5439">
        <v>-9.4409469999999995E-2</v>
      </c>
      <c r="R5439">
        <v>2.028218E-2</v>
      </c>
      <c r="S5439">
        <v>3.0025940000000002</v>
      </c>
      <c r="T5439">
        <v>-0.13900219999999999</v>
      </c>
      <c r="U5439">
        <v>-9.1674800000000001E-2</v>
      </c>
      <c r="V5439">
        <v>-1.7928469999999998E-2</v>
      </c>
      <c r="W5439">
        <v>-8.5092810000000005E-2</v>
      </c>
      <c r="X5439">
        <v>0.99621170000000003</v>
      </c>
      <c r="Y5439">
        <v>3.2791460000000001E-2</v>
      </c>
      <c r="Z5439">
        <v>-9.9769190000000008E-4</v>
      </c>
      <c r="AA5439">
        <v>0.99946170000000001</v>
      </c>
      <c r="AB5439">
        <v>21</v>
      </c>
      <c r="AC5439">
        <v>23.998799999999999</v>
      </c>
      <c r="AD5439">
        <v>-1.1207254019090001</v>
      </c>
      <c r="AE5439">
        <v>-0.74013000000000395</v>
      </c>
      <c r="AF5439">
        <v>0.79404528575293098</v>
      </c>
      <c r="AG5439">
        <v>-1.1207254019090001</v>
      </c>
      <c r="AH5439">
        <v>23.944849571110801</v>
      </c>
      <c r="AI5439">
        <v>92.678271451736094</v>
      </c>
      <c r="AJ5439">
        <v>88.100686426688895</v>
      </c>
      <c r="AK5439">
        <v>23.984210521204002</v>
      </c>
      <c r="AL5439">
        <v>94.881361906103507</v>
      </c>
      <c r="AM5439">
        <v>91.031020601978696</v>
      </c>
      <c r="AN5439">
        <v>0.99999998378356303</v>
      </c>
    </row>
    <row r="5440" spans="1:40" x14ac:dyDescent="0.25">
      <c r="A5440" t="str">
        <f>"20190303154627161"</f>
        <v>20190303154627161</v>
      </c>
      <c r="B5440" t="str">
        <f>"1551599187157614"</f>
        <v>1551599187157614</v>
      </c>
      <c r="C5440" t="s">
        <v>40</v>
      </c>
      <c r="D5440">
        <v>5.485436</v>
      </c>
      <c r="E5440">
        <v>0.52001379999999997</v>
      </c>
      <c r="F5440" t="s">
        <v>41</v>
      </c>
      <c r="G5440">
        <v>-357.834</v>
      </c>
      <c r="H5440" s="1">
        <v>-1.423422E-6</v>
      </c>
      <c r="I5440">
        <v>16.984449999999999</v>
      </c>
      <c r="J5440">
        <v>-381.6721</v>
      </c>
      <c r="K5440">
        <v>1.1206910000000001</v>
      </c>
      <c r="L5440">
        <v>17.729399999999998</v>
      </c>
      <c r="M5440">
        <v>0.99995239999999996</v>
      </c>
      <c r="N5440">
        <v>-9.3667579999999993E-3</v>
      </c>
      <c r="O5440">
        <v>2.7269360000000001E-3</v>
      </c>
      <c r="P5440">
        <v>0.99523030000000001</v>
      </c>
      <c r="Q5440">
        <v>-9.5297989999999999E-2</v>
      </c>
      <c r="R5440">
        <v>2.086064E-2</v>
      </c>
      <c r="S5440">
        <v>3.0027159999999999</v>
      </c>
      <c r="T5440">
        <v>-0.13987330000000001</v>
      </c>
      <c r="U5440">
        <v>-9.2834470000000002E-2</v>
      </c>
      <c r="V5440">
        <v>-1.8106649999999998E-2</v>
      </c>
      <c r="W5440">
        <v>-8.5979639999999996E-2</v>
      </c>
      <c r="X5440">
        <v>0.99613240000000003</v>
      </c>
      <c r="Y5440">
        <v>3.3582109999999998E-2</v>
      </c>
      <c r="Z5440">
        <v>-1.0403789999999999E-3</v>
      </c>
      <c r="AA5440">
        <v>0.99943539999999997</v>
      </c>
      <c r="AB5440">
        <v>21</v>
      </c>
      <c r="AC5440">
        <v>23.838100000000001</v>
      </c>
      <c r="AD5440">
        <v>-1.1206924234219999</v>
      </c>
      <c r="AE5440">
        <v>-0.744949999999999</v>
      </c>
      <c r="AF5440">
        <v>0.80817058786681195</v>
      </c>
      <c r="AG5440">
        <v>-1.1206924234219999</v>
      </c>
      <c r="AH5440">
        <v>23.783465149579399</v>
      </c>
      <c r="AI5440">
        <v>92.696265162166995</v>
      </c>
      <c r="AJ5440">
        <v>88.053817906631593</v>
      </c>
      <c r="AK5440">
        <v>23.823566184101502</v>
      </c>
      <c r="AL5440">
        <v>94.932360085067998</v>
      </c>
      <c r="AM5440">
        <v>91.041347909268495</v>
      </c>
      <c r="AN5440">
        <v>1.0000000537992499</v>
      </c>
    </row>
    <row r="5441" spans="1:40" x14ac:dyDescent="0.25">
      <c r="A5441" t="str">
        <f>"20190303154627184"</f>
        <v>20190303154627184</v>
      </c>
      <c r="B5441" t="str">
        <f>"1551599187177134"</f>
        <v>1551599187177134</v>
      </c>
      <c r="C5441" t="s">
        <v>40</v>
      </c>
      <c r="D5441">
        <v>5.7344369999999998</v>
      </c>
      <c r="E5441">
        <v>0.52046780000000004</v>
      </c>
      <c r="F5441" t="s">
        <v>41</v>
      </c>
      <c r="G5441">
        <v>-357.85730000000001</v>
      </c>
      <c r="H5441" s="1">
        <v>-1.4218629999999999E-6</v>
      </c>
      <c r="I5441">
        <v>16.96041</v>
      </c>
      <c r="J5441">
        <v>-381.44889999999998</v>
      </c>
      <c r="K5441">
        <v>1.1206579999999999</v>
      </c>
      <c r="L5441">
        <v>17.73047</v>
      </c>
      <c r="M5441">
        <v>0.99995149999999999</v>
      </c>
      <c r="N5441">
        <v>-9.3679560000000002E-3</v>
      </c>
      <c r="O5441">
        <v>3.0817650000000002E-3</v>
      </c>
      <c r="P5441">
        <v>0.99519369999999996</v>
      </c>
      <c r="Q5441">
        <v>-9.5589430000000003E-2</v>
      </c>
      <c r="R5441">
        <v>2.1266340000000002E-2</v>
      </c>
      <c r="S5441">
        <v>3.0028990000000002</v>
      </c>
      <c r="T5441">
        <v>-0.14131250000000001</v>
      </c>
      <c r="U5441">
        <v>-9.6954349999999995E-2</v>
      </c>
      <c r="V5441">
        <v>-1.8165569999999999E-2</v>
      </c>
      <c r="W5441">
        <v>-8.6268750000000005E-2</v>
      </c>
      <c r="X5441">
        <v>0.9961063</v>
      </c>
      <c r="Y5441">
        <v>3.5301239999999998E-2</v>
      </c>
      <c r="Z5441">
        <v>-1.1115039999999999E-3</v>
      </c>
      <c r="AA5441">
        <v>0.99937609999999999</v>
      </c>
      <c r="AB5441">
        <v>21</v>
      </c>
      <c r="AC5441">
        <v>23.5915999999999</v>
      </c>
      <c r="AD5441">
        <v>-1.1206594218629999</v>
      </c>
      <c r="AE5441">
        <v>-0.77005999999999997</v>
      </c>
      <c r="AF5441">
        <v>0.84086790453256299</v>
      </c>
      <c r="AG5441">
        <v>-1.1206594218629999</v>
      </c>
      <c r="AH5441">
        <v>23.536062460784802</v>
      </c>
      <c r="AI5441">
        <v>92.724319361776196</v>
      </c>
      <c r="AJ5441">
        <v>87.953876118499593</v>
      </c>
      <c r="AK5441">
        <v>23.5777261950903</v>
      </c>
      <c r="AL5441">
        <v>94.948986797201499</v>
      </c>
      <c r="AM5441">
        <v>91.044763128920295</v>
      </c>
      <c r="AN5441">
        <v>1.00000002302983</v>
      </c>
    </row>
    <row r="5442" spans="1:40" x14ac:dyDescent="0.25">
      <c r="A5442" t="str">
        <f>"20190303154627205"</f>
        <v>20190303154627205</v>
      </c>
      <c r="B5442" t="str">
        <f>"1551599187196654"</f>
        <v>1551599187196654</v>
      </c>
      <c r="C5442" t="s">
        <v>40</v>
      </c>
      <c r="D5442">
        <v>5.7386339999999896</v>
      </c>
      <c r="E5442">
        <v>0.52091540000000003</v>
      </c>
      <c r="F5442" t="s">
        <v>41</v>
      </c>
      <c r="G5442">
        <v>-357.82960000000003</v>
      </c>
      <c r="H5442" s="1">
        <v>-1.434394E-6</v>
      </c>
      <c r="I5442">
        <v>16.948820000000001</v>
      </c>
      <c r="J5442">
        <v>-381.2491</v>
      </c>
      <c r="K5442">
        <v>1.120633</v>
      </c>
      <c r="L5442">
        <v>17.73141</v>
      </c>
      <c r="M5442">
        <v>0.99995049999999996</v>
      </c>
      <c r="N5442">
        <v>-9.3691290000000003E-3</v>
      </c>
      <c r="O5442">
        <v>3.3610279999999998E-3</v>
      </c>
      <c r="P5442">
        <v>0.99521649999999995</v>
      </c>
      <c r="Q5442">
        <v>-9.5331009999999994E-2</v>
      </c>
      <c r="R5442">
        <v>2.1358640000000002E-2</v>
      </c>
      <c r="S5442">
        <v>3.002869</v>
      </c>
      <c r="T5442">
        <v>-0.14247660000000001</v>
      </c>
      <c r="U5442">
        <v>-9.9365229999999999E-2</v>
      </c>
      <c r="V5442">
        <v>-1.7985959999999999E-2</v>
      </c>
      <c r="W5442">
        <v>-8.6007749999999994E-2</v>
      </c>
      <c r="X5442">
        <v>0.99613209999999996</v>
      </c>
      <c r="Y5442">
        <v>3.6379750000000002E-2</v>
      </c>
      <c r="Z5442">
        <v>-1.160791E-3</v>
      </c>
      <c r="AA5442">
        <v>0.99933740000000004</v>
      </c>
      <c r="AB5442">
        <v>21</v>
      </c>
      <c r="AC5442">
        <v>23.4194999999999</v>
      </c>
      <c r="AD5442">
        <v>-1.120634434394</v>
      </c>
      <c r="AE5442">
        <v>-0.78258999999999901</v>
      </c>
      <c r="AF5442">
        <v>0.85933722335507301</v>
      </c>
      <c r="AG5442">
        <v>-1.120634434394</v>
      </c>
      <c r="AH5442">
        <v>23.363302725580699</v>
      </c>
      <c r="AI5442">
        <v>92.744267893514106</v>
      </c>
      <c r="AJ5442">
        <v>87.893525113247193</v>
      </c>
      <c r="AK5442">
        <v>23.405943609393699</v>
      </c>
      <c r="AL5442">
        <v>94.933976952266207</v>
      </c>
      <c r="AM5442">
        <v>91.034408622304099</v>
      </c>
      <c r="AN5442">
        <v>0.99999999423379604</v>
      </c>
    </row>
    <row r="5443" spans="1:40" x14ac:dyDescent="0.25">
      <c r="A5443" t="str">
        <f>"20190303154627226"</f>
        <v>20190303154627226</v>
      </c>
      <c r="B5443" t="str">
        <f>"1551599187217153"</f>
        <v>1551599187217153</v>
      </c>
      <c r="C5443" t="s">
        <v>40</v>
      </c>
      <c r="D5443">
        <v>5.7462999999999997</v>
      </c>
      <c r="E5443">
        <v>0.52134670000000005</v>
      </c>
      <c r="F5443" t="s">
        <v>41</v>
      </c>
      <c r="G5443">
        <v>-357.60489999999999</v>
      </c>
      <c r="H5443" s="1">
        <v>-1.51815E-6</v>
      </c>
      <c r="I5443">
        <v>16.921340000000001</v>
      </c>
      <c r="J5443">
        <v>-381.04109999999997</v>
      </c>
      <c r="K5443">
        <v>1.1206130000000001</v>
      </c>
      <c r="L5443">
        <v>17.73245</v>
      </c>
      <c r="M5443">
        <v>0.99994959999999999</v>
      </c>
      <c r="N5443">
        <v>-9.3705260000000005E-3</v>
      </c>
      <c r="O5443">
        <v>3.6205E-3</v>
      </c>
      <c r="P5443">
        <v>0.995255</v>
      </c>
      <c r="Q5443">
        <v>-9.4998719999999995E-2</v>
      </c>
      <c r="R5443">
        <v>2.104379E-2</v>
      </c>
      <c r="S5443">
        <v>3.0030209999999999</v>
      </c>
      <c r="T5443">
        <v>-0.1423304</v>
      </c>
      <c r="U5443">
        <v>-0.1028748</v>
      </c>
      <c r="V5443">
        <v>-1.741647E-2</v>
      </c>
      <c r="W5443">
        <v>-8.5672670000000006E-2</v>
      </c>
      <c r="X5443">
        <v>0.99617109999999998</v>
      </c>
      <c r="Y5443">
        <v>3.7801929999999997E-2</v>
      </c>
      <c r="Z5443">
        <v>-1.209898E-3</v>
      </c>
      <c r="AA5443">
        <v>0.99928450000000002</v>
      </c>
      <c r="AB5443">
        <v>21</v>
      </c>
      <c r="AC5443">
        <v>23.4361999999999</v>
      </c>
      <c r="AD5443">
        <v>-1.12061451814999</v>
      </c>
      <c r="AE5443">
        <v>-0.811109999999999</v>
      </c>
      <c r="AF5443">
        <v>0.89391782392491503</v>
      </c>
      <c r="AG5443">
        <v>-1.12061451814999</v>
      </c>
      <c r="AH5443">
        <v>23.379719928176598</v>
      </c>
      <c r="AI5443">
        <v>92.742146114595002</v>
      </c>
      <c r="AJ5443">
        <v>87.810376589769604</v>
      </c>
      <c r="AK5443">
        <v>23.423624183592899</v>
      </c>
      <c r="AL5443">
        <v>94.914707126730505</v>
      </c>
      <c r="AM5443">
        <v>91.001623685653101</v>
      </c>
      <c r="AN5443">
        <v>1.0000000001436899</v>
      </c>
    </row>
    <row r="5444" spans="1:40" x14ac:dyDescent="0.25">
      <c r="A5444" t="str">
        <f>"20190303154627250"</f>
        <v>20190303154627250</v>
      </c>
      <c r="B5444" t="str">
        <f>"1551599187246430"</f>
        <v>1551599187246430</v>
      </c>
      <c r="C5444" t="s">
        <v>40</v>
      </c>
      <c r="D5444">
        <v>5.7400469999999997</v>
      </c>
      <c r="E5444">
        <v>0.5219895</v>
      </c>
      <c r="F5444" t="s">
        <v>41</v>
      </c>
      <c r="G5444">
        <v>-357.31119999999999</v>
      </c>
      <c r="H5444" s="1">
        <v>-1.627835E-6</v>
      </c>
      <c r="I5444">
        <v>16.884720000000002</v>
      </c>
      <c r="J5444">
        <v>-380.82499999999999</v>
      </c>
      <c r="K5444">
        <v>1.120603</v>
      </c>
      <c r="L5444">
        <v>17.733519999999999</v>
      </c>
      <c r="M5444">
        <v>0.99994870000000002</v>
      </c>
      <c r="N5444">
        <v>-9.3718710000000004E-3</v>
      </c>
      <c r="O5444">
        <v>3.8643039999999998E-3</v>
      </c>
      <c r="P5444">
        <v>0.99529959999999995</v>
      </c>
      <c r="Q5444">
        <v>-9.4543279999999993E-2</v>
      </c>
      <c r="R5444">
        <v>2.098854E-2</v>
      </c>
      <c r="S5444">
        <v>3.0029910000000002</v>
      </c>
      <c r="T5444">
        <v>-0.14181260000000001</v>
      </c>
      <c r="U5444">
        <v>-0.1072693</v>
      </c>
      <c r="V5444">
        <v>-1.7121210000000001E-2</v>
      </c>
      <c r="W5444">
        <v>-8.5214849999999995E-2</v>
      </c>
      <c r="X5444">
        <v>0.99621550000000003</v>
      </c>
      <c r="Y5444">
        <v>3.9504320000000002E-2</v>
      </c>
      <c r="Z5444">
        <v>-1.2633989999999999E-3</v>
      </c>
      <c r="AA5444">
        <v>0.99921859999999996</v>
      </c>
      <c r="AB5444">
        <v>21</v>
      </c>
      <c r="AC5444">
        <v>23.5138</v>
      </c>
      <c r="AD5444">
        <v>-1.1206046278349999</v>
      </c>
      <c r="AE5444">
        <v>-0.8488</v>
      </c>
      <c r="AF5444">
        <v>0.93753553807207901</v>
      </c>
      <c r="AG5444">
        <v>-1.1206046278349999</v>
      </c>
      <c r="AH5444">
        <v>23.457137270158398</v>
      </c>
      <c r="AI5444">
        <v>92.732901003692206</v>
      </c>
      <c r="AJ5444">
        <v>87.711218848073699</v>
      </c>
      <c r="AK5444">
        <v>23.5025959529608</v>
      </c>
      <c r="AL5444">
        <v>94.888379622983393</v>
      </c>
      <c r="AM5444">
        <v>90.984602736892597</v>
      </c>
      <c r="AN5444">
        <v>1.0000000144663099</v>
      </c>
    </row>
    <row r="5445" spans="1:40" x14ac:dyDescent="0.25">
      <c r="A5445" t="str">
        <f>"20190303154627271"</f>
        <v>20190303154627271</v>
      </c>
      <c r="B5445" t="str">
        <f>"1551599187266926"</f>
        <v>1551599187266926</v>
      </c>
      <c r="C5445" t="s">
        <v>40</v>
      </c>
      <c r="D5445">
        <v>5.8622649999999998</v>
      </c>
      <c r="E5445">
        <v>0.52218359999999997</v>
      </c>
      <c r="F5445" t="s">
        <v>41</v>
      </c>
      <c r="G5445">
        <v>-356.94400000000002</v>
      </c>
      <c r="H5445" s="1">
        <v>-1.7859379999999999E-6</v>
      </c>
      <c r="I5445">
        <v>16.839179999999999</v>
      </c>
      <c r="J5445">
        <v>-380.60770000000002</v>
      </c>
      <c r="K5445">
        <v>1.120595</v>
      </c>
      <c r="L5445">
        <v>17.734649999999998</v>
      </c>
      <c r="M5445">
        <v>0.99994780000000005</v>
      </c>
      <c r="N5445">
        <v>-9.3731100000000005E-3</v>
      </c>
      <c r="O5445">
        <v>4.0911860000000001E-3</v>
      </c>
      <c r="P5445">
        <v>0.99532810000000005</v>
      </c>
      <c r="Q5445">
        <v>-9.4267539999999997E-2</v>
      </c>
      <c r="R5445">
        <v>2.0875330000000001E-2</v>
      </c>
      <c r="S5445">
        <v>3.003174</v>
      </c>
      <c r="T5445">
        <v>-0.14092249999999901</v>
      </c>
      <c r="U5445">
        <v>-0.1124573</v>
      </c>
      <c r="V5445">
        <v>-1.6783389999999999E-2</v>
      </c>
      <c r="W5445">
        <v>-8.4937189999999996E-2</v>
      </c>
      <c r="X5445">
        <v>0.99624500000000005</v>
      </c>
      <c r="Y5445">
        <v>4.1450559999999997E-2</v>
      </c>
      <c r="Z5445">
        <v>-1.3196010000000001E-3</v>
      </c>
      <c r="AA5445">
        <v>0.99913969999999996</v>
      </c>
      <c r="AB5445">
        <v>22</v>
      </c>
      <c r="AC5445">
        <v>23.663699999999999</v>
      </c>
      <c r="AD5445">
        <v>-1.1205967859379999</v>
      </c>
      <c r="AE5445">
        <v>-0.89546999999999899</v>
      </c>
      <c r="AF5445">
        <v>0.99006230189098898</v>
      </c>
      <c r="AG5445">
        <v>-1.1205967859379999</v>
      </c>
      <c r="AH5445">
        <v>23.606975183827998</v>
      </c>
      <c r="AI5445">
        <v>92.715343303423893</v>
      </c>
      <c r="AJ5445">
        <v>87.598456937481799</v>
      </c>
      <c r="AK5445">
        <v>23.654285824098601</v>
      </c>
      <c r="AL5445">
        <v>94.872412795215595</v>
      </c>
      <c r="AM5445">
        <v>90.965150596820607</v>
      </c>
      <c r="AN5445">
        <v>1.0000000542249901</v>
      </c>
    </row>
    <row r="5446" spans="1:40" x14ac:dyDescent="0.25">
      <c r="A5446" t="str">
        <f>"20190303154627294"</f>
        <v>20190303154627294</v>
      </c>
      <c r="B5446" t="str">
        <f>"1551599187286446"</f>
        <v>1551599187286446</v>
      </c>
      <c r="C5446" t="s">
        <v>40</v>
      </c>
      <c r="D5446">
        <v>5.5535519999999998</v>
      </c>
      <c r="E5446">
        <v>0.52209870000000003</v>
      </c>
      <c r="F5446" t="s">
        <v>41</v>
      </c>
      <c r="G5446">
        <v>-356.673</v>
      </c>
      <c r="H5446" s="1">
        <v>-1.905053E-6</v>
      </c>
      <c r="I5446">
        <v>16.822979999999902</v>
      </c>
      <c r="J5446">
        <v>-380.39400000000001</v>
      </c>
      <c r="K5446">
        <v>1.120593</v>
      </c>
      <c r="L5446">
        <v>17.735810000000001</v>
      </c>
      <c r="M5446">
        <v>0.99994700000000003</v>
      </c>
      <c r="N5446">
        <v>-9.3743839999999995E-3</v>
      </c>
      <c r="O5446">
        <v>4.3046530000000003E-3</v>
      </c>
      <c r="P5446">
        <v>0.99540569999999895</v>
      </c>
      <c r="Q5446">
        <v>-9.3552440000000001E-2</v>
      </c>
      <c r="R5446">
        <v>2.0388719999999999E-2</v>
      </c>
      <c r="S5446">
        <v>3.003174</v>
      </c>
      <c r="T5446">
        <v>-0.1406057</v>
      </c>
      <c r="U5446">
        <v>-0.11437990000000001</v>
      </c>
      <c r="V5446">
        <v>-1.6085100000000001E-2</v>
      </c>
      <c r="W5446">
        <v>-8.4219870000000002E-2</v>
      </c>
      <c r="X5446">
        <v>0.99631740000000002</v>
      </c>
      <c r="Y5446">
        <v>4.2301539999999999E-2</v>
      </c>
      <c r="Z5446">
        <v>-1.3488790000000001E-3</v>
      </c>
      <c r="AA5446">
        <v>0.99910399999999999</v>
      </c>
      <c r="AB5446">
        <v>22</v>
      </c>
      <c r="AC5446">
        <v>23.721</v>
      </c>
      <c r="AD5446">
        <v>-1.120594905053</v>
      </c>
      <c r="AE5446">
        <v>-0.91283000000000303</v>
      </c>
      <c r="AF5446">
        <v>1.0126800487826</v>
      </c>
      <c r="AG5446">
        <v>-1.120594905053</v>
      </c>
      <c r="AH5446">
        <v>23.664118042115</v>
      </c>
      <c r="AI5446">
        <v>92.708693931987</v>
      </c>
      <c r="AJ5446">
        <v>87.549584883796996</v>
      </c>
      <c r="AK5446">
        <v>23.712269746559201</v>
      </c>
      <c r="AL5446">
        <v>94.831165664244097</v>
      </c>
      <c r="AM5446">
        <v>90.924934447796105</v>
      </c>
      <c r="AN5446">
        <v>1.00000003924379</v>
      </c>
    </row>
    <row r="5447" spans="1:40" x14ac:dyDescent="0.25">
      <c r="A5447" t="str">
        <f>"20190303154627328"</f>
        <v>20190303154627328</v>
      </c>
      <c r="B5447" t="str">
        <f>"1551599187316702"</f>
        <v>1551599187316702</v>
      </c>
      <c r="C5447" t="s">
        <v>40</v>
      </c>
      <c r="D5447">
        <v>5.6633829999999996</v>
      </c>
      <c r="E5447">
        <v>0.52190839999999905</v>
      </c>
      <c r="F5447" t="s">
        <v>41</v>
      </c>
      <c r="G5447">
        <v>-356.10840000000002</v>
      </c>
      <c r="H5447" s="1">
        <v>-2.1506359999999999E-6</v>
      </c>
      <c r="I5447">
        <v>16.804110000000001</v>
      </c>
      <c r="J5447">
        <v>-380.06790000000001</v>
      </c>
      <c r="K5447">
        <v>1.1205940000000001</v>
      </c>
      <c r="L5447">
        <v>17.737579999999902</v>
      </c>
      <c r="M5447">
        <v>0.99994539999999998</v>
      </c>
      <c r="N5447">
        <v>-9.3765020000000001E-3</v>
      </c>
      <c r="O5447">
        <v>4.6291559999999997E-3</v>
      </c>
      <c r="P5447">
        <v>0.99546140000000005</v>
      </c>
      <c r="Q5447">
        <v>-9.3061489999999997E-2</v>
      </c>
      <c r="R5447">
        <v>1.9914310000000001E-2</v>
      </c>
      <c r="S5447">
        <v>3.003174</v>
      </c>
      <c r="T5447">
        <v>-0.1385731</v>
      </c>
      <c r="U5447">
        <v>-0.1152039</v>
      </c>
      <c r="V5447">
        <v>-1.528712E-2</v>
      </c>
      <c r="W5447">
        <v>-8.3726220000000004E-2</v>
      </c>
      <c r="X5447">
        <v>0.99637149999999997</v>
      </c>
      <c r="Y5447">
        <v>4.2900069999999998E-2</v>
      </c>
      <c r="Z5447">
        <v>-1.3602359999999999E-3</v>
      </c>
      <c r="AA5447">
        <v>0.99907849999999998</v>
      </c>
      <c r="AB5447">
        <v>22</v>
      </c>
      <c r="AC5447">
        <v>23.959499999999899</v>
      </c>
      <c r="AD5447">
        <v>-1.120596150636</v>
      </c>
      <c r="AE5447">
        <v>-0.93346999999999603</v>
      </c>
      <c r="AF5447">
        <v>1.0421010149699701</v>
      </c>
      <c r="AG5447">
        <v>-1.120596150636</v>
      </c>
      <c r="AH5447">
        <v>23.902714590152701</v>
      </c>
      <c r="AI5447">
        <v>92.681605646105893</v>
      </c>
      <c r="AJ5447">
        <v>87.503622325398396</v>
      </c>
      <c r="AK5447">
        <v>23.951648691405801</v>
      </c>
      <c r="AL5447">
        <v>94.802781679478102</v>
      </c>
      <c r="AM5447">
        <v>90.879008219607698</v>
      </c>
      <c r="AN5447">
        <v>0.99999997098281501</v>
      </c>
    </row>
    <row r="5448" spans="1:40" x14ac:dyDescent="0.25">
      <c r="A5448" t="str">
        <f>"20190303154627350"</f>
        <v>20190303154627350</v>
      </c>
      <c r="B5448" t="str">
        <f>"1551599187346958"</f>
        <v>1551599187346958</v>
      </c>
      <c r="C5448" t="s">
        <v>40</v>
      </c>
      <c r="D5448">
        <v>5.6328019999999999</v>
      </c>
      <c r="E5448">
        <v>0.52176290000000003</v>
      </c>
      <c r="F5448" t="s">
        <v>41</v>
      </c>
      <c r="G5448">
        <v>-355.58510000000001</v>
      </c>
      <c r="H5448" s="1">
        <v>-2.3758479999999998E-6</v>
      </c>
      <c r="I5448">
        <v>16.799800000000001</v>
      </c>
      <c r="J5448">
        <v>-379.84780000000001</v>
      </c>
      <c r="K5448">
        <v>1.1205989999999999</v>
      </c>
      <c r="L5448">
        <v>17.738889999999898</v>
      </c>
      <c r="M5448">
        <v>0.99994430000000001</v>
      </c>
      <c r="N5448">
        <v>-9.3779640000000008E-3</v>
      </c>
      <c r="O5448">
        <v>4.8533680000000003E-3</v>
      </c>
      <c r="P5448">
        <v>0.99551699999999999</v>
      </c>
      <c r="Q5448">
        <v>-9.2444680000000001E-2</v>
      </c>
      <c r="R5448">
        <v>2.0003300000000002E-2</v>
      </c>
      <c r="S5448">
        <v>3.0031430000000001</v>
      </c>
      <c r="T5448">
        <v>-0.13745669999999999</v>
      </c>
      <c r="U5448">
        <v>-0.11502080000000001</v>
      </c>
      <c r="V5448">
        <v>-1.515155E-2</v>
      </c>
      <c r="W5448">
        <v>-8.3107550000000002E-2</v>
      </c>
      <c r="X5448">
        <v>0.99642540000000002</v>
      </c>
      <c r="Y5448">
        <v>4.3064169999999999E-2</v>
      </c>
      <c r="Z5448">
        <v>-1.3632710000000001E-3</v>
      </c>
      <c r="AA5448">
        <v>0.99907140000000005</v>
      </c>
      <c r="AB5448">
        <v>22</v>
      </c>
      <c r="AC5448">
        <v>24.262699999999899</v>
      </c>
      <c r="AD5448">
        <v>-1.12060137584799</v>
      </c>
      <c r="AE5448">
        <v>-0.93908999999999598</v>
      </c>
      <c r="AF5448">
        <v>1.0545936676637</v>
      </c>
      <c r="AG5448">
        <v>-1.12060137584799</v>
      </c>
      <c r="AH5448">
        <v>24.206297528136002</v>
      </c>
      <c r="AI5448">
        <v>92.648038360013402</v>
      </c>
      <c r="AJ5448">
        <v>87.505377266617103</v>
      </c>
      <c r="AK5448">
        <v>24.255159353590599</v>
      </c>
      <c r="AL5448">
        <v>94.767210355596205</v>
      </c>
      <c r="AM5448">
        <v>90.871167042310603</v>
      </c>
      <c r="AN5448">
        <v>1.00000000604978</v>
      </c>
    </row>
    <row r="5449" spans="1:40" x14ac:dyDescent="0.25">
      <c r="A5449" t="str">
        <f>"20190303154627374"</f>
        <v>20190303154627374</v>
      </c>
      <c r="B5449" t="str">
        <f>"1551599187366478"</f>
        <v>1551599187366478</v>
      </c>
      <c r="C5449" t="s">
        <v>40</v>
      </c>
      <c r="D5449">
        <v>5.5639900000000004</v>
      </c>
      <c r="E5449">
        <v>0.52172669999999999</v>
      </c>
      <c r="F5449" t="s">
        <v>41</v>
      </c>
      <c r="G5449">
        <v>-355.04450000000003</v>
      </c>
      <c r="H5449" s="1">
        <v>-2.6076280000000002E-6</v>
      </c>
      <c r="I5449">
        <v>16.800709999999999</v>
      </c>
      <c r="J5449">
        <v>-379.61660000000001</v>
      </c>
      <c r="K5449">
        <v>1.120606</v>
      </c>
      <c r="L5449">
        <v>17.740259999999999</v>
      </c>
      <c r="M5449">
        <v>0.99994300000000003</v>
      </c>
      <c r="N5449">
        <v>-9.3795549999999995E-3</v>
      </c>
      <c r="O5449">
        <v>5.0950580000000004E-3</v>
      </c>
      <c r="P5449">
        <v>0.9955271</v>
      </c>
      <c r="Q5449">
        <v>-9.2254829999999996E-2</v>
      </c>
      <c r="R5449">
        <v>2.0369959999999999E-2</v>
      </c>
      <c r="S5449">
        <v>3.0032350000000001</v>
      </c>
      <c r="T5449">
        <v>-0.13568469999999999</v>
      </c>
      <c r="U5449">
        <v>-0.1135864</v>
      </c>
      <c r="V5449">
        <v>-1.527628E-2</v>
      </c>
      <c r="W5449">
        <v>-8.2916240000000002E-2</v>
      </c>
      <c r="X5449">
        <v>0.99643950000000003</v>
      </c>
      <c r="Y5449">
        <v>4.2829520000000003E-2</v>
      </c>
      <c r="Z5449">
        <v>-1.3499759999999999E-3</v>
      </c>
      <c r="AA5449">
        <v>0.99908149999999996</v>
      </c>
      <c r="AB5449">
        <v>22</v>
      </c>
      <c r="AC5449">
        <v>24.572099999999899</v>
      </c>
      <c r="AD5449">
        <v>-1.120608607628</v>
      </c>
      <c r="AE5449">
        <v>-0.939549999999997</v>
      </c>
      <c r="AF5449">
        <v>1.06253295072036</v>
      </c>
      <c r="AG5449">
        <v>-1.120608607628</v>
      </c>
      <c r="AH5449">
        <v>24.516079442587099</v>
      </c>
      <c r="AI5449">
        <v>92.614667348570805</v>
      </c>
      <c r="AJ5449">
        <v>87.518339788964795</v>
      </c>
      <c r="AK5449">
        <v>24.564667536079099</v>
      </c>
      <c r="AL5449">
        <v>94.756210820709001</v>
      </c>
      <c r="AM5449">
        <v>90.878325083918298</v>
      </c>
      <c r="AN5449">
        <v>1.00000007237331</v>
      </c>
    </row>
    <row r="5450" spans="1:40" x14ac:dyDescent="0.25">
      <c r="A5450" t="str">
        <f>"20190303154627396"</f>
        <v>20190303154627396</v>
      </c>
      <c r="B5450" t="str">
        <f>"1551599187386974"</f>
        <v>1551599187386974</v>
      </c>
      <c r="C5450" t="s">
        <v>40</v>
      </c>
      <c r="D5450">
        <v>5.542033</v>
      </c>
      <c r="E5450">
        <v>0.52168519999999996</v>
      </c>
      <c r="F5450" t="s">
        <v>41</v>
      </c>
      <c r="G5450">
        <v>-354.57659999999998</v>
      </c>
      <c r="H5450" s="1">
        <v>-2.807538E-6</v>
      </c>
      <c r="I5450">
        <v>16.80538</v>
      </c>
      <c r="J5450">
        <v>-379.39530000000002</v>
      </c>
      <c r="K5450">
        <v>1.120606</v>
      </c>
      <c r="L5450">
        <v>17.741669999999999</v>
      </c>
      <c r="M5450">
        <v>0.99994190000000005</v>
      </c>
      <c r="N5450">
        <v>-9.3811420000000003E-3</v>
      </c>
      <c r="O5450">
        <v>5.331382E-3</v>
      </c>
      <c r="P5450">
        <v>0.99548950000000003</v>
      </c>
      <c r="Q5450">
        <v>-9.2421439999999994E-2</v>
      </c>
      <c r="R5450">
        <v>2.143248E-2</v>
      </c>
      <c r="S5450">
        <v>3.0033569999999998</v>
      </c>
      <c r="T5450">
        <v>-0.1344081</v>
      </c>
      <c r="U5450">
        <v>-0.1121216</v>
      </c>
      <c r="V5450">
        <v>-1.610232E-2</v>
      </c>
      <c r="W5450">
        <v>-8.3081929999999998E-2</v>
      </c>
      <c r="X5450">
        <v>0.99641259999999998</v>
      </c>
      <c r="Y5450">
        <v>4.2578650000000003E-2</v>
      </c>
      <c r="Z5450">
        <v>-1.340277E-3</v>
      </c>
      <c r="AA5450">
        <v>0.99909219999999999</v>
      </c>
      <c r="AB5450">
        <v>22</v>
      </c>
      <c r="AC5450">
        <v>24.8187</v>
      </c>
      <c r="AD5450">
        <v>-1.1206088075380001</v>
      </c>
      <c r="AE5450">
        <v>-0.93629000000000295</v>
      </c>
      <c r="AF5450">
        <v>1.0664294468314199</v>
      </c>
      <c r="AG5450">
        <v>-1.1206088075380001</v>
      </c>
      <c r="AH5450">
        <v>24.762943228344501</v>
      </c>
      <c r="AI5450">
        <v>92.588668238169106</v>
      </c>
      <c r="AJ5450">
        <v>87.534050219933306</v>
      </c>
      <c r="AK5450">
        <v>24.811215068892</v>
      </c>
      <c r="AL5450">
        <v>94.765737465016102</v>
      </c>
      <c r="AM5450">
        <v>90.925836019631902</v>
      </c>
      <c r="AN5450">
        <v>0.99999998062033302</v>
      </c>
    </row>
    <row r="5451" spans="1:40" x14ac:dyDescent="0.25">
      <c r="A5451" t="str">
        <f>"20190303154627419"</f>
        <v>20190303154627419</v>
      </c>
      <c r="B5451" t="str">
        <f>"1551599187406494"</f>
        <v>1551599187406494</v>
      </c>
      <c r="C5451" t="s">
        <v>40</v>
      </c>
      <c r="D5451">
        <v>5.5390499999999996</v>
      </c>
      <c r="E5451">
        <v>0.52163950000000003</v>
      </c>
      <c r="F5451" t="s">
        <v>41</v>
      </c>
      <c r="G5451">
        <v>-354.34609999999998</v>
      </c>
      <c r="H5451" s="1">
        <v>-2.9008069999999998E-6</v>
      </c>
      <c r="I5451">
        <v>16.837009999999999</v>
      </c>
      <c r="J5451">
        <v>-379.18090000000001</v>
      </c>
      <c r="K5451">
        <v>1.1206199999999999</v>
      </c>
      <c r="L5451">
        <v>17.743099999999998</v>
      </c>
      <c r="M5451">
        <v>0.99994059999999996</v>
      </c>
      <c r="N5451">
        <v>-9.3827119999999996E-3</v>
      </c>
      <c r="O5451">
        <v>5.5647780000000003E-3</v>
      </c>
      <c r="P5451">
        <v>0.99555009999999999</v>
      </c>
      <c r="Q5451">
        <v>-9.1505260000000005E-2</v>
      </c>
      <c r="R5451">
        <v>2.251585E-2</v>
      </c>
      <c r="S5451">
        <v>3.0034480000000001</v>
      </c>
      <c r="T5451">
        <v>-0.13436319999999999</v>
      </c>
      <c r="U5451">
        <v>-0.1084595</v>
      </c>
      <c r="V5451">
        <v>-1.6952180000000001E-2</v>
      </c>
      <c r="W5451">
        <v>-8.2164029999999999E-2</v>
      </c>
      <c r="X5451">
        <v>0.99647459999999999</v>
      </c>
      <c r="Y5451">
        <v>4.1595210000000001E-2</v>
      </c>
      <c r="Z5451">
        <v>-1.3215360000000001E-3</v>
      </c>
      <c r="AA5451">
        <v>0.99913359999999996</v>
      </c>
      <c r="AB5451">
        <v>22</v>
      </c>
      <c r="AC5451">
        <v>24.834800000000001</v>
      </c>
      <c r="AD5451">
        <v>-1.1206229008069899</v>
      </c>
      <c r="AE5451">
        <v>-0.90608999999999895</v>
      </c>
      <c r="AF5451">
        <v>1.04216306713855</v>
      </c>
      <c r="AG5451">
        <v>-1.1206229008069899</v>
      </c>
      <c r="AH5451">
        <v>24.778987766561801</v>
      </c>
      <c r="AI5451">
        <v>92.587137382202201</v>
      </c>
      <c r="AJ5451">
        <v>87.591654057883801</v>
      </c>
      <c r="AK5451">
        <v>24.826198546691302</v>
      </c>
      <c r="AL5451">
        <v>94.712965298747093</v>
      </c>
      <c r="AM5451">
        <v>90.9746306453995</v>
      </c>
      <c r="AN5451">
        <v>0.999999966338876</v>
      </c>
    </row>
    <row r="5452" spans="1:40" x14ac:dyDescent="0.25">
      <c r="A5452" t="str">
        <f>"20190303154627438"</f>
        <v>20190303154627438</v>
      </c>
      <c r="B5452" t="str">
        <f>"1551599187426990"</f>
        <v>1551599187426990</v>
      </c>
      <c r="C5452" t="s">
        <v>40</v>
      </c>
      <c r="D5452">
        <v>5.4903459999999997</v>
      </c>
      <c r="E5452">
        <v>0.52154999999999996</v>
      </c>
      <c r="F5452" t="s">
        <v>41</v>
      </c>
      <c r="G5452">
        <v>-353.59620000000001</v>
      </c>
      <c r="H5452" s="1">
        <v>-3.220267E-6</v>
      </c>
      <c r="I5452">
        <v>16.849599999999999</v>
      </c>
      <c r="J5452">
        <v>-378.98390000000001</v>
      </c>
      <c r="K5452">
        <v>1.120627</v>
      </c>
      <c r="L5452">
        <v>17.744450000000001</v>
      </c>
      <c r="M5452">
        <v>0.99993940000000003</v>
      </c>
      <c r="N5452">
        <v>-9.3842109999999999E-3</v>
      </c>
      <c r="O5452">
        <v>5.7816519999999904E-3</v>
      </c>
      <c r="P5452">
        <v>0.99558279999999999</v>
      </c>
      <c r="Q5452">
        <v>-9.104487E-2</v>
      </c>
      <c r="R5452">
        <v>2.293216E-2</v>
      </c>
      <c r="S5452">
        <v>3.0036930000000002</v>
      </c>
      <c r="T5452">
        <v>-0.13156329999999999</v>
      </c>
      <c r="U5452">
        <v>-0.10488889999999999</v>
      </c>
      <c r="V5452">
        <v>-1.7151449999999999E-2</v>
      </c>
      <c r="W5452">
        <v>-8.170202E-2</v>
      </c>
      <c r="X5452">
        <v>0.99650919999999998</v>
      </c>
      <c r="Y5452">
        <v>4.0625849999999998E-2</v>
      </c>
      <c r="Z5452">
        <v>-1.2786410000000001E-3</v>
      </c>
      <c r="AA5452">
        <v>0.9991736</v>
      </c>
      <c r="AB5452">
        <v>22</v>
      </c>
      <c r="AC5452">
        <v>25.387699999999899</v>
      </c>
      <c r="AD5452">
        <v>-1.120630220267</v>
      </c>
      <c r="AE5452">
        <v>-0.89485000000000103</v>
      </c>
      <c r="AF5452">
        <v>1.03960128571074</v>
      </c>
      <c r="AG5452">
        <v>-1.120630220267</v>
      </c>
      <c r="AH5452">
        <v>25.332804526611898</v>
      </c>
      <c r="AI5452">
        <v>92.530776149568297</v>
      </c>
      <c r="AJ5452">
        <v>87.6500287554219</v>
      </c>
      <c r="AK5452">
        <v>25.378880355668802</v>
      </c>
      <c r="AL5452">
        <v>94.686404667295704</v>
      </c>
      <c r="AM5452">
        <v>90.986050782971901</v>
      </c>
      <c r="AN5452">
        <v>0.999999988996911</v>
      </c>
    </row>
    <row r="5453" spans="1:40" x14ac:dyDescent="0.25">
      <c r="A5453" t="str">
        <f>"20190303154627462"</f>
        <v>20190303154627462</v>
      </c>
      <c r="B5453" t="str">
        <f>"1551599187457246"</f>
        <v>1551599187457246</v>
      </c>
      <c r="C5453" t="s">
        <v>40</v>
      </c>
      <c r="D5453">
        <v>5.5164049999999998</v>
      </c>
      <c r="E5453">
        <v>0.52149179999999995</v>
      </c>
      <c r="F5453" t="s">
        <v>41</v>
      </c>
      <c r="G5453">
        <v>-353.18380000000002</v>
      </c>
      <c r="H5453" s="1">
        <v>-3.3955259999999998E-6</v>
      </c>
      <c r="I5453">
        <v>16.858920000000001</v>
      </c>
      <c r="J5453">
        <v>-378.75790000000001</v>
      </c>
      <c r="K5453">
        <v>1.120627</v>
      </c>
      <c r="L5453">
        <v>17.745999999999999</v>
      </c>
      <c r="M5453">
        <v>0.99993799999999999</v>
      </c>
      <c r="N5453">
        <v>-9.3859830000000005E-3</v>
      </c>
      <c r="O5453">
        <v>6.0321400000000001E-3</v>
      </c>
      <c r="P5453">
        <v>0.99560630000000006</v>
      </c>
      <c r="Q5453">
        <v>-9.0711319999999998E-2</v>
      </c>
      <c r="R5453">
        <v>2.323391E-2</v>
      </c>
      <c r="S5453">
        <v>3.003784</v>
      </c>
      <c r="T5453">
        <v>-0.13046969999999999</v>
      </c>
      <c r="U5453">
        <v>-0.1030884</v>
      </c>
      <c r="V5453">
        <v>-1.7202760000000001E-2</v>
      </c>
      <c r="W5453">
        <v>-8.1366610000000006E-2</v>
      </c>
      <c r="X5453">
        <v>0.99653579999999997</v>
      </c>
      <c r="Y5453">
        <v>4.027791E-2</v>
      </c>
      <c r="Z5453">
        <v>-1.268492E-3</v>
      </c>
      <c r="AA5453">
        <v>0.99918770000000001</v>
      </c>
      <c r="AB5453">
        <v>22</v>
      </c>
      <c r="AC5453">
        <v>25.574099999999898</v>
      </c>
      <c r="AD5453">
        <v>-1.120630395526</v>
      </c>
      <c r="AE5453">
        <v>-0.88707999999999698</v>
      </c>
      <c r="AF5453">
        <v>1.03934392197889</v>
      </c>
      <c r="AG5453">
        <v>-1.120630395526</v>
      </c>
      <c r="AH5453">
        <v>25.519342619235399</v>
      </c>
      <c r="AI5453">
        <v>92.512332933325993</v>
      </c>
      <c r="AJ5453">
        <v>87.667764106868006</v>
      </c>
      <c r="AK5453">
        <v>25.5650717970722</v>
      </c>
      <c r="AL5453">
        <v>94.667122697794696</v>
      </c>
      <c r="AM5453">
        <v>90.988973657876898</v>
      </c>
      <c r="AN5453">
        <v>1.0000000304280701</v>
      </c>
    </row>
    <row r="5454" spans="1:40" x14ac:dyDescent="0.25">
      <c r="A5454" t="str">
        <f>"20190303154627485"</f>
        <v>20190303154627485</v>
      </c>
      <c r="B5454" t="str">
        <f>"1551599187476767"</f>
        <v>1551599187476767</v>
      </c>
      <c r="C5454" t="s">
        <v>40</v>
      </c>
      <c r="D5454">
        <v>5.5342630000000002</v>
      </c>
      <c r="E5454">
        <v>0.52145459999999999</v>
      </c>
      <c r="F5454" t="s">
        <v>41</v>
      </c>
      <c r="G5454">
        <v>-352.68090000000001</v>
      </c>
      <c r="H5454" s="1">
        <v>-3.6103649999999999E-6</v>
      </c>
      <c r="I5454">
        <v>16.863969999999998</v>
      </c>
      <c r="J5454">
        <v>-378.52429999999998</v>
      </c>
      <c r="K5454">
        <v>1.1206400000000001</v>
      </c>
      <c r="L5454">
        <v>17.747679999999999</v>
      </c>
      <c r="M5454">
        <v>0.9999363</v>
      </c>
      <c r="N5454">
        <v>-9.3879919999999995E-3</v>
      </c>
      <c r="O5454">
        <v>6.2913179999999997E-3</v>
      </c>
      <c r="P5454">
        <v>0.9956393</v>
      </c>
      <c r="Q5454">
        <v>-9.0386540000000001E-2</v>
      </c>
      <c r="R5454">
        <v>2.3080880000000002E-2</v>
      </c>
      <c r="S5454">
        <v>3.0038450000000001</v>
      </c>
      <c r="T5454">
        <v>-0.12908710000000001</v>
      </c>
      <c r="U5454">
        <v>-0.101593</v>
      </c>
      <c r="V5454">
        <v>-1.6791710000000001E-2</v>
      </c>
      <c r="W5454">
        <v>-8.1039479999999997E-2</v>
      </c>
      <c r="X5454">
        <v>0.9965695</v>
      </c>
      <c r="Y5454">
        <v>4.004046E-2</v>
      </c>
      <c r="Z5454">
        <v>-1.2589610000000001E-3</v>
      </c>
      <c r="AA5454">
        <v>0.99919720000000001</v>
      </c>
      <c r="AB5454">
        <v>22</v>
      </c>
      <c r="AC5454">
        <v>25.8433999999999</v>
      </c>
      <c r="AD5454">
        <v>-1.1206436103649999</v>
      </c>
      <c r="AE5454">
        <v>-0.883709999999997</v>
      </c>
      <c r="AF5454">
        <v>1.0443273022866699</v>
      </c>
      <c r="AG5454">
        <v>-1.1206436103649999</v>
      </c>
      <c r="AH5454">
        <v>25.788893374376901</v>
      </c>
      <c r="AI5454">
        <v>92.486159322570899</v>
      </c>
      <c r="AJ5454">
        <v>87.681060961435506</v>
      </c>
      <c r="AK5454">
        <v>25.834346964665801</v>
      </c>
      <c r="AL5454">
        <v>94.648317272552504</v>
      </c>
      <c r="AM5454">
        <v>90.965314592907504</v>
      </c>
      <c r="AN5454">
        <v>1.00000006358682</v>
      </c>
    </row>
    <row r="5455" spans="1:40" x14ac:dyDescent="0.25">
      <c r="A5455" t="str">
        <f>"20190303154627508"</f>
        <v>20190303154627508</v>
      </c>
      <c r="B5455" t="str">
        <f>"1551599187497263"</f>
        <v>1551599187497263</v>
      </c>
      <c r="C5455" t="s">
        <v>40</v>
      </c>
      <c r="D5455">
        <v>5.5393030000000003</v>
      </c>
      <c r="E5455">
        <v>0.52138479999999998</v>
      </c>
      <c r="F5455" t="s">
        <v>41</v>
      </c>
      <c r="G5455">
        <v>-352.1893</v>
      </c>
      <c r="H5455" s="1">
        <v>-3.8225679999999996E-6</v>
      </c>
      <c r="I5455">
        <v>16.85669</v>
      </c>
      <c r="J5455">
        <v>-378.30430000000001</v>
      </c>
      <c r="K5455">
        <v>1.1206430000000001</v>
      </c>
      <c r="L5455">
        <v>17.749359999999999</v>
      </c>
      <c r="M5455">
        <v>0.99993460000000001</v>
      </c>
      <c r="N5455">
        <v>-9.3898739999999994E-3</v>
      </c>
      <c r="O5455">
        <v>6.5351669999999997E-3</v>
      </c>
      <c r="P5455">
        <v>0.99566500000000002</v>
      </c>
      <c r="Q5455">
        <v>-9.0255370000000001E-2</v>
      </c>
      <c r="R5455">
        <v>2.2485740000000001E-2</v>
      </c>
      <c r="S5455">
        <v>3.0039370000000001</v>
      </c>
      <c r="T5455">
        <v>-0.127828</v>
      </c>
      <c r="U5455">
        <v>-0.10162350000000001</v>
      </c>
      <c r="V5455">
        <v>-1.5953140000000001E-2</v>
      </c>
      <c r="W5455">
        <v>-8.0906039999999999E-2</v>
      </c>
      <c r="X5455">
        <v>0.99659410000000004</v>
      </c>
      <c r="Y5455">
        <v>4.0293700000000002E-2</v>
      </c>
      <c r="Z5455">
        <v>-1.262595E-3</v>
      </c>
      <c r="AA5455">
        <v>0.99918709999999999</v>
      </c>
      <c r="AB5455">
        <v>22</v>
      </c>
      <c r="AC5455">
        <v>26.114999999999998</v>
      </c>
      <c r="AD5455">
        <v>-1.120646822568</v>
      </c>
      <c r="AE5455">
        <v>-0.89266999999999896</v>
      </c>
      <c r="AF5455">
        <v>1.0613721675905901</v>
      </c>
      <c r="AG5455">
        <v>-1.120646822568</v>
      </c>
      <c r="AH5455">
        <v>26.060675123809901</v>
      </c>
      <c r="AI5455">
        <v>92.4602476304524</v>
      </c>
      <c r="AJ5455">
        <v>87.667805761507296</v>
      </c>
      <c r="AK5455">
        <v>26.1063430623255</v>
      </c>
      <c r="AL5455">
        <v>94.640646622053694</v>
      </c>
      <c r="AM5455">
        <v>90.917093057793906</v>
      </c>
      <c r="AN5455">
        <v>1.0000000450695701</v>
      </c>
    </row>
    <row r="5456" spans="1:40" x14ac:dyDescent="0.25">
      <c r="A5456" t="str">
        <f>"20190303154627529"</f>
        <v>20190303154627529</v>
      </c>
      <c r="B5456" t="str">
        <f>"1551599187526547"</f>
        <v>1551599187526547</v>
      </c>
      <c r="C5456" t="s">
        <v>40</v>
      </c>
      <c r="D5456">
        <v>5.6609389999999999</v>
      </c>
      <c r="E5456">
        <v>0.52119300000000002</v>
      </c>
      <c r="F5456" t="s">
        <v>41</v>
      </c>
      <c r="G5456">
        <v>-351.95359999999999</v>
      </c>
      <c r="H5456" s="1">
        <v>-3.9255300000000003E-6</v>
      </c>
      <c r="I5456">
        <v>16.84628</v>
      </c>
      <c r="J5456">
        <v>-378.09269999999998</v>
      </c>
      <c r="K5456">
        <v>1.1206469999999999</v>
      </c>
      <c r="L5456">
        <v>17.75104</v>
      </c>
      <c r="M5456">
        <v>0.99993310000000002</v>
      </c>
      <c r="N5456">
        <v>-9.3916580000000006E-3</v>
      </c>
      <c r="O5456">
        <v>6.7680379999999997E-3</v>
      </c>
      <c r="P5456">
        <v>0.99566540000000003</v>
      </c>
      <c r="Q5456">
        <v>-9.0417860000000003E-2</v>
      </c>
      <c r="R5456">
        <v>2.1806220000000001E-2</v>
      </c>
      <c r="S5456">
        <v>3.0038149999999999</v>
      </c>
      <c r="T5456">
        <v>-0.12774669999999999</v>
      </c>
      <c r="U5456">
        <v>-0.10293579999999999</v>
      </c>
      <c r="V5456">
        <v>-1.5041479999999999E-2</v>
      </c>
      <c r="W5456">
        <v>-8.10665E-2</v>
      </c>
      <c r="X5456">
        <v>0.99659520000000001</v>
      </c>
      <c r="Y5456">
        <v>4.096296E-2</v>
      </c>
      <c r="Z5456">
        <v>-1.2870150000000001E-3</v>
      </c>
      <c r="AA5456">
        <v>0.99915980000000004</v>
      </c>
      <c r="AB5456">
        <v>22</v>
      </c>
      <c r="AC5456">
        <v>26.1390999999999</v>
      </c>
      <c r="AD5456">
        <v>-1.1206509255299999</v>
      </c>
      <c r="AE5456">
        <v>-0.90475999999999901</v>
      </c>
      <c r="AF5456">
        <v>1.07967534952698</v>
      </c>
      <c r="AG5456">
        <v>-1.1206509255299999</v>
      </c>
      <c r="AH5456">
        <v>26.084490093934399</v>
      </c>
      <c r="AI5456">
        <v>92.457946316221495</v>
      </c>
      <c r="AJ5456">
        <v>87.629796517019798</v>
      </c>
      <c r="AK5456">
        <v>26.1308664383298</v>
      </c>
      <c r="AL5456">
        <v>94.6498707734645</v>
      </c>
      <c r="AM5456">
        <v>90.864691995050507</v>
      </c>
      <c r="AN5456">
        <v>1.0000000081029401</v>
      </c>
    </row>
    <row r="5457" spans="1:40" x14ac:dyDescent="0.25">
      <c r="A5457" t="str">
        <f>"20190303154627551"</f>
        <v>20190303154627551</v>
      </c>
      <c r="B5457" t="str">
        <f>"1551599187547043"</f>
        <v>1551599187547043</v>
      </c>
      <c r="C5457" t="s">
        <v>40</v>
      </c>
      <c r="D5457">
        <v>5.6228730000000002</v>
      </c>
      <c r="E5457">
        <v>0.52110900000000004</v>
      </c>
      <c r="F5457" t="s">
        <v>41</v>
      </c>
      <c r="G5457">
        <v>-352.16039999999998</v>
      </c>
      <c r="H5457" s="1">
        <v>-3.8348939999999997E-6</v>
      </c>
      <c r="I5457">
        <v>16.857209999999998</v>
      </c>
      <c r="J5457">
        <v>-377.86540000000002</v>
      </c>
      <c r="K5457">
        <v>1.12064599999999</v>
      </c>
      <c r="L5457">
        <v>17.752839999999999</v>
      </c>
      <c r="M5457">
        <v>0.99993140000000003</v>
      </c>
      <c r="N5457">
        <v>-9.3936599999999999E-3</v>
      </c>
      <c r="O5457">
        <v>7.01448E-3</v>
      </c>
      <c r="P5457">
        <v>0.99566940000000004</v>
      </c>
      <c r="Q5457">
        <v>-9.0469270000000004E-2</v>
      </c>
      <c r="R5457">
        <v>2.140324E-2</v>
      </c>
      <c r="S5457">
        <v>3.0035400000000001</v>
      </c>
      <c r="T5457">
        <v>-0.1297961</v>
      </c>
      <c r="U5457">
        <v>-0.1035156</v>
      </c>
      <c r="V5457">
        <v>-1.439323E-2</v>
      </c>
      <c r="W5457">
        <v>-8.1115619999999999E-2</v>
      </c>
      <c r="X5457">
        <v>0.99660070000000001</v>
      </c>
      <c r="Y5457">
        <v>4.140286E-2</v>
      </c>
      <c r="Z5457">
        <v>-1.325606E-3</v>
      </c>
      <c r="AA5457">
        <v>0.99914159999999996</v>
      </c>
      <c r="AB5457">
        <v>22</v>
      </c>
      <c r="AC5457">
        <v>25.704999999999998</v>
      </c>
      <c r="AD5457">
        <v>-1.1206498348939899</v>
      </c>
      <c r="AE5457">
        <v>-0.89562999999999704</v>
      </c>
      <c r="AF5457">
        <v>1.0738844903406399</v>
      </c>
      <c r="AG5457">
        <v>-1.1206498348939899</v>
      </c>
      <c r="AH5457">
        <v>25.649393213482298</v>
      </c>
      <c r="AI5457">
        <v>92.499536763605207</v>
      </c>
      <c r="AJ5457">
        <v>87.602550107301496</v>
      </c>
      <c r="AK5457">
        <v>25.696312112263801</v>
      </c>
      <c r="AL5457">
        <v>94.652694795913405</v>
      </c>
      <c r="AM5457">
        <v>90.827426674384</v>
      </c>
      <c r="AN5457">
        <v>0.99999993205915105</v>
      </c>
    </row>
    <row r="5458" spans="1:40" x14ac:dyDescent="0.25">
      <c r="A5458" t="str">
        <f>"20190303154627576"</f>
        <v>20190303154627576</v>
      </c>
      <c r="B5458" t="str">
        <f>"1551599187566563"</f>
        <v>1551599187566563</v>
      </c>
      <c r="C5458" t="s">
        <v>40</v>
      </c>
      <c r="D5458">
        <v>5.6151869999999997</v>
      </c>
      <c r="E5458">
        <v>0.52103729999999904</v>
      </c>
      <c r="F5458" t="s">
        <v>41</v>
      </c>
      <c r="G5458">
        <v>-352.0702</v>
      </c>
      <c r="H5458" s="1">
        <v>-3.8732560000000003E-6</v>
      </c>
      <c r="I5458">
        <v>16.858979999999999</v>
      </c>
      <c r="J5458">
        <v>-377.62970000000001</v>
      </c>
      <c r="K5458">
        <v>1.1206430000000001</v>
      </c>
      <c r="L5458">
        <v>17.75479</v>
      </c>
      <c r="M5458">
        <v>0.99992959999999997</v>
      </c>
      <c r="N5458">
        <v>-9.3958440000000004E-3</v>
      </c>
      <c r="O5458">
        <v>7.2630419999999999E-3</v>
      </c>
      <c r="P5458">
        <v>0.99564929999999996</v>
      </c>
      <c r="Q5458">
        <v>-9.068996E-2</v>
      </c>
      <c r="R5458">
        <v>2.1399189999999998E-2</v>
      </c>
      <c r="S5458">
        <v>3.0034179999999999</v>
      </c>
      <c r="T5458">
        <v>-0.13048080000000001</v>
      </c>
      <c r="U5458">
        <v>-0.1040649</v>
      </c>
      <c r="V5458">
        <v>-1.414253E-2</v>
      </c>
      <c r="W5458">
        <v>-8.1334080000000003E-2</v>
      </c>
      <c r="X5458">
        <v>0.99658659999999999</v>
      </c>
      <c r="Y5458">
        <v>4.1834000000000003E-2</v>
      </c>
      <c r="Z5458">
        <v>-1.351833E-3</v>
      </c>
      <c r="AA5458">
        <v>0.9991236</v>
      </c>
      <c r="AB5458">
        <v>22</v>
      </c>
      <c r="AC5458">
        <v>25.5595</v>
      </c>
      <c r="AD5458">
        <v>-1.120646873256</v>
      </c>
      <c r="AE5458">
        <v>-0.89581</v>
      </c>
      <c r="AF5458">
        <v>1.0793618969033101</v>
      </c>
      <c r="AG5458">
        <v>-1.120646873256</v>
      </c>
      <c r="AH5458">
        <v>25.503352918119901</v>
      </c>
      <c r="AI5458">
        <v>92.513777010408504</v>
      </c>
      <c r="AJ5458">
        <v>87.576554065355595</v>
      </c>
      <c r="AK5458">
        <v>25.550770665191301</v>
      </c>
      <c r="AL5458">
        <v>94.665252588180707</v>
      </c>
      <c r="AM5458">
        <v>90.813028083064495</v>
      </c>
      <c r="AN5458">
        <v>1.0000000475119</v>
      </c>
    </row>
    <row r="5459" spans="1:40" x14ac:dyDescent="0.25">
      <c r="A5459" t="str">
        <f>"20190303154627597"</f>
        <v>20190303154627597</v>
      </c>
      <c r="B5459" t="str">
        <f>"1551599187587059"</f>
        <v>1551599187587059</v>
      </c>
      <c r="C5459" t="s">
        <v>40</v>
      </c>
      <c r="D5459">
        <v>5.6239359999999996</v>
      </c>
      <c r="E5459">
        <v>0.520845</v>
      </c>
      <c r="F5459" t="s">
        <v>41</v>
      </c>
      <c r="G5459">
        <v>-352.01830000000001</v>
      </c>
      <c r="H5459" s="1">
        <v>-3.8931689999999996E-6</v>
      </c>
      <c r="I5459">
        <v>16.872239999999898</v>
      </c>
      <c r="J5459">
        <v>-377.41399999999999</v>
      </c>
      <c r="K5459">
        <v>1.120625</v>
      </c>
      <c r="L5459">
        <v>17.756589999999999</v>
      </c>
      <c r="M5459">
        <v>0.99992780000000003</v>
      </c>
      <c r="N5459">
        <v>-9.3978919999999997E-3</v>
      </c>
      <c r="O5459">
        <v>7.4808230000000002E-3</v>
      </c>
      <c r="P5459">
        <v>0.99563749999999995</v>
      </c>
      <c r="Q5459">
        <v>-9.0788079999999993E-2</v>
      </c>
      <c r="R5459">
        <v>2.1536469999999999E-2</v>
      </c>
      <c r="S5459">
        <v>3.003387</v>
      </c>
      <c r="T5459">
        <v>-0.1314157</v>
      </c>
      <c r="U5459">
        <v>-0.1034851</v>
      </c>
      <c r="V5459">
        <v>-1.4063539999999999E-2</v>
      </c>
      <c r="W5459">
        <v>-8.143003E-2</v>
      </c>
      <c r="X5459">
        <v>0.99657980000000002</v>
      </c>
      <c r="Y5459">
        <v>4.1858430000000002E-2</v>
      </c>
      <c r="Z5459">
        <v>-1.3687619999999999E-3</v>
      </c>
      <c r="AA5459">
        <v>0.99912259999999997</v>
      </c>
      <c r="AB5459">
        <v>22</v>
      </c>
      <c r="AC5459">
        <v>25.395699999999898</v>
      </c>
      <c r="AD5459">
        <v>-1.1206288931690001</v>
      </c>
      <c r="AE5459">
        <v>-0.88435000000000097</v>
      </c>
      <c r="AF5459">
        <v>1.07222910883916</v>
      </c>
      <c r="AG5459">
        <v>-1.1206288931690001</v>
      </c>
      <c r="AH5459">
        <v>25.339093667519201</v>
      </c>
      <c r="AI5459">
        <v>92.530011543757794</v>
      </c>
      <c r="AJ5459">
        <v>87.576962491351907</v>
      </c>
      <c r="AK5459">
        <v>25.386515165917501</v>
      </c>
      <c r="AL5459">
        <v>94.6707687986586</v>
      </c>
      <c r="AM5459">
        <v>90.808493213298505</v>
      </c>
      <c r="AN5459">
        <v>0.999999965355585</v>
      </c>
    </row>
    <row r="5460" spans="1:40" x14ac:dyDescent="0.25">
      <c r="A5460" t="str">
        <f>"20190303154627618"</f>
        <v>20190303154627618</v>
      </c>
      <c r="B5460" t="str">
        <f>"1551599187606579"</f>
        <v>1551599187606579</v>
      </c>
      <c r="C5460" t="s">
        <v>40</v>
      </c>
      <c r="D5460">
        <v>5.6634659999999997</v>
      </c>
      <c r="E5460">
        <v>0.4696381</v>
      </c>
      <c r="F5460" t="s">
        <v>41</v>
      </c>
      <c r="G5460">
        <v>-351.90929999999997</v>
      </c>
      <c r="H5460" s="1">
        <v>-3.9358849999999997E-6</v>
      </c>
      <c r="I5460">
        <v>16.895050000000001</v>
      </c>
      <c r="J5460">
        <v>-377.20650000000001</v>
      </c>
      <c r="K5460">
        <v>1.1206130000000001</v>
      </c>
      <c r="L5460">
        <v>17.758389999999999</v>
      </c>
      <c r="M5460">
        <v>0.99992639999999999</v>
      </c>
      <c r="N5460">
        <v>-9.399859E-3</v>
      </c>
      <c r="O5460">
        <v>7.6773529999999996E-3</v>
      </c>
      <c r="P5460">
        <v>0.99557649999999998</v>
      </c>
      <c r="Q5460">
        <v>-9.1346430000000006E-2</v>
      </c>
      <c r="R5460">
        <v>2.1992060000000001E-2</v>
      </c>
      <c r="S5460">
        <v>3.0032960000000002</v>
      </c>
      <c r="T5460">
        <v>-0.1319592</v>
      </c>
      <c r="U5460">
        <v>-0.1014404</v>
      </c>
      <c r="V5460">
        <v>-1.432567E-2</v>
      </c>
      <c r="W5460">
        <v>-8.1986699999999996E-2</v>
      </c>
      <c r="X5460">
        <v>0.99653049999999999</v>
      </c>
      <c r="Y5460">
        <v>4.137644E-2</v>
      </c>
      <c r="Z5460">
        <v>-1.367905E-3</v>
      </c>
      <c r="AA5460">
        <v>0.99914270000000005</v>
      </c>
      <c r="AB5460">
        <v>22</v>
      </c>
      <c r="AC5460">
        <v>25.2972</v>
      </c>
      <c r="AD5460">
        <v>-1.12061693588499</v>
      </c>
      <c r="AE5460">
        <v>-0.863339999999997</v>
      </c>
      <c r="AF5460">
        <v>1.05546990051374</v>
      </c>
      <c r="AG5460">
        <v>-1.12061693588499</v>
      </c>
      <c r="AH5460">
        <v>25.2403539462866</v>
      </c>
      <c r="AI5460">
        <v>92.539921985044202</v>
      </c>
      <c r="AJ5460">
        <v>87.605471037922598</v>
      </c>
      <c r="AK5460">
        <v>25.287255018323101</v>
      </c>
      <c r="AL5460">
        <v>94.702770292233296</v>
      </c>
      <c r="AM5460">
        <v>90.823601380497294</v>
      </c>
      <c r="AN5460">
        <v>1.0000000406140399</v>
      </c>
    </row>
    <row r="5461" spans="1:40" x14ac:dyDescent="0.25">
      <c r="A5461" t="str">
        <f>"20190303154627640"</f>
        <v>20190303154627640</v>
      </c>
      <c r="B5461" t="str">
        <f>"1551599187636834"</f>
        <v>1551599187636834</v>
      </c>
      <c r="C5461" t="s">
        <v>40</v>
      </c>
      <c r="D5461">
        <v>5.6451529999999996</v>
      </c>
      <c r="E5461">
        <v>0.47018500000000002</v>
      </c>
      <c r="F5461" t="s">
        <v>41</v>
      </c>
      <c r="G5461">
        <v>-359.17129999999997</v>
      </c>
      <c r="H5461" s="1">
        <v>-3.3815770000000003E-7</v>
      </c>
      <c r="I5461">
        <v>19.617450000000002</v>
      </c>
      <c r="J5461">
        <v>-376.98</v>
      </c>
      <c r="K5461">
        <v>1.120598</v>
      </c>
      <c r="L5461">
        <v>17.760379999999898</v>
      </c>
      <c r="M5461">
        <v>0.99992490000000001</v>
      </c>
      <c r="N5461">
        <v>-9.4020609999999998E-3</v>
      </c>
      <c r="O5461">
        <v>7.8745519999999999E-3</v>
      </c>
      <c r="P5461">
        <v>0.99557799999999996</v>
      </c>
      <c r="Q5461">
        <v>-9.1103790000000004E-2</v>
      </c>
      <c r="R5461">
        <v>2.2912419999999999E-2</v>
      </c>
      <c r="S5461">
        <v>2.989471</v>
      </c>
      <c r="T5461">
        <v>-0.18574950000000001</v>
      </c>
      <c r="U5461">
        <v>0.30816650000000001</v>
      </c>
      <c r="V5461">
        <v>-1.5052050000000001E-2</v>
      </c>
      <c r="W5461">
        <v>-8.1741499999999995E-2</v>
      </c>
      <c r="X5461">
        <v>0.99653990000000003</v>
      </c>
      <c r="Y5461">
        <v>-9.4506950000000006E-2</v>
      </c>
      <c r="Z5461">
        <v>2.957791E-3</v>
      </c>
      <c r="AA5461">
        <v>0.99551979999999995</v>
      </c>
      <c r="AB5461">
        <v>22</v>
      </c>
      <c r="AC5461">
        <v>17.808700000000002</v>
      </c>
      <c r="AD5461">
        <v>-1.1205983381577</v>
      </c>
      <c r="AE5461">
        <v>1.85707</v>
      </c>
      <c r="AF5461">
        <v>-1.7100725777482499</v>
      </c>
      <c r="AG5461">
        <v>-1.1205983381577</v>
      </c>
      <c r="AH5461">
        <v>17.7532350345376</v>
      </c>
      <c r="AI5461">
        <v>93.595167344469502</v>
      </c>
      <c r="AJ5461">
        <v>95.502016056451396</v>
      </c>
      <c r="AK5461">
        <v>17.8705747822553</v>
      </c>
      <c r="AL5461">
        <v>94.688674222577603</v>
      </c>
      <c r="AM5461">
        <v>90.865347551901607</v>
      </c>
      <c r="AN5461">
        <v>1.0000000046617299</v>
      </c>
    </row>
    <row r="5462" spans="1:40" x14ac:dyDescent="0.25">
      <c r="A5462" t="str">
        <f>"20190303154627664"</f>
        <v>20190303154627664</v>
      </c>
      <c r="B5462" t="str">
        <f>"1551599187656355"</f>
        <v>1551599187656355</v>
      </c>
      <c r="C5462" t="s">
        <v>40</v>
      </c>
      <c r="D5462">
        <v>5.5465049999999998</v>
      </c>
      <c r="E5462">
        <v>0.47056500000000001</v>
      </c>
      <c r="F5462" t="s">
        <v>41</v>
      </c>
      <c r="G5462">
        <v>-359.1003</v>
      </c>
      <c r="H5462" s="1">
        <v>-3.7209110000000001E-7</v>
      </c>
      <c r="I5462">
        <v>19.594830000000002</v>
      </c>
      <c r="J5462">
        <v>-376.75540000000001</v>
      </c>
      <c r="K5462">
        <v>1.1205909999999999</v>
      </c>
      <c r="L5462">
        <v>17.762360000000001</v>
      </c>
      <c r="M5462">
        <v>0.99992349999999997</v>
      </c>
      <c r="N5462">
        <v>-9.4042440000000008E-3</v>
      </c>
      <c r="O5462">
        <v>8.0471080000000007E-3</v>
      </c>
      <c r="P5462">
        <v>0.99557779999999996</v>
      </c>
      <c r="Q5462">
        <v>-9.0808920000000001E-2</v>
      </c>
      <c r="R5462">
        <v>2.405587E-2</v>
      </c>
      <c r="S5462">
        <v>2.989166</v>
      </c>
      <c r="T5462">
        <v>-0.1873437</v>
      </c>
      <c r="U5462">
        <v>0.30670170000000002</v>
      </c>
      <c r="V5462">
        <v>-1.602657E-2</v>
      </c>
      <c r="W5462">
        <v>-8.1444050000000004E-2</v>
      </c>
      <c r="X5462">
        <v>0.99654909999999997</v>
      </c>
      <c r="Y5462">
        <v>-9.3861260000000002E-2</v>
      </c>
      <c r="Z5462">
        <v>2.9467389999999999E-3</v>
      </c>
      <c r="AA5462">
        <v>0.99558089999999999</v>
      </c>
      <c r="AB5462">
        <v>22</v>
      </c>
      <c r="AC5462">
        <v>17.655100000000001</v>
      </c>
      <c r="AD5462">
        <v>-1.1205913720910901</v>
      </c>
      <c r="AE5462">
        <v>1.8324699999999901</v>
      </c>
      <c r="AF5462">
        <v>-1.6836215488541799</v>
      </c>
      <c r="AG5462">
        <v>-1.1205913720910901</v>
      </c>
      <c r="AH5462">
        <v>17.599130831940201</v>
      </c>
      <c r="AI5462">
        <v>93.626768666885596</v>
      </c>
      <c r="AJ5462">
        <v>95.464573281500293</v>
      </c>
      <c r="AK5462">
        <v>17.7149573124724</v>
      </c>
      <c r="AL5462">
        <v>94.671574382766707</v>
      </c>
      <c r="AM5462">
        <v>90.921355174288905</v>
      </c>
      <c r="AN5462">
        <v>1.0000000464685801</v>
      </c>
    </row>
    <row r="5463" spans="1:40" x14ac:dyDescent="0.25">
      <c r="A5463" t="str">
        <f>"20190303154627685"</f>
        <v>20190303154627685</v>
      </c>
      <c r="B5463" t="str">
        <f>"1551599187676851"</f>
        <v>1551599187676851</v>
      </c>
      <c r="C5463" t="s">
        <v>40</v>
      </c>
      <c r="D5463">
        <v>5.5966699999999996</v>
      </c>
      <c r="E5463">
        <v>0.47108810000000001</v>
      </c>
      <c r="F5463" t="s">
        <v>41</v>
      </c>
      <c r="G5463">
        <v>-357.8954</v>
      </c>
      <c r="H5463" s="1">
        <v>-9.0740780000000001E-7</v>
      </c>
      <c r="I5463">
        <v>19.699750000000002</v>
      </c>
      <c r="J5463">
        <v>-376.53879999999998</v>
      </c>
      <c r="K5463">
        <v>1.1205769999999999</v>
      </c>
      <c r="L5463">
        <v>17.764309999999998</v>
      </c>
      <c r="M5463">
        <v>0.99992219999999998</v>
      </c>
      <c r="N5463">
        <v>-9.4063879999999999E-3</v>
      </c>
      <c r="O5463">
        <v>8.1925450000000007E-3</v>
      </c>
      <c r="P5463">
        <v>0.99558100000000005</v>
      </c>
      <c r="Q5463">
        <v>-9.0520080000000003E-2</v>
      </c>
      <c r="R5463">
        <v>2.4999960000000002E-2</v>
      </c>
      <c r="S5463">
        <v>2.9896850000000001</v>
      </c>
      <c r="T5463">
        <v>-0.1776364</v>
      </c>
      <c r="U5463">
        <v>0.30712889999999998</v>
      </c>
      <c r="V5463">
        <v>-1.6829090000000001E-2</v>
      </c>
      <c r="W5463">
        <v>-8.1152509999999997E-2</v>
      </c>
      <c r="X5463">
        <v>0.99655959999999999</v>
      </c>
      <c r="Y5463">
        <v>-9.3858430000000007E-2</v>
      </c>
      <c r="Z5463">
        <v>2.8134649999999998E-3</v>
      </c>
      <c r="AA5463">
        <v>0.99558159999999896</v>
      </c>
      <c r="AB5463">
        <v>22</v>
      </c>
      <c r="AC5463">
        <v>18.6433999999999</v>
      </c>
      <c r="AD5463">
        <v>-1.1205779074077999</v>
      </c>
      <c r="AE5463">
        <v>1.93544</v>
      </c>
      <c r="AF5463">
        <v>-1.77628260845623</v>
      </c>
      <c r="AG5463">
        <v>-1.1205779074077999</v>
      </c>
      <c r="AH5463">
        <v>18.592179064734601</v>
      </c>
      <c r="AI5463">
        <v>93.433531287022603</v>
      </c>
      <c r="AJ5463">
        <v>95.457430622686502</v>
      </c>
      <c r="AK5463">
        <v>18.7104248248624</v>
      </c>
      <c r="AL5463">
        <v>94.654815147872895</v>
      </c>
      <c r="AM5463">
        <v>90.967472679392998</v>
      </c>
      <c r="AN5463">
        <v>0.99999999225084402</v>
      </c>
    </row>
    <row r="5464" spans="1:40" x14ac:dyDescent="0.25">
      <c r="A5464" t="str">
        <f>"20190303154627708"</f>
        <v>20190303154627708</v>
      </c>
      <c r="B5464" t="str">
        <f>"1551599187696371"</f>
        <v>1551599187696371</v>
      </c>
      <c r="C5464" t="s">
        <v>40</v>
      </c>
      <c r="D5464">
        <v>5.6118329999999998</v>
      </c>
      <c r="E5464">
        <v>0.47069630000000001</v>
      </c>
      <c r="F5464" t="s">
        <v>41</v>
      </c>
      <c r="G5464">
        <v>-357.15410000000003</v>
      </c>
      <c r="H5464" s="1">
        <v>-1.23793E-6</v>
      </c>
      <c r="I5464">
        <v>19.746739999999999</v>
      </c>
      <c r="J5464">
        <v>-376.30869999999999</v>
      </c>
      <c r="K5464">
        <v>1.1205609999999999</v>
      </c>
      <c r="L5464">
        <v>17.766359999999999</v>
      </c>
      <c r="M5464">
        <v>0.99992110000000001</v>
      </c>
      <c r="N5464">
        <v>-9.4086949999999999E-3</v>
      </c>
      <c r="O5464">
        <v>8.3272069999999997E-3</v>
      </c>
      <c r="P5464">
        <v>0.99556460000000002</v>
      </c>
      <c r="Q5464">
        <v>-9.0385409999999999E-2</v>
      </c>
      <c r="R5464">
        <v>2.610498E-2</v>
      </c>
      <c r="S5464">
        <v>2.9899290000000001</v>
      </c>
      <c r="T5464">
        <v>-0.1728401</v>
      </c>
      <c r="U5464">
        <v>0.30578610000000001</v>
      </c>
      <c r="V5464">
        <v>-1.780201E-2</v>
      </c>
      <c r="W5464">
        <v>-8.1015180000000006E-2</v>
      </c>
      <c r="X5464">
        <v>0.99655389999999999</v>
      </c>
      <c r="Y5464">
        <v>-9.3283660000000004E-2</v>
      </c>
      <c r="Z5464">
        <v>2.7258479999999999E-3</v>
      </c>
      <c r="AA5464">
        <v>0.99563590000000002</v>
      </c>
      <c r="AB5464">
        <v>22</v>
      </c>
      <c r="AC5464">
        <v>19.154599999999899</v>
      </c>
      <c r="AD5464">
        <v>-1.12056223793</v>
      </c>
      <c r="AE5464">
        <v>1.98038</v>
      </c>
      <c r="AF5464">
        <v>-1.8146552348443401</v>
      </c>
      <c r="AG5464">
        <v>-1.12056223793</v>
      </c>
      <c r="AH5464">
        <v>19.105732419625198</v>
      </c>
      <c r="AI5464">
        <v>93.341581045289502</v>
      </c>
      <c r="AJ5464">
        <v>95.425655341079207</v>
      </c>
      <c r="AK5464">
        <v>19.224402322068201</v>
      </c>
      <c r="AL5464">
        <v>94.646920579813298</v>
      </c>
      <c r="AM5464">
        <v>91.023398299198703</v>
      </c>
      <c r="AN5464">
        <v>1.0000000232778401</v>
      </c>
    </row>
    <row r="5465" spans="1:40" x14ac:dyDescent="0.25">
      <c r="A5465" t="str">
        <f>"20190303154627730"</f>
        <v>20190303154627730</v>
      </c>
      <c r="B5465" t="str">
        <f>"1551599187726627"</f>
        <v>1551599187726627</v>
      </c>
      <c r="C5465" t="s">
        <v>40</v>
      </c>
      <c r="D5465">
        <v>5.554729</v>
      </c>
      <c r="E5465">
        <v>0.47121469999999999</v>
      </c>
      <c r="F5465" t="s">
        <v>41</v>
      </c>
      <c r="G5465">
        <v>-357.16300000000001</v>
      </c>
      <c r="H5465" s="1">
        <v>-1.239311E-6</v>
      </c>
      <c r="I5465">
        <v>19.766369999999998</v>
      </c>
      <c r="J5465">
        <v>-376.08640000000003</v>
      </c>
      <c r="K5465">
        <v>1.1205540000000001</v>
      </c>
      <c r="L5465">
        <v>17.768339999999998</v>
      </c>
      <c r="M5465">
        <v>0.99992020000000004</v>
      </c>
      <c r="N5465">
        <v>-9.4109450000000004E-3</v>
      </c>
      <c r="O5465">
        <v>8.4396680000000009E-3</v>
      </c>
      <c r="P5465">
        <v>0.99555260000000001</v>
      </c>
      <c r="Q5465">
        <v>-9.0237739999999997E-2</v>
      </c>
      <c r="R5465">
        <v>2.7064810000000002E-2</v>
      </c>
      <c r="S5465">
        <v>2.9893190000000001</v>
      </c>
      <c r="T5465">
        <v>-0.17495949999999999</v>
      </c>
      <c r="U5465">
        <v>0.31228640000000002</v>
      </c>
      <c r="V5465">
        <v>-1.8652350000000002E-2</v>
      </c>
      <c r="W5465">
        <v>-8.0864920000000007E-2</v>
      </c>
      <c r="X5465">
        <v>0.99655050000000001</v>
      </c>
      <c r="Y5465">
        <v>-9.5326419999999995E-2</v>
      </c>
      <c r="Z5465">
        <v>2.8169610000000002E-3</v>
      </c>
      <c r="AA5465">
        <v>0.9954421</v>
      </c>
      <c r="AB5465">
        <v>22</v>
      </c>
      <c r="AC5465">
        <v>18.923400000000001</v>
      </c>
      <c r="AD5465">
        <v>-1.1205552393109901</v>
      </c>
      <c r="AE5465">
        <v>1.99803</v>
      </c>
      <c r="AF5465">
        <v>-1.8318919392316</v>
      </c>
      <c r="AG5465">
        <v>-1.1205552393109901</v>
      </c>
      <c r="AH5465">
        <v>18.874137810340301</v>
      </c>
      <c r="AI5465">
        <v>93.381800791043005</v>
      </c>
      <c r="AJ5465">
        <v>95.543667408363703</v>
      </c>
      <c r="AK5465">
        <v>18.995908775446502</v>
      </c>
      <c r="AL5465">
        <v>94.638283213159397</v>
      </c>
      <c r="AM5465">
        <v>91.072274974959399</v>
      </c>
      <c r="AN5465">
        <v>0.99999997224868897</v>
      </c>
    </row>
    <row r="5466" spans="1:40" x14ac:dyDescent="0.25">
      <c r="A5466" t="str">
        <f>"20190303154627752"</f>
        <v>20190303154627752</v>
      </c>
      <c r="B5466" t="str">
        <f>"1551599187747123"</f>
        <v>1551599187747123</v>
      </c>
      <c r="C5466" t="s">
        <v>40</v>
      </c>
      <c r="D5466">
        <v>5.5387430000000002</v>
      </c>
      <c r="E5466">
        <v>0.47152899999999998</v>
      </c>
      <c r="F5466" t="s">
        <v>41</v>
      </c>
      <c r="G5466">
        <v>-356.49079999999998</v>
      </c>
      <c r="H5466" s="1">
        <v>-1.538508E-6</v>
      </c>
      <c r="I5466">
        <v>19.80706</v>
      </c>
      <c r="J5466">
        <v>-375.86309999999997</v>
      </c>
      <c r="K5466">
        <v>1.1205449999999999</v>
      </c>
      <c r="L5466">
        <v>17.77036</v>
      </c>
      <c r="M5466">
        <v>0.99991929999999996</v>
      </c>
      <c r="N5466">
        <v>-9.413233E-3</v>
      </c>
      <c r="O5466">
        <v>8.5381520000000002E-3</v>
      </c>
      <c r="P5466">
        <v>0.99553829999999999</v>
      </c>
      <c r="Q5466">
        <v>-9.0167750000000005E-2</v>
      </c>
      <c r="R5466">
        <v>2.7813620000000001E-2</v>
      </c>
      <c r="S5466">
        <v>2.9894409999999998</v>
      </c>
      <c r="T5466">
        <v>-0.17094899999999999</v>
      </c>
      <c r="U5466">
        <v>0.31103520000000001</v>
      </c>
      <c r="V5466">
        <v>-1.93049E-2</v>
      </c>
      <c r="W5466">
        <v>-8.07924E-2</v>
      </c>
      <c r="X5466">
        <v>0.99654399999999999</v>
      </c>
      <c r="Y5466">
        <v>-9.4820440000000006E-2</v>
      </c>
      <c r="Z5466">
        <v>2.7431790000000001E-3</v>
      </c>
      <c r="AA5466">
        <v>0.9954906</v>
      </c>
      <c r="AB5466">
        <v>23</v>
      </c>
      <c r="AC5466">
        <v>19.372299999999999</v>
      </c>
      <c r="AD5466">
        <v>-1.120546538508</v>
      </c>
      <c r="AE5466">
        <v>2.0367000000000002</v>
      </c>
      <c r="AF5466">
        <v>-1.86504298789954</v>
      </c>
      <c r="AG5466">
        <v>-1.120546538508</v>
      </c>
      <c r="AH5466">
        <v>19.3250337727534</v>
      </c>
      <c r="AI5466">
        <v>93.303220604688505</v>
      </c>
      <c r="AJ5466">
        <v>95.512495981862003</v>
      </c>
      <c r="AK5466">
        <v>19.447131927606598</v>
      </c>
      <c r="AL5466">
        <v>94.634114272919703</v>
      </c>
      <c r="AM5466">
        <v>91.109786386648594</v>
      </c>
      <c r="AN5466">
        <v>1.0000000174988799</v>
      </c>
    </row>
    <row r="5467" spans="1:40" x14ac:dyDescent="0.25">
      <c r="A5467" t="str">
        <f>"20190303154627777"</f>
        <v>20190303154627777</v>
      </c>
      <c r="B5467" t="str">
        <f>"1551599187766643"</f>
        <v>1551599187766643</v>
      </c>
      <c r="C5467" t="s">
        <v>40</v>
      </c>
      <c r="D5467">
        <v>5.4923799999999998</v>
      </c>
      <c r="E5467">
        <v>0.47169620000000001</v>
      </c>
      <c r="F5467" t="s">
        <v>41</v>
      </c>
      <c r="G5467">
        <v>-356.00229999999999</v>
      </c>
      <c r="H5467" s="1">
        <v>-1.7555759999999999E-6</v>
      </c>
      <c r="I5467">
        <v>19.83521</v>
      </c>
      <c r="J5467">
        <v>-375.61259999999999</v>
      </c>
      <c r="K5467">
        <v>1.1205400000000001</v>
      </c>
      <c r="L5467">
        <v>17.77261</v>
      </c>
      <c r="M5467">
        <v>0.99991850000000004</v>
      </c>
      <c r="N5467">
        <v>-9.4158469999999998E-3</v>
      </c>
      <c r="O5467">
        <v>8.6365980000000005E-3</v>
      </c>
      <c r="P5467">
        <v>0.99556730000000004</v>
      </c>
      <c r="Q5467">
        <v>-8.9830610000000005E-2</v>
      </c>
      <c r="R5467">
        <v>2.7864860000000002E-2</v>
      </c>
      <c r="S5467">
        <v>2.9895019999999999</v>
      </c>
      <c r="T5467">
        <v>-0.16866779999999901</v>
      </c>
      <c r="U5467">
        <v>0.31082149999999997</v>
      </c>
      <c r="V5467">
        <v>-1.9258859999999999E-2</v>
      </c>
      <c r="W5467">
        <v>-8.0452109999999993E-2</v>
      </c>
      <c r="X5467">
        <v>0.99657240000000002</v>
      </c>
      <c r="Y5467">
        <v>-9.4654459999999996E-2</v>
      </c>
      <c r="Z5467">
        <v>2.7037060000000002E-3</v>
      </c>
      <c r="AA5467">
        <v>0.99550649999999996</v>
      </c>
      <c r="AB5467">
        <v>23</v>
      </c>
      <c r="AC5467">
        <v>19.610299999999899</v>
      </c>
      <c r="AD5467">
        <v>-1.12054175557599</v>
      </c>
      <c r="AE5467">
        <v>2.0626000000000002</v>
      </c>
      <c r="AF5467">
        <v>-1.8870554178957799</v>
      </c>
      <c r="AG5467">
        <v>-1.12054175557599</v>
      </c>
      <c r="AH5467">
        <v>19.564204332782499</v>
      </c>
      <c r="AI5467">
        <v>93.262929954207294</v>
      </c>
      <c r="AJ5467">
        <v>95.509392083271607</v>
      </c>
      <c r="AK5467">
        <v>19.686916547572</v>
      </c>
      <c r="AL5467">
        <v>94.6145535109289</v>
      </c>
      <c r="AM5467">
        <v>91.107108788307798</v>
      </c>
      <c r="AN5467">
        <v>0.99999999706685505</v>
      </c>
    </row>
    <row r="5468" spans="1:40" x14ac:dyDescent="0.25">
      <c r="A5468" t="str">
        <f>"20190303154627798"</f>
        <v>20190303154627798</v>
      </c>
      <c r="B5468" t="str">
        <f>"1551599187787140"</f>
        <v>1551599187787140</v>
      </c>
      <c r="C5468" t="s">
        <v>40</v>
      </c>
      <c r="D5468">
        <v>5.4353309999999997</v>
      </c>
      <c r="E5468">
        <v>0.47197729999999999</v>
      </c>
      <c r="F5468" t="s">
        <v>41</v>
      </c>
      <c r="G5468">
        <v>-355.54669999999999</v>
      </c>
      <c r="H5468" s="1">
        <v>-1.955071E-6</v>
      </c>
      <c r="I5468">
        <v>19.850339999999999</v>
      </c>
      <c r="J5468">
        <v>-375.3947</v>
      </c>
      <c r="K5468">
        <v>1.120541</v>
      </c>
      <c r="L5468">
        <v>17.7746</v>
      </c>
      <c r="M5468">
        <v>0.99991770000000002</v>
      </c>
      <c r="N5468">
        <v>-9.4181520000000008E-3</v>
      </c>
      <c r="O5468">
        <v>8.7169650000000001E-3</v>
      </c>
      <c r="P5468">
        <v>0.99560309999999996</v>
      </c>
      <c r="Q5468">
        <v>-8.960862E-2</v>
      </c>
      <c r="R5468">
        <v>2.7288840000000002E-2</v>
      </c>
      <c r="S5468">
        <v>2.9895939999999999</v>
      </c>
      <c r="T5468">
        <v>-0.1669477</v>
      </c>
      <c r="U5468">
        <v>0.30957030000000002</v>
      </c>
      <c r="V5468">
        <v>-1.8602939999999998E-2</v>
      </c>
      <c r="W5468">
        <v>-8.0227380000000001E-2</v>
      </c>
      <c r="X5468">
        <v>0.99660300000000002</v>
      </c>
      <c r="Y5468">
        <v>-9.41631E-2</v>
      </c>
      <c r="Z5468">
        <v>2.6619410000000001E-3</v>
      </c>
      <c r="AA5468">
        <v>0.99555320000000003</v>
      </c>
      <c r="AB5468">
        <v>23</v>
      </c>
      <c r="AC5468">
        <v>19.847999999999999</v>
      </c>
      <c r="AD5468">
        <v>-1.120542955071</v>
      </c>
      <c r="AE5468">
        <v>2.0757400000000001</v>
      </c>
      <c r="AF5468">
        <v>-1.8966593147123501</v>
      </c>
      <c r="AG5468">
        <v>-1.120542955071</v>
      </c>
      <c r="AH5468">
        <v>19.802905782628201</v>
      </c>
      <c r="AI5468">
        <v>93.223893574981901</v>
      </c>
      <c r="AJ5468">
        <v>95.470919594927693</v>
      </c>
      <c r="AK5468">
        <v>19.925059862040399</v>
      </c>
      <c r="AL5468">
        <v>94.601635564732604</v>
      </c>
      <c r="AM5468">
        <v>91.069378859780798</v>
      </c>
      <c r="AN5468">
        <v>1.0000000207436499</v>
      </c>
    </row>
    <row r="5469" spans="1:40" x14ac:dyDescent="0.25">
      <c r="A5469" t="str">
        <f>"20190303154627822"</f>
        <v>20190303154627822</v>
      </c>
      <c r="B5469" t="str">
        <f>"1551599187816419"</f>
        <v>1551599187816419</v>
      </c>
      <c r="C5469" t="s">
        <v>40</v>
      </c>
      <c r="D5469">
        <v>5.3933929999999997</v>
      </c>
      <c r="E5469">
        <v>0.47224929999999898</v>
      </c>
      <c r="F5469" t="s">
        <v>41</v>
      </c>
      <c r="G5469">
        <v>-355.02719999999999</v>
      </c>
      <c r="H5469" s="1">
        <v>-2.1794919999999998E-6</v>
      </c>
      <c r="I5469">
        <v>19.856210000000001</v>
      </c>
      <c r="J5469">
        <v>-375.15550000000002</v>
      </c>
      <c r="K5469">
        <v>1.1205419999999999</v>
      </c>
      <c r="L5469">
        <v>17.776789999999998</v>
      </c>
      <c r="M5469">
        <v>0.99991699999999994</v>
      </c>
      <c r="N5469">
        <v>-9.4207019999999995E-3</v>
      </c>
      <c r="O5469">
        <v>8.8038519999999992E-3</v>
      </c>
      <c r="P5469">
        <v>0.99561080000000002</v>
      </c>
      <c r="Q5469">
        <v>-8.9837490000000006E-2</v>
      </c>
      <c r="R5469">
        <v>2.624081E-2</v>
      </c>
      <c r="S5469">
        <v>2.9900509999999998</v>
      </c>
      <c r="T5469">
        <v>-0.16450100000000001</v>
      </c>
      <c r="U5469">
        <v>0.30560300000000001</v>
      </c>
      <c r="V5469">
        <v>-1.746874E-2</v>
      </c>
      <c r="W5469">
        <v>-8.0453579999999997E-2</v>
      </c>
      <c r="X5469">
        <v>0.99660530000000003</v>
      </c>
      <c r="Y5469">
        <v>-9.2760629999999997E-2</v>
      </c>
      <c r="Z5469">
        <v>2.581599E-3</v>
      </c>
      <c r="AA5469">
        <v>0.99568509999999999</v>
      </c>
      <c r="AB5469">
        <v>23</v>
      </c>
      <c r="AC5469">
        <v>20.128299999999999</v>
      </c>
      <c r="AD5469">
        <v>-1.1205441794919999</v>
      </c>
      <c r="AE5469">
        <v>2.0794199999999998</v>
      </c>
      <c r="AF5469">
        <v>-1.8963100856572499</v>
      </c>
      <c r="AG5469">
        <v>-1.1205441794919999</v>
      </c>
      <c r="AH5469">
        <v>20.0842406312705</v>
      </c>
      <c r="AI5469">
        <v>93.179237177685806</v>
      </c>
      <c r="AJ5469">
        <v>95.393752211949106</v>
      </c>
      <c r="AK5469">
        <v>20.204661168501101</v>
      </c>
      <c r="AL5469">
        <v>94.614637858717899</v>
      </c>
      <c r="AM5469">
        <v>91.004191519508694</v>
      </c>
      <c r="AN5469">
        <v>1.00000002970004</v>
      </c>
    </row>
    <row r="5470" spans="1:40" x14ac:dyDescent="0.25">
      <c r="A5470" t="str">
        <f>"20190303154627842"</f>
        <v>20190303154627842</v>
      </c>
      <c r="B5470" t="str">
        <f>"1551599187836916"</f>
        <v>1551599187836916</v>
      </c>
      <c r="C5470" t="s">
        <v>40</v>
      </c>
      <c r="D5470">
        <v>5.3869189999999998</v>
      </c>
      <c r="E5470">
        <v>0.47230929999999999</v>
      </c>
      <c r="F5470" t="s">
        <v>41</v>
      </c>
      <c r="G5470">
        <v>-354.72750000000002</v>
      </c>
      <c r="H5470" s="1">
        <v>-2.3006660000000002E-6</v>
      </c>
      <c r="I5470">
        <v>19.828410000000002</v>
      </c>
      <c r="J5470">
        <v>-374.94580000000002</v>
      </c>
      <c r="K5470">
        <v>1.120541</v>
      </c>
      <c r="L5470">
        <v>17.77872</v>
      </c>
      <c r="M5470">
        <v>0.99991620000000003</v>
      </c>
      <c r="N5470">
        <v>-9.4229710000000005E-3</v>
      </c>
      <c r="O5470">
        <v>8.8807439999999994E-3</v>
      </c>
      <c r="P5470">
        <v>0.99563400000000002</v>
      </c>
      <c r="Q5470">
        <v>-8.9817289999999994E-2</v>
      </c>
      <c r="R5470">
        <v>2.5410579999999999E-2</v>
      </c>
      <c r="S5470">
        <v>2.9905089999999999</v>
      </c>
      <c r="T5470">
        <v>-0.1640394</v>
      </c>
      <c r="U5470">
        <v>0.30035400000000001</v>
      </c>
      <c r="V5470">
        <v>-1.6561579999999999E-2</v>
      </c>
      <c r="W5470">
        <v>-8.0430970000000004E-2</v>
      </c>
      <c r="X5470">
        <v>0.99662260000000003</v>
      </c>
      <c r="Y5470">
        <v>-9.0942640000000005E-2</v>
      </c>
      <c r="Z5470">
        <v>2.5140119999999999E-3</v>
      </c>
      <c r="AA5470">
        <v>0.99585290000000004</v>
      </c>
      <c r="AB5470">
        <v>23</v>
      </c>
      <c r="AC5470">
        <v>20.218299999999999</v>
      </c>
      <c r="AD5470">
        <v>-1.1205433006659999</v>
      </c>
      <c r="AE5470">
        <v>2.04969</v>
      </c>
      <c r="AF5470">
        <v>-1.8643792372998</v>
      </c>
      <c r="AG5470">
        <v>-1.1205433006659999</v>
      </c>
      <c r="AH5470">
        <v>20.174368536934601</v>
      </c>
      <c r="AI5470">
        <v>93.165646979223197</v>
      </c>
      <c r="AJ5470">
        <v>95.279893583575699</v>
      </c>
      <c r="AK5470">
        <v>20.291295500613099</v>
      </c>
      <c r="AL5470">
        <v>94.613338248717497</v>
      </c>
      <c r="AM5470">
        <v>90.952036712890504</v>
      </c>
      <c r="AN5470">
        <v>1.00000001684899</v>
      </c>
    </row>
    <row r="5471" spans="1:40" x14ac:dyDescent="0.25">
      <c r="A5471" t="str">
        <f>"20190303154627865"</f>
        <v>20190303154627865</v>
      </c>
      <c r="B5471" t="str">
        <f>"1551599187856438"</f>
        <v>1551599187856438</v>
      </c>
      <c r="C5471" t="s">
        <v>40</v>
      </c>
      <c r="D5471">
        <v>5.3466849999999999</v>
      </c>
      <c r="E5471">
        <v>0.47224630000000001</v>
      </c>
      <c r="F5471" t="s">
        <v>41</v>
      </c>
      <c r="G5471">
        <v>-354.44369999999998</v>
      </c>
      <c r="H5471" s="1">
        <v>-2.4194340000000002E-6</v>
      </c>
      <c r="I5471">
        <v>19.81728</v>
      </c>
      <c r="J5471">
        <v>-374.71640000000002</v>
      </c>
      <c r="K5471">
        <v>1.120541</v>
      </c>
      <c r="L5471">
        <v>17.780850000000001</v>
      </c>
      <c r="M5471">
        <v>0.99991540000000001</v>
      </c>
      <c r="N5471">
        <v>-9.4254760000000003E-3</v>
      </c>
      <c r="O5471">
        <v>8.9668230000000005E-3</v>
      </c>
      <c r="P5471">
        <v>0.99576940000000003</v>
      </c>
      <c r="Q5471">
        <v>-8.8419689999999995E-2</v>
      </c>
      <c r="R5471">
        <v>2.50014E-2</v>
      </c>
      <c r="S5471">
        <v>2.9908139999999999</v>
      </c>
      <c r="T5471">
        <v>-0.1634632</v>
      </c>
      <c r="U5471">
        <v>0.29739379999999999</v>
      </c>
      <c r="V5471">
        <v>-1.6064869999999998E-2</v>
      </c>
      <c r="W5471">
        <v>-7.9029730000000006E-2</v>
      </c>
      <c r="X5471">
        <v>0.99674280000000004</v>
      </c>
      <c r="Y5471">
        <v>-8.9873729999999999E-2</v>
      </c>
      <c r="Z5471">
        <v>2.4689569999999999E-3</v>
      </c>
      <c r="AA5471">
        <v>0.99595009999999995</v>
      </c>
      <c r="AB5471">
        <v>23</v>
      </c>
      <c r="AC5471">
        <v>20.2727</v>
      </c>
      <c r="AD5471">
        <v>-1.120543419434</v>
      </c>
      <c r="AE5471">
        <v>2.03642999999999</v>
      </c>
      <c r="AF5471">
        <v>-1.8489658808239999</v>
      </c>
      <c r="AG5471">
        <v>-1.120543419434</v>
      </c>
      <c r="AH5471">
        <v>20.228960677703299</v>
      </c>
      <c r="AI5471">
        <v>93.157411869927003</v>
      </c>
      <c r="AJ5471">
        <v>95.222433336101403</v>
      </c>
      <c r="AK5471">
        <v>20.3441672840978</v>
      </c>
      <c r="AL5471">
        <v>94.532796803312493</v>
      </c>
      <c r="AM5471">
        <v>90.923377184453798</v>
      </c>
      <c r="AN5471">
        <v>0.99999999381191396</v>
      </c>
    </row>
    <row r="5472" spans="1:40" x14ac:dyDescent="0.25">
      <c r="A5472" t="str">
        <f>"20190303154627887"</f>
        <v>20190303154627887</v>
      </c>
      <c r="B5472" t="str">
        <f>"1551599187876935"</f>
        <v>1551599187876935</v>
      </c>
      <c r="C5472" t="s">
        <v>40</v>
      </c>
      <c r="D5472">
        <v>5.3330019999999996</v>
      </c>
      <c r="E5472">
        <v>0.4722249</v>
      </c>
      <c r="F5472" t="s">
        <v>41</v>
      </c>
      <c r="G5472">
        <v>-353.6782</v>
      </c>
      <c r="H5472" s="1">
        <v>-2.7611999999999999E-6</v>
      </c>
      <c r="I5472">
        <v>19.867529999999999</v>
      </c>
      <c r="J5472">
        <v>-374.49209999999999</v>
      </c>
      <c r="K5472">
        <v>1.12053799999999</v>
      </c>
      <c r="L5472">
        <v>17.782959999999999</v>
      </c>
      <c r="M5472">
        <v>0.99991470000000005</v>
      </c>
      <c r="N5472">
        <v>-9.427932E-3</v>
      </c>
      <c r="O5472">
        <v>9.0517640000000003E-3</v>
      </c>
      <c r="P5472">
        <v>0.99577590000000005</v>
      </c>
      <c r="Q5472">
        <v>-8.8438149999999993E-2</v>
      </c>
      <c r="R5472">
        <v>2.4681959999999999E-2</v>
      </c>
      <c r="S5472">
        <v>2.9911799999999999</v>
      </c>
      <c r="T5472">
        <v>-0.1593175</v>
      </c>
      <c r="U5472">
        <v>0.29669190000000001</v>
      </c>
      <c r="V5472">
        <v>-1.5660380000000002E-2</v>
      </c>
      <c r="W5472">
        <v>-7.9045710000000005E-2</v>
      </c>
      <c r="X5472">
        <v>0.99674799999999997</v>
      </c>
      <c r="Y5472">
        <v>-8.9552999999999994E-2</v>
      </c>
      <c r="Z5472">
        <v>2.4054879999999999E-3</v>
      </c>
      <c r="AA5472">
        <v>0.99597910000000001</v>
      </c>
      <c r="AB5472">
        <v>23</v>
      </c>
      <c r="AC5472">
        <v>20.813899999999901</v>
      </c>
      <c r="AD5472">
        <v>-1.12054076119999</v>
      </c>
      <c r="AE5472">
        <v>2.0845699999999998</v>
      </c>
      <c r="AF5472">
        <v>-1.8906484175871701</v>
      </c>
      <c r="AG5472">
        <v>-1.12054076119999</v>
      </c>
      <c r="AH5472">
        <v>20.772309899838401</v>
      </c>
      <c r="AI5472">
        <v>93.075082246596693</v>
      </c>
      <c r="AJ5472">
        <v>95.200602178772399</v>
      </c>
      <c r="AK5472">
        <v>20.888250803055701</v>
      </c>
      <c r="AL5472">
        <v>94.533715127656706</v>
      </c>
      <c r="AM5472">
        <v>90.900127072954703</v>
      </c>
      <c r="AN5472">
        <v>1.0000000236375699</v>
      </c>
    </row>
    <row r="5473" spans="1:40" x14ac:dyDescent="0.25">
      <c r="A5473" t="str">
        <f>"20190303154627909"</f>
        <v>20190303154627909</v>
      </c>
      <c r="B5473" t="str">
        <f>"1551599187896451"</f>
        <v>1551599187896451</v>
      </c>
      <c r="C5473" t="s">
        <v>40</v>
      </c>
      <c r="D5473">
        <v>5.4396849999999999</v>
      </c>
      <c r="E5473">
        <v>0.4722423</v>
      </c>
      <c r="F5473" t="s">
        <v>41</v>
      </c>
      <c r="G5473">
        <v>-353.39150000000001</v>
      </c>
      <c r="H5473" s="1">
        <v>-2.8849449999999999E-6</v>
      </c>
      <c r="I5473">
        <v>19.870370000000001</v>
      </c>
      <c r="J5473">
        <v>-374.26429999999999</v>
      </c>
      <c r="K5473">
        <v>1.120539</v>
      </c>
      <c r="L5473">
        <v>17.785129999999999</v>
      </c>
      <c r="M5473">
        <v>0.99991390000000002</v>
      </c>
      <c r="N5473">
        <v>-9.4304269999999999E-3</v>
      </c>
      <c r="O5473">
        <v>9.1380049999999994E-3</v>
      </c>
      <c r="P5473">
        <v>0.99575760000000002</v>
      </c>
      <c r="Q5473">
        <v>-8.8664610000000005E-2</v>
      </c>
      <c r="R5473">
        <v>2.4612289999999998E-2</v>
      </c>
      <c r="S5473">
        <v>2.9912719999999999</v>
      </c>
      <c r="T5473">
        <v>-0.15885089999999999</v>
      </c>
      <c r="U5473">
        <v>0.295929</v>
      </c>
      <c r="V5473">
        <v>-1.550516E-2</v>
      </c>
      <c r="W5473">
        <v>-7.9269829999999999E-2</v>
      </c>
      <c r="X5473">
        <v>0.99673259999999997</v>
      </c>
      <c r="Y5473">
        <v>-8.9213940000000005E-2</v>
      </c>
      <c r="Z5473">
        <v>2.3857029999999999E-3</v>
      </c>
      <c r="AA5473">
        <v>0.99600960000000005</v>
      </c>
      <c r="AB5473">
        <v>23</v>
      </c>
      <c r="AC5473">
        <v>20.872799999999899</v>
      </c>
      <c r="AD5473">
        <v>-1.120541884945</v>
      </c>
      <c r="AE5473">
        <v>2.0852400000000002</v>
      </c>
      <c r="AF5473">
        <v>-1.8890183564812399</v>
      </c>
      <c r="AG5473">
        <v>-1.120541884945</v>
      </c>
      <c r="AH5473">
        <v>20.8315408730532</v>
      </c>
      <c r="AI5473">
        <v>93.066451494810806</v>
      </c>
      <c r="AJ5473">
        <v>95.181449106298899</v>
      </c>
      <c r="AK5473">
        <v>20.947006936856699</v>
      </c>
      <c r="AL5473">
        <v>94.546596804786205</v>
      </c>
      <c r="AM5473">
        <v>90.891220553774303</v>
      </c>
      <c r="AN5473">
        <v>0.99999999591880695</v>
      </c>
    </row>
    <row r="5474" spans="1:40" x14ac:dyDescent="0.25">
      <c r="A5474" t="str">
        <f>"20190303154627930"</f>
        <v>20190303154627930</v>
      </c>
      <c r="B5474" t="str">
        <f>"1551599187926707"</f>
        <v>1551599187926707</v>
      </c>
      <c r="C5474" t="s">
        <v>40</v>
      </c>
      <c r="D5474">
        <v>5.4426009999999998</v>
      </c>
      <c r="E5474">
        <v>0.51973000000000003</v>
      </c>
      <c r="F5474" t="s">
        <v>41</v>
      </c>
      <c r="G5474">
        <v>-353.15039999999999</v>
      </c>
      <c r="H5474" s="1">
        <v>-2.9883989999999998E-6</v>
      </c>
      <c r="I5474">
        <v>19.870370000000001</v>
      </c>
      <c r="J5474">
        <v>-374.04160000000002</v>
      </c>
      <c r="K5474">
        <v>1.12053799999999</v>
      </c>
      <c r="L5474">
        <v>17.787229999999902</v>
      </c>
      <c r="M5474">
        <v>0.9999131</v>
      </c>
      <c r="N5474">
        <v>-9.4328820000000001E-3</v>
      </c>
      <c r="O5474">
        <v>9.2193980000000002E-3</v>
      </c>
      <c r="P5474">
        <v>0.99572459999999996</v>
      </c>
      <c r="Q5474">
        <v>-8.9001339999999998E-2</v>
      </c>
      <c r="R5474">
        <v>2.472419E-2</v>
      </c>
      <c r="S5474">
        <v>2.991333</v>
      </c>
      <c r="T5474">
        <v>-0.15875400000000001</v>
      </c>
      <c r="U5474">
        <v>0.2954407</v>
      </c>
      <c r="V5474">
        <v>-1.5536589999999999E-2</v>
      </c>
      <c r="W5474">
        <v>-7.9604380000000002E-2</v>
      </c>
      <c r="X5474">
        <v>0.99670550000000002</v>
      </c>
      <c r="Y5474">
        <v>-8.8970469999999996E-2</v>
      </c>
      <c r="Z5474">
        <v>2.3735340000000001E-3</v>
      </c>
      <c r="AA5474">
        <v>0.99603149999999996</v>
      </c>
      <c r="AB5474">
        <v>23</v>
      </c>
      <c r="AC5474">
        <v>20.891200000000001</v>
      </c>
      <c r="AD5474">
        <v>-1.1205409883989901</v>
      </c>
      <c r="AE5474">
        <v>2.0831400000000002</v>
      </c>
      <c r="AF5474">
        <v>-1.88506880770219</v>
      </c>
      <c r="AG5474">
        <v>-1.1205409883989901</v>
      </c>
      <c r="AH5474">
        <v>20.850124476547499</v>
      </c>
      <c r="AI5474">
        <v>93.063795363992199</v>
      </c>
      <c r="AJ5474">
        <v>95.166090900777405</v>
      </c>
      <c r="AK5474">
        <v>20.9651326540993</v>
      </c>
      <c r="AL5474">
        <v>94.565825634318699</v>
      </c>
      <c r="AM5474">
        <v>90.893051102471702</v>
      </c>
      <c r="AN5474">
        <v>1.0000000483371301</v>
      </c>
    </row>
    <row r="5475" spans="1:40" x14ac:dyDescent="0.25">
      <c r="A5475" t="str">
        <f>"20190303154627954"</f>
        <v>20190303154627954</v>
      </c>
      <c r="B5475" t="str">
        <f>"1551599187947204"</f>
        <v>1551599187947204</v>
      </c>
      <c r="C5475" t="s">
        <v>40</v>
      </c>
      <c r="D5475">
        <v>5.4099089999999999</v>
      </c>
      <c r="E5475">
        <v>0.53008</v>
      </c>
      <c r="F5475" t="s">
        <v>41</v>
      </c>
      <c r="G5475">
        <v>-344.81889999999999</v>
      </c>
      <c r="H5475" s="1">
        <v>-2.6723569999999999E-6</v>
      </c>
      <c r="I5475">
        <v>16.981310000000001</v>
      </c>
      <c r="J5475">
        <v>-373.80250000000001</v>
      </c>
      <c r="K5475">
        <v>1.1205419999999999</v>
      </c>
      <c r="L5475">
        <v>17.789549999999998</v>
      </c>
      <c r="M5475">
        <v>0.99991229999999998</v>
      </c>
      <c r="N5475">
        <v>-9.4355680000000001E-3</v>
      </c>
      <c r="O5475">
        <v>9.3005229999999998E-3</v>
      </c>
      <c r="P5475">
        <v>0.99573080000000003</v>
      </c>
      <c r="Q5475">
        <v>-8.8955210000000007E-2</v>
      </c>
      <c r="R5475">
        <v>2.4641260000000002E-2</v>
      </c>
      <c r="S5475">
        <v>3.0046689999999998</v>
      </c>
      <c r="T5475">
        <v>-0.11521389999999999</v>
      </c>
      <c r="U5475">
        <v>-8.2855219999999993E-2</v>
      </c>
      <c r="V5475">
        <v>-1.537315E-2</v>
      </c>
      <c r="W5475">
        <v>-7.9555340000000002E-2</v>
      </c>
      <c r="X5475">
        <v>0.99671189999999998</v>
      </c>
      <c r="Y5475">
        <v>3.6823639999999998E-2</v>
      </c>
      <c r="Z5475">
        <v>-1.1481709999999999E-3</v>
      </c>
      <c r="AA5475">
        <v>0.99932109999999996</v>
      </c>
      <c r="AB5475">
        <v>23</v>
      </c>
      <c r="AC5475">
        <v>28.983599999999999</v>
      </c>
      <c r="AD5475">
        <v>-1.1205446723569901</v>
      </c>
      <c r="AE5475">
        <v>-0.80823999999999696</v>
      </c>
      <c r="AF5475">
        <v>1.0761723564783501</v>
      </c>
      <c r="AG5475">
        <v>-1.1205446723569901</v>
      </c>
      <c r="AH5475">
        <v>28.931618481458202</v>
      </c>
      <c r="AI5475">
        <v>92.216471330124406</v>
      </c>
      <c r="AJ5475">
        <v>87.869745188130594</v>
      </c>
      <c r="AK5475">
        <v>28.973303492357299</v>
      </c>
      <c r="AL5475">
        <v>94.563007136651194</v>
      </c>
      <c r="AM5475">
        <v>90.883652312487499</v>
      </c>
      <c r="AN5475">
        <v>0.99999999873252399</v>
      </c>
    </row>
    <row r="5476" spans="1:40" x14ac:dyDescent="0.25">
      <c r="A5476" t="str">
        <f>"20190303154627978"</f>
        <v>20190303154627978</v>
      </c>
      <c r="B5476" t="str">
        <f>"1551599187966723"</f>
        <v>1551599187966723</v>
      </c>
      <c r="C5476" t="s">
        <v>40</v>
      </c>
      <c r="D5476">
        <v>5.4028799999999997</v>
      </c>
      <c r="E5476">
        <v>0.53544369999999997</v>
      </c>
      <c r="F5476" t="s">
        <v>41</v>
      </c>
      <c r="G5476">
        <v>-346.303</v>
      </c>
      <c r="H5476" s="1">
        <v>-2.1608219999999999E-6</v>
      </c>
      <c r="I5476">
        <v>16.276029999999999</v>
      </c>
      <c r="J5476">
        <v>-373.55770000000001</v>
      </c>
      <c r="K5476">
        <v>1.120536</v>
      </c>
      <c r="L5476">
        <v>17.791899999999998</v>
      </c>
      <c r="M5476">
        <v>0.99991149999999995</v>
      </c>
      <c r="N5476">
        <v>-9.4383599999999998E-3</v>
      </c>
      <c r="O5476">
        <v>9.3724350000000001E-3</v>
      </c>
      <c r="P5476">
        <v>0.99574050000000003</v>
      </c>
      <c r="Q5476">
        <v>-8.8845010000000002E-2</v>
      </c>
      <c r="R5476">
        <v>2.4650620000000002E-2</v>
      </c>
      <c r="S5476">
        <v>3.0060120000000001</v>
      </c>
      <c r="T5476">
        <v>-0.12248829999999999</v>
      </c>
      <c r="U5476">
        <v>-0.16543579999999999</v>
      </c>
      <c r="V5476">
        <v>-1.5311979999999999E-2</v>
      </c>
      <c r="W5476">
        <v>-7.9442009999999993E-2</v>
      </c>
      <c r="X5476">
        <v>0.99672190000000005</v>
      </c>
      <c r="Y5476">
        <v>6.4238000000000003E-2</v>
      </c>
      <c r="Z5476">
        <v>-1.903905E-3</v>
      </c>
      <c r="AA5476">
        <v>0.99793279999999995</v>
      </c>
      <c r="AB5476">
        <v>23</v>
      </c>
      <c r="AC5476">
        <v>27.2546999999999</v>
      </c>
      <c r="AD5476">
        <v>-1.120538160822</v>
      </c>
      <c r="AE5476">
        <v>-1.5158699999999901</v>
      </c>
      <c r="AF5476">
        <v>1.76827795626888</v>
      </c>
      <c r="AG5476">
        <v>-1.120538160822</v>
      </c>
      <c r="AH5476">
        <v>27.193470700863401</v>
      </c>
      <c r="AI5476">
        <v>92.354636187488694</v>
      </c>
      <c r="AJ5476">
        <v>86.279532403648801</v>
      </c>
      <c r="AK5476">
        <v>27.273930069925701</v>
      </c>
      <c r="AL5476">
        <v>94.556493101999294</v>
      </c>
      <c r="AM5476">
        <v>90.880127971636895</v>
      </c>
      <c r="AN5476">
        <v>1.0000000178119799</v>
      </c>
    </row>
    <row r="5477" spans="1:40" x14ac:dyDescent="0.25">
      <c r="A5477" t="str">
        <f>"20190303154627999"</f>
        <v>20190303154627999</v>
      </c>
      <c r="B5477" t="str">
        <f>"1551599187996981"</f>
        <v>1551599187996981</v>
      </c>
      <c r="C5477" t="s">
        <v>40</v>
      </c>
      <c r="D5477">
        <v>5.3865299999999996</v>
      </c>
      <c r="E5477">
        <v>0.53992069999999903</v>
      </c>
      <c r="F5477" t="s">
        <v>41</v>
      </c>
      <c r="G5477">
        <v>-345.51670000000001</v>
      </c>
      <c r="H5477" s="1">
        <v>-2.5734729999999999E-6</v>
      </c>
      <c r="I5477">
        <v>15.8514</v>
      </c>
      <c r="J5477">
        <v>-373.33429999999998</v>
      </c>
      <c r="K5477">
        <v>1.1205240000000001</v>
      </c>
      <c r="L5477">
        <v>17.794070000000001</v>
      </c>
      <c r="M5477">
        <v>0.99991110000000005</v>
      </c>
      <c r="N5477">
        <v>-9.4409179999999995E-3</v>
      </c>
      <c r="O5477">
        <v>9.4231609999999993E-3</v>
      </c>
      <c r="P5477">
        <v>0.995726</v>
      </c>
      <c r="Q5477">
        <v>-8.8912669999999999E-2</v>
      </c>
      <c r="R5477">
        <v>2.4997599999999998E-2</v>
      </c>
      <c r="S5477">
        <v>3.007263</v>
      </c>
      <c r="T5477">
        <v>-0.1201719</v>
      </c>
      <c r="U5477">
        <v>-0.20809939999999999</v>
      </c>
      <c r="V5477">
        <v>-1.5610850000000001E-2</v>
      </c>
      <c r="W5477">
        <v>-7.9506869999999993E-2</v>
      </c>
      <c r="X5477">
        <v>0.99671209999999999</v>
      </c>
      <c r="Y5477">
        <v>7.8350500000000003E-2</v>
      </c>
      <c r="Z5477">
        <v>-2.2206119999999998E-3</v>
      </c>
      <c r="AA5477">
        <v>0.99692340000000002</v>
      </c>
      <c r="AB5477">
        <v>23</v>
      </c>
      <c r="AC5477">
        <v>27.817599999999899</v>
      </c>
      <c r="AD5477">
        <v>-1.1205265734729899</v>
      </c>
      <c r="AE5477">
        <v>-1.9426699999999999</v>
      </c>
      <c r="AF5477">
        <v>2.2011708957775</v>
      </c>
      <c r="AG5477">
        <v>-1.1205265734729899</v>
      </c>
      <c r="AH5477">
        <v>27.753244723129502</v>
      </c>
      <c r="AI5477">
        <v>92.304809388988303</v>
      </c>
      <c r="AJ5477">
        <v>85.465238305337806</v>
      </c>
      <c r="AK5477">
        <v>27.862938211469899</v>
      </c>
      <c r="AL5477">
        <v>94.560221062380194</v>
      </c>
      <c r="AM5477">
        <v>90.8973129679365</v>
      </c>
      <c r="AN5477">
        <v>1.00000002565066</v>
      </c>
    </row>
    <row r="5478" spans="1:40" x14ac:dyDescent="0.25">
      <c r="A5478" t="str">
        <f>"20190303154628020"</f>
        <v>20190303154628020</v>
      </c>
      <c r="B5478" t="str">
        <f>"1551599188017476"</f>
        <v>1551599188017476</v>
      </c>
      <c r="C5478" t="s">
        <v>40</v>
      </c>
      <c r="D5478">
        <v>5.3984059999999996</v>
      </c>
      <c r="E5478">
        <v>0.54174290000000003</v>
      </c>
      <c r="F5478" t="s">
        <v>41</v>
      </c>
      <c r="G5478">
        <v>-345.76479999999998</v>
      </c>
      <c r="H5478" s="1">
        <v>-2.5171419999999999E-6</v>
      </c>
      <c r="I5478">
        <v>15.568709999999999</v>
      </c>
      <c r="J5478">
        <v>-373.1155</v>
      </c>
      <c r="K5478">
        <v>1.120514</v>
      </c>
      <c r="L5478">
        <v>17.79617</v>
      </c>
      <c r="M5478">
        <v>0.99991070000000004</v>
      </c>
      <c r="N5478">
        <v>-9.4434410000000003E-3</v>
      </c>
      <c r="O5478">
        <v>9.4564009999999997E-3</v>
      </c>
      <c r="P5478">
        <v>0.99571620000000005</v>
      </c>
      <c r="Q5478">
        <v>-8.8849510000000007E-2</v>
      </c>
      <c r="R5478">
        <v>2.56008E-2</v>
      </c>
      <c r="S5478">
        <v>3.0080870000000002</v>
      </c>
      <c r="T5478">
        <v>-0.1222601</v>
      </c>
      <c r="U5478">
        <v>-0.24279790000000001</v>
      </c>
      <c r="V5478">
        <v>-1.6182680000000001E-2</v>
      </c>
      <c r="W5478">
        <v>-7.9440849999999993E-2</v>
      </c>
      <c r="X5478">
        <v>0.99670820000000004</v>
      </c>
      <c r="Y5478">
        <v>8.9780520000000003E-2</v>
      </c>
      <c r="Z5478">
        <v>-2.5401040000000001E-3</v>
      </c>
      <c r="AA5478">
        <v>0.99595829999999996</v>
      </c>
      <c r="AB5478">
        <v>23</v>
      </c>
      <c r="AC5478">
        <v>27.3507</v>
      </c>
      <c r="AD5478">
        <v>-1.120516517142</v>
      </c>
      <c r="AE5478">
        <v>-2.22745999999999</v>
      </c>
      <c r="AF5478">
        <v>2.4818729453557902</v>
      </c>
      <c r="AG5478">
        <v>-1.120516517142</v>
      </c>
      <c r="AH5478">
        <v>27.282921895363401</v>
      </c>
      <c r="AI5478">
        <v>92.342170316732293</v>
      </c>
      <c r="AJ5478">
        <v>84.802223312118301</v>
      </c>
      <c r="AK5478">
        <v>27.418480587563199</v>
      </c>
      <c r="AL5478">
        <v>94.556426592316598</v>
      </c>
      <c r="AM5478">
        <v>90.930179770309906</v>
      </c>
      <c r="AN5478">
        <v>0.99999998186397199</v>
      </c>
    </row>
    <row r="5479" spans="1:40" x14ac:dyDescent="0.25">
      <c r="A5479" t="str">
        <f>"20190303154628043"</f>
        <v>20190303154628043</v>
      </c>
      <c r="B5479" t="str">
        <f>"1551599188036995"</f>
        <v>1551599188036995</v>
      </c>
      <c r="C5479" t="s">
        <v>40</v>
      </c>
      <c r="D5479">
        <v>5.3821320000000004</v>
      </c>
      <c r="E5479">
        <v>0.54288789999999998</v>
      </c>
      <c r="F5479" t="s">
        <v>41</v>
      </c>
      <c r="G5479">
        <v>-345.84969999999998</v>
      </c>
      <c r="H5479" s="1">
        <v>-2.4988410000000002E-6</v>
      </c>
      <c r="I5479">
        <v>15.4805299999999</v>
      </c>
      <c r="J5479">
        <v>-372.87380000000002</v>
      </c>
      <c r="K5479">
        <v>1.1204989999999999</v>
      </c>
      <c r="L5479">
        <v>17.798490000000001</v>
      </c>
      <c r="M5479">
        <v>0.99991050000000004</v>
      </c>
      <c r="N5479">
        <v>-9.4462450000000007E-3</v>
      </c>
      <c r="O5479">
        <v>9.4755619999999999E-3</v>
      </c>
      <c r="P5479">
        <v>0.995703</v>
      </c>
      <c r="Q5479">
        <v>-8.8707250000000001E-2</v>
      </c>
      <c r="R5479">
        <v>2.6587240000000002E-2</v>
      </c>
      <c r="S5479">
        <v>3.0084529999999998</v>
      </c>
      <c r="T5479">
        <v>-0.1236353</v>
      </c>
      <c r="U5479">
        <v>-0.25549319999999998</v>
      </c>
      <c r="V5479">
        <v>-1.7152899999999999E-2</v>
      </c>
      <c r="W5479">
        <v>-7.9295329999999997E-2</v>
      </c>
      <c r="X5479">
        <v>0.99670360000000002</v>
      </c>
      <c r="Y5479">
        <v>9.3956990000000004E-2</v>
      </c>
      <c r="Z5479">
        <v>-2.670422E-3</v>
      </c>
      <c r="AA5479">
        <v>0.99557269999999998</v>
      </c>
      <c r="AB5479">
        <v>23</v>
      </c>
      <c r="AC5479">
        <v>27.024100000000001</v>
      </c>
      <c r="AD5479">
        <v>-1.12050149884099</v>
      </c>
      <c r="AE5479">
        <v>-2.3179599999999998</v>
      </c>
      <c r="AF5479">
        <v>2.5695506173757598</v>
      </c>
      <c r="AG5479">
        <v>-1.12050149884099</v>
      </c>
      <c r="AH5479">
        <v>26.954919686740801</v>
      </c>
      <c r="AI5479">
        <v>92.369653937364703</v>
      </c>
      <c r="AJ5479">
        <v>84.5545799327613</v>
      </c>
      <c r="AK5479">
        <v>27.100291682983901</v>
      </c>
      <c r="AL5479">
        <v>94.548062356524198</v>
      </c>
      <c r="AM5479">
        <v>90.985941827659502</v>
      </c>
      <c r="AN5479">
        <v>1.00000001879558</v>
      </c>
    </row>
    <row r="5480" spans="1:40" x14ac:dyDescent="0.25">
      <c r="A5480" t="str">
        <f>"20190303154628064"</f>
        <v>20190303154628064</v>
      </c>
      <c r="B5480" t="str">
        <f>"1551599188057492"</f>
        <v>1551599188057492</v>
      </c>
      <c r="C5480" t="s">
        <v>40</v>
      </c>
      <c r="D5480">
        <v>5.3692489999999999</v>
      </c>
      <c r="E5480">
        <v>0.54383979999999998</v>
      </c>
      <c r="F5480" t="s">
        <v>41</v>
      </c>
      <c r="G5480">
        <v>-345.67329999999998</v>
      </c>
      <c r="H5480" s="1">
        <v>-2.580349E-6</v>
      </c>
      <c r="I5480">
        <v>15.43383</v>
      </c>
      <c r="J5480">
        <v>-372.65620000000001</v>
      </c>
      <c r="K5480">
        <v>1.1204889999999901</v>
      </c>
      <c r="L5480">
        <v>17.800539999999899</v>
      </c>
      <c r="M5480">
        <v>0.99991050000000004</v>
      </c>
      <c r="N5480">
        <v>-9.4488390000000005E-3</v>
      </c>
      <c r="O5480">
        <v>9.4808140000000006E-3</v>
      </c>
      <c r="P5480">
        <v>0.99568029999999996</v>
      </c>
      <c r="Q5480">
        <v>-8.8724140000000007E-2</v>
      </c>
      <c r="R5480">
        <v>2.737529E-2</v>
      </c>
      <c r="S5480">
        <v>3.0088810000000001</v>
      </c>
      <c r="T5480">
        <v>-0.123948</v>
      </c>
      <c r="U5480">
        <v>-0.26156620000000003</v>
      </c>
      <c r="V5480">
        <v>-1.793753E-2</v>
      </c>
      <c r="W5480">
        <v>-7.9309359999999995E-2</v>
      </c>
      <c r="X5480">
        <v>0.99668869999999998</v>
      </c>
      <c r="Y5480">
        <v>9.5942299999999994E-2</v>
      </c>
      <c r="Z5480">
        <v>-2.7262549999999999E-3</v>
      </c>
      <c r="AA5480">
        <v>0.99538309999999997</v>
      </c>
      <c r="AB5480">
        <v>23</v>
      </c>
      <c r="AC5480">
        <v>26.982900000000001</v>
      </c>
      <c r="AD5480">
        <v>-1.1204915803490001</v>
      </c>
      <c r="AE5480">
        <v>-2.3667099999999901</v>
      </c>
      <c r="AF5480">
        <v>2.6179549197844101</v>
      </c>
      <c r="AG5480">
        <v>-1.1204915803490001</v>
      </c>
      <c r="AH5480">
        <v>26.9131928361581</v>
      </c>
      <c r="AI5480">
        <v>92.372862518811303</v>
      </c>
      <c r="AJ5480">
        <v>84.444088003530396</v>
      </c>
      <c r="AK5480">
        <v>27.063428052999601</v>
      </c>
      <c r="AL5480">
        <v>94.548868626769703</v>
      </c>
      <c r="AM5480">
        <v>91.031047933504098</v>
      </c>
      <c r="AN5480">
        <v>1.0000000471368899</v>
      </c>
    </row>
    <row r="5481" spans="1:40" x14ac:dyDescent="0.25">
      <c r="A5481" t="str">
        <f>"20190303154628087"</f>
        <v>20190303154628087</v>
      </c>
      <c r="B5481" t="str">
        <f>"1551599188077011"</f>
        <v>1551599188077011</v>
      </c>
      <c r="C5481" t="s">
        <v>40</v>
      </c>
      <c r="D5481">
        <v>5.3793110000000004</v>
      </c>
      <c r="E5481">
        <v>0.54460710000000001</v>
      </c>
      <c r="F5481" t="s">
        <v>41</v>
      </c>
      <c r="G5481">
        <v>-345.95359999999999</v>
      </c>
      <c r="H5481" s="1">
        <v>-2.4762620000000001E-6</v>
      </c>
      <c r="I5481">
        <v>15.4324799999999</v>
      </c>
      <c r="J5481">
        <v>-372.42430000000002</v>
      </c>
      <c r="K5481">
        <v>1.1204829999999999</v>
      </c>
      <c r="L5481">
        <v>17.802759999999999</v>
      </c>
      <c r="M5481">
        <v>0.99991039999999998</v>
      </c>
      <c r="N5481">
        <v>-9.4516180000000002E-3</v>
      </c>
      <c r="O5481">
        <v>9.4778750000000002E-3</v>
      </c>
      <c r="P5481">
        <v>0.99569479999999999</v>
      </c>
      <c r="Q5481">
        <v>-8.8458789999999995E-2</v>
      </c>
      <c r="R5481">
        <v>2.76987E-2</v>
      </c>
      <c r="S5481">
        <v>3.0090940000000002</v>
      </c>
      <c r="T5481">
        <v>-0.1262674</v>
      </c>
      <c r="U5481">
        <v>-0.26684570000000002</v>
      </c>
      <c r="V5481">
        <v>-1.8264900000000001E-2</v>
      </c>
      <c r="W5481">
        <v>-7.9040849999999996E-2</v>
      </c>
      <c r="X5481">
        <v>0.99670400000000003</v>
      </c>
      <c r="Y5481">
        <v>9.7660780000000003E-2</v>
      </c>
      <c r="Z5481">
        <v>-2.8142240000000002E-3</v>
      </c>
      <c r="AA5481">
        <v>0.99521579999999998</v>
      </c>
      <c r="AB5481">
        <v>23</v>
      </c>
      <c r="AC5481">
        <v>26.470700000000001</v>
      </c>
      <c r="AD5481">
        <v>-1.12048547626199</v>
      </c>
      <c r="AE5481">
        <v>-2.3702800000000002</v>
      </c>
      <c r="AF5481">
        <v>2.6164199970495101</v>
      </c>
      <c r="AG5481">
        <v>-1.12048547626199</v>
      </c>
      <c r="AH5481">
        <v>26.400118103439901</v>
      </c>
      <c r="AI5481">
        <v>92.418480146473101</v>
      </c>
      <c r="AJ5481">
        <v>84.340105352578306</v>
      </c>
      <c r="AK5481">
        <v>26.553104850074501</v>
      </c>
      <c r="AL5481">
        <v>94.5334360713141</v>
      </c>
      <c r="AM5481">
        <v>91.049844851233999</v>
      </c>
      <c r="AN5481">
        <v>0.99999996307836503</v>
      </c>
    </row>
    <row r="5482" spans="1:40" x14ac:dyDescent="0.25">
      <c r="A5482" t="str">
        <f>"20190303154628111"</f>
        <v>20190303154628111</v>
      </c>
      <c r="B5482" t="str">
        <f>"1551599188107268"</f>
        <v>1551599188107268</v>
      </c>
      <c r="C5482" t="s">
        <v>40</v>
      </c>
      <c r="D5482">
        <v>5.3588139999999997</v>
      </c>
      <c r="E5482">
        <v>0.54538730000000002</v>
      </c>
      <c r="F5482" t="s">
        <v>41</v>
      </c>
      <c r="G5482">
        <v>-345.60489999999999</v>
      </c>
      <c r="H5482" s="1">
        <v>-2.6194209999999998E-6</v>
      </c>
      <c r="I5482">
        <v>15.378869999999999</v>
      </c>
      <c r="J5482">
        <v>-372.1816</v>
      </c>
      <c r="K5482">
        <v>1.1204829999999999</v>
      </c>
      <c r="L5482">
        <v>17.805050000000001</v>
      </c>
      <c r="M5482">
        <v>0.99991050000000004</v>
      </c>
      <c r="N5482">
        <v>-9.4545610000000002E-3</v>
      </c>
      <c r="O5482">
        <v>9.4687780000000006E-3</v>
      </c>
      <c r="P5482">
        <v>0.99578520000000004</v>
      </c>
      <c r="Q5482">
        <v>-8.7504269999999995E-2</v>
      </c>
      <c r="R5482">
        <v>2.7477140000000001E-2</v>
      </c>
      <c r="S5482">
        <v>3.009369</v>
      </c>
      <c r="T5482">
        <v>-0.12572809999999901</v>
      </c>
      <c r="U5482">
        <v>-0.27197270000000001</v>
      </c>
      <c r="V5482">
        <v>-1.805097E-2</v>
      </c>
      <c r="W5482">
        <v>-7.8082529999999997E-2</v>
      </c>
      <c r="X5482">
        <v>0.99678350000000004</v>
      </c>
      <c r="Y5482">
        <v>9.9324759999999998E-2</v>
      </c>
      <c r="Z5482">
        <v>-2.845827E-3</v>
      </c>
      <c r="AA5482">
        <v>0.99505100000000002</v>
      </c>
      <c r="AB5482">
        <v>23</v>
      </c>
      <c r="AC5482">
        <v>26.576699999999999</v>
      </c>
      <c r="AD5482">
        <v>-1.120485619421</v>
      </c>
      <c r="AE5482">
        <v>-2.42618</v>
      </c>
      <c r="AF5482">
        <v>2.6730193063926402</v>
      </c>
      <c r="AG5482">
        <v>-1.120485619421</v>
      </c>
      <c r="AH5482">
        <v>26.5058097031968</v>
      </c>
      <c r="AI5482">
        <v>92.408433765994999</v>
      </c>
      <c r="AJ5482">
        <v>84.241387727748503</v>
      </c>
      <c r="AK5482">
        <v>26.663804459562002</v>
      </c>
      <c r="AL5482">
        <v>94.478357832554394</v>
      </c>
      <c r="AM5482">
        <v>91.037468378388894</v>
      </c>
      <c r="AN5482">
        <v>1.0000000324406899</v>
      </c>
    </row>
    <row r="5483" spans="1:40" x14ac:dyDescent="0.25">
      <c r="A5483" t="str">
        <f>"20190303154628133"</f>
        <v>20190303154628133</v>
      </c>
      <c r="B5483" t="str">
        <f>"1551599188126788"</f>
        <v>1551599188126788</v>
      </c>
      <c r="C5483" t="s">
        <v>40</v>
      </c>
      <c r="D5483">
        <v>5.3791039999999999</v>
      </c>
      <c r="E5483">
        <v>0.54584709999999903</v>
      </c>
      <c r="F5483" t="s">
        <v>41</v>
      </c>
      <c r="G5483">
        <v>-345.08359999999999</v>
      </c>
      <c r="H5483" s="1">
        <v>-2.8581179999999999E-6</v>
      </c>
      <c r="I5483">
        <v>15.29396</v>
      </c>
      <c r="J5483">
        <v>-371.94479999999999</v>
      </c>
      <c r="K5483">
        <v>1.120492</v>
      </c>
      <c r="L5483">
        <v>17.807279999999999</v>
      </c>
      <c r="M5483">
        <v>0.99991059999999998</v>
      </c>
      <c r="N5483">
        <v>-9.4574619999999998E-3</v>
      </c>
      <c r="O5483">
        <v>9.4575630000000004E-3</v>
      </c>
      <c r="P5483">
        <v>0.99587199999999998</v>
      </c>
      <c r="Q5483">
        <v>-8.6677450000000003E-2</v>
      </c>
      <c r="R5483">
        <v>2.694618E-2</v>
      </c>
      <c r="S5483">
        <v>3.0094599999999998</v>
      </c>
      <c r="T5483">
        <v>-0.12443940000000001</v>
      </c>
      <c r="U5483">
        <v>-0.2788696</v>
      </c>
      <c r="V5483">
        <v>-1.75307E-2</v>
      </c>
      <c r="W5483">
        <v>-7.7252119999999994E-2</v>
      </c>
      <c r="X5483">
        <v>0.99685749999999995</v>
      </c>
      <c r="Y5483">
        <v>0.10157190000000001</v>
      </c>
      <c r="Z5483">
        <v>-2.8770670000000001E-3</v>
      </c>
      <c r="AA5483">
        <v>0.99482409999999999</v>
      </c>
      <c r="AB5483">
        <v>23</v>
      </c>
      <c r="AC5483">
        <v>26.8612</v>
      </c>
      <c r="AD5483">
        <v>-1.1204948581180001</v>
      </c>
      <c r="AE5483">
        <v>-2.51331999999999</v>
      </c>
      <c r="AF5483">
        <v>2.7624951850313999</v>
      </c>
      <c r="AG5483">
        <v>-1.1204948581180001</v>
      </c>
      <c r="AH5483">
        <v>26.790015453913</v>
      </c>
      <c r="AI5483">
        <v>92.382387497244693</v>
      </c>
      <c r="AJ5483">
        <v>84.112662195352598</v>
      </c>
      <c r="AK5483">
        <v>26.955367116685501</v>
      </c>
      <c r="AL5483">
        <v>94.430634631106798</v>
      </c>
      <c r="AM5483">
        <v>91.007497656585798</v>
      </c>
      <c r="AN5483">
        <v>1.00000004539661</v>
      </c>
    </row>
    <row r="5484" spans="1:40" x14ac:dyDescent="0.25">
      <c r="A5484" t="str">
        <f>"20190303154628154"</f>
        <v>20190303154628154</v>
      </c>
      <c r="B5484" t="str">
        <f>"1551599188147284"</f>
        <v>1551599188147284</v>
      </c>
      <c r="C5484" t="s">
        <v>40</v>
      </c>
      <c r="D5484">
        <v>5.3820329999999998</v>
      </c>
      <c r="E5484">
        <v>0.54621169999999997</v>
      </c>
      <c r="F5484" t="s">
        <v>41</v>
      </c>
      <c r="G5484">
        <v>-344.38909999999998</v>
      </c>
      <c r="H5484" s="1">
        <v>-3.1717449999999998E-6</v>
      </c>
      <c r="I5484">
        <v>15.205679999999999</v>
      </c>
      <c r="J5484">
        <v>-371.72089999999997</v>
      </c>
      <c r="K5484">
        <v>1.1204970000000001</v>
      </c>
      <c r="L5484">
        <v>17.80939</v>
      </c>
      <c r="M5484">
        <v>0.99991070000000004</v>
      </c>
      <c r="N5484">
        <v>-9.4632169999999995E-3</v>
      </c>
      <c r="O5484">
        <v>9.4477759999999997E-3</v>
      </c>
      <c r="P5484">
        <v>0.99593869999999896</v>
      </c>
      <c r="Q5484">
        <v>-8.6203660000000001E-2</v>
      </c>
      <c r="R5484">
        <v>2.5984449999999999E-2</v>
      </c>
      <c r="S5484">
        <v>3.00943</v>
      </c>
      <c r="T5484">
        <v>-0.12237199999999999</v>
      </c>
      <c r="U5484">
        <v>-0.2841187</v>
      </c>
      <c r="V5484">
        <v>-1.6577769999999999E-2</v>
      </c>
      <c r="W5484">
        <v>-7.6772190000000004E-2</v>
      </c>
      <c r="X5484">
        <v>0.99691079999999999</v>
      </c>
      <c r="Y5484">
        <v>0.10328469999999999</v>
      </c>
      <c r="Z5484">
        <v>-2.878481E-3</v>
      </c>
      <c r="AA5484">
        <v>0.99464770000000002</v>
      </c>
      <c r="AB5484">
        <v>23</v>
      </c>
      <c r="AC5484">
        <v>27.331799999999902</v>
      </c>
      <c r="AD5484">
        <v>-1.1205001717449901</v>
      </c>
      <c r="AE5484">
        <v>-2.60371</v>
      </c>
      <c r="AF5484">
        <v>2.8570713778175998</v>
      </c>
      <c r="AG5484">
        <v>-1.1205001717449901</v>
      </c>
      <c r="AH5484">
        <v>27.260575167461202</v>
      </c>
      <c r="AI5484">
        <v>92.340914735195199</v>
      </c>
      <c r="AJ5484">
        <v>84.016902405699099</v>
      </c>
      <c r="AK5484">
        <v>27.4327784949616</v>
      </c>
      <c r="AL5484">
        <v>94.403055104825</v>
      </c>
      <c r="AM5484">
        <v>90.952691772477095</v>
      </c>
      <c r="AN5484">
        <v>0.99999996738610397</v>
      </c>
    </row>
    <row r="5485" spans="1:40" x14ac:dyDescent="0.25">
      <c r="A5485" t="str">
        <f>"20190303154628179"</f>
        <v>20190303154628179</v>
      </c>
      <c r="B5485" t="str">
        <f>"1551599188166803"</f>
        <v>1551599188166803</v>
      </c>
      <c r="C5485" t="s">
        <v>40</v>
      </c>
      <c r="D5485">
        <v>5.3835739999999896</v>
      </c>
      <c r="E5485">
        <v>0.54648149999999995</v>
      </c>
      <c r="F5485" t="s">
        <v>41</v>
      </c>
      <c r="G5485">
        <v>-344.20499999999998</v>
      </c>
      <c r="H5485" s="1">
        <v>-3.2593369999999998E-6</v>
      </c>
      <c r="I5485">
        <v>15.15691</v>
      </c>
      <c r="J5485">
        <v>-371.46640000000002</v>
      </c>
      <c r="K5485">
        <v>1.1205020000000001</v>
      </c>
      <c r="L5485">
        <v>17.811769999999999</v>
      </c>
      <c r="M5485">
        <v>0.99991059999999998</v>
      </c>
      <c r="N5485">
        <v>-9.4796199999999994E-3</v>
      </c>
      <c r="O5485">
        <v>9.4398469999999995E-3</v>
      </c>
      <c r="P5485">
        <v>0.99603529999999996</v>
      </c>
      <c r="Q5485">
        <v>-8.5474149999999999E-2</v>
      </c>
      <c r="R5485">
        <v>2.4657289999999998E-2</v>
      </c>
      <c r="S5485">
        <v>3.0091860000000001</v>
      </c>
      <c r="T5485">
        <v>-0.1225396</v>
      </c>
      <c r="U5485">
        <v>-0.29006959999999998</v>
      </c>
      <c r="V5485">
        <v>-1.5257130000000001E-2</v>
      </c>
      <c r="W5485">
        <v>-7.6025690000000007E-2</v>
      </c>
      <c r="X5485">
        <v>0.99698909999999996</v>
      </c>
      <c r="Y5485">
        <v>0.10523109999999999</v>
      </c>
      <c r="Z5485">
        <v>-2.9311200000000002E-3</v>
      </c>
      <c r="AA5485">
        <v>0.99444350000000004</v>
      </c>
      <c r="AB5485">
        <v>23</v>
      </c>
      <c r="AC5485">
        <v>27.261399999999998</v>
      </c>
      <c r="AD5485">
        <v>-1.120505259337</v>
      </c>
      <c r="AE5485">
        <v>-2.6548600000000002</v>
      </c>
      <c r="AF5485">
        <v>2.9072313606515099</v>
      </c>
      <c r="AG5485">
        <v>-1.120505259337</v>
      </c>
      <c r="AH5485">
        <v>27.189620129342099</v>
      </c>
      <c r="AI5485">
        <v>92.346507631227695</v>
      </c>
      <c r="AJ5485">
        <v>83.896876457541694</v>
      </c>
      <c r="AK5485">
        <v>27.367553215413398</v>
      </c>
      <c r="AL5485">
        <v>94.360158394564607</v>
      </c>
      <c r="AM5485">
        <v>90.876740704644604</v>
      </c>
      <c r="AN5485">
        <v>0.99999997553731101</v>
      </c>
    </row>
    <row r="5486" spans="1:40" x14ac:dyDescent="0.25">
      <c r="A5486" t="str">
        <f>"20190303154628200"</f>
        <v>20190303154628200</v>
      </c>
      <c r="B5486" t="str">
        <f>"1551599188197060"</f>
        <v>1551599188197060</v>
      </c>
      <c r="C5486" t="s">
        <v>40</v>
      </c>
      <c r="D5486">
        <v>5.3513970000000004</v>
      </c>
      <c r="E5486">
        <v>0.54687200000000002</v>
      </c>
      <c r="F5486" t="s">
        <v>41</v>
      </c>
      <c r="G5486">
        <v>-343.65179999999998</v>
      </c>
      <c r="H5486" s="1">
        <v>-3.5113269999999998E-6</v>
      </c>
      <c r="I5486">
        <v>15.074339999999999</v>
      </c>
      <c r="J5486">
        <v>-371.23680000000002</v>
      </c>
      <c r="K5486">
        <v>1.1205099999999999</v>
      </c>
      <c r="L5486">
        <v>17.813929999999999</v>
      </c>
      <c r="M5486">
        <v>0.99991039999999998</v>
      </c>
      <c r="N5486">
        <v>-9.5063500000000002E-3</v>
      </c>
      <c r="O5486">
        <v>9.4363940000000007E-3</v>
      </c>
      <c r="P5486">
        <v>0.99607049999999997</v>
      </c>
      <c r="Q5486">
        <v>-8.5286710000000002E-2</v>
      </c>
      <c r="R5486">
        <v>2.386947E-2</v>
      </c>
      <c r="S5486">
        <v>3.0088499999999998</v>
      </c>
      <c r="T5486">
        <v>-0.12121079999999999</v>
      </c>
      <c r="U5486">
        <v>-0.29611209999999999</v>
      </c>
      <c r="V5486">
        <v>-1.4472469999999999E-2</v>
      </c>
      <c r="W5486">
        <v>-7.5811429999999999E-2</v>
      </c>
      <c r="X5486">
        <v>0.99701709999999999</v>
      </c>
      <c r="Y5486">
        <v>0.1072166</v>
      </c>
      <c r="Z5486">
        <v>-2.9542969999999998E-3</v>
      </c>
      <c r="AA5486">
        <v>0.99423130000000004</v>
      </c>
      <c r="AB5486">
        <v>23</v>
      </c>
      <c r="AC5486">
        <v>27.585000000000001</v>
      </c>
      <c r="AD5486">
        <v>-1.1205135113269999</v>
      </c>
      <c r="AE5486">
        <v>-2.7395900000000002</v>
      </c>
      <c r="AF5486">
        <v>2.9948893230318698</v>
      </c>
      <c r="AG5486">
        <v>-1.1205135113269999</v>
      </c>
      <c r="AH5486">
        <v>27.512965238347199</v>
      </c>
      <c r="AI5486">
        <v>92.318501125976894</v>
      </c>
      <c r="AJ5486">
        <v>83.787599924874698</v>
      </c>
      <c r="AK5486">
        <v>27.698161830576002</v>
      </c>
      <c r="AL5486">
        <v>94.347846730299295</v>
      </c>
      <c r="AM5486">
        <v>90.8316338978739</v>
      </c>
      <c r="AN5486">
        <v>0.99999996149947701</v>
      </c>
    </row>
    <row r="5487" spans="1:40" x14ac:dyDescent="0.25">
      <c r="A5487" t="str">
        <f>"20190303154628223"</f>
        <v>20190303154628223</v>
      </c>
      <c r="B5487" t="str">
        <f>"1551599188217555"</f>
        <v>1551599188217555</v>
      </c>
      <c r="C5487" t="s">
        <v>40</v>
      </c>
      <c r="D5487">
        <v>5.3827819999999997</v>
      </c>
      <c r="E5487">
        <v>0.54690930000000004</v>
      </c>
      <c r="F5487" t="s">
        <v>41</v>
      </c>
      <c r="G5487">
        <v>-343.48570000000001</v>
      </c>
      <c r="H5487" s="1">
        <v>-3.5899769999999999E-6</v>
      </c>
      <c r="I5487">
        <v>15.03276</v>
      </c>
      <c r="J5487">
        <v>-370.99669999999998</v>
      </c>
      <c r="K5487">
        <v>1.120519</v>
      </c>
      <c r="L5487">
        <v>17.816220000000001</v>
      </c>
      <c r="M5487">
        <v>0.99990999999999997</v>
      </c>
      <c r="N5487">
        <v>-9.5458369999999997E-3</v>
      </c>
      <c r="O5487">
        <v>9.4354969999999993E-3</v>
      </c>
      <c r="P5487">
        <v>0.99613180000000001</v>
      </c>
      <c r="Q5487">
        <v>-8.4745630000000002E-2</v>
      </c>
      <c r="R5487">
        <v>2.3235749999999999E-2</v>
      </c>
      <c r="S5487">
        <v>3.008667</v>
      </c>
      <c r="T5487">
        <v>-0.121481199999999</v>
      </c>
      <c r="U5487">
        <v>-0.3015137</v>
      </c>
      <c r="V5487">
        <v>-1.383888E-2</v>
      </c>
      <c r="W5487">
        <v>-7.5230549999999993E-2</v>
      </c>
      <c r="X5487">
        <v>0.99707009999999996</v>
      </c>
      <c r="Y5487">
        <v>0.10898670000000001</v>
      </c>
      <c r="Z5487">
        <v>-3.005757E-3</v>
      </c>
      <c r="AA5487">
        <v>0.99403859999999999</v>
      </c>
      <c r="AB5487">
        <v>23</v>
      </c>
      <c r="AC5487">
        <v>27.5109999999999</v>
      </c>
      <c r="AD5487">
        <v>-1.1205225899769999</v>
      </c>
      <c r="AE5487">
        <v>-2.7834599999999998</v>
      </c>
      <c r="AF5487">
        <v>3.0379391809449898</v>
      </c>
      <c r="AG5487">
        <v>-1.1205225899769999</v>
      </c>
      <c r="AH5487">
        <v>27.438453422904701</v>
      </c>
      <c r="AI5487">
        <v>92.324339495811699</v>
      </c>
      <c r="AJ5487">
        <v>83.682040618582306</v>
      </c>
      <c r="AK5487">
        <v>27.628850348552</v>
      </c>
      <c r="AL5487">
        <v>94.314469412663499</v>
      </c>
      <c r="AM5487">
        <v>90.795188329529594</v>
      </c>
      <c r="AN5487">
        <v>0.99999996728348195</v>
      </c>
    </row>
    <row r="5488" spans="1:40" x14ac:dyDescent="0.25">
      <c r="A5488" t="str">
        <f>"20190303154628245"</f>
        <v>20190303154628245</v>
      </c>
      <c r="B5488" t="str">
        <f>"1551599188236608"</f>
        <v>1551599188236608</v>
      </c>
      <c r="C5488" t="s">
        <v>40</v>
      </c>
      <c r="D5488">
        <v>5.2839669999999996</v>
      </c>
      <c r="E5488">
        <v>0.50993840000000001</v>
      </c>
      <c r="F5488" t="s">
        <v>41</v>
      </c>
      <c r="G5488">
        <v>-343.05360000000002</v>
      </c>
      <c r="H5488" s="1">
        <v>-3.7820529999999999E-6</v>
      </c>
      <c r="I5488">
        <v>14.994680000000001</v>
      </c>
      <c r="J5488">
        <v>-370.77019999999999</v>
      </c>
      <c r="K5488">
        <v>1.1205290000000001</v>
      </c>
      <c r="L5488">
        <v>17.818359999999998</v>
      </c>
      <c r="M5488">
        <v>0.99990950000000001</v>
      </c>
      <c r="N5488">
        <v>-9.5912529999999992E-3</v>
      </c>
      <c r="O5488">
        <v>9.4366569999999993E-3</v>
      </c>
      <c r="P5488">
        <v>0.99620120000000001</v>
      </c>
      <c r="Q5488">
        <v>-8.3951129999999999E-2</v>
      </c>
      <c r="R5488">
        <v>2.3136170000000001E-2</v>
      </c>
      <c r="S5488">
        <v>3.0084840000000002</v>
      </c>
      <c r="T5488">
        <v>-0.120641</v>
      </c>
      <c r="U5488">
        <v>-0.30377199999999999</v>
      </c>
      <c r="V5488">
        <v>-1.373752E-2</v>
      </c>
      <c r="W5488">
        <v>-7.4390170000000005E-2</v>
      </c>
      <c r="X5488">
        <v>0.99713459999999998</v>
      </c>
      <c r="Y5488">
        <v>0.1097331</v>
      </c>
      <c r="Z5488">
        <v>-3.0086520000000001E-3</v>
      </c>
      <c r="AA5488">
        <v>0.99395650000000002</v>
      </c>
      <c r="AB5488">
        <v>24</v>
      </c>
      <c r="AC5488">
        <v>27.7165999999999</v>
      </c>
      <c r="AD5488">
        <v>-1.120532782053</v>
      </c>
      <c r="AE5488">
        <v>-2.82368</v>
      </c>
      <c r="AF5488">
        <v>3.0801357463924801</v>
      </c>
      <c r="AG5488">
        <v>-1.120532782053</v>
      </c>
      <c r="AH5488">
        <v>27.644000088228399</v>
      </c>
      <c r="AI5488">
        <v>92.306918806303202</v>
      </c>
      <c r="AJ5488">
        <v>83.642242186226795</v>
      </c>
      <c r="AK5488">
        <v>27.837628685105901</v>
      </c>
      <c r="AL5488">
        <v>94.266183677373107</v>
      </c>
      <c r="AM5488">
        <v>90.789313823684196</v>
      </c>
      <c r="AN5488">
        <v>1.00000001368276</v>
      </c>
    </row>
    <row r="5489" spans="1:40" x14ac:dyDescent="0.25">
      <c r="A5489" t="str">
        <f>"20190303154628266"</f>
        <v>20190303154628266</v>
      </c>
      <c r="B5489" t="str">
        <f>"1551599188257103"</f>
        <v>1551599188257103</v>
      </c>
      <c r="C5489" t="s">
        <v>40</v>
      </c>
      <c r="D5489">
        <v>5.2132829999999997</v>
      </c>
      <c r="E5489">
        <v>0.50677170000000005</v>
      </c>
      <c r="F5489" t="s">
        <v>41</v>
      </c>
      <c r="G5489">
        <v>-354.60289999999998</v>
      </c>
      <c r="H5489" s="1">
        <v>-2.6258509999999998E-6</v>
      </c>
      <c r="I5489">
        <v>17.76587</v>
      </c>
      <c r="J5489">
        <v>-370.54059999999998</v>
      </c>
      <c r="K5489">
        <v>1.120539</v>
      </c>
      <c r="L5489">
        <v>17.820499999999999</v>
      </c>
      <c r="M5489">
        <v>0.99990889999999999</v>
      </c>
      <c r="N5489">
        <v>-9.6423829999999992E-3</v>
      </c>
      <c r="O5489">
        <v>9.4380839999999994E-3</v>
      </c>
      <c r="P5489">
        <v>0.99622549999999999</v>
      </c>
      <c r="Q5489">
        <v>-8.3593580000000001E-2</v>
      </c>
      <c r="R5489">
        <v>2.338521E-2</v>
      </c>
      <c r="S5489">
        <v>2.9941409999999999</v>
      </c>
      <c r="T5489">
        <v>-0.2075205</v>
      </c>
      <c r="U5489">
        <v>-9.7045900000000008E-3</v>
      </c>
      <c r="V5489">
        <v>-1.3984720000000001E-2</v>
      </c>
      <c r="W5489">
        <v>-7.3981400000000003E-2</v>
      </c>
      <c r="X5489">
        <v>0.99716159999999998</v>
      </c>
      <c r="Y5489">
        <v>1.2628210000000001E-2</v>
      </c>
      <c r="Z5489">
        <v>-1.0605040000000001E-3</v>
      </c>
      <c r="AA5489">
        <v>0.99991969999999997</v>
      </c>
      <c r="AB5489">
        <v>24</v>
      </c>
      <c r="AC5489">
        <v>15.9377</v>
      </c>
      <c r="AD5489">
        <v>-1.1205416258509999</v>
      </c>
      <c r="AE5489">
        <v>-5.4629999999999498E-2</v>
      </c>
      <c r="AF5489">
        <v>0.20404729497758001</v>
      </c>
      <c r="AG5489">
        <v>-1.1205416258509999</v>
      </c>
      <c r="AH5489">
        <v>15.8580863054076</v>
      </c>
      <c r="AI5489">
        <v>94.041501837745201</v>
      </c>
      <c r="AJ5489">
        <v>89.262811195171693</v>
      </c>
      <c r="AK5489">
        <v>15.8989355022156</v>
      </c>
      <c r="AL5489">
        <v>94.242698061631998</v>
      </c>
      <c r="AM5489">
        <v>90.803493543014696</v>
      </c>
      <c r="AN5489">
        <v>1.00000003822699</v>
      </c>
    </row>
    <row r="5490" spans="1:40" x14ac:dyDescent="0.25">
      <c r="A5490" t="str">
        <f>"20190303154628288"</f>
        <v>20190303154628288</v>
      </c>
      <c r="B5490" t="str">
        <f>"1551599188276623"</f>
        <v>1551599188276623</v>
      </c>
      <c r="C5490" t="s">
        <v>40</v>
      </c>
      <c r="D5490">
        <v>5.250947</v>
      </c>
      <c r="E5490">
        <v>0.50505049999999996</v>
      </c>
      <c r="F5490" t="s">
        <v>41</v>
      </c>
      <c r="G5490">
        <v>-353.97329999999999</v>
      </c>
      <c r="H5490" s="1">
        <v>-2.870297E-6</v>
      </c>
      <c r="I5490">
        <v>17.910589999999999</v>
      </c>
      <c r="J5490">
        <v>-370.31380000000001</v>
      </c>
      <c r="K5490">
        <v>1.1205540000000001</v>
      </c>
      <c r="L5490">
        <v>17.82263</v>
      </c>
      <c r="M5490">
        <v>0.99990829999999997</v>
      </c>
      <c r="N5490">
        <v>-9.7156970000000006E-3</v>
      </c>
      <c r="O5490">
        <v>9.4394030000000007E-3</v>
      </c>
      <c r="P5490">
        <v>0.99620209999999998</v>
      </c>
      <c r="Q5490">
        <v>-8.3717420000000001E-2</v>
      </c>
      <c r="R5490">
        <v>2.3936349999999999E-2</v>
      </c>
      <c r="S5490">
        <v>2.9939879999999999</v>
      </c>
      <c r="T5490">
        <v>-0.20250009999999999</v>
      </c>
      <c r="U5490">
        <v>1.6296390000000001E-2</v>
      </c>
      <c r="V5490">
        <v>-1.453432E-2</v>
      </c>
      <c r="W5490">
        <v>-7.4032299999999995E-2</v>
      </c>
      <c r="X5490">
        <v>0.99714990000000003</v>
      </c>
      <c r="Y5490">
        <v>3.9708030000000002E-3</v>
      </c>
      <c r="Z5490">
        <v>-6.9951619999999905E-4</v>
      </c>
      <c r="AA5490">
        <v>0.99999190000000004</v>
      </c>
      <c r="AB5490">
        <v>24</v>
      </c>
      <c r="AC5490">
        <v>16.340499999999999</v>
      </c>
      <c r="AD5490">
        <v>-1.1205568702969999</v>
      </c>
      <c r="AE5490">
        <v>8.79599999999989E-2</v>
      </c>
      <c r="AF5490">
        <v>6.5985462625741106E-2</v>
      </c>
      <c r="AG5490">
        <v>-1.1205568702969999</v>
      </c>
      <c r="AH5490">
        <v>16.2641209781345</v>
      </c>
      <c r="AI5490">
        <v>93.941273803867304</v>
      </c>
      <c r="AJ5490">
        <v>89.767545520638905</v>
      </c>
      <c r="AK5490">
        <v>16.3028105850569</v>
      </c>
      <c r="AL5490">
        <v>94.245622702977798</v>
      </c>
      <c r="AM5490">
        <v>90.835076277959601</v>
      </c>
      <c r="AN5490">
        <v>0.99999997548558095</v>
      </c>
    </row>
    <row r="5491" spans="1:40" x14ac:dyDescent="0.25">
      <c r="A5491" t="str">
        <f>"20190303154628310"</f>
        <v>20190303154628310</v>
      </c>
      <c r="B5491" t="str">
        <f>"1551599188306880"</f>
        <v>1551599188306880</v>
      </c>
      <c r="C5491" t="s">
        <v>40</v>
      </c>
      <c r="D5491">
        <v>5.3443480000000001</v>
      </c>
      <c r="E5491">
        <v>0.50349909999999998</v>
      </c>
      <c r="F5491" t="s">
        <v>41</v>
      </c>
      <c r="G5491">
        <v>-354.1223</v>
      </c>
      <c r="H5491" s="1">
        <v>-2.7916749999999998E-6</v>
      </c>
      <c r="I5491">
        <v>17.993569999999998</v>
      </c>
      <c r="J5491">
        <v>-370.07679999999999</v>
      </c>
      <c r="K5491">
        <v>1.1205799999999999</v>
      </c>
      <c r="L5491">
        <v>17.824860000000001</v>
      </c>
      <c r="M5491">
        <v>0.99990690000000004</v>
      </c>
      <c r="N5491">
        <v>-9.8526910000000002E-3</v>
      </c>
      <c r="O5491">
        <v>9.4407599999999994E-3</v>
      </c>
      <c r="P5491">
        <v>0.996174</v>
      </c>
      <c r="Q5491">
        <v>-8.4149169999999995E-2</v>
      </c>
      <c r="R5491">
        <v>2.3587159999999999E-2</v>
      </c>
      <c r="S5491">
        <v>2.9932560000000001</v>
      </c>
      <c r="T5491">
        <v>-0.2071518</v>
      </c>
      <c r="U5491">
        <v>3.1616209999999999E-2</v>
      </c>
      <c r="V5491">
        <v>-1.418405E-2</v>
      </c>
      <c r="W5491">
        <v>-7.4327779999999996E-2</v>
      </c>
      <c r="X5491">
        <v>0.99713300000000005</v>
      </c>
      <c r="Y5491">
        <v>-1.1342380000000001E-3</v>
      </c>
      <c r="Z5491">
        <v>-5.1482579999999995E-4</v>
      </c>
      <c r="AA5491">
        <v>0.99999919999999998</v>
      </c>
      <c r="AB5491">
        <v>24</v>
      </c>
      <c r="AC5491">
        <v>15.9544999999999</v>
      </c>
      <c r="AD5491">
        <v>-1.120582791675</v>
      </c>
      <c r="AE5491">
        <v>0.16871</v>
      </c>
      <c r="AF5491">
        <v>-1.79838582173793E-2</v>
      </c>
      <c r="AG5491">
        <v>-1.120582791675</v>
      </c>
      <c r="AH5491">
        <v>15.877067059388301</v>
      </c>
      <c r="AI5491">
        <v>94.037164555309502</v>
      </c>
      <c r="AJ5491">
        <v>90.064898556559399</v>
      </c>
      <c r="AK5491">
        <v>15.9165727347462</v>
      </c>
      <c r="AL5491">
        <v>94.262599073143406</v>
      </c>
      <c r="AM5491">
        <v>90.814967906480902</v>
      </c>
      <c r="AN5491">
        <v>1.00000001292156</v>
      </c>
    </row>
    <row r="5492" spans="1:40" x14ac:dyDescent="0.25">
      <c r="A5492" t="str">
        <f>"20190303154628334"</f>
        <v>20190303154628334</v>
      </c>
      <c r="B5492" t="str">
        <f>"1551599188327375"</f>
        <v>1551599188327375</v>
      </c>
      <c r="C5492" t="s">
        <v>40</v>
      </c>
      <c r="D5492">
        <v>5.2768819999999996</v>
      </c>
      <c r="E5492">
        <v>0.50316890000000003</v>
      </c>
      <c r="F5492" t="s">
        <v>41</v>
      </c>
      <c r="G5492">
        <v>-354.34640000000002</v>
      </c>
      <c r="H5492" s="1">
        <v>-2.6854480000000002E-6</v>
      </c>
      <c r="I5492">
        <v>18.050329999999999</v>
      </c>
      <c r="J5492">
        <v>-369.82920000000001</v>
      </c>
      <c r="K5492">
        <v>1.1206240000000001</v>
      </c>
      <c r="L5492">
        <v>17.827210000000001</v>
      </c>
      <c r="M5492">
        <v>0.99990440000000003</v>
      </c>
      <c r="N5492">
        <v>-1.0102389999999999E-2</v>
      </c>
      <c r="O5492">
        <v>9.4415320000000007E-3</v>
      </c>
      <c r="P5492">
        <v>0.99608949999999996</v>
      </c>
      <c r="Q5492">
        <v>-8.5283899999999996E-2</v>
      </c>
      <c r="R5492">
        <v>2.3075660000000001E-2</v>
      </c>
      <c r="S5492">
        <v>2.9924930000000001</v>
      </c>
      <c r="T5492">
        <v>-0.21317549999999999</v>
      </c>
      <c r="U5492">
        <v>4.2907710000000002E-2</v>
      </c>
      <c r="V5492">
        <v>-1.367296E-2</v>
      </c>
      <c r="W5492">
        <v>-7.5214409999999995E-2</v>
      </c>
      <c r="X5492">
        <v>0.99707369999999995</v>
      </c>
      <c r="Y5492">
        <v>-4.8987350000000004E-3</v>
      </c>
      <c r="Z5492">
        <v>-3.7736379999999997E-4</v>
      </c>
      <c r="AA5492">
        <v>0.99998790000000004</v>
      </c>
      <c r="AB5492">
        <v>24</v>
      </c>
      <c r="AC5492">
        <v>15.4827999999999</v>
      </c>
      <c r="AD5492">
        <v>-1.120626685448</v>
      </c>
      <c r="AE5492">
        <v>0.22311999999999799</v>
      </c>
      <c r="AF5492">
        <v>-7.6520459092235399E-2</v>
      </c>
      <c r="AG5492">
        <v>-1.120626685448</v>
      </c>
      <c r="AH5492">
        <v>15.403538878213601</v>
      </c>
      <c r="AI5492">
        <v>94.160957615090794</v>
      </c>
      <c r="AJ5492">
        <v>90.284627014739499</v>
      </c>
      <c r="AK5492">
        <v>15.444438141979701</v>
      </c>
      <c r="AL5492">
        <v>94.313541629414701</v>
      </c>
      <c r="AM5492">
        <v>90.785652856954698</v>
      </c>
      <c r="AN5492">
        <v>1.00000006026924</v>
      </c>
    </row>
    <row r="5493" spans="1:40" x14ac:dyDescent="0.25">
      <c r="A5493" t="str">
        <f>"20190303154628369"</f>
        <v>20190303154628369</v>
      </c>
      <c r="B5493" t="str">
        <f>"1551599188356659"</f>
        <v>1551599188356659</v>
      </c>
      <c r="C5493" t="s">
        <v>40</v>
      </c>
      <c r="D5493">
        <v>5.292859</v>
      </c>
      <c r="E5493">
        <v>0.50283469999999997</v>
      </c>
      <c r="F5493" t="s">
        <v>41</v>
      </c>
      <c r="G5493">
        <v>-354.18579999999997</v>
      </c>
      <c r="H5493" s="1">
        <v>-2.7531419999999998E-6</v>
      </c>
      <c r="I5493">
        <v>18.057179999999999</v>
      </c>
      <c r="J5493">
        <v>-369.46780000000001</v>
      </c>
      <c r="K5493">
        <v>1.1207180000000001</v>
      </c>
      <c r="L5493">
        <v>17.8306</v>
      </c>
      <c r="M5493">
        <v>0.99989910000000004</v>
      </c>
      <c r="N5493">
        <v>-1.061933E-2</v>
      </c>
      <c r="O5493">
        <v>9.441685E-3</v>
      </c>
      <c r="P5493">
        <v>0.99594660000000002</v>
      </c>
      <c r="Q5493">
        <v>-8.7340669999999995E-2</v>
      </c>
      <c r="R5493">
        <v>2.1505150000000001E-2</v>
      </c>
      <c r="S5493">
        <v>2.9924010000000001</v>
      </c>
      <c r="T5493">
        <v>-0.21436240000000001</v>
      </c>
      <c r="U5493">
        <v>4.400635E-2</v>
      </c>
      <c r="V5493">
        <v>-1.2103040000000001E-2</v>
      </c>
      <c r="W5493">
        <v>-7.6757309999999995E-2</v>
      </c>
      <c r="X5493">
        <v>0.99697630000000004</v>
      </c>
      <c r="Y5493">
        <v>-5.2646450000000001E-3</v>
      </c>
      <c r="Z5493">
        <v>-3.5897050000000002E-4</v>
      </c>
      <c r="AA5493">
        <v>0.99998609999999999</v>
      </c>
      <c r="AB5493">
        <v>24</v>
      </c>
      <c r="AC5493">
        <v>15.282</v>
      </c>
      <c r="AD5493">
        <v>-1.120720753142</v>
      </c>
      <c r="AE5493">
        <v>0.22657999999999801</v>
      </c>
      <c r="AF5493">
        <v>-8.1833921962068207E-2</v>
      </c>
      <c r="AG5493">
        <v>-1.120720753142</v>
      </c>
      <c r="AH5493">
        <v>15.201718723083101</v>
      </c>
      <c r="AI5493">
        <v>94.216344774443598</v>
      </c>
      <c r="AJ5493">
        <v>90.308431773024495</v>
      </c>
      <c r="AK5493">
        <v>15.243194020055</v>
      </c>
      <c r="AL5493">
        <v>94.402200072921303</v>
      </c>
      <c r="AM5493">
        <v>90.695522098933196</v>
      </c>
      <c r="AN5493">
        <v>0.99999995548868204</v>
      </c>
    </row>
    <row r="5494" spans="1:40" x14ac:dyDescent="0.25">
      <c r="A5494" t="str">
        <f>"20190303154628389"</f>
        <v>20190303154628389</v>
      </c>
      <c r="B5494" t="str">
        <f>"1551599188377151"</f>
        <v>1551599188377151</v>
      </c>
      <c r="C5494" t="s">
        <v>40</v>
      </c>
      <c r="D5494">
        <v>5.2949809999999999</v>
      </c>
      <c r="E5494">
        <v>0.50258239999999998</v>
      </c>
      <c r="F5494" t="s">
        <v>41</v>
      </c>
      <c r="G5494">
        <v>-354.02620000000002</v>
      </c>
      <c r="H5494" s="1">
        <v>-2.823441E-6</v>
      </c>
      <c r="I5494">
        <v>18.046900000000001</v>
      </c>
      <c r="J5494">
        <v>-369.24040000000002</v>
      </c>
      <c r="K5494">
        <v>1.120773</v>
      </c>
      <c r="L5494">
        <v>17.83276</v>
      </c>
      <c r="M5494">
        <v>0.9998956</v>
      </c>
      <c r="N5494">
        <v>-1.0945420000000001E-2</v>
      </c>
      <c r="O5494">
        <v>9.4420489999999992E-3</v>
      </c>
      <c r="P5494">
        <v>0.99594249999999995</v>
      </c>
      <c r="Q5494">
        <v>-8.7634399999999904E-2</v>
      </c>
      <c r="R5494">
        <v>2.0469709999999999E-2</v>
      </c>
      <c r="S5494">
        <v>2.9922179999999998</v>
      </c>
      <c r="T5494">
        <v>-0.21716920000000001</v>
      </c>
      <c r="U5494">
        <v>4.193115E-2</v>
      </c>
      <c r="V5494">
        <v>-1.1067169999999999E-2</v>
      </c>
      <c r="W5494">
        <v>-7.6726119999999995E-2</v>
      </c>
      <c r="X5494">
        <v>0.99699079999999995</v>
      </c>
      <c r="Y5494">
        <v>-4.5737709999999999E-3</v>
      </c>
      <c r="Z5494">
        <v>-3.9027750000000003E-4</v>
      </c>
      <c r="AA5494">
        <v>0.99998940000000003</v>
      </c>
      <c r="AB5494">
        <v>24</v>
      </c>
      <c r="AC5494">
        <v>15.2142</v>
      </c>
      <c r="AD5494">
        <v>-1.1207758234409999</v>
      </c>
      <c r="AE5494">
        <v>0.21414</v>
      </c>
      <c r="AF5494">
        <v>-7.0088361137584196E-2</v>
      </c>
      <c r="AG5494">
        <v>-1.1207758234409999</v>
      </c>
      <c r="AH5494">
        <v>15.1334347576641</v>
      </c>
      <c r="AI5494">
        <v>94.235523626361797</v>
      </c>
      <c r="AJ5494">
        <v>90.265355396101697</v>
      </c>
      <c r="AK5494">
        <v>15.175041956754299</v>
      </c>
      <c r="AL5494">
        <v>94.400407458404004</v>
      </c>
      <c r="AM5494">
        <v>90.635989909648004</v>
      </c>
      <c r="AN5494">
        <v>1.0000000175133501</v>
      </c>
    </row>
    <row r="5495" spans="1:40" x14ac:dyDescent="0.25">
      <c r="A5495" t="str">
        <f>"20190303154628412"</f>
        <v>20190303154628412</v>
      </c>
      <c r="B5495" t="str">
        <f>"1551599188407407"</f>
        <v>1551599188407407</v>
      </c>
      <c r="C5495" t="s">
        <v>40</v>
      </c>
      <c r="D5495">
        <v>5.3003850000000003</v>
      </c>
      <c r="E5495">
        <v>0.50202020000000003</v>
      </c>
      <c r="F5495" t="s">
        <v>41</v>
      </c>
      <c r="G5495">
        <v>-353.76049999999998</v>
      </c>
      <c r="H5495" s="1">
        <v>-2.9379150000000001E-6</v>
      </c>
      <c r="I5495">
        <v>18.044080000000001</v>
      </c>
      <c r="J5495">
        <v>-369.0104</v>
      </c>
      <c r="K5495">
        <v>1.120811</v>
      </c>
      <c r="L5495">
        <v>17.83493</v>
      </c>
      <c r="M5495">
        <v>0.99989220000000001</v>
      </c>
      <c r="N5495">
        <v>-1.1245750000000001E-2</v>
      </c>
      <c r="O5495">
        <v>9.4425640000000005E-3</v>
      </c>
      <c r="P5495">
        <v>0.99596910000000005</v>
      </c>
      <c r="Q5495">
        <v>-8.7379429999999994E-2</v>
      </c>
      <c r="R5495">
        <v>2.0263320000000001E-2</v>
      </c>
      <c r="S5495">
        <v>2.9922789999999999</v>
      </c>
      <c r="T5495">
        <v>-0.2166467</v>
      </c>
      <c r="U5495">
        <v>4.0863040000000003E-2</v>
      </c>
      <c r="V5495">
        <v>-1.0860359999999999E-2</v>
      </c>
      <c r="W5495">
        <v>-7.61714E-2</v>
      </c>
      <c r="X5495">
        <v>0.99703560000000002</v>
      </c>
      <c r="Y5495">
        <v>-4.2168709999999996E-3</v>
      </c>
      <c r="Z5495">
        <v>-4.0044609999999997E-4</v>
      </c>
      <c r="AA5495">
        <v>0.99999099999999996</v>
      </c>
      <c r="AB5495">
        <v>24</v>
      </c>
      <c r="AC5495">
        <v>15.2499</v>
      </c>
      <c r="AD5495">
        <v>-1.1208139379149999</v>
      </c>
      <c r="AE5495">
        <v>0.209149999999997</v>
      </c>
      <c r="AF5495">
        <v>-6.4783536797194896E-2</v>
      </c>
      <c r="AG5495">
        <v>-1.1208139379149999</v>
      </c>
      <c r="AH5495">
        <v>15.169270153967201</v>
      </c>
      <c r="AI5495">
        <v>94.225703983698907</v>
      </c>
      <c r="AJ5495">
        <v>90.244692106897006</v>
      </c>
      <c r="AK5495">
        <v>15.210758619940901</v>
      </c>
      <c r="AL5495">
        <v>94.368531096684094</v>
      </c>
      <c r="AM5495">
        <v>90.624078201101597</v>
      </c>
      <c r="AN5495">
        <v>1.00000000863232</v>
      </c>
    </row>
    <row r="5496" spans="1:40" x14ac:dyDescent="0.25">
      <c r="A5496" t="str">
        <f>"20190303154628433"</f>
        <v>20190303154628433</v>
      </c>
      <c r="B5496" t="str">
        <f>"1551599188426927"</f>
        <v>1551599188426927</v>
      </c>
      <c r="C5496" t="s">
        <v>40</v>
      </c>
      <c r="D5496">
        <v>5.3174250000000001</v>
      </c>
      <c r="E5496">
        <v>0.50183440000000001</v>
      </c>
      <c r="F5496" t="s">
        <v>41</v>
      </c>
      <c r="G5496">
        <v>-353.54020000000003</v>
      </c>
      <c r="H5496" s="1">
        <v>-3.0285069999999999E-6</v>
      </c>
      <c r="I5496">
        <v>18.06615</v>
      </c>
      <c r="J5496">
        <v>-368.7765</v>
      </c>
      <c r="K5496">
        <v>1.1208419999999999</v>
      </c>
      <c r="L5496">
        <v>17.837129999999998</v>
      </c>
      <c r="M5496">
        <v>0.99988900000000003</v>
      </c>
      <c r="N5496">
        <v>-1.153088E-2</v>
      </c>
      <c r="O5496">
        <v>9.4427639999999993E-3</v>
      </c>
      <c r="P5496">
        <v>0.99594769999999999</v>
      </c>
      <c r="Q5496">
        <v>-8.7597850000000005E-2</v>
      </c>
      <c r="R5496">
        <v>2.037131E-2</v>
      </c>
      <c r="S5496">
        <v>2.9922179999999998</v>
      </c>
      <c r="T5496">
        <v>-0.2167857</v>
      </c>
      <c r="U5496">
        <v>4.4738769999999997E-2</v>
      </c>
      <c r="V5496">
        <v>-1.096833E-2</v>
      </c>
      <c r="W5496">
        <v>-7.6105740000000005E-2</v>
      </c>
      <c r="X5496">
        <v>0.99703940000000002</v>
      </c>
      <c r="Y5496">
        <v>-5.5077900000000003E-3</v>
      </c>
      <c r="Z5496">
        <v>-3.4335629999999897E-4</v>
      </c>
      <c r="AA5496">
        <v>0.99998480000000001</v>
      </c>
      <c r="AB5496">
        <v>23</v>
      </c>
      <c r="AC5496">
        <v>15.2362999999999</v>
      </c>
      <c r="AD5496">
        <v>-1.120845028507</v>
      </c>
      <c r="AE5496">
        <v>0.229020000000001</v>
      </c>
      <c r="AF5496">
        <v>-8.4669347315983898E-2</v>
      </c>
      <c r="AG5496">
        <v>-1.120845028507</v>
      </c>
      <c r="AH5496">
        <v>15.155783617213199</v>
      </c>
      <c r="AI5496">
        <v>94.2295401979177</v>
      </c>
      <c r="AJ5496">
        <v>90.320085447903807</v>
      </c>
      <c r="AK5496">
        <v>15.197408974167001</v>
      </c>
      <c r="AL5496">
        <v>94.364758244118207</v>
      </c>
      <c r="AM5496">
        <v>90.630279673965205</v>
      </c>
      <c r="AN5496">
        <v>0.99999997653814798</v>
      </c>
    </row>
    <row r="5497" spans="1:40" x14ac:dyDescent="0.25">
      <c r="A5497" t="str">
        <f>"20190303154628456"</f>
        <v>20190303154628456</v>
      </c>
      <c r="B5497" t="str">
        <f>"1551599188447423"</f>
        <v>1551599188447423</v>
      </c>
      <c r="C5497" t="s">
        <v>40</v>
      </c>
      <c r="D5497">
        <v>5.3317680000000003</v>
      </c>
      <c r="E5497">
        <v>0.50179269999999998</v>
      </c>
      <c r="F5497" t="s">
        <v>41</v>
      </c>
      <c r="G5497">
        <v>-353.2647</v>
      </c>
      <c r="H5497" s="1">
        <v>-3.1445210000000001E-6</v>
      </c>
      <c r="I5497">
        <v>18.078299999999999</v>
      </c>
      <c r="J5497">
        <v>-368.54160000000002</v>
      </c>
      <c r="K5497">
        <v>1.1208670000000001</v>
      </c>
      <c r="L5497">
        <v>17.839359999999999</v>
      </c>
      <c r="M5497">
        <v>0.99988589999999999</v>
      </c>
      <c r="N5497">
        <v>-1.180085E-2</v>
      </c>
      <c r="O5497">
        <v>9.4428370000000008E-3</v>
      </c>
      <c r="P5497">
        <v>0.99591750000000001</v>
      </c>
      <c r="Q5497">
        <v>-8.7819170000000002E-2</v>
      </c>
      <c r="R5497">
        <v>2.089394E-2</v>
      </c>
      <c r="S5497">
        <v>2.9922179999999998</v>
      </c>
      <c r="T5497">
        <v>-0.21621070000000001</v>
      </c>
      <c r="U5497">
        <v>4.653931E-2</v>
      </c>
      <c r="V5497">
        <v>-1.149087E-2</v>
      </c>
      <c r="W5497">
        <v>-7.6058150000000005E-2</v>
      </c>
      <c r="X5497">
        <v>0.99703719999999996</v>
      </c>
      <c r="Y5497">
        <v>-6.1072239999999996E-3</v>
      </c>
      <c r="Z5497">
        <v>-3.1361589999999998E-4</v>
      </c>
      <c r="AA5497">
        <v>0.99998129999999996</v>
      </c>
      <c r="AB5497">
        <v>23</v>
      </c>
      <c r="AC5497">
        <v>15.276899999999999</v>
      </c>
      <c r="AD5497">
        <v>-1.1208701445209901</v>
      </c>
      <c r="AE5497">
        <v>0.23893999999999899</v>
      </c>
      <c r="AF5497">
        <v>-9.4155308113667194E-2</v>
      </c>
      <c r="AG5497">
        <v>-1.1208701445209901</v>
      </c>
      <c r="AH5497">
        <v>15.1966884857152</v>
      </c>
      <c r="AI5497">
        <v>94.218275805944401</v>
      </c>
      <c r="AJ5497">
        <v>90.354987387569693</v>
      </c>
      <c r="AK5497">
        <v>15.238259613052699</v>
      </c>
      <c r="AL5497">
        <v>94.362023377105999</v>
      </c>
      <c r="AM5497">
        <v>90.660305559647099</v>
      </c>
      <c r="AN5497">
        <v>1.0000000302293</v>
      </c>
    </row>
    <row r="5498" spans="1:40" x14ac:dyDescent="0.25">
      <c r="A5498" t="str">
        <f>"20190303154628479"</f>
        <v>20190303154628479</v>
      </c>
      <c r="B5498" t="str">
        <f>"1551599188466943"</f>
        <v>1551599188466943</v>
      </c>
      <c r="C5498" t="s">
        <v>40</v>
      </c>
      <c r="D5498">
        <v>5.3341979999999998</v>
      </c>
      <c r="E5498">
        <v>0.50176359999999998</v>
      </c>
      <c r="F5498" t="s">
        <v>41</v>
      </c>
      <c r="G5498">
        <v>-352.9846</v>
      </c>
      <c r="H5498" s="1">
        <v>-3.2623960000000002E-6</v>
      </c>
      <c r="I5498">
        <v>18.091229999999999</v>
      </c>
      <c r="J5498">
        <v>-368.30590000000001</v>
      </c>
      <c r="K5498">
        <v>1.1208880000000001</v>
      </c>
      <c r="L5498">
        <v>17.84158</v>
      </c>
      <c r="M5498">
        <v>0.99988290000000002</v>
      </c>
      <c r="N5498">
        <v>-1.2048710000000001E-2</v>
      </c>
      <c r="O5498">
        <v>9.4428299999999993E-3</v>
      </c>
      <c r="P5498">
        <v>0.99591960000000002</v>
      </c>
      <c r="Q5498">
        <v>-8.7767390000000001E-2</v>
      </c>
      <c r="R5498">
        <v>2.100745E-2</v>
      </c>
      <c r="S5498">
        <v>2.9922490000000002</v>
      </c>
      <c r="T5498">
        <v>-0.21559010000000001</v>
      </c>
      <c r="U5498">
        <v>4.8461909999999997E-2</v>
      </c>
      <c r="V5498">
        <v>-1.160428E-2</v>
      </c>
      <c r="W5498">
        <v>-7.5759170000000001E-2</v>
      </c>
      <c r="X5498">
        <v>0.99705860000000002</v>
      </c>
      <c r="Y5498">
        <v>-6.7472449999999998E-3</v>
      </c>
      <c r="Z5498">
        <v>-2.8230369999999999E-4</v>
      </c>
      <c r="AA5498">
        <v>0.99997720000000001</v>
      </c>
      <c r="AB5498">
        <v>23</v>
      </c>
      <c r="AC5498">
        <v>15.321300000000001</v>
      </c>
      <c r="AD5498">
        <v>-1.1208912623959999</v>
      </c>
      <c r="AE5498">
        <v>0.24964999999999901</v>
      </c>
      <c r="AF5498">
        <v>-0.10439335482702899</v>
      </c>
      <c r="AG5498">
        <v>-1.1208912623959999</v>
      </c>
      <c r="AH5498">
        <v>15.241420266293</v>
      </c>
      <c r="AI5498">
        <v>94.206001247330093</v>
      </c>
      <c r="AJ5498">
        <v>90.392430954925899</v>
      </c>
      <c r="AK5498">
        <v>15.2829377715286</v>
      </c>
      <c r="AL5498">
        <v>94.344843729805206</v>
      </c>
      <c r="AM5498">
        <v>90.6668075983264</v>
      </c>
      <c r="AN5498">
        <v>0.99999998149368297</v>
      </c>
    </row>
    <row r="5499" spans="1:40" x14ac:dyDescent="0.25">
      <c r="A5499" t="str">
        <f>"20190303154628503"</f>
        <v>20190303154628503</v>
      </c>
      <c r="B5499" t="str">
        <f>"1551599188497200"</f>
        <v>1551599188497200</v>
      </c>
      <c r="C5499" t="s">
        <v>40</v>
      </c>
      <c r="D5499">
        <v>5.3756950000000003</v>
      </c>
      <c r="E5499">
        <v>0.50165289999999996</v>
      </c>
      <c r="F5499" t="s">
        <v>41</v>
      </c>
      <c r="G5499">
        <v>-352.72449999999998</v>
      </c>
      <c r="H5499" s="1">
        <v>-3.372994E-6</v>
      </c>
      <c r="I5499">
        <v>18.096710000000002</v>
      </c>
      <c r="J5499">
        <v>-368.06990000000002</v>
      </c>
      <c r="K5499">
        <v>1.1209039999999999</v>
      </c>
      <c r="L5499">
        <v>17.843810000000001</v>
      </c>
      <c r="M5499">
        <v>0.99988030000000006</v>
      </c>
      <c r="N5499">
        <v>-1.226872E-2</v>
      </c>
      <c r="O5499">
        <v>9.4424899999999996E-3</v>
      </c>
      <c r="P5499">
        <v>0.99593319999999996</v>
      </c>
      <c r="Q5499">
        <v>-8.7557869999999996E-2</v>
      </c>
      <c r="R5499">
        <v>2.1239770000000002E-2</v>
      </c>
      <c r="S5499">
        <v>2.9922789999999999</v>
      </c>
      <c r="T5499">
        <v>-0.2152588</v>
      </c>
      <c r="U5499">
        <v>4.9011230000000003E-2</v>
      </c>
      <c r="V5499">
        <v>-1.183668E-2</v>
      </c>
      <c r="W5499">
        <v>-7.5330069999999999E-2</v>
      </c>
      <c r="X5499">
        <v>0.99708839999999999</v>
      </c>
      <c r="Y5499">
        <v>-6.9301859999999996E-3</v>
      </c>
      <c r="Z5499">
        <v>-2.7109390000000001E-4</v>
      </c>
      <c r="AA5499">
        <v>0.99997590000000003</v>
      </c>
      <c r="AB5499">
        <v>23</v>
      </c>
      <c r="AC5499">
        <v>15.3454</v>
      </c>
      <c r="AD5499">
        <v>-1.120907372994</v>
      </c>
      <c r="AE5499">
        <v>0.25290000000000001</v>
      </c>
      <c r="AF5499">
        <v>-0.10740613247245399</v>
      </c>
      <c r="AG5499">
        <v>-1.120907372994</v>
      </c>
      <c r="AH5499">
        <v>15.2656745926841</v>
      </c>
      <c r="AI5499">
        <v>94.199397340338393</v>
      </c>
      <c r="AJ5499">
        <v>90.403114615446498</v>
      </c>
      <c r="AK5499">
        <v>15.3071483361809</v>
      </c>
      <c r="AL5499">
        <v>94.320187565068395</v>
      </c>
      <c r="AM5499">
        <v>90.680140248100699</v>
      </c>
      <c r="AN5499">
        <v>1.00000000192709</v>
      </c>
    </row>
    <row r="5500" spans="1:40" x14ac:dyDescent="0.25">
      <c r="A5500" t="str">
        <f>"20190303154628525"</f>
        <v>20190303154628525</v>
      </c>
      <c r="B5500" t="str">
        <f>"1551599188516719"</f>
        <v>1551599188516719</v>
      </c>
      <c r="C5500" t="s">
        <v>40</v>
      </c>
      <c r="D5500">
        <v>5.3652629999999997</v>
      </c>
      <c r="E5500">
        <v>0.50151800000000002</v>
      </c>
      <c r="F5500" t="s">
        <v>41</v>
      </c>
      <c r="G5500">
        <v>-352.42290000000003</v>
      </c>
      <c r="H5500" s="1">
        <v>-3.5004119999999999E-6</v>
      </c>
      <c r="I5500">
        <v>18.107980000000001</v>
      </c>
      <c r="J5500">
        <v>-367.82229999999998</v>
      </c>
      <c r="K5500">
        <v>1.120919</v>
      </c>
      <c r="L5500">
        <v>17.846129999999999</v>
      </c>
      <c r="M5500">
        <v>0.99987769999999998</v>
      </c>
      <c r="N5500">
        <v>-1.246834E-2</v>
      </c>
      <c r="O5500">
        <v>9.4426110000000001E-3</v>
      </c>
      <c r="P5500">
        <v>0.99593810000000005</v>
      </c>
      <c r="Q5500">
        <v>-8.7683129999999998E-2</v>
      </c>
      <c r="R5500">
        <v>2.0469459999999998E-2</v>
      </c>
      <c r="S5500">
        <v>2.9923709999999999</v>
      </c>
      <c r="T5500">
        <v>-0.21436540000000001</v>
      </c>
      <c r="U5500">
        <v>5.0537110000000003E-2</v>
      </c>
      <c r="V5500">
        <v>-1.106651E-2</v>
      </c>
      <c r="W5500">
        <v>-7.5256340000000005E-2</v>
      </c>
      <c r="X5500">
        <v>0.99710279999999996</v>
      </c>
      <c r="Y5500">
        <v>-7.4376140000000004E-3</v>
      </c>
      <c r="Z5500">
        <v>-2.4541180000000001E-4</v>
      </c>
      <c r="AA5500">
        <v>0.99997230000000004</v>
      </c>
      <c r="AB5500">
        <v>23</v>
      </c>
      <c r="AC5500">
        <v>15.399399999999901</v>
      </c>
      <c r="AD5500">
        <v>-1.120922500412</v>
      </c>
      <c r="AE5500">
        <v>0.26184999999999897</v>
      </c>
      <c r="AF5500">
        <v>-0.115803087038131</v>
      </c>
      <c r="AG5500">
        <v>-1.120922500412</v>
      </c>
      <c r="AH5500">
        <v>15.320038081349701</v>
      </c>
      <c r="AI5500">
        <v>94.184589070422703</v>
      </c>
      <c r="AJ5500">
        <v>90.433086506803704</v>
      </c>
      <c r="AK5500">
        <v>15.361427160941201</v>
      </c>
      <c r="AL5500">
        <v>94.315951177480599</v>
      </c>
      <c r="AM5500">
        <v>90.635880557255604</v>
      </c>
      <c r="AN5500">
        <v>0.999999989060807</v>
      </c>
    </row>
    <row r="5501" spans="1:40" x14ac:dyDescent="0.25">
      <c r="A5501" t="str">
        <f>"20190303154628546"</f>
        <v>20190303154628546</v>
      </c>
      <c r="B5501" t="str">
        <f>"1551599188537216"</f>
        <v>1551599188537216</v>
      </c>
      <c r="C5501" t="s">
        <v>40</v>
      </c>
      <c r="D5501">
        <v>5.3699260000000004</v>
      </c>
      <c r="E5501">
        <v>0.50138439999999995</v>
      </c>
      <c r="F5501" t="s">
        <v>41</v>
      </c>
      <c r="G5501">
        <v>-352.21100000000001</v>
      </c>
      <c r="H5501" s="1">
        <v>-3.592129E-6</v>
      </c>
      <c r="I5501">
        <v>18.10333</v>
      </c>
      <c r="J5501">
        <v>-367.60399999999998</v>
      </c>
      <c r="K5501">
        <v>1.120924</v>
      </c>
      <c r="L5501">
        <v>17.848179999999999</v>
      </c>
      <c r="M5501">
        <v>0.99987579999999998</v>
      </c>
      <c r="N5501">
        <v>-1.262425E-2</v>
      </c>
      <c r="O5501">
        <v>9.4426330000000006E-3</v>
      </c>
      <c r="P5501">
        <v>0.99588759999999998</v>
      </c>
      <c r="Q5501">
        <v>-8.8490109999999997E-2</v>
      </c>
      <c r="R5501">
        <v>1.9423820000000001E-2</v>
      </c>
      <c r="S5501">
        <v>2.9923709999999999</v>
      </c>
      <c r="T5501">
        <v>-0.21485879999999999</v>
      </c>
      <c r="U5501">
        <v>4.9316409999999998E-2</v>
      </c>
      <c r="V5501">
        <v>-1.0020960000000001E-2</v>
      </c>
      <c r="W5501">
        <v>-7.5908600000000007E-2</v>
      </c>
      <c r="X5501">
        <v>0.99706439999999996</v>
      </c>
      <c r="Y5501">
        <v>-7.0308590000000004E-3</v>
      </c>
      <c r="Z5501">
        <v>-2.6145790000000002E-4</v>
      </c>
      <c r="AA5501">
        <v>0.99997530000000001</v>
      </c>
      <c r="AB5501">
        <v>23</v>
      </c>
      <c r="AC5501">
        <v>15.393000000000001</v>
      </c>
      <c r="AD5501">
        <v>-1.1209275921290001</v>
      </c>
      <c r="AE5501">
        <v>0.25514999999999999</v>
      </c>
      <c r="AF5501">
        <v>-0.10919770137330501</v>
      </c>
      <c r="AG5501">
        <v>-1.1209275921290001</v>
      </c>
      <c r="AH5501">
        <v>15.3135401510393</v>
      </c>
      <c r="AI5501">
        <v>94.186390453675699</v>
      </c>
      <c r="AJ5501">
        <v>90.4085574803496</v>
      </c>
      <c r="AK5501">
        <v>15.354898721980399</v>
      </c>
      <c r="AL5501">
        <v>94.353430185151296</v>
      </c>
      <c r="AM5501">
        <v>90.575829789497007</v>
      </c>
      <c r="AN5501">
        <v>0.99999997647032002</v>
      </c>
    </row>
    <row r="5502" spans="1:40" x14ac:dyDescent="0.25">
      <c r="A5502" t="str">
        <f>"20190303154628569"</f>
        <v>20190303154628569</v>
      </c>
      <c r="B5502" t="str">
        <f>"1551599188556739"</f>
        <v>1551599188556739</v>
      </c>
      <c r="C5502" t="s">
        <v>40</v>
      </c>
      <c r="D5502">
        <v>5.3846030000000003</v>
      </c>
      <c r="E5502">
        <v>0.50117349999999905</v>
      </c>
      <c r="F5502" t="s">
        <v>41</v>
      </c>
      <c r="G5502">
        <v>-352.18430000000001</v>
      </c>
      <c r="H5502" s="1">
        <v>-3.6057149999999998E-6</v>
      </c>
      <c r="I5502">
        <v>18.091380000000001</v>
      </c>
      <c r="J5502">
        <v>-367.37259999999998</v>
      </c>
      <c r="K5502">
        <v>1.120924</v>
      </c>
      <c r="L5502">
        <v>17.850339999999999</v>
      </c>
      <c r="M5502">
        <v>0.99987400000000004</v>
      </c>
      <c r="N5502">
        <v>-1.2769930000000001E-2</v>
      </c>
      <c r="O5502">
        <v>9.4425310000000005E-3</v>
      </c>
      <c r="P5502">
        <v>0.99583770000000005</v>
      </c>
      <c r="Q5502">
        <v>-8.929136E-2</v>
      </c>
      <c r="R5502">
        <v>1.82936E-2</v>
      </c>
      <c r="S5502">
        <v>2.9921570000000002</v>
      </c>
      <c r="T5502">
        <v>-0.21751300000000001</v>
      </c>
      <c r="U5502">
        <v>4.721069E-2</v>
      </c>
      <c r="V5502">
        <v>-8.8922910000000001E-3</v>
      </c>
      <c r="W5502">
        <v>-7.6565330000000001E-2</v>
      </c>
      <c r="X5502">
        <v>0.99702489999999999</v>
      </c>
      <c r="Y5502">
        <v>-6.3306380000000004E-3</v>
      </c>
      <c r="Z5502">
        <v>-2.9472979999999998E-4</v>
      </c>
      <c r="AA5502">
        <v>0.99997990000000003</v>
      </c>
      <c r="AB5502">
        <v>23</v>
      </c>
      <c r="AC5502">
        <v>15.1882999999999</v>
      </c>
      <c r="AD5502">
        <v>-1.1209276057149999</v>
      </c>
      <c r="AE5502">
        <v>0.24103999999999801</v>
      </c>
      <c r="AF5502">
        <v>-9.70729832220876E-2</v>
      </c>
      <c r="AG5502">
        <v>-1.1209276057149999</v>
      </c>
      <c r="AH5502">
        <v>15.1076323283276</v>
      </c>
      <c r="AI5502">
        <v>94.243261660539105</v>
      </c>
      <c r="AJ5502">
        <v>90.368144761648196</v>
      </c>
      <c r="AK5502">
        <v>15.149470499963201</v>
      </c>
      <c r="AL5502">
        <v>94.391167825027395</v>
      </c>
      <c r="AM5502">
        <v>90.510997504599899</v>
      </c>
      <c r="AN5502">
        <v>0.99999998690862302</v>
      </c>
    </row>
    <row r="5503" spans="1:40" x14ac:dyDescent="0.25">
      <c r="A5503" t="str">
        <f>"20190303154628591"</f>
        <v>20190303154628591</v>
      </c>
      <c r="B5503" t="str">
        <f>"1551599188586992"</f>
        <v>1551599188586992</v>
      </c>
      <c r="C5503" t="s">
        <v>40</v>
      </c>
      <c r="D5503">
        <v>5.7042950000000001</v>
      </c>
      <c r="E5503">
        <v>0.52854609999999902</v>
      </c>
      <c r="F5503" t="s">
        <v>41</v>
      </c>
      <c r="G5503">
        <v>-351.98020000000002</v>
      </c>
      <c r="H5503" s="1">
        <v>-3.6944810000000001E-6</v>
      </c>
      <c r="I5503">
        <v>18.084479999999999</v>
      </c>
      <c r="J5503">
        <v>-367.13260000000002</v>
      </c>
      <c r="K5503">
        <v>1.12093</v>
      </c>
      <c r="L5503">
        <v>17.852629999999898</v>
      </c>
      <c r="M5503">
        <v>0.99987230000000005</v>
      </c>
      <c r="N5503">
        <v>-1.2901940000000001E-2</v>
      </c>
      <c r="O5503">
        <v>9.4425080000000005E-3</v>
      </c>
      <c r="P5503">
        <v>0.99571330000000002</v>
      </c>
      <c r="Q5503">
        <v>-9.0815629999999994E-2</v>
      </c>
      <c r="R5503">
        <v>1.7548299999999999E-2</v>
      </c>
      <c r="S5503">
        <v>2.9921880000000001</v>
      </c>
      <c r="T5503">
        <v>-0.21790129999999999</v>
      </c>
      <c r="U5503">
        <v>4.553223E-2</v>
      </c>
      <c r="V5503">
        <v>-8.1478499999999999E-3</v>
      </c>
      <c r="W5503">
        <v>-7.7959550000000002E-2</v>
      </c>
      <c r="X5503">
        <v>0.99692320000000001</v>
      </c>
      <c r="Y5503">
        <v>-5.7713269999999997E-3</v>
      </c>
      <c r="Z5503">
        <v>-3.1782510000000002E-4</v>
      </c>
      <c r="AA5503">
        <v>0.99998330000000002</v>
      </c>
      <c r="AB5503">
        <v>23</v>
      </c>
      <c r="AC5503">
        <v>15.1524</v>
      </c>
      <c r="AD5503">
        <v>-1.120933694481</v>
      </c>
      <c r="AE5503">
        <v>0.231850000000001</v>
      </c>
      <c r="AF5503">
        <v>-8.8268164126430598E-2</v>
      </c>
      <c r="AG5503">
        <v>-1.120933694481</v>
      </c>
      <c r="AH5503">
        <v>15.071452449993201</v>
      </c>
      <c r="AI5503">
        <v>94.253448334189201</v>
      </c>
      <c r="AJ5503">
        <v>90.3355572705687</v>
      </c>
      <c r="AK5503">
        <v>15.1133372412789</v>
      </c>
      <c r="AL5503">
        <v>94.471290320419598</v>
      </c>
      <c r="AM5503">
        <v>90.468267789273796</v>
      </c>
      <c r="AN5503">
        <v>0.99999997279703201</v>
      </c>
    </row>
    <row r="5504" spans="1:40" x14ac:dyDescent="0.25">
      <c r="A5504" t="str">
        <f>"20190303154628614"</f>
        <v>20190303154628614</v>
      </c>
      <c r="B5504" t="str">
        <f>"1551599188607487"</f>
        <v>1551599188607487</v>
      </c>
      <c r="C5504" t="s">
        <v>40</v>
      </c>
      <c r="D5504">
        <v>5.6128970000000002</v>
      </c>
      <c r="E5504">
        <v>0.54108639999999997</v>
      </c>
      <c r="F5504" t="s">
        <v>41</v>
      </c>
      <c r="G5504">
        <v>-348.37430000000001</v>
      </c>
      <c r="H5504" s="1">
        <v>-1.2996269999999999E-6</v>
      </c>
      <c r="I5504">
        <v>16.758659999999999</v>
      </c>
      <c r="J5504">
        <v>-366.9033</v>
      </c>
      <c r="K5504">
        <v>1.120935</v>
      </c>
      <c r="L5504">
        <v>17.854800000000001</v>
      </c>
      <c r="M5504">
        <v>0.99987090000000001</v>
      </c>
      <c r="N5504">
        <v>-1.3011419999999999E-2</v>
      </c>
      <c r="O5504">
        <v>9.4424490000000003E-3</v>
      </c>
      <c r="P5504">
        <v>0.99568869999999998</v>
      </c>
      <c r="Q5504">
        <v>-9.1323849999999998E-2</v>
      </c>
      <c r="R5504">
        <v>1.6258580000000002E-2</v>
      </c>
      <c r="S5504">
        <v>2.999695</v>
      </c>
      <c r="T5504">
        <v>-0.17925139999999901</v>
      </c>
      <c r="U5504">
        <v>-0.17492679999999999</v>
      </c>
      <c r="V5504">
        <v>-6.8584240000000001E-3</v>
      </c>
      <c r="W5504">
        <v>-7.8359100000000001E-2</v>
      </c>
      <c r="X5504">
        <v>0.99690160000000005</v>
      </c>
      <c r="Y5504">
        <v>6.7484080000000002E-2</v>
      </c>
      <c r="Z5504">
        <v>-2.8933370000000002E-3</v>
      </c>
      <c r="AA5504">
        <v>0.99771609999999999</v>
      </c>
      <c r="AB5504">
        <v>23</v>
      </c>
      <c r="AC5504">
        <v>18.529</v>
      </c>
      <c r="AD5504">
        <v>-1.120936299627</v>
      </c>
      <c r="AE5504">
        <v>-1.0961399999999999</v>
      </c>
      <c r="AF5504">
        <v>1.26644626862492</v>
      </c>
      <c r="AG5504">
        <v>-1.120936299627</v>
      </c>
      <c r="AH5504">
        <v>18.450532846714101</v>
      </c>
      <c r="AI5504">
        <v>93.468510373032203</v>
      </c>
      <c r="AJ5504">
        <v>86.073371425601707</v>
      </c>
      <c r="AK5504">
        <v>18.527885650198002</v>
      </c>
      <c r="AL5504">
        <v>94.494253003403301</v>
      </c>
      <c r="AM5504">
        <v>90.3941738580818</v>
      </c>
      <c r="AN5504">
        <v>0.99999999330756595</v>
      </c>
    </row>
    <row r="5505" spans="1:40" x14ac:dyDescent="0.25">
      <c r="A5505" t="str">
        <f>"20190303154628635"</f>
        <v>20190303154628635</v>
      </c>
      <c r="B5505" t="str">
        <f>"1551599188627008"</f>
        <v>1551599188627008</v>
      </c>
      <c r="C5505" t="s">
        <v>40</v>
      </c>
      <c r="D5505">
        <v>5.5924800000000001</v>
      </c>
      <c r="E5505">
        <v>0.54483159999999997</v>
      </c>
      <c r="F5505" t="s">
        <v>41</v>
      </c>
      <c r="G5505">
        <v>-348.08800000000002</v>
      </c>
      <c r="H5505" s="1">
        <v>-1.5705320000000001E-6</v>
      </c>
      <c r="I5505">
        <v>16.106739999999999</v>
      </c>
      <c r="J5505">
        <v>-366.6789</v>
      </c>
      <c r="K5505">
        <v>1.12094</v>
      </c>
      <c r="L5505">
        <v>17.8569</v>
      </c>
      <c r="M5505">
        <v>0.99986960000000003</v>
      </c>
      <c r="N5505">
        <v>-1.310483E-2</v>
      </c>
      <c r="O5505">
        <v>9.4426670000000001E-3</v>
      </c>
      <c r="P5505">
        <v>0.99565119999999896</v>
      </c>
      <c r="Q5505">
        <v>-9.1892070000000006E-2</v>
      </c>
      <c r="R5505">
        <v>1.531221E-2</v>
      </c>
      <c r="S5505">
        <v>3.0011290000000002</v>
      </c>
      <c r="T5505">
        <v>-0.17879400000000001</v>
      </c>
      <c r="U5505">
        <v>-0.27880860000000002</v>
      </c>
      <c r="V5505">
        <v>-5.9117579999999996E-3</v>
      </c>
      <c r="W5505">
        <v>-7.883482E-2</v>
      </c>
      <c r="X5505">
        <v>0.99687020000000004</v>
      </c>
      <c r="Y5505">
        <v>0.10167329999999999</v>
      </c>
      <c r="Z5505">
        <v>-4.125353E-3</v>
      </c>
      <c r="AA5505">
        <v>0.99480930000000001</v>
      </c>
      <c r="AB5505">
        <v>23</v>
      </c>
      <c r="AC5505">
        <v>18.590899999999898</v>
      </c>
      <c r="AD5505">
        <v>-1.1209415705320001</v>
      </c>
      <c r="AE5505">
        <v>-1.7501599999999999</v>
      </c>
      <c r="AF5505">
        <v>1.9187304203472999</v>
      </c>
      <c r="AG5505">
        <v>-1.1209415705320001</v>
      </c>
      <c r="AH5505">
        <v>18.506852655105298</v>
      </c>
      <c r="AI5505">
        <v>93.447678781863502</v>
      </c>
      <c r="AJ5505">
        <v>84.080906933563199</v>
      </c>
      <c r="AK5505">
        <v>18.639786254898201</v>
      </c>
      <c r="AL5505">
        <v>94.521594136640303</v>
      </c>
      <c r="AM5505">
        <v>90.339778250189696</v>
      </c>
      <c r="AN5505">
        <v>1.0000000366875601</v>
      </c>
    </row>
    <row r="5506" spans="1:40" x14ac:dyDescent="0.25">
      <c r="A5506" t="str">
        <f>"20190303154628658"</f>
        <v>20190303154628658</v>
      </c>
      <c r="B5506" t="str">
        <f>"1551599188646528"</f>
        <v>1551599188646528</v>
      </c>
      <c r="C5506" t="s">
        <v>40</v>
      </c>
      <c r="D5506">
        <v>5.5903130000000001</v>
      </c>
      <c r="E5506">
        <v>0.5471686</v>
      </c>
      <c r="F5506" t="s">
        <v>41</v>
      </c>
      <c r="G5506">
        <v>-347.78680000000003</v>
      </c>
      <c r="H5506" s="1">
        <v>-1.7293380000000001E-6</v>
      </c>
      <c r="I5506">
        <v>15.895</v>
      </c>
      <c r="J5506">
        <v>-366.45510000000002</v>
      </c>
      <c r="K5506">
        <v>1.1209499999999999</v>
      </c>
      <c r="L5506">
        <v>17.858979999999999</v>
      </c>
      <c r="M5506">
        <v>0.9998686</v>
      </c>
      <c r="N5506">
        <v>-1.318595E-2</v>
      </c>
      <c r="O5506">
        <v>9.4426660000000006E-3</v>
      </c>
      <c r="P5506">
        <v>0.9956855</v>
      </c>
      <c r="Q5506">
        <v>-9.17404E-2</v>
      </c>
      <c r="R5506">
        <v>1.394014E-2</v>
      </c>
      <c r="S5506">
        <v>3.001404</v>
      </c>
      <c r="T5506">
        <v>-0.1780854</v>
      </c>
      <c r="U5506">
        <v>-0.31167600000000001</v>
      </c>
      <c r="V5506">
        <v>-4.5399910000000002E-3</v>
      </c>
      <c r="W5506">
        <v>-7.8602050000000007E-2</v>
      </c>
      <c r="X5506">
        <v>0.99689570000000005</v>
      </c>
      <c r="Y5506">
        <v>0.11242679999999999</v>
      </c>
      <c r="Z5506">
        <v>-4.5018250000000001E-3</v>
      </c>
      <c r="AA5506">
        <v>0.99364980000000003</v>
      </c>
      <c r="AB5506">
        <v>23</v>
      </c>
      <c r="AC5506">
        <v>18.668299999999899</v>
      </c>
      <c r="AD5506">
        <v>-1.12095172933799</v>
      </c>
      <c r="AE5506">
        <v>-1.9639799999999901</v>
      </c>
      <c r="AF5506">
        <v>2.1325814197359398</v>
      </c>
      <c r="AG5506">
        <v>-1.12095172933799</v>
      </c>
      <c r="AH5506">
        <v>18.582654603080101</v>
      </c>
      <c r="AI5506">
        <v>93.429584027631094</v>
      </c>
      <c r="AJ5506">
        <v>83.453265985615104</v>
      </c>
      <c r="AK5506">
        <v>18.738182633027201</v>
      </c>
      <c r="AL5506">
        <v>94.508216207117599</v>
      </c>
      <c r="AM5506">
        <v>90.260930531679506</v>
      </c>
      <c r="AN5506">
        <v>0.99999996523048496</v>
      </c>
    </row>
    <row r="5507" spans="1:40" x14ac:dyDescent="0.25">
      <c r="A5507" t="str">
        <f>"20190303154628680"</f>
        <v>20190303154628680</v>
      </c>
      <c r="B5507" t="str">
        <f>"1551599188676784"</f>
        <v>1551599188676784</v>
      </c>
      <c r="C5507" t="s">
        <v>40</v>
      </c>
      <c r="D5507">
        <v>5.615189</v>
      </c>
      <c r="E5507">
        <v>0.54953850000000004</v>
      </c>
      <c r="F5507" t="s">
        <v>41</v>
      </c>
      <c r="G5507">
        <v>-347.05939999999998</v>
      </c>
      <c r="H5507" s="1">
        <v>-2.0292180000000001E-6</v>
      </c>
      <c r="I5507">
        <v>15.698270000000001</v>
      </c>
      <c r="J5507">
        <v>-366.2192</v>
      </c>
      <c r="K5507">
        <v>1.120954</v>
      </c>
      <c r="L5507">
        <v>17.86121</v>
      </c>
      <c r="M5507">
        <v>0.99986759999999997</v>
      </c>
      <c r="N5507">
        <v>-1.32599E-2</v>
      </c>
      <c r="O5507">
        <v>9.4428270000000009E-3</v>
      </c>
      <c r="P5507">
        <v>0.99570789999999998</v>
      </c>
      <c r="Q5507">
        <v>-9.1618249999999998E-2</v>
      </c>
      <c r="R5507">
        <v>1.310272E-2</v>
      </c>
      <c r="S5507">
        <v>3.001709</v>
      </c>
      <c r="T5507">
        <v>-0.1734802</v>
      </c>
      <c r="U5507">
        <v>-0.33438109999999999</v>
      </c>
      <c r="V5507">
        <v>-3.7019930000000002E-3</v>
      </c>
      <c r="W5507">
        <v>-7.8405989999999995E-2</v>
      </c>
      <c r="X5507">
        <v>0.99691459999999998</v>
      </c>
      <c r="Y5507">
        <v>0.1198401</v>
      </c>
      <c r="Z5507">
        <v>-4.6662379999999996E-3</v>
      </c>
      <c r="AA5507">
        <v>0.99278219999999995</v>
      </c>
      <c r="AB5507">
        <v>23</v>
      </c>
      <c r="AC5507">
        <v>19.159800000000001</v>
      </c>
      <c r="AD5507">
        <v>-1.1209560292180001</v>
      </c>
      <c r="AE5507">
        <v>-2.1629399999999901</v>
      </c>
      <c r="AF5507">
        <v>2.3358872011053902</v>
      </c>
      <c r="AG5507">
        <v>-1.1209560292180001</v>
      </c>
      <c r="AH5507">
        <v>19.074052405645901</v>
      </c>
      <c r="AI5507">
        <v>93.338442422408704</v>
      </c>
      <c r="AJ5507">
        <v>83.018087459083802</v>
      </c>
      <c r="AK5507">
        <v>19.249217818110299</v>
      </c>
      <c r="AL5507">
        <v>94.496948035467199</v>
      </c>
      <c r="AM5507">
        <v>90.212764061959504</v>
      </c>
      <c r="AN5507">
        <v>0.999999961856605</v>
      </c>
    </row>
    <row r="5508" spans="1:40" x14ac:dyDescent="0.25">
      <c r="A5508" t="str">
        <f>"20190303154628702"</f>
        <v>20190303154628702</v>
      </c>
      <c r="B5508" t="str">
        <f>"1551599188697280"</f>
        <v>1551599188697280</v>
      </c>
      <c r="C5508" t="s">
        <v>40</v>
      </c>
      <c r="D5508">
        <v>5.5635750000000002</v>
      </c>
      <c r="E5508">
        <v>0.55047650000000004</v>
      </c>
      <c r="F5508" t="s">
        <v>41</v>
      </c>
      <c r="G5508">
        <v>-346.60149999999999</v>
      </c>
      <c r="H5508" s="1">
        <v>-2.2282160000000001E-6</v>
      </c>
      <c r="I5508">
        <v>15.536029999999901</v>
      </c>
      <c r="J5508">
        <v>-365.99889999999999</v>
      </c>
      <c r="K5508">
        <v>1.1209629999999999</v>
      </c>
      <c r="L5508">
        <v>17.863309999999998</v>
      </c>
      <c r="M5508">
        <v>0.99986679999999994</v>
      </c>
      <c r="N5508">
        <v>-1.3319579999999999E-2</v>
      </c>
      <c r="O5508">
        <v>9.4432619999999991E-3</v>
      </c>
      <c r="P5508">
        <v>0.99577910000000003</v>
      </c>
      <c r="Q5508">
        <v>-9.0940069999999998E-2</v>
      </c>
      <c r="R5508">
        <v>1.2423500000000001E-2</v>
      </c>
      <c r="S5508">
        <v>3.0018009999999999</v>
      </c>
      <c r="T5508">
        <v>-0.17152310000000001</v>
      </c>
      <c r="U5508">
        <v>-0.35577389999999998</v>
      </c>
      <c r="V5508">
        <v>-3.021443E-3</v>
      </c>
      <c r="W5508">
        <v>-7.7667559999999997E-2</v>
      </c>
      <c r="X5508">
        <v>0.99697469999999999</v>
      </c>
      <c r="Y5508">
        <v>0.12680849999999999</v>
      </c>
      <c r="Z5508">
        <v>-4.8678039999999999E-3</v>
      </c>
      <c r="AA5508">
        <v>0.99191530000000006</v>
      </c>
      <c r="AB5508">
        <v>23</v>
      </c>
      <c r="AC5508">
        <v>19.397400000000001</v>
      </c>
      <c r="AD5508">
        <v>-1.1209652282160001</v>
      </c>
      <c r="AE5508">
        <v>-2.32728</v>
      </c>
      <c r="AF5508">
        <v>2.5021295879365599</v>
      </c>
      <c r="AG5508">
        <v>-1.1209652282160001</v>
      </c>
      <c r="AH5508">
        <v>19.310979696175799</v>
      </c>
      <c r="AI5508">
        <v>93.294701747252105</v>
      </c>
      <c r="AJ5508">
        <v>82.6172995799879</v>
      </c>
      <c r="AK5508">
        <v>19.5046443788091</v>
      </c>
      <c r="AL5508">
        <v>94.454509676636107</v>
      </c>
      <c r="AM5508">
        <v>90.173640717203398</v>
      </c>
      <c r="AN5508">
        <v>0.99999996571712202</v>
      </c>
    </row>
    <row r="5509" spans="1:40" x14ac:dyDescent="0.25">
      <c r="A5509" t="str">
        <f>"20190303154628724"</f>
        <v>20190303154628724</v>
      </c>
      <c r="B5509" t="str">
        <f>"1551599188716800"</f>
        <v>1551599188716800</v>
      </c>
      <c r="C5509" t="s">
        <v>40</v>
      </c>
      <c r="D5509">
        <v>5.5634699999999997</v>
      </c>
      <c r="E5509">
        <v>0.55124830000000002</v>
      </c>
      <c r="F5509" t="s">
        <v>41</v>
      </c>
      <c r="G5509">
        <v>-345.9751</v>
      </c>
      <c r="H5509" s="1">
        <v>-2.470559E-6</v>
      </c>
      <c r="I5509">
        <v>15.426379999999901</v>
      </c>
      <c r="J5509">
        <v>-365.76479999999998</v>
      </c>
      <c r="K5509">
        <v>1.12097</v>
      </c>
      <c r="L5509">
        <v>17.865539999999999</v>
      </c>
      <c r="M5509">
        <v>0.99986589999999997</v>
      </c>
      <c r="N5509">
        <v>-1.337348E-2</v>
      </c>
      <c r="O5509">
        <v>9.4435530000000004E-3</v>
      </c>
      <c r="P5509">
        <v>0.99577689999999996</v>
      </c>
      <c r="Q5509">
        <v>-9.1085760000000002E-2</v>
      </c>
      <c r="R5509">
        <v>1.1476439999999999E-2</v>
      </c>
      <c r="S5509">
        <v>3.0019230000000001</v>
      </c>
      <c r="T5509">
        <v>-0.1680526</v>
      </c>
      <c r="U5509">
        <v>-0.36532589999999998</v>
      </c>
      <c r="V5509">
        <v>-2.0744399999999999E-3</v>
      </c>
      <c r="W5509">
        <v>-7.7759679999999998E-2</v>
      </c>
      <c r="X5509">
        <v>0.99697000000000002</v>
      </c>
      <c r="Y5509">
        <v>0.12991839999999999</v>
      </c>
      <c r="Z5509">
        <v>-4.893789E-3</v>
      </c>
      <c r="AA5509">
        <v>0.99151259999999997</v>
      </c>
      <c r="AB5509">
        <v>23</v>
      </c>
      <c r="AC5509">
        <v>19.7896999999999</v>
      </c>
      <c r="AD5509">
        <v>-1.1209724705589901</v>
      </c>
      <c r="AE5509">
        <v>-2.4391600000000002</v>
      </c>
      <c r="AF5509">
        <v>2.6176797014436901</v>
      </c>
      <c r="AG5509">
        <v>-1.1209724705589901</v>
      </c>
      <c r="AH5509">
        <v>19.70350695874</v>
      </c>
      <c r="AI5509">
        <v>93.227862437335205</v>
      </c>
      <c r="AJ5509">
        <v>82.432370993398706</v>
      </c>
      <c r="AK5509">
        <v>19.908214705799601</v>
      </c>
      <c r="AL5509">
        <v>94.459803505373301</v>
      </c>
      <c r="AM5509">
        <v>90.119217715000104</v>
      </c>
      <c r="AN5509">
        <v>1.0000000260174999</v>
      </c>
    </row>
    <row r="5510" spans="1:40" x14ac:dyDescent="0.25">
      <c r="A5510" t="str">
        <f>"20190303154628746"</f>
        <v>20190303154628746</v>
      </c>
      <c r="B5510" t="str">
        <f>"1551599188737295"</f>
        <v>1551599188737295</v>
      </c>
      <c r="C5510" t="s">
        <v>40</v>
      </c>
      <c r="D5510">
        <v>5.5655330000000003</v>
      </c>
      <c r="E5510">
        <v>0.55188230000000005</v>
      </c>
      <c r="F5510" t="s">
        <v>41</v>
      </c>
      <c r="G5510">
        <v>-345.7996</v>
      </c>
      <c r="H5510" s="1">
        <v>-2.5437919999999999E-6</v>
      </c>
      <c r="I5510">
        <v>15.375640000000001</v>
      </c>
      <c r="J5510">
        <v>-365.53829999999999</v>
      </c>
      <c r="K5510">
        <v>1.120973</v>
      </c>
      <c r="L5510">
        <v>17.86768</v>
      </c>
      <c r="M5510">
        <v>0.99986540000000002</v>
      </c>
      <c r="N5510">
        <v>-1.341826E-2</v>
      </c>
      <c r="O5510">
        <v>9.4439050000000007E-3</v>
      </c>
      <c r="P5510">
        <v>0.99580539999999995</v>
      </c>
      <c r="Q5510">
        <v>-9.0762510000000005E-2</v>
      </c>
      <c r="R5510">
        <v>1.156887E-2</v>
      </c>
      <c r="S5510">
        <v>3.0016479999999999</v>
      </c>
      <c r="T5510">
        <v>-0.16853109999999999</v>
      </c>
      <c r="U5510">
        <v>-0.37432860000000001</v>
      </c>
      <c r="V5510">
        <v>-2.1662539999999998E-3</v>
      </c>
      <c r="W5510">
        <v>-7.7391390000000004E-2</v>
      </c>
      <c r="X5510">
        <v>0.99699839999999995</v>
      </c>
      <c r="Y5510">
        <v>0.13285130000000001</v>
      </c>
      <c r="Z5510">
        <v>-5.0096300000000002E-3</v>
      </c>
      <c r="AA5510">
        <v>0.99112330000000004</v>
      </c>
      <c r="AB5510">
        <v>23</v>
      </c>
      <c r="AC5510">
        <v>19.738699999999898</v>
      </c>
      <c r="AD5510">
        <v>-1.1209755437919999</v>
      </c>
      <c r="AE5510">
        <v>-2.4920399999999998</v>
      </c>
      <c r="AF5510">
        <v>2.6698802648878099</v>
      </c>
      <c r="AG5510">
        <v>-1.1209755437919999</v>
      </c>
      <c r="AH5510">
        <v>19.651896220412599</v>
      </c>
      <c r="AI5510">
        <v>93.235049904692204</v>
      </c>
      <c r="AJ5510">
        <v>82.263240788322506</v>
      </c>
      <c r="AK5510">
        <v>19.8640849740551</v>
      </c>
      <c r="AL5510">
        <v>94.438638533705998</v>
      </c>
      <c r="AM5510">
        <v>90.124490687484197</v>
      </c>
      <c r="AN5510">
        <v>0.99999996475254105</v>
      </c>
    </row>
    <row r="5511" spans="1:40" x14ac:dyDescent="0.25">
      <c r="A5511" t="str">
        <f>"20190303154628768"</f>
        <v>20190303154628768</v>
      </c>
      <c r="B5511" t="str">
        <f>"1551599188756815"</f>
        <v>1551599188756815</v>
      </c>
      <c r="C5511" t="s">
        <v>40</v>
      </c>
      <c r="D5511">
        <v>5.5368230000000001</v>
      </c>
      <c r="E5511">
        <v>0.55237819999999904</v>
      </c>
      <c r="F5511" t="s">
        <v>41</v>
      </c>
      <c r="G5511">
        <v>-345.33870000000002</v>
      </c>
      <c r="H5511" s="1">
        <v>-2.7445659999999999E-6</v>
      </c>
      <c r="I5511">
        <v>15.3171</v>
      </c>
      <c r="J5511">
        <v>-365.31529999999998</v>
      </c>
      <c r="K5511">
        <v>1.1209819999999999</v>
      </c>
      <c r="L5511">
        <v>17.869779999999999</v>
      </c>
      <c r="M5511">
        <v>0.99986489999999995</v>
      </c>
      <c r="N5511">
        <v>-1.3456330000000001E-2</v>
      </c>
      <c r="O5511">
        <v>9.4436450000000005E-3</v>
      </c>
      <c r="P5511">
        <v>0.99577850000000001</v>
      </c>
      <c r="Q5511">
        <v>-9.1078500000000007E-2</v>
      </c>
      <c r="R5511">
        <v>1.139478E-2</v>
      </c>
      <c r="S5511">
        <v>3.001862</v>
      </c>
      <c r="T5511">
        <v>-0.1665884</v>
      </c>
      <c r="U5511">
        <v>-0.37902829999999998</v>
      </c>
      <c r="V5511">
        <v>-1.9922120000000001E-3</v>
      </c>
      <c r="W5511">
        <v>-7.7669820000000001E-2</v>
      </c>
      <c r="X5511">
        <v>0.99697720000000001</v>
      </c>
      <c r="Y5511">
        <v>0.13437249999999901</v>
      </c>
      <c r="Z5511">
        <v>-5.014676E-3</v>
      </c>
      <c r="AA5511">
        <v>0.99091819999999997</v>
      </c>
      <c r="AB5511">
        <v>23</v>
      </c>
      <c r="AC5511">
        <v>19.976599999999902</v>
      </c>
      <c r="AD5511">
        <v>-1.1209847445659999</v>
      </c>
      <c r="AE5511">
        <v>-2.5526799999999898</v>
      </c>
      <c r="AF5511">
        <v>2.7327682345423798</v>
      </c>
      <c r="AG5511">
        <v>-1.1209847445659999</v>
      </c>
      <c r="AH5511">
        <v>19.8899753357516</v>
      </c>
      <c r="AI5511">
        <v>93.195777052703406</v>
      </c>
      <c r="AJ5511">
        <v>82.176870201646395</v>
      </c>
      <c r="AK5511">
        <v>20.108101548333199</v>
      </c>
      <c r="AL5511">
        <v>94.454639165238703</v>
      </c>
      <c r="AM5511">
        <v>90.114491271784104</v>
      </c>
      <c r="AN5511">
        <v>1.00000005358366</v>
      </c>
    </row>
    <row r="5512" spans="1:40" x14ac:dyDescent="0.25">
      <c r="A5512" t="str">
        <f>"20190303154628792"</f>
        <v>20190303154628792</v>
      </c>
      <c r="B5512" t="str">
        <f>"1551599188787072"</f>
        <v>1551599188787072</v>
      </c>
      <c r="C5512" t="s">
        <v>40</v>
      </c>
      <c r="D5512">
        <v>5.5203980000000001</v>
      </c>
      <c r="E5512">
        <v>0.55293510000000001</v>
      </c>
      <c r="F5512" t="s">
        <v>41</v>
      </c>
      <c r="G5512">
        <v>-345.0401</v>
      </c>
      <c r="H5512" s="1">
        <v>-2.8793079999999999E-6</v>
      </c>
      <c r="I5512">
        <v>15.279809999999999</v>
      </c>
      <c r="J5512">
        <v>-365.05829999999997</v>
      </c>
      <c r="K5512">
        <v>1.1209789999999999</v>
      </c>
      <c r="L5512">
        <v>17.87219</v>
      </c>
      <c r="M5512">
        <v>0.99986450000000004</v>
      </c>
      <c r="N5512">
        <v>-1.3493689999999999E-2</v>
      </c>
      <c r="O5512">
        <v>9.4379830000000005E-3</v>
      </c>
      <c r="P5512">
        <v>0.99584079999999997</v>
      </c>
      <c r="Q5512">
        <v>-9.0422680000000005E-2</v>
      </c>
      <c r="R5512">
        <v>1.119465E-2</v>
      </c>
      <c r="S5512">
        <v>3.0019230000000001</v>
      </c>
      <c r="T5512">
        <v>-0.16597100000000001</v>
      </c>
      <c r="U5512">
        <v>-0.3834534</v>
      </c>
      <c r="V5512">
        <v>-1.798348E-3</v>
      </c>
      <c r="W5512">
        <v>-7.6975959999999996E-2</v>
      </c>
      <c r="X5512">
        <v>0.99703129999999995</v>
      </c>
      <c r="Y5512">
        <v>0.135800799999999</v>
      </c>
      <c r="Z5512">
        <v>-5.0495440000000004E-3</v>
      </c>
      <c r="AA5512">
        <v>0.99072329999999997</v>
      </c>
      <c r="AB5512">
        <v>23</v>
      </c>
      <c r="AC5512">
        <v>20.018199999999901</v>
      </c>
      <c r="AD5512">
        <v>-1.120981879308</v>
      </c>
      <c r="AE5512">
        <v>-2.5923799999999901</v>
      </c>
      <c r="AF5512">
        <v>2.7726620522422398</v>
      </c>
      <c r="AG5512">
        <v>-1.120981879308</v>
      </c>
      <c r="AH5512">
        <v>19.931369456344701</v>
      </c>
      <c r="AI5512">
        <v>93.188404657910596</v>
      </c>
      <c r="AJ5512">
        <v>82.080382616962595</v>
      </c>
      <c r="AK5512">
        <v>20.154496858889601</v>
      </c>
      <c r="AL5512">
        <v>94.414764893716693</v>
      </c>
      <c r="AM5512">
        <v>90.103344437388202</v>
      </c>
      <c r="AN5512">
        <v>0.99999997282657005</v>
      </c>
    </row>
    <row r="5513" spans="1:40" x14ac:dyDescent="0.25">
      <c r="A5513" t="str">
        <f>"20190303154628815"</f>
        <v>20190303154628815</v>
      </c>
      <c r="B5513" t="str">
        <f>"1551599188807567"</f>
        <v>1551599188807567</v>
      </c>
      <c r="C5513" t="s">
        <v>40</v>
      </c>
      <c r="D5513">
        <v>5.5037310000000002</v>
      </c>
      <c r="E5513">
        <v>0.55333209999999999</v>
      </c>
      <c r="F5513" t="s">
        <v>41</v>
      </c>
      <c r="G5513">
        <v>-344.33120000000002</v>
      </c>
      <c r="H5513" s="1">
        <v>-3.1994479999999999E-6</v>
      </c>
      <c r="I5513">
        <v>15.18951</v>
      </c>
      <c r="J5513">
        <v>-364.83640000000003</v>
      </c>
      <c r="K5513">
        <v>1.1209709999999999</v>
      </c>
      <c r="L5513">
        <v>17.874300000000002</v>
      </c>
      <c r="M5513">
        <v>0.99986430000000004</v>
      </c>
      <c r="N5513">
        <v>-1.3521119999999999E-2</v>
      </c>
      <c r="O5513">
        <v>9.4170339999999995E-3</v>
      </c>
      <c r="P5513">
        <v>0.99594579999999999</v>
      </c>
      <c r="Q5513">
        <v>-8.9229260000000005E-2</v>
      </c>
      <c r="R5513">
        <v>1.1417190000000001E-2</v>
      </c>
      <c r="S5513">
        <v>3.0021360000000001</v>
      </c>
      <c r="T5513">
        <v>-0.16236410000000001</v>
      </c>
      <c r="U5513">
        <v>-0.3885498</v>
      </c>
      <c r="V5513">
        <v>-2.0419549999999998E-3</v>
      </c>
      <c r="W5513">
        <v>-7.5753819999999999E-2</v>
      </c>
      <c r="X5513">
        <v>0.99712440000000002</v>
      </c>
      <c r="Y5513">
        <v>0.1374329</v>
      </c>
      <c r="Z5513">
        <v>-5.012313E-3</v>
      </c>
      <c r="AA5513">
        <v>0.9904984</v>
      </c>
      <c r="AB5513">
        <v>23</v>
      </c>
      <c r="AC5513">
        <v>20.505199999999999</v>
      </c>
      <c r="AD5513">
        <v>-1.120974199448</v>
      </c>
      <c r="AE5513">
        <v>-2.68479</v>
      </c>
      <c r="AF5513">
        <v>2.8693560020097801</v>
      </c>
      <c r="AG5513">
        <v>-1.120974199448</v>
      </c>
      <c r="AH5513">
        <v>20.419010437434501</v>
      </c>
      <c r="AI5513">
        <v>93.111788359698494</v>
      </c>
      <c r="AJ5513">
        <v>82.000959692216</v>
      </c>
      <c r="AK5513">
        <v>20.650079279900101</v>
      </c>
      <c r="AL5513">
        <v>94.344536494807301</v>
      </c>
      <c r="AM5513">
        <v>90.117332641653903</v>
      </c>
      <c r="AN5513">
        <v>0.99999993995008496</v>
      </c>
    </row>
    <row r="5514" spans="1:40" x14ac:dyDescent="0.25">
      <c r="A5514" t="str">
        <f>"20190303154628836"</f>
        <v>20190303154628836</v>
      </c>
      <c r="B5514" t="str">
        <f>"1551599188827087"</f>
        <v>1551599188827087</v>
      </c>
      <c r="C5514" t="s">
        <v>40</v>
      </c>
      <c r="D5514">
        <v>5.4827209999999997</v>
      </c>
      <c r="E5514">
        <v>0.55368209999999995</v>
      </c>
      <c r="F5514" t="s">
        <v>41</v>
      </c>
      <c r="G5514">
        <v>-343.42910000000001</v>
      </c>
      <c r="H5514" s="1">
        <v>-3.6045599999999999E-6</v>
      </c>
      <c r="I5514">
        <v>15.08731</v>
      </c>
      <c r="J5514">
        <v>-364.62360000000001</v>
      </c>
      <c r="K5514">
        <v>1.1209559999999901</v>
      </c>
      <c r="L5514">
        <v>17.876279999999898</v>
      </c>
      <c r="M5514">
        <v>0.99986439999999999</v>
      </c>
      <c r="N5514">
        <v>-1.354375E-2</v>
      </c>
      <c r="O5514">
        <v>9.3713029999999992E-3</v>
      </c>
      <c r="P5514">
        <v>0.99590460000000003</v>
      </c>
      <c r="Q5514">
        <v>-8.9670899999999998E-2</v>
      </c>
      <c r="R5514">
        <v>1.1548650000000001E-2</v>
      </c>
      <c r="S5514">
        <v>3.0026549999999999</v>
      </c>
      <c r="T5514">
        <v>-0.1572316</v>
      </c>
      <c r="U5514">
        <v>-0.39089970000000002</v>
      </c>
      <c r="V5514">
        <v>-2.2225610000000001E-3</v>
      </c>
      <c r="W5514">
        <v>-7.6173290000000005E-2</v>
      </c>
      <c r="X5514">
        <v>0.99709210000000004</v>
      </c>
      <c r="Y5514">
        <v>0.1381414</v>
      </c>
      <c r="Z5514">
        <v>-4.901529E-3</v>
      </c>
      <c r="AA5514">
        <v>0.99040039999999996</v>
      </c>
      <c r="AB5514">
        <v>23</v>
      </c>
      <c r="AC5514">
        <v>21.194500000000001</v>
      </c>
      <c r="AD5514">
        <v>-1.1209596045600001</v>
      </c>
      <c r="AE5514">
        <v>-2.7889699999999902</v>
      </c>
      <c r="AF5514">
        <v>2.9792937803219002</v>
      </c>
      <c r="AG5514">
        <v>-1.1209596045600001</v>
      </c>
      <c r="AH5514">
        <v>21.109386987107101</v>
      </c>
      <c r="AI5514">
        <v>93.009915398318697</v>
      </c>
      <c r="AJ5514">
        <v>81.966564544175597</v>
      </c>
      <c r="AK5514">
        <v>21.348043489649498</v>
      </c>
      <c r="AL5514">
        <v>94.368639813939794</v>
      </c>
      <c r="AM5514">
        <v>90.127714535200397</v>
      </c>
      <c r="AN5514">
        <v>0.999999982884616</v>
      </c>
    </row>
    <row r="5515" spans="1:40" x14ac:dyDescent="0.25">
      <c r="A5515" t="str">
        <f>"20190303154628858"</f>
        <v>20190303154628858</v>
      </c>
      <c r="B5515" t="str">
        <f>"1551599188846607"</f>
        <v>1551599188846607</v>
      </c>
      <c r="C5515" t="s">
        <v>40</v>
      </c>
      <c r="D5515">
        <v>5.468769</v>
      </c>
      <c r="E5515">
        <v>0.55402180000000001</v>
      </c>
      <c r="F5515" t="s">
        <v>41</v>
      </c>
      <c r="G5515">
        <v>-343.18869999999998</v>
      </c>
      <c r="H5515" s="1">
        <v>-3.710851E-6</v>
      </c>
      <c r="I5515">
        <v>15.06962</v>
      </c>
      <c r="J5515">
        <v>-364.3931</v>
      </c>
      <c r="K5515">
        <v>1.120941</v>
      </c>
      <c r="L5515">
        <v>17.878360000000001</v>
      </c>
      <c r="M5515">
        <v>0.99986509999999995</v>
      </c>
      <c r="N5515">
        <v>-1.35648E-2</v>
      </c>
      <c r="O5515">
        <v>9.2815720000000001E-3</v>
      </c>
      <c r="P5515">
        <v>0.99586710000000001</v>
      </c>
      <c r="Q5515">
        <v>-9.0083750000000004E-2</v>
      </c>
      <c r="R5515">
        <v>1.1568810000000001E-2</v>
      </c>
      <c r="S5515">
        <v>3.0027159999999999</v>
      </c>
      <c r="T5515">
        <v>-0.15702940000000001</v>
      </c>
      <c r="U5515">
        <v>-0.39315800000000001</v>
      </c>
      <c r="V5515">
        <v>-2.3380250000000001E-3</v>
      </c>
      <c r="W5515">
        <v>-7.6565460000000002E-2</v>
      </c>
      <c r="X5515">
        <v>0.9970618</v>
      </c>
      <c r="Y5515">
        <v>0.13878180000000001</v>
      </c>
      <c r="Z5515">
        <v>-4.9148839999999996E-3</v>
      </c>
      <c r="AA5515">
        <v>0.99031080000000005</v>
      </c>
      <c r="AB5515">
        <v>23</v>
      </c>
      <c r="AC5515">
        <v>21.2044</v>
      </c>
      <c r="AD5515">
        <v>-1.120944710851</v>
      </c>
      <c r="AE5515">
        <v>-2.8087399999999998</v>
      </c>
      <c r="AF5515">
        <v>2.9972157021232699</v>
      </c>
      <c r="AG5515">
        <v>-1.120944710851</v>
      </c>
      <c r="AH5515">
        <v>21.119412363431699</v>
      </c>
      <c r="AI5515">
        <v>93.008123683200694</v>
      </c>
      <c r="AJ5515">
        <v>81.922661407238195</v>
      </c>
      <c r="AK5515">
        <v>21.3604634216234</v>
      </c>
      <c r="AL5515">
        <v>94.391175305905705</v>
      </c>
      <c r="AM5515">
        <v>90.134353476752196</v>
      </c>
      <c r="AN5515">
        <v>0.99999998452257599</v>
      </c>
    </row>
    <row r="5516" spans="1:40" x14ac:dyDescent="0.25">
      <c r="A5516" t="str">
        <f>"20190303154628881"</f>
        <v>20190303154628881</v>
      </c>
      <c r="B5516" t="str">
        <f>"1551599188876864"</f>
        <v>1551599188876864</v>
      </c>
      <c r="C5516" t="s">
        <v>40</v>
      </c>
      <c r="D5516">
        <v>5.2490439999999996</v>
      </c>
      <c r="E5516">
        <v>0.55455929999999998</v>
      </c>
      <c r="F5516" t="s">
        <v>41</v>
      </c>
      <c r="G5516">
        <v>-343.04059999999998</v>
      </c>
      <c r="H5516" s="1">
        <v>-3.7754709999999999E-6</v>
      </c>
      <c r="I5516">
        <v>15.063510000000001</v>
      </c>
      <c r="J5516">
        <v>-364.15820000000002</v>
      </c>
      <c r="K5516">
        <v>1.120906</v>
      </c>
      <c r="L5516">
        <v>17.880400000000002</v>
      </c>
      <c r="M5516">
        <v>0.99986609999999998</v>
      </c>
      <c r="N5516">
        <v>-1.3583019999999999E-2</v>
      </c>
      <c r="O5516">
        <v>9.135654E-3</v>
      </c>
      <c r="P5516">
        <v>0.99583049999999995</v>
      </c>
      <c r="Q5516">
        <v>-9.0531979999999998E-2</v>
      </c>
      <c r="R5516">
        <v>1.1220229999999999E-2</v>
      </c>
      <c r="S5516">
        <v>3.0028380000000001</v>
      </c>
      <c r="T5516">
        <v>-0.1576399</v>
      </c>
      <c r="U5516">
        <v>-0.39584350000000001</v>
      </c>
      <c r="V5516">
        <v>-2.1420739999999999E-3</v>
      </c>
      <c r="W5516">
        <v>-7.6995839999999996E-2</v>
      </c>
      <c r="X5516">
        <v>0.9970291</v>
      </c>
      <c r="Y5516">
        <v>0.13949990000000001</v>
      </c>
      <c r="Z5516">
        <v>-4.9495499999999996E-3</v>
      </c>
      <c r="AA5516">
        <v>0.99020969999999997</v>
      </c>
      <c r="AB5516">
        <v>23</v>
      </c>
      <c r="AC5516">
        <v>21.117599999999999</v>
      </c>
      <c r="AD5516">
        <v>-1.120909775471</v>
      </c>
      <c r="AE5516">
        <v>-2.8168899999999999</v>
      </c>
      <c r="AF5516">
        <v>3.0014048980878201</v>
      </c>
      <c r="AG5516">
        <v>-1.120909775471</v>
      </c>
      <c r="AH5516">
        <v>21.032759827202199</v>
      </c>
      <c r="AI5516">
        <v>93.020070330551903</v>
      </c>
      <c r="AJ5516">
        <v>81.878641108407905</v>
      </c>
      <c r="AK5516">
        <v>21.275381454530599</v>
      </c>
      <c r="AL5516">
        <v>94.4159072614259</v>
      </c>
      <c r="AM5516">
        <v>90.123097320597097</v>
      </c>
      <c r="AN5516">
        <v>0.99999998705256798</v>
      </c>
    </row>
    <row r="5517" spans="1:40" x14ac:dyDescent="0.25">
      <c r="A5517" t="str">
        <f>"20190303154628904"</f>
        <v>20190303154628904</v>
      </c>
      <c r="B5517" t="str">
        <f>"1551599188897360"</f>
        <v>1551599188897360</v>
      </c>
      <c r="C5517" t="s">
        <v>40</v>
      </c>
      <c r="D5517">
        <v>5.4635210000000001</v>
      </c>
      <c r="E5517">
        <v>0.55484029999999995</v>
      </c>
      <c r="F5517" t="s">
        <v>41</v>
      </c>
      <c r="G5517">
        <v>-341.66239999999999</v>
      </c>
      <c r="H5517" s="1">
        <v>-4.3998260000000001E-6</v>
      </c>
      <c r="I5517">
        <v>14.876620000000001</v>
      </c>
      <c r="J5517">
        <v>-363.93049999999999</v>
      </c>
      <c r="K5517">
        <v>1.1208689999999999</v>
      </c>
      <c r="L5517">
        <v>17.882259999999999</v>
      </c>
      <c r="M5517">
        <v>0.99986770000000003</v>
      </c>
      <c r="N5517">
        <v>-1.359758E-2</v>
      </c>
      <c r="O5517">
        <v>8.9253649999999993E-3</v>
      </c>
      <c r="P5517">
        <v>0.99583999999999995</v>
      </c>
      <c r="Q5517">
        <v>-9.0455220000000003E-2</v>
      </c>
      <c r="R5517">
        <v>1.0990629999999999E-2</v>
      </c>
      <c r="S5517">
        <v>3.003479</v>
      </c>
      <c r="T5517">
        <v>-0.14965580000000001</v>
      </c>
      <c r="U5517">
        <v>-0.40103149999999999</v>
      </c>
      <c r="V5517">
        <v>-2.1306789999999999E-3</v>
      </c>
      <c r="W5517">
        <v>-7.6904249999999993E-2</v>
      </c>
      <c r="X5517">
        <v>0.99703620000000004</v>
      </c>
      <c r="Y5517">
        <v>0.140964899999999</v>
      </c>
      <c r="Z5517">
        <v>-4.779518E-3</v>
      </c>
      <c r="AA5517">
        <v>0.99000299999999997</v>
      </c>
      <c r="AB5517">
        <v>23</v>
      </c>
      <c r="AC5517">
        <v>22.2681</v>
      </c>
      <c r="AD5517">
        <v>-1.1208733998260001</v>
      </c>
      <c r="AE5517">
        <v>-3.0056400000000001</v>
      </c>
      <c r="AF5517">
        <v>3.1963360560687599</v>
      </c>
      <c r="AG5517">
        <v>-1.1208733998260001</v>
      </c>
      <c r="AH5517">
        <v>22.185180154979399</v>
      </c>
      <c r="AI5517">
        <v>92.862814984885503</v>
      </c>
      <c r="AJ5517">
        <v>81.801511072222198</v>
      </c>
      <c r="AK5517">
        <v>22.4422623607927</v>
      </c>
      <c r="AL5517">
        <v>94.410643905124701</v>
      </c>
      <c r="AM5517">
        <v>90.1224416208359</v>
      </c>
      <c r="AN5517">
        <v>0.999999993785751</v>
      </c>
    </row>
    <row r="5518" spans="1:40" x14ac:dyDescent="0.25">
      <c r="A5518" t="str">
        <f>"20190303154628924"</f>
        <v>20190303154628924</v>
      </c>
      <c r="B5518" t="str">
        <f>"1551599188916879"</f>
        <v>1551599188916879</v>
      </c>
      <c r="C5518" t="s">
        <v>40</v>
      </c>
      <c r="D5518">
        <v>5.4482280000000003</v>
      </c>
      <c r="E5518">
        <v>0.55510969999999904</v>
      </c>
      <c r="F5518" t="s">
        <v>41</v>
      </c>
      <c r="G5518">
        <v>-341.36970000000002</v>
      </c>
      <c r="H5518" s="1">
        <v>-4.5303399999999999E-6</v>
      </c>
      <c r="I5518">
        <v>14.8489</v>
      </c>
      <c r="J5518">
        <v>-363.71449999999999</v>
      </c>
      <c r="K5518">
        <v>1.1208389999999999</v>
      </c>
      <c r="L5518">
        <v>17.88391</v>
      </c>
      <c r="M5518">
        <v>0.99987000000000004</v>
      </c>
      <c r="N5518">
        <v>-1.3609410000000001E-2</v>
      </c>
      <c r="O5518">
        <v>8.6642719999999902E-3</v>
      </c>
      <c r="P5518">
        <v>0.99589479999999997</v>
      </c>
      <c r="Q5518">
        <v>-8.9908500000000002E-2</v>
      </c>
      <c r="R5518">
        <v>1.0504400000000001E-2</v>
      </c>
      <c r="S5518">
        <v>3.0034480000000001</v>
      </c>
      <c r="T5518">
        <v>-0.14921799999999999</v>
      </c>
      <c r="U5518">
        <v>-0.40380860000000002</v>
      </c>
      <c r="V5518">
        <v>-1.911591E-3</v>
      </c>
      <c r="W5518">
        <v>-7.6344999999999996E-2</v>
      </c>
      <c r="X5518">
        <v>0.99707959999999995</v>
      </c>
      <c r="Y5518">
        <v>0.14160729999999999</v>
      </c>
      <c r="Z5518">
        <v>-4.7795059999999898E-3</v>
      </c>
      <c r="AA5518">
        <v>0.9899114</v>
      </c>
      <c r="AB5518">
        <v>23</v>
      </c>
      <c r="AC5518">
        <v>22.3447999999999</v>
      </c>
      <c r="AD5518">
        <v>-1.1208435303399999</v>
      </c>
      <c r="AE5518">
        <v>-3.0350100000000002</v>
      </c>
      <c r="AF5518">
        <v>3.2205587571027499</v>
      </c>
      <c r="AG5518">
        <v>-1.1208435303399999</v>
      </c>
      <c r="AH5518">
        <v>22.2626609884983</v>
      </c>
      <c r="AI5518">
        <v>92.852555840932297</v>
      </c>
      <c r="AJ5518">
        <v>81.768586684412597</v>
      </c>
      <c r="AK5518">
        <v>22.5223081236418</v>
      </c>
      <c r="AL5518">
        <v>94.378506857054205</v>
      </c>
      <c r="AM5518">
        <v>90.109846758737604</v>
      </c>
      <c r="AN5518">
        <v>0.99999997097065496</v>
      </c>
    </row>
    <row r="5519" spans="1:40" x14ac:dyDescent="0.25">
      <c r="A5519" t="str">
        <f>"20190303154628947"</f>
        <v>20190303154628947</v>
      </c>
      <c r="B5519" t="str">
        <f>"1551599188937375"</f>
        <v>1551599188937375</v>
      </c>
      <c r="C5519" t="s">
        <v>40</v>
      </c>
      <c r="D5519">
        <v>5.43872</v>
      </c>
      <c r="E5519">
        <v>0.55535069999999997</v>
      </c>
      <c r="F5519" t="s">
        <v>41</v>
      </c>
      <c r="G5519">
        <v>-340.84039999999999</v>
      </c>
      <c r="H5519" s="1">
        <v>-4.7694490000000003E-6</v>
      </c>
      <c r="I5519">
        <v>14.780939999999999</v>
      </c>
      <c r="J5519">
        <v>-363.49020000000002</v>
      </c>
      <c r="K5519">
        <v>1.120811</v>
      </c>
      <c r="L5519">
        <v>17.885529999999999</v>
      </c>
      <c r="M5519">
        <v>0.9998726</v>
      </c>
      <c r="N5519">
        <v>-1.361975E-2</v>
      </c>
      <c r="O5519">
        <v>8.3365539999999995E-3</v>
      </c>
      <c r="P5519">
        <v>0.99599459999999995</v>
      </c>
      <c r="Q5519">
        <v>-8.8840189999999999E-2</v>
      </c>
      <c r="R5519">
        <v>1.013172E-2</v>
      </c>
      <c r="S5519">
        <v>3.003387</v>
      </c>
      <c r="T5519">
        <v>-0.1471672</v>
      </c>
      <c r="U5519">
        <v>-0.40740969999999999</v>
      </c>
      <c r="V5519">
        <v>-1.8713320000000001E-3</v>
      </c>
      <c r="W5519">
        <v>-7.5265020000000002E-2</v>
      </c>
      <c r="X5519">
        <v>0.99716179999999999</v>
      </c>
      <c r="Y5519">
        <v>0.14245559999999999</v>
      </c>
      <c r="Z5519">
        <v>-4.7410109999999998E-3</v>
      </c>
      <c r="AA5519">
        <v>0.98978980000000005</v>
      </c>
      <c r="AB5519">
        <v>23</v>
      </c>
      <c r="AC5519">
        <v>22.649799999999999</v>
      </c>
      <c r="AD5519">
        <v>-1.120815769449</v>
      </c>
      <c r="AE5519">
        <v>-3.10459</v>
      </c>
      <c r="AF5519">
        <v>3.2854241413966601</v>
      </c>
      <c r="AG5519">
        <v>-1.120815769449</v>
      </c>
      <c r="AH5519">
        <v>22.568883017915699</v>
      </c>
      <c r="AI5519">
        <v>92.813480646292206</v>
      </c>
      <c r="AJ5519">
        <v>81.717450679322098</v>
      </c>
      <c r="AK5519">
        <v>22.834288262485501</v>
      </c>
      <c r="AL5519">
        <v>94.316449914198202</v>
      </c>
      <c r="AM5519">
        <v>90.107524475765004</v>
      </c>
      <c r="AN5519">
        <v>0.99999999024914699</v>
      </c>
    </row>
    <row r="5520" spans="1:40" x14ac:dyDescent="0.25">
      <c r="A5520" t="str">
        <f>"20190303154628970"</f>
        <v>20190303154628970</v>
      </c>
      <c r="B5520" t="str">
        <f>"1551599188966656"</f>
        <v>1551599188966656</v>
      </c>
      <c r="C5520" t="s">
        <v>40</v>
      </c>
      <c r="D5520">
        <v>5.4357790000000001</v>
      </c>
      <c r="E5520">
        <v>0.55570379999999997</v>
      </c>
      <c r="F5520" t="s">
        <v>41</v>
      </c>
      <c r="G5520">
        <v>-340.15260000000001</v>
      </c>
      <c r="H5520" s="1">
        <v>-5.0796389999999996E-6</v>
      </c>
      <c r="I5520">
        <v>14.695510000000001</v>
      </c>
      <c r="J5520">
        <v>-363.2595</v>
      </c>
      <c r="K5520">
        <v>1.120784</v>
      </c>
      <c r="L5520">
        <v>17.88702</v>
      </c>
      <c r="M5520">
        <v>0.99987550000000003</v>
      </c>
      <c r="N5520">
        <v>-1.3628599999999999E-2</v>
      </c>
      <c r="O5520">
        <v>7.9438400000000006E-3</v>
      </c>
      <c r="P5520">
        <v>0.99605909999999998</v>
      </c>
      <c r="Q5520">
        <v>-8.8158429999999996E-2</v>
      </c>
      <c r="R5520">
        <v>9.7223329999999997E-3</v>
      </c>
      <c r="S5520">
        <v>3.003387</v>
      </c>
      <c r="T5520">
        <v>-0.1442416</v>
      </c>
      <c r="U5520">
        <v>-0.41052250000000001</v>
      </c>
      <c r="V5520">
        <v>-1.858115E-3</v>
      </c>
      <c r="W5520">
        <v>-7.4573520000000004E-2</v>
      </c>
      <c r="X5520">
        <v>0.99721380000000004</v>
      </c>
      <c r="Y5520">
        <v>0.14308109999999999</v>
      </c>
      <c r="Z5520">
        <v>-4.6701219999999996E-3</v>
      </c>
      <c r="AA5520">
        <v>0.98970000000000002</v>
      </c>
      <c r="AB5520">
        <v>23</v>
      </c>
      <c r="AC5520">
        <v>23.1069</v>
      </c>
      <c r="AD5520">
        <v>-1.1207890796390001</v>
      </c>
      <c r="AE5520">
        <v>-3.1915099999999899</v>
      </c>
      <c r="AF5520">
        <v>3.3672101611026202</v>
      </c>
      <c r="AG5520">
        <v>-1.1207890796390001</v>
      </c>
      <c r="AH5520">
        <v>23.027652866496101</v>
      </c>
      <c r="AI5520">
        <v>92.757194516389404</v>
      </c>
      <c r="AJ5520">
        <v>81.6809031444336</v>
      </c>
      <c r="AK5520">
        <v>23.299507912613102</v>
      </c>
      <c r="AL5520">
        <v>94.276718123440205</v>
      </c>
      <c r="AM5520">
        <v>90.106759477397006</v>
      </c>
      <c r="AN5520">
        <v>1.00000001269349</v>
      </c>
    </row>
    <row r="5521" spans="1:40" x14ac:dyDescent="0.25">
      <c r="A5521" t="str">
        <f>"20190303154628994"</f>
        <v>20190303154628994</v>
      </c>
      <c r="B5521" t="str">
        <f>"1551599188987151"</f>
        <v>1551599188987151</v>
      </c>
      <c r="C5521" t="s">
        <v>40</v>
      </c>
      <c r="D5521">
        <v>5.4680460000000002</v>
      </c>
      <c r="E5521">
        <v>0.55580969999999996</v>
      </c>
      <c r="F5521" t="s">
        <v>41</v>
      </c>
      <c r="G5521">
        <v>-338.4434</v>
      </c>
      <c r="H5521" s="1">
        <v>-1.8870840000000001E-6</v>
      </c>
      <c r="I5521">
        <v>14.46251</v>
      </c>
      <c r="J5521">
        <v>-363.00760000000002</v>
      </c>
      <c r="K5521">
        <v>1.12076</v>
      </c>
      <c r="L5521">
        <v>17.888490000000001</v>
      </c>
      <c r="M5521">
        <v>0.99987919999999997</v>
      </c>
      <c r="N5521">
        <v>-1.3636529999999999E-2</v>
      </c>
      <c r="O5521">
        <v>7.4559119999999899E-3</v>
      </c>
      <c r="P5521">
        <v>0.99612999999999996</v>
      </c>
      <c r="Q5521">
        <v>-8.7413859999999996E-2</v>
      </c>
      <c r="R5521">
        <v>9.1430250000000008E-3</v>
      </c>
      <c r="S5521">
        <v>3.0039370000000001</v>
      </c>
      <c r="T5521">
        <v>-0.1356685</v>
      </c>
      <c r="U5521">
        <v>-0.41452030000000001</v>
      </c>
      <c r="V5521">
        <v>-1.7692949999999999E-3</v>
      </c>
      <c r="W5521">
        <v>-7.3820150000000001E-2</v>
      </c>
      <c r="X5521">
        <v>0.99726999999999999</v>
      </c>
      <c r="Y5521">
        <v>0.14388799999999999</v>
      </c>
      <c r="Z5521">
        <v>-4.4525520000000002E-3</v>
      </c>
      <c r="AA5521">
        <v>0.98958400000000002</v>
      </c>
      <c r="AB5521">
        <v>23</v>
      </c>
      <c r="AC5521">
        <v>24.5642</v>
      </c>
      <c r="AD5521">
        <v>-1.1207618870839999</v>
      </c>
      <c r="AE5521">
        <v>-3.42598</v>
      </c>
      <c r="AF5521">
        <v>3.60169565853024</v>
      </c>
      <c r="AG5521">
        <v>-1.1207618870839999</v>
      </c>
      <c r="AH5521">
        <v>24.487966607403401</v>
      </c>
      <c r="AI5521">
        <v>92.592622811205899</v>
      </c>
      <c r="AJ5521">
        <v>81.632913576755399</v>
      </c>
      <c r="AK5521">
        <v>24.7767800044622</v>
      </c>
      <c r="AL5521">
        <v>94.233433951970298</v>
      </c>
      <c r="AM5521">
        <v>90.101650535817001</v>
      </c>
      <c r="AN5521">
        <v>0.99999999892540903</v>
      </c>
    </row>
    <row r="5522" spans="1:40" x14ac:dyDescent="0.25">
      <c r="A5522" t="str">
        <f>"20190303154629014"</f>
        <v>20190303154629014</v>
      </c>
      <c r="B5522" t="str">
        <f>"1551599189006672"</f>
        <v>1551599189006672</v>
      </c>
      <c r="C5522" t="s">
        <v>40</v>
      </c>
      <c r="D5522">
        <v>5.4568329999999996</v>
      </c>
      <c r="E5522">
        <v>0.55591020000000002</v>
      </c>
      <c r="F5522" t="s">
        <v>41</v>
      </c>
      <c r="G5522">
        <v>-337.99549999999999</v>
      </c>
      <c r="H5522" s="1">
        <v>-2.0520809999999999E-6</v>
      </c>
      <c r="I5522">
        <v>14.415229999999999</v>
      </c>
      <c r="J5522">
        <v>-362.80669999999998</v>
      </c>
      <c r="K5522">
        <v>1.120744</v>
      </c>
      <c r="L5522">
        <v>17.889530000000001</v>
      </c>
      <c r="M5522">
        <v>0.9998823</v>
      </c>
      <c r="N5522">
        <v>-1.3641729999999999E-2</v>
      </c>
      <c r="O5522">
        <v>7.0290159999999999E-3</v>
      </c>
      <c r="P5522">
        <v>0.99612100000000003</v>
      </c>
      <c r="Q5522">
        <v>-8.7572040000000004E-2</v>
      </c>
      <c r="R5522">
        <v>8.6110900000000001E-3</v>
      </c>
      <c r="S5522">
        <v>3.0036320000000001</v>
      </c>
      <c r="T5522">
        <v>-0.13458899999999999</v>
      </c>
      <c r="U5522">
        <v>-0.4170837</v>
      </c>
      <c r="V5522">
        <v>-1.667511E-3</v>
      </c>
      <c r="W5522">
        <v>-7.3973280000000002E-2</v>
      </c>
      <c r="X5522">
        <v>0.9972588</v>
      </c>
      <c r="Y5522">
        <v>0.1443102</v>
      </c>
      <c r="Z5522">
        <v>-4.4238000000000003E-3</v>
      </c>
      <c r="AA5522">
        <v>0.98952260000000003</v>
      </c>
      <c r="AB5522">
        <v>23</v>
      </c>
      <c r="AC5522">
        <v>24.8111999999999</v>
      </c>
      <c r="AD5522">
        <v>-1.120746052081</v>
      </c>
      <c r="AE5522">
        <v>-3.4742999999999999</v>
      </c>
      <c r="AF5522">
        <v>3.64134172663789</v>
      </c>
      <c r="AG5522">
        <v>-1.120746052081</v>
      </c>
      <c r="AH5522">
        <v>24.7366613294727</v>
      </c>
      <c r="AI5522">
        <v>92.566510418921993</v>
      </c>
      <c r="AJ5522">
        <v>81.625957997434099</v>
      </c>
      <c r="AK5522">
        <v>25.028341035962399</v>
      </c>
      <c r="AL5522">
        <v>94.242231829619797</v>
      </c>
      <c r="AM5522">
        <v>90.095803871121902</v>
      </c>
      <c r="AN5522">
        <v>0.99999997046216604</v>
      </c>
    </row>
    <row r="5523" spans="1:40" x14ac:dyDescent="0.25">
      <c r="A5523" t="str">
        <f>"20190303154629035"</f>
        <v>20190303154629035</v>
      </c>
      <c r="B5523" t="str">
        <f>"1551599189027167"</f>
        <v>1551599189027167</v>
      </c>
      <c r="C5523" t="s">
        <v>40</v>
      </c>
      <c r="D5523">
        <v>5.467835</v>
      </c>
      <c r="E5523">
        <v>0.55604759999999998</v>
      </c>
      <c r="F5523" t="s">
        <v>41</v>
      </c>
      <c r="G5523">
        <v>-338.14589999999998</v>
      </c>
      <c r="H5523" s="1">
        <v>-1.9929500000000001E-6</v>
      </c>
      <c r="I5523">
        <v>14.44511</v>
      </c>
      <c r="J5523">
        <v>-362.58760000000001</v>
      </c>
      <c r="K5523">
        <v>1.120725</v>
      </c>
      <c r="L5523">
        <v>17.890529999999998</v>
      </c>
      <c r="M5523">
        <v>0.99988560000000004</v>
      </c>
      <c r="N5523">
        <v>-1.3646419999999999E-2</v>
      </c>
      <c r="O5523">
        <v>6.5343099999999998E-3</v>
      </c>
      <c r="P5523">
        <v>0.99616490000000002</v>
      </c>
      <c r="Q5523">
        <v>-8.7156310000000001E-2</v>
      </c>
      <c r="R5523">
        <v>7.699628E-3</v>
      </c>
      <c r="S5523">
        <v>3.0032960000000002</v>
      </c>
      <c r="T5523">
        <v>-0.13648859999999999</v>
      </c>
      <c r="U5523">
        <v>-0.41946410000000001</v>
      </c>
      <c r="V5523">
        <v>-1.2519370000000001E-3</v>
      </c>
      <c r="W5523">
        <v>-7.3552679999999995E-2</v>
      </c>
      <c r="X5523">
        <v>0.99729060000000003</v>
      </c>
      <c r="Y5523">
        <v>0.14460000000000001</v>
      </c>
      <c r="Z5523">
        <v>-4.4670389999999999E-3</v>
      </c>
      <c r="AA5523">
        <v>0.98948009999999997</v>
      </c>
      <c r="AB5523">
        <v>23</v>
      </c>
      <c r="AC5523">
        <v>24.441700000000001</v>
      </c>
      <c r="AD5523">
        <v>-1.1207269929499999</v>
      </c>
      <c r="AE5523">
        <v>-3.4454199999999902</v>
      </c>
      <c r="AF5523">
        <v>3.5976542328517298</v>
      </c>
      <c r="AG5523">
        <v>-1.1207269929499999</v>
      </c>
      <c r="AH5523">
        <v>24.368426101473201</v>
      </c>
      <c r="AI5523">
        <v>92.605034073616693</v>
      </c>
      <c r="AJ5523">
        <v>81.601753096303895</v>
      </c>
      <c r="AK5523">
        <v>24.658048090529</v>
      </c>
      <c r="AL5523">
        <v>94.218067048606002</v>
      </c>
      <c r="AM5523">
        <v>90.071925543704893</v>
      </c>
      <c r="AN5523">
        <v>1.00000005246489</v>
      </c>
    </row>
    <row r="5524" spans="1:40" x14ac:dyDescent="0.25">
      <c r="A5524" t="str">
        <f>"20190303154629059"</f>
        <v>20190303154629059</v>
      </c>
      <c r="B5524" t="str">
        <f>"1551599189046688"</f>
        <v>1551599189046688</v>
      </c>
      <c r="C5524" t="s">
        <v>40</v>
      </c>
      <c r="D5524">
        <v>5.4586629999999996</v>
      </c>
      <c r="E5524">
        <v>0.55617050000000001</v>
      </c>
      <c r="F5524" t="s">
        <v>41</v>
      </c>
      <c r="G5524">
        <v>-337.87900000000002</v>
      </c>
      <c r="H5524" s="1">
        <v>-2.093732E-6</v>
      </c>
      <c r="I5524">
        <v>14.40761</v>
      </c>
      <c r="J5524">
        <v>-362.35789999999997</v>
      </c>
      <c r="K5524">
        <v>1.1207069999999999</v>
      </c>
      <c r="L5524">
        <v>17.89142</v>
      </c>
      <c r="M5524">
        <v>0.99988889999999997</v>
      </c>
      <c r="N5524">
        <v>-1.365038E-2</v>
      </c>
      <c r="O5524">
        <v>5.9930209999999899E-3</v>
      </c>
      <c r="P5524">
        <v>0.99622790000000006</v>
      </c>
      <c r="Q5524">
        <v>-8.6507749999999994E-2</v>
      </c>
      <c r="R5524">
        <v>6.8150579999999997E-3</v>
      </c>
      <c r="S5524">
        <v>3.0028990000000002</v>
      </c>
      <c r="T5524">
        <v>-0.13620460000000001</v>
      </c>
      <c r="U5524">
        <v>-0.42327880000000001</v>
      </c>
      <c r="V5524">
        <v>-9.091123E-4</v>
      </c>
      <c r="W5524">
        <v>-7.2899699999999998E-2</v>
      </c>
      <c r="X5524">
        <v>0.99733890000000003</v>
      </c>
      <c r="Y5524">
        <v>0.145315</v>
      </c>
      <c r="Z5524">
        <v>-4.464099E-3</v>
      </c>
      <c r="AA5524">
        <v>0.98937540000000002</v>
      </c>
      <c r="AB5524">
        <v>23</v>
      </c>
      <c r="AC5524">
        <v>24.4788999999999</v>
      </c>
      <c r="AD5524">
        <v>-1.1207090937319999</v>
      </c>
      <c r="AE5524">
        <v>-3.4838100000000001</v>
      </c>
      <c r="AF5524">
        <v>3.6230203749068699</v>
      </c>
      <c r="AG5524">
        <v>-1.1207090937319999</v>
      </c>
      <c r="AH5524">
        <v>24.407436220411999</v>
      </c>
      <c r="AI5524">
        <v>92.600532491213102</v>
      </c>
      <c r="AJ5524">
        <v>81.556713611026595</v>
      </c>
      <c r="AK5524">
        <v>24.700307859685498</v>
      </c>
      <c r="AL5524">
        <v>94.180553405303797</v>
      </c>
      <c r="AM5524">
        <v>90.052227265442696</v>
      </c>
      <c r="AN5524">
        <v>1.0000000370992299</v>
      </c>
    </row>
    <row r="5525" spans="1:40" x14ac:dyDescent="0.25">
      <c r="A5525" t="str">
        <f>"20190303154629080"</f>
        <v>20190303154629080</v>
      </c>
      <c r="B5525" t="str">
        <f>"1551599189076944"</f>
        <v>1551599189076944</v>
      </c>
      <c r="C5525" t="s">
        <v>40</v>
      </c>
      <c r="D5525">
        <v>5.5096639999999999</v>
      </c>
      <c r="E5525">
        <v>0.55628710000000003</v>
      </c>
      <c r="F5525" t="s">
        <v>41</v>
      </c>
      <c r="G5525">
        <v>-337.43799999999999</v>
      </c>
      <c r="H5525" s="1">
        <v>-2.2596310000000002E-6</v>
      </c>
      <c r="I5525">
        <v>14.348229999999999</v>
      </c>
      <c r="J5525">
        <v>-362.1336</v>
      </c>
      <c r="K5525">
        <v>1.1207</v>
      </c>
      <c r="L5525">
        <v>17.892150000000001</v>
      </c>
      <c r="M5525">
        <v>0.99989209999999995</v>
      </c>
      <c r="N5525">
        <v>-1.365335E-2</v>
      </c>
      <c r="O5525">
        <v>5.4505769999999999E-3</v>
      </c>
      <c r="P5525">
        <v>0.99626000000000003</v>
      </c>
      <c r="Q5525">
        <v>-8.6204890000000006E-2</v>
      </c>
      <c r="R5525">
        <v>5.9283790000000001E-3</v>
      </c>
      <c r="S5525">
        <v>3.0026250000000001</v>
      </c>
      <c r="T5525">
        <v>-0.13503490000000001</v>
      </c>
      <c r="U5525">
        <v>-0.42691040000000002</v>
      </c>
      <c r="V5525">
        <v>-5.6433799999999995E-4</v>
      </c>
      <c r="W5525">
        <v>-7.2593850000000001E-2</v>
      </c>
      <c r="X5525">
        <v>0.99736139999999995</v>
      </c>
      <c r="Y5525">
        <v>0.14596619999999999</v>
      </c>
      <c r="Z5525">
        <v>-4.4360959999999996E-3</v>
      </c>
      <c r="AA5525">
        <v>0.98927960000000004</v>
      </c>
      <c r="AB5525">
        <v>23</v>
      </c>
      <c r="AC5525">
        <v>24.695599999999899</v>
      </c>
      <c r="AD5525">
        <v>-1.1207022596309999</v>
      </c>
      <c r="AE5525">
        <v>-3.54392</v>
      </c>
      <c r="AF5525">
        <v>3.67107746350759</v>
      </c>
      <c r="AG5525">
        <v>-1.1207022596309999</v>
      </c>
      <c r="AH5525">
        <v>24.626222896795099</v>
      </c>
      <c r="AI5525">
        <v>92.577207195074905</v>
      </c>
      <c r="AJ5525">
        <v>81.521248383882096</v>
      </c>
      <c r="AK5525">
        <v>24.923555875124499</v>
      </c>
      <c r="AL5525">
        <v>94.162983201448995</v>
      </c>
      <c r="AM5525">
        <v>90.032419724854094</v>
      </c>
      <c r="AN5525">
        <v>0.99999997387257999</v>
      </c>
    </row>
    <row r="5526" spans="1:40" x14ac:dyDescent="0.25">
      <c r="A5526" t="str">
        <f>"20190303154629104"</f>
        <v>20190303154629104</v>
      </c>
      <c r="B5526" t="str">
        <f>"1551599189096464"</f>
        <v>1551599189096464</v>
      </c>
      <c r="C5526" t="s">
        <v>40</v>
      </c>
      <c r="D5526">
        <v>5.5039089999999904</v>
      </c>
      <c r="E5526">
        <v>0.55638339999999997</v>
      </c>
      <c r="F5526" t="s">
        <v>41</v>
      </c>
      <c r="G5526">
        <v>-337.27980000000002</v>
      </c>
      <c r="H5526" s="1">
        <v>-2.3190359999999999E-6</v>
      </c>
      <c r="I5526">
        <v>14.327199999999999</v>
      </c>
      <c r="J5526">
        <v>-361.90309999999999</v>
      </c>
      <c r="K5526">
        <v>1.1207009999999999</v>
      </c>
      <c r="L5526">
        <v>17.89273</v>
      </c>
      <c r="M5526">
        <v>0.99989490000000003</v>
      </c>
      <c r="N5526">
        <v>-1.365569E-2</v>
      </c>
      <c r="O5526">
        <v>4.8857659999999997E-3</v>
      </c>
      <c r="P5526">
        <v>0.99625640000000004</v>
      </c>
      <c r="Q5526">
        <v>-8.6303870000000005E-2</v>
      </c>
      <c r="R5526">
        <v>5.00119E-3</v>
      </c>
      <c r="S5526">
        <v>3.0021059999999999</v>
      </c>
      <c r="T5526">
        <v>-0.13537009999999999</v>
      </c>
      <c r="U5526">
        <v>-0.43060300000000001</v>
      </c>
      <c r="V5526">
        <v>-1.995674E-4</v>
      </c>
      <c r="W5526">
        <v>-7.2690950000000004E-2</v>
      </c>
      <c r="X5526">
        <v>0.99735450000000003</v>
      </c>
      <c r="Y5526">
        <v>0.14662229999999901</v>
      </c>
      <c r="Z5526">
        <v>-4.4469039999999998E-3</v>
      </c>
      <c r="AA5526">
        <v>0.98918249999999996</v>
      </c>
      <c r="AB5526">
        <v>23</v>
      </c>
      <c r="AC5526">
        <v>24.623299999999901</v>
      </c>
      <c r="AD5526">
        <v>-1.1207033190359901</v>
      </c>
      <c r="AE5526">
        <v>-3.5655299999999999</v>
      </c>
      <c r="AF5526">
        <v>3.67833906875848</v>
      </c>
      <c r="AG5526">
        <v>-1.1207033190359901</v>
      </c>
      <c r="AH5526">
        <v>24.555761061492898</v>
      </c>
      <c r="AI5526">
        <v>92.584321884476495</v>
      </c>
      <c r="AJ5526">
        <v>81.480701733864905</v>
      </c>
      <c r="AK5526">
        <v>24.855010672763498</v>
      </c>
      <c r="AL5526">
        <v>94.168561223353393</v>
      </c>
      <c r="AM5526">
        <v>90.011464699458202</v>
      </c>
      <c r="AN5526">
        <v>1.0000000063546399</v>
      </c>
    </row>
    <row r="5527" spans="1:40" x14ac:dyDescent="0.25">
      <c r="A5527" t="str">
        <f>"20190303154629125"</f>
        <v>20190303154629125</v>
      </c>
      <c r="B5527" t="str">
        <f>"1551599189116959"</f>
        <v>1551599189116959</v>
      </c>
      <c r="C5527" t="s">
        <v>40</v>
      </c>
      <c r="D5527">
        <v>5.527247</v>
      </c>
      <c r="E5527">
        <v>0.55645809999999996</v>
      </c>
      <c r="F5527" t="s">
        <v>41</v>
      </c>
      <c r="G5527">
        <v>-337.29109999999997</v>
      </c>
      <c r="H5527" s="1">
        <v>-2.3138409999999998E-6</v>
      </c>
      <c r="I5527">
        <v>14.33235</v>
      </c>
      <c r="J5527">
        <v>-361.68549999999999</v>
      </c>
      <c r="K5527">
        <v>1.120709</v>
      </c>
      <c r="L5527">
        <v>17.893160000000002</v>
      </c>
      <c r="M5527">
        <v>0.99989740000000005</v>
      </c>
      <c r="N5527">
        <v>-1.365716E-2</v>
      </c>
      <c r="O5527">
        <v>4.3535570000000001E-3</v>
      </c>
      <c r="P5527">
        <v>0.99624310000000005</v>
      </c>
      <c r="Q5527">
        <v>-8.6490880000000006E-2</v>
      </c>
      <c r="R5527">
        <v>4.3826289999999999E-3</v>
      </c>
      <c r="S5527">
        <v>3.001617</v>
      </c>
      <c r="T5527">
        <v>-0.13667760000000001</v>
      </c>
      <c r="U5527">
        <v>-0.43420409999999998</v>
      </c>
      <c r="V5527">
        <v>-1.111088E-4</v>
      </c>
      <c r="W5527">
        <v>-7.2876780000000002E-2</v>
      </c>
      <c r="X5527">
        <v>0.99734089999999997</v>
      </c>
      <c r="Y5527">
        <v>0.14727699999999999</v>
      </c>
      <c r="Z5527">
        <v>-4.4836559999999999E-3</v>
      </c>
      <c r="AA5527">
        <v>0.98908510000000005</v>
      </c>
      <c r="AB5527">
        <v>22</v>
      </c>
      <c r="AC5527">
        <v>24.394400000000001</v>
      </c>
      <c r="AD5527">
        <v>-1.1207113138410001</v>
      </c>
      <c r="AE5527">
        <v>-3.56081</v>
      </c>
      <c r="AF5527">
        <v>3.6594260744233802</v>
      </c>
      <c r="AG5527">
        <v>-1.1207113138410001</v>
      </c>
      <c r="AH5527">
        <v>24.328388720527801</v>
      </c>
      <c r="AI5527">
        <v>92.608222193902407</v>
      </c>
      <c r="AJ5527">
        <v>81.445816655630097</v>
      </c>
      <c r="AK5527">
        <v>24.627583941187702</v>
      </c>
      <c r="AL5527">
        <v>94.179237031203797</v>
      </c>
      <c r="AM5527">
        <v>90.006383038417894</v>
      </c>
      <c r="AN5527">
        <v>0.99999995411056997</v>
      </c>
    </row>
    <row r="5528" spans="1:40" x14ac:dyDescent="0.25">
      <c r="A5528" t="str">
        <f>"20190303154629148"</f>
        <v>20190303154629148</v>
      </c>
      <c r="B5528" t="str">
        <f>"1551599189136479"</f>
        <v>1551599189136479</v>
      </c>
      <c r="C5528" t="s">
        <v>40</v>
      </c>
      <c r="D5528">
        <v>5.5638009999999998</v>
      </c>
      <c r="E5528">
        <v>0.55653830000000004</v>
      </c>
      <c r="F5528" t="s">
        <v>41</v>
      </c>
      <c r="G5528">
        <v>-337.38330000000002</v>
      </c>
      <c r="H5528" s="1">
        <v>-2.2757020000000001E-6</v>
      </c>
      <c r="I5528">
        <v>14.35777</v>
      </c>
      <c r="J5528">
        <v>-361.46519999999998</v>
      </c>
      <c r="K5528">
        <v>1.120722</v>
      </c>
      <c r="L5528">
        <v>17.89349</v>
      </c>
      <c r="M5528">
        <v>0.99989939999999999</v>
      </c>
      <c r="N5528">
        <v>-1.3658180000000001E-2</v>
      </c>
      <c r="O5528">
        <v>3.8221330000000001E-3</v>
      </c>
      <c r="P5528">
        <v>0.99626950000000003</v>
      </c>
      <c r="Q5528">
        <v>-8.6181060000000004E-2</v>
      </c>
      <c r="R5528">
        <v>4.4544210000000001E-3</v>
      </c>
      <c r="S5528">
        <v>3.00116</v>
      </c>
      <c r="T5528">
        <v>-0.13839969999999999</v>
      </c>
      <c r="U5528">
        <v>-0.43658449999999999</v>
      </c>
      <c r="V5528">
        <v>-7.0986649999999895E-4</v>
      </c>
      <c r="W5528">
        <v>-7.2565069999999995E-2</v>
      </c>
      <c r="X5528">
        <v>0.99736340000000001</v>
      </c>
      <c r="Y5528">
        <v>0.14753649999999999</v>
      </c>
      <c r="Z5528">
        <v>-4.5191650000000003E-3</v>
      </c>
      <c r="AA5528">
        <v>0.98904630000000004</v>
      </c>
      <c r="AB5528">
        <v>22</v>
      </c>
      <c r="AC5528">
        <v>24.081899999999901</v>
      </c>
      <c r="AD5528">
        <v>-1.120724275702</v>
      </c>
      <c r="AE5528">
        <v>-3.5357199999999902</v>
      </c>
      <c r="AF5528">
        <v>3.62007211261886</v>
      </c>
      <c r="AG5528">
        <v>-1.120724275702</v>
      </c>
      <c r="AH5528">
        <v>24.017290058120299</v>
      </c>
      <c r="AI5528">
        <v>92.641869398181299</v>
      </c>
      <c r="AJ5528">
        <v>81.428459235409804</v>
      </c>
      <c r="AK5528">
        <v>24.3144230188297</v>
      </c>
      <c r="AL5528">
        <v>94.161329874242995</v>
      </c>
      <c r="AM5528">
        <v>90.040779867799202</v>
      </c>
      <c r="AN5528">
        <v>0.99999997247705597</v>
      </c>
    </row>
    <row r="5529" spans="1:40" x14ac:dyDescent="0.25">
      <c r="A5529" t="str">
        <f>"20190303154629169"</f>
        <v>20190303154629169</v>
      </c>
      <c r="B5529" t="str">
        <f>"1551599189166736"</f>
        <v>1551599189166736</v>
      </c>
      <c r="C5529" t="s">
        <v>40</v>
      </c>
      <c r="D5529">
        <v>5.4393989999999999</v>
      </c>
      <c r="E5529">
        <v>0.52682109999999904</v>
      </c>
      <c r="F5529" t="s">
        <v>41</v>
      </c>
      <c r="G5529">
        <v>-337.22789999999998</v>
      </c>
      <c r="H5529" s="1">
        <v>-2.326606E-6</v>
      </c>
      <c r="I5529">
        <v>14.36514</v>
      </c>
      <c r="J5529">
        <v>-361.24869999999999</v>
      </c>
      <c r="K5529">
        <v>1.120743</v>
      </c>
      <c r="L5529">
        <v>17.893709999999999</v>
      </c>
      <c r="M5529">
        <v>0.99990129999999999</v>
      </c>
      <c r="N5529">
        <v>-1.36588E-2</v>
      </c>
      <c r="O5529">
        <v>3.3151439999999999E-3</v>
      </c>
      <c r="P5529">
        <v>0.99633459999999996</v>
      </c>
      <c r="Q5529">
        <v>-8.5424070000000005E-2</v>
      </c>
      <c r="R5529">
        <v>4.4857940000000004E-3</v>
      </c>
      <c r="S5529">
        <v>3.0011899999999998</v>
      </c>
      <c r="T5529">
        <v>-0.13877390000000001</v>
      </c>
      <c r="U5529">
        <v>-0.43688959999999999</v>
      </c>
      <c r="V5529">
        <v>-1.24306E-3</v>
      </c>
      <c r="W5529">
        <v>-7.1806190000000006E-2</v>
      </c>
      <c r="X5529">
        <v>0.99741780000000002</v>
      </c>
      <c r="Y5529">
        <v>0.14713189999999901</v>
      </c>
      <c r="Z5529">
        <v>-4.5002619999999997E-3</v>
      </c>
      <c r="AA5529">
        <v>0.98910670000000001</v>
      </c>
      <c r="AB5529">
        <v>22</v>
      </c>
      <c r="AC5529">
        <v>24.020800000000001</v>
      </c>
      <c r="AD5529">
        <v>-1.1207453266059999</v>
      </c>
      <c r="AE5529">
        <v>-3.5285700000000002</v>
      </c>
      <c r="AF5529">
        <v>3.60051802404897</v>
      </c>
      <c r="AG5529">
        <v>-1.1207453266059999</v>
      </c>
      <c r="AH5529">
        <v>23.957916763993602</v>
      </c>
      <c r="AI5529">
        <v>92.648629224955997</v>
      </c>
      <c r="AJ5529">
        <v>81.453259231196199</v>
      </c>
      <c r="AK5529">
        <v>24.252867372726399</v>
      </c>
      <c r="AL5529">
        <v>94.117735528852094</v>
      </c>
      <c r="AM5529">
        <v>90.071406440518004</v>
      </c>
      <c r="AN5529">
        <v>0.999999970938659</v>
      </c>
    </row>
    <row r="5530" spans="1:40" x14ac:dyDescent="0.25">
      <c r="A5530" t="str">
        <f>"20190303154629195"</f>
        <v>20190303154629195</v>
      </c>
      <c r="B5530" t="str">
        <f>"1551599189187233"</f>
        <v>1551599189187233</v>
      </c>
      <c r="C5530" t="s">
        <v>40</v>
      </c>
      <c r="D5530">
        <v>5.4285649999999999</v>
      </c>
      <c r="E5530">
        <v>0.52379799999999999</v>
      </c>
      <c r="F5530" t="s">
        <v>41</v>
      </c>
      <c r="G5530">
        <v>-340.65539999999999</v>
      </c>
      <c r="H5530" s="1">
        <v>-4.5403579999999999E-6</v>
      </c>
      <c r="I5530">
        <v>16.519919999999999</v>
      </c>
      <c r="J5530">
        <v>-360.99509999999998</v>
      </c>
      <c r="K5530">
        <v>1.120773</v>
      </c>
      <c r="L5530">
        <v>17.89386</v>
      </c>
      <c r="M5530">
        <v>0.99990299999999999</v>
      </c>
      <c r="N5530">
        <v>-1.365896E-2</v>
      </c>
      <c r="O5530">
        <v>2.751309E-3</v>
      </c>
      <c r="P5530">
        <v>0.99640150000000005</v>
      </c>
      <c r="Q5530">
        <v>-8.4621669999999996E-2</v>
      </c>
      <c r="R5530">
        <v>4.841896E-3</v>
      </c>
      <c r="S5530">
        <v>2.9979550000000001</v>
      </c>
      <c r="T5530">
        <v>-0.16315669999999999</v>
      </c>
      <c r="U5530">
        <v>-0.19998170000000001</v>
      </c>
      <c r="V5530">
        <v>-2.1572990000000001E-3</v>
      </c>
      <c r="W5530">
        <v>-7.1002129999999997E-2</v>
      </c>
      <c r="X5530">
        <v>0.99747379999999997</v>
      </c>
      <c r="Y5530">
        <v>6.9173419999999999E-2</v>
      </c>
      <c r="Z5530">
        <v>-2.464169E-3</v>
      </c>
      <c r="AA5530">
        <v>0.99760159999999998</v>
      </c>
      <c r="AB5530">
        <v>22</v>
      </c>
      <c r="AC5530">
        <v>20.339700000000001</v>
      </c>
      <c r="AD5530">
        <v>-1.120777540358</v>
      </c>
      <c r="AE5530">
        <v>-1.3739399999999899</v>
      </c>
      <c r="AF5530">
        <v>1.4255919015284499</v>
      </c>
      <c r="AG5530">
        <v>-1.120777540358</v>
      </c>
      <c r="AH5530">
        <v>20.274561767360002</v>
      </c>
      <c r="AI5530">
        <v>93.156312497594897</v>
      </c>
      <c r="AJ5530">
        <v>85.977906401990694</v>
      </c>
      <c r="AK5530">
        <v>20.355498260253199</v>
      </c>
      <c r="AL5530">
        <v>94.071548395204402</v>
      </c>
      <c r="AM5530">
        <v>90.123916974187296</v>
      </c>
      <c r="AN5530">
        <v>0.99999996904497501</v>
      </c>
    </row>
    <row r="5531" spans="1:40" x14ac:dyDescent="0.25">
      <c r="A5531" t="str">
        <f>"20190303154629216"</f>
        <v>20190303154629216</v>
      </c>
      <c r="B5531" t="str">
        <f>"1551599189206752"</f>
        <v>1551599189206752</v>
      </c>
      <c r="C5531" t="s">
        <v>40</v>
      </c>
      <c r="D5531">
        <v>5.434259</v>
      </c>
      <c r="E5531">
        <v>0.52270550000000005</v>
      </c>
      <c r="F5531" t="s">
        <v>41</v>
      </c>
      <c r="G5531">
        <v>-336.37630000000001</v>
      </c>
      <c r="H5531" s="1">
        <v>-2.096763E-6</v>
      </c>
      <c r="I5531">
        <v>16.459820000000001</v>
      </c>
      <c r="J5531">
        <v>-360.78030000000001</v>
      </c>
      <c r="K5531">
        <v>1.120795</v>
      </c>
      <c r="L5531">
        <v>17.89386</v>
      </c>
      <c r="M5531">
        <v>0.99990409999999996</v>
      </c>
      <c r="N5531">
        <v>-1.365854E-2</v>
      </c>
      <c r="O5531">
        <v>2.3074419999999998E-3</v>
      </c>
      <c r="P5531">
        <v>0.9964345</v>
      </c>
      <c r="Q5531">
        <v>-8.4227339999999998E-2</v>
      </c>
      <c r="R5531">
        <v>4.9131069999999999E-3</v>
      </c>
      <c r="S5531">
        <v>3.0000610000000001</v>
      </c>
      <c r="T5531">
        <v>-0.13657810000000001</v>
      </c>
      <c r="U5531">
        <v>-0.1747437</v>
      </c>
      <c r="V5531">
        <v>-2.6662999999999999E-3</v>
      </c>
      <c r="W5531">
        <v>-7.0607600000000006E-2</v>
      </c>
      <c r="X5531">
        <v>0.99750059999999996</v>
      </c>
      <c r="Y5531">
        <v>6.03695E-2</v>
      </c>
      <c r="Z5531">
        <v>-1.858642E-3</v>
      </c>
      <c r="AA5531">
        <v>0.99817440000000002</v>
      </c>
      <c r="AB5531">
        <v>22</v>
      </c>
      <c r="AC5531">
        <v>24.404</v>
      </c>
      <c r="AD5531">
        <v>-1.1207970967630001</v>
      </c>
      <c r="AE5531">
        <v>-1.43403999999999</v>
      </c>
      <c r="AF5531">
        <v>1.4872260819362</v>
      </c>
      <c r="AG5531">
        <v>-1.1207970967630001</v>
      </c>
      <c r="AH5531">
        <v>24.349442959646801</v>
      </c>
      <c r="AI5531">
        <v>92.630550984974093</v>
      </c>
      <c r="AJ5531">
        <v>86.504805002851</v>
      </c>
      <c r="AK5531">
        <v>24.420552819213501</v>
      </c>
      <c r="AL5531">
        <v>94.048886509689396</v>
      </c>
      <c r="AM5531">
        <v>90.153150156585596</v>
      </c>
      <c r="AN5531">
        <v>0.99999999466690404</v>
      </c>
    </row>
    <row r="5532" spans="1:40" x14ac:dyDescent="0.25">
      <c r="A5532" t="str">
        <f>"20190303154629237"</f>
        <v>20190303154629237</v>
      </c>
      <c r="B5532" t="str">
        <f>"1551599189227253"</f>
        <v>1551599189227253</v>
      </c>
      <c r="C5532" t="s">
        <v>40</v>
      </c>
      <c r="D5532">
        <v>5.4350180000000003</v>
      </c>
      <c r="E5532">
        <v>0.52219249999999995</v>
      </c>
      <c r="F5532" t="s">
        <v>41</v>
      </c>
      <c r="G5532">
        <v>-335.10509999999999</v>
      </c>
      <c r="H5532" s="1">
        <v>-2.6395380000000001E-6</v>
      </c>
      <c r="I5532">
        <v>16.474209999999999</v>
      </c>
      <c r="J5532">
        <v>-360.56979999999999</v>
      </c>
      <c r="K5532">
        <v>1.12083</v>
      </c>
      <c r="L5532">
        <v>17.89386</v>
      </c>
      <c r="M5532">
        <v>0.99990500000000004</v>
      </c>
      <c r="N5532">
        <v>-1.365776E-2</v>
      </c>
      <c r="O5532">
        <v>1.910169E-3</v>
      </c>
      <c r="P5532">
        <v>0.99641409999999997</v>
      </c>
      <c r="Q5532">
        <v>-8.44969E-2</v>
      </c>
      <c r="R5532">
        <v>4.3901039999999997E-3</v>
      </c>
      <c r="S5532">
        <v>3.0004580000000001</v>
      </c>
      <c r="T5532">
        <v>-0.13097890000000001</v>
      </c>
      <c r="U5532">
        <v>-0.1658936</v>
      </c>
      <c r="V5532">
        <v>-2.5344970000000001E-3</v>
      </c>
      <c r="W5532">
        <v>-7.0878460000000004E-2</v>
      </c>
      <c r="X5532">
        <v>0.99748179999999997</v>
      </c>
      <c r="Y5532">
        <v>5.7040399999999998E-2</v>
      </c>
      <c r="Z5532">
        <v>-1.6907529999999999E-3</v>
      </c>
      <c r="AA5532">
        <v>0.99837050000000005</v>
      </c>
      <c r="AB5532">
        <v>22</v>
      </c>
      <c r="AC5532">
        <v>25.464700000000001</v>
      </c>
      <c r="AD5532">
        <v>-1.1208326395379999</v>
      </c>
      <c r="AE5532">
        <v>-1.4196500000000001</v>
      </c>
      <c r="AF5532">
        <v>1.4654635276452599</v>
      </c>
      <c r="AG5532">
        <v>-1.1208326395379999</v>
      </c>
      <c r="AH5532">
        <v>25.412860865052899</v>
      </c>
      <c r="AI5532">
        <v>92.521207016327295</v>
      </c>
      <c r="AJ5532">
        <v>86.699624303790301</v>
      </c>
      <c r="AK5532">
        <v>25.479743846892401</v>
      </c>
      <c r="AL5532">
        <v>94.064444356151597</v>
      </c>
      <c r="AM5532">
        <v>90.145582274060203</v>
      </c>
      <c r="AN5532">
        <v>1.0000000605491199</v>
      </c>
    </row>
    <row r="5533" spans="1:40" x14ac:dyDescent="0.25">
      <c r="A5533" t="str">
        <f>"20190303154629260"</f>
        <v>20190303154629260</v>
      </c>
      <c r="B5533" t="str">
        <f>"1551599189256528"</f>
        <v>1551599189256528</v>
      </c>
      <c r="C5533" t="s">
        <v>40</v>
      </c>
      <c r="D5533">
        <v>5.4432470000000004</v>
      </c>
      <c r="E5533">
        <v>0.52183869999999999</v>
      </c>
      <c r="F5533" t="s">
        <v>41</v>
      </c>
      <c r="G5533">
        <v>-335.03019999999998</v>
      </c>
      <c r="H5533" s="1">
        <v>-2.6667959999999999E-6</v>
      </c>
      <c r="I5533">
        <v>16.501929999999899</v>
      </c>
      <c r="J5533">
        <v>-360.34769999999997</v>
      </c>
      <c r="K5533">
        <v>1.12087</v>
      </c>
      <c r="L5533">
        <v>17.893829999999902</v>
      </c>
      <c r="M5533">
        <v>0.99990559999999995</v>
      </c>
      <c r="N5533">
        <v>-1.3656679999999999E-2</v>
      </c>
      <c r="O5533">
        <v>1.5389640000000001E-3</v>
      </c>
      <c r="P5533">
        <v>0.99640859999999998</v>
      </c>
      <c r="Q5533">
        <v>-8.4598080000000006E-2</v>
      </c>
      <c r="R5533">
        <v>3.6759459999999998E-3</v>
      </c>
      <c r="S5533">
        <v>3.0003660000000001</v>
      </c>
      <c r="T5533">
        <v>-0.1316737</v>
      </c>
      <c r="U5533">
        <v>-0.1635132</v>
      </c>
      <c r="V5533">
        <v>-2.1834620000000002E-3</v>
      </c>
      <c r="W5533">
        <v>-7.0981210000000003E-2</v>
      </c>
      <c r="X5533">
        <v>0.99747529999999995</v>
      </c>
      <c r="Y5533">
        <v>5.5882670000000002E-2</v>
      </c>
      <c r="Z5533">
        <v>-1.6533209999999999E-3</v>
      </c>
      <c r="AA5533">
        <v>0.99843599999999999</v>
      </c>
      <c r="AB5533">
        <v>22</v>
      </c>
      <c r="AC5533">
        <v>25.3174999999999</v>
      </c>
      <c r="AD5533">
        <v>-1.1208726667960001</v>
      </c>
      <c r="AE5533">
        <v>-1.3918999999999899</v>
      </c>
      <c r="AF5533">
        <v>1.4280740189679999</v>
      </c>
      <c r="AG5533">
        <v>-1.1208726667960001</v>
      </c>
      <c r="AH5533">
        <v>25.2659540014401</v>
      </c>
      <c r="AI5533">
        <v>92.536102699243898</v>
      </c>
      <c r="AJ5533">
        <v>86.764988653893795</v>
      </c>
      <c r="AK5533">
        <v>25.3310912228769</v>
      </c>
      <c r="AL5533">
        <v>94.070346458924803</v>
      </c>
      <c r="AM5533">
        <v>90.125419604385201</v>
      </c>
      <c r="AN5533">
        <v>1.0000000368947199</v>
      </c>
    </row>
    <row r="5534" spans="1:40" x14ac:dyDescent="0.25">
      <c r="A5534" t="str">
        <f>"20190303154629283"</f>
        <v>20190303154629283</v>
      </c>
      <c r="B5534" t="str">
        <f>"1551599189277024"</f>
        <v>1551599189277024</v>
      </c>
      <c r="C5534" t="s">
        <v>40</v>
      </c>
      <c r="D5534">
        <v>5.4136119999999996</v>
      </c>
      <c r="E5534">
        <v>0.52137709999999904</v>
      </c>
      <c r="F5534" t="s">
        <v>41</v>
      </c>
      <c r="G5534">
        <v>-335.21260000000001</v>
      </c>
      <c r="H5534" s="1">
        <v>-2.5837590000000001E-6</v>
      </c>
      <c r="I5534">
        <v>16.52891</v>
      </c>
      <c r="J5534">
        <v>-360.11989999999997</v>
      </c>
      <c r="K5534">
        <v>1.1209180000000001</v>
      </c>
      <c r="L5534">
        <v>17.89377</v>
      </c>
      <c r="M5534">
        <v>0.99990610000000002</v>
      </c>
      <c r="N5534">
        <v>-1.36554E-2</v>
      </c>
      <c r="O5534">
        <v>1.2218140000000001E-3</v>
      </c>
      <c r="P5534">
        <v>0.99640010000000001</v>
      </c>
      <c r="Q5534">
        <v>-8.4742670000000006E-2</v>
      </c>
      <c r="R5534">
        <v>2.4367569999999999E-3</v>
      </c>
      <c r="S5534">
        <v>3.0000309999999999</v>
      </c>
      <c r="T5534">
        <v>-0.13378300000000001</v>
      </c>
      <c r="U5534">
        <v>-0.16290279999999999</v>
      </c>
      <c r="V5534">
        <v>-1.252633E-3</v>
      </c>
      <c r="W5534">
        <v>-7.1127910000000003E-2</v>
      </c>
      <c r="X5534">
        <v>0.99746639999999998</v>
      </c>
      <c r="Y5534">
        <v>5.5368300000000002E-2</v>
      </c>
      <c r="Z5534">
        <v>-1.649354E-3</v>
      </c>
      <c r="AA5534">
        <v>0.99846460000000004</v>
      </c>
      <c r="AB5534">
        <v>22</v>
      </c>
      <c r="AC5534">
        <v>24.9072999999999</v>
      </c>
      <c r="AD5534">
        <v>-1.1209205837589999</v>
      </c>
      <c r="AE5534">
        <v>-1.36486</v>
      </c>
      <c r="AF5534">
        <v>1.3924821075998299</v>
      </c>
      <c r="AG5534">
        <v>-1.1209205837589999</v>
      </c>
      <c r="AH5534">
        <v>24.855423849729799</v>
      </c>
      <c r="AI5534">
        <v>92.5781167914393</v>
      </c>
      <c r="AJ5534">
        <v>86.793454997473702</v>
      </c>
      <c r="AK5534">
        <v>24.9196220702642</v>
      </c>
      <c r="AL5534">
        <v>94.078773264786705</v>
      </c>
      <c r="AM5534">
        <v>90.071952846180807</v>
      </c>
      <c r="AN5534">
        <v>0.99999998389968003</v>
      </c>
    </row>
    <row r="5535" spans="1:40" x14ac:dyDescent="0.25">
      <c r="A5535" t="str">
        <f>"20190303154629304"</f>
        <v>20190303154629304</v>
      </c>
      <c r="B5535" t="str">
        <f>"1551599189296544"</f>
        <v>1551599189296544</v>
      </c>
      <c r="C5535" t="s">
        <v>40</v>
      </c>
      <c r="D5535">
        <v>5.4628480000000001</v>
      </c>
      <c r="E5535">
        <v>0.52112029999999998</v>
      </c>
      <c r="F5535" t="s">
        <v>41</v>
      </c>
      <c r="G5535">
        <v>-335.27519999999998</v>
      </c>
      <c r="H5535" s="1">
        <v>-2.5542119999999999E-6</v>
      </c>
      <c r="I5535">
        <v>16.543970000000002</v>
      </c>
      <c r="J5535">
        <v>-359.90589999999997</v>
      </c>
      <c r="K5535">
        <v>1.1209690000000001</v>
      </c>
      <c r="L5535">
        <v>17.89368</v>
      </c>
      <c r="M5535">
        <v>0.99990639999999997</v>
      </c>
      <c r="N5535">
        <v>-1.3654019999999999E-2</v>
      </c>
      <c r="O5535">
        <v>9.8619240000000002E-4</v>
      </c>
      <c r="P5535">
        <v>0.99641999999999997</v>
      </c>
      <c r="Q5535">
        <v>-8.4534910000000005E-2</v>
      </c>
      <c r="R5535">
        <v>1.0634139999999999E-3</v>
      </c>
      <c r="S5535">
        <v>2.9997250000000002</v>
      </c>
      <c r="T5535">
        <v>-0.1353385</v>
      </c>
      <c r="U5535">
        <v>-0.16296389999999999</v>
      </c>
      <c r="V5535">
        <v>-1.068438E-4</v>
      </c>
      <c r="W5535">
        <v>-7.0921849999999995E-2</v>
      </c>
      <c r="X5535">
        <v>0.99748190000000003</v>
      </c>
      <c r="Y5535">
        <v>5.5157650000000003E-2</v>
      </c>
      <c r="Z5535">
        <v>-1.6508199999999999E-3</v>
      </c>
      <c r="AA5535">
        <v>0.99847629999999998</v>
      </c>
      <c r="AB5535">
        <v>22</v>
      </c>
      <c r="AC5535">
        <v>24.630699999999901</v>
      </c>
      <c r="AD5535">
        <v>-1.120971554212</v>
      </c>
      <c r="AE5535">
        <v>-1.34970999999999</v>
      </c>
      <c r="AF5535">
        <v>1.37117065943826</v>
      </c>
      <c r="AG5535">
        <v>-1.120971554212</v>
      </c>
      <c r="AH5535">
        <v>24.5786004382676</v>
      </c>
      <c r="AI5535">
        <v>92.607266362348795</v>
      </c>
      <c r="AJ5535">
        <v>86.806940123604406</v>
      </c>
      <c r="AK5535">
        <v>24.642327116298599</v>
      </c>
      <c r="AL5535">
        <v>94.066936814353099</v>
      </c>
      <c r="AM5535">
        <v>90.006137152747996</v>
      </c>
      <c r="AN5535">
        <v>1.0000000305253101</v>
      </c>
    </row>
    <row r="5536" spans="1:40" x14ac:dyDescent="0.25">
      <c r="A5536" t="str">
        <f>"20190303154629327"</f>
        <v>20190303154629327</v>
      </c>
      <c r="B5536" t="str">
        <f>"1551599189317040"</f>
        <v>1551599189317040</v>
      </c>
      <c r="C5536" t="s">
        <v>40</v>
      </c>
      <c r="D5536">
        <v>5.418634</v>
      </c>
      <c r="E5536">
        <v>0.52079869999999995</v>
      </c>
      <c r="F5536" t="s">
        <v>41</v>
      </c>
      <c r="G5536">
        <v>-335.21429999999998</v>
      </c>
      <c r="H5536" s="1">
        <v>-2.5820379999999998E-6</v>
      </c>
      <c r="I5536">
        <v>16.53444</v>
      </c>
      <c r="J5536">
        <v>-359.67649999999998</v>
      </c>
      <c r="K5536">
        <v>1.1210169999999999</v>
      </c>
      <c r="L5536">
        <v>17.893619999999999</v>
      </c>
      <c r="M5536">
        <v>0.99990670000000004</v>
      </c>
      <c r="N5536">
        <v>-1.365238E-2</v>
      </c>
      <c r="O5536">
        <v>7.9130089999999997E-4</v>
      </c>
      <c r="P5536">
        <v>0.99648530000000002</v>
      </c>
      <c r="Q5536">
        <v>-8.376604E-2</v>
      </c>
      <c r="R5536">
        <v>-8.0855460000000005E-4</v>
      </c>
      <c r="S5536">
        <v>2.9993590000000001</v>
      </c>
      <c r="T5536">
        <v>-0.13616719999999999</v>
      </c>
      <c r="U5536">
        <v>-0.1651001</v>
      </c>
      <c r="V5536">
        <v>1.578444E-3</v>
      </c>
      <c r="W5536">
        <v>-7.0154270000000005E-2</v>
      </c>
      <c r="X5536">
        <v>0.9975349</v>
      </c>
      <c r="Y5536">
        <v>5.5677270000000001E-2</v>
      </c>
      <c r="Z5536">
        <v>-1.6679450000000001E-3</v>
      </c>
      <c r="AA5536">
        <v>0.99844739999999998</v>
      </c>
      <c r="AB5536">
        <v>22</v>
      </c>
      <c r="AC5536">
        <v>24.462199999999999</v>
      </c>
      <c r="AD5536">
        <v>-1.121019582038</v>
      </c>
      <c r="AE5536">
        <v>-1.3591800000000001</v>
      </c>
      <c r="AF5536">
        <v>1.37565823752826</v>
      </c>
      <c r="AG5536">
        <v>-1.121019582038</v>
      </c>
      <c r="AH5536">
        <v>24.410011568702799</v>
      </c>
      <c r="AI5536">
        <v>92.625277381152301</v>
      </c>
      <c r="AJ5536">
        <v>86.774433100141806</v>
      </c>
      <c r="AK5536">
        <v>24.4744312553733</v>
      </c>
      <c r="AL5536">
        <v>94.022848042130704</v>
      </c>
      <c r="AM5536">
        <v>89.909338406187302</v>
      </c>
      <c r="AN5536">
        <v>0.99999999490135205</v>
      </c>
    </row>
    <row r="5537" spans="1:40" x14ac:dyDescent="0.25">
      <c r="A5537" t="str">
        <f>"20190303154629349"</f>
        <v>20190303154629349</v>
      </c>
      <c r="B5537" t="str">
        <f>"1551599189336560"</f>
        <v>1551599189336560</v>
      </c>
      <c r="C5537" t="s">
        <v>40</v>
      </c>
      <c r="D5537">
        <v>5.446815</v>
      </c>
      <c r="E5537">
        <v>0.52041559999999998</v>
      </c>
      <c r="F5537" t="s">
        <v>41</v>
      </c>
      <c r="G5537">
        <v>-334.77589999999998</v>
      </c>
      <c r="H5537" s="1">
        <v>-2.7770249999999999E-6</v>
      </c>
      <c r="I5537">
        <v>16.4954</v>
      </c>
      <c r="J5537">
        <v>-359.46640000000002</v>
      </c>
      <c r="K5537">
        <v>1.1210500000000001</v>
      </c>
      <c r="L5537">
        <v>17.89359</v>
      </c>
      <c r="M5537">
        <v>0.99990659999999998</v>
      </c>
      <c r="N5537">
        <v>-1.365076E-2</v>
      </c>
      <c r="O5537">
        <v>6.5989710000000004E-4</v>
      </c>
      <c r="P5537">
        <v>0.99645879999999998</v>
      </c>
      <c r="Q5537">
        <v>-8.4022749999999993E-2</v>
      </c>
      <c r="R5537">
        <v>-3.1501379999999998E-3</v>
      </c>
      <c r="S5537">
        <v>2.9991150000000002</v>
      </c>
      <c r="T5537">
        <v>-0.1350191</v>
      </c>
      <c r="U5537">
        <v>-0.16839599999999999</v>
      </c>
      <c r="V5537">
        <v>3.7946630000000002E-3</v>
      </c>
      <c r="W5537">
        <v>-7.0413249999999997E-2</v>
      </c>
      <c r="X5537">
        <v>0.99751069999999997</v>
      </c>
      <c r="Y5537">
        <v>5.664425E-2</v>
      </c>
      <c r="Z5537">
        <v>-1.6812719999999999E-3</v>
      </c>
      <c r="AA5537">
        <v>0.99839299999999997</v>
      </c>
      <c r="AB5537">
        <v>22</v>
      </c>
      <c r="AC5537">
        <v>24.6905</v>
      </c>
      <c r="AD5537">
        <v>-1.1210527770250001</v>
      </c>
      <c r="AE5537">
        <v>-1.3981899999999901</v>
      </c>
      <c r="AF5537">
        <v>1.4115836652490701</v>
      </c>
      <c r="AG5537">
        <v>-1.1210527770250001</v>
      </c>
      <c r="AH5537">
        <v>24.6389400136087</v>
      </c>
      <c r="AI5537">
        <v>92.600858162189795</v>
      </c>
      <c r="AJ5537">
        <v>86.721065365755393</v>
      </c>
      <c r="AK5537">
        <v>24.704790886932901</v>
      </c>
      <c r="AL5537">
        <v>94.037723224315201</v>
      </c>
      <c r="AM5537">
        <v>89.782040307136597</v>
      </c>
      <c r="AN5537">
        <v>1.00000001092866</v>
      </c>
    </row>
    <row r="5538" spans="1:40" x14ac:dyDescent="0.25">
      <c r="A5538" t="str">
        <f>"20190303154629371"</f>
        <v>20190303154629371</v>
      </c>
      <c r="B5538" t="str">
        <f>"1551599189366816"</f>
        <v>1551599189366816</v>
      </c>
      <c r="C5538" t="s">
        <v>40</v>
      </c>
      <c r="D5538">
        <v>5.42964</v>
      </c>
      <c r="E5538">
        <v>0.52006589999999997</v>
      </c>
      <c r="F5538" t="s">
        <v>41</v>
      </c>
      <c r="G5538">
        <v>-334.9572</v>
      </c>
      <c r="H5538" s="1">
        <v>-2.7011689999999999E-6</v>
      </c>
      <c r="I5538">
        <v>16.484660000000002</v>
      </c>
      <c r="J5538">
        <v>-359.24590000000001</v>
      </c>
      <c r="K5538">
        <v>1.1210770000000001</v>
      </c>
      <c r="L5538">
        <v>17.89359</v>
      </c>
      <c r="M5538">
        <v>0.99990670000000004</v>
      </c>
      <c r="N5538">
        <v>-1.364896E-2</v>
      </c>
      <c r="O5538">
        <v>5.6547620000000005E-4</v>
      </c>
      <c r="P5538">
        <v>0.99643040000000005</v>
      </c>
      <c r="Q5538">
        <v>-8.4284990000000004E-2</v>
      </c>
      <c r="R5538">
        <v>-4.7323670000000003E-3</v>
      </c>
      <c r="S5538">
        <v>2.9985659999999998</v>
      </c>
      <c r="T5538">
        <v>-0.1371542</v>
      </c>
      <c r="U5538">
        <v>-0.172363299999999</v>
      </c>
      <c r="V5538">
        <v>5.2872969999999998E-3</v>
      </c>
      <c r="W5538">
        <v>-7.0677610000000002E-2</v>
      </c>
      <c r="X5538">
        <v>0.99748519999999896</v>
      </c>
      <c r="Y5538">
        <v>5.7873109999999998E-2</v>
      </c>
      <c r="Z5538">
        <v>-1.7354619999999999E-3</v>
      </c>
      <c r="AA5538">
        <v>0.99832240000000005</v>
      </c>
      <c r="AB5538">
        <v>22</v>
      </c>
      <c r="AC5538">
        <v>24.288699999999999</v>
      </c>
      <c r="AD5538">
        <v>-1.1210797011689999</v>
      </c>
      <c r="AE5538">
        <v>-1.40892999999999</v>
      </c>
      <c r="AF5538">
        <v>1.4196514303648</v>
      </c>
      <c r="AG5538">
        <v>-1.1210797011689999</v>
      </c>
      <c r="AH5538">
        <v>24.236438784658599</v>
      </c>
      <c r="AI5538">
        <v>92.643858162149499</v>
      </c>
      <c r="AJ5538">
        <v>86.647725347864395</v>
      </c>
      <c r="AK5538">
        <v>24.303851440514801</v>
      </c>
      <c r="AL5538">
        <v>94.052907803401595</v>
      </c>
      <c r="AM5538">
        <v>89.696299287465607</v>
      </c>
      <c r="AN5538">
        <v>1.00000000214195</v>
      </c>
    </row>
    <row r="5539" spans="1:40" x14ac:dyDescent="0.25">
      <c r="A5539" t="str">
        <f>"20190303154629406"</f>
        <v>20190303154629406</v>
      </c>
      <c r="B5539" t="str">
        <f>"1551599189397072"</f>
        <v>1551599189397072</v>
      </c>
      <c r="C5539" t="s">
        <v>40</v>
      </c>
      <c r="D5539">
        <v>5.4808620000000001</v>
      </c>
      <c r="E5539">
        <v>0.51348629999999995</v>
      </c>
      <c r="F5539" t="s">
        <v>41</v>
      </c>
      <c r="G5539">
        <v>-335.30669999999998</v>
      </c>
      <c r="H5539" s="1">
        <v>-2.547924E-6</v>
      </c>
      <c r="I5539">
        <v>16.503319999999999</v>
      </c>
      <c r="J5539">
        <v>-358.90109999999999</v>
      </c>
      <c r="K5539">
        <v>1.1210960000000001</v>
      </c>
      <c r="L5539">
        <v>17.893619999999999</v>
      </c>
      <c r="M5539">
        <v>0.99990679999999998</v>
      </c>
      <c r="N5539">
        <v>-1.364597E-2</v>
      </c>
      <c r="O5539">
        <v>4.7631149999999999E-4</v>
      </c>
      <c r="P5539">
        <v>0.99645790000000001</v>
      </c>
      <c r="Q5539">
        <v>-8.4010940000000006E-2</v>
      </c>
      <c r="R5539">
        <v>-3.7406480000000001E-3</v>
      </c>
      <c r="S5539">
        <v>2.9980769999999999</v>
      </c>
      <c r="T5539">
        <v>-0.14040039999999901</v>
      </c>
      <c r="U5539">
        <v>-0.174102799999999</v>
      </c>
      <c r="V5539">
        <v>4.2112809999999999E-3</v>
      </c>
      <c r="W5539">
        <v>-7.0405739999999994E-2</v>
      </c>
      <c r="X5539">
        <v>0.99750950000000005</v>
      </c>
      <c r="Y5539">
        <v>5.8366700000000001E-2</v>
      </c>
      <c r="Z5539">
        <v>-1.7794169999999999E-3</v>
      </c>
      <c r="AA5539">
        <v>0.9982936</v>
      </c>
      <c r="AB5539">
        <v>22</v>
      </c>
      <c r="AC5539">
        <v>23.5944</v>
      </c>
      <c r="AD5539">
        <v>-1.1210985479240001</v>
      </c>
      <c r="AE5539">
        <v>-1.3903000000000001</v>
      </c>
      <c r="AF5539">
        <v>1.3983929198928799</v>
      </c>
      <c r="AG5539">
        <v>-1.1210985479240001</v>
      </c>
      <c r="AH5539">
        <v>23.5407705241178</v>
      </c>
      <c r="AI5539">
        <v>92.721786096297706</v>
      </c>
      <c r="AJ5539">
        <v>86.600452450369502</v>
      </c>
      <c r="AK5539">
        <v>23.608901744505999</v>
      </c>
      <c r="AL5539">
        <v>94.037292097313397</v>
      </c>
      <c r="AM5539">
        <v>89.758110379782295</v>
      </c>
      <c r="AN5539">
        <v>0.99999995285142795</v>
      </c>
    </row>
    <row r="5540" spans="1:40" x14ac:dyDescent="0.25">
      <c r="A5540" t="str">
        <f>"20190303154629427"</f>
        <v>20190303154629427</v>
      </c>
      <c r="B5540" t="str">
        <f>"1551599189416592"</f>
        <v>1551599189416592</v>
      </c>
      <c r="C5540" t="s">
        <v>40</v>
      </c>
      <c r="D5540">
        <v>5.4699710000000001</v>
      </c>
      <c r="E5540">
        <v>0.51444199999999995</v>
      </c>
      <c r="F5540" t="s">
        <v>41</v>
      </c>
      <c r="G5540">
        <v>-342.07249999999999</v>
      </c>
      <c r="H5540" s="1">
        <v>-3.807019E-6</v>
      </c>
      <c r="I5540">
        <v>17.22681</v>
      </c>
      <c r="J5540">
        <v>-358.69240000000002</v>
      </c>
      <c r="K5540">
        <v>1.1211100000000001</v>
      </c>
      <c r="L5540">
        <v>17.89368</v>
      </c>
      <c r="M5540">
        <v>0.99990690000000004</v>
      </c>
      <c r="N5540">
        <v>-1.3644140000000001E-2</v>
      </c>
      <c r="O5540">
        <v>4.383554E-4</v>
      </c>
      <c r="P5540">
        <v>0.9965231</v>
      </c>
      <c r="Q5540">
        <v>-8.3309659999999994E-2</v>
      </c>
      <c r="R5540">
        <v>-1.2958360000000001E-3</v>
      </c>
      <c r="S5540">
        <v>2.993347</v>
      </c>
      <c r="T5540">
        <v>-0.19941310000000001</v>
      </c>
      <c r="U5540">
        <v>-0.1185913</v>
      </c>
      <c r="V5540">
        <v>1.729906E-3</v>
      </c>
      <c r="W5540">
        <v>-6.9705260000000005E-2</v>
      </c>
      <c r="X5540">
        <v>0.99756610000000001</v>
      </c>
      <c r="Y5540">
        <v>3.9918179999999998E-2</v>
      </c>
      <c r="Z5540">
        <v>-1.623651E-3</v>
      </c>
      <c r="AA5540">
        <v>0.99920169999999997</v>
      </c>
      <c r="AB5540">
        <v>22</v>
      </c>
      <c r="AC5540">
        <v>16.619900000000001</v>
      </c>
      <c r="AD5540">
        <v>-1.1211138070190001</v>
      </c>
      <c r="AE5540">
        <v>-0.66686999999999896</v>
      </c>
      <c r="AF5540">
        <v>0.67110718807542802</v>
      </c>
      <c r="AG5540">
        <v>-1.1211138070190001</v>
      </c>
      <c r="AH5540">
        <v>16.5444444306729</v>
      </c>
      <c r="AI5540">
        <v>93.873475342930206</v>
      </c>
      <c r="AJ5540">
        <v>87.677133213810606</v>
      </c>
      <c r="AK5540">
        <v>16.595961031100298</v>
      </c>
      <c r="AL5540">
        <v>93.997058629224796</v>
      </c>
      <c r="AM5540">
        <v>89.900641959063606</v>
      </c>
      <c r="AN5540">
        <v>0.99999996985782202</v>
      </c>
    </row>
    <row r="5541" spans="1:40" x14ac:dyDescent="0.25">
      <c r="A5541" t="str">
        <f>"20190303154629450"</f>
        <v>20190303154629450</v>
      </c>
      <c r="B5541" t="str">
        <f>"1551599189446849"</f>
        <v>1551599189446849</v>
      </c>
      <c r="C5541" t="s">
        <v>40</v>
      </c>
      <c r="D5541">
        <v>5.4576310000000001</v>
      </c>
      <c r="E5541">
        <v>0.51471999999999996</v>
      </c>
      <c r="F5541" t="s">
        <v>41</v>
      </c>
      <c r="G5541">
        <v>-341.2321</v>
      </c>
      <c r="H5541" s="1">
        <v>-4.1721210000000002E-6</v>
      </c>
      <c r="I5541">
        <v>17.200990000000001</v>
      </c>
      <c r="J5541">
        <v>-358.47030000000001</v>
      </c>
      <c r="K5541">
        <v>1.121113</v>
      </c>
      <c r="L5541">
        <v>17.893709999999999</v>
      </c>
      <c r="M5541">
        <v>0.99990699999999999</v>
      </c>
      <c r="N5541">
        <v>-1.364223E-2</v>
      </c>
      <c r="O5541">
        <v>3.9927730000000001E-4</v>
      </c>
      <c r="P5541">
        <v>0.99657910000000005</v>
      </c>
      <c r="Q5541">
        <v>-8.2637559999999999E-2</v>
      </c>
      <c r="R5541">
        <v>1.122755E-3</v>
      </c>
      <c r="S5541">
        <v>2.9942630000000001</v>
      </c>
      <c r="T5541">
        <v>-0.19225990000000001</v>
      </c>
      <c r="U5541">
        <v>-0.1187744</v>
      </c>
      <c r="V5541">
        <v>-7.2764580000000002E-4</v>
      </c>
      <c r="W5541">
        <v>-6.9034289999999998E-2</v>
      </c>
      <c r="X5541">
        <v>0.997614</v>
      </c>
      <c r="Y5541">
        <v>3.9935030000000003E-2</v>
      </c>
      <c r="Z5541">
        <v>-1.5733030000000001E-3</v>
      </c>
      <c r="AA5541">
        <v>0.99920109999999995</v>
      </c>
      <c r="AB5541">
        <v>22</v>
      </c>
      <c r="AC5541">
        <v>17.238199999999999</v>
      </c>
      <c r="AD5541">
        <v>-1.121117172121</v>
      </c>
      <c r="AE5541">
        <v>-0.692720000000001</v>
      </c>
      <c r="AF5541">
        <v>0.696661429887657</v>
      </c>
      <c r="AG5541">
        <v>-1.121117172121</v>
      </c>
      <c r="AH5541">
        <v>17.1654329993052</v>
      </c>
      <c r="AI5541">
        <v>93.733757581040095</v>
      </c>
      <c r="AJ5541">
        <v>87.675918485343502</v>
      </c>
      <c r="AK5541">
        <v>17.216106729314699</v>
      </c>
      <c r="AL5541">
        <v>93.958522012502499</v>
      </c>
      <c r="AM5541">
        <v>90.041790738629501</v>
      </c>
      <c r="AN5541">
        <v>0.99999997783010597</v>
      </c>
    </row>
    <row r="5542" spans="1:40" x14ac:dyDescent="0.25">
      <c r="A5542" t="str">
        <f>"20190303154629473"</f>
        <v>20190303154629473</v>
      </c>
      <c r="B5542" t="str">
        <f>"1551599189467344"</f>
        <v>1551599189467344</v>
      </c>
      <c r="C5542" t="s">
        <v>40</v>
      </c>
      <c r="D5542">
        <v>5.4869700000000003</v>
      </c>
      <c r="E5542">
        <v>0.51460790000000001</v>
      </c>
      <c r="F5542" t="s">
        <v>41</v>
      </c>
      <c r="G5542">
        <v>-340.50549999999998</v>
      </c>
      <c r="H5542" s="1">
        <v>-4.4819699999999899E-6</v>
      </c>
      <c r="I5542">
        <v>17.211559999999999</v>
      </c>
      <c r="J5542">
        <v>-358.24209999999999</v>
      </c>
      <c r="K5542">
        <v>1.121103</v>
      </c>
      <c r="L5542">
        <v>17.893740000000001</v>
      </c>
      <c r="M5542">
        <v>0.99990710000000005</v>
      </c>
      <c r="N5542">
        <v>-1.364019E-2</v>
      </c>
      <c r="O5542">
        <v>3.5504299999999998E-4</v>
      </c>
      <c r="P5542">
        <v>0.99654920000000002</v>
      </c>
      <c r="Q5542">
        <v>-8.2933409999999999E-2</v>
      </c>
      <c r="R5542">
        <v>3.488503E-3</v>
      </c>
      <c r="S5542">
        <v>2.9949650000000001</v>
      </c>
      <c r="T5542">
        <v>-0.18690419999999999</v>
      </c>
      <c r="U5542">
        <v>-0.1137085</v>
      </c>
      <c r="V5542">
        <v>-3.1384210000000002E-3</v>
      </c>
      <c r="W5542">
        <v>-6.9332409999999997E-2</v>
      </c>
      <c r="X5542">
        <v>0.99758869999999999</v>
      </c>
      <c r="Y5542">
        <v>3.8203139999999997E-2</v>
      </c>
      <c r="Z5542">
        <v>-1.468722E-3</v>
      </c>
      <c r="AA5542">
        <v>0.99926890000000002</v>
      </c>
      <c r="AB5542">
        <v>22</v>
      </c>
      <c r="AC5542">
        <v>17.736599999999999</v>
      </c>
      <c r="AD5542">
        <v>-1.12110748197</v>
      </c>
      <c r="AE5542">
        <v>-0.68217999999999801</v>
      </c>
      <c r="AF5542">
        <v>0.68574207148806998</v>
      </c>
      <c r="AG5542">
        <v>-1.12110748197</v>
      </c>
      <c r="AH5542">
        <v>17.6658797146581</v>
      </c>
      <c r="AI5542">
        <v>93.628495015885406</v>
      </c>
      <c r="AJ5542">
        <v>87.777047558735006</v>
      </c>
      <c r="AK5542">
        <v>17.714695319635201</v>
      </c>
      <c r="AL5542">
        <v>93.975643873691197</v>
      </c>
      <c r="AM5542">
        <v>90.180252326832303</v>
      </c>
      <c r="AN5542">
        <v>1.00000002356523</v>
      </c>
    </row>
    <row r="5543" spans="1:40" x14ac:dyDescent="0.25">
      <c r="A5543" t="str">
        <f>"20190303154629495"</f>
        <v>20190303154629495</v>
      </c>
      <c r="B5543" t="str">
        <f>"1551599189486864"</f>
        <v>1551599189486864</v>
      </c>
      <c r="C5543" t="s">
        <v>40</v>
      </c>
      <c r="D5543">
        <v>5.469144</v>
      </c>
      <c r="E5543">
        <v>0.51486080000000001</v>
      </c>
      <c r="F5543" t="s">
        <v>41</v>
      </c>
      <c r="G5543">
        <v>-340.5308</v>
      </c>
      <c r="H5543" s="1">
        <v>-4.4610939999999998E-6</v>
      </c>
      <c r="I5543">
        <v>17.268149999999999</v>
      </c>
      <c r="J5543">
        <v>-358.02359999999999</v>
      </c>
      <c r="K5543">
        <v>1.1210929999999999</v>
      </c>
      <c r="L5543">
        <v>17.89377</v>
      </c>
      <c r="M5543">
        <v>0.99990690000000004</v>
      </c>
      <c r="N5543">
        <v>-1.363817E-2</v>
      </c>
      <c r="O5543">
        <v>3.0605809999999998E-4</v>
      </c>
      <c r="P5543">
        <v>0.99653760000000002</v>
      </c>
      <c r="Q5543">
        <v>-8.2999009999999998E-2</v>
      </c>
      <c r="R5543">
        <v>4.9351259999999997E-3</v>
      </c>
      <c r="S5543">
        <v>2.9950260000000002</v>
      </c>
      <c r="T5543">
        <v>-0.1895819</v>
      </c>
      <c r="U5543">
        <v>-0.1057739</v>
      </c>
      <c r="V5543">
        <v>-4.6349090000000004E-3</v>
      </c>
      <c r="W5543">
        <v>-6.939998E-2</v>
      </c>
      <c r="X5543">
        <v>0.99757810000000002</v>
      </c>
      <c r="Y5543">
        <v>3.5513709999999997E-2</v>
      </c>
      <c r="Z5543">
        <v>-1.380247E-3</v>
      </c>
      <c r="AA5543">
        <v>0.99936829999999999</v>
      </c>
      <c r="AB5543">
        <v>22</v>
      </c>
      <c r="AC5543">
        <v>17.4927999999999</v>
      </c>
      <c r="AD5543">
        <v>-1.1210974610940001</v>
      </c>
      <c r="AE5543">
        <v>-0.62562000000000095</v>
      </c>
      <c r="AF5543">
        <v>0.62839649711291901</v>
      </c>
      <c r="AG5543">
        <v>-1.1210974610940001</v>
      </c>
      <c r="AH5543">
        <v>17.421143314715898</v>
      </c>
      <c r="AI5543">
        <v>93.679673950685796</v>
      </c>
      <c r="AJ5543">
        <v>87.934184719681994</v>
      </c>
      <c r="AK5543">
        <v>17.468485225305699</v>
      </c>
      <c r="AL5543">
        <v>93.979524980152505</v>
      </c>
      <c r="AM5543">
        <v>90.266203531614906</v>
      </c>
      <c r="AN5543">
        <v>0.99999995260252295</v>
      </c>
    </row>
    <row r="5544" spans="1:40" x14ac:dyDescent="0.25">
      <c r="A5544" t="str">
        <f>"20190303154629518"</f>
        <v>20190303154629518</v>
      </c>
      <c r="B5544" t="str">
        <f>"1551599189507360"</f>
        <v>1551599189507360</v>
      </c>
      <c r="C5544" t="s">
        <v>40</v>
      </c>
      <c r="D5544">
        <v>5.4931349999999997</v>
      </c>
      <c r="E5544">
        <v>0.5149184</v>
      </c>
      <c r="F5544" t="s">
        <v>41</v>
      </c>
      <c r="G5544">
        <v>-340.42610000000002</v>
      </c>
      <c r="H5544" s="1">
        <v>-4.5029620000000001E-6</v>
      </c>
      <c r="I5544">
        <v>17.28529</v>
      </c>
      <c r="J5544">
        <v>-357.80759999999998</v>
      </c>
      <c r="K5544">
        <v>1.1210880000000001</v>
      </c>
      <c r="L5544">
        <v>17.893799999999999</v>
      </c>
      <c r="M5544">
        <v>0.99990710000000005</v>
      </c>
      <c r="N5544">
        <v>-1.363617E-2</v>
      </c>
      <c r="O5544">
        <v>2.493172E-4</v>
      </c>
      <c r="P5544">
        <v>0.99657030000000002</v>
      </c>
      <c r="Q5544">
        <v>-8.2627370000000006E-2</v>
      </c>
      <c r="R5544">
        <v>4.5674050000000001E-3</v>
      </c>
      <c r="S5544">
        <v>2.9950559999999999</v>
      </c>
      <c r="T5544">
        <v>-0.1908077</v>
      </c>
      <c r="U5544">
        <v>-0.1035461</v>
      </c>
      <c r="V5544">
        <v>-4.325349E-3</v>
      </c>
      <c r="W5544">
        <v>-6.9029889999999997E-2</v>
      </c>
      <c r="X5544">
        <v>0.99760519999999997</v>
      </c>
      <c r="Y5544">
        <v>3.4715200000000002E-2</v>
      </c>
      <c r="Z5544">
        <v>-1.353892E-3</v>
      </c>
      <c r="AA5544">
        <v>0.99939630000000002</v>
      </c>
      <c r="AB5544">
        <v>22</v>
      </c>
      <c r="AC5544">
        <v>17.3814999999999</v>
      </c>
      <c r="AD5544">
        <v>-1.12109250296199</v>
      </c>
      <c r="AE5544">
        <v>-0.608509999999999</v>
      </c>
      <c r="AF5544">
        <v>0.61030802907425197</v>
      </c>
      <c r="AG5544">
        <v>-1.12109250296199</v>
      </c>
      <c r="AH5544">
        <v>17.309426173126301</v>
      </c>
      <c r="AI5544">
        <v>93.703447643384607</v>
      </c>
      <c r="AJ5544">
        <v>87.980661275475796</v>
      </c>
      <c r="AK5544">
        <v>17.3564270151854</v>
      </c>
      <c r="AL5544">
        <v>93.958269280941195</v>
      </c>
      <c r="AM5544">
        <v>90.248417600193406</v>
      </c>
      <c r="AN5544">
        <v>0.99999998471221097</v>
      </c>
    </row>
    <row r="5545" spans="1:40" x14ac:dyDescent="0.25">
      <c r="A5545" t="str">
        <f>"20190303154629539"</f>
        <v>20190303154629539</v>
      </c>
      <c r="B5545" t="str">
        <f>"1551599189536641"</f>
        <v>1551599189536641</v>
      </c>
      <c r="C5545" t="s">
        <v>40</v>
      </c>
      <c r="D5545">
        <v>5.4857740000000002</v>
      </c>
      <c r="E5545">
        <v>0.51538609999999996</v>
      </c>
      <c r="F5545" t="s">
        <v>41</v>
      </c>
      <c r="G5545">
        <v>-340.08789999999999</v>
      </c>
      <c r="H5545" s="1">
        <v>-4.650402E-6</v>
      </c>
      <c r="I5545">
        <v>17.271889999999999</v>
      </c>
      <c r="J5545">
        <v>-357.5951</v>
      </c>
      <c r="K5545">
        <v>1.121086</v>
      </c>
      <c r="L5545">
        <v>17.89377</v>
      </c>
      <c r="M5545">
        <v>0.99990710000000005</v>
      </c>
      <c r="N5545">
        <v>-1.3634189999999999E-2</v>
      </c>
      <c r="O5545">
        <v>1.8579729999999999E-4</v>
      </c>
      <c r="P5545">
        <v>0.99664240000000004</v>
      </c>
      <c r="Q5545">
        <v>-8.1774390000000002E-2</v>
      </c>
      <c r="R5545">
        <v>4.1020149999999997E-3</v>
      </c>
      <c r="S5545">
        <v>2.9950559999999999</v>
      </c>
      <c r="T5545">
        <v>-0.1894913</v>
      </c>
      <c r="U5545">
        <v>-0.1051025</v>
      </c>
      <c r="V5545">
        <v>-3.9236169999999999E-3</v>
      </c>
      <c r="W5545">
        <v>-6.8177970000000004E-2</v>
      </c>
      <c r="X5545">
        <v>0.99766549999999998</v>
      </c>
      <c r="Y5545">
        <v>3.5170479999999997E-2</v>
      </c>
      <c r="Z5545">
        <v>-1.3604769999999999E-3</v>
      </c>
      <c r="AA5545">
        <v>0.99938039999999995</v>
      </c>
      <c r="AB5545">
        <v>22</v>
      </c>
      <c r="AC5545">
        <v>17.507200000000001</v>
      </c>
      <c r="AD5545">
        <v>-1.121090650402</v>
      </c>
      <c r="AE5545">
        <v>-0.62187999999999999</v>
      </c>
      <c r="AF5545">
        <v>0.62258332997977095</v>
      </c>
      <c r="AG5545">
        <v>-1.121090650402</v>
      </c>
      <c r="AH5545">
        <v>17.435677393556599</v>
      </c>
      <c r="AI5545">
        <v>93.676640548251001</v>
      </c>
      <c r="AJ5545">
        <v>87.954983486296996</v>
      </c>
      <c r="AK5545">
        <v>17.482771531464</v>
      </c>
      <c r="AL5545">
        <v>93.909342368713695</v>
      </c>
      <c r="AM5545">
        <v>90.225331572070502</v>
      </c>
      <c r="AN5545">
        <v>1.00000004012696</v>
      </c>
    </row>
    <row r="5546" spans="1:40" x14ac:dyDescent="0.25">
      <c r="A5546" t="str">
        <f>"20190303154629717"</f>
        <v>20190303154629717</v>
      </c>
      <c r="B5546" t="str">
        <f>"1551599189706461"</f>
        <v>1551599189706461</v>
      </c>
      <c r="C5546" t="s">
        <v>40</v>
      </c>
      <c r="D5546">
        <v>5.5588139999999999</v>
      </c>
      <c r="E5546">
        <v>0.51867909999999995</v>
      </c>
      <c r="F5546" t="s">
        <v>41</v>
      </c>
      <c r="G5546">
        <v>-339.70769999999999</v>
      </c>
      <c r="H5546" s="1">
        <v>-7.1896799999999998E-7</v>
      </c>
      <c r="I5546">
        <v>17.235569999999999</v>
      </c>
      <c r="J5546">
        <v>-355.8707</v>
      </c>
      <c r="K5546">
        <v>1.1210850000000001</v>
      </c>
      <c r="L5546">
        <v>17.89301</v>
      </c>
      <c r="M5546">
        <v>0.99990730000000005</v>
      </c>
      <c r="N5546">
        <v>-1.3617789999999999E-2</v>
      </c>
      <c r="O5546">
        <v>-3.9088890000000002E-4</v>
      </c>
      <c r="P5546">
        <v>0.99663250000000003</v>
      </c>
      <c r="Q5546">
        <v>-8.1989389999999995E-2</v>
      </c>
      <c r="R5546">
        <v>1.3566769999999999E-3</v>
      </c>
      <c r="S5546">
        <v>2.9951479999999999</v>
      </c>
      <c r="T5546">
        <v>-0.18772030000000001</v>
      </c>
      <c r="U5546">
        <v>-0.11019900000000001</v>
      </c>
      <c r="V5546">
        <v>-1.7561829999999999E-3</v>
      </c>
      <c r="W5546">
        <v>-6.8409609999999996E-2</v>
      </c>
      <c r="X5546">
        <v>0.99765570000000003</v>
      </c>
      <c r="Y5546">
        <v>3.629081E-2</v>
      </c>
      <c r="Z5546">
        <v>-1.364103E-3</v>
      </c>
      <c r="AA5546">
        <v>0.99934040000000002</v>
      </c>
      <c r="AB5546">
        <v>22</v>
      </c>
      <c r="AC5546">
        <v>16.163</v>
      </c>
      <c r="AD5546">
        <v>-1.1210857189679999</v>
      </c>
      <c r="AE5546">
        <v>-0.65743999999999703</v>
      </c>
      <c r="AF5546">
        <v>0.64800901727910998</v>
      </c>
      <c r="AG5546">
        <v>-1.1210857189679999</v>
      </c>
      <c r="AH5546">
        <v>16.085994182697402</v>
      </c>
      <c r="AI5546">
        <v>93.983464108531905</v>
      </c>
      <c r="AJ5546">
        <v>87.693141191197299</v>
      </c>
      <c r="AK5546">
        <v>16.138028309602198</v>
      </c>
      <c r="AL5546">
        <v>93.922645864982698</v>
      </c>
      <c r="AM5546">
        <v>90.100858211927005</v>
      </c>
      <c r="AN5546">
        <v>0.99999992733078302</v>
      </c>
    </row>
    <row r="5547" spans="1:40" x14ac:dyDescent="0.25">
      <c r="A5547" t="str">
        <f>"20190303154629741"</f>
        <v>20190303154629741</v>
      </c>
      <c r="B5547" t="str">
        <f>"1551599189736457"</f>
        <v>1551599189736457</v>
      </c>
      <c r="C5547" t="s">
        <v>40</v>
      </c>
      <c r="D5547">
        <v>5.5648629999999999</v>
      </c>
      <c r="E5547">
        <v>0.52309839999999996</v>
      </c>
      <c r="F5547" t="s">
        <v>41</v>
      </c>
      <c r="G5547">
        <v>-334.92270000000002</v>
      </c>
      <c r="H5547" s="1">
        <v>-2.645612E-6</v>
      </c>
      <c r="I5547">
        <v>16.881250000000001</v>
      </c>
      <c r="J5547">
        <v>-355.6463</v>
      </c>
      <c r="K5547">
        <v>1.1210880000000001</v>
      </c>
      <c r="L5547">
        <v>17.892789999999898</v>
      </c>
      <c r="M5547">
        <v>0.99990730000000005</v>
      </c>
      <c r="N5547">
        <v>-1.3615530000000001E-2</v>
      </c>
      <c r="O5547">
        <v>-4.627422E-4</v>
      </c>
      <c r="P5547">
        <v>0.99657510000000005</v>
      </c>
      <c r="Q5547">
        <v>-8.2691589999999995E-2</v>
      </c>
      <c r="R5547">
        <v>6.4375680000000005E-4</v>
      </c>
      <c r="S5547">
        <v>2.997131</v>
      </c>
      <c r="T5547">
        <v>-0.16039929999999999</v>
      </c>
      <c r="U5547">
        <v>-0.14474489999999901</v>
      </c>
      <c r="V5547">
        <v>-1.1148589999999999E-3</v>
      </c>
      <c r="W5547">
        <v>-6.911486E-2</v>
      </c>
      <c r="X5547">
        <v>0.9976081</v>
      </c>
      <c r="Y5547">
        <v>4.769089E-2</v>
      </c>
      <c r="Z5547">
        <v>-1.581222E-3</v>
      </c>
      <c r="AA5547">
        <v>0.99886090000000005</v>
      </c>
      <c r="AB5547">
        <v>22</v>
      </c>
      <c r="AC5547">
        <v>20.723599999999902</v>
      </c>
      <c r="AD5547">
        <v>-1.12109064561199</v>
      </c>
      <c r="AE5547">
        <v>-1.0115399999999899</v>
      </c>
      <c r="AF5547">
        <v>0.99903258270902495</v>
      </c>
      <c r="AG5547">
        <v>-1.12109064561199</v>
      </c>
      <c r="AH5547">
        <v>20.6637368634754</v>
      </c>
      <c r="AI5547">
        <v>93.1018653363261</v>
      </c>
      <c r="AJ5547">
        <v>87.232068204067602</v>
      </c>
      <c r="AK5547">
        <v>20.7182270356309</v>
      </c>
      <c r="AL5547">
        <v>93.963149242533703</v>
      </c>
      <c r="AM5547">
        <v>90.0640298418394</v>
      </c>
      <c r="AN5547">
        <v>1.0000000139845</v>
      </c>
    </row>
    <row r="5548" spans="1:40" x14ac:dyDescent="0.25">
      <c r="A5548" t="str">
        <f>"20190303154629762"</f>
        <v>20190303154629762</v>
      </c>
      <c r="B5548" t="str">
        <f>"1551599189756953"</f>
        <v>1551599189756953</v>
      </c>
      <c r="C5548" t="s">
        <v>40</v>
      </c>
      <c r="D5548">
        <v>5.5728519999999904</v>
      </c>
      <c r="E5548">
        <v>0.52400020000000003</v>
      </c>
      <c r="F5548" t="s">
        <v>41</v>
      </c>
      <c r="G5548">
        <v>-331.93169999999998</v>
      </c>
      <c r="H5548" s="1">
        <v>-4.0047659999999997E-6</v>
      </c>
      <c r="I5548">
        <v>16.45262</v>
      </c>
      <c r="J5548">
        <v>-355.4366</v>
      </c>
      <c r="K5548">
        <v>1.121092</v>
      </c>
      <c r="L5548">
        <v>17.892610000000001</v>
      </c>
      <c r="M5548">
        <v>0.99990730000000005</v>
      </c>
      <c r="N5548">
        <v>-1.3613449999999999E-2</v>
      </c>
      <c r="O5548">
        <v>-5.2899480000000003E-4</v>
      </c>
      <c r="P5548">
        <v>0.996614</v>
      </c>
      <c r="Q5548">
        <v>-8.2224469999999994E-2</v>
      </c>
      <c r="R5548">
        <v>-4.233695E-4</v>
      </c>
      <c r="S5548">
        <v>2.998688</v>
      </c>
      <c r="T5548">
        <v>-0.14176079999999999</v>
      </c>
      <c r="U5548">
        <v>-0.18209839999999999</v>
      </c>
      <c r="V5548">
        <v>-1.1399650000000001E-4</v>
      </c>
      <c r="W5548">
        <v>-6.8649500000000002E-2</v>
      </c>
      <c r="X5548">
        <v>0.99764079999999999</v>
      </c>
      <c r="Y5548">
        <v>6.000051E-2</v>
      </c>
      <c r="Z5548">
        <v>-1.807463E-3</v>
      </c>
      <c r="AA5548">
        <v>0.99819669999999905</v>
      </c>
      <c r="AB5548">
        <v>22</v>
      </c>
      <c r="AC5548">
        <v>23.504899999999999</v>
      </c>
      <c r="AD5548">
        <v>-1.1210960047659999</v>
      </c>
      <c r="AE5548">
        <v>-1.4399900000000001</v>
      </c>
      <c r="AF5548">
        <v>1.4243265446250499</v>
      </c>
      <c r="AG5548">
        <v>-1.1210960047659999</v>
      </c>
      <c r="AH5548">
        <v>23.4525051235528</v>
      </c>
      <c r="AI5548">
        <v>92.731791046488198</v>
      </c>
      <c r="AJ5548">
        <v>86.524559492223005</v>
      </c>
      <c r="AK5548">
        <v>23.522447979066701</v>
      </c>
      <c r="AL5548">
        <v>93.936422785495793</v>
      </c>
      <c r="AM5548">
        <v>90.006546963898003</v>
      </c>
      <c r="AN5548">
        <v>0.99999996633504495</v>
      </c>
    </row>
    <row r="5549" spans="1:40" x14ac:dyDescent="0.25">
      <c r="A5549" t="str">
        <f>"20190303154629785"</f>
        <v>20190303154629785</v>
      </c>
      <c r="B5549" t="str">
        <f>"1551599189776473"</f>
        <v>1551599189776473</v>
      </c>
      <c r="C5549" t="s">
        <v>40</v>
      </c>
      <c r="D5549">
        <v>5.5643209999999996</v>
      </c>
      <c r="E5549">
        <v>0.52546289999999996</v>
      </c>
      <c r="F5549" t="s">
        <v>41</v>
      </c>
      <c r="G5549">
        <v>-331.4785</v>
      </c>
      <c r="H5549" s="1">
        <v>-4.2166490000000003E-6</v>
      </c>
      <c r="I5549">
        <v>16.354179999999999</v>
      </c>
      <c r="J5549">
        <v>-355.21969999999999</v>
      </c>
      <c r="K5549">
        <v>1.1210899999999999</v>
      </c>
      <c r="L5549">
        <v>17.892399999999999</v>
      </c>
      <c r="M5549">
        <v>0.99990730000000005</v>
      </c>
      <c r="N5549">
        <v>-1.361124E-2</v>
      </c>
      <c r="O5549">
        <v>-5.9787030000000001E-4</v>
      </c>
      <c r="P5549">
        <v>0.99663449999999998</v>
      </c>
      <c r="Q5549">
        <v>-8.1956150000000005E-2</v>
      </c>
      <c r="R5549">
        <v>-1.7896170000000001E-3</v>
      </c>
      <c r="S5549">
        <v>2.998535</v>
      </c>
      <c r="T5549">
        <v>-0.14031350000000001</v>
      </c>
      <c r="U5549">
        <v>-0.1925354</v>
      </c>
      <c r="V5549">
        <v>1.1840659999999999E-3</v>
      </c>
      <c r="W5549">
        <v>-6.8383260000000001E-2</v>
      </c>
      <c r="X5549">
        <v>0.99765839999999995</v>
      </c>
      <c r="Y5549">
        <v>6.3392210000000004E-2</v>
      </c>
      <c r="Z5549">
        <v>-1.8932389999999999E-3</v>
      </c>
      <c r="AA5549">
        <v>0.99798690000000001</v>
      </c>
      <c r="AB5549">
        <v>22</v>
      </c>
      <c r="AC5549">
        <v>23.7411999999999</v>
      </c>
      <c r="AD5549">
        <v>-1.1210942166490001</v>
      </c>
      <c r="AE5549">
        <v>-1.5382199999999899</v>
      </c>
      <c r="AF5549">
        <v>1.5206475868415701</v>
      </c>
      <c r="AG5549">
        <v>-1.1210942166490001</v>
      </c>
      <c r="AH5549">
        <v>23.689511869394799</v>
      </c>
      <c r="AI5549">
        <v>92.703915725684297</v>
      </c>
      <c r="AJ5549">
        <v>86.327179843065593</v>
      </c>
      <c r="AK5549">
        <v>23.764725833389502</v>
      </c>
      <c r="AL5549">
        <v>93.921132379580996</v>
      </c>
      <c r="AM5549">
        <v>89.9319988158162</v>
      </c>
      <c r="AN5549">
        <v>0.99999997767553905</v>
      </c>
    </row>
    <row r="5550" spans="1:40" x14ac:dyDescent="0.25">
      <c r="A5550" t="str">
        <f>"20190303154629808"</f>
        <v>20190303154629808</v>
      </c>
      <c r="B5550" t="str">
        <f>"1551599189796969"</f>
        <v>1551599189796969</v>
      </c>
      <c r="C5550" t="s">
        <v>40</v>
      </c>
      <c r="D5550">
        <v>5.729635</v>
      </c>
      <c r="E5550">
        <v>0.52612269999999906</v>
      </c>
      <c r="F5550" t="s">
        <v>41</v>
      </c>
      <c r="G5550">
        <v>-329.6841</v>
      </c>
      <c r="H5550" s="1">
        <v>-1.0363619999999999E-6</v>
      </c>
      <c r="I5550">
        <v>16.117850000000001</v>
      </c>
      <c r="J5550">
        <v>-354.99790000000002</v>
      </c>
      <c r="K5550">
        <v>1.1210880000000001</v>
      </c>
      <c r="L5550">
        <v>17.89218</v>
      </c>
      <c r="M5550">
        <v>0.9999072</v>
      </c>
      <c r="N5550">
        <v>-1.360896E-2</v>
      </c>
      <c r="O5550">
        <v>-6.6817850000000002E-4</v>
      </c>
      <c r="P5550">
        <v>0.99660990000000005</v>
      </c>
      <c r="Q5550">
        <v>-8.2236890000000007E-2</v>
      </c>
      <c r="R5550">
        <v>-2.4462669999999998E-3</v>
      </c>
      <c r="S5550">
        <v>2.9989319999999999</v>
      </c>
      <c r="T5550">
        <v>-0.13166240000000001</v>
      </c>
      <c r="U5550">
        <v>-0.20840449999999999</v>
      </c>
      <c r="V5550">
        <v>1.7707389999999999E-3</v>
      </c>
      <c r="W5550">
        <v>-6.8666660000000004E-2</v>
      </c>
      <c r="X5550">
        <v>0.99763809999999997</v>
      </c>
      <c r="Y5550">
        <v>6.8573159999999994E-2</v>
      </c>
      <c r="Z5550">
        <v>-1.950029E-3</v>
      </c>
      <c r="AA5550">
        <v>0.99764419999999998</v>
      </c>
      <c r="AB5550">
        <v>21</v>
      </c>
      <c r="AC5550">
        <v>25.313800000000001</v>
      </c>
      <c r="AD5550">
        <v>-1.1210890363620001</v>
      </c>
      <c r="AE5550">
        <v>-1.77432999999999</v>
      </c>
      <c r="AF5550">
        <v>1.7539904489059299</v>
      </c>
      <c r="AG5550">
        <v>-1.1210890363620001</v>
      </c>
      <c r="AH5550">
        <v>25.2656663056272</v>
      </c>
      <c r="AI5550">
        <v>92.534571573397898</v>
      </c>
      <c r="AJ5550">
        <v>86.028789813448498</v>
      </c>
      <c r="AK5550">
        <v>25.351276437087101</v>
      </c>
      <c r="AL5550">
        <v>93.937408126044602</v>
      </c>
      <c r="AM5550">
        <v>89.898304039533102</v>
      </c>
      <c r="AN5550">
        <v>1.0000000121418799</v>
      </c>
    </row>
    <row r="5551" spans="1:40" x14ac:dyDescent="0.25">
      <c r="A5551" t="str">
        <f>"20190303154629831"</f>
        <v>20190303154629831</v>
      </c>
      <c r="B5551" t="str">
        <f>"1551599189816489"</f>
        <v>1551599189816489</v>
      </c>
      <c r="C5551" t="s">
        <v>40</v>
      </c>
      <c r="D5551">
        <v>5.7039479999999996</v>
      </c>
      <c r="E5551">
        <v>0.52607819999999905</v>
      </c>
      <c r="F5551" t="s">
        <v>41</v>
      </c>
      <c r="G5551">
        <v>-329.14420000000001</v>
      </c>
      <c r="H5551" s="1">
        <v>-1.266306E-6</v>
      </c>
      <c r="I5551">
        <v>16.032900000000001</v>
      </c>
      <c r="J5551">
        <v>-354.78269999999998</v>
      </c>
      <c r="K5551">
        <v>1.121086</v>
      </c>
      <c r="L5551">
        <v>17.891970000000001</v>
      </c>
      <c r="M5551">
        <v>0.99990730000000005</v>
      </c>
      <c r="N5551">
        <v>-1.3606760000000001E-2</v>
      </c>
      <c r="O5551">
        <v>-7.3682169999999896E-4</v>
      </c>
      <c r="P5551">
        <v>0.99654600000000004</v>
      </c>
      <c r="Q5551">
        <v>-8.2994310000000002E-2</v>
      </c>
      <c r="R5551">
        <v>-2.8167890000000001E-3</v>
      </c>
      <c r="S5551">
        <v>2.998901</v>
      </c>
      <c r="T5551">
        <v>-0.13004080000000001</v>
      </c>
      <c r="U5551">
        <v>-0.21566769999999999</v>
      </c>
      <c r="V5551">
        <v>2.0730430000000001E-3</v>
      </c>
      <c r="W5551">
        <v>-6.9427139999999998E-2</v>
      </c>
      <c r="X5551">
        <v>0.9975849</v>
      </c>
      <c r="Y5551">
        <v>7.0908429999999995E-2</v>
      </c>
      <c r="Z5551">
        <v>-1.9961670000000001E-3</v>
      </c>
      <c r="AA5551">
        <v>0.99748079999999995</v>
      </c>
      <c r="AB5551">
        <v>21</v>
      </c>
      <c r="AC5551">
        <v>25.638499999999901</v>
      </c>
      <c r="AD5551">
        <v>-1.1210872663060001</v>
      </c>
      <c r="AE5551">
        <v>-1.85906999999999</v>
      </c>
      <c r="AF5551">
        <v>1.8366833288287101</v>
      </c>
      <c r="AG5551">
        <v>-1.1210872663060001</v>
      </c>
      <c r="AH5551">
        <v>25.591187897515599</v>
      </c>
      <c r="AI5551">
        <v>92.501956736753399</v>
      </c>
      <c r="AJ5551">
        <v>85.894912173494603</v>
      </c>
      <c r="AK5551">
        <v>25.6814941215464</v>
      </c>
      <c r="AL5551">
        <v>93.981084591559593</v>
      </c>
      <c r="AM5551">
        <v>89.880936004868403</v>
      </c>
      <c r="AN5551">
        <v>1.00000002899193</v>
      </c>
    </row>
    <row r="5552" spans="1:40" x14ac:dyDescent="0.25">
      <c r="A5552" t="str">
        <f>"20190303154629853"</f>
        <v>20190303154629853</v>
      </c>
      <c r="B5552" t="str">
        <f>"1551599189847252"</f>
        <v>1551599189847252</v>
      </c>
      <c r="C5552" t="s">
        <v>40</v>
      </c>
      <c r="D5552">
        <v>5.735144</v>
      </c>
      <c r="E5552">
        <v>0.52598739999999999</v>
      </c>
      <c r="F5552" t="s">
        <v>41</v>
      </c>
      <c r="G5552">
        <v>-330.16210000000001</v>
      </c>
      <c r="H5552" s="1">
        <v>-4.823866E-6</v>
      </c>
      <c r="I5552">
        <v>16.114729999999899</v>
      </c>
      <c r="J5552">
        <v>-354.56630000000001</v>
      </c>
      <c r="K5552">
        <v>1.121086</v>
      </c>
      <c r="L5552">
        <v>17.891690000000001</v>
      </c>
      <c r="M5552">
        <v>0.9999072</v>
      </c>
      <c r="N5552">
        <v>-1.360454E-2</v>
      </c>
      <c r="O5552">
        <v>-8.0570629999999999E-4</v>
      </c>
      <c r="P5552">
        <v>0.99652339999999995</v>
      </c>
      <c r="Q5552">
        <v>-8.3262180000000005E-2</v>
      </c>
      <c r="R5552">
        <v>-2.8955460000000001E-3</v>
      </c>
      <c r="S5552">
        <v>2.9984130000000002</v>
      </c>
      <c r="T5552">
        <v>-0.13653119999999999</v>
      </c>
      <c r="U5552">
        <v>-0.2164307</v>
      </c>
      <c r="V5552">
        <v>2.0830279999999998E-3</v>
      </c>
      <c r="W5552">
        <v>-6.9697510000000004E-2</v>
      </c>
      <c r="X5552">
        <v>0.99756599999999995</v>
      </c>
      <c r="Y5552">
        <v>7.1095820000000004E-2</v>
      </c>
      <c r="Z5552">
        <v>-2.0746300000000001E-3</v>
      </c>
      <c r="AA5552">
        <v>0.99746729999999995</v>
      </c>
      <c r="AB5552">
        <v>21</v>
      </c>
      <c r="AC5552">
        <v>24.404199999999999</v>
      </c>
      <c r="AD5552">
        <v>-1.121090823866</v>
      </c>
      <c r="AE5552">
        <v>-1.7769600000000001</v>
      </c>
      <c r="AF5552">
        <v>1.7536137826684399</v>
      </c>
      <c r="AG5552">
        <v>-1.121090823866</v>
      </c>
      <c r="AH5552">
        <v>24.354498700651501</v>
      </c>
      <c r="AI5552">
        <v>92.628793344649594</v>
      </c>
      <c r="AJ5552">
        <v>85.881599945989194</v>
      </c>
      <c r="AK5552">
        <v>24.4432733670054</v>
      </c>
      <c r="AL5552">
        <v>93.996613371136505</v>
      </c>
      <c r="AM5552">
        <v>89.880360257319893</v>
      </c>
      <c r="AN5552">
        <v>1.00000000313092</v>
      </c>
    </row>
    <row r="5553" spans="1:40" x14ac:dyDescent="0.25">
      <c r="A5553" t="str">
        <f>"20190303154629874"</f>
        <v>20190303154629874</v>
      </c>
      <c r="B5553" t="str">
        <f>"1551599189866772"</f>
        <v>1551599189866772</v>
      </c>
      <c r="C5553" t="s">
        <v>40</v>
      </c>
      <c r="D5553">
        <v>5.7540380000000004</v>
      </c>
      <c r="E5553">
        <v>0.52606140000000001</v>
      </c>
      <c r="F5553" t="s">
        <v>41</v>
      </c>
      <c r="G5553">
        <v>-331.09589999999997</v>
      </c>
      <c r="H5553" s="1">
        <v>-4.4079120000000001E-6</v>
      </c>
      <c r="I5553">
        <v>16.201239999999999</v>
      </c>
      <c r="J5553">
        <v>-354.35969999999998</v>
      </c>
      <c r="K5553">
        <v>1.1210850000000001</v>
      </c>
      <c r="L5553">
        <v>17.891449999999999</v>
      </c>
      <c r="M5553">
        <v>0.99990710000000005</v>
      </c>
      <c r="N5553">
        <v>-1.360242E-2</v>
      </c>
      <c r="O5553">
        <v>-8.7185020000000004E-4</v>
      </c>
      <c r="P5553">
        <v>0.99653400000000003</v>
      </c>
      <c r="Q5553">
        <v>-8.3143800000000004E-2</v>
      </c>
      <c r="R5553">
        <v>-2.717391E-3</v>
      </c>
      <c r="S5553">
        <v>2.9978940000000001</v>
      </c>
      <c r="T5553">
        <v>-0.1431974</v>
      </c>
      <c r="U5553">
        <v>-0.21591189999999999</v>
      </c>
      <c r="V5553">
        <v>1.838737E-3</v>
      </c>
      <c r="W5553">
        <v>-6.9581050000000005E-2</v>
      </c>
      <c r="X5553">
        <v>0.99757459999999998</v>
      </c>
      <c r="Y5553">
        <v>7.0862519999999998E-2</v>
      </c>
      <c r="Z5553">
        <v>-2.1424819999999998E-3</v>
      </c>
      <c r="AA5553">
        <v>0.99748380000000003</v>
      </c>
      <c r="AB5553">
        <v>21</v>
      </c>
      <c r="AC5553">
        <v>23.2638</v>
      </c>
      <c r="AD5553">
        <v>-1.121089407912</v>
      </c>
      <c r="AE5553">
        <v>-1.69021</v>
      </c>
      <c r="AF5553">
        <v>1.66607611227541</v>
      </c>
      <c r="AG5553">
        <v>-1.121089407912</v>
      </c>
      <c r="AH5553">
        <v>23.211643443044998</v>
      </c>
      <c r="AI5553">
        <v>92.758071261567196</v>
      </c>
      <c r="AJ5553">
        <v>85.894487229939998</v>
      </c>
      <c r="AK5553">
        <v>23.2983484908154</v>
      </c>
      <c r="AL5553">
        <v>93.989924506014205</v>
      </c>
      <c r="AM5553">
        <v>89.894392108192307</v>
      </c>
      <c r="AN5553">
        <v>0.99999999301900799</v>
      </c>
    </row>
    <row r="5554" spans="1:40" x14ac:dyDescent="0.25">
      <c r="A5554" t="str">
        <f>"20190303154629896"</f>
        <v>20190303154629896</v>
      </c>
      <c r="B5554" t="str">
        <f>"1551599189887268"</f>
        <v>1551599189887268</v>
      </c>
      <c r="C5554" t="s">
        <v>40</v>
      </c>
      <c r="D5554">
        <v>5.7767410000000003</v>
      </c>
      <c r="E5554">
        <v>0.5260823</v>
      </c>
      <c r="F5554" t="s">
        <v>41</v>
      </c>
      <c r="G5554">
        <v>-331.27260000000001</v>
      </c>
      <c r="H5554" s="1">
        <v>-4.3273439999999996E-6</v>
      </c>
      <c r="I5554">
        <v>16.22803</v>
      </c>
      <c r="J5554">
        <v>-354.15410000000003</v>
      </c>
      <c r="K5554">
        <v>1.1210880000000001</v>
      </c>
      <c r="L5554">
        <v>17.891169999999999</v>
      </c>
      <c r="M5554">
        <v>0.9999072</v>
      </c>
      <c r="N5554">
        <v>-1.3600279999999999E-2</v>
      </c>
      <c r="O5554">
        <v>-9.3799469999999996E-4</v>
      </c>
      <c r="P5554">
        <v>0.99656909999999999</v>
      </c>
      <c r="Q5554">
        <v>-8.2734100000000005E-2</v>
      </c>
      <c r="R5554">
        <v>-2.34155E-3</v>
      </c>
      <c r="S5554">
        <v>2.9977109999999998</v>
      </c>
      <c r="T5554">
        <v>-0.1455661</v>
      </c>
      <c r="U5554">
        <v>-0.2159729</v>
      </c>
      <c r="V5554">
        <v>1.3971039999999999E-3</v>
      </c>
      <c r="W5554">
        <v>-6.9172999999999998E-2</v>
      </c>
      <c r="X5554">
        <v>0.99760369999999998</v>
      </c>
      <c r="Y5554">
        <v>7.081817E-2</v>
      </c>
      <c r="Z5554">
        <v>-2.1660550000000001E-3</v>
      </c>
      <c r="AA5554">
        <v>0.99748689999999995</v>
      </c>
      <c r="AB5554">
        <v>21</v>
      </c>
      <c r="AC5554">
        <v>22.881499999999999</v>
      </c>
      <c r="AD5554">
        <v>-1.1210923273440001</v>
      </c>
      <c r="AE5554">
        <v>-1.6631400000000001</v>
      </c>
      <c r="AF5554">
        <v>1.63776366076186</v>
      </c>
      <c r="AG5554">
        <v>-1.1210923273440001</v>
      </c>
      <c r="AH5554">
        <v>22.8285366675109</v>
      </c>
      <c r="AI5554">
        <v>92.804298147705495</v>
      </c>
      <c r="AJ5554">
        <v>85.896519680708494</v>
      </c>
      <c r="AK5554">
        <v>22.914650427070299</v>
      </c>
      <c r="AL5554">
        <v>93.966488470125498</v>
      </c>
      <c r="AM5554">
        <v>89.919759609543902</v>
      </c>
      <c r="AN5554">
        <v>0.99999999904113801</v>
      </c>
    </row>
    <row r="5555" spans="1:40" x14ac:dyDescent="0.25">
      <c r="A5555" t="str">
        <f>"20190303154629918"</f>
        <v>20190303154629918</v>
      </c>
      <c r="B5555" t="str">
        <f>"1551599189906788"</f>
        <v>1551599189906788</v>
      </c>
      <c r="C5555" t="s">
        <v>40</v>
      </c>
      <c r="D5555">
        <v>5.7666370000000002</v>
      </c>
      <c r="E5555">
        <v>0.52608250000000001</v>
      </c>
      <c r="F5555" t="s">
        <v>41</v>
      </c>
      <c r="G5555">
        <v>-331.37490000000003</v>
      </c>
      <c r="H5555" s="1">
        <v>-4.2783619999999998E-6</v>
      </c>
      <c r="I5555">
        <v>16.256820000000001</v>
      </c>
      <c r="J5555">
        <v>-353.94369999999998</v>
      </c>
      <c r="K5555">
        <v>1.121084</v>
      </c>
      <c r="L5555">
        <v>17.890899999999998</v>
      </c>
      <c r="M5555">
        <v>0.99990699999999999</v>
      </c>
      <c r="N5555">
        <v>-1.359808E-2</v>
      </c>
      <c r="O5555">
        <v>-1.0054489999999901E-3</v>
      </c>
      <c r="P5555">
        <v>0.99658829999999998</v>
      </c>
      <c r="Q5555">
        <v>-8.2504480000000005E-2</v>
      </c>
      <c r="R5555">
        <v>-2.236863E-3</v>
      </c>
      <c r="S5555">
        <v>2.9975589999999999</v>
      </c>
      <c r="T5555">
        <v>-0.14752660000000001</v>
      </c>
      <c r="U5555">
        <v>-0.21505740000000001</v>
      </c>
      <c r="V5555">
        <v>1.2251149999999999E-3</v>
      </c>
      <c r="W5555">
        <v>-6.8945300000000001E-2</v>
      </c>
      <c r="X5555">
        <v>0.9976197</v>
      </c>
      <c r="Y5555">
        <v>7.0449490000000003E-2</v>
      </c>
      <c r="Z5555">
        <v>-2.1745919999999999E-3</v>
      </c>
      <c r="AA5555">
        <v>0.99751299999999998</v>
      </c>
      <c r="AB5555">
        <v>21</v>
      </c>
      <c r="AC5555">
        <v>22.5687999999999</v>
      </c>
      <c r="AD5555">
        <v>-1.121088278362</v>
      </c>
      <c r="AE5555">
        <v>-1.63407999999999</v>
      </c>
      <c r="AF5555">
        <v>1.6074395748400501</v>
      </c>
      <c r="AG5555">
        <v>-1.121088278362</v>
      </c>
      <c r="AH5555">
        <v>22.515164582859001</v>
      </c>
      <c r="AI5555">
        <v>92.843325658984597</v>
      </c>
      <c r="AJ5555">
        <v>85.916374438071102</v>
      </c>
      <c r="AK5555">
        <v>22.600295066832</v>
      </c>
      <c r="AL5555">
        <v>93.953410953879001</v>
      </c>
      <c r="AM5555">
        <v>89.929638635211106</v>
      </c>
      <c r="AN5555">
        <v>1.0000000105634701</v>
      </c>
    </row>
    <row r="5556" spans="1:40" x14ac:dyDescent="0.25">
      <c r="A5556" t="str">
        <f>"20190303154629941"</f>
        <v>20190303154629941</v>
      </c>
      <c r="B5556" t="str">
        <f>"1551599189937045"</f>
        <v>1551599189937045</v>
      </c>
      <c r="C5556" t="s">
        <v>40</v>
      </c>
      <c r="D5556">
        <v>5.7676420000000004</v>
      </c>
      <c r="E5556">
        <v>0.52609079999999997</v>
      </c>
      <c r="F5556" t="s">
        <v>41</v>
      </c>
      <c r="G5556">
        <v>-331.5025</v>
      </c>
      <c r="H5556" s="1">
        <v>-4.2190130000000003E-6</v>
      </c>
      <c r="I5556">
        <v>16.282779999999999</v>
      </c>
      <c r="J5556">
        <v>-353.71949999999998</v>
      </c>
      <c r="K5556">
        <v>1.121084</v>
      </c>
      <c r="L5556">
        <v>17.89059</v>
      </c>
      <c r="M5556">
        <v>0.99990710000000005</v>
      </c>
      <c r="N5556">
        <v>-1.359573E-2</v>
      </c>
      <c r="O5556">
        <v>-1.07755E-3</v>
      </c>
      <c r="P5556">
        <v>0.99655689999999997</v>
      </c>
      <c r="Q5556">
        <v>-8.2872260000000003E-2</v>
      </c>
      <c r="R5556">
        <v>-2.6126349999999999E-3</v>
      </c>
      <c r="S5556">
        <v>2.9974370000000001</v>
      </c>
      <c r="T5556">
        <v>-0.14974179999999901</v>
      </c>
      <c r="U5556">
        <v>-0.21478269999999999</v>
      </c>
      <c r="V5556">
        <v>1.529084E-3</v>
      </c>
      <c r="W5556">
        <v>-6.9315870000000002E-2</v>
      </c>
      <c r="X5556">
        <v>0.99759359999999997</v>
      </c>
      <c r="Y5556">
        <v>7.0286920000000003E-2</v>
      </c>
      <c r="Z5556">
        <v>-2.1920220000000001E-3</v>
      </c>
      <c r="AA5556">
        <v>0.99752439999999998</v>
      </c>
      <c r="AB5556">
        <v>21</v>
      </c>
      <c r="AC5556">
        <v>22.216999999999899</v>
      </c>
      <c r="AD5556">
        <v>-1.121088219013</v>
      </c>
      <c r="AE5556">
        <v>-1.60781</v>
      </c>
      <c r="AF5556">
        <v>1.57986508331903</v>
      </c>
      <c r="AG5556">
        <v>-1.121088219013</v>
      </c>
      <c r="AH5556">
        <v>22.162581289151799</v>
      </c>
      <c r="AI5556">
        <v>92.888505998375095</v>
      </c>
      <c r="AJ5556">
        <v>85.922553498299195</v>
      </c>
      <c r="AK5556">
        <v>22.247085693963601</v>
      </c>
      <c r="AL5556">
        <v>93.974693972707598</v>
      </c>
      <c r="AM5556">
        <v>89.912178675654104</v>
      </c>
      <c r="AN5556">
        <v>1.0000000093463399</v>
      </c>
    </row>
    <row r="5557" spans="1:40" x14ac:dyDescent="0.25">
      <c r="A5557" t="str">
        <f>"20190303154629963"</f>
        <v>20190303154629963</v>
      </c>
      <c r="B5557" t="str">
        <f>"1551599189956564"</f>
        <v>1551599189956564</v>
      </c>
      <c r="C5557" t="s">
        <v>40</v>
      </c>
      <c r="D5557">
        <v>5.7985709999999999</v>
      </c>
      <c r="E5557">
        <v>0.52610230000000002</v>
      </c>
      <c r="F5557" t="s">
        <v>41</v>
      </c>
      <c r="G5557">
        <v>-331.93759999999997</v>
      </c>
      <c r="H5557" s="1">
        <v>-4.0256869999999997E-6</v>
      </c>
      <c r="I5557">
        <v>16.32039</v>
      </c>
      <c r="J5557">
        <v>-353.51060000000001</v>
      </c>
      <c r="K5557">
        <v>1.121086</v>
      </c>
      <c r="L5557">
        <v>17.89029</v>
      </c>
      <c r="M5557">
        <v>0.99990699999999999</v>
      </c>
      <c r="N5557">
        <v>-1.3593559999999999E-2</v>
      </c>
      <c r="O5557">
        <v>-1.144644E-3</v>
      </c>
      <c r="P5557">
        <v>0.99650620000000001</v>
      </c>
      <c r="Q5557">
        <v>-8.3466399999999996E-2</v>
      </c>
      <c r="R5557">
        <v>-2.981558E-3</v>
      </c>
      <c r="S5557">
        <v>2.9969790000000001</v>
      </c>
      <c r="T5557">
        <v>-0.1542509</v>
      </c>
      <c r="U5557">
        <v>-0.2160339</v>
      </c>
      <c r="V5557">
        <v>1.8310399999999999E-3</v>
      </c>
      <c r="W5557">
        <v>-6.9912849999999999E-2</v>
      </c>
      <c r="X5557">
        <v>0.99755139999999998</v>
      </c>
      <c r="Y5557">
        <v>7.0638610000000004E-2</v>
      </c>
      <c r="Z5557">
        <v>-2.2521849999999999E-3</v>
      </c>
      <c r="AA5557">
        <v>0.99749940000000004</v>
      </c>
      <c r="AB5557">
        <v>21</v>
      </c>
      <c r="AC5557">
        <v>21.573</v>
      </c>
      <c r="AD5557">
        <v>-1.121090025687</v>
      </c>
      <c r="AE5557">
        <v>-1.5699000000000001</v>
      </c>
      <c r="AF5557">
        <v>1.54106341701793</v>
      </c>
      <c r="AG5557">
        <v>-1.121090025687</v>
      </c>
      <c r="AH5557">
        <v>21.5169804048945</v>
      </c>
      <c r="AI5557">
        <v>92.974953973318193</v>
      </c>
      <c r="AJ5557">
        <v>85.903425214996602</v>
      </c>
      <c r="AK5557">
        <v>21.601207490452499</v>
      </c>
      <c r="AL5557">
        <v>94.008981717875002</v>
      </c>
      <c r="AM5557">
        <v>89.894831738696894</v>
      </c>
      <c r="AN5557">
        <v>0.99999997747228098</v>
      </c>
    </row>
    <row r="5558" spans="1:40" x14ac:dyDescent="0.25">
      <c r="A5558" t="str">
        <f>"20190303154629985"</f>
        <v>20190303154629985</v>
      </c>
      <c r="B5558" t="str">
        <f>"1551599189977060"</f>
        <v>1551599189977060</v>
      </c>
      <c r="C5558" t="s">
        <v>40</v>
      </c>
      <c r="D5558">
        <v>5.7946169999999997</v>
      </c>
      <c r="E5558">
        <v>0.52606309999999901</v>
      </c>
      <c r="F5558" t="s">
        <v>41</v>
      </c>
      <c r="G5558">
        <v>-332.32850000000002</v>
      </c>
      <c r="H5558" s="1">
        <v>-3.8518920000000001E-6</v>
      </c>
      <c r="I5558">
        <v>16.354900000000001</v>
      </c>
      <c r="J5558">
        <v>-353.3023</v>
      </c>
      <c r="K5558">
        <v>1.1210819999999999</v>
      </c>
      <c r="L5558">
        <v>17.889979999999898</v>
      </c>
      <c r="M5558">
        <v>0.99990690000000004</v>
      </c>
      <c r="N5558">
        <v>-1.359139E-2</v>
      </c>
      <c r="O5558">
        <v>-1.211621E-3</v>
      </c>
      <c r="P5558">
        <v>0.99653820000000004</v>
      </c>
      <c r="Q5558">
        <v>-8.3069850000000001E-2</v>
      </c>
      <c r="R5558">
        <v>-3.3199779999999999E-3</v>
      </c>
      <c r="S5558">
        <v>2.9965519999999999</v>
      </c>
      <c r="T5558">
        <v>-0.15859619999999999</v>
      </c>
      <c r="U5558">
        <v>-0.21719359999999999</v>
      </c>
      <c r="V5558">
        <v>2.1028359999999999E-3</v>
      </c>
      <c r="W5558">
        <v>-6.9518099999999999E-2</v>
      </c>
      <c r="X5558">
        <v>0.99757850000000003</v>
      </c>
      <c r="Y5558">
        <v>7.0959549999999996E-2</v>
      </c>
      <c r="Z5558">
        <v>-2.3097809999999999E-3</v>
      </c>
      <c r="AA5558">
        <v>0.99747649999999999</v>
      </c>
      <c r="AB5558">
        <v>21</v>
      </c>
      <c r="AC5558">
        <v>20.973799999999901</v>
      </c>
      <c r="AD5558">
        <v>-1.1210858518919999</v>
      </c>
      <c r="AE5558">
        <v>-1.53507999999999</v>
      </c>
      <c r="AF5558">
        <v>1.5053861266428601</v>
      </c>
      <c r="AG5558">
        <v>-1.1210858518919999</v>
      </c>
      <c r="AH5558">
        <v>20.9162037060374</v>
      </c>
      <c r="AI5558">
        <v>93.060155454837698</v>
      </c>
      <c r="AJ5558">
        <v>85.883392372067703</v>
      </c>
      <c r="AK5558">
        <v>21.000252340151899</v>
      </c>
      <c r="AL5558">
        <v>93.986308850359094</v>
      </c>
      <c r="AM5558">
        <v>89.879224091782405</v>
      </c>
      <c r="AN5558">
        <v>1.0000000259045501</v>
      </c>
    </row>
    <row r="5559" spans="1:40" x14ac:dyDescent="0.25">
      <c r="A5559" t="str">
        <f>"20190303154630010"</f>
        <v>20190303154630010</v>
      </c>
      <c r="B5559" t="str">
        <f>"1551599189996580"</f>
        <v>1551599189996580</v>
      </c>
      <c r="C5559" t="s">
        <v>40</v>
      </c>
      <c r="D5559">
        <v>5.7942309999999999</v>
      </c>
      <c r="E5559">
        <v>0.52603549999999999</v>
      </c>
      <c r="F5559" t="s">
        <v>41</v>
      </c>
      <c r="G5559">
        <v>-332.27550000000002</v>
      </c>
      <c r="H5559" s="1">
        <v>-3.8735180000000003E-6</v>
      </c>
      <c r="I5559">
        <v>16.361049999999999</v>
      </c>
      <c r="J5559">
        <v>-353.07510000000002</v>
      </c>
      <c r="K5559">
        <v>1.1210789999999999</v>
      </c>
      <c r="L5559">
        <v>17.889589999999998</v>
      </c>
      <c r="M5559">
        <v>0.99990679999999998</v>
      </c>
      <c r="N5559">
        <v>-1.358903E-2</v>
      </c>
      <c r="O5559">
        <v>-1.2846750000000001E-3</v>
      </c>
      <c r="P5559">
        <v>0.99647799999999997</v>
      </c>
      <c r="Q5559">
        <v>-8.3776009999999998E-2</v>
      </c>
      <c r="R5559">
        <v>-3.639972E-3</v>
      </c>
      <c r="S5559">
        <v>2.9963679999999999</v>
      </c>
      <c r="T5559">
        <v>-0.15975690000000001</v>
      </c>
      <c r="U5559">
        <v>-0.217865</v>
      </c>
      <c r="V5559">
        <v>2.3501379999999999E-3</v>
      </c>
      <c r="W5559">
        <v>-7.0227369999999997E-2</v>
      </c>
      <c r="X5559">
        <v>0.99752830000000003</v>
      </c>
      <c r="Y5559">
        <v>7.1111560000000004E-2</v>
      </c>
      <c r="Z5559">
        <v>-2.3252120000000001E-3</v>
      </c>
      <c r="AA5559">
        <v>0.99746570000000001</v>
      </c>
      <c r="AB5559">
        <v>21</v>
      </c>
      <c r="AC5559">
        <v>20.799600000000002</v>
      </c>
      <c r="AD5559">
        <v>-1.1210828735179901</v>
      </c>
      <c r="AE5559">
        <v>-1.52853999999999</v>
      </c>
      <c r="AF5559">
        <v>1.4974885145926999</v>
      </c>
      <c r="AG5559">
        <v>-1.1210828735179901</v>
      </c>
      <c r="AH5559">
        <v>20.741613300128702</v>
      </c>
      <c r="AI5559">
        <v>93.085806534155097</v>
      </c>
      <c r="AJ5559">
        <v>85.870564197072895</v>
      </c>
      <c r="AK5559">
        <v>20.825797006422299</v>
      </c>
      <c r="AL5559">
        <v>94.027046464912402</v>
      </c>
      <c r="AM5559">
        <v>89.865013614609893</v>
      </c>
      <c r="AN5559">
        <v>1.0000000579733099</v>
      </c>
    </row>
    <row r="5560" spans="1:40" x14ac:dyDescent="0.25">
      <c r="A5560" t="str">
        <f>"20190303154630031"</f>
        <v>20190303154630031</v>
      </c>
      <c r="B5560" t="str">
        <f>"1551599190026837"</f>
        <v>1551599190026837</v>
      </c>
      <c r="C5560" t="s">
        <v>40</v>
      </c>
      <c r="D5560">
        <v>5.7926669999999998</v>
      </c>
      <c r="E5560">
        <v>0.52604319999999904</v>
      </c>
      <c r="F5560" t="s">
        <v>41</v>
      </c>
      <c r="G5560">
        <v>-332.60629999999998</v>
      </c>
      <c r="H5560" s="1">
        <v>-3.7253499999999998E-6</v>
      </c>
      <c r="I5560">
        <v>16.396270000000001</v>
      </c>
      <c r="J5560">
        <v>-352.86739999999998</v>
      </c>
      <c r="K5560">
        <v>1.1210800000000001</v>
      </c>
      <c r="L5560">
        <v>17.889250000000001</v>
      </c>
      <c r="M5560">
        <v>0.99990679999999998</v>
      </c>
      <c r="N5560">
        <v>-1.3586839999999999E-2</v>
      </c>
      <c r="O5560">
        <v>-1.351292E-3</v>
      </c>
      <c r="P5560">
        <v>0.99643780000000004</v>
      </c>
      <c r="Q5560">
        <v>-8.4222720000000001E-2</v>
      </c>
      <c r="R5560">
        <v>-4.2377040000000001E-3</v>
      </c>
      <c r="S5560">
        <v>2.9960330000000002</v>
      </c>
      <c r="T5560">
        <v>-0.16409360000000001</v>
      </c>
      <c r="U5560">
        <v>-0.21856690000000001</v>
      </c>
      <c r="V5560">
        <v>2.881513E-3</v>
      </c>
      <c r="W5560">
        <v>-7.0676859999999994E-2</v>
      </c>
      <c r="X5560">
        <v>0.99749509999999997</v>
      </c>
      <c r="Y5560">
        <v>7.1279220000000004E-2</v>
      </c>
      <c r="Z5560">
        <v>-2.3777630000000002E-3</v>
      </c>
      <c r="AA5560">
        <v>0.99745360000000005</v>
      </c>
      <c r="AB5560">
        <v>21</v>
      </c>
      <c r="AC5560">
        <v>20.261099999999999</v>
      </c>
      <c r="AD5560">
        <v>-1.1210837253499999</v>
      </c>
      <c r="AE5560">
        <v>-1.49297999999999</v>
      </c>
      <c r="AF5560">
        <v>1.4611481384592599</v>
      </c>
      <c r="AG5560">
        <v>-1.1210837253499999</v>
      </c>
      <c r="AH5560">
        <v>20.2015837535575</v>
      </c>
      <c r="AI5560">
        <v>93.168103188533905</v>
      </c>
      <c r="AJ5560">
        <v>85.863092101044401</v>
      </c>
      <c r="AK5560">
        <v>20.285358482259198</v>
      </c>
      <c r="AL5560">
        <v>94.052864740283496</v>
      </c>
      <c r="AM5560">
        <v>89.834487333048102</v>
      </c>
      <c r="AN5560">
        <v>0.99999999809031903</v>
      </c>
    </row>
    <row r="5561" spans="1:40" x14ac:dyDescent="0.25">
      <c r="A5561" t="str">
        <f>"20190303154630053"</f>
        <v>20190303154630053</v>
      </c>
      <c r="B5561" t="str">
        <f>"1551599190046863"</f>
        <v>1551599190046863</v>
      </c>
      <c r="C5561" t="s">
        <v>40</v>
      </c>
      <c r="D5561">
        <v>5.7920369999999997</v>
      </c>
      <c r="E5561">
        <v>0.5260302</v>
      </c>
      <c r="F5561" t="s">
        <v>41</v>
      </c>
      <c r="G5561">
        <v>-332.9588</v>
      </c>
      <c r="H5561" s="1">
        <v>-3.5693470000000001E-6</v>
      </c>
      <c r="I5561">
        <v>16.423359999999999</v>
      </c>
      <c r="J5561">
        <v>-352.66059999999999</v>
      </c>
      <c r="K5561">
        <v>1.1210800000000001</v>
      </c>
      <c r="L5561">
        <v>17.88889</v>
      </c>
      <c r="M5561">
        <v>0.99990679999999998</v>
      </c>
      <c r="N5561">
        <v>-1.358465E-2</v>
      </c>
      <c r="O5561">
        <v>-1.417672E-3</v>
      </c>
      <c r="P5561">
        <v>0.99643250000000005</v>
      </c>
      <c r="Q5561">
        <v>-8.424392E-2</v>
      </c>
      <c r="R5561">
        <v>-5.0340430000000002E-3</v>
      </c>
      <c r="S5561">
        <v>2.995514</v>
      </c>
      <c r="T5561">
        <v>-0.1686811</v>
      </c>
      <c r="U5561">
        <v>-0.22055050000000001</v>
      </c>
      <c r="V5561">
        <v>3.6115230000000002E-3</v>
      </c>
      <c r="W5561">
        <v>-7.0700379999999993E-2</v>
      </c>
      <c r="X5561">
        <v>0.99749109999999996</v>
      </c>
      <c r="Y5561">
        <v>7.1874679999999996E-2</v>
      </c>
      <c r="Z5561">
        <v>-2.448268E-3</v>
      </c>
      <c r="AA5561">
        <v>0.99741069999999998</v>
      </c>
      <c r="AB5561">
        <v>21</v>
      </c>
      <c r="AC5561">
        <v>19.701799999999899</v>
      </c>
      <c r="AD5561">
        <v>-1.12108356934699</v>
      </c>
      <c r="AE5561">
        <v>-1.46553</v>
      </c>
      <c r="AF5561">
        <v>1.43298093677137</v>
      </c>
      <c r="AG5561">
        <v>-1.12108356934699</v>
      </c>
      <c r="AH5561">
        <v>19.640613526356098</v>
      </c>
      <c r="AI5561">
        <v>93.258248605765004</v>
      </c>
      <c r="AJ5561">
        <v>85.827088649333106</v>
      </c>
      <c r="AK5561">
        <v>19.7247043685398</v>
      </c>
      <c r="AL5561">
        <v>94.054215543523796</v>
      </c>
      <c r="AM5561">
        <v>89.792555420953207</v>
      </c>
      <c r="AN5561">
        <v>1.0000000407048599</v>
      </c>
    </row>
    <row r="5562" spans="1:40" x14ac:dyDescent="0.25">
      <c r="A5562" t="str">
        <f>"20190303154630074"</f>
        <v>20190303154630074</v>
      </c>
      <c r="B5562" t="str">
        <f>"1551599190067359"</f>
        <v>1551599190067359</v>
      </c>
      <c r="C5562" t="s">
        <v>40</v>
      </c>
      <c r="D5562">
        <v>5.8310300000000002</v>
      </c>
      <c r="E5562">
        <v>0.52602380000000004</v>
      </c>
      <c r="F5562" t="s">
        <v>41</v>
      </c>
      <c r="G5562">
        <v>-332.99489999999997</v>
      </c>
      <c r="H5562" s="1">
        <v>-3.5535890000000001E-6</v>
      </c>
      <c r="I5562">
        <v>16.424889999999898</v>
      </c>
      <c r="J5562">
        <v>-352.46409999999997</v>
      </c>
      <c r="K5562">
        <v>1.1210770000000001</v>
      </c>
      <c r="L5562">
        <v>17.888549999999999</v>
      </c>
      <c r="M5562">
        <v>0.99990670000000004</v>
      </c>
      <c r="N5562">
        <v>-1.358258E-2</v>
      </c>
      <c r="O5562">
        <v>-1.4805969999999999E-3</v>
      </c>
      <c r="P5562">
        <v>0.99645110000000003</v>
      </c>
      <c r="Q5562">
        <v>-8.3965600000000001E-2</v>
      </c>
      <c r="R5562">
        <v>-5.9161439999999999E-3</v>
      </c>
      <c r="S5562">
        <v>2.9951780000000001</v>
      </c>
      <c r="T5562">
        <v>-0.170745799999999</v>
      </c>
      <c r="U5562">
        <v>-0.2229614</v>
      </c>
      <c r="V5562">
        <v>4.4310740000000001E-3</v>
      </c>
      <c r="W5562">
        <v>-7.0423990000000006E-2</v>
      </c>
      <c r="X5562">
        <v>0.99750729999999999</v>
      </c>
      <c r="Y5562">
        <v>7.2614040000000005E-2</v>
      </c>
      <c r="Z5562">
        <v>-2.4954159999999999E-3</v>
      </c>
      <c r="AA5562">
        <v>0.99735700000000005</v>
      </c>
      <c r="AB5562">
        <v>21</v>
      </c>
      <c r="AC5562">
        <v>19.469200000000001</v>
      </c>
      <c r="AD5562">
        <v>-1.1210805535890001</v>
      </c>
      <c r="AE5562">
        <v>-1.46366</v>
      </c>
      <c r="AF5562">
        <v>1.4301144928152401</v>
      </c>
      <c r="AG5562">
        <v>-1.1210805535890001</v>
      </c>
      <c r="AH5562">
        <v>19.407358286615001</v>
      </c>
      <c r="AI5562">
        <v>93.297139479720798</v>
      </c>
      <c r="AJ5562">
        <v>85.785531899400894</v>
      </c>
      <c r="AK5562">
        <v>19.492244733104499</v>
      </c>
      <c r="AL5562">
        <v>94.038340184227394</v>
      </c>
      <c r="AM5562">
        <v>89.745485402454904</v>
      </c>
      <c r="AN5562">
        <v>0.99999999316880095</v>
      </c>
    </row>
    <row r="5563" spans="1:40" x14ac:dyDescent="0.25">
      <c r="A5563" t="str">
        <f>"20190303154630097"</f>
        <v>20190303154630097</v>
      </c>
      <c r="B5563" t="str">
        <f>"1551599190086879"</f>
        <v>1551599190086879</v>
      </c>
      <c r="C5563" t="s">
        <v>40</v>
      </c>
      <c r="D5563">
        <v>5.8685559999999999</v>
      </c>
      <c r="E5563">
        <v>0.52627939999999995</v>
      </c>
      <c r="F5563" t="s">
        <v>41</v>
      </c>
      <c r="G5563">
        <v>-332.88119999999998</v>
      </c>
      <c r="H5563" s="1">
        <v>-3.6042609999999999E-6</v>
      </c>
      <c r="I5563">
        <v>16.41422</v>
      </c>
      <c r="J5563">
        <v>-352.24779999999998</v>
      </c>
      <c r="K5563">
        <v>1.1210800000000001</v>
      </c>
      <c r="L5563">
        <v>17.888120000000001</v>
      </c>
      <c r="M5563">
        <v>0.99990659999999998</v>
      </c>
      <c r="N5563">
        <v>-1.358029E-2</v>
      </c>
      <c r="O5563">
        <v>-1.5500760000000001E-3</v>
      </c>
      <c r="P5563">
        <v>0.99641389999999996</v>
      </c>
      <c r="Q5563">
        <v>-8.4285620000000006E-2</v>
      </c>
      <c r="R5563">
        <v>-7.4507499999999999E-3</v>
      </c>
      <c r="S5563">
        <v>2.994904</v>
      </c>
      <c r="T5563">
        <v>-0.1714513</v>
      </c>
      <c r="U5563">
        <v>-0.22546389999999999</v>
      </c>
      <c r="V5563">
        <v>5.8963590000000003E-3</v>
      </c>
      <c r="W5563">
        <v>-7.0746909999999996E-2</v>
      </c>
      <c r="X5563">
        <v>0.9974769</v>
      </c>
      <c r="Y5563">
        <v>7.3377639999999994E-2</v>
      </c>
      <c r="Z5563">
        <v>-2.5276180000000001E-3</v>
      </c>
      <c r="AA5563">
        <v>0.99730099999999999</v>
      </c>
      <c r="AB5563">
        <v>21</v>
      </c>
      <c r="AC5563">
        <v>19.366599999999998</v>
      </c>
      <c r="AD5563">
        <v>-1.121083604261</v>
      </c>
      <c r="AE5563">
        <v>-1.4739</v>
      </c>
      <c r="AF5563">
        <v>1.4390812255249801</v>
      </c>
      <c r="AG5563">
        <v>-1.121083604261</v>
      </c>
      <c r="AH5563">
        <v>19.304545358942601</v>
      </c>
      <c r="AI5563">
        <v>93.314460560223594</v>
      </c>
      <c r="AJ5563">
        <v>85.736700788999499</v>
      </c>
      <c r="AK5563">
        <v>19.390545498692799</v>
      </c>
      <c r="AL5563">
        <v>94.056888255366403</v>
      </c>
      <c r="AM5563">
        <v>89.661312908347</v>
      </c>
      <c r="AN5563">
        <v>1.0000000291788</v>
      </c>
    </row>
    <row r="5564" spans="1:40" x14ac:dyDescent="0.25">
      <c r="A5564" t="str">
        <f>"20190303154630111"</f>
        <v>20190303154630111</v>
      </c>
      <c r="B5564" t="str">
        <f>"1551599190107375"</f>
        <v>1551599190107375</v>
      </c>
      <c r="C5564" t="s">
        <v>40</v>
      </c>
      <c r="D5564">
        <v>5.757917</v>
      </c>
      <c r="E5564">
        <v>0.55419319999999905</v>
      </c>
      <c r="F5564" t="s">
        <v>41</v>
      </c>
      <c r="G5564">
        <v>-332.82240000000002</v>
      </c>
      <c r="H5564" s="1">
        <v>-3.6351079999999999E-6</v>
      </c>
      <c r="I5564">
        <v>16.382439999999999</v>
      </c>
      <c r="J5564">
        <v>-352.11529999999999</v>
      </c>
      <c r="K5564">
        <v>1.121078</v>
      </c>
      <c r="L5564">
        <v>17.887879999999999</v>
      </c>
      <c r="M5564">
        <v>0.99990650000000003</v>
      </c>
      <c r="N5564">
        <v>-1.3578939999999999E-2</v>
      </c>
      <c r="O5564">
        <v>-1.592504E-3</v>
      </c>
      <c r="P5564">
        <v>0.99640010000000001</v>
      </c>
      <c r="Q5564">
        <v>-8.4373290000000004E-2</v>
      </c>
      <c r="R5564">
        <v>-8.2543310000000002E-3</v>
      </c>
      <c r="S5564">
        <v>2.994415</v>
      </c>
      <c r="T5564">
        <v>-0.17281389999999999</v>
      </c>
      <c r="U5564">
        <v>-0.23208619999999999</v>
      </c>
      <c r="V5564">
        <v>6.6576739999999997E-3</v>
      </c>
      <c r="W5564">
        <v>-7.0836209999999997E-2</v>
      </c>
      <c r="X5564">
        <v>0.99746570000000001</v>
      </c>
      <c r="Y5564">
        <v>7.5533630000000004E-2</v>
      </c>
      <c r="Z5564">
        <v>-2.6185739999999998E-3</v>
      </c>
      <c r="AA5564">
        <v>0.99713980000000002</v>
      </c>
      <c r="AB5564">
        <v>21</v>
      </c>
      <c r="AC5564">
        <v>19.2928999999999</v>
      </c>
      <c r="AD5564">
        <v>-1.121081635108</v>
      </c>
      <c r="AE5564">
        <v>-1.5054399999999999</v>
      </c>
      <c r="AF5564">
        <v>1.46977841931534</v>
      </c>
      <c r="AG5564">
        <v>-1.121081635108</v>
      </c>
      <c r="AH5564">
        <v>19.230731688318201</v>
      </c>
      <c r="AI5564">
        <v>93.326679149346305</v>
      </c>
      <c r="AJ5564">
        <v>85.629458954483397</v>
      </c>
      <c r="AK5564">
        <v>19.319371467585299</v>
      </c>
      <c r="AL5564">
        <v>94.062017927002799</v>
      </c>
      <c r="AM5564">
        <v>89.617579875602402</v>
      </c>
      <c r="AN5564">
        <v>0.99999995797337105</v>
      </c>
    </row>
    <row r="5565" spans="1:40" x14ac:dyDescent="0.25">
      <c r="A5565" t="str">
        <f>"20190303154630131"</f>
        <v>20190303154630131</v>
      </c>
      <c r="B5565" t="str">
        <f>"1551599190126895"</f>
        <v>1551599190126895</v>
      </c>
      <c r="C5565" t="s">
        <v>40</v>
      </c>
      <c r="D5565">
        <v>5.7432569999999998</v>
      </c>
      <c r="E5565">
        <v>0.5537647</v>
      </c>
      <c r="F5565" t="s">
        <v>41</v>
      </c>
      <c r="G5565">
        <v>-336.23230000000001</v>
      </c>
      <c r="H5565" s="1">
        <v>-2.3742960000000002E-6</v>
      </c>
      <c r="I5565">
        <v>15.459339999999999</v>
      </c>
      <c r="J5565">
        <v>-351.92579999999998</v>
      </c>
      <c r="K5565">
        <v>1.1210690000000001</v>
      </c>
      <c r="L5565">
        <v>17.88748</v>
      </c>
      <c r="M5565">
        <v>0.99990659999999998</v>
      </c>
      <c r="N5565">
        <v>-1.357707E-2</v>
      </c>
      <c r="O5565">
        <v>-1.6543629999999901E-3</v>
      </c>
      <c r="P5565">
        <v>0.99635870000000004</v>
      </c>
      <c r="Q5565">
        <v>-8.4719939999999994E-2</v>
      </c>
      <c r="R5565">
        <v>-9.6050800000000002E-3</v>
      </c>
      <c r="S5565">
        <v>2.989166</v>
      </c>
      <c r="T5565">
        <v>-0.21098510000000001</v>
      </c>
      <c r="U5565">
        <v>-0.45703129999999997</v>
      </c>
      <c r="V5565">
        <v>7.9467859999999904E-3</v>
      </c>
      <c r="W5565">
        <v>-7.1185410000000005E-2</v>
      </c>
      <c r="X5565">
        <v>0.99743150000000003</v>
      </c>
      <c r="Y5565">
        <v>0.14907279999999901</v>
      </c>
      <c r="Z5565">
        <v>-6.1499519999999898E-3</v>
      </c>
      <c r="AA5565">
        <v>0.98880710000000005</v>
      </c>
      <c r="AB5565">
        <v>21</v>
      </c>
      <c r="AC5565">
        <v>15.693499999999901</v>
      </c>
      <c r="AD5565">
        <v>-1.1210713742959999</v>
      </c>
      <c r="AE5565">
        <v>-2.42814</v>
      </c>
      <c r="AF5565">
        <v>2.3902591822853898</v>
      </c>
      <c r="AG5565">
        <v>-1.1210713742959999</v>
      </c>
      <c r="AH5565">
        <v>15.619652096169199</v>
      </c>
      <c r="AI5565">
        <v>94.058176691493699</v>
      </c>
      <c r="AJ5565">
        <v>81.299582282140406</v>
      </c>
      <c r="AK5565">
        <v>15.841201709154801</v>
      </c>
      <c r="AL5565">
        <v>94.082075851284003</v>
      </c>
      <c r="AM5565">
        <v>89.543519865984607</v>
      </c>
      <c r="AN5565">
        <v>1.0000000555984201</v>
      </c>
    </row>
    <row r="5566" spans="1:40" x14ac:dyDescent="0.25">
      <c r="A5566" t="str">
        <f>"20190303154630153"</f>
        <v>20190303154630153</v>
      </c>
      <c r="B5566" t="str">
        <f>"1551599190146922"</f>
        <v>1551599190146922</v>
      </c>
      <c r="C5566" t="s">
        <v>40</v>
      </c>
      <c r="D5566">
        <v>5.7293810000000001</v>
      </c>
      <c r="E5566">
        <v>0.55396880000000004</v>
      </c>
      <c r="F5566" t="s">
        <v>41</v>
      </c>
      <c r="G5566">
        <v>-336.05599999999998</v>
      </c>
      <c r="H5566" s="1">
        <v>-2.4348310000000002E-6</v>
      </c>
      <c r="I5566">
        <v>15.457280000000001</v>
      </c>
      <c r="J5566">
        <v>-351.71899999999999</v>
      </c>
      <c r="K5566">
        <v>1.121068</v>
      </c>
      <c r="L5566">
        <v>17.887049999999999</v>
      </c>
      <c r="M5566">
        <v>0.99990639999999997</v>
      </c>
      <c r="N5566">
        <v>-1.357508E-2</v>
      </c>
      <c r="O5566">
        <v>-1.72374299999999E-3</v>
      </c>
      <c r="P5566">
        <v>0.99629880000000004</v>
      </c>
      <c r="Q5566">
        <v>-8.5222930000000002E-2</v>
      </c>
      <c r="R5566">
        <v>-1.1217939999999999E-2</v>
      </c>
      <c r="S5566">
        <v>2.9886170000000001</v>
      </c>
      <c r="T5566">
        <v>-0.21112059999999999</v>
      </c>
      <c r="U5566">
        <v>-0.45764159999999998</v>
      </c>
      <c r="V5566">
        <v>9.4903460000000002E-3</v>
      </c>
      <c r="W5566">
        <v>-7.1691350000000001E-2</v>
      </c>
      <c r="X5566">
        <v>0.99738170000000004</v>
      </c>
      <c r="Y5566">
        <v>0.14922769999999999</v>
      </c>
      <c r="Z5566">
        <v>-6.1565020000000003E-3</v>
      </c>
      <c r="AA5566">
        <v>0.98878370000000004</v>
      </c>
      <c r="AB5566">
        <v>21</v>
      </c>
      <c r="AC5566">
        <v>15.663</v>
      </c>
      <c r="AD5566">
        <v>-1.1210704348310001</v>
      </c>
      <c r="AE5566">
        <v>-2.4297699999999902</v>
      </c>
      <c r="AF5566">
        <v>2.3908048755098901</v>
      </c>
      <c r="AG5566">
        <v>-1.1210704348310001</v>
      </c>
      <c r="AH5566">
        <v>15.589180283357599</v>
      </c>
      <c r="AI5566">
        <v>94.065876469568593</v>
      </c>
      <c r="AJ5566">
        <v>81.280877215534304</v>
      </c>
      <c r="AK5566">
        <v>15.811239318271101</v>
      </c>
      <c r="AL5566">
        <v>94.111138617844304</v>
      </c>
      <c r="AM5566">
        <v>89.454832225014499</v>
      </c>
      <c r="AN5566">
        <v>0.99999998591345596</v>
      </c>
    </row>
    <row r="5567" spans="1:40" x14ac:dyDescent="0.25">
      <c r="A5567" t="str">
        <f>"20190303154630168"</f>
        <v>20190303154630168</v>
      </c>
      <c r="B5567" t="str">
        <f>"1551599190156682"</f>
        <v>1551599190156682</v>
      </c>
      <c r="C5567" t="s">
        <v>40</v>
      </c>
      <c r="D5567">
        <v>5.7439809999999998</v>
      </c>
      <c r="E5567">
        <v>0.55393000000000003</v>
      </c>
      <c r="F5567" t="s">
        <v>41</v>
      </c>
      <c r="G5567">
        <v>-335.7525</v>
      </c>
      <c r="H5567" s="1">
        <v>-2.551415E-6</v>
      </c>
      <c r="I5567">
        <v>15.407299999999999</v>
      </c>
      <c r="J5567">
        <v>-351.58710000000002</v>
      </c>
      <c r="K5567">
        <v>1.121067</v>
      </c>
      <c r="L5567">
        <v>17.886810000000001</v>
      </c>
      <c r="M5567">
        <v>0.99990639999999997</v>
      </c>
      <c r="N5567">
        <v>-1.357383E-2</v>
      </c>
      <c r="O5567">
        <v>-1.769648E-3</v>
      </c>
      <c r="P5567">
        <v>0.99627010000000005</v>
      </c>
      <c r="Q5567">
        <v>-8.5426070000000007E-2</v>
      </c>
      <c r="R5567">
        <v>-1.219465E-2</v>
      </c>
      <c r="S5567">
        <v>2.9880070000000001</v>
      </c>
      <c r="T5567">
        <v>-0.20979919999999999</v>
      </c>
      <c r="U5567">
        <v>-0.46405030000000003</v>
      </c>
      <c r="V5567">
        <v>1.042127E-2</v>
      </c>
      <c r="W5567">
        <v>-7.1896219999999997E-2</v>
      </c>
      <c r="X5567">
        <v>0.99735770000000001</v>
      </c>
      <c r="Y5567">
        <v>0.1512828</v>
      </c>
      <c r="Z5567">
        <v>-6.2079290000000001E-3</v>
      </c>
      <c r="AA5567">
        <v>0.98847099999999999</v>
      </c>
      <c r="AB5567">
        <v>21</v>
      </c>
      <c r="AC5567">
        <v>15.8346</v>
      </c>
      <c r="AD5567">
        <v>-1.121069551415</v>
      </c>
      <c r="AE5567">
        <v>-2.4795099999999999</v>
      </c>
      <c r="AF5567">
        <v>2.4395463964761102</v>
      </c>
      <c r="AG5567">
        <v>-1.121069551415</v>
      </c>
      <c r="AH5567">
        <v>15.761848670905</v>
      </c>
      <c r="AI5567">
        <v>94.020627404566994</v>
      </c>
      <c r="AJ5567">
        <v>81.201834286635204</v>
      </c>
      <c r="AK5567">
        <v>15.988872914754801</v>
      </c>
      <c r="AL5567">
        <v>94.122907009541606</v>
      </c>
      <c r="AM5567">
        <v>89.401345114692205</v>
      </c>
      <c r="AN5567">
        <v>1.00000002553399</v>
      </c>
    </row>
    <row r="5568" spans="1:40" x14ac:dyDescent="0.25">
      <c r="A5568" t="str">
        <f>"20190303154630186"</f>
        <v>20190303154630186</v>
      </c>
      <c r="B5568" t="str">
        <f>"1551599190177178"</f>
        <v>1551599190177178</v>
      </c>
      <c r="C5568" t="s">
        <v>40</v>
      </c>
      <c r="D5568">
        <v>5.7243969999999997</v>
      </c>
      <c r="E5568">
        <v>0.55407379999999995</v>
      </c>
      <c r="F5568" t="s">
        <v>41</v>
      </c>
      <c r="G5568">
        <v>-335.5668</v>
      </c>
      <c r="H5568" s="1">
        <v>-2.6347840000000001E-6</v>
      </c>
      <c r="I5568">
        <v>15.384589999999999</v>
      </c>
      <c r="J5568">
        <v>-351.40789999999998</v>
      </c>
      <c r="K5568">
        <v>1.121068</v>
      </c>
      <c r="L5568">
        <v>17.886410000000001</v>
      </c>
      <c r="M5568">
        <v>0.99990619999999997</v>
      </c>
      <c r="N5568">
        <v>-1.357214E-2</v>
      </c>
      <c r="O5568">
        <v>-1.8352419999999999E-3</v>
      </c>
      <c r="P5568">
        <v>0.99622679999999997</v>
      </c>
      <c r="Q5568">
        <v>-8.5763859999999997E-2</v>
      </c>
      <c r="R5568">
        <v>-1.329116E-2</v>
      </c>
      <c r="S5568">
        <v>2.9875790000000002</v>
      </c>
      <c r="T5568">
        <v>-0.2090639</v>
      </c>
      <c r="U5568">
        <v>-0.46661380000000002</v>
      </c>
      <c r="V5568">
        <v>1.145182E-2</v>
      </c>
      <c r="W5568">
        <v>-7.2236430000000004E-2</v>
      </c>
      <c r="X5568">
        <v>0.99732180000000004</v>
      </c>
      <c r="Y5568">
        <v>0.15206800000000001</v>
      </c>
      <c r="Z5568">
        <v>-6.2192080000000004E-3</v>
      </c>
      <c r="AA5568">
        <v>0.98835050000000002</v>
      </c>
      <c r="AB5568">
        <v>21</v>
      </c>
      <c r="AC5568">
        <v>15.8410999999999</v>
      </c>
      <c r="AD5568">
        <v>-1.121070634784</v>
      </c>
      <c r="AE5568">
        <v>-2.5018199999999999</v>
      </c>
      <c r="AF5568">
        <v>2.4607166236759999</v>
      </c>
      <c r="AG5568">
        <v>-1.121070634784</v>
      </c>
      <c r="AH5568">
        <v>15.768612245029299</v>
      </c>
      <c r="AI5568">
        <v>94.018136712257999</v>
      </c>
      <c r="AJ5568">
        <v>81.130439695522597</v>
      </c>
      <c r="AK5568">
        <v>15.9987830101011</v>
      </c>
      <c r="AL5568">
        <v>94.142450489289402</v>
      </c>
      <c r="AM5568">
        <v>89.342125963009394</v>
      </c>
      <c r="AN5568">
        <v>1.0000000093778401</v>
      </c>
    </row>
    <row r="5569" spans="1:40" x14ac:dyDescent="0.25">
      <c r="A5569" t="str">
        <f>"20190303154630210"</f>
        <v>20190303154630210</v>
      </c>
      <c r="B5569" t="str">
        <f>"1551599190207433"</f>
        <v>1551599190207433</v>
      </c>
      <c r="C5569" t="s">
        <v>40</v>
      </c>
      <c r="D5569">
        <v>5.6685840000000001</v>
      </c>
      <c r="E5569">
        <v>0.55381429999999998</v>
      </c>
      <c r="F5569" t="s">
        <v>41</v>
      </c>
      <c r="G5569">
        <v>-335.14640000000003</v>
      </c>
      <c r="H5569" s="1">
        <v>-2.826079E-6</v>
      </c>
      <c r="I5569">
        <v>15.322789999999999</v>
      </c>
      <c r="J5569">
        <v>-351.18990000000002</v>
      </c>
      <c r="K5569">
        <v>1.1210629999999999</v>
      </c>
      <c r="L5569">
        <v>17.885929999999998</v>
      </c>
      <c r="M5569">
        <v>0.99990619999999997</v>
      </c>
      <c r="N5569">
        <v>-1.357015E-2</v>
      </c>
      <c r="O5569">
        <v>-1.9225679999999999E-3</v>
      </c>
      <c r="P5569">
        <v>0.99620830000000005</v>
      </c>
      <c r="Q5569">
        <v>-8.5834369999999993E-2</v>
      </c>
      <c r="R5569">
        <v>-1.4194409999999999E-2</v>
      </c>
      <c r="S5569">
        <v>2.9873959999999999</v>
      </c>
      <c r="T5569">
        <v>-0.2059513</v>
      </c>
      <c r="U5569">
        <v>-0.47094730000000001</v>
      </c>
      <c r="V5569">
        <v>1.226725E-2</v>
      </c>
      <c r="W5569">
        <v>-7.2309399999999996E-2</v>
      </c>
      <c r="X5569">
        <v>0.99730680000000005</v>
      </c>
      <c r="Y5569">
        <v>0.15339820000000001</v>
      </c>
      <c r="Z5569">
        <v>-6.1921119999999996E-3</v>
      </c>
      <c r="AA5569">
        <v>0.9881451</v>
      </c>
      <c r="AB5569">
        <v>21</v>
      </c>
      <c r="AC5569">
        <v>16.043499999999899</v>
      </c>
      <c r="AD5569">
        <v>-1.1210658260789901</v>
      </c>
      <c r="AE5569">
        <v>-2.5631400000000002</v>
      </c>
      <c r="AF5569">
        <v>2.5202880607940599</v>
      </c>
      <c r="AG5569">
        <v>-1.1210658260789901</v>
      </c>
      <c r="AH5569">
        <v>15.972350737440699</v>
      </c>
      <c r="AI5569">
        <v>93.965977223520497</v>
      </c>
      <c r="AJ5569">
        <v>81.033190555588405</v>
      </c>
      <c r="AK5569">
        <v>16.208782451979701</v>
      </c>
      <c r="AL5569">
        <v>94.146642388095003</v>
      </c>
      <c r="AM5569">
        <v>89.295275829903701</v>
      </c>
      <c r="AN5569">
        <v>0.99999999403858097</v>
      </c>
    </row>
    <row r="5570" spans="1:40" x14ac:dyDescent="0.25">
      <c r="A5570" t="str">
        <f>"20190303154630234"</f>
        <v>20190303154630234</v>
      </c>
      <c r="B5570" t="str">
        <f>"1551599190226954"</f>
        <v>1551599190226954</v>
      </c>
      <c r="C5570" t="s">
        <v>40</v>
      </c>
      <c r="D5570">
        <v>5.6895100000000003</v>
      </c>
      <c r="E5570">
        <v>0.55361629999999995</v>
      </c>
      <c r="F5570" t="s">
        <v>41</v>
      </c>
      <c r="G5570">
        <v>-334.65820000000002</v>
      </c>
      <c r="H5570" s="1">
        <v>-3.043763E-6</v>
      </c>
      <c r="I5570">
        <v>15.276199999999999</v>
      </c>
      <c r="J5570">
        <v>-350.97039999999998</v>
      </c>
      <c r="K5570">
        <v>1.1210580000000001</v>
      </c>
      <c r="L5570">
        <v>17.885379999999898</v>
      </c>
      <c r="M5570">
        <v>0.99990610000000002</v>
      </c>
      <c r="N5570">
        <v>-1.3568169999999999E-2</v>
      </c>
      <c r="O5570">
        <v>-2.021367E-3</v>
      </c>
      <c r="P5570">
        <v>0.99620690000000001</v>
      </c>
      <c r="Q5570">
        <v>-8.5819590000000001E-2</v>
      </c>
      <c r="R5570">
        <v>-1.4396849999999999E-2</v>
      </c>
      <c r="S5570">
        <v>2.987244</v>
      </c>
      <c r="T5570">
        <v>-0.20257439999999999</v>
      </c>
      <c r="U5570">
        <v>-0.47155760000000002</v>
      </c>
      <c r="V5570">
        <v>1.237006E-2</v>
      </c>
      <c r="W5570">
        <v>-7.2296810000000003E-2</v>
      </c>
      <c r="X5570">
        <v>0.99730649999999998</v>
      </c>
      <c r="Y5570">
        <v>0.15351770000000001</v>
      </c>
      <c r="Z5570">
        <v>-6.1079059999999998E-3</v>
      </c>
      <c r="AA5570">
        <v>0.98812699999999998</v>
      </c>
      <c r="AB5570">
        <v>21</v>
      </c>
      <c r="AC5570">
        <v>16.312199999999901</v>
      </c>
      <c r="AD5570">
        <v>-1.121061043763</v>
      </c>
      <c r="AE5570">
        <v>-2.6091799999999901</v>
      </c>
      <c r="AF5570">
        <v>2.5643888102993899</v>
      </c>
      <c r="AG5570">
        <v>-1.121061043763</v>
      </c>
      <c r="AH5570">
        <v>16.242638365669499</v>
      </c>
      <c r="AI5570">
        <v>93.900116178190203</v>
      </c>
      <c r="AJ5570">
        <v>81.028193541517695</v>
      </c>
      <c r="AK5570">
        <v>16.481995295235102</v>
      </c>
      <c r="AL5570">
        <v>94.145918904575595</v>
      </c>
      <c r="AM5570">
        <v>89.289370030740102</v>
      </c>
      <c r="AN5570">
        <v>1.00000005103141</v>
      </c>
    </row>
    <row r="5571" spans="1:40" x14ac:dyDescent="0.25">
      <c r="A5571" t="str">
        <f>"20190303154630254"</f>
        <v>20190303154630254</v>
      </c>
      <c r="B5571" t="str">
        <f>"1551599190246980"</f>
        <v>1551599190246980</v>
      </c>
      <c r="C5571" t="s">
        <v>40</v>
      </c>
      <c r="D5571">
        <v>5.6808249999999996</v>
      </c>
      <c r="E5571">
        <v>0.55369449999999998</v>
      </c>
      <c r="F5571" t="s">
        <v>41</v>
      </c>
      <c r="G5571">
        <v>-334.32729999999998</v>
      </c>
      <c r="H5571" s="1">
        <v>-3.1879049999999999E-6</v>
      </c>
      <c r="I5571">
        <v>15.2639</v>
      </c>
      <c r="J5571">
        <v>-350.77530000000002</v>
      </c>
      <c r="K5571">
        <v>1.121054</v>
      </c>
      <c r="L5571">
        <v>17.884889999999999</v>
      </c>
      <c r="M5571">
        <v>0.99990579999999996</v>
      </c>
      <c r="N5571">
        <v>-1.356623E-2</v>
      </c>
      <c r="O5571">
        <v>-2.1229360000000002E-3</v>
      </c>
      <c r="P5571">
        <v>0.99626429999999999</v>
      </c>
      <c r="Q5571">
        <v>-8.5230349999999996E-2</v>
      </c>
      <c r="R5571">
        <v>-1.3910789999999999E-2</v>
      </c>
      <c r="S5571">
        <v>2.9873050000000001</v>
      </c>
      <c r="T5571">
        <v>-0.20122129999999999</v>
      </c>
      <c r="U5571">
        <v>-0.47051999999999999</v>
      </c>
      <c r="V5571">
        <v>1.178134E-2</v>
      </c>
      <c r="W5571">
        <v>-7.1708910000000001E-2</v>
      </c>
      <c r="X5571">
        <v>0.99735600000000002</v>
      </c>
      <c r="Y5571">
        <v>0.15308559999999999</v>
      </c>
      <c r="Z5571">
        <v>-6.0513880000000004E-3</v>
      </c>
      <c r="AA5571">
        <v>0.98819440000000003</v>
      </c>
      <c r="AB5571">
        <v>21</v>
      </c>
      <c r="AC5571">
        <v>16.448</v>
      </c>
      <c r="AD5571">
        <v>-1.121057187905</v>
      </c>
      <c r="AE5571">
        <v>-2.6209899999999902</v>
      </c>
      <c r="AF5571">
        <v>2.5743996981616601</v>
      </c>
      <c r="AG5571">
        <v>-1.121057187905</v>
      </c>
      <c r="AH5571">
        <v>16.3793222950694</v>
      </c>
      <c r="AI5571">
        <v>93.868074650807998</v>
      </c>
      <c r="AJ5571">
        <v>81.067681882402795</v>
      </c>
      <c r="AK5571">
        <v>16.618258087724101</v>
      </c>
      <c r="AL5571">
        <v>94.112147355417207</v>
      </c>
      <c r="AM5571">
        <v>89.323220931280005</v>
      </c>
      <c r="AN5571">
        <v>0.99999997924079098</v>
      </c>
    </row>
    <row r="5572" spans="1:40" x14ac:dyDescent="0.25">
      <c r="A5572" t="str">
        <f>"20190303154630268"</f>
        <v>20190303154630268</v>
      </c>
      <c r="B5572" t="str">
        <f>"1551599190256741"</f>
        <v>1551599190256741</v>
      </c>
      <c r="C5572" t="s">
        <v>40</v>
      </c>
      <c r="D5572">
        <v>5.6075239999999997</v>
      </c>
      <c r="E5572">
        <v>0.55372149999999998</v>
      </c>
      <c r="F5572" t="s">
        <v>41</v>
      </c>
      <c r="G5572">
        <v>-334.03059999999999</v>
      </c>
      <c r="H5572" s="1">
        <v>-3.317302E-6</v>
      </c>
      <c r="I5572">
        <v>15.2521</v>
      </c>
      <c r="J5572">
        <v>-350.65100000000001</v>
      </c>
      <c r="K5572">
        <v>1.121049</v>
      </c>
      <c r="L5572">
        <v>17.884550000000001</v>
      </c>
      <c r="M5572">
        <v>0.99990559999999995</v>
      </c>
      <c r="N5572">
        <v>-1.356275E-2</v>
      </c>
      <c r="O5572">
        <v>-2.196815E-3</v>
      </c>
      <c r="P5572">
        <v>0.99628839999999996</v>
      </c>
      <c r="Q5572">
        <v>-8.5055339999999993E-2</v>
      </c>
      <c r="R5572">
        <v>-1.322807E-2</v>
      </c>
      <c r="S5572">
        <v>2.9875790000000002</v>
      </c>
      <c r="T5572">
        <v>-0.20001820000000001</v>
      </c>
      <c r="U5572">
        <v>-0.46972659999999999</v>
      </c>
      <c r="V5572">
        <v>1.1024030000000001E-2</v>
      </c>
      <c r="W5572">
        <v>-7.1537139999999999E-2</v>
      </c>
      <c r="X5572">
        <v>0.99737699999999996</v>
      </c>
      <c r="Y5572">
        <v>0.15274799999999999</v>
      </c>
      <c r="Z5572">
        <v>-6.0035929999999998E-3</v>
      </c>
      <c r="AA5572">
        <v>0.98824690000000004</v>
      </c>
      <c r="AB5572">
        <v>21</v>
      </c>
      <c r="AC5572">
        <v>16.6204</v>
      </c>
      <c r="AD5572">
        <v>-1.1210523173019999</v>
      </c>
      <c r="AE5572">
        <v>-2.63245</v>
      </c>
      <c r="AF5572">
        <v>2.5844579627638802</v>
      </c>
      <c r="AG5572">
        <v>-1.1210523173019999</v>
      </c>
      <c r="AH5572">
        <v>16.552679070834401</v>
      </c>
      <c r="AI5572">
        <v>93.828274644740802</v>
      </c>
      <c r="AJ5572">
        <v>81.125754645023093</v>
      </c>
      <c r="AK5572">
        <v>16.790692829108099</v>
      </c>
      <c r="AL5572">
        <v>94.102280291069505</v>
      </c>
      <c r="AM5572">
        <v>89.366734271831106</v>
      </c>
      <c r="AN5572">
        <v>0.99999998588290995</v>
      </c>
    </row>
    <row r="5573" spans="1:40" x14ac:dyDescent="0.25">
      <c r="A5573" t="str">
        <f>"20190303154630287"</f>
        <v>20190303154630287</v>
      </c>
      <c r="B5573" t="str">
        <f>"1551599190277236"</f>
        <v>1551599190277236</v>
      </c>
      <c r="C5573" t="s">
        <v>40</v>
      </c>
      <c r="D5573">
        <v>5.5563690000000001</v>
      </c>
      <c r="E5573">
        <v>0.55377449999999995</v>
      </c>
      <c r="F5573" t="s">
        <v>41</v>
      </c>
      <c r="G5573">
        <v>-333.83429999999998</v>
      </c>
      <c r="H5573" s="1">
        <v>-3.4016909999999999E-6</v>
      </c>
      <c r="I5573">
        <v>15.25104</v>
      </c>
      <c r="J5573">
        <v>-350.47</v>
      </c>
      <c r="K5573">
        <v>1.121038</v>
      </c>
      <c r="L5573">
        <v>17.884029999999999</v>
      </c>
      <c r="M5573">
        <v>0.99990559999999995</v>
      </c>
      <c r="N5573">
        <v>-1.3552460000000001E-2</v>
      </c>
      <c r="O5573">
        <v>-2.319134E-3</v>
      </c>
      <c r="P5573">
        <v>0.99630759999999996</v>
      </c>
      <c r="Q5573">
        <v>-8.504921E-2</v>
      </c>
      <c r="R5573">
        <v>-1.175204E-2</v>
      </c>
      <c r="S5573">
        <v>2.9879150000000001</v>
      </c>
      <c r="T5573">
        <v>-0.19918330000000001</v>
      </c>
      <c r="U5573">
        <v>-0.46789550000000002</v>
      </c>
      <c r="V5573">
        <v>9.4239130000000008E-3</v>
      </c>
      <c r="W5573">
        <v>-7.1540980000000004E-2</v>
      </c>
      <c r="X5573">
        <v>0.99739310000000003</v>
      </c>
      <c r="Y5573">
        <v>0.1520242</v>
      </c>
      <c r="Z5573">
        <v>-5.9465319999999896E-3</v>
      </c>
      <c r="AA5573">
        <v>0.98835890000000004</v>
      </c>
      <c r="AB5573">
        <v>21</v>
      </c>
      <c r="AC5573">
        <v>16.6357</v>
      </c>
      <c r="AD5573">
        <v>-1.121041401691</v>
      </c>
      <c r="AE5573">
        <v>-2.6329899999999902</v>
      </c>
      <c r="AF5573">
        <v>2.58295614593461</v>
      </c>
      <c r="AG5573">
        <v>-1.121041401691</v>
      </c>
      <c r="AH5573">
        <v>16.5683621723649</v>
      </c>
      <c r="AI5573">
        <v>93.824763033361606</v>
      </c>
      <c r="AJ5573">
        <v>81.139091421792799</v>
      </c>
      <c r="AK5573">
        <v>16.8059222106607</v>
      </c>
      <c r="AL5573">
        <v>94.102500982754805</v>
      </c>
      <c r="AM5573">
        <v>89.458654391898804</v>
      </c>
      <c r="AN5573">
        <v>0.99999995894159999</v>
      </c>
    </row>
    <row r="5574" spans="1:40" x14ac:dyDescent="0.25">
      <c r="A5574" t="str">
        <f>"20190303154630310"</f>
        <v>20190303154630310</v>
      </c>
      <c r="B5574" t="str">
        <f>"1551599190307492"</f>
        <v>1551599190307492</v>
      </c>
      <c r="C5574" t="s">
        <v>40</v>
      </c>
      <c r="D5574">
        <v>5.5863680000000002</v>
      </c>
      <c r="E5574">
        <v>0.554011699999999</v>
      </c>
      <c r="F5574" t="s">
        <v>41</v>
      </c>
      <c r="G5574">
        <v>-333.608</v>
      </c>
      <c r="H5574" s="1">
        <v>-3.496051E-6</v>
      </c>
      <c r="I5574">
        <v>15.266500000000001</v>
      </c>
      <c r="J5574">
        <v>-350.26319999999998</v>
      </c>
      <c r="K5574">
        <v>1.1210150000000001</v>
      </c>
      <c r="L5574">
        <v>17.883389999999999</v>
      </c>
      <c r="M5574">
        <v>0.9999053</v>
      </c>
      <c r="N5574">
        <v>-1.3533450000000001E-2</v>
      </c>
      <c r="O5574">
        <v>-2.4812720000000001E-3</v>
      </c>
      <c r="P5574">
        <v>0.99628229999999995</v>
      </c>
      <c r="Q5574">
        <v>-8.5533799999999993E-2</v>
      </c>
      <c r="R5574">
        <v>-1.029147E-2</v>
      </c>
      <c r="S5574">
        <v>2.9887079999999999</v>
      </c>
      <c r="T5574">
        <v>-0.19869800000000001</v>
      </c>
      <c r="U5574">
        <v>-0.46392820000000001</v>
      </c>
      <c r="V5574">
        <v>7.7985379999999998E-3</v>
      </c>
      <c r="W5574">
        <v>-7.2044730000000001E-2</v>
      </c>
      <c r="X5574">
        <v>0.99737089999999995</v>
      </c>
      <c r="Y5574">
        <v>0.15054879999999901</v>
      </c>
      <c r="Z5574">
        <v>-5.8650040000000001E-3</v>
      </c>
      <c r="AA5574">
        <v>0.98858520000000005</v>
      </c>
      <c r="AB5574">
        <v>21</v>
      </c>
      <c r="AC5574">
        <v>16.655199999999901</v>
      </c>
      <c r="AD5574">
        <v>-1.1210184960509999</v>
      </c>
      <c r="AE5574">
        <v>-2.6168899999999899</v>
      </c>
      <c r="AF5574">
        <v>2.5642153122788498</v>
      </c>
      <c r="AG5574">
        <v>-1.1210184960509999</v>
      </c>
      <c r="AH5574">
        <v>16.5883032710089</v>
      </c>
      <c r="AI5574">
        <v>93.820861565238403</v>
      </c>
      <c r="AJ5574">
        <v>81.212783697426502</v>
      </c>
      <c r="AK5574">
        <v>16.822713456728099</v>
      </c>
      <c r="AL5574">
        <v>94.131438291378799</v>
      </c>
      <c r="AM5574">
        <v>89.552007976061802</v>
      </c>
      <c r="AN5574">
        <v>0.99999998624125996</v>
      </c>
    </row>
    <row r="5575" spans="1:40" x14ac:dyDescent="0.25">
      <c r="A5575" t="str">
        <f>"20190303154630332"</f>
        <v>20190303154630332</v>
      </c>
      <c r="B5575" t="str">
        <f>"1551599190327013"</f>
        <v>1551599190327013</v>
      </c>
      <c r="C5575" t="s">
        <v>40</v>
      </c>
      <c r="D5575">
        <v>5.7978990000000001</v>
      </c>
      <c r="E5575">
        <v>0.55386759999999902</v>
      </c>
      <c r="F5575" t="s">
        <v>41</v>
      </c>
      <c r="G5575">
        <v>-333.17829999999998</v>
      </c>
      <c r="H5575" s="1">
        <v>-3.6839009999999998E-6</v>
      </c>
      <c r="I5575">
        <v>15.246700000000001</v>
      </c>
      <c r="J5575">
        <v>-350.0521</v>
      </c>
      <c r="K5575">
        <v>1.1209849999999999</v>
      </c>
      <c r="L5575">
        <v>17.882660000000001</v>
      </c>
      <c r="M5575">
        <v>0.9999053</v>
      </c>
      <c r="N5575">
        <v>-1.3506249999999999E-2</v>
      </c>
      <c r="O5575">
        <v>-2.6704179999999999E-3</v>
      </c>
      <c r="P5575">
        <v>0.99625520000000001</v>
      </c>
      <c r="Q5575">
        <v>-8.5972320000000005E-2</v>
      </c>
      <c r="R5575">
        <v>-9.2051530000000006E-3</v>
      </c>
      <c r="S5575">
        <v>2.9895939999999999</v>
      </c>
      <c r="T5575">
        <v>-0.1961601</v>
      </c>
      <c r="U5575">
        <v>-0.46136470000000002</v>
      </c>
      <c r="V5575">
        <v>6.5208979999999998E-3</v>
      </c>
      <c r="W5575">
        <v>-7.2510640000000001E-2</v>
      </c>
      <c r="X5575">
        <v>0.99734630000000002</v>
      </c>
      <c r="Y5575">
        <v>0.14950169999999999</v>
      </c>
      <c r="Z5575">
        <v>-5.749428E-3</v>
      </c>
      <c r="AA5575">
        <v>0.98874470000000003</v>
      </c>
      <c r="AB5575">
        <v>21</v>
      </c>
      <c r="AC5575">
        <v>16.873799999999999</v>
      </c>
      <c r="AD5575">
        <v>-1.1209886839009999</v>
      </c>
      <c r="AE5575">
        <v>-2.6359599999999999</v>
      </c>
      <c r="AF5575">
        <v>2.57977197008909</v>
      </c>
      <c r="AG5575">
        <v>-1.1209886839009999</v>
      </c>
      <c r="AH5575">
        <v>16.8083641591316</v>
      </c>
      <c r="AI5575">
        <v>93.771504208566</v>
      </c>
      <c r="AJ5575">
        <v>81.274252145882599</v>
      </c>
      <c r="AK5575">
        <v>17.0420933207476</v>
      </c>
      <c r="AL5575">
        <v>94.158203002304106</v>
      </c>
      <c r="AM5575">
        <v>89.625391290617401</v>
      </c>
      <c r="AN5575">
        <v>0.99999997857381195</v>
      </c>
    </row>
    <row r="5576" spans="1:40" x14ac:dyDescent="0.25">
      <c r="A5576" t="str">
        <f>"20190303154630354"</f>
        <v>20190303154630354</v>
      </c>
      <c r="B5576" t="str">
        <f>"1551599190347508"</f>
        <v>1551599190347508</v>
      </c>
      <c r="C5576" t="s">
        <v>40</v>
      </c>
      <c r="D5576">
        <v>5.40191</v>
      </c>
      <c r="E5576">
        <v>0.51099529999999904</v>
      </c>
      <c r="F5576" t="s">
        <v>41</v>
      </c>
      <c r="G5576">
        <v>-333.0351</v>
      </c>
      <c r="H5576" s="1">
        <v>-3.7390570000000002E-6</v>
      </c>
      <c r="I5576">
        <v>15.28204</v>
      </c>
      <c r="J5576">
        <v>-349.8501</v>
      </c>
      <c r="K5576">
        <v>1.120965</v>
      </c>
      <c r="L5576">
        <v>17.881930000000001</v>
      </c>
      <c r="M5576">
        <v>0.99990520000000005</v>
      </c>
      <c r="N5576">
        <v>-1.346787E-2</v>
      </c>
      <c r="O5576">
        <v>-2.8729210000000001E-3</v>
      </c>
      <c r="P5576">
        <v>0.99627350000000003</v>
      </c>
      <c r="Q5576">
        <v>-8.5824360000000002E-2</v>
      </c>
      <c r="R5576">
        <v>-8.5706930000000008E-3</v>
      </c>
      <c r="S5576">
        <v>2.9900509999999998</v>
      </c>
      <c r="T5576">
        <v>-0.19696810000000001</v>
      </c>
      <c r="U5576">
        <v>-0.4569397</v>
      </c>
      <c r="V5576">
        <v>5.6819990000000001E-3</v>
      </c>
      <c r="W5576">
        <v>-7.240067E-2</v>
      </c>
      <c r="X5576">
        <v>0.99735949999999995</v>
      </c>
      <c r="Y5576">
        <v>0.14785079999999901</v>
      </c>
      <c r="Z5576">
        <v>-5.6897129999999999E-3</v>
      </c>
      <c r="AA5576">
        <v>0.98899329999999996</v>
      </c>
      <c r="AB5576">
        <v>21</v>
      </c>
      <c r="AC5576">
        <v>16.814999999999898</v>
      </c>
      <c r="AD5576">
        <v>-1.120968739057</v>
      </c>
      <c r="AE5576">
        <v>-2.5998899999999998</v>
      </c>
      <c r="AF5576">
        <v>2.5405396817782999</v>
      </c>
      <c r="AG5576">
        <v>-1.120968739057</v>
      </c>
      <c r="AH5576">
        <v>16.749699618513699</v>
      </c>
      <c r="AI5576">
        <v>93.785623747209897</v>
      </c>
      <c r="AJ5576">
        <v>81.375301976102193</v>
      </c>
      <c r="AK5576">
        <v>16.978320002257998</v>
      </c>
      <c r="AL5576">
        <v>94.151885253846004</v>
      </c>
      <c r="AM5576">
        <v>89.673587066781195</v>
      </c>
      <c r="AN5576">
        <v>1.0000000571846599</v>
      </c>
    </row>
    <row r="5577" spans="1:40" x14ac:dyDescent="0.25">
      <c r="A5577" t="str">
        <f>"20190303154630376"</f>
        <v>20190303154630376</v>
      </c>
      <c r="B5577" t="str">
        <f>"1551599190367028"</f>
        <v>1551599190367028</v>
      </c>
      <c r="C5577" t="s">
        <v>40</v>
      </c>
      <c r="D5577">
        <v>5.3955219999999997</v>
      </c>
      <c r="E5577">
        <v>0.50498460000000001</v>
      </c>
      <c r="F5577" t="s">
        <v>41</v>
      </c>
      <c r="G5577">
        <v>-329.57659999999998</v>
      </c>
      <c r="H5577" s="1">
        <v>-8.1182419999999896E-7</v>
      </c>
      <c r="I5577">
        <v>17.11702</v>
      </c>
      <c r="J5577">
        <v>-349.64179999999999</v>
      </c>
      <c r="K5577">
        <v>1.120938</v>
      </c>
      <c r="L5577">
        <v>17.881039999999999</v>
      </c>
      <c r="M5577">
        <v>0.99990520000000005</v>
      </c>
      <c r="N5577">
        <v>-1.341239E-2</v>
      </c>
      <c r="O5577">
        <v>-3.1013830000000001E-3</v>
      </c>
      <c r="P5577">
        <v>0.99629889999999999</v>
      </c>
      <c r="Q5577">
        <v>-8.5515740000000007E-2</v>
      </c>
      <c r="R5577">
        <v>-8.6945019999999998E-3</v>
      </c>
      <c r="S5577">
        <v>2.9959720000000001</v>
      </c>
      <c r="T5577">
        <v>-0.1656531</v>
      </c>
      <c r="U5577">
        <v>-0.1130371</v>
      </c>
      <c r="V5577">
        <v>5.5761600000000001E-3</v>
      </c>
      <c r="W5577">
        <v>-7.2147180000000005E-2</v>
      </c>
      <c r="X5577">
        <v>0.9973784</v>
      </c>
      <c r="Y5577">
        <v>3.4540460000000002E-2</v>
      </c>
      <c r="Z5577">
        <v>-1.0560579999999999E-3</v>
      </c>
      <c r="AA5577">
        <v>0.99940280000000004</v>
      </c>
      <c r="AB5577">
        <v>21</v>
      </c>
      <c r="AC5577">
        <v>20.065200000000001</v>
      </c>
      <c r="AD5577">
        <v>-1.1209388118242001</v>
      </c>
      <c r="AE5577">
        <v>-0.76401999999999803</v>
      </c>
      <c r="AF5577">
        <v>0.699600646702351</v>
      </c>
      <c r="AG5577">
        <v>-1.1209388118242001</v>
      </c>
      <c r="AH5577">
        <v>20.005130027792099</v>
      </c>
      <c r="AI5577">
        <v>93.205120907986199</v>
      </c>
      <c r="AJ5577">
        <v>87.997121954276494</v>
      </c>
      <c r="AK5577">
        <v>20.048719966960199</v>
      </c>
      <c r="AL5577">
        <v>94.137323539727205</v>
      </c>
      <c r="AM5577">
        <v>89.679673125910398</v>
      </c>
      <c r="AN5577">
        <v>0.99999999096442904</v>
      </c>
    </row>
    <row r="5578" spans="1:40" x14ac:dyDescent="0.25">
      <c r="A5578" t="str">
        <f>"20190303154630391"</f>
        <v>20190303154630391</v>
      </c>
      <c r="B5578" t="str">
        <f>"1551599190387525"</f>
        <v>1551599190387525</v>
      </c>
      <c r="C5578" t="s">
        <v>40</v>
      </c>
      <c r="D5578">
        <v>5.3470890000000004</v>
      </c>
      <c r="E5578">
        <v>0.50247509999999995</v>
      </c>
      <c r="F5578" t="s">
        <v>41</v>
      </c>
      <c r="G5578">
        <v>-328.14249999999998</v>
      </c>
      <c r="H5578" s="1">
        <v>-1.2841659999999901E-6</v>
      </c>
      <c r="I5578">
        <v>17.411490000000001</v>
      </c>
      <c r="J5578">
        <v>-349.50920000000002</v>
      </c>
      <c r="K5578">
        <v>1.1209260000000001</v>
      </c>
      <c r="L5578">
        <v>17.880459999999999</v>
      </c>
      <c r="M5578">
        <v>0.9999053</v>
      </c>
      <c r="N5578">
        <v>-1.3368089999999999E-2</v>
      </c>
      <c r="O5578">
        <v>-3.2528280000000001E-3</v>
      </c>
      <c r="P5578">
        <v>0.99626590000000004</v>
      </c>
      <c r="Q5578">
        <v>-8.5882169999999994E-2</v>
      </c>
      <c r="R5578">
        <v>-8.8599860000000003E-3</v>
      </c>
      <c r="S5578">
        <v>2.9971920000000001</v>
      </c>
      <c r="T5578">
        <v>-0.15626880000000001</v>
      </c>
      <c r="U5578">
        <v>-6.5460210000000005E-2</v>
      </c>
      <c r="V5578">
        <v>5.589559E-3</v>
      </c>
      <c r="W5578">
        <v>-7.2558310000000001E-2</v>
      </c>
      <c r="X5578">
        <v>0.99734849999999997</v>
      </c>
      <c r="Y5578">
        <v>1.855362E-2</v>
      </c>
      <c r="Z5578">
        <v>-4.814307E-4</v>
      </c>
      <c r="AA5578">
        <v>0.99982769999999999</v>
      </c>
      <c r="AB5578">
        <v>21</v>
      </c>
      <c r="AC5578">
        <v>21.366700000000002</v>
      </c>
      <c r="AD5578">
        <v>-1.1209272841660001</v>
      </c>
      <c r="AE5578">
        <v>-0.468969999999998</v>
      </c>
      <c r="AF5578">
        <v>0.39836325637854703</v>
      </c>
      <c r="AG5578">
        <v>-1.1209272841660001</v>
      </c>
      <c r="AH5578">
        <v>21.309492810768798</v>
      </c>
      <c r="AI5578">
        <v>93.010586717615695</v>
      </c>
      <c r="AJ5578">
        <v>88.929027770913706</v>
      </c>
      <c r="AK5578">
        <v>21.3426721642962</v>
      </c>
      <c r="AL5578">
        <v>94.160941453910894</v>
      </c>
      <c r="AM5578">
        <v>89.6788937998585</v>
      </c>
      <c r="AN5578">
        <v>0.99999999098605996</v>
      </c>
    </row>
    <row r="5579" spans="1:40" x14ac:dyDescent="0.25">
      <c r="A5579" t="str">
        <f>"20190303154630412"</f>
        <v>20190303154630412</v>
      </c>
      <c r="B5579" t="str">
        <f>"1551599190407044"</f>
        <v>1551599190407044</v>
      </c>
      <c r="C5579" t="s">
        <v>40</v>
      </c>
      <c r="D5579">
        <v>5.3245250000000004</v>
      </c>
      <c r="E5579">
        <v>0.50113569999999996</v>
      </c>
      <c r="F5579" t="s">
        <v>41</v>
      </c>
      <c r="G5579">
        <v>-328.6549</v>
      </c>
      <c r="H5579" s="1">
        <v>-1.0477200000000001E-6</v>
      </c>
      <c r="I5579">
        <v>17.560649999999999</v>
      </c>
      <c r="J5579">
        <v>-349.31259999999997</v>
      </c>
      <c r="K5579">
        <v>1.1209</v>
      </c>
      <c r="L5579">
        <v>17.879519999999999</v>
      </c>
      <c r="M5579">
        <v>0.99990559999999995</v>
      </c>
      <c r="N5579">
        <v>-1.3292969999999999E-2</v>
      </c>
      <c r="O5579">
        <v>-3.481212E-3</v>
      </c>
      <c r="P5579">
        <v>0.99620469999999905</v>
      </c>
      <c r="Q5579">
        <v>-8.6529149999999999E-2</v>
      </c>
      <c r="R5579">
        <v>-9.4563689999999992E-3</v>
      </c>
      <c r="S5579">
        <v>2.9969480000000002</v>
      </c>
      <c r="T5579">
        <v>-0.16108720000000001</v>
      </c>
      <c r="U5579">
        <v>-4.5959470000000002E-2</v>
      </c>
      <c r="V5579">
        <v>5.9563690000000004E-3</v>
      </c>
      <c r="W5579">
        <v>-7.3281189999999996E-2</v>
      </c>
      <c r="X5579">
        <v>0.99729350000000005</v>
      </c>
      <c r="Y5579">
        <v>1.1833949999999999E-2</v>
      </c>
      <c r="Z5579">
        <v>-2.558061E-4</v>
      </c>
      <c r="AA5579">
        <v>0.99992999999999999</v>
      </c>
      <c r="AB5579">
        <v>21</v>
      </c>
      <c r="AC5579">
        <v>20.657699999999899</v>
      </c>
      <c r="AD5579">
        <v>-1.1209010477200001</v>
      </c>
      <c r="AE5579">
        <v>-0.31886999999999999</v>
      </c>
      <c r="AF5579">
        <v>0.24622311798075</v>
      </c>
      <c r="AG5579">
        <v>-1.1209010477200001</v>
      </c>
      <c r="AH5579">
        <v>20.598054149117999</v>
      </c>
      <c r="AI5579">
        <v>93.114616673482502</v>
      </c>
      <c r="AJ5579">
        <v>89.315135619770899</v>
      </c>
      <c r="AK5579">
        <v>20.629999508303602</v>
      </c>
      <c r="AL5579">
        <v>94.202470081262604</v>
      </c>
      <c r="AM5579">
        <v>89.6578030969617</v>
      </c>
      <c r="AN5579">
        <v>0.999999968140864</v>
      </c>
    </row>
    <row r="5580" spans="1:40" x14ac:dyDescent="0.25">
      <c r="A5580" t="str">
        <f>"20190303154630434"</f>
        <v>20190303154630434</v>
      </c>
      <c r="B5580" t="str">
        <f>"1551599190427540"</f>
        <v>1551599190427540</v>
      </c>
      <c r="C5580" t="s">
        <v>40</v>
      </c>
      <c r="D5580">
        <v>5.3307640000000003</v>
      </c>
      <c r="E5580">
        <v>0.50015279999999995</v>
      </c>
      <c r="F5580" t="s">
        <v>41</v>
      </c>
      <c r="G5580">
        <v>-328.5813</v>
      </c>
      <c r="H5580" s="1">
        <v>-1.0594979999999999E-6</v>
      </c>
      <c r="I5580">
        <v>17.622599999999998</v>
      </c>
      <c r="J5580">
        <v>-349.11329999999998</v>
      </c>
      <c r="K5580">
        <v>1.1208800000000001</v>
      </c>
      <c r="L5580">
        <v>17.878540000000001</v>
      </c>
      <c r="M5580">
        <v>0.99990590000000001</v>
      </c>
      <c r="N5580">
        <v>-1.320843E-2</v>
      </c>
      <c r="O5580">
        <v>-3.7205110000000001E-3</v>
      </c>
      <c r="P5580">
        <v>0.99614170000000002</v>
      </c>
      <c r="Q5580">
        <v>-8.7107610000000002E-2</v>
      </c>
      <c r="R5580">
        <v>-1.068534E-2</v>
      </c>
      <c r="S5580">
        <v>2.9969790000000001</v>
      </c>
      <c r="T5580">
        <v>-0.16204060000000001</v>
      </c>
      <c r="U5580">
        <v>-3.7139890000000002E-2</v>
      </c>
      <c r="V5580">
        <v>6.9466349999999996E-3</v>
      </c>
      <c r="W5580">
        <v>-7.3945150000000001E-2</v>
      </c>
      <c r="X5580">
        <v>0.99723810000000002</v>
      </c>
      <c r="Y5580">
        <v>8.6582229999999996E-3</v>
      </c>
      <c r="Z5580">
        <v>-1.39235E-4</v>
      </c>
      <c r="AA5580">
        <v>0.99996249999999998</v>
      </c>
      <c r="AB5580">
        <v>21</v>
      </c>
      <c r="AC5580">
        <v>20.531999999999901</v>
      </c>
      <c r="AD5580">
        <v>-1.1208810594980001</v>
      </c>
      <c r="AE5580">
        <v>-0.255940000000002</v>
      </c>
      <c r="AF5580">
        <v>0.17900862405825699</v>
      </c>
      <c r="AG5580">
        <v>-1.1208810594980001</v>
      </c>
      <c r="AH5580">
        <v>20.4718080130516</v>
      </c>
      <c r="AI5580">
        <v>93.133833915084793</v>
      </c>
      <c r="AJ5580">
        <v>89.4990096987393</v>
      </c>
      <c r="AK5580">
        <v>20.503251980119501</v>
      </c>
      <c r="AL5580">
        <v>94.240615613354194</v>
      </c>
      <c r="AM5580">
        <v>89.600891271744104</v>
      </c>
      <c r="AN5580">
        <v>0.99999998451897698</v>
      </c>
    </row>
    <row r="5581" spans="1:40" x14ac:dyDescent="0.25">
      <c r="A5581" t="str">
        <f>"20190303154630454"</f>
        <v>20190303154630454</v>
      </c>
      <c r="B5581" t="str">
        <f>"1551599190447060"</f>
        <v>1551599190447060</v>
      </c>
      <c r="C5581" t="s">
        <v>40</v>
      </c>
      <c r="D5581">
        <v>5.3556039999999996</v>
      </c>
      <c r="E5581">
        <v>0.49961329999999998</v>
      </c>
      <c r="F5581" t="s">
        <v>41</v>
      </c>
      <c r="G5581">
        <v>-328.75349999999997</v>
      </c>
      <c r="H5581" s="1">
        <v>-9.8484080000000007E-7</v>
      </c>
      <c r="I5581">
        <v>17.654629999999901</v>
      </c>
      <c r="J5581">
        <v>-348.91669999999999</v>
      </c>
      <c r="K5581">
        <v>1.12087</v>
      </c>
      <c r="L5581">
        <v>17.877500000000001</v>
      </c>
      <c r="M5581">
        <v>0.99990610000000002</v>
      </c>
      <c r="N5581">
        <v>-1.3120069999999999E-2</v>
      </c>
      <c r="O5581">
        <v>-3.9664790000000002E-3</v>
      </c>
      <c r="P5581">
        <v>0.99611499999999997</v>
      </c>
      <c r="Q5581">
        <v>-8.7273829999999997E-2</v>
      </c>
      <c r="R5581">
        <v>-1.1763040000000001E-2</v>
      </c>
      <c r="S5581">
        <v>2.996826</v>
      </c>
      <c r="T5581">
        <v>-0.16498669999999999</v>
      </c>
      <c r="U5581">
        <v>-3.2958979999999999E-2</v>
      </c>
      <c r="V5581">
        <v>7.7801999999999897E-3</v>
      </c>
      <c r="W5581">
        <v>-7.4200009999999997E-2</v>
      </c>
      <c r="X5581">
        <v>0.99721300000000002</v>
      </c>
      <c r="Y5581">
        <v>7.0209460000000001E-3</v>
      </c>
      <c r="Z5581" s="1">
        <v>-7.303218E-5</v>
      </c>
      <c r="AA5581">
        <v>0.99997530000000001</v>
      </c>
      <c r="AB5581">
        <v>21</v>
      </c>
      <c r="AC5581">
        <v>20.1632</v>
      </c>
      <c r="AD5581">
        <v>-1.1208709848408001</v>
      </c>
      <c r="AE5581">
        <v>-0.22287000000000301</v>
      </c>
      <c r="AF5581">
        <v>0.14244432238656901</v>
      </c>
      <c r="AG5581">
        <v>-1.1208709848408001</v>
      </c>
      <c r="AH5581">
        <v>20.101813585704601</v>
      </c>
      <c r="AI5581">
        <v>93.191410341183399</v>
      </c>
      <c r="AJ5581">
        <v>89.594000717758306</v>
      </c>
      <c r="AK5581">
        <v>20.133542946636499</v>
      </c>
      <c r="AL5581">
        <v>94.255258302557607</v>
      </c>
      <c r="AM5581">
        <v>89.552990605495097</v>
      </c>
      <c r="AN5581">
        <v>0.99999997018251896</v>
      </c>
    </row>
    <row r="5582" spans="1:40" x14ac:dyDescent="0.25">
      <c r="A5582" t="str">
        <f>"20190303154630477"</f>
        <v>20190303154630477</v>
      </c>
      <c r="B5582" t="str">
        <f>"1551599190467556"</f>
        <v>1551599190467556</v>
      </c>
      <c r="C5582" t="s">
        <v>40</v>
      </c>
      <c r="D5582">
        <v>5.3062009999999997</v>
      </c>
      <c r="E5582">
        <v>0.4993107</v>
      </c>
      <c r="F5582" t="s">
        <v>41</v>
      </c>
      <c r="G5582">
        <v>-328.84649999999999</v>
      </c>
      <c r="H5582" s="1">
        <v>-9.466489E-7</v>
      </c>
      <c r="I5582">
        <v>17.663910000000001</v>
      </c>
      <c r="J5582">
        <v>-348.71370000000002</v>
      </c>
      <c r="K5582">
        <v>1.1208659999999999</v>
      </c>
      <c r="L5582">
        <v>17.8764</v>
      </c>
      <c r="M5582">
        <v>0.99990639999999997</v>
      </c>
      <c r="N5582">
        <v>-1.302417E-2</v>
      </c>
      <c r="O5582">
        <v>-4.2258520000000004E-3</v>
      </c>
      <c r="P5582">
        <v>0.99620160000000002</v>
      </c>
      <c r="Q5582">
        <v>-8.6175760000000004E-2</v>
      </c>
      <c r="R5582">
        <v>-1.2513460000000001E-2</v>
      </c>
      <c r="S5582">
        <v>2.9966740000000001</v>
      </c>
      <c r="T5582">
        <v>-0.1673567</v>
      </c>
      <c r="U5582">
        <v>-3.1890870000000002E-2</v>
      </c>
      <c r="V5582">
        <v>8.2731190000000007E-3</v>
      </c>
      <c r="W5582">
        <v>-7.3196600000000001E-2</v>
      </c>
      <c r="X5582">
        <v>0.99728320000000004</v>
      </c>
      <c r="Y5582">
        <v>6.4069770000000003E-3</v>
      </c>
      <c r="Z5582" s="1">
        <v>-3.9723769999999999E-5</v>
      </c>
      <c r="AA5582">
        <v>0.99997950000000002</v>
      </c>
      <c r="AB5582">
        <v>21</v>
      </c>
      <c r="AC5582">
        <v>19.8672</v>
      </c>
      <c r="AD5582">
        <v>-1.1208669466489001</v>
      </c>
      <c r="AE5582">
        <v>-0.21248999999999801</v>
      </c>
      <c r="AF5582">
        <v>0.128117397041559</v>
      </c>
      <c r="AG5582">
        <v>-1.1208669466489001</v>
      </c>
      <c r="AH5582">
        <v>19.8048891196418</v>
      </c>
      <c r="AI5582">
        <v>93.239158247382605</v>
      </c>
      <c r="AJ5582">
        <v>89.629360018356493</v>
      </c>
      <c r="AK5582">
        <v>19.8369954837123</v>
      </c>
      <c r="AL5582">
        <v>94.197610313861503</v>
      </c>
      <c r="AM5582">
        <v>89.524704788983001</v>
      </c>
      <c r="AN5582">
        <v>0.99999998387589395</v>
      </c>
    </row>
    <row r="5583" spans="1:40" x14ac:dyDescent="0.25">
      <c r="A5583" t="str">
        <f>"20190303154630500"</f>
        <v>20190303154630500</v>
      </c>
      <c r="B5583" t="str">
        <f>"1551599190496837"</f>
        <v>1551599190496837</v>
      </c>
      <c r="C5583" t="s">
        <v>40</v>
      </c>
      <c r="D5583">
        <v>5.3568949999999997</v>
      </c>
      <c r="E5583">
        <v>0.49896380000000001</v>
      </c>
      <c r="F5583" t="s">
        <v>41</v>
      </c>
      <c r="G5583">
        <v>-328.16550000000001</v>
      </c>
      <c r="H5583" s="1">
        <v>-1.209477E-6</v>
      </c>
      <c r="I5583">
        <v>17.658999999999999</v>
      </c>
      <c r="J5583">
        <v>-348.49759999999998</v>
      </c>
      <c r="K5583">
        <v>1.1208610000000001</v>
      </c>
      <c r="L5583">
        <v>17.875150000000001</v>
      </c>
      <c r="M5583">
        <v>0.99990670000000004</v>
      </c>
      <c r="N5583">
        <v>-1.291702E-2</v>
      </c>
      <c r="O5583">
        <v>-4.4948039999999998E-3</v>
      </c>
      <c r="P5583">
        <v>0.99626429999999999</v>
      </c>
      <c r="Q5583">
        <v>-8.5383940000000005E-2</v>
      </c>
      <c r="R5583">
        <v>-1.293502E-2</v>
      </c>
      <c r="S5583">
        <v>2.9968870000000001</v>
      </c>
      <c r="T5583">
        <v>-0.163474799999999</v>
      </c>
      <c r="U5583">
        <v>-3.1707760000000001E-2</v>
      </c>
      <c r="V5583">
        <v>8.4276449999999992E-3</v>
      </c>
      <c r="W5583">
        <v>-7.2510790000000006E-2</v>
      </c>
      <c r="X5583">
        <v>0.997332</v>
      </c>
      <c r="Y5583">
        <v>6.0773219999999996E-3</v>
      </c>
      <c r="Z5583" s="1">
        <v>-1.79504E-5</v>
      </c>
      <c r="AA5583">
        <v>0.99998149999999997</v>
      </c>
      <c r="AB5583">
        <v>21</v>
      </c>
      <c r="AC5583">
        <v>20.332099999999901</v>
      </c>
      <c r="AD5583">
        <v>-1.120862209477</v>
      </c>
      <c r="AE5583">
        <v>-0.21614999999999801</v>
      </c>
      <c r="AF5583">
        <v>0.124373471456383</v>
      </c>
      <c r="AG5583">
        <v>-1.120862209477</v>
      </c>
      <c r="AH5583">
        <v>20.271267473679899</v>
      </c>
      <c r="AI5583">
        <v>93.164781920033803</v>
      </c>
      <c r="AJ5583">
        <v>89.648468671653106</v>
      </c>
      <c r="AK5583">
        <v>20.3026127836421</v>
      </c>
      <c r="AL5583">
        <v>94.158211617390293</v>
      </c>
      <c r="AM5583">
        <v>89.515851294215594</v>
      </c>
      <c r="AN5583">
        <v>0.999999979045334</v>
      </c>
    </row>
    <row r="5584" spans="1:40" x14ac:dyDescent="0.25">
      <c r="A5584" t="str">
        <f>"20190303154630524"</f>
        <v>20190303154630524</v>
      </c>
      <c r="B5584" t="str">
        <f>"1551599190517332"</f>
        <v>1551599190517332</v>
      </c>
      <c r="C5584" t="s">
        <v>40</v>
      </c>
      <c r="D5584">
        <v>5.34565</v>
      </c>
      <c r="E5584">
        <v>0.49860909999999897</v>
      </c>
      <c r="F5584" t="s">
        <v>41</v>
      </c>
      <c r="G5584">
        <v>-327.65570000000002</v>
      </c>
      <c r="H5584" s="1">
        <v>-1.4347669999999999E-6</v>
      </c>
      <c r="I5584">
        <v>17.665050000000001</v>
      </c>
      <c r="J5584">
        <v>-348.28440000000001</v>
      </c>
      <c r="K5584">
        <v>1.1208560000000001</v>
      </c>
      <c r="L5584">
        <v>17.87387</v>
      </c>
      <c r="M5584">
        <v>0.99990670000000004</v>
      </c>
      <c r="N5584">
        <v>-1.281206E-2</v>
      </c>
      <c r="O5584">
        <v>-4.7476899999999997E-3</v>
      </c>
      <c r="P5584">
        <v>0.99631709999999996</v>
      </c>
      <c r="Q5584">
        <v>-8.4803030000000001E-2</v>
      </c>
      <c r="R5584">
        <v>-1.267546E-2</v>
      </c>
      <c r="S5584">
        <v>2.9970400000000001</v>
      </c>
      <c r="T5584">
        <v>-0.16117879999999901</v>
      </c>
      <c r="U5584">
        <v>-3.02124E-2</v>
      </c>
      <c r="V5584">
        <v>7.9171019999999901E-3</v>
      </c>
      <c r="W5584">
        <v>-7.2033609999999998E-2</v>
      </c>
      <c r="X5584">
        <v>0.9973708</v>
      </c>
      <c r="Y5584">
        <v>5.32673E-3</v>
      </c>
      <c r="Z5584" s="1">
        <v>1.70559E-5</v>
      </c>
      <c r="AA5584">
        <v>0.99998580000000004</v>
      </c>
      <c r="AB5584">
        <v>21</v>
      </c>
      <c r="AC5584">
        <v>20.628699999999899</v>
      </c>
      <c r="AD5584">
        <v>-1.1208574347669999</v>
      </c>
      <c r="AE5584">
        <v>-0.20881999999999901</v>
      </c>
      <c r="AF5584">
        <v>0.110544614162607</v>
      </c>
      <c r="AG5584">
        <v>-1.1208574347669999</v>
      </c>
      <c r="AH5584">
        <v>20.568740575125599</v>
      </c>
      <c r="AI5584">
        <v>93.119103025967505</v>
      </c>
      <c r="AJ5584">
        <v>89.692072597456601</v>
      </c>
      <c r="AK5584">
        <v>20.599554129825599</v>
      </c>
      <c r="AL5584">
        <v>94.130799374980199</v>
      </c>
      <c r="AM5584">
        <v>89.545197229292498</v>
      </c>
      <c r="AN5584">
        <v>1.00000001708317</v>
      </c>
    </row>
    <row r="5585" spans="1:40" x14ac:dyDescent="0.25">
      <c r="A5585" t="str">
        <f>"20190303154630544"</f>
        <v>20190303154630544</v>
      </c>
      <c r="B5585" t="str">
        <f>"1551599190536853"</f>
        <v>1551599190536853</v>
      </c>
      <c r="C5585" t="s">
        <v>40</v>
      </c>
      <c r="D5585">
        <v>5.3296760000000001</v>
      </c>
      <c r="E5585">
        <v>0.4982742</v>
      </c>
      <c r="F5585" t="s">
        <v>41</v>
      </c>
      <c r="G5585">
        <v>-327.35669999999999</v>
      </c>
      <c r="H5585" s="1">
        <v>-1.571988E-6</v>
      </c>
      <c r="I5585">
        <v>17.688269999999999</v>
      </c>
      <c r="J5585">
        <v>-348.08730000000003</v>
      </c>
      <c r="K5585">
        <v>1.1208530000000001</v>
      </c>
      <c r="L5585">
        <v>17.872679999999999</v>
      </c>
      <c r="M5585">
        <v>0.99990679999999998</v>
      </c>
      <c r="N5585">
        <v>-1.2718E-2</v>
      </c>
      <c r="O5585">
        <v>-4.9736110000000002E-3</v>
      </c>
      <c r="P5585">
        <v>0.99633510000000003</v>
      </c>
      <c r="Q5585">
        <v>-8.4675029999999998E-2</v>
      </c>
      <c r="R5585">
        <v>-1.210282E-2</v>
      </c>
      <c r="S5585">
        <v>2.9971009999999998</v>
      </c>
      <c r="T5585">
        <v>-0.16052060000000001</v>
      </c>
      <c r="U5585">
        <v>-2.658081E-2</v>
      </c>
      <c r="V5585">
        <v>7.1201279999999999E-3</v>
      </c>
      <c r="W5585">
        <v>-7.1998839999999995E-2</v>
      </c>
      <c r="X5585">
        <v>0.99737929999999997</v>
      </c>
      <c r="Y5585">
        <v>3.8918059999999998E-3</v>
      </c>
      <c r="Z5585" s="1">
        <v>7.4045109999999994E-5</v>
      </c>
      <c r="AA5585">
        <v>0.9999924</v>
      </c>
      <c r="AB5585">
        <v>21</v>
      </c>
      <c r="AC5585">
        <v>20.730599999999999</v>
      </c>
      <c r="AD5585">
        <v>-1.1208545719879901</v>
      </c>
      <c r="AE5585">
        <v>-0.18440999999999599</v>
      </c>
      <c r="AF5585">
        <v>8.1056509271522803E-2</v>
      </c>
      <c r="AG5585">
        <v>-1.1208545719879901</v>
      </c>
      <c r="AH5585">
        <v>20.670838334388499</v>
      </c>
      <c r="AI5585">
        <v>93.103740302697005</v>
      </c>
      <c r="AJ5585">
        <v>89.775327347421893</v>
      </c>
      <c r="AK5585">
        <v>20.701363302344699</v>
      </c>
      <c r="AL5585">
        <v>94.128802090872696</v>
      </c>
      <c r="AM5585">
        <v>89.590981731792695</v>
      </c>
      <c r="AN5585">
        <v>0.99999999862628497</v>
      </c>
    </row>
    <row r="5586" spans="1:40" x14ac:dyDescent="0.25">
      <c r="A5586" t="str">
        <f>"20190303154630567"</f>
        <v>20190303154630567</v>
      </c>
      <c r="B5586" t="str">
        <f>"1551599190557348"</f>
        <v>1551599190557348</v>
      </c>
      <c r="C5586" t="s">
        <v>40</v>
      </c>
      <c r="D5586">
        <v>5.3622040000000002</v>
      </c>
      <c r="E5586">
        <v>0.49797229999999998</v>
      </c>
      <c r="F5586" t="s">
        <v>41</v>
      </c>
      <c r="G5586">
        <v>-327.2432</v>
      </c>
      <c r="H5586" s="1">
        <v>-1.6203730000000001E-6</v>
      </c>
      <c r="I5586">
        <v>17.717949999999998</v>
      </c>
      <c r="J5586">
        <v>-347.88199999999898</v>
      </c>
      <c r="K5586">
        <v>1.1208499999999999</v>
      </c>
      <c r="L5586">
        <v>17.87134</v>
      </c>
      <c r="M5586">
        <v>0.99990679999999998</v>
      </c>
      <c r="N5586">
        <v>-1.262373E-2</v>
      </c>
      <c r="O5586">
        <v>-5.2056280000000003E-3</v>
      </c>
      <c r="P5586">
        <v>0.99632719999999997</v>
      </c>
      <c r="Q5586">
        <v>-8.4874450000000004E-2</v>
      </c>
      <c r="R5586">
        <v>-1.134422E-2</v>
      </c>
      <c r="S5586">
        <v>2.9970699999999999</v>
      </c>
      <c r="T5586">
        <v>-0.16116179999999999</v>
      </c>
      <c r="U5586">
        <v>-2.2247309999999999E-2</v>
      </c>
      <c r="V5586">
        <v>6.1305780000000002E-3</v>
      </c>
      <c r="W5586">
        <v>-7.229199E-2</v>
      </c>
      <c r="X5586">
        <v>0.99736469999999999</v>
      </c>
      <c r="Y5586">
        <v>2.2172630000000001E-3</v>
      </c>
      <c r="Z5586">
        <v>1.4045520000000001E-4</v>
      </c>
      <c r="AA5586">
        <v>0.99999760000000004</v>
      </c>
      <c r="AB5586">
        <v>21</v>
      </c>
      <c r="AC5586">
        <v>20.6387999999999</v>
      </c>
      <c r="AD5586">
        <v>-1.1208516203729999</v>
      </c>
      <c r="AE5586">
        <v>-0.153390000000001</v>
      </c>
      <c r="AF5586">
        <v>4.5806356259833099E-2</v>
      </c>
      <c r="AG5586">
        <v>-1.1208516203729999</v>
      </c>
      <c r="AH5586">
        <v>20.578628495223501</v>
      </c>
      <c r="AI5586">
        <v>93.117628357500294</v>
      </c>
      <c r="AJ5586">
        <v>89.872464457258801</v>
      </c>
      <c r="AK5586">
        <v>20.609181384072301</v>
      </c>
      <c r="AL5586">
        <v>94.145642100476906</v>
      </c>
      <c r="AM5586">
        <v>89.647820078599196</v>
      </c>
      <c r="AN5586">
        <v>1.0000000303054299</v>
      </c>
    </row>
    <row r="5587" spans="1:40" x14ac:dyDescent="0.25">
      <c r="A5587" t="str">
        <f>"20190303154630587"</f>
        <v>20190303154630587</v>
      </c>
      <c r="B5587" t="str">
        <f>"1551599190576869"</f>
        <v>1551599190576869</v>
      </c>
      <c r="C5587" t="s">
        <v>40</v>
      </c>
      <c r="D5587">
        <v>5.3533900000000001</v>
      </c>
      <c r="E5587">
        <v>0.49773640000000002</v>
      </c>
      <c r="F5587" t="s">
        <v>41</v>
      </c>
      <c r="G5587">
        <v>-327.26799999999997</v>
      </c>
      <c r="H5587" s="1">
        <v>-1.602841E-6</v>
      </c>
      <c r="I5587">
        <v>17.750640000000001</v>
      </c>
      <c r="J5587">
        <v>-347.68819999999999</v>
      </c>
      <c r="K5587">
        <v>1.1208400000000001</v>
      </c>
      <c r="L5587">
        <v>17.870090000000001</v>
      </c>
      <c r="M5587">
        <v>0.99990679999999998</v>
      </c>
      <c r="N5587">
        <v>-1.253525E-2</v>
      </c>
      <c r="O5587">
        <v>-5.4228089999999998E-3</v>
      </c>
      <c r="P5587">
        <v>0.99634920000000005</v>
      </c>
      <c r="Q5587">
        <v>-8.4705550000000004E-2</v>
      </c>
      <c r="R5587">
        <v>-1.065632E-2</v>
      </c>
      <c r="S5587">
        <v>2.996918</v>
      </c>
      <c r="T5587">
        <v>-0.1629524</v>
      </c>
      <c r="U5587">
        <v>-1.7547610000000002E-2</v>
      </c>
      <c r="V5587">
        <v>5.2268280000000002E-3</v>
      </c>
      <c r="W5587">
        <v>-7.2210739999999995E-2</v>
      </c>
      <c r="X5587">
        <v>0.99737569999999998</v>
      </c>
      <c r="Y5587">
        <v>4.3584E-4</v>
      </c>
      <c r="Z5587">
        <v>2.1211910000000001E-4</v>
      </c>
      <c r="AA5587">
        <v>0.99999990000000005</v>
      </c>
      <c r="AB5587">
        <v>21</v>
      </c>
      <c r="AC5587">
        <v>20.420200000000001</v>
      </c>
      <c r="AD5587">
        <v>-1.120841602841</v>
      </c>
      <c r="AE5587">
        <v>-0.11945</v>
      </c>
      <c r="AF5587">
        <v>8.6785604329717801E-3</v>
      </c>
      <c r="AG5587">
        <v>-1.120841602841</v>
      </c>
      <c r="AH5587">
        <v>20.359211629339601</v>
      </c>
      <c r="AI5587">
        <v>93.151139947155897</v>
      </c>
      <c r="AJ5587">
        <v>89.975576418969695</v>
      </c>
      <c r="AK5587">
        <v>20.390043143267398</v>
      </c>
      <c r="AL5587">
        <v>94.140974750441799</v>
      </c>
      <c r="AM5587">
        <v>89.699739583467206</v>
      </c>
      <c r="AN5587">
        <v>0.99999999882638901</v>
      </c>
    </row>
    <row r="5588" spans="1:40" x14ac:dyDescent="0.25">
      <c r="A5588" t="str">
        <f>"20190303154630611"</f>
        <v>20190303154630611</v>
      </c>
      <c r="B5588" t="str">
        <f>"1551599190607125"</f>
        <v>1551599190607125</v>
      </c>
      <c r="C5588" t="s">
        <v>40</v>
      </c>
      <c r="D5588">
        <v>5.458596</v>
      </c>
      <c r="E5588">
        <v>0.49772359999999999</v>
      </c>
      <c r="F5588" t="s">
        <v>41</v>
      </c>
      <c r="G5588">
        <v>-327.21929999999998</v>
      </c>
      <c r="H5588" s="1">
        <v>-1.6212579999999999E-6</v>
      </c>
      <c r="I5588">
        <v>17.776710000000001</v>
      </c>
      <c r="J5588">
        <v>-347.4744</v>
      </c>
      <c r="K5588">
        <v>1.1208290000000001</v>
      </c>
      <c r="L5588">
        <v>17.86862</v>
      </c>
      <c r="M5588">
        <v>0.99990670000000004</v>
      </c>
      <c r="N5588">
        <v>-1.2434809999999999E-2</v>
      </c>
      <c r="O5588">
        <v>-5.6603130000000001E-3</v>
      </c>
      <c r="P5588">
        <v>0.99637180000000003</v>
      </c>
      <c r="Q5588">
        <v>-8.4438579999999999E-2</v>
      </c>
      <c r="R5588">
        <v>-1.06531E-2</v>
      </c>
      <c r="S5588">
        <v>2.996918</v>
      </c>
      <c r="T5588">
        <v>-0.1641059</v>
      </c>
      <c r="U5588">
        <v>-1.3671880000000001E-2</v>
      </c>
      <c r="V5588">
        <v>4.9871569999999999E-3</v>
      </c>
      <c r="W5588">
        <v>-7.2043590000000005E-2</v>
      </c>
      <c r="X5588">
        <v>0.99738899999999997</v>
      </c>
      <c r="Y5588">
        <v>-1.0917609999999999E-3</v>
      </c>
      <c r="Z5588">
        <v>2.7602920000000002E-4</v>
      </c>
      <c r="AA5588">
        <v>0.99999930000000004</v>
      </c>
      <c r="AB5588">
        <v>21</v>
      </c>
      <c r="AC5588">
        <v>20.255099999999999</v>
      </c>
      <c r="AD5588">
        <v>-1.1208306212579999</v>
      </c>
      <c r="AE5588">
        <v>-9.1909999999998604E-2</v>
      </c>
      <c r="AF5588">
        <v>-2.2681090161194101E-2</v>
      </c>
      <c r="AG5588">
        <v>-1.1208306212579999</v>
      </c>
      <c r="AH5588">
        <v>20.1934637808254</v>
      </c>
      <c r="AI5588">
        <v>93.176918946986802</v>
      </c>
      <c r="AJ5588">
        <v>90.064354001305603</v>
      </c>
      <c r="AK5588">
        <v>20.224558219672101</v>
      </c>
      <c r="AL5588">
        <v>94.131372813465902</v>
      </c>
      <c r="AM5588">
        <v>89.713511311524002</v>
      </c>
      <c r="AN5588">
        <v>0.99999998395801504</v>
      </c>
    </row>
    <row r="5589" spans="1:40" x14ac:dyDescent="0.25">
      <c r="A5589" t="str">
        <f>"20190303154630635"</f>
        <v>20190303154630635</v>
      </c>
      <c r="B5589" t="str">
        <f>"1551599190626645"</f>
        <v>1551599190626645</v>
      </c>
      <c r="C5589" t="s">
        <v>40</v>
      </c>
      <c r="D5589">
        <v>5.3840680000000001</v>
      </c>
      <c r="E5589">
        <v>0.49766870000000002</v>
      </c>
      <c r="F5589" t="s">
        <v>41</v>
      </c>
      <c r="G5589">
        <v>-326.98610000000002</v>
      </c>
      <c r="H5589" s="1">
        <v>-1.7316530000000001E-6</v>
      </c>
      <c r="I5589">
        <v>17.775569999999998</v>
      </c>
      <c r="J5589">
        <v>-347.24889999999999</v>
      </c>
      <c r="K5589">
        <v>1.120814</v>
      </c>
      <c r="L5589">
        <v>17.867069999999998</v>
      </c>
      <c r="M5589">
        <v>0.99990650000000003</v>
      </c>
      <c r="N5589">
        <v>-1.232867E-2</v>
      </c>
      <c r="O5589">
        <v>-5.9106740000000003E-3</v>
      </c>
      <c r="P5589">
        <v>0.99636020000000003</v>
      </c>
      <c r="Q5589">
        <v>-8.4512950000000003E-2</v>
      </c>
      <c r="R5589">
        <v>-1.113397E-2</v>
      </c>
      <c r="S5589">
        <v>2.996918</v>
      </c>
      <c r="T5589">
        <v>-0.16394929999999999</v>
      </c>
      <c r="U5589">
        <v>-1.3610840000000001E-2</v>
      </c>
      <c r="V5589">
        <v>5.2186359999999996E-3</v>
      </c>
      <c r="W5589">
        <v>-7.2223999999999997E-2</v>
      </c>
      <c r="X5589">
        <v>0.99737480000000001</v>
      </c>
      <c r="Y5589">
        <v>-1.3617779999999999E-3</v>
      </c>
      <c r="Z5589">
        <v>2.9589500000000001E-4</v>
      </c>
      <c r="AA5589">
        <v>0.99999899999999997</v>
      </c>
      <c r="AB5589">
        <v>21</v>
      </c>
      <c r="AC5589">
        <v>20.262799999999899</v>
      </c>
      <c r="AD5589">
        <v>-1.1208157316529901</v>
      </c>
      <c r="AE5589">
        <v>-9.1499999999999901E-2</v>
      </c>
      <c r="AF5589">
        <v>-2.81912571516145E-2</v>
      </c>
      <c r="AG5589">
        <v>-1.1208157316529901</v>
      </c>
      <c r="AH5589">
        <v>20.201179897083499</v>
      </c>
      <c r="AI5589">
        <v>93.175664775597397</v>
      </c>
      <c r="AJ5589">
        <v>90.079957656613601</v>
      </c>
      <c r="AK5589">
        <v>20.232268579811599</v>
      </c>
      <c r="AL5589">
        <v>94.141736410142897</v>
      </c>
      <c r="AM5589">
        <v>89.700209902073894</v>
      </c>
      <c r="AN5589">
        <v>1.00000001600637</v>
      </c>
    </row>
    <row r="5590" spans="1:40" x14ac:dyDescent="0.25">
      <c r="A5590" t="str">
        <f>"20190303154630655"</f>
        <v>20190303154630655</v>
      </c>
      <c r="B5590" t="str">
        <f>"1551599190647140"</f>
        <v>1551599190647140</v>
      </c>
      <c r="C5590" t="s">
        <v>40</v>
      </c>
      <c r="D5590">
        <v>5.5793629999999999</v>
      </c>
      <c r="E5590">
        <v>0.49755369999999999</v>
      </c>
      <c r="F5590" t="s">
        <v>41</v>
      </c>
      <c r="G5590">
        <v>-326.7971</v>
      </c>
      <c r="H5590" s="1">
        <v>-1.822463E-6</v>
      </c>
      <c r="I5590">
        <v>17.767309999999998</v>
      </c>
      <c r="J5590">
        <v>-347.05529999999999</v>
      </c>
      <c r="K5590">
        <v>1.1208009999999999</v>
      </c>
      <c r="L5590">
        <v>17.865629999999999</v>
      </c>
      <c r="M5590">
        <v>0.99990639999999997</v>
      </c>
      <c r="N5590">
        <v>-1.224109E-2</v>
      </c>
      <c r="O5590">
        <v>-6.1268390000000002E-3</v>
      </c>
      <c r="P5590">
        <v>0.99631950000000002</v>
      </c>
      <c r="Q5590">
        <v>-8.486813E-2</v>
      </c>
      <c r="R5590">
        <v>-1.204762E-2</v>
      </c>
      <c r="S5590">
        <v>2.9968870000000001</v>
      </c>
      <c r="T5590">
        <v>-0.16423850000000001</v>
      </c>
      <c r="U5590">
        <v>-1.461792E-2</v>
      </c>
      <c r="V5590">
        <v>5.9170859999999898E-3</v>
      </c>
      <c r="W5590">
        <v>-7.266715E-2</v>
      </c>
      <c r="X5590">
        <v>0.99733870000000002</v>
      </c>
      <c r="Y5590">
        <v>-1.241848E-3</v>
      </c>
      <c r="Z5590">
        <v>3.0216500000000002E-4</v>
      </c>
      <c r="AA5590">
        <v>0.99999919999999998</v>
      </c>
      <c r="AB5590">
        <v>21</v>
      </c>
      <c r="AC5590">
        <v>20.258199999999899</v>
      </c>
      <c r="AD5590">
        <v>-1.120802822463</v>
      </c>
      <c r="AE5590">
        <v>-9.8319999999997507E-2</v>
      </c>
      <c r="AF5590">
        <v>-2.5731104060709699E-2</v>
      </c>
      <c r="AG5590">
        <v>-1.120802822463</v>
      </c>
      <c r="AH5590">
        <v>20.196602743261</v>
      </c>
      <c r="AI5590">
        <v>93.176347007013504</v>
      </c>
      <c r="AJ5590">
        <v>90.072996576996999</v>
      </c>
      <c r="AK5590">
        <v>20.227694466390801</v>
      </c>
      <c r="AL5590">
        <v>94.167193975445102</v>
      </c>
      <c r="AM5590">
        <v>89.660075281215995</v>
      </c>
      <c r="AN5590">
        <v>1.0000000045567701</v>
      </c>
    </row>
    <row r="5591" spans="1:40" x14ac:dyDescent="0.25">
      <c r="A5591" t="str">
        <f>"20190303154630678"</f>
        <v>20190303154630678</v>
      </c>
      <c r="B5591" t="str">
        <f>"1551599190666661"</f>
        <v>1551599190666661</v>
      </c>
      <c r="C5591" t="s">
        <v>40</v>
      </c>
      <c r="D5591">
        <v>5.4407670000000001</v>
      </c>
      <c r="E5591">
        <v>0.49742649999999999</v>
      </c>
      <c r="F5591" t="s">
        <v>41</v>
      </c>
      <c r="G5591">
        <v>-326.81760000000003</v>
      </c>
      <c r="H5591" s="1">
        <v>-1.81514E-6</v>
      </c>
      <c r="I5591">
        <v>17.75414</v>
      </c>
      <c r="J5591">
        <v>-346.85579999999999</v>
      </c>
      <c r="K5591">
        <v>1.1207910000000001</v>
      </c>
      <c r="L5591">
        <v>17.864139999999999</v>
      </c>
      <c r="M5591">
        <v>0.99990610000000002</v>
      </c>
      <c r="N5591">
        <v>-1.215515E-2</v>
      </c>
      <c r="O5591">
        <v>-6.3508929999999998E-3</v>
      </c>
      <c r="P5591">
        <v>0.99631610000000004</v>
      </c>
      <c r="Q5591">
        <v>-8.4684549999999997E-2</v>
      </c>
      <c r="R5591">
        <v>-1.3535419999999999E-2</v>
      </c>
      <c r="S5591">
        <v>2.9967039999999998</v>
      </c>
      <c r="T5591">
        <v>-0.1659631</v>
      </c>
      <c r="U5591">
        <v>-1.6510009999999999E-2</v>
      </c>
      <c r="V5591">
        <v>7.1813179999999999E-3</v>
      </c>
      <c r="W5591">
        <v>-7.2569659999999994E-2</v>
      </c>
      <c r="X5591">
        <v>0.99733749999999999</v>
      </c>
      <c r="Y5591">
        <v>-8.3458209999999998E-4</v>
      </c>
      <c r="Z5591">
        <v>3.0246579999999997E-4</v>
      </c>
      <c r="AA5591">
        <v>0.99999959999999999</v>
      </c>
      <c r="AB5591">
        <v>21</v>
      </c>
      <c r="AC5591">
        <v>20.0381999999999</v>
      </c>
      <c r="AD5591">
        <v>-1.12079281514</v>
      </c>
      <c r="AE5591">
        <v>-0.109999999999999</v>
      </c>
      <c r="AF5591">
        <v>-1.72182014453422E-2</v>
      </c>
      <c r="AG5591">
        <v>-1.12079281514</v>
      </c>
      <c r="AH5591">
        <v>19.976001855511001</v>
      </c>
      <c r="AI5591">
        <v>93.2113241254456</v>
      </c>
      <c r="AJ5591">
        <v>90.049385759795499</v>
      </c>
      <c r="AK5591">
        <v>20.007426699411202</v>
      </c>
      <c r="AL5591">
        <v>94.161593409426004</v>
      </c>
      <c r="AM5591">
        <v>89.587449482265598</v>
      </c>
      <c r="AN5591">
        <v>1.0000000078934901</v>
      </c>
    </row>
    <row r="5592" spans="1:40" x14ac:dyDescent="0.25">
      <c r="A5592" t="str">
        <f>"20190303154630700"</f>
        <v>20190303154630700</v>
      </c>
      <c r="B5592" t="str">
        <f>"1551599190696917"</f>
        <v>1551599190696917</v>
      </c>
      <c r="C5592" t="s">
        <v>40</v>
      </c>
      <c r="D5592">
        <v>5.4046399999999997</v>
      </c>
      <c r="E5592">
        <v>0.49733339999999998</v>
      </c>
      <c r="F5592" t="s">
        <v>41</v>
      </c>
      <c r="G5592">
        <v>-326.73880000000003</v>
      </c>
      <c r="H5592" s="1">
        <v>-1.8566919999999999E-6</v>
      </c>
      <c r="I5592">
        <v>17.72974</v>
      </c>
      <c r="J5592">
        <v>-346.64370000000002</v>
      </c>
      <c r="K5592">
        <v>1.120789</v>
      </c>
      <c r="L5592">
        <v>17.862490000000001</v>
      </c>
      <c r="M5592">
        <v>0.9999055</v>
      </c>
      <c r="N5592">
        <v>-1.2070600000000001E-2</v>
      </c>
      <c r="O5592">
        <v>-6.5905809999999999E-3</v>
      </c>
      <c r="P5592">
        <v>0.99632229999999999</v>
      </c>
      <c r="Q5592">
        <v>-8.4386840000000005E-2</v>
      </c>
      <c r="R5592">
        <v>-1.486783E-2</v>
      </c>
      <c r="S5592">
        <v>2.9966740000000001</v>
      </c>
      <c r="T5592">
        <v>-0.166956299999999</v>
      </c>
      <c r="U5592">
        <v>-2.0019530000000001E-2</v>
      </c>
      <c r="V5592">
        <v>8.2750510000000003E-3</v>
      </c>
      <c r="W5592">
        <v>-7.2356530000000002E-2</v>
      </c>
      <c r="X5592">
        <v>0.99734449999999997</v>
      </c>
      <c r="Y5592" s="1">
        <v>9.5466939999999995E-5</v>
      </c>
      <c r="Z5592">
        <v>2.8415329999999998E-4</v>
      </c>
      <c r="AA5592">
        <v>0.99999990000000005</v>
      </c>
      <c r="AB5592">
        <v>21</v>
      </c>
      <c r="AC5592">
        <v>19.904900000000001</v>
      </c>
      <c r="AD5592">
        <v>-1.120790856692</v>
      </c>
      <c r="AE5592">
        <v>-0.13275000000000101</v>
      </c>
      <c r="AF5592">
        <v>1.54780527079992E-3</v>
      </c>
      <c r="AG5592">
        <v>-1.120790856692</v>
      </c>
      <c r="AH5592">
        <v>19.842434759157602</v>
      </c>
      <c r="AI5592">
        <v>93.232890641316104</v>
      </c>
      <c r="AJ5592">
        <v>89.995530653852597</v>
      </c>
      <c r="AK5592">
        <v>19.874063291425198</v>
      </c>
      <c r="AL5592">
        <v>94.149349814636096</v>
      </c>
      <c r="AM5592">
        <v>89.524623018272905</v>
      </c>
      <c r="AN5592">
        <v>0.99999999779147097</v>
      </c>
    </row>
    <row r="5593" spans="1:40" x14ac:dyDescent="0.25">
      <c r="A5593" t="str">
        <f>"20190303154630723"</f>
        <v>20190303154630723</v>
      </c>
      <c r="B5593" t="str">
        <f>"1551599190717412"</f>
        <v>1551599190717412</v>
      </c>
      <c r="C5593" t="s">
        <v>40</v>
      </c>
      <c r="D5593">
        <v>5.7742550000000001</v>
      </c>
      <c r="E5593">
        <v>0.49746600000000002</v>
      </c>
      <c r="F5593" t="s">
        <v>41</v>
      </c>
      <c r="G5593">
        <v>-326.52480000000003</v>
      </c>
      <c r="H5593" s="1">
        <v>-1.962067E-6</v>
      </c>
      <c r="I5593">
        <v>17.705950000000001</v>
      </c>
      <c r="J5593">
        <v>-346.43430000000001</v>
      </c>
      <c r="K5593">
        <v>1.120779</v>
      </c>
      <c r="L5593">
        <v>17.86084</v>
      </c>
      <c r="M5593">
        <v>0.99990480000000004</v>
      </c>
      <c r="N5593">
        <v>-1.199563E-2</v>
      </c>
      <c r="O5593">
        <v>-6.8284280000000001E-3</v>
      </c>
      <c r="P5593">
        <v>0.99631389999999997</v>
      </c>
      <c r="Q5593">
        <v>-8.4340230000000002E-2</v>
      </c>
      <c r="R5593">
        <v>-1.5665289999999998E-2</v>
      </c>
      <c r="S5593">
        <v>2.9965519999999999</v>
      </c>
      <c r="T5593">
        <v>-0.1669329</v>
      </c>
      <c r="U5593">
        <v>-2.3315430000000002E-2</v>
      </c>
      <c r="V5593">
        <v>8.8353519999999994E-3</v>
      </c>
      <c r="W5593">
        <v>-7.2384920000000005E-2</v>
      </c>
      <c r="X5593">
        <v>0.99733760000000005</v>
      </c>
      <c r="Y5593">
        <v>9.5633980000000001E-4</v>
      </c>
      <c r="Z5593">
        <v>2.6587250000000001E-4</v>
      </c>
      <c r="AA5593">
        <v>0.99999950000000004</v>
      </c>
      <c r="AB5593">
        <v>21</v>
      </c>
      <c r="AC5593">
        <v>19.909499999999898</v>
      </c>
      <c r="AD5593">
        <v>-1.120780962067</v>
      </c>
      <c r="AE5593">
        <v>-0.154889999999998</v>
      </c>
      <c r="AF5593">
        <v>1.88662443812069E-2</v>
      </c>
      <c r="AG5593">
        <v>-1.120780962067</v>
      </c>
      <c r="AH5593">
        <v>19.847201729656799</v>
      </c>
      <c r="AI5593">
        <v>93.232085879975799</v>
      </c>
      <c r="AJ5593">
        <v>89.945536107938594</v>
      </c>
      <c r="AK5593">
        <v>19.8788310118528</v>
      </c>
      <c r="AL5593">
        <v>94.150980857926996</v>
      </c>
      <c r="AM5593">
        <v>89.492433517327001</v>
      </c>
      <c r="AN5593">
        <v>0.99999996423106396</v>
      </c>
    </row>
    <row r="5594" spans="1:40" x14ac:dyDescent="0.25">
      <c r="A5594" t="str">
        <f>"20190303154630744"</f>
        <v>20190303154630744</v>
      </c>
      <c r="B5594" t="str">
        <f>"1551599190736932"</f>
        <v>1551599190736932</v>
      </c>
      <c r="C5594" t="s">
        <v>40</v>
      </c>
      <c r="D5594">
        <v>5.591094</v>
      </c>
      <c r="E5594">
        <v>0.5445065</v>
      </c>
      <c r="F5594" t="s">
        <v>41</v>
      </c>
      <c r="G5594">
        <v>-326.33370000000002</v>
      </c>
      <c r="H5594" s="1">
        <v>-2.0567370000000001E-6</v>
      </c>
      <c r="I5594">
        <v>17.681509999999999</v>
      </c>
      <c r="J5594">
        <v>-346.23689999999999</v>
      </c>
      <c r="K5594">
        <v>1.1207750000000001</v>
      </c>
      <c r="L5594">
        <v>17.859220000000001</v>
      </c>
      <c r="M5594">
        <v>0.99990400000000002</v>
      </c>
      <c r="N5594">
        <v>-1.1927449999999999E-2</v>
      </c>
      <c r="O5594">
        <v>-7.0527300000000001E-3</v>
      </c>
      <c r="P5594">
        <v>0.99629129999999999</v>
      </c>
      <c r="Q5594">
        <v>-8.4539459999999997E-2</v>
      </c>
      <c r="R5594">
        <v>-1.601783E-2</v>
      </c>
      <c r="S5594">
        <v>2.9964900000000001</v>
      </c>
      <c r="T5594">
        <v>-0.16708029999999999</v>
      </c>
      <c r="U5594">
        <v>-2.6733400000000001E-2</v>
      </c>
      <c r="V5594">
        <v>8.9642809999999993E-3</v>
      </c>
      <c r="W5594">
        <v>-7.2652439999999999E-2</v>
      </c>
      <c r="X5594">
        <v>0.99731700000000001</v>
      </c>
      <c r="Y5594">
        <v>1.871281E-3</v>
      </c>
      <c r="Z5594">
        <v>2.4556049999999998E-4</v>
      </c>
      <c r="AA5594">
        <v>0.99999819999999995</v>
      </c>
      <c r="AB5594">
        <v>21</v>
      </c>
      <c r="AC5594">
        <v>19.903199999999899</v>
      </c>
      <c r="AD5594">
        <v>-1.1207770567369999</v>
      </c>
      <c r="AE5594">
        <v>-0.17771000000000101</v>
      </c>
      <c r="AF5594">
        <v>3.7205729853660101E-2</v>
      </c>
      <c r="AG5594">
        <v>-1.1207770567369999</v>
      </c>
      <c r="AH5594">
        <v>19.8410479234593</v>
      </c>
      <c r="AI5594">
        <v>93.233070745957505</v>
      </c>
      <c r="AJ5594">
        <v>89.892559667013501</v>
      </c>
      <c r="AK5594">
        <v>19.872712652736901</v>
      </c>
      <c r="AL5594">
        <v>94.166349077911903</v>
      </c>
      <c r="AM5594">
        <v>89.485016663251102</v>
      </c>
      <c r="AN5594">
        <v>0.99999996693039905</v>
      </c>
    </row>
    <row r="5595" spans="1:40" x14ac:dyDescent="0.25">
      <c r="A5595" t="str">
        <f>"20190303154630777"</f>
        <v>20190303154630777</v>
      </c>
      <c r="B5595" t="str">
        <f>"1551599190767189"</f>
        <v>1551599190767189</v>
      </c>
      <c r="C5595" t="s">
        <v>40</v>
      </c>
      <c r="D5595">
        <v>5.5328249999999999</v>
      </c>
      <c r="E5595">
        <v>0.55701509999999999</v>
      </c>
      <c r="F5595" t="s">
        <v>41</v>
      </c>
      <c r="G5595">
        <v>-327.89010000000002</v>
      </c>
      <c r="H5595" s="1">
        <v>-1.9200959999999999E-6</v>
      </c>
      <c r="I5595">
        <v>15.3858</v>
      </c>
      <c r="J5595">
        <v>-345.92759999999998</v>
      </c>
      <c r="K5595">
        <v>1.12077</v>
      </c>
      <c r="L5595">
        <v>17.856570000000001</v>
      </c>
      <c r="M5595">
        <v>0.99990279999999998</v>
      </c>
      <c r="N5595">
        <v>-1.182646E-2</v>
      </c>
      <c r="O5595">
        <v>-7.4048580000000003E-3</v>
      </c>
      <c r="P5595">
        <v>0.99629250000000003</v>
      </c>
      <c r="Q5595">
        <v>-8.430356E-2</v>
      </c>
      <c r="R5595">
        <v>-1.7155130000000001E-2</v>
      </c>
      <c r="S5595">
        <v>2.989166</v>
      </c>
      <c r="T5595">
        <v>-0.1826034</v>
      </c>
      <c r="U5595">
        <v>-0.40298460000000003</v>
      </c>
      <c r="V5595">
        <v>9.7504419999999998E-3</v>
      </c>
      <c r="W5595">
        <v>-7.2517440000000002E-2</v>
      </c>
      <c r="X5595">
        <v>0.99731950000000003</v>
      </c>
      <c r="Y5595">
        <v>0.12599649999999901</v>
      </c>
      <c r="Z5595">
        <v>-4.2141430000000001E-3</v>
      </c>
      <c r="AA5595">
        <v>0.99202170000000001</v>
      </c>
      <c r="AB5595">
        <v>21</v>
      </c>
      <c r="AC5595">
        <v>18.037499999999898</v>
      </c>
      <c r="AD5595">
        <v>-1.120771920096</v>
      </c>
      <c r="AE5595">
        <v>-2.4707699999999999</v>
      </c>
      <c r="AF5595">
        <v>2.3283041560117499</v>
      </c>
      <c r="AG5595">
        <v>-1.120771920096</v>
      </c>
      <c r="AH5595">
        <v>17.9871359690001</v>
      </c>
      <c r="AI5595">
        <v>93.536044601299693</v>
      </c>
      <c r="AJ5595">
        <v>82.624488151714502</v>
      </c>
      <c r="AK5595">
        <v>18.171796562450101</v>
      </c>
      <c r="AL5595">
        <v>94.158593479219107</v>
      </c>
      <c r="AM5595">
        <v>89.439857160523403</v>
      </c>
      <c r="AN5595">
        <v>1.00000001765179</v>
      </c>
    </row>
    <row r="5596" spans="1:40" x14ac:dyDescent="0.25">
      <c r="A5596" t="str">
        <f>"20190303154630800"</f>
        <v>20190303154630800</v>
      </c>
      <c r="B5596" t="str">
        <f>"1551599190797444"</f>
        <v>1551599190797444</v>
      </c>
      <c r="C5596" t="s">
        <v>40</v>
      </c>
      <c r="D5596">
        <v>5.5348829999999998</v>
      </c>
      <c r="E5596">
        <v>0.56098890000000001</v>
      </c>
      <c r="F5596" t="s">
        <v>41</v>
      </c>
      <c r="G5596">
        <v>-327.54750000000001</v>
      </c>
      <c r="H5596" s="1">
        <v>-2.2231809999999998E-6</v>
      </c>
      <c r="I5596">
        <v>14.741059999999999</v>
      </c>
      <c r="J5596">
        <v>-345.71929999999998</v>
      </c>
      <c r="K5596">
        <v>1.1207609999999999</v>
      </c>
      <c r="L5596">
        <v>17.854769999999998</v>
      </c>
      <c r="M5596">
        <v>0.9999015</v>
      </c>
      <c r="N5596">
        <v>-1.1767649999999999E-2</v>
      </c>
      <c r="O5596">
        <v>-7.6406429999999999E-3</v>
      </c>
      <c r="P5596">
        <v>0.99624190000000001</v>
      </c>
      <c r="Q5596">
        <v>-8.4795099999999998E-2</v>
      </c>
      <c r="R5596">
        <v>-1.7654889999999999E-2</v>
      </c>
      <c r="S5596">
        <v>2.9870299999999999</v>
      </c>
      <c r="T5596">
        <v>-0.182142</v>
      </c>
      <c r="U5596">
        <v>-0.50631709999999996</v>
      </c>
      <c r="V5596">
        <v>1.0015369999999999E-2</v>
      </c>
      <c r="W5596">
        <v>-7.3068209999999995E-2</v>
      </c>
      <c r="X5596">
        <v>0.99727670000000002</v>
      </c>
      <c r="Y5596">
        <v>0.15924739999999901</v>
      </c>
      <c r="Z5596">
        <v>-5.3882859999999999E-3</v>
      </c>
      <c r="AA5596">
        <v>0.98722399999999999</v>
      </c>
      <c r="AB5596">
        <v>21</v>
      </c>
      <c r="AC5596">
        <v>18.171799999999902</v>
      </c>
      <c r="AD5596">
        <v>-1.1207632231810001</v>
      </c>
      <c r="AE5596">
        <v>-3.1137100000000002</v>
      </c>
      <c r="AF5596">
        <v>2.9638126890989098</v>
      </c>
      <c r="AG5596">
        <v>-1.1207632231810001</v>
      </c>
      <c r="AH5596">
        <v>18.128070951663901</v>
      </c>
      <c r="AI5596">
        <v>93.491553754503499</v>
      </c>
      <c r="AJ5596">
        <v>80.714691548117102</v>
      </c>
      <c r="AK5596">
        <v>18.402914233540798</v>
      </c>
      <c r="AL5596">
        <v>94.190234106628594</v>
      </c>
      <c r="AM5596">
        <v>89.4246139103562</v>
      </c>
      <c r="AN5596">
        <v>1.00000004365586</v>
      </c>
    </row>
    <row r="5597" spans="1:40" x14ac:dyDescent="0.25">
      <c r="A5597" t="str">
        <f>"20190303154630825"</f>
        <v>20190303154630825</v>
      </c>
      <c r="B5597" t="str">
        <f>"1551599190816965"</f>
        <v>1551599190816965</v>
      </c>
      <c r="C5597" t="s">
        <v>40</v>
      </c>
      <c r="D5597">
        <v>5.5580270000000001</v>
      </c>
      <c r="E5597">
        <v>0.56224269999999998</v>
      </c>
      <c r="F5597" t="s">
        <v>41</v>
      </c>
      <c r="G5597">
        <v>-327.6112</v>
      </c>
      <c r="H5597" s="1">
        <v>-2.240663E-6</v>
      </c>
      <c r="I5597">
        <v>14.5834799999999</v>
      </c>
      <c r="J5597">
        <v>-345.49149999999997</v>
      </c>
      <c r="K5597">
        <v>1.120754</v>
      </c>
      <c r="L5597">
        <v>17.852689999999999</v>
      </c>
      <c r="M5597">
        <v>0.99990029999999996</v>
      </c>
      <c r="N5597">
        <v>-1.1712820000000001E-2</v>
      </c>
      <c r="O5597">
        <v>-7.8955050000000006E-3</v>
      </c>
      <c r="P5597">
        <v>0.99618640000000003</v>
      </c>
      <c r="Q5597">
        <v>-8.5354050000000001E-2</v>
      </c>
      <c r="R5597">
        <v>-1.8100680000000001E-2</v>
      </c>
      <c r="S5597">
        <v>2.985992</v>
      </c>
      <c r="T5597">
        <v>-0.18481139999999999</v>
      </c>
      <c r="U5597">
        <v>-0.53942869999999998</v>
      </c>
      <c r="V5597">
        <v>1.0207620000000001E-2</v>
      </c>
      <c r="W5597">
        <v>-7.3682399999999995E-2</v>
      </c>
      <c r="X5597">
        <v>0.99722949999999999</v>
      </c>
      <c r="Y5597">
        <v>0.1696339</v>
      </c>
      <c r="Z5597">
        <v>-5.8125829999999996E-3</v>
      </c>
      <c r="AA5597">
        <v>0.98548999999999998</v>
      </c>
      <c r="AB5597">
        <v>21</v>
      </c>
      <c r="AC5597">
        <v>17.880299999999899</v>
      </c>
      <c r="AD5597">
        <v>-1.1207562406630001</v>
      </c>
      <c r="AE5597">
        <v>-3.2692100000000002</v>
      </c>
      <c r="AF5597">
        <v>3.1160776420393601</v>
      </c>
      <c r="AG5597">
        <v>-1.1207562406630001</v>
      </c>
      <c r="AH5597">
        <v>17.837740529650802</v>
      </c>
      <c r="AI5597">
        <v>93.541708429094498</v>
      </c>
      <c r="AJ5597">
        <v>80.090980735203303</v>
      </c>
      <c r="AK5597">
        <v>18.142519715446099</v>
      </c>
      <c r="AL5597">
        <v>94.225519970517794</v>
      </c>
      <c r="AM5597">
        <v>89.413542098286996</v>
      </c>
      <c r="AN5597">
        <v>0.99999998362303699</v>
      </c>
    </row>
    <row r="5598" spans="1:40" x14ac:dyDescent="0.25">
      <c r="A5598" t="str">
        <f>"20190303154630846"</f>
        <v>20190303154630846</v>
      </c>
      <c r="B5598" t="str">
        <f>"1551599190837460"</f>
        <v>1551599190837460</v>
      </c>
      <c r="C5598" t="s">
        <v>40</v>
      </c>
      <c r="D5598">
        <v>5.5450049999999997</v>
      </c>
      <c r="E5598">
        <v>0.56310640000000001</v>
      </c>
      <c r="F5598" t="s">
        <v>41</v>
      </c>
      <c r="G5598">
        <v>-327.87009999999998</v>
      </c>
      <c r="H5598" s="1">
        <v>-2.1364220000000002E-6</v>
      </c>
      <c r="I5598">
        <v>14.601520000000001</v>
      </c>
      <c r="J5598">
        <v>-345.29390000000001</v>
      </c>
      <c r="K5598">
        <v>1.120752</v>
      </c>
      <c r="L5598">
        <v>17.850860000000001</v>
      </c>
      <c r="M5598">
        <v>0.99989910000000004</v>
      </c>
      <c r="N5598">
        <v>-1.1670460000000001E-2</v>
      </c>
      <c r="O5598">
        <v>-8.1122899999999994E-3</v>
      </c>
      <c r="P5598">
        <v>0.99613110000000005</v>
      </c>
      <c r="Q5598">
        <v>-8.5924699999999896E-2</v>
      </c>
      <c r="R5598">
        <v>-1.8441550000000001E-2</v>
      </c>
      <c r="S5598">
        <v>2.9852289999999999</v>
      </c>
      <c r="T5598">
        <v>-0.18986749999999999</v>
      </c>
      <c r="U5598">
        <v>-0.55078130000000003</v>
      </c>
      <c r="V5598">
        <v>1.033339E-2</v>
      </c>
      <c r="W5598">
        <v>-7.4295819999999999E-2</v>
      </c>
      <c r="X5598">
        <v>0.99718269999999998</v>
      </c>
      <c r="Y5598">
        <v>0.1730642</v>
      </c>
      <c r="Z5598">
        <v>-6.0545299999999998E-3</v>
      </c>
      <c r="AA5598">
        <v>0.98489199999999999</v>
      </c>
      <c r="AB5598">
        <v>21</v>
      </c>
      <c r="AC5598">
        <v>17.4238</v>
      </c>
      <c r="AD5598">
        <v>-1.1207541364219999</v>
      </c>
      <c r="AE5598">
        <v>-3.2493400000000001</v>
      </c>
      <c r="AF5598">
        <v>3.0954994473211599</v>
      </c>
      <c r="AG5598">
        <v>-1.1207541364219999</v>
      </c>
      <c r="AH5598">
        <v>17.3800951537598</v>
      </c>
      <c r="AI5598">
        <v>93.632595899197</v>
      </c>
      <c r="AJ5598">
        <v>79.901172738993395</v>
      </c>
      <c r="AK5598">
        <v>17.6891467916465</v>
      </c>
      <c r="AL5598">
        <v>94.260762910101604</v>
      </c>
      <c r="AM5598">
        <v>89.406288893683197</v>
      </c>
      <c r="AN5598">
        <v>0.99999999249882698</v>
      </c>
    </row>
    <row r="5599" spans="1:40" x14ac:dyDescent="0.25">
      <c r="A5599" t="str">
        <f>"20190303154630867"</f>
        <v>20190303154630867</v>
      </c>
      <c r="B5599" t="str">
        <f>"1551599190856981"</f>
        <v>1551599190856981</v>
      </c>
      <c r="C5599" t="s">
        <v>40</v>
      </c>
      <c r="D5599">
        <v>5.5302930000000003</v>
      </c>
      <c r="E5599">
        <v>0.56376990000000005</v>
      </c>
      <c r="F5599" t="s">
        <v>41</v>
      </c>
      <c r="G5599">
        <v>-327.94699999999898</v>
      </c>
      <c r="H5599" s="1">
        <v>-2.1063219999999998E-6</v>
      </c>
      <c r="I5599">
        <v>14.60378</v>
      </c>
      <c r="J5599">
        <v>-345.09359999999998</v>
      </c>
      <c r="K5599">
        <v>1.1207450000000001</v>
      </c>
      <c r="L5599">
        <v>17.849</v>
      </c>
      <c r="M5599">
        <v>0.9998977</v>
      </c>
      <c r="N5599">
        <v>-1.163201E-2</v>
      </c>
      <c r="O5599">
        <v>-8.3273059999999996E-3</v>
      </c>
      <c r="P5599">
        <v>0.99612310000000004</v>
      </c>
      <c r="Q5599">
        <v>-8.6053069999999995E-2</v>
      </c>
      <c r="R5599">
        <v>-1.8262690000000002E-2</v>
      </c>
      <c r="S5599">
        <v>2.98468</v>
      </c>
      <c r="T5599">
        <v>-0.19283449999999999</v>
      </c>
      <c r="U5599">
        <v>-0.55868530000000005</v>
      </c>
      <c r="V5599">
        <v>9.9408699999999992E-3</v>
      </c>
      <c r="W5599">
        <v>-7.4462420000000001E-2</v>
      </c>
      <c r="X5599">
        <v>0.99717429999999996</v>
      </c>
      <c r="Y5599">
        <v>0.175389299999999</v>
      </c>
      <c r="Z5599">
        <v>-6.2046469999999998E-3</v>
      </c>
      <c r="AA5599">
        <v>0.98447960000000001</v>
      </c>
      <c r="AB5599">
        <v>21</v>
      </c>
      <c r="AC5599">
        <v>17.146599999999999</v>
      </c>
      <c r="AD5599">
        <v>-1.120747106322</v>
      </c>
      <c r="AE5599">
        <v>-3.2452200000000002</v>
      </c>
      <c r="AF5599">
        <v>3.0895697929409498</v>
      </c>
      <c r="AG5599">
        <v>-1.120747106322</v>
      </c>
      <c r="AH5599">
        <v>17.1024913936674</v>
      </c>
      <c r="AI5599">
        <v>93.689747247818502</v>
      </c>
      <c r="AJ5599">
        <v>79.759941573031696</v>
      </c>
      <c r="AK5599">
        <v>17.4154163732094</v>
      </c>
      <c r="AL5599">
        <v>94.270334746087798</v>
      </c>
      <c r="AM5599">
        <v>89.428835030616895</v>
      </c>
      <c r="AN5599">
        <v>1.0000000287345501</v>
      </c>
    </row>
    <row r="5600" spans="1:40" x14ac:dyDescent="0.25">
      <c r="A5600" t="str">
        <f>"20190303154630890"</f>
        <v>20190303154630890</v>
      </c>
      <c r="B5600" t="str">
        <f>"1551599190887237"</f>
        <v>1551599190887237</v>
      </c>
      <c r="C5600" t="s">
        <v>40</v>
      </c>
      <c r="D5600">
        <v>5.4950239999999999</v>
      </c>
      <c r="E5600">
        <v>0.56460540000000004</v>
      </c>
      <c r="F5600" t="s">
        <v>41</v>
      </c>
      <c r="G5600">
        <v>-327.94389999999999</v>
      </c>
      <c r="H5600" s="1">
        <v>-2.105438E-6</v>
      </c>
      <c r="I5600">
        <v>14.61145</v>
      </c>
      <c r="J5600">
        <v>-344.88580000000002</v>
      </c>
      <c r="K5600">
        <v>1.120741</v>
      </c>
      <c r="L5600">
        <v>17.846979999999999</v>
      </c>
      <c r="M5600">
        <v>0.99989629999999996</v>
      </c>
      <c r="N5600">
        <v>-1.15969E-2</v>
      </c>
      <c r="O5600">
        <v>-8.5435210000000001E-3</v>
      </c>
      <c r="P5600">
        <v>0.99610390000000004</v>
      </c>
      <c r="Q5600">
        <v>-8.6406789999999997E-2</v>
      </c>
      <c r="R5600">
        <v>-1.763723E-2</v>
      </c>
      <c r="S5600">
        <v>2.984467</v>
      </c>
      <c r="T5600">
        <v>-0.19503819999999999</v>
      </c>
      <c r="U5600">
        <v>-0.56341549999999996</v>
      </c>
      <c r="V5600">
        <v>9.1005289999999996E-3</v>
      </c>
      <c r="W5600">
        <v>-7.4850979999999998E-2</v>
      </c>
      <c r="X5600">
        <v>0.99715319999999996</v>
      </c>
      <c r="Y5600">
        <v>0.17668499999999901</v>
      </c>
      <c r="Z5600">
        <v>-6.2969519999999998E-3</v>
      </c>
      <c r="AA5600">
        <v>0.98424730000000005</v>
      </c>
      <c r="AB5600">
        <v>21</v>
      </c>
      <c r="AC5600">
        <v>16.9419</v>
      </c>
      <c r="AD5600">
        <v>-1.1207431054379999</v>
      </c>
      <c r="AE5600">
        <v>-3.23552999999999</v>
      </c>
      <c r="AF5600">
        <v>3.07766443800505</v>
      </c>
      <c r="AG5600">
        <v>-1.1207431054379999</v>
      </c>
      <c r="AH5600">
        <v>16.897582727812999</v>
      </c>
      <c r="AI5600">
        <v>93.733380139199397</v>
      </c>
      <c r="AJ5600">
        <v>79.677506876019706</v>
      </c>
      <c r="AK5600">
        <v>17.212099974861601</v>
      </c>
      <c r="AL5600">
        <v>94.2926600349994</v>
      </c>
      <c r="AM5600">
        <v>89.477103992851696</v>
      </c>
      <c r="AN5600">
        <v>0.99999999655264005</v>
      </c>
    </row>
    <row r="5601" spans="1:40" x14ac:dyDescent="0.25">
      <c r="A5601" t="str">
        <f>"20190303154630912"</f>
        <v>20190303154630912</v>
      </c>
      <c r="B5601" t="str">
        <f>"1551599190906757"</f>
        <v>1551599190906757</v>
      </c>
      <c r="C5601" t="s">
        <v>40</v>
      </c>
      <c r="D5601">
        <v>5.4852040000000004</v>
      </c>
      <c r="E5601">
        <v>0.56500059999999996</v>
      </c>
      <c r="F5601" t="s">
        <v>41</v>
      </c>
      <c r="G5601">
        <v>-327.6848</v>
      </c>
      <c r="H5601" s="1">
        <v>-2.2153729999999999E-6</v>
      </c>
      <c r="I5601">
        <v>14.572279999999999</v>
      </c>
      <c r="J5601">
        <v>-344.67419999999998</v>
      </c>
      <c r="K5601">
        <v>1.1207450000000001</v>
      </c>
      <c r="L5601">
        <v>17.844909999999999</v>
      </c>
      <c r="M5601">
        <v>0.99989490000000003</v>
      </c>
      <c r="N5601">
        <v>-1.156599E-2</v>
      </c>
      <c r="O5601">
        <v>-8.7526940000000001E-3</v>
      </c>
      <c r="P5601">
        <v>0.99608730000000001</v>
      </c>
      <c r="Q5601">
        <v>-8.6672079999999999E-2</v>
      </c>
      <c r="R5601">
        <v>-1.726693E-2</v>
      </c>
      <c r="S5601">
        <v>2.984772</v>
      </c>
      <c r="T5601">
        <v>-0.19447529999999999</v>
      </c>
      <c r="U5601">
        <v>-0.56823729999999995</v>
      </c>
      <c r="V5601">
        <v>8.5230180000000003E-3</v>
      </c>
      <c r="W5601">
        <v>-7.5146989999999997E-2</v>
      </c>
      <c r="X5601">
        <v>0.99713609999999997</v>
      </c>
      <c r="Y5601">
        <v>0.17799509999999999</v>
      </c>
      <c r="Z5601">
        <v>-6.3167259999999999E-3</v>
      </c>
      <c r="AA5601">
        <v>0.98401110000000003</v>
      </c>
      <c r="AB5601">
        <v>21</v>
      </c>
      <c r="AC5601">
        <v>16.9893999999999</v>
      </c>
      <c r="AD5601">
        <v>-1.120747215373</v>
      </c>
      <c r="AE5601">
        <v>-3.2726299999999999</v>
      </c>
      <c r="AF5601">
        <v>3.1107389845342199</v>
      </c>
      <c r="AG5601">
        <v>-1.120747215373</v>
      </c>
      <c r="AH5601">
        <v>16.946288599620999</v>
      </c>
      <c r="AI5601">
        <v>93.721755756980698</v>
      </c>
      <c r="AJ5601">
        <v>79.598322022634605</v>
      </c>
      <c r="AK5601">
        <v>17.265846884885502</v>
      </c>
      <c r="AL5601">
        <v>94.309667799335998</v>
      </c>
      <c r="AM5601">
        <v>89.510276412470105</v>
      </c>
      <c r="AN5601">
        <v>1.00000005693254</v>
      </c>
    </row>
    <row r="5602" spans="1:40" x14ac:dyDescent="0.25">
      <c r="A5602" t="str">
        <f>"20190303154630935"</f>
        <v>20190303154630935</v>
      </c>
      <c r="B5602" t="str">
        <f>"1551599190927252"</f>
        <v>1551599190927252</v>
      </c>
      <c r="C5602" t="s">
        <v>40</v>
      </c>
      <c r="D5602">
        <v>5.4776999999999996</v>
      </c>
      <c r="E5602">
        <v>0.56542919999999997</v>
      </c>
      <c r="F5602" t="s">
        <v>41</v>
      </c>
      <c r="G5602">
        <v>-327.45080000000002</v>
      </c>
      <c r="H5602" s="1">
        <v>-2.3099839999999999E-6</v>
      </c>
      <c r="I5602">
        <v>14.55439</v>
      </c>
      <c r="J5602">
        <v>-344.46879999999999</v>
      </c>
      <c r="K5602">
        <v>1.1207579999999999</v>
      </c>
      <c r="L5602">
        <v>17.842860000000002</v>
      </c>
      <c r="M5602">
        <v>0.99989349999999999</v>
      </c>
      <c r="N5602">
        <v>-1.153995E-2</v>
      </c>
      <c r="O5602">
        <v>-8.9393130000000008E-3</v>
      </c>
      <c r="P5602">
        <v>0.99607999999999997</v>
      </c>
      <c r="Q5602">
        <v>-8.67008999999999E-2</v>
      </c>
      <c r="R5602">
        <v>-1.753861E-2</v>
      </c>
      <c r="S5602">
        <v>2.984985</v>
      </c>
      <c r="T5602">
        <v>-0.19423699999999999</v>
      </c>
      <c r="U5602">
        <v>-0.57028199999999996</v>
      </c>
      <c r="V5602">
        <v>8.6106719999999998E-3</v>
      </c>
      <c r="W5602">
        <v>-7.5201619999999997E-2</v>
      </c>
      <c r="X5602">
        <v>0.9971312</v>
      </c>
      <c r="Y5602">
        <v>0.17844930000000001</v>
      </c>
      <c r="Z5602">
        <v>-6.3145869999999896E-3</v>
      </c>
      <c r="AA5602">
        <v>0.9839289</v>
      </c>
      <c r="AB5602">
        <v>21</v>
      </c>
      <c r="AC5602">
        <v>17.017999999999901</v>
      </c>
      <c r="AD5602">
        <v>-1.120760309984</v>
      </c>
      <c r="AE5602">
        <v>-3.2884699999999998</v>
      </c>
      <c r="AF5602">
        <v>3.1231411625878698</v>
      </c>
      <c r="AG5602">
        <v>-1.120760309984</v>
      </c>
      <c r="AH5602">
        <v>16.9757417826258</v>
      </c>
      <c r="AI5602">
        <v>93.715088436760894</v>
      </c>
      <c r="AJ5602">
        <v>79.575482070234898</v>
      </c>
      <c r="AK5602">
        <v>17.296991746089098</v>
      </c>
      <c r="AL5602">
        <v>94.312806871667902</v>
      </c>
      <c r="AM5602">
        <v>89.5052377243791</v>
      </c>
      <c r="AN5602">
        <v>1.0000000286681701</v>
      </c>
    </row>
    <row r="5603" spans="1:40" x14ac:dyDescent="0.25">
      <c r="A5603" t="str">
        <f>"20190303154630956"</f>
        <v>20190303154630956</v>
      </c>
      <c r="B5603" t="str">
        <f>"1551599190946773"</f>
        <v>1551599190946773</v>
      </c>
      <c r="C5603" t="s">
        <v>40</v>
      </c>
      <c r="D5603">
        <v>5.4425790000000003</v>
      </c>
      <c r="E5603">
        <v>0.56575439999999999</v>
      </c>
      <c r="F5603" t="s">
        <v>41</v>
      </c>
      <c r="G5603">
        <v>-327.22070000000002</v>
      </c>
      <c r="H5603" s="1">
        <v>-2.4068220000000002E-6</v>
      </c>
      <c r="I5603">
        <v>14.52256</v>
      </c>
      <c r="J5603">
        <v>-344.26760000000002</v>
      </c>
      <c r="K5603">
        <v>1.1207750000000001</v>
      </c>
      <c r="L5603">
        <v>17.84085</v>
      </c>
      <c r="M5603">
        <v>0.99989240000000001</v>
      </c>
      <c r="N5603">
        <v>-1.151779E-2</v>
      </c>
      <c r="O5603">
        <v>-9.1000149999999995E-3</v>
      </c>
      <c r="P5603">
        <v>0.99611459999999996</v>
      </c>
      <c r="Q5603">
        <v>-8.6188509999999996E-2</v>
      </c>
      <c r="R5603">
        <v>-1.810409E-2</v>
      </c>
      <c r="S5603">
        <v>2.9848020000000002</v>
      </c>
      <c r="T5603">
        <v>-0.1939496</v>
      </c>
      <c r="U5603">
        <v>-0.57458500000000001</v>
      </c>
      <c r="V5603">
        <v>9.0185520000000009E-3</v>
      </c>
      <c r="W5603">
        <v>-7.471071E-2</v>
      </c>
      <c r="X5603">
        <v>0.99716450000000001</v>
      </c>
      <c r="Y5603">
        <v>0.179669</v>
      </c>
      <c r="Z5603">
        <v>-6.3423169999999897E-3</v>
      </c>
      <c r="AA5603">
        <v>0.98370670000000004</v>
      </c>
      <c r="AB5603">
        <v>21</v>
      </c>
      <c r="AC5603">
        <v>17.046899999999901</v>
      </c>
      <c r="AD5603">
        <v>-1.120777406822</v>
      </c>
      <c r="AE5603">
        <v>-3.3182900000000002</v>
      </c>
      <c r="AF5603">
        <v>3.1498965224434499</v>
      </c>
      <c r="AG5603">
        <v>-1.120777406822</v>
      </c>
      <c r="AH5603">
        <v>17.0055674456442</v>
      </c>
      <c r="AI5603">
        <v>93.707821635968301</v>
      </c>
      <c r="AJ5603">
        <v>79.506186168533105</v>
      </c>
      <c r="AK5603">
        <v>17.3311082809524</v>
      </c>
      <c r="AL5603">
        <v>94.284600436168105</v>
      </c>
      <c r="AM5603">
        <v>89.481819821429099</v>
      </c>
      <c r="AN5603">
        <v>1.0000000322645599</v>
      </c>
    </row>
    <row r="5604" spans="1:40" x14ac:dyDescent="0.25">
      <c r="A5604" t="str">
        <f>"20190303154630978"</f>
        <v>20190303154630978</v>
      </c>
      <c r="B5604" t="str">
        <f>"1551599190977029"</f>
        <v>1551599190977029</v>
      </c>
      <c r="C5604" t="s">
        <v>40</v>
      </c>
      <c r="D5604">
        <v>5.416404</v>
      </c>
      <c r="E5604">
        <v>0.56618239999999997</v>
      </c>
      <c r="F5604" t="s">
        <v>41</v>
      </c>
      <c r="G5604">
        <v>-326.89319999999998</v>
      </c>
      <c r="H5604" s="1">
        <v>-2.54645E-6</v>
      </c>
      <c r="I5604">
        <v>14.470499999999999</v>
      </c>
      <c r="J5604">
        <v>-344.05349999999999</v>
      </c>
      <c r="K5604">
        <v>1.1208</v>
      </c>
      <c r="L5604">
        <v>17.838750000000001</v>
      </c>
      <c r="M5604">
        <v>0.99989119999999998</v>
      </c>
      <c r="N5604">
        <v>-1.1497240000000001E-2</v>
      </c>
      <c r="O5604">
        <v>-9.2388120000000008E-3</v>
      </c>
      <c r="P5604">
        <v>0.99612440000000002</v>
      </c>
      <c r="Q5604">
        <v>-8.5897150000000005E-2</v>
      </c>
      <c r="R5604">
        <v>-1.8916599999999999E-2</v>
      </c>
      <c r="S5604">
        <v>2.9845280000000001</v>
      </c>
      <c r="T5604">
        <v>-0.19252349999999999</v>
      </c>
      <c r="U5604">
        <v>-0.57894899999999905</v>
      </c>
      <c r="V5604">
        <v>9.6967809999999998E-3</v>
      </c>
      <c r="W5604">
        <v>-7.44393E-2</v>
      </c>
      <c r="X5604">
        <v>0.99717840000000002</v>
      </c>
      <c r="Y5604">
        <v>0.1809386</v>
      </c>
      <c r="Z5604">
        <v>-6.34266E-3</v>
      </c>
      <c r="AA5604">
        <v>0.98347399999999996</v>
      </c>
      <c r="AB5604">
        <v>21</v>
      </c>
      <c r="AC5604">
        <v>17.160299999999999</v>
      </c>
      <c r="AD5604">
        <v>-1.12080254645</v>
      </c>
      <c r="AE5604">
        <v>-3.3682500000000002</v>
      </c>
      <c r="AF5604">
        <v>3.1964252397733701</v>
      </c>
      <c r="AG5604">
        <v>-1.12080254645</v>
      </c>
      <c r="AH5604">
        <v>17.120364154250598</v>
      </c>
      <c r="AI5604">
        <v>93.682136551591796</v>
      </c>
      <c r="AJ5604">
        <v>79.424458827253304</v>
      </c>
      <c r="AK5604">
        <v>17.452226260157701</v>
      </c>
      <c r="AL5604">
        <v>94.269006507445496</v>
      </c>
      <c r="AM5604">
        <v>89.442860861157101</v>
      </c>
      <c r="AN5604">
        <v>0.99999999918640503</v>
      </c>
    </row>
    <row r="5605" spans="1:40" x14ac:dyDescent="0.25">
      <c r="A5605" t="str">
        <f>"20190303154630991"</f>
        <v>20190303154630991</v>
      </c>
      <c r="B5605" t="str">
        <f>"1551599190986791"</f>
        <v>1551599190986791</v>
      </c>
      <c r="C5605" t="s">
        <v>40</v>
      </c>
      <c r="D5605">
        <v>5.4261809999999997</v>
      </c>
      <c r="E5605">
        <v>0.56628869999999998</v>
      </c>
      <c r="F5605" t="s">
        <v>41</v>
      </c>
      <c r="G5605">
        <v>-326.51249999999999</v>
      </c>
      <c r="H5605" s="1">
        <v>-2.7110759999999999E-6</v>
      </c>
      <c r="I5605">
        <v>14.40122</v>
      </c>
      <c r="J5605">
        <v>-343.93880000000001</v>
      </c>
      <c r="K5605">
        <v>1.1208129999999901</v>
      </c>
      <c r="L5605">
        <v>17.837589999999999</v>
      </c>
      <c r="M5605">
        <v>0.99989079999999997</v>
      </c>
      <c r="N5605">
        <v>-1.148766E-2</v>
      </c>
      <c r="O5605">
        <v>-9.2918280000000002E-3</v>
      </c>
      <c r="P5605">
        <v>0.99614340000000001</v>
      </c>
      <c r="Q5605">
        <v>-8.5589040000000005E-2</v>
      </c>
      <c r="R5605">
        <v>-1.9309719999999999E-2</v>
      </c>
      <c r="S5605">
        <v>2.9841609999999998</v>
      </c>
      <c r="T5605">
        <v>-0.19067609999999999</v>
      </c>
      <c r="U5605">
        <v>-0.58480829999999995</v>
      </c>
      <c r="V5605">
        <v>1.0039670000000001E-2</v>
      </c>
      <c r="W5605">
        <v>-7.4140209999999998E-2</v>
      </c>
      <c r="X5605">
        <v>0.99719729999999995</v>
      </c>
      <c r="Y5605">
        <v>0.1827723</v>
      </c>
      <c r="Z5605">
        <v>-6.3577159999999898E-3</v>
      </c>
      <c r="AA5605">
        <v>0.98313470000000003</v>
      </c>
      <c r="AB5605">
        <v>21</v>
      </c>
      <c r="AC5605">
        <v>17.426300000000001</v>
      </c>
      <c r="AD5605">
        <v>-1.12081571107599</v>
      </c>
      <c r="AE5605">
        <v>-3.4363699999999899</v>
      </c>
      <c r="AF5605">
        <v>3.2613025790265202</v>
      </c>
      <c r="AG5605">
        <v>-1.12081571107599</v>
      </c>
      <c r="AH5605">
        <v>17.388241644281202</v>
      </c>
      <c r="AI5605">
        <v>93.625046926871406</v>
      </c>
      <c r="AJ5605">
        <v>79.377138434506406</v>
      </c>
      <c r="AK5605">
        <v>17.726908073605902</v>
      </c>
      <c r="AL5605">
        <v>94.251822380023398</v>
      </c>
      <c r="AM5605">
        <v>89.423172039970297</v>
      </c>
      <c r="AN5605">
        <v>1.00000001041992</v>
      </c>
    </row>
    <row r="5606" spans="1:40" x14ac:dyDescent="0.25">
      <c r="A5606" t="str">
        <f>"20190303154631006"</f>
        <v>20190303154631006</v>
      </c>
      <c r="B5606" t="str">
        <f>"1551599190996549"</f>
        <v>1551599190996549</v>
      </c>
      <c r="C5606" t="s">
        <v>40</v>
      </c>
      <c r="D5606">
        <v>5.3870440000000004</v>
      </c>
      <c r="E5606">
        <v>0.56637919999999997</v>
      </c>
      <c r="F5606" t="s">
        <v>41</v>
      </c>
      <c r="G5606">
        <v>-326.34640000000002</v>
      </c>
      <c r="H5606" s="1">
        <v>-2.781042E-6</v>
      </c>
      <c r="I5606">
        <v>14.378</v>
      </c>
      <c r="J5606">
        <v>-343.81150000000002</v>
      </c>
      <c r="K5606">
        <v>1.120833</v>
      </c>
      <c r="L5606">
        <v>17.836300000000001</v>
      </c>
      <c r="M5606">
        <v>0.99989059999999996</v>
      </c>
      <c r="N5606">
        <v>-1.1477619999999999E-2</v>
      </c>
      <c r="O5606">
        <v>-9.340157E-3</v>
      </c>
      <c r="P5606">
        <v>0.99612500000000004</v>
      </c>
      <c r="Q5606">
        <v>-8.5772749999999995E-2</v>
      </c>
      <c r="R5606">
        <v>-1.9445770000000001E-2</v>
      </c>
      <c r="S5606">
        <v>2.9839169999999999</v>
      </c>
      <c r="T5606">
        <v>-0.19010540000000001</v>
      </c>
      <c r="U5606">
        <v>-0.58679199999999998</v>
      </c>
      <c r="V5606">
        <v>1.0130790000000001E-2</v>
      </c>
      <c r="W5606">
        <v>-7.4333679999999999E-2</v>
      </c>
      <c r="X5606">
        <v>0.99718200000000001</v>
      </c>
      <c r="Y5606">
        <v>0.18337020000000001</v>
      </c>
      <c r="Z5606">
        <v>-6.3611529999999996E-3</v>
      </c>
      <c r="AA5606">
        <v>0.98302330000000004</v>
      </c>
      <c r="AB5606">
        <v>21</v>
      </c>
      <c r="AC5606">
        <v>17.4651</v>
      </c>
      <c r="AD5606">
        <v>-1.120835781042</v>
      </c>
      <c r="AE5606">
        <v>-3.4582999999999999</v>
      </c>
      <c r="AF5606">
        <v>3.2820045898304802</v>
      </c>
      <c r="AG5606">
        <v>-1.120835781042</v>
      </c>
      <c r="AH5606">
        <v>17.427573407704202</v>
      </c>
      <c r="AI5606">
        <v>93.616451354257194</v>
      </c>
      <c r="AJ5606">
        <v>79.334824974586397</v>
      </c>
      <c r="AK5606">
        <v>17.769303358788399</v>
      </c>
      <c r="AL5606">
        <v>94.2629379616656</v>
      </c>
      <c r="AM5606">
        <v>89.417928180444406</v>
      </c>
      <c r="AN5606">
        <v>1.00000003500618</v>
      </c>
    </row>
    <row r="5607" spans="1:40" x14ac:dyDescent="0.25">
      <c r="A5607" t="str">
        <f>"20190303154631019"</f>
        <v>20190303154631019</v>
      </c>
      <c r="B5607" t="str">
        <f>"1551599191007285"</f>
        <v>1551599191007285</v>
      </c>
      <c r="C5607" t="s">
        <v>40</v>
      </c>
      <c r="D5607">
        <v>5.3893690000000003</v>
      </c>
      <c r="E5607">
        <v>0.56649090000000002</v>
      </c>
      <c r="F5607" t="s">
        <v>41</v>
      </c>
      <c r="G5607">
        <v>-326.31119999999999</v>
      </c>
      <c r="H5607" s="1">
        <v>-2.7920059999999999E-6</v>
      </c>
      <c r="I5607">
        <v>14.387510000000001</v>
      </c>
      <c r="J5607">
        <v>-343.67860000000002</v>
      </c>
      <c r="K5607">
        <v>1.120852</v>
      </c>
      <c r="L5607">
        <v>17.83502</v>
      </c>
      <c r="M5607">
        <v>0.99989039999999996</v>
      </c>
      <c r="N5607">
        <v>-1.146812E-2</v>
      </c>
      <c r="O5607">
        <v>-9.3730889999999994E-3</v>
      </c>
      <c r="P5607">
        <v>0.99614309999999995</v>
      </c>
      <c r="Q5607">
        <v>-8.5574880000000006E-2</v>
      </c>
      <c r="R5607">
        <v>-1.9404660000000001E-2</v>
      </c>
      <c r="S5607">
        <v>2.983765</v>
      </c>
      <c r="T5607">
        <v>-0.1911004</v>
      </c>
      <c r="U5607">
        <v>-0.58801269999999894</v>
      </c>
      <c r="V5607">
        <v>1.0060080000000001E-2</v>
      </c>
      <c r="W5607">
        <v>-7.414461E-2</v>
      </c>
      <c r="X5607">
        <v>0.99719669999999905</v>
      </c>
      <c r="Y5607">
        <v>0.1837298</v>
      </c>
      <c r="Z5607">
        <v>-6.3991730000000002E-3</v>
      </c>
      <c r="AA5607">
        <v>0.98295589999999999</v>
      </c>
      <c r="AB5607">
        <v>21</v>
      </c>
      <c r="AC5607">
        <v>17.3674</v>
      </c>
      <c r="AD5607">
        <v>-1.1208547920059999</v>
      </c>
      <c r="AE5607">
        <v>-3.4475099999999901</v>
      </c>
      <c r="AF5607">
        <v>3.2714521868071902</v>
      </c>
      <c r="AG5607">
        <v>-1.1208547920059999</v>
      </c>
      <c r="AH5607">
        <v>17.329509524963601</v>
      </c>
      <c r="AI5607">
        <v>93.636621170204705</v>
      </c>
      <c r="AJ5607">
        <v>79.309553622507593</v>
      </c>
      <c r="AK5607">
        <v>17.6711803581745</v>
      </c>
      <c r="AL5607">
        <v>94.252075462534506</v>
      </c>
      <c r="AM5607">
        <v>89.421999117747205</v>
      </c>
      <c r="AN5607">
        <v>0.99999994344627197</v>
      </c>
    </row>
    <row r="5608" spans="1:40" x14ac:dyDescent="0.25">
      <c r="A5608" t="str">
        <f>"20190303154631037"</f>
        <v>20190303154631037</v>
      </c>
      <c r="B5608" t="str">
        <f>"1551599191026805"</f>
        <v>1551599191026805</v>
      </c>
      <c r="C5608" t="s">
        <v>40</v>
      </c>
      <c r="D5608">
        <v>5.3661960000000004</v>
      </c>
      <c r="E5608">
        <v>0.56682889999999997</v>
      </c>
      <c r="F5608" t="s">
        <v>41</v>
      </c>
      <c r="G5608">
        <v>-326.07709999999997</v>
      </c>
      <c r="H5608" s="1">
        <v>-2.8887770000000002E-6</v>
      </c>
      <c r="I5608">
        <v>14.361829999999999</v>
      </c>
      <c r="J5608">
        <v>-343.51510000000002</v>
      </c>
      <c r="K5608">
        <v>1.12087</v>
      </c>
      <c r="L5608">
        <v>17.83344</v>
      </c>
      <c r="M5608">
        <v>0.99989039999999996</v>
      </c>
      <c r="N5608">
        <v>-1.1457739999999999E-2</v>
      </c>
      <c r="O5608">
        <v>-9.3901339999999996E-3</v>
      </c>
      <c r="P5608">
        <v>0.99616610000000005</v>
      </c>
      <c r="Q5608">
        <v>-8.5336770000000006E-2</v>
      </c>
      <c r="R5608">
        <v>-1.9262580000000001E-2</v>
      </c>
      <c r="S5608">
        <v>2.9838260000000001</v>
      </c>
      <c r="T5608">
        <v>-0.19000729999999999</v>
      </c>
      <c r="U5608">
        <v>-0.58877559999999995</v>
      </c>
      <c r="V5608">
        <v>9.9048190000000005E-3</v>
      </c>
      <c r="W5608">
        <v>-7.3916109999999993E-2</v>
      </c>
      <c r="X5608">
        <v>0.99721530000000003</v>
      </c>
      <c r="Y5608">
        <v>0.18395510000000001</v>
      </c>
      <c r="Z5608">
        <v>-6.3755720000000004E-3</v>
      </c>
      <c r="AA5608">
        <v>0.98291399999999995</v>
      </c>
      <c r="AB5608">
        <v>21</v>
      </c>
      <c r="AC5608">
        <v>17.437999999999999</v>
      </c>
      <c r="AD5608">
        <v>-1.1208728887770001</v>
      </c>
      <c r="AE5608">
        <v>-3.4716099999999899</v>
      </c>
      <c r="AF5608">
        <v>3.2946079342433401</v>
      </c>
      <c r="AG5608">
        <v>-1.1208728887770001</v>
      </c>
      <c r="AH5608">
        <v>17.400680048963501</v>
      </c>
      <c r="AI5608">
        <v>93.621476714445194</v>
      </c>
      <c r="AJ5608">
        <v>79.278652036193606</v>
      </c>
      <c r="AK5608">
        <v>17.745265950094101</v>
      </c>
      <c r="AL5608">
        <v>94.238947003334005</v>
      </c>
      <c r="AM5608">
        <v>89.430929645350801</v>
      </c>
      <c r="AN5608">
        <v>1.0000000256555199</v>
      </c>
    </row>
    <row r="5609" spans="1:40" x14ac:dyDescent="0.25">
      <c r="A5609" t="str">
        <f>"20190303154631059"</f>
        <v>20190303154631059</v>
      </c>
      <c r="B5609" t="str">
        <f>"1551599191047301"</f>
        <v>1551599191047301</v>
      </c>
      <c r="C5609" t="s">
        <v>40</v>
      </c>
      <c r="D5609">
        <v>5.3426539999999996</v>
      </c>
      <c r="E5609">
        <v>0.56710280000000002</v>
      </c>
      <c r="F5609" t="s">
        <v>41</v>
      </c>
      <c r="G5609">
        <v>-325.7269</v>
      </c>
      <c r="H5609" s="1">
        <v>-3.0369460000000001E-6</v>
      </c>
      <c r="I5609">
        <v>14.310320000000001</v>
      </c>
      <c r="J5609">
        <v>-343.3159</v>
      </c>
      <c r="K5609">
        <v>1.120892</v>
      </c>
      <c r="L5609">
        <v>17.831569999999999</v>
      </c>
      <c r="M5609">
        <v>0.99989039999999996</v>
      </c>
      <c r="N5609">
        <v>-1.144648E-2</v>
      </c>
      <c r="O5609">
        <v>-9.3821259999999993E-3</v>
      </c>
      <c r="P5609">
        <v>0.99621709999999997</v>
      </c>
      <c r="Q5609">
        <v>-8.4754940000000001E-2</v>
      </c>
      <c r="R5609">
        <v>-1.9188460000000001E-2</v>
      </c>
      <c r="S5609">
        <v>2.983978</v>
      </c>
      <c r="T5609">
        <v>-0.18802650000000001</v>
      </c>
      <c r="U5609">
        <v>-0.59100339999999996</v>
      </c>
      <c r="V5609">
        <v>9.8420820000000003E-3</v>
      </c>
      <c r="W5609">
        <v>-7.3344389999999995E-2</v>
      </c>
      <c r="X5609">
        <v>0.99725810000000004</v>
      </c>
      <c r="Y5609">
        <v>0.184666</v>
      </c>
      <c r="Z5609">
        <v>-6.3463759999999999E-3</v>
      </c>
      <c r="AA5609">
        <v>0.98278089999999996</v>
      </c>
      <c r="AB5609">
        <v>21</v>
      </c>
      <c r="AC5609">
        <v>17.588999999999999</v>
      </c>
      <c r="AD5609">
        <v>-1.120895036946</v>
      </c>
      <c r="AE5609">
        <v>-3.5212500000000002</v>
      </c>
      <c r="AF5609">
        <v>3.3430087008905098</v>
      </c>
      <c r="AG5609">
        <v>-1.120895036946</v>
      </c>
      <c r="AH5609">
        <v>17.552727572169101</v>
      </c>
      <c r="AI5609">
        <v>93.589526182104194</v>
      </c>
      <c r="AJ5609">
        <v>79.216861245325006</v>
      </c>
      <c r="AK5609">
        <v>17.9033616419058</v>
      </c>
      <c r="AL5609">
        <v>94.206100844486002</v>
      </c>
      <c r="AM5609">
        <v>89.434558161997003</v>
      </c>
      <c r="AN5609">
        <v>0.99999999206908796</v>
      </c>
    </row>
    <row r="5610" spans="1:40" x14ac:dyDescent="0.25">
      <c r="A5610" t="str">
        <f>"20190303154631081"</f>
        <v>20190303154631081</v>
      </c>
      <c r="B5610" t="str">
        <f>"1551599191077557"</f>
        <v>1551599191077557</v>
      </c>
      <c r="C5610" t="s">
        <v>40</v>
      </c>
      <c r="D5610">
        <v>5.337682</v>
      </c>
      <c r="E5610">
        <v>0.56745559999999995</v>
      </c>
      <c r="F5610" t="s">
        <v>41</v>
      </c>
      <c r="G5610">
        <v>-325.2672</v>
      </c>
      <c r="H5610" s="1">
        <v>-3.2308460000000001E-6</v>
      </c>
      <c r="I5610">
        <v>14.24512</v>
      </c>
      <c r="J5610">
        <v>-343.10539999999997</v>
      </c>
      <c r="K5610">
        <v>1.1209119999999999</v>
      </c>
      <c r="L5610">
        <v>17.82959</v>
      </c>
      <c r="M5610">
        <v>0.99989099999999997</v>
      </c>
      <c r="N5610">
        <v>-1.143635E-2</v>
      </c>
      <c r="O5610">
        <v>-9.3351690000000008E-3</v>
      </c>
      <c r="P5610">
        <v>0.99623819999999996</v>
      </c>
      <c r="Q5610">
        <v>-8.446526E-2</v>
      </c>
      <c r="R5610">
        <v>-1.93673E-2</v>
      </c>
      <c r="S5610">
        <v>2.9841920000000002</v>
      </c>
      <c r="T5610">
        <v>-0.18532979999999999</v>
      </c>
      <c r="U5610">
        <v>-0.59298709999999999</v>
      </c>
      <c r="V5610">
        <v>1.0071220000000001E-2</v>
      </c>
      <c r="W5610">
        <v>-7.3064080000000003E-2</v>
      </c>
      <c r="X5610">
        <v>0.99727639999999995</v>
      </c>
      <c r="Y5610">
        <v>0.18533640000000001</v>
      </c>
      <c r="Z5610">
        <v>-6.2974729999999996E-3</v>
      </c>
      <c r="AA5610">
        <v>0.9826549</v>
      </c>
      <c r="AB5610">
        <v>21</v>
      </c>
      <c r="AC5610">
        <v>17.838199999999901</v>
      </c>
      <c r="AD5610">
        <v>-1.120915230846</v>
      </c>
      <c r="AE5610">
        <v>-3.5844699999999898</v>
      </c>
      <c r="AF5610">
        <v>3.4048576467225198</v>
      </c>
      <c r="AG5610">
        <v>-1.120915230846</v>
      </c>
      <c r="AH5610">
        <v>17.803316569934999</v>
      </c>
      <c r="AI5610">
        <v>93.538679408944503</v>
      </c>
      <c r="AJ5610">
        <v>79.173007182607805</v>
      </c>
      <c r="AK5610">
        <v>18.160605370926099</v>
      </c>
      <c r="AL5610">
        <v>94.189997008898501</v>
      </c>
      <c r="AM5610">
        <v>89.421405354149599</v>
      </c>
      <c r="AN5610">
        <v>1.0000000036277401</v>
      </c>
    </row>
    <row r="5611" spans="1:40" x14ac:dyDescent="0.25">
      <c r="A5611" t="str">
        <f>"20190303154631102"</f>
        <v>20190303154631102</v>
      </c>
      <c r="B5611" t="str">
        <f>"1551599191097077"</f>
        <v>1551599191097077</v>
      </c>
      <c r="C5611" t="s">
        <v>40</v>
      </c>
      <c r="D5611">
        <v>5.328773</v>
      </c>
      <c r="E5611">
        <v>0.56769080000000005</v>
      </c>
      <c r="F5611" t="s">
        <v>41</v>
      </c>
      <c r="G5611">
        <v>-324.88850000000002</v>
      </c>
      <c r="H5611" s="1">
        <v>-3.3912490000000001E-6</v>
      </c>
      <c r="I5611">
        <v>14.18878</v>
      </c>
      <c r="J5611">
        <v>-342.90140000000002</v>
      </c>
      <c r="K5611">
        <v>1.12093</v>
      </c>
      <c r="L5611">
        <v>17.82779</v>
      </c>
      <c r="M5611">
        <v>0.999892</v>
      </c>
      <c r="N5611">
        <v>-1.1428000000000001E-2</v>
      </c>
      <c r="O5611">
        <v>-9.2457860000000006E-3</v>
      </c>
      <c r="P5611">
        <v>0.99624970000000002</v>
      </c>
      <c r="Q5611">
        <v>-8.4172949999999996E-2</v>
      </c>
      <c r="R5611">
        <v>-2.0039540000000002E-2</v>
      </c>
      <c r="S5611">
        <v>2.9841310000000001</v>
      </c>
      <c r="T5611">
        <v>-0.18361839999999999</v>
      </c>
      <c r="U5611">
        <v>-0.59640499999999996</v>
      </c>
      <c r="V5611">
        <v>1.0836139999999999E-2</v>
      </c>
      <c r="W5611">
        <v>-7.2779319999999995E-2</v>
      </c>
      <c r="X5611">
        <v>0.99728919999999999</v>
      </c>
      <c r="Y5611">
        <v>0.1865146</v>
      </c>
      <c r="Z5611">
        <v>-6.2961359999999999E-3</v>
      </c>
      <c r="AA5611">
        <v>0.98243199999999997</v>
      </c>
      <c r="AB5611">
        <v>21</v>
      </c>
      <c r="AC5611">
        <v>18.012899999999998</v>
      </c>
      <c r="AD5611">
        <v>-1.120933391249</v>
      </c>
      <c r="AE5611">
        <v>-3.6390099999999999</v>
      </c>
      <c r="AF5611">
        <v>3.4594288028261402</v>
      </c>
      <c r="AG5611">
        <v>-1.120933391249</v>
      </c>
      <c r="AH5611">
        <v>17.978884417053099</v>
      </c>
      <c r="AI5611">
        <v>93.503511431008803</v>
      </c>
      <c r="AJ5611">
        <v>79.108477190784697</v>
      </c>
      <c r="AK5611">
        <v>18.342966613696799</v>
      </c>
      <c r="AL5611">
        <v>94.173637925001302</v>
      </c>
      <c r="AM5611">
        <v>89.377471793942703</v>
      </c>
      <c r="AN5611">
        <v>0.99999999989319999</v>
      </c>
    </row>
    <row r="5612" spans="1:40" x14ac:dyDescent="0.25">
      <c r="A5612" t="str">
        <f>"20190303154631124"</f>
        <v>20190303154631124</v>
      </c>
      <c r="B5612" t="str">
        <f>"1551599191116597"</f>
        <v>1551599191116597</v>
      </c>
      <c r="C5612" t="s">
        <v>40</v>
      </c>
      <c r="D5612">
        <v>5.3418219999999996</v>
      </c>
      <c r="E5612">
        <v>0.56790350000000001</v>
      </c>
      <c r="F5612" t="s">
        <v>41</v>
      </c>
      <c r="G5612">
        <v>-324.5872</v>
      </c>
      <c r="H5612" s="1">
        <v>-3.519111E-6</v>
      </c>
      <c r="I5612">
        <v>14.14301</v>
      </c>
      <c r="J5612">
        <v>-342.69699999999898</v>
      </c>
      <c r="K5612">
        <v>1.1209469999999999</v>
      </c>
      <c r="L5612">
        <v>17.825990000000001</v>
      </c>
      <c r="M5612">
        <v>0.99989340000000004</v>
      </c>
      <c r="N5612">
        <v>-1.1420929999999999E-2</v>
      </c>
      <c r="O5612">
        <v>-9.1170350000000008E-3</v>
      </c>
      <c r="P5612">
        <v>0.99626250000000005</v>
      </c>
      <c r="Q5612">
        <v>-8.3911440000000004E-2</v>
      </c>
      <c r="R5612">
        <v>-2.0502960000000001E-2</v>
      </c>
      <c r="S5612">
        <v>2.9838260000000001</v>
      </c>
      <c r="T5612">
        <v>-0.18262780000000001</v>
      </c>
      <c r="U5612">
        <v>-0.60034180000000004</v>
      </c>
      <c r="V5612">
        <v>1.143185E-2</v>
      </c>
      <c r="W5612">
        <v>-7.2523939999999995E-2</v>
      </c>
      <c r="X5612">
        <v>0.9973012</v>
      </c>
      <c r="Y5612">
        <v>0.18790709999999999</v>
      </c>
      <c r="Z5612">
        <v>-6.3243630000000004E-3</v>
      </c>
      <c r="AA5612">
        <v>0.98216650000000005</v>
      </c>
      <c r="AB5612">
        <v>21</v>
      </c>
      <c r="AC5612">
        <v>18.1097999999999</v>
      </c>
      <c r="AD5612">
        <v>-1.1209505191110001</v>
      </c>
      <c r="AE5612">
        <v>-3.6829800000000001</v>
      </c>
      <c r="AF5612">
        <v>3.5048138293972402</v>
      </c>
      <c r="AG5612">
        <v>-1.1209505191110001</v>
      </c>
      <c r="AH5612">
        <v>18.076122888956899</v>
      </c>
      <c r="AI5612">
        <v>93.483809300648701</v>
      </c>
      <c r="AJ5612">
        <v>79.026967357242796</v>
      </c>
      <c r="AK5612">
        <v>18.446855253449002</v>
      </c>
      <c r="AL5612">
        <v>94.158966765657297</v>
      </c>
      <c r="AM5612">
        <v>89.343259517363506</v>
      </c>
      <c r="AN5612">
        <v>1.00000004629449</v>
      </c>
    </row>
    <row r="5613" spans="1:40" x14ac:dyDescent="0.25">
      <c r="A5613" t="str">
        <f>"20190303154631138"</f>
        <v>20190303154631138</v>
      </c>
      <c r="B5613" t="str">
        <f>"1551599191127332"</f>
        <v>1551599191127332</v>
      </c>
      <c r="C5613" t="s">
        <v>40</v>
      </c>
      <c r="D5613">
        <v>5.3315989999999998</v>
      </c>
      <c r="E5613">
        <v>0.56799759999999999</v>
      </c>
      <c r="F5613" t="s">
        <v>41</v>
      </c>
      <c r="G5613">
        <v>-324.31150000000002</v>
      </c>
      <c r="H5613" s="1">
        <v>-3.6466599999999999E-6</v>
      </c>
      <c r="I5613">
        <v>14.1073</v>
      </c>
      <c r="J5613">
        <v>-342.57170000000002</v>
      </c>
      <c r="K5613">
        <v>1.1209610000000001</v>
      </c>
      <c r="L5613">
        <v>17.824950000000001</v>
      </c>
      <c r="M5613">
        <v>0.99989419999999996</v>
      </c>
      <c r="N5613">
        <v>-1.1417119999999999E-2</v>
      </c>
      <c r="O5613">
        <v>-9.0238379999999993E-3</v>
      </c>
      <c r="P5613">
        <v>0.99627889999999997</v>
      </c>
      <c r="Q5613">
        <v>-8.3746470000000003E-2</v>
      </c>
      <c r="R5613">
        <v>-2.0376990000000001E-2</v>
      </c>
      <c r="S5613">
        <v>2.9835210000000001</v>
      </c>
      <c r="T5613">
        <v>-0.1819037</v>
      </c>
      <c r="U5613">
        <v>-0.60345459999999995</v>
      </c>
      <c r="V5613">
        <v>1.140131E-2</v>
      </c>
      <c r="W5613">
        <v>-7.2362209999999996E-2</v>
      </c>
      <c r="X5613">
        <v>0.99731329999999996</v>
      </c>
      <c r="Y5613">
        <v>0.1890029</v>
      </c>
      <c r="Z5613">
        <v>-6.3476549999999998E-3</v>
      </c>
      <c r="AA5613">
        <v>0.98195600000000005</v>
      </c>
      <c r="AB5613">
        <v>21</v>
      </c>
      <c r="AC5613">
        <v>18.260200000000001</v>
      </c>
      <c r="AD5613">
        <v>-1.1209646466600001</v>
      </c>
      <c r="AE5613">
        <v>-3.7176499999999999</v>
      </c>
      <c r="AF5613">
        <v>3.5399015002948602</v>
      </c>
      <c r="AG5613">
        <v>-1.1209646466600001</v>
      </c>
      <c r="AH5613">
        <v>18.227050631446701</v>
      </c>
      <c r="AI5613">
        <v>93.454869536909897</v>
      </c>
      <c r="AJ5613">
        <v>79.009324274462699</v>
      </c>
      <c r="AK5613">
        <v>18.601420351472498</v>
      </c>
      <c r="AL5613">
        <v>94.149675897837</v>
      </c>
      <c r="AM5613">
        <v>89.345021781741195</v>
      </c>
      <c r="AN5613">
        <v>1.0000000488313401</v>
      </c>
    </row>
    <row r="5614" spans="1:40" x14ac:dyDescent="0.25">
      <c r="A5614" t="str">
        <f>"20190303154631157"</f>
        <v>20190303154631157</v>
      </c>
      <c r="B5614" t="str">
        <f>"1551599191146853"</f>
        <v>1551599191146853</v>
      </c>
      <c r="C5614" t="s">
        <v>40</v>
      </c>
      <c r="D5614">
        <v>5.3537100000000004</v>
      </c>
      <c r="E5614">
        <v>0.56817799999999996</v>
      </c>
      <c r="F5614" t="s">
        <v>41</v>
      </c>
      <c r="G5614">
        <v>-324.1438</v>
      </c>
      <c r="H5614" s="1">
        <v>-3.7279879999999998E-6</v>
      </c>
      <c r="I5614">
        <v>14.095689999999999</v>
      </c>
      <c r="J5614">
        <v>-342.39010000000002</v>
      </c>
      <c r="K5614">
        <v>1.1209789999999999</v>
      </c>
      <c r="L5614">
        <v>17.823460000000001</v>
      </c>
      <c r="M5614">
        <v>0.9998956</v>
      </c>
      <c r="N5614">
        <v>-1.1412230000000001E-2</v>
      </c>
      <c r="O5614">
        <v>-8.8716839999999995E-3</v>
      </c>
      <c r="P5614">
        <v>0.99626300000000001</v>
      </c>
      <c r="Q5614">
        <v>-8.3852540000000003E-2</v>
      </c>
      <c r="R5614">
        <v>-2.0717289999999999E-2</v>
      </c>
      <c r="S5614">
        <v>2.9835820000000002</v>
      </c>
      <c r="T5614">
        <v>-0.18149129999999999</v>
      </c>
      <c r="U5614">
        <v>-0.6037903</v>
      </c>
      <c r="V5614">
        <v>1.18966E-2</v>
      </c>
      <c r="W5614">
        <v>-7.2472659999999994E-2</v>
      </c>
      <c r="X5614">
        <v>0.99729939999999995</v>
      </c>
      <c r="Y5614">
        <v>0.1892556</v>
      </c>
      <c r="Z5614">
        <v>-6.3518130000000004E-3</v>
      </c>
      <c r="AA5614">
        <v>0.98190730000000004</v>
      </c>
      <c r="AB5614">
        <v>21</v>
      </c>
      <c r="AC5614">
        <v>18.246300000000002</v>
      </c>
      <c r="AD5614">
        <v>-1.120982727988</v>
      </c>
      <c r="AE5614">
        <v>-3.72777</v>
      </c>
      <c r="AF5614">
        <v>3.5528646979471699</v>
      </c>
      <c r="AG5614">
        <v>-1.120982727988</v>
      </c>
      <c r="AH5614">
        <v>18.212667946327599</v>
      </c>
      <c r="AI5614">
        <v>93.457087307054294</v>
      </c>
      <c r="AJ5614">
        <v>78.961564919273101</v>
      </c>
      <c r="AK5614">
        <v>18.5898016009196</v>
      </c>
      <c r="AL5614">
        <v>94.156021268874099</v>
      </c>
      <c r="AM5614">
        <v>89.316561664092504</v>
      </c>
      <c r="AN5614">
        <v>0.99999995438969602</v>
      </c>
    </row>
    <row r="5615" spans="1:40" x14ac:dyDescent="0.25">
      <c r="A5615" t="str">
        <f>"20190303154631180"</f>
        <v>20190303154631180</v>
      </c>
      <c r="B5615" t="str">
        <f>"1551599191177110"</f>
        <v>1551599191177110</v>
      </c>
      <c r="C5615" t="s">
        <v>40</v>
      </c>
      <c r="D5615">
        <v>5.3473829999999998</v>
      </c>
      <c r="E5615">
        <v>0.56847250000000005</v>
      </c>
      <c r="F5615" t="s">
        <v>41</v>
      </c>
      <c r="G5615">
        <v>-323.947</v>
      </c>
      <c r="H5615" s="1">
        <v>-3.824587E-6</v>
      </c>
      <c r="I5615">
        <v>14.0757799999999</v>
      </c>
      <c r="J5615">
        <v>-342.18189999999998</v>
      </c>
      <c r="K5615">
        <v>1.1209979999999999</v>
      </c>
      <c r="L5615">
        <v>17.821809999999999</v>
      </c>
      <c r="M5615">
        <v>0.99989740000000005</v>
      </c>
      <c r="N5615">
        <v>-1.140738E-2</v>
      </c>
      <c r="O5615">
        <v>-8.67292699999999E-3</v>
      </c>
      <c r="P5615">
        <v>0.99626130000000002</v>
      </c>
      <c r="Q5615">
        <v>-8.3809120000000001E-2</v>
      </c>
      <c r="R5615">
        <v>-2.097371E-2</v>
      </c>
      <c r="S5615">
        <v>2.9833980000000002</v>
      </c>
      <c r="T5615">
        <v>-0.1813322</v>
      </c>
      <c r="U5615">
        <v>-0.60623169999999904</v>
      </c>
      <c r="V5615">
        <v>1.235429E-2</v>
      </c>
      <c r="W5615">
        <v>-7.2433429999999993E-2</v>
      </c>
      <c r="X5615">
        <v>0.99729679999999998</v>
      </c>
      <c r="Y5615">
        <v>0.1902325</v>
      </c>
      <c r="Z5615">
        <v>-6.3914610000000002E-3</v>
      </c>
      <c r="AA5615">
        <v>0.98171819999999999</v>
      </c>
      <c r="AB5615">
        <v>21</v>
      </c>
      <c r="AC5615">
        <v>18.2348999999999</v>
      </c>
      <c r="AD5615">
        <v>-1.1210018245869999</v>
      </c>
      <c r="AE5615">
        <v>-3.7460300000000002</v>
      </c>
      <c r="AF5615">
        <v>3.5747659774394802</v>
      </c>
      <c r="AG5615">
        <v>-1.1210018245869999</v>
      </c>
      <c r="AH5615">
        <v>18.200705524867701</v>
      </c>
      <c r="AI5615">
        <v>93.458546588019203</v>
      </c>
      <c r="AJ5615">
        <v>78.888088860274607</v>
      </c>
      <c r="AK5615">
        <v>18.582283995438701</v>
      </c>
      <c r="AL5615">
        <v>94.153767156417601</v>
      </c>
      <c r="AM5615">
        <v>89.290268984017203</v>
      </c>
      <c r="AN5615">
        <v>1.0000000687766</v>
      </c>
    </row>
    <row r="5616" spans="1:40" x14ac:dyDescent="0.25">
      <c r="A5616" t="str">
        <f>"20190303154631203"</f>
        <v>20190303154631203</v>
      </c>
      <c r="B5616" t="str">
        <f>"1551599191196630"</f>
        <v>1551599191196630</v>
      </c>
      <c r="C5616" t="s">
        <v>40</v>
      </c>
      <c r="D5616">
        <v>5.3673820000000001</v>
      </c>
      <c r="E5616">
        <v>0.56863409999999903</v>
      </c>
      <c r="F5616" t="s">
        <v>41</v>
      </c>
      <c r="G5616">
        <v>-323.65359999999998</v>
      </c>
      <c r="H5616" s="1">
        <v>-3.9700689999999997E-6</v>
      </c>
      <c r="I5616">
        <v>14.03734</v>
      </c>
      <c r="J5616">
        <v>-341.96480000000003</v>
      </c>
      <c r="K5616">
        <v>1.1210119999999999</v>
      </c>
      <c r="L5616">
        <v>17.820219999999999</v>
      </c>
      <c r="M5616">
        <v>0.99989939999999999</v>
      </c>
      <c r="N5616">
        <v>-1.1403140000000001E-2</v>
      </c>
      <c r="O5616">
        <v>-8.4405179999999993E-3</v>
      </c>
      <c r="P5616">
        <v>0.99626329999999996</v>
      </c>
      <c r="Q5616">
        <v>-8.3752649999999998E-2</v>
      </c>
      <c r="R5616">
        <v>-2.1098579999999999E-2</v>
      </c>
      <c r="S5616">
        <v>2.983276</v>
      </c>
      <c r="T5616">
        <v>-0.18049480000000001</v>
      </c>
      <c r="U5616">
        <v>-0.60934449999999996</v>
      </c>
      <c r="V5616">
        <v>1.2713260000000001E-2</v>
      </c>
      <c r="W5616">
        <v>-7.2380689999999998E-2</v>
      </c>
      <c r="X5616">
        <v>0.99729599999999996</v>
      </c>
      <c r="Y5616">
        <v>0.19145239999999999</v>
      </c>
      <c r="Z5616">
        <v>-6.4216330000000004E-3</v>
      </c>
      <c r="AA5616">
        <v>0.98148089999999999</v>
      </c>
      <c r="AB5616">
        <v>21</v>
      </c>
      <c r="AC5616">
        <v>18.311199999999999</v>
      </c>
      <c r="AD5616">
        <v>-1.1210159700689999</v>
      </c>
      <c r="AE5616">
        <v>-3.78288</v>
      </c>
      <c r="AF5616">
        <v>3.6151843635773102</v>
      </c>
      <c r="AG5616">
        <v>-1.1210159700689999</v>
      </c>
      <c r="AH5616">
        <v>18.2767831329672</v>
      </c>
      <c r="AI5616">
        <v>93.4433197907466</v>
      </c>
      <c r="AJ5616">
        <v>78.8112106575323</v>
      </c>
      <c r="AK5616">
        <v>18.664593123808402</v>
      </c>
      <c r="AL5616">
        <v>94.150737912551307</v>
      </c>
      <c r="AM5616">
        <v>89.269648440679603</v>
      </c>
      <c r="AN5616">
        <v>0.99999995144035003</v>
      </c>
    </row>
    <row r="5617" spans="1:40" x14ac:dyDescent="0.25">
      <c r="A5617" t="str">
        <f>"20190303154631216"</f>
        <v>20190303154631216</v>
      </c>
      <c r="B5617" t="str">
        <f>"1551599191207366"</f>
        <v>1551599191207366</v>
      </c>
      <c r="C5617" t="s">
        <v>40</v>
      </c>
      <c r="D5617">
        <v>5.3678670000000004</v>
      </c>
      <c r="E5617">
        <v>0.56871519999999898</v>
      </c>
      <c r="F5617" t="s">
        <v>41</v>
      </c>
      <c r="G5617">
        <v>-323.37459999999999</v>
      </c>
      <c r="H5617" s="1">
        <v>-4.1063470000000002E-6</v>
      </c>
      <c r="I5617">
        <v>14.012700000000001</v>
      </c>
      <c r="J5617">
        <v>-341.839</v>
      </c>
      <c r="K5617">
        <v>1.1210150000000001</v>
      </c>
      <c r="L5617">
        <v>17.819310000000002</v>
      </c>
      <c r="M5617">
        <v>0.99990069999999998</v>
      </c>
      <c r="N5617">
        <v>-1.140101E-2</v>
      </c>
      <c r="O5617">
        <v>-8.2970519999999992E-3</v>
      </c>
      <c r="P5617">
        <v>0.99628939999999999</v>
      </c>
      <c r="Q5617">
        <v>-8.3521100000000001E-2</v>
      </c>
      <c r="R5617">
        <v>-2.0782809999999999E-2</v>
      </c>
      <c r="S5617">
        <v>2.9831850000000002</v>
      </c>
      <c r="T5617">
        <v>-0.17988959999999901</v>
      </c>
      <c r="U5617">
        <v>-0.61099239999999999</v>
      </c>
      <c r="V5617">
        <v>1.254066E-2</v>
      </c>
      <c r="W5617">
        <v>-7.2150980000000003E-2</v>
      </c>
      <c r="X5617">
        <v>0.9973149</v>
      </c>
      <c r="Y5617">
        <v>0.1921204</v>
      </c>
      <c r="Z5617">
        <v>-6.434548E-3</v>
      </c>
      <c r="AA5617">
        <v>0.98135019999999995</v>
      </c>
      <c r="AB5617">
        <v>21</v>
      </c>
      <c r="AC5617">
        <v>18.464400000000001</v>
      </c>
      <c r="AD5617">
        <v>-1.1210191063470001</v>
      </c>
      <c r="AE5617">
        <v>-3.80661</v>
      </c>
      <c r="AF5617">
        <v>3.6403974729931701</v>
      </c>
      <c r="AG5617">
        <v>-1.1210191063470001</v>
      </c>
      <c r="AH5617">
        <v>18.430185916846099</v>
      </c>
      <c r="AI5617">
        <v>93.414917510903294</v>
      </c>
      <c r="AJ5617">
        <v>78.826559936951298</v>
      </c>
      <c r="AK5617">
        <v>18.8196952825407</v>
      </c>
      <c r="AL5617">
        <v>94.137541708455302</v>
      </c>
      <c r="AM5617">
        <v>89.279576567370199</v>
      </c>
      <c r="AN5617">
        <v>1.0000000209151001</v>
      </c>
    </row>
    <row r="5618" spans="1:40" x14ac:dyDescent="0.25">
      <c r="A5618" t="str">
        <f>"20190303154631232"</f>
        <v>20190303154631232</v>
      </c>
      <c r="B5618" t="str">
        <f>"1551599191226885"</f>
        <v>1551599191226885</v>
      </c>
      <c r="C5618" t="s">
        <v>40</v>
      </c>
      <c r="D5618">
        <v>5.3859949999999897</v>
      </c>
      <c r="E5618">
        <v>0.56890790000000002</v>
      </c>
      <c r="F5618" t="s">
        <v>41</v>
      </c>
      <c r="G5618">
        <v>-323.12779999999998</v>
      </c>
      <c r="H5618" s="1">
        <v>-4.2270259999999998E-6</v>
      </c>
      <c r="I5618">
        <v>13.98987</v>
      </c>
      <c r="J5618">
        <v>-341.69240000000002</v>
      </c>
      <c r="K5618">
        <v>1.121016</v>
      </c>
      <c r="L5618">
        <v>17.818300000000001</v>
      </c>
      <c r="M5618">
        <v>0.99990210000000002</v>
      </c>
      <c r="N5618">
        <v>-1.1398770000000001E-2</v>
      </c>
      <c r="O5618">
        <v>-8.126912E-3</v>
      </c>
      <c r="P5618">
        <v>0.9963381</v>
      </c>
      <c r="Q5618">
        <v>-8.3019170000000003E-2</v>
      </c>
      <c r="R5618">
        <v>-2.045781E-2</v>
      </c>
      <c r="S5618">
        <v>2.9834589999999999</v>
      </c>
      <c r="T5618">
        <v>-0.17874419999999999</v>
      </c>
      <c r="U5618">
        <v>-0.61059569999999996</v>
      </c>
      <c r="V5618">
        <v>1.238505E-2</v>
      </c>
      <c r="W5618">
        <v>-7.1650829999999999E-2</v>
      </c>
      <c r="X5618">
        <v>0.99735289999999999</v>
      </c>
      <c r="Y5618">
        <v>0.19214870000000001</v>
      </c>
      <c r="Z5618">
        <v>-6.409779E-3</v>
      </c>
      <c r="AA5618">
        <v>0.98134489999999996</v>
      </c>
      <c r="AB5618">
        <v>21</v>
      </c>
      <c r="AC5618">
        <v>18.564599999999999</v>
      </c>
      <c r="AD5618">
        <v>-1.1210202270259999</v>
      </c>
      <c r="AE5618">
        <v>-3.8284299999999898</v>
      </c>
      <c r="AF5618">
        <v>3.6646036355202001</v>
      </c>
      <c r="AG5618">
        <v>-1.1210202270259999</v>
      </c>
      <c r="AH5618">
        <v>18.530290925789799</v>
      </c>
      <c r="AI5618">
        <v>93.396361819852402</v>
      </c>
      <c r="AJ5618">
        <v>78.8133682046046</v>
      </c>
      <c r="AK5618">
        <v>18.922412318446</v>
      </c>
      <c r="AL5618">
        <v>94.108810870691102</v>
      </c>
      <c r="AM5618">
        <v>89.288542077439701</v>
      </c>
      <c r="AN5618">
        <v>1.0000000190208</v>
      </c>
    </row>
    <row r="5619" spans="1:40" x14ac:dyDescent="0.25">
      <c r="A5619" t="str">
        <f>"20190303154631248"</f>
        <v>20190303154631248</v>
      </c>
      <c r="B5619" t="str">
        <f>"1551599191236645"</f>
        <v>1551599191236645</v>
      </c>
      <c r="C5619" t="s">
        <v>40</v>
      </c>
      <c r="D5619">
        <v>5.3684089999999998</v>
      </c>
      <c r="E5619">
        <v>0.56899489999999997</v>
      </c>
      <c r="F5619" t="s">
        <v>41</v>
      </c>
      <c r="G5619">
        <v>-322.74630000000002</v>
      </c>
      <c r="H5619" s="1">
        <v>-4.4167460000000004E-6</v>
      </c>
      <c r="I5619">
        <v>13.937139999999999</v>
      </c>
      <c r="J5619">
        <v>-341.54340000000002</v>
      </c>
      <c r="K5619">
        <v>1.1210169999999999</v>
      </c>
      <c r="L5619">
        <v>17.817260000000001</v>
      </c>
      <c r="M5619">
        <v>0.99990349999999995</v>
      </c>
      <c r="N5619">
        <v>-1.139679E-2</v>
      </c>
      <c r="O5619">
        <v>-7.9525150000000003E-3</v>
      </c>
      <c r="P5619">
        <v>0.99644029999999995</v>
      </c>
      <c r="Q5619">
        <v>-8.1999320000000001E-2</v>
      </c>
      <c r="R5619">
        <v>-1.9579099999999999E-2</v>
      </c>
      <c r="S5619">
        <v>2.9837950000000002</v>
      </c>
      <c r="T5619">
        <v>-0.17654729999999999</v>
      </c>
      <c r="U5619">
        <v>-0.61123660000000002</v>
      </c>
      <c r="V5619">
        <v>1.1678600000000001E-2</v>
      </c>
      <c r="W5619">
        <v>-7.0632210000000001E-2</v>
      </c>
      <c r="X5619">
        <v>0.99743409999999999</v>
      </c>
      <c r="Y5619">
        <v>0.19250819999999999</v>
      </c>
      <c r="Z5619">
        <v>-6.3657799999999997E-3</v>
      </c>
      <c r="AA5619">
        <v>0.98127470000000006</v>
      </c>
      <c r="AB5619">
        <v>21</v>
      </c>
      <c r="AC5619">
        <v>18.7971</v>
      </c>
      <c r="AD5619">
        <v>-1.121021416746</v>
      </c>
      <c r="AE5619">
        <v>-3.8801199999999998</v>
      </c>
      <c r="AF5619">
        <v>3.7178206385435102</v>
      </c>
      <c r="AG5619">
        <v>-1.121021416746</v>
      </c>
      <c r="AH5619">
        <v>18.7633561497539</v>
      </c>
      <c r="AI5619">
        <v>93.354033003603902</v>
      </c>
      <c r="AJ5619">
        <v>78.792430669330102</v>
      </c>
      <c r="AK5619">
        <v>19.160960657537199</v>
      </c>
      <c r="AL5619">
        <v>94.050299898860601</v>
      </c>
      <c r="AM5619">
        <v>89.329174814254003</v>
      </c>
      <c r="AN5619">
        <v>1.00000004131512</v>
      </c>
    </row>
    <row r="5620" spans="1:40" x14ac:dyDescent="0.25">
      <c r="A5620" t="str">
        <f>"20190303154631270"</f>
        <v>20190303154631270</v>
      </c>
      <c r="B5620" t="str">
        <f>"1551599191266902"</f>
        <v>1551599191266902</v>
      </c>
      <c r="C5620" t="s">
        <v>40</v>
      </c>
      <c r="D5620">
        <v>5.4485900000000003</v>
      </c>
      <c r="E5620">
        <v>0.56914290000000001</v>
      </c>
      <c r="F5620" t="s">
        <v>41</v>
      </c>
      <c r="G5620">
        <v>-322.23570000000001</v>
      </c>
      <c r="H5620" s="1">
        <v>-4.6690870000000002E-6</v>
      </c>
      <c r="I5620">
        <v>13.875170000000001</v>
      </c>
      <c r="J5620">
        <v>-341.33350000000002</v>
      </c>
      <c r="K5620">
        <v>1.12101299999999</v>
      </c>
      <c r="L5620">
        <v>17.81589</v>
      </c>
      <c r="M5620">
        <v>0.9999055</v>
      </c>
      <c r="N5620">
        <v>-1.139445E-2</v>
      </c>
      <c r="O5620">
        <v>-7.7080719999999998E-3</v>
      </c>
      <c r="P5620">
        <v>0.99652490000000005</v>
      </c>
      <c r="Q5620">
        <v>-8.1179310000000005E-2</v>
      </c>
      <c r="R5620">
        <v>-1.866071E-2</v>
      </c>
      <c r="S5620">
        <v>2.984467</v>
      </c>
      <c r="T5620">
        <v>-0.17328080000000001</v>
      </c>
      <c r="U5620">
        <v>-0.60934449999999996</v>
      </c>
      <c r="V5620">
        <v>1.100245E-2</v>
      </c>
      <c r="W5620">
        <v>-6.9814119999999993E-2</v>
      </c>
      <c r="X5620">
        <v>0.99749929999999998</v>
      </c>
      <c r="Y5620">
        <v>0.19212080000000001</v>
      </c>
      <c r="Z5620">
        <v>-6.2671159999999997E-3</v>
      </c>
      <c r="AA5620">
        <v>0.98135130000000004</v>
      </c>
      <c r="AB5620">
        <v>21</v>
      </c>
      <c r="AC5620">
        <v>19.097799999999999</v>
      </c>
      <c r="AD5620">
        <v>-1.12101766908699</v>
      </c>
      <c r="AE5620">
        <v>-3.94071999999999</v>
      </c>
      <c r="AF5620">
        <v>3.7808909410598699</v>
      </c>
      <c r="AG5620">
        <v>-1.12101766908699</v>
      </c>
      <c r="AH5620">
        <v>19.064604535892101</v>
      </c>
      <c r="AI5620">
        <v>93.301030170225999</v>
      </c>
      <c r="AJ5620">
        <v>78.782656214561399</v>
      </c>
      <c r="AK5620">
        <v>19.468203898473899</v>
      </c>
      <c r="AL5620">
        <v>94.003311122055507</v>
      </c>
      <c r="AM5620">
        <v>89.368051299632398</v>
      </c>
      <c r="AN5620">
        <v>0.99999995937893205</v>
      </c>
    </row>
    <row r="5621" spans="1:40" x14ac:dyDescent="0.25">
      <c r="A5621" t="str">
        <f>"20190303154631292"</f>
        <v>20190303154631292</v>
      </c>
      <c r="B5621" t="str">
        <f>"1551599191287101"</f>
        <v>1551599191287101</v>
      </c>
      <c r="C5621" t="s">
        <v>40</v>
      </c>
      <c r="D5621">
        <v>5.5025719999999998</v>
      </c>
      <c r="E5621">
        <v>0.58738650000000003</v>
      </c>
      <c r="F5621" t="s">
        <v>41</v>
      </c>
      <c r="G5621">
        <v>-321.82080000000002</v>
      </c>
      <c r="H5621" s="1">
        <v>-4.8708900000000004E-6</v>
      </c>
      <c r="I5621">
        <v>13.843209999999999</v>
      </c>
      <c r="J5621">
        <v>-341.1232</v>
      </c>
      <c r="K5621">
        <v>1.121003</v>
      </c>
      <c r="L5621">
        <v>17.814540000000001</v>
      </c>
      <c r="M5621">
        <v>0.99990730000000005</v>
      </c>
      <c r="N5621">
        <v>-1.139248E-2</v>
      </c>
      <c r="O5621">
        <v>-7.4681849999999996E-3</v>
      </c>
      <c r="P5621">
        <v>0.99656</v>
      </c>
      <c r="Q5621">
        <v>-8.0910019999999999E-2</v>
      </c>
      <c r="R5621">
        <v>-1.792848E-2</v>
      </c>
      <c r="S5621">
        <v>2.9851380000000001</v>
      </c>
      <c r="T5621">
        <v>-0.1714984</v>
      </c>
      <c r="U5621">
        <v>-0.60775760000000001</v>
      </c>
      <c r="V5621">
        <v>1.050805E-2</v>
      </c>
      <c r="W5621">
        <v>-6.9546830000000004E-2</v>
      </c>
      <c r="X5621">
        <v>0.99752339999999995</v>
      </c>
      <c r="Y5621">
        <v>0.1918193</v>
      </c>
      <c r="Z5621">
        <v>-6.214509E-3</v>
      </c>
      <c r="AA5621">
        <v>0.98141060000000002</v>
      </c>
      <c r="AB5621">
        <v>21</v>
      </c>
      <c r="AC5621">
        <v>19.302399999999899</v>
      </c>
      <c r="AD5621">
        <v>-1.12100787089</v>
      </c>
      <c r="AE5621">
        <v>-3.97133</v>
      </c>
      <c r="AF5621">
        <v>3.8147121327539799</v>
      </c>
      <c r="AG5621">
        <v>-1.12100787089</v>
      </c>
      <c r="AH5621">
        <v>19.269169895588799</v>
      </c>
      <c r="AI5621">
        <v>93.2662511696264</v>
      </c>
      <c r="AJ5621">
        <v>78.801963555595606</v>
      </c>
      <c r="AK5621">
        <v>19.6751009086978</v>
      </c>
      <c r="AL5621">
        <v>93.987958827161904</v>
      </c>
      <c r="AM5621">
        <v>89.396460627064002</v>
      </c>
      <c r="AN5621">
        <v>1.0000000571126999</v>
      </c>
    </row>
    <row r="5622" spans="1:40" x14ac:dyDescent="0.25">
      <c r="A5622" t="str">
        <f>"20190303154631315"</f>
        <v>20190303154631315</v>
      </c>
      <c r="B5622" t="str">
        <f>"1551599191306620"</f>
        <v>1551599191306620</v>
      </c>
      <c r="C5622" t="s">
        <v>40</v>
      </c>
      <c r="D5622">
        <v>5.5023249999999999</v>
      </c>
      <c r="E5622">
        <v>0.58854779999999995</v>
      </c>
      <c r="F5622" t="s">
        <v>41</v>
      </c>
      <c r="G5622">
        <v>-325.44920000000002</v>
      </c>
      <c r="H5622" s="1">
        <v>-3.2618900000000002E-6</v>
      </c>
      <c r="I5622">
        <v>13.865740000000001</v>
      </c>
      <c r="J5622">
        <v>-340.91520000000003</v>
      </c>
      <c r="K5622">
        <v>1.1209960000000001</v>
      </c>
      <c r="L5622">
        <v>17.81326</v>
      </c>
      <c r="M5622">
        <v>0.99990900000000005</v>
      </c>
      <c r="N5622">
        <v>-1.1390829999999999E-2</v>
      </c>
      <c r="O5622">
        <v>-7.2378349999999998E-3</v>
      </c>
      <c r="P5622">
        <v>0.99655309999999997</v>
      </c>
      <c r="Q5622">
        <v>-8.1070719999999999E-2</v>
      </c>
      <c r="R5622">
        <v>-1.7600709999999999E-2</v>
      </c>
      <c r="S5622">
        <v>2.9795229999999999</v>
      </c>
      <c r="T5622">
        <v>-0.2130957</v>
      </c>
      <c r="U5622">
        <v>-0.75064090000000006</v>
      </c>
      <c r="V5622">
        <v>1.040872E-2</v>
      </c>
      <c r="W5622">
        <v>-6.9709460000000001E-2</v>
      </c>
      <c r="X5622">
        <v>0.99751310000000004</v>
      </c>
      <c r="Y5622">
        <v>0.23662320000000001</v>
      </c>
      <c r="Z5622">
        <v>-9.2638400000000006E-3</v>
      </c>
      <c r="AA5622">
        <v>0.97155729999999996</v>
      </c>
      <c r="AB5622">
        <v>21</v>
      </c>
      <c r="AC5622">
        <v>15.465999999999999</v>
      </c>
      <c r="AD5622">
        <v>-1.12099926189</v>
      </c>
      <c r="AE5622">
        <v>-3.9475199999999999</v>
      </c>
      <c r="AF5622">
        <v>3.8166443273519599</v>
      </c>
      <c r="AG5622">
        <v>-1.12099926189</v>
      </c>
      <c r="AH5622">
        <v>15.418122135648799</v>
      </c>
      <c r="AI5622">
        <v>94.037034782793299</v>
      </c>
      <c r="AJ5622">
        <v>76.096341330066906</v>
      </c>
      <c r="AK5622">
        <v>15.922999197904</v>
      </c>
      <c r="AL5622">
        <v>93.997299467486101</v>
      </c>
      <c r="AM5622">
        <v>89.402159146962902</v>
      </c>
      <c r="AN5622">
        <v>1.0000000674685601</v>
      </c>
    </row>
    <row r="5623" spans="1:40" x14ac:dyDescent="0.25">
      <c r="A5623" t="str">
        <f>"20190303154631336"</f>
        <v>20190303154631336</v>
      </c>
      <c r="B5623" t="str">
        <f>"1551599191327116"</f>
        <v>1551599191327116</v>
      </c>
      <c r="C5623" t="s">
        <v>40</v>
      </c>
      <c r="D5623">
        <v>5.5311079999999997</v>
      </c>
      <c r="E5623">
        <v>0.58915569999999995</v>
      </c>
      <c r="F5623" t="s">
        <v>41</v>
      </c>
      <c r="G5623">
        <v>-325.74119999999999</v>
      </c>
      <c r="H5623" s="1">
        <v>-3.1280649999999998E-6</v>
      </c>
      <c r="I5623">
        <v>13.94721</v>
      </c>
      <c r="J5623">
        <v>-340.71559999999999</v>
      </c>
      <c r="K5623">
        <v>1.1209979999999999</v>
      </c>
      <c r="L5623">
        <v>17.812069999999999</v>
      </c>
      <c r="M5623">
        <v>0.99991059999999998</v>
      </c>
      <c r="N5623">
        <v>-1.1389359999999999E-2</v>
      </c>
      <c r="O5623">
        <v>-7.0229680000000001E-3</v>
      </c>
      <c r="P5623">
        <v>0.99657640000000003</v>
      </c>
      <c r="Q5623">
        <v>-8.0744479999999993E-2</v>
      </c>
      <c r="R5623">
        <v>-1.778387E-2</v>
      </c>
      <c r="S5623">
        <v>2.979034</v>
      </c>
      <c r="T5623">
        <v>-0.2200801</v>
      </c>
      <c r="U5623">
        <v>-0.75900269999999903</v>
      </c>
      <c r="V5623">
        <v>1.0804879999999999E-2</v>
      </c>
      <c r="W5623">
        <v>-6.9384500000000002E-2</v>
      </c>
      <c r="X5623">
        <v>0.99753150000000002</v>
      </c>
      <c r="Y5623">
        <v>0.23938290000000001</v>
      </c>
      <c r="Z5623">
        <v>-9.6475310000000009E-3</v>
      </c>
      <c r="AA5623">
        <v>0.97087730000000005</v>
      </c>
      <c r="AB5623">
        <v>21</v>
      </c>
      <c r="AC5623">
        <v>14.974399999999999</v>
      </c>
      <c r="AD5623">
        <v>-1.1210011280650001</v>
      </c>
      <c r="AE5623">
        <v>-3.8648600000000002</v>
      </c>
      <c r="AF5623">
        <v>3.73994276513658</v>
      </c>
      <c r="AG5623">
        <v>-1.1210011280650001</v>
      </c>
      <c r="AH5623">
        <v>14.9227681515671</v>
      </c>
      <c r="AI5623">
        <v>94.167585634514495</v>
      </c>
      <c r="AJ5623">
        <v>75.930332657943396</v>
      </c>
      <c r="AK5623">
        <v>15.4250713035968</v>
      </c>
      <c r="AL5623">
        <v>93.978635614217495</v>
      </c>
      <c r="AM5623">
        <v>89.379418280912503</v>
      </c>
      <c r="AN5623">
        <v>1.00000002388215</v>
      </c>
    </row>
    <row r="5624" spans="1:40" x14ac:dyDescent="0.25">
      <c r="A5624" t="str">
        <f>"20190303154631349"</f>
        <v>20190303154631349</v>
      </c>
      <c r="B5624" t="str">
        <f>"1551599191346637"</f>
        <v>1551599191346637</v>
      </c>
      <c r="C5624" t="s">
        <v>40</v>
      </c>
      <c r="D5624">
        <v>5.5202140000000002</v>
      </c>
      <c r="E5624">
        <v>0.58968100000000001</v>
      </c>
      <c r="F5624" t="s">
        <v>41</v>
      </c>
      <c r="G5624">
        <v>-325.67790000000002</v>
      </c>
      <c r="H5624" s="1">
        <v>-3.150786E-6</v>
      </c>
      <c r="I5624">
        <v>13.95317</v>
      </c>
      <c r="J5624">
        <v>-340.58890000000002</v>
      </c>
      <c r="K5624">
        <v>1.120994</v>
      </c>
      <c r="L5624">
        <v>17.811339999999898</v>
      </c>
      <c r="M5624">
        <v>0.99991149999999995</v>
      </c>
      <c r="N5624">
        <v>-1.138844E-2</v>
      </c>
      <c r="O5624">
        <v>-6.8896080000000002E-3</v>
      </c>
      <c r="P5624">
        <v>0.9965792</v>
      </c>
      <c r="Q5624">
        <v>-8.0655870000000005E-2</v>
      </c>
      <c r="R5624">
        <v>-1.8021539999999999E-2</v>
      </c>
      <c r="S5624">
        <v>2.9786679999999999</v>
      </c>
      <c r="T5624">
        <v>-0.22204840000000001</v>
      </c>
      <c r="U5624">
        <v>-0.76437379999999999</v>
      </c>
      <c r="V5624">
        <v>1.117516E-2</v>
      </c>
      <c r="W5624">
        <v>-6.9296720000000006E-2</v>
      </c>
      <c r="X5624">
        <v>0.99753349999999996</v>
      </c>
      <c r="Y5624">
        <v>0.24116670000000001</v>
      </c>
      <c r="Z5624">
        <v>-9.8038320000000002E-3</v>
      </c>
      <c r="AA5624">
        <v>0.97043420000000002</v>
      </c>
      <c r="AB5624">
        <v>21</v>
      </c>
      <c r="AC5624">
        <v>14.911</v>
      </c>
      <c r="AD5624">
        <v>-1.1209971507859999</v>
      </c>
      <c r="AE5624">
        <v>-3.8581699999999901</v>
      </c>
      <c r="AF5624">
        <v>3.7355526181516701</v>
      </c>
      <c r="AG5624">
        <v>-1.1209971507859999</v>
      </c>
      <c r="AH5624">
        <v>14.858519583409199</v>
      </c>
      <c r="AI5624">
        <v>94.184751461917799</v>
      </c>
      <c r="AJ5624">
        <v>75.887847715496505</v>
      </c>
      <c r="AK5624">
        <v>15.361855102350299</v>
      </c>
      <c r="AL5624">
        <v>93.973594144628606</v>
      </c>
      <c r="AM5624">
        <v>89.358154167841306</v>
      </c>
      <c r="AN5624">
        <v>1.0000000016130099</v>
      </c>
    </row>
    <row r="5625" spans="1:40" x14ac:dyDescent="0.25">
      <c r="A5625" t="str">
        <f>"20190303154631370"</f>
        <v>20190303154631370</v>
      </c>
      <c r="B5625" t="str">
        <f>"1551599191367133"</f>
        <v>1551599191367133</v>
      </c>
      <c r="C5625" t="s">
        <v>40</v>
      </c>
      <c r="D5625">
        <v>5.5398870000000002</v>
      </c>
      <c r="E5625">
        <v>0.59015439999999997</v>
      </c>
      <c r="F5625" t="s">
        <v>41</v>
      </c>
      <c r="G5625">
        <v>-325.7398</v>
      </c>
      <c r="H5625" s="1">
        <v>-3.1210549999999999E-6</v>
      </c>
      <c r="I5625">
        <v>13.97555</v>
      </c>
      <c r="J5625">
        <v>-340.39949999999999</v>
      </c>
      <c r="K5625">
        <v>1.1209880000000001</v>
      </c>
      <c r="L5625">
        <v>17.810269999999999</v>
      </c>
      <c r="M5625">
        <v>0.99991280000000005</v>
      </c>
      <c r="N5625">
        <v>-1.13872E-2</v>
      </c>
      <c r="O5625">
        <v>-6.6925999999999999E-3</v>
      </c>
      <c r="P5625">
        <v>0.99656310000000004</v>
      </c>
      <c r="Q5625">
        <v>-8.0753999999999895E-2</v>
      </c>
      <c r="R5625">
        <v>-1.8461479999999999E-2</v>
      </c>
      <c r="S5625">
        <v>2.97818</v>
      </c>
      <c r="T5625">
        <v>-0.22483049999999999</v>
      </c>
      <c r="U5625">
        <v>-0.76931759999999905</v>
      </c>
      <c r="V5625">
        <v>1.1810940000000001E-2</v>
      </c>
      <c r="W5625">
        <v>-6.9396180000000002E-2</v>
      </c>
      <c r="X5625">
        <v>0.9975193</v>
      </c>
      <c r="Y5625">
        <v>0.2428843</v>
      </c>
      <c r="Z5625">
        <v>-9.9937450000000001E-3</v>
      </c>
      <c r="AA5625">
        <v>0.97000379999999997</v>
      </c>
      <c r="AB5625">
        <v>21</v>
      </c>
      <c r="AC5625">
        <v>14.6596999999999</v>
      </c>
      <c r="AD5625">
        <v>-1.1209911210550001</v>
      </c>
      <c r="AE5625">
        <v>-3.8347199999999999</v>
      </c>
      <c r="AF5625">
        <v>3.7161783211550801</v>
      </c>
      <c r="AG5625">
        <v>-1.1209911210550001</v>
      </c>
      <c r="AH5625">
        <v>14.6051066502797</v>
      </c>
      <c r="AI5625">
        <v>94.254013892049699</v>
      </c>
      <c r="AJ5625">
        <v>75.724376251263294</v>
      </c>
      <c r="AK5625">
        <v>15.1121058318869</v>
      </c>
      <c r="AL5625">
        <v>93.979306377712007</v>
      </c>
      <c r="AM5625">
        <v>89.321631778873297</v>
      </c>
      <c r="AN5625">
        <v>1.0000000409873799</v>
      </c>
    </row>
    <row r="5626" spans="1:40" x14ac:dyDescent="0.25">
      <c r="A5626" t="str">
        <f>"20190303154631382"</f>
        <v>20190303154631382</v>
      </c>
      <c r="B5626" t="str">
        <f>"1551599191376893"</f>
        <v>1551599191376893</v>
      </c>
      <c r="C5626" t="s">
        <v>40</v>
      </c>
      <c r="D5626">
        <v>5.5497969999999999</v>
      </c>
      <c r="E5626">
        <v>0.59046639999999995</v>
      </c>
      <c r="F5626" t="s">
        <v>41</v>
      </c>
      <c r="G5626">
        <v>-325.72109999999998</v>
      </c>
      <c r="H5626" s="1">
        <v>-3.1235330000000001E-6</v>
      </c>
      <c r="I5626">
        <v>13.99324</v>
      </c>
      <c r="J5626">
        <v>-340.27809999999999</v>
      </c>
      <c r="K5626">
        <v>1.120986</v>
      </c>
      <c r="L5626">
        <v>17.8096</v>
      </c>
      <c r="M5626">
        <v>0.99991379999999996</v>
      </c>
      <c r="N5626">
        <v>-1.138658E-2</v>
      </c>
      <c r="O5626">
        <v>-6.5674549999999998E-3</v>
      </c>
      <c r="P5626">
        <v>0.99654810000000005</v>
      </c>
      <c r="Q5626">
        <v>-8.0915379999999995E-2</v>
      </c>
      <c r="R5626">
        <v>-1.8574440000000001E-2</v>
      </c>
      <c r="S5626">
        <v>2.9775390000000002</v>
      </c>
      <c r="T5626">
        <v>-0.22739509999999999</v>
      </c>
      <c r="U5626">
        <v>-0.77429199999999998</v>
      </c>
      <c r="V5626">
        <v>1.204845E-2</v>
      </c>
      <c r="W5626">
        <v>-6.9558309999999998E-2</v>
      </c>
      <c r="X5626">
        <v>0.99750510000000003</v>
      </c>
      <c r="Y5626">
        <v>0.2445532</v>
      </c>
      <c r="Z5626">
        <v>-1.0171070000000001E-2</v>
      </c>
      <c r="AA5626">
        <v>0.96958250000000001</v>
      </c>
      <c r="AB5626">
        <v>21</v>
      </c>
      <c r="AC5626">
        <v>14.557</v>
      </c>
      <c r="AD5626">
        <v>-1.1209891235330001</v>
      </c>
      <c r="AE5626">
        <v>-3.81636</v>
      </c>
      <c r="AF5626">
        <v>3.7001381435096898</v>
      </c>
      <c r="AG5626">
        <v>-1.1209891235330001</v>
      </c>
      <c r="AH5626">
        <v>14.501288259292901</v>
      </c>
      <c r="AI5626">
        <v>94.283618171526797</v>
      </c>
      <c r="AJ5626">
        <v>75.685880073996202</v>
      </c>
      <c r="AK5626">
        <v>15.0078312915371</v>
      </c>
      <c r="AL5626">
        <v>93.988618511149298</v>
      </c>
      <c r="AM5626">
        <v>89.307981717003102</v>
      </c>
      <c r="AN5626">
        <v>0.99999997408173302</v>
      </c>
    </row>
    <row r="5627" spans="1:40" x14ac:dyDescent="0.25">
      <c r="A5627" t="str">
        <f>"20190303154631396"</f>
        <v>20190303154631396</v>
      </c>
      <c r="B5627" t="str">
        <f>"1551599191386653"</f>
        <v>1551599191386653</v>
      </c>
      <c r="C5627" t="s">
        <v>40</v>
      </c>
      <c r="D5627">
        <v>4.9954199999999904</v>
      </c>
      <c r="E5627">
        <v>0.59046639999999995</v>
      </c>
      <c r="F5627" t="s">
        <v>41</v>
      </c>
      <c r="G5627">
        <v>-325.75839999999999</v>
      </c>
      <c r="H5627" s="1">
        <v>-3.1022230000000001E-6</v>
      </c>
      <c r="I5627">
        <v>14.01956</v>
      </c>
      <c r="J5627">
        <v>-340.1508</v>
      </c>
      <c r="K5627">
        <v>1.1209769999999999</v>
      </c>
      <c r="L5627">
        <v>17.80893</v>
      </c>
      <c r="M5627">
        <v>0.99991450000000004</v>
      </c>
      <c r="N5627">
        <v>-1.138601E-2</v>
      </c>
      <c r="O5627">
        <v>-6.4363459999999999E-3</v>
      </c>
      <c r="P5627">
        <v>0.99656020000000001</v>
      </c>
      <c r="Q5627">
        <v>-8.082715E-2</v>
      </c>
      <c r="R5627">
        <v>-1.8302249999999999E-2</v>
      </c>
      <c r="S5627">
        <v>2.9772029999999998</v>
      </c>
      <c r="T5627">
        <v>-0.22985340000000001</v>
      </c>
      <c r="U5627">
        <v>-0.77713009999999905</v>
      </c>
      <c r="V5627">
        <v>1.190658E-2</v>
      </c>
      <c r="W5627">
        <v>-6.947064E-2</v>
      </c>
      <c r="X5627">
        <v>0.99751290000000004</v>
      </c>
      <c r="Y5627">
        <v>0.24555370000000001</v>
      </c>
      <c r="Z5627">
        <v>-1.03169E-2</v>
      </c>
      <c r="AA5627">
        <v>0.96932810000000003</v>
      </c>
      <c r="AB5627">
        <v>21</v>
      </c>
      <c r="AC5627">
        <v>14.3924</v>
      </c>
      <c r="AD5627">
        <v>-1.1209801022229999</v>
      </c>
      <c r="AE5627">
        <v>-3.7893699999999999</v>
      </c>
      <c r="AF5627">
        <v>3.6757978308591301</v>
      </c>
      <c r="AG5627">
        <v>-1.1209801022229999</v>
      </c>
      <c r="AH5627">
        <v>14.3351681565604</v>
      </c>
      <c r="AI5627">
        <v>94.331730829327</v>
      </c>
      <c r="AJ5627">
        <v>75.618179045019502</v>
      </c>
      <c r="AK5627">
        <v>14.8413318863164</v>
      </c>
      <c r="AL5627">
        <v>93.983583261270297</v>
      </c>
      <c r="AM5627">
        <v>89.316134772127498</v>
      </c>
      <c r="AN5627">
        <v>0.99999996106785705</v>
      </c>
    </row>
    <row r="5628" spans="1:40" x14ac:dyDescent="0.25">
      <c r="A5628" t="str">
        <f>"20190303154631427"</f>
        <v>20190303154631427</v>
      </c>
      <c r="B5628" t="str">
        <f>"1551599191416912"</f>
        <v>1551599191416912</v>
      </c>
      <c r="C5628" t="s">
        <v>40</v>
      </c>
      <c r="D5628">
        <v>5.4025439999999998</v>
      </c>
      <c r="E5628">
        <v>0.59046639999999995</v>
      </c>
      <c r="F5628" t="s">
        <v>41</v>
      </c>
      <c r="G5628">
        <v>-325.6087</v>
      </c>
      <c r="H5628" s="1">
        <v>-3.1603020000000001E-6</v>
      </c>
      <c r="I5628">
        <v>14.01727</v>
      </c>
      <c r="J5628">
        <v>-339.86540000000002</v>
      </c>
      <c r="K5628">
        <v>1.1209690000000001</v>
      </c>
      <c r="L5628">
        <v>17.807459999999999</v>
      </c>
      <c r="M5628">
        <v>0.99991640000000004</v>
      </c>
      <c r="N5628">
        <v>-1.1385009999999999E-2</v>
      </c>
      <c r="O5628">
        <v>-6.1421740000000002E-3</v>
      </c>
      <c r="P5628">
        <v>0.99654640000000005</v>
      </c>
      <c r="Q5628">
        <v>-8.1166530000000001E-2</v>
      </c>
      <c r="R5628">
        <v>-1.7531069999999999E-2</v>
      </c>
      <c r="S5628">
        <v>2.9774780000000001</v>
      </c>
      <c r="T5628">
        <v>-0.2295189</v>
      </c>
      <c r="U5628">
        <v>-0.77633669999999899</v>
      </c>
      <c r="V5628">
        <v>1.142837E-2</v>
      </c>
      <c r="W5628">
        <v>-6.9811449999999997E-2</v>
      </c>
      <c r="X5628">
        <v>0.99749480000000001</v>
      </c>
      <c r="Y5628">
        <v>0.24557660000000001</v>
      </c>
      <c r="Z5628">
        <v>-1.032339E-2</v>
      </c>
      <c r="AA5628">
        <v>0.96932220000000002</v>
      </c>
      <c r="AB5628">
        <v>21</v>
      </c>
      <c r="AC5628">
        <v>14.2567</v>
      </c>
      <c r="AD5628">
        <v>-1.120972160302</v>
      </c>
      <c r="AE5628">
        <v>-3.7901899999999902</v>
      </c>
      <c r="AF5628">
        <v>3.6812891476701202</v>
      </c>
      <c r="AG5628">
        <v>-1.120972160302</v>
      </c>
      <c r="AH5628">
        <v>14.1977318273411</v>
      </c>
      <c r="AI5628">
        <v>94.370449073922103</v>
      </c>
      <c r="AJ5628">
        <v>75.464048591728698</v>
      </c>
      <c r="AK5628">
        <v>14.709998552481901</v>
      </c>
      <c r="AL5628">
        <v>94.003157360244003</v>
      </c>
      <c r="AM5628">
        <v>89.343586834317804</v>
      </c>
      <c r="AN5628">
        <v>1.0000000611094899</v>
      </c>
    </row>
    <row r="5629" spans="1:40" x14ac:dyDescent="0.25">
      <c r="A5629" t="str">
        <f>"20190303154631450"</f>
        <v>20190303154631450</v>
      </c>
      <c r="B5629" t="str">
        <f>"1551599191447165"</f>
        <v>1551599191447165</v>
      </c>
      <c r="C5629" t="s">
        <v>40</v>
      </c>
      <c r="D5629">
        <v>5.418857</v>
      </c>
      <c r="E5629">
        <v>0.59046639999999995</v>
      </c>
      <c r="F5629" t="s">
        <v>41</v>
      </c>
      <c r="G5629">
        <v>-325.30020000000002</v>
      </c>
      <c r="H5629" s="1">
        <v>-3.2775240000000002E-6</v>
      </c>
      <c r="I5629">
        <v>14.02196</v>
      </c>
      <c r="J5629">
        <v>-339.65460000000002</v>
      </c>
      <c r="K5629">
        <v>1.12097</v>
      </c>
      <c r="L5629">
        <v>17.806429999999999</v>
      </c>
      <c r="M5629">
        <v>0.99991770000000002</v>
      </c>
      <c r="N5629">
        <v>-1.1384439999999999E-2</v>
      </c>
      <c r="O5629">
        <v>-5.9236820000000004E-3</v>
      </c>
      <c r="P5629">
        <v>0.99654089999999995</v>
      </c>
      <c r="Q5629">
        <v>-8.1395629999999997E-2</v>
      </c>
      <c r="R5629">
        <v>-1.677234E-2</v>
      </c>
      <c r="S5629">
        <v>2.978119</v>
      </c>
      <c r="T5629">
        <v>-0.22920389999999999</v>
      </c>
      <c r="U5629">
        <v>-0.77401730000000002</v>
      </c>
      <c r="V5629">
        <v>1.088745E-2</v>
      </c>
      <c r="W5629">
        <v>-7.0041400000000004E-2</v>
      </c>
      <c r="X5629">
        <v>0.9974847</v>
      </c>
      <c r="Y5629">
        <v>0.2450338</v>
      </c>
      <c r="Z5629">
        <v>-1.0300510000000001E-2</v>
      </c>
      <c r="AA5629">
        <v>0.96945979999999998</v>
      </c>
      <c r="AB5629">
        <v>21</v>
      </c>
      <c r="AC5629">
        <v>14.354399999999901</v>
      </c>
      <c r="AD5629">
        <v>-1.120973277524</v>
      </c>
      <c r="AE5629">
        <v>-3.78446999999999</v>
      </c>
      <c r="AF5629">
        <v>3.6783925636539201</v>
      </c>
      <c r="AG5629">
        <v>-1.120973277524</v>
      </c>
      <c r="AH5629">
        <v>14.295055500231401</v>
      </c>
      <c r="AI5629">
        <v>94.342873658906996</v>
      </c>
      <c r="AJ5629">
        <v>75.569749023450498</v>
      </c>
      <c r="AK5629">
        <v>14.803234940240699</v>
      </c>
      <c r="AL5629">
        <v>94.016364977015698</v>
      </c>
      <c r="AM5629">
        <v>89.374646885241802</v>
      </c>
      <c r="AN5629">
        <v>1.0000000305077701</v>
      </c>
    </row>
    <row r="5630" spans="1:40" x14ac:dyDescent="0.25">
      <c r="A5630" t="str">
        <f>"20190303154631471"</f>
        <v>20190303154631471</v>
      </c>
      <c r="B5630" t="str">
        <f>"1551599191466685"</f>
        <v>1551599191466685</v>
      </c>
      <c r="C5630" t="s">
        <v>40</v>
      </c>
      <c r="D5630">
        <v>5.4087880000000004</v>
      </c>
      <c r="E5630">
        <v>0.59046639999999995</v>
      </c>
      <c r="F5630" t="s">
        <v>41</v>
      </c>
      <c r="G5630">
        <v>-325.17469999999997</v>
      </c>
      <c r="H5630" s="1">
        <v>-3.3170090000000002E-6</v>
      </c>
      <c r="I5630">
        <v>14.054650000000001</v>
      </c>
      <c r="J5630">
        <v>-339.45100000000002</v>
      </c>
      <c r="K5630">
        <v>1.1209690000000001</v>
      </c>
      <c r="L5630">
        <v>17.805479999999999</v>
      </c>
      <c r="M5630">
        <v>0.999919</v>
      </c>
      <c r="N5630">
        <v>-1.138628E-2</v>
      </c>
      <c r="O5630">
        <v>-5.7116320000000003E-3</v>
      </c>
      <c r="P5630">
        <v>0.99652739999999995</v>
      </c>
      <c r="Q5630">
        <v>-8.1646930000000006E-2</v>
      </c>
      <c r="R5630">
        <v>-1.634447E-2</v>
      </c>
      <c r="S5630">
        <v>2.978577</v>
      </c>
      <c r="T5630">
        <v>-0.23058999999999999</v>
      </c>
      <c r="U5630">
        <v>-0.77175899999999997</v>
      </c>
      <c r="V5630">
        <v>1.067078E-2</v>
      </c>
      <c r="W5630">
        <v>-7.0291160000000005E-2</v>
      </c>
      <c r="X5630">
        <v>0.99746939999999995</v>
      </c>
      <c r="Y5630">
        <v>0.244507</v>
      </c>
      <c r="Z5630">
        <v>-1.0343969999999999E-2</v>
      </c>
      <c r="AA5630">
        <v>0.96959229999999996</v>
      </c>
      <c r="AB5630">
        <v>21</v>
      </c>
      <c r="AC5630">
        <v>14.2762999999999</v>
      </c>
      <c r="AD5630">
        <v>-1.120972317009</v>
      </c>
      <c r="AE5630">
        <v>-3.7508299999999899</v>
      </c>
      <c r="AF5630">
        <v>3.6481825484626298</v>
      </c>
      <c r="AG5630">
        <v>-1.120972317009</v>
      </c>
      <c r="AH5630">
        <v>14.215507330594001</v>
      </c>
      <c r="AI5630">
        <v>94.3677969582576</v>
      </c>
      <c r="AJ5630">
        <v>75.606577184131694</v>
      </c>
      <c r="AK5630">
        <v>14.718915160723601</v>
      </c>
      <c r="AL5630">
        <v>94.030710819268904</v>
      </c>
      <c r="AM5630">
        <v>89.387081612352603</v>
      </c>
      <c r="AN5630">
        <v>0.99999995832815602</v>
      </c>
    </row>
    <row r="5631" spans="1:40" x14ac:dyDescent="0.25">
      <c r="A5631" t="str">
        <f>"20190303154631494"</f>
        <v>20190303154631494</v>
      </c>
      <c r="B5631" t="str">
        <f>"1551599191487181"</f>
        <v>1551599191487181</v>
      </c>
      <c r="C5631" t="s">
        <v>40</v>
      </c>
      <c r="D5631">
        <v>5.002885</v>
      </c>
      <c r="E5631">
        <v>0.59046639999999995</v>
      </c>
      <c r="F5631" t="s">
        <v>41</v>
      </c>
      <c r="G5631">
        <v>-325.11259999999999</v>
      </c>
      <c r="H5631" s="1">
        <v>-3.329728E-6</v>
      </c>
      <c r="I5631">
        <v>14.09656</v>
      </c>
      <c r="J5631">
        <v>-339.23230000000001</v>
      </c>
      <c r="K5631">
        <v>1.1209709999999999</v>
      </c>
      <c r="L5631">
        <v>17.804469999999998</v>
      </c>
      <c r="M5631">
        <v>0.99992020000000004</v>
      </c>
      <c r="N5631">
        <v>-1.1394339999999999E-2</v>
      </c>
      <c r="O5631">
        <v>-5.4824419999999997E-3</v>
      </c>
      <c r="P5631">
        <v>0.99646389999999996</v>
      </c>
      <c r="Q5631">
        <v>-8.2338720000000004E-2</v>
      </c>
      <c r="R5631">
        <v>-1.674662E-2</v>
      </c>
      <c r="S5631">
        <v>2.978729</v>
      </c>
      <c r="T5631">
        <v>-0.23287559999999999</v>
      </c>
      <c r="U5631">
        <v>-0.77050779999999996</v>
      </c>
      <c r="V5631">
        <v>1.1302029999999999E-2</v>
      </c>
      <c r="W5631">
        <v>-7.0975389999999999E-2</v>
      </c>
      <c r="X5631">
        <v>0.99741409999999997</v>
      </c>
      <c r="Y5631">
        <v>0.24432110000000001</v>
      </c>
      <c r="Z5631">
        <v>-1.043942E-2</v>
      </c>
      <c r="AA5631">
        <v>0.96963820000000001</v>
      </c>
      <c r="AB5631">
        <v>21</v>
      </c>
      <c r="AC5631">
        <v>14.1197</v>
      </c>
      <c r="AD5631">
        <v>-1.1209743297279999</v>
      </c>
      <c r="AE5631">
        <v>-3.70791</v>
      </c>
      <c r="AF5631">
        <v>3.6091582007542602</v>
      </c>
      <c r="AG5631">
        <v>-1.1209743297279999</v>
      </c>
      <c r="AH5631">
        <v>14.0569338367198</v>
      </c>
      <c r="AI5631">
        <v>94.416757273699403</v>
      </c>
      <c r="AJ5631">
        <v>75.600187252780501</v>
      </c>
      <c r="AK5631">
        <v>14.5560982153838</v>
      </c>
      <c r="AL5631">
        <v>94.070012042310793</v>
      </c>
      <c r="AM5631">
        <v>89.350790302888797</v>
      </c>
      <c r="AN5631">
        <v>1.00000006437328</v>
      </c>
    </row>
    <row r="5632" spans="1:40" x14ac:dyDescent="0.25">
      <c r="A5632" t="str">
        <f>"20190303154631516"</f>
        <v>20190303154631516</v>
      </c>
      <c r="B5632" t="str">
        <f>"1551599191506700"</f>
        <v>1551599191506700</v>
      </c>
      <c r="C5632" t="s">
        <v>40</v>
      </c>
      <c r="D5632">
        <v>4.9759039999999999</v>
      </c>
      <c r="E5632">
        <v>0.59046639999999995</v>
      </c>
      <c r="F5632" t="s">
        <v>41</v>
      </c>
      <c r="G5632">
        <v>-325.05470000000003</v>
      </c>
      <c r="H5632" s="1">
        <v>-3.342784E-6</v>
      </c>
      <c r="I5632">
        <v>14.13097</v>
      </c>
      <c r="J5632">
        <v>-339.0247</v>
      </c>
      <c r="K5632">
        <v>1.1209709999999999</v>
      </c>
      <c r="L5632">
        <v>17.803619999999999</v>
      </c>
      <c r="M5632">
        <v>0.99992130000000001</v>
      </c>
      <c r="N5632">
        <v>-1.1404940000000001E-2</v>
      </c>
      <c r="O5632">
        <v>-5.2643459999999996E-3</v>
      </c>
      <c r="P5632">
        <v>0.99641789999999997</v>
      </c>
      <c r="Q5632">
        <v>-8.2872119999999994E-2</v>
      </c>
      <c r="R5632">
        <v>-1.6862579999999999E-2</v>
      </c>
      <c r="S5632">
        <v>2.97818</v>
      </c>
      <c r="T5632">
        <v>-0.2354752</v>
      </c>
      <c r="U5632">
        <v>-0.77166749999999995</v>
      </c>
      <c r="V5632">
        <v>1.1635799999999899E-2</v>
      </c>
      <c r="W5632">
        <v>-7.1498640000000002E-2</v>
      </c>
      <c r="X5632">
        <v>0.99737279999999995</v>
      </c>
      <c r="Y5632">
        <v>0.2449104</v>
      </c>
      <c r="Z5632">
        <v>-1.0582619999999999E-2</v>
      </c>
      <c r="AA5632">
        <v>0.96948800000000002</v>
      </c>
      <c r="AB5632">
        <v>21</v>
      </c>
      <c r="AC5632">
        <v>13.969999999999899</v>
      </c>
      <c r="AD5632">
        <v>-1.120974342784</v>
      </c>
      <c r="AE5632">
        <v>-3.67265</v>
      </c>
      <c r="AF5632">
        <v>3.5775060043381499</v>
      </c>
      <c r="AG5632">
        <v>-1.120974342784</v>
      </c>
      <c r="AH5632">
        <v>13.905396942021699</v>
      </c>
      <c r="AI5632">
        <v>94.464136958164602</v>
      </c>
      <c r="AJ5632">
        <v>75.572144748818602</v>
      </c>
      <c r="AK5632">
        <v>14.4019164281509</v>
      </c>
      <c r="AL5632">
        <v>94.100068786081906</v>
      </c>
      <c r="AM5632">
        <v>89.331591971195394</v>
      </c>
      <c r="AN5632">
        <v>0.99999997477166402</v>
      </c>
    </row>
    <row r="5633" spans="1:40" x14ac:dyDescent="0.25">
      <c r="A5633" t="str">
        <f>"20190303154631538"</f>
        <v>20190303154631538</v>
      </c>
      <c r="B5633" t="str">
        <f>"1551599191527196"</f>
        <v>1551599191527196</v>
      </c>
      <c r="C5633" t="s">
        <v>40</v>
      </c>
      <c r="D5633">
        <v>5.3133470000000003</v>
      </c>
      <c r="E5633">
        <v>0.59046639999999995</v>
      </c>
      <c r="F5633" t="s">
        <v>41</v>
      </c>
      <c r="G5633">
        <v>-324.86959999999999</v>
      </c>
      <c r="H5633" s="1">
        <v>-3.413024E-6</v>
      </c>
      <c r="I5633">
        <v>14.134209999999999</v>
      </c>
      <c r="J5633">
        <v>-338.81849999999997</v>
      </c>
      <c r="K5633">
        <v>1.120981</v>
      </c>
      <c r="L5633">
        <v>17.802800000000001</v>
      </c>
      <c r="M5633">
        <v>0.99992210000000004</v>
      </c>
      <c r="N5633">
        <v>-1.141435E-2</v>
      </c>
      <c r="O5633">
        <v>-5.047078E-3</v>
      </c>
      <c r="P5633">
        <v>0.99641440000000003</v>
      </c>
      <c r="Q5633">
        <v>-8.283095E-2</v>
      </c>
      <c r="R5633">
        <v>-1.7252859999999998E-2</v>
      </c>
      <c r="S5633">
        <v>2.9780880000000001</v>
      </c>
      <c r="T5633">
        <v>-0.23584060000000001</v>
      </c>
      <c r="U5633">
        <v>-0.772003199999999</v>
      </c>
      <c r="V5633">
        <v>1.2242879999999999E-2</v>
      </c>
      <c r="W5633">
        <v>-7.1447960000000005E-2</v>
      </c>
      <c r="X5633">
        <v>0.99736919999999996</v>
      </c>
      <c r="Y5633">
        <v>0.24522659999999999</v>
      </c>
      <c r="Z5633">
        <v>-1.0626689999999999E-2</v>
      </c>
      <c r="AA5633">
        <v>0.96940760000000004</v>
      </c>
      <c r="AB5633">
        <v>21</v>
      </c>
      <c r="AC5633">
        <v>13.948899999999901</v>
      </c>
      <c r="AD5633">
        <v>-1.1209844130239901</v>
      </c>
      <c r="AE5633">
        <v>-3.66859</v>
      </c>
      <c r="AF5633">
        <v>3.5765334674277001</v>
      </c>
      <c r="AG5633">
        <v>-1.1209844130239901</v>
      </c>
      <c r="AH5633">
        <v>13.883376735536901</v>
      </c>
      <c r="AI5633">
        <v>94.470865371762201</v>
      </c>
      <c r="AJ5633">
        <v>75.553982043839696</v>
      </c>
      <c r="AK5633">
        <v>14.380415407029201</v>
      </c>
      <c r="AL5633">
        <v>94.097157445550096</v>
      </c>
      <c r="AM5633">
        <v>89.2967196861198</v>
      </c>
      <c r="AN5633">
        <v>1.0000000101037401</v>
      </c>
    </row>
    <row r="5634" spans="1:40" x14ac:dyDescent="0.25">
      <c r="A5634" t="str">
        <f>"20190303154631560"</f>
        <v>20190303154631560</v>
      </c>
      <c r="B5634" t="str">
        <f>"1551599191557453"</f>
        <v>1551599191557453</v>
      </c>
      <c r="C5634" t="s">
        <v>40</v>
      </c>
      <c r="D5634">
        <v>4.9861829999999996</v>
      </c>
      <c r="E5634">
        <v>0.64007780000000003</v>
      </c>
      <c r="F5634" t="s">
        <v>41</v>
      </c>
      <c r="G5634">
        <v>-324.67809999999997</v>
      </c>
      <c r="H5634" s="1">
        <v>-3.4874170000000001E-6</v>
      </c>
      <c r="I5634">
        <v>14.13104</v>
      </c>
      <c r="J5634">
        <v>-338.61279999999999</v>
      </c>
      <c r="K5634">
        <v>1.120987</v>
      </c>
      <c r="L5634">
        <v>17.802</v>
      </c>
      <c r="M5634">
        <v>0.99992320000000001</v>
      </c>
      <c r="N5634">
        <v>-1.142234E-2</v>
      </c>
      <c r="O5634">
        <v>-4.8304000000000003E-3</v>
      </c>
      <c r="P5634">
        <v>0.99640569999999895</v>
      </c>
      <c r="Q5634">
        <v>-8.2912910000000006E-2</v>
      </c>
      <c r="R5634">
        <v>-1.7368939999999999E-2</v>
      </c>
      <c r="S5634">
        <v>2.9777830000000001</v>
      </c>
      <c r="T5634">
        <v>-0.23606489999999999</v>
      </c>
      <c r="U5634">
        <v>-0.77322389999999996</v>
      </c>
      <c r="V5634">
        <v>1.257485E-2</v>
      </c>
      <c r="W5634">
        <v>-7.1521950000000001E-2</v>
      </c>
      <c r="X5634">
        <v>0.99735980000000002</v>
      </c>
      <c r="Y5634">
        <v>0.24582899999999999</v>
      </c>
      <c r="Z5634">
        <v>-1.067831E-2</v>
      </c>
      <c r="AA5634">
        <v>0.96925439999999996</v>
      </c>
      <c r="AB5634">
        <v>21</v>
      </c>
      <c r="AC5634">
        <v>13.934699999999999</v>
      </c>
      <c r="AD5634">
        <v>-1.120990487417</v>
      </c>
      <c r="AE5634">
        <v>-3.67096</v>
      </c>
      <c r="AF5634">
        <v>3.5819263267241999</v>
      </c>
      <c r="AG5634">
        <v>-1.120990487417</v>
      </c>
      <c r="AH5634">
        <v>13.868345493616101</v>
      </c>
      <c r="AI5634">
        <v>94.474995430118597</v>
      </c>
      <c r="AJ5634">
        <v>75.518092144889295</v>
      </c>
      <c r="AK5634">
        <v>14.367248261697901</v>
      </c>
      <c r="AL5634">
        <v>94.101407496705207</v>
      </c>
      <c r="AM5634">
        <v>89.277645179529998</v>
      </c>
      <c r="AN5634">
        <v>1.0000000434201799</v>
      </c>
    </row>
    <row r="5635" spans="1:40" x14ac:dyDescent="0.25">
      <c r="A5635" t="str">
        <f>"20190303154631582"</f>
        <v>20190303154631582</v>
      </c>
      <c r="B5635" t="str">
        <f>"1551599191576973"</f>
        <v>1551599191576973</v>
      </c>
      <c r="C5635" t="s">
        <v>40</v>
      </c>
      <c r="D5635">
        <v>4.966488</v>
      </c>
      <c r="E5635">
        <v>0.63984529999999995</v>
      </c>
      <c r="F5635" t="s">
        <v>68</v>
      </c>
      <c r="G5635">
        <v>-279.02</v>
      </c>
      <c r="H5635">
        <v>3.3023310000000001</v>
      </c>
      <c r="I5635">
        <v>-5.4745089999999896</v>
      </c>
      <c r="J5635">
        <v>-338.39819999999997</v>
      </c>
      <c r="K5635">
        <v>1.1209849999999999</v>
      </c>
      <c r="L5635">
        <v>17.80124</v>
      </c>
      <c r="M5635">
        <v>0.99992409999999998</v>
      </c>
      <c r="N5635">
        <v>-1.1430650000000001E-2</v>
      </c>
      <c r="O5635">
        <v>-4.603836E-3</v>
      </c>
      <c r="P5635">
        <v>0.99645510000000004</v>
      </c>
      <c r="Q5635">
        <v>-8.24405E-2</v>
      </c>
      <c r="R5635">
        <v>-1.676573E-2</v>
      </c>
      <c r="S5635">
        <v>2.9995419999999999</v>
      </c>
      <c r="T5635">
        <v>0.1097958</v>
      </c>
      <c r="U5635">
        <v>-1.1716</v>
      </c>
      <c r="V5635">
        <v>1.219693E-2</v>
      </c>
      <c r="W5635">
        <v>-7.1040870000000006E-2</v>
      </c>
      <c r="X5635">
        <v>0.99739889999999998</v>
      </c>
      <c r="Y5635">
        <v>0.35939979999999999</v>
      </c>
      <c r="Z5635">
        <v>4.0018370000000003E-3</v>
      </c>
      <c r="AA5635">
        <v>0.93317510000000004</v>
      </c>
      <c r="AB5635">
        <v>21</v>
      </c>
      <c r="AC5635">
        <v>59.3781999999999</v>
      </c>
      <c r="AD5635">
        <v>2.181346</v>
      </c>
      <c r="AE5635">
        <v>-23.275749000000001</v>
      </c>
      <c r="AF5635">
        <v>22.975240105727799</v>
      </c>
      <c r="AG5635">
        <v>2.181346</v>
      </c>
      <c r="AH5635">
        <v>59.415230379186603</v>
      </c>
      <c r="AI5635">
        <v>88.038809244404504</v>
      </c>
      <c r="AJ5635">
        <v>68.859041820628093</v>
      </c>
      <c r="AK5635">
        <v>63.740015134132001</v>
      </c>
      <c r="AL5635">
        <v>94.073773249158293</v>
      </c>
      <c r="AM5635">
        <v>89.2993798367023</v>
      </c>
      <c r="AN5635">
        <v>1.00000006801649</v>
      </c>
    </row>
    <row r="5636" spans="1:40" x14ac:dyDescent="0.25">
      <c r="A5636" t="str">
        <f>"20190303154631605"</f>
        <v>20190303154631605</v>
      </c>
      <c r="B5636" t="str">
        <f>"1551599191596499"</f>
        <v>1551599191596499</v>
      </c>
      <c r="C5636" t="s">
        <v>40</v>
      </c>
      <c r="D5636">
        <v>4.9838879999999897</v>
      </c>
      <c r="E5636">
        <v>0.64009579999999999</v>
      </c>
      <c r="F5636" t="s">
        <v>68</v>
      </c>
      <c r="G5636">
        <v>-279.02</v>
      </c>
      <c r="H5636">
        <v>3.2253150000000002</v>
      </c>
      <c r="I5636">
        <v>-5.3129839999999904</v>
      </c>
      <c r="J5636">
        <v>-338.18830000000003</v>
      </c>
      <c r="K5636">
        <v>1.120989</v>
      </c>
      <c r="L5636">
        <v>17.800539999999899</v>
      </c>
      <c r="M5636">
        <v>0.99992499999999995</v>
      </c>
      <c r="N5636">
        <v>-1.143867E-2</v>
      </c>
      <c r="O5636">
        <v>-4.3820409999999997E-3</v>
      </c>
      <c r="P5636">
        <v>0.99644460000000001</v>
      </c>
      <c r="Q5636">
        <v>-8.2724140000000002E-2</v>
      </c>
      <c r="R5636">
        <v>-1.5960309999999998E-2</v>
      </c>
      <c r="S5636">
        <v>2.9998469999999999</v>
      </c>
      <c r="T5636">
        <v>0.106313</v>
      </c>
      <c r="U5636">
        <v>-1.1677550000000001</v>
      </c>
      <c r="V5636">
        <v>1.1612799999999901E-2</v>
      </c>
      <c r="W5636">
        <v>-7.1316879999999999E-2</v>
      </c>
      <c r="X5636">
        <v>0.99738610000000005</v>
      </c>
      <c r="Y5636">
        <v>0.3585467</v>
      </c>
      <c r="Z5636">
        <v>3.8061380000000001E-3</v>
      </c>
      <c r="AA5636">
        <v>0.933504</v>
      </c>
      <c r="AB5636">
        <v>21</v>
      </c>
      <c r="AC5636">
        <v>59.168300000000002</v>
      </c>
      <c r="AD5636">
        <v>2.1043259999999999</v>
      </c>
      <c r="AE5636">
        <v>-23.113524000000002</v>
      </c>
      <c r="AF5636">
        <v>22.828954434857</v>
      </c>
      <c r="AG5636">
        <v>2.1043259999999999</v>
      </c>
      <c r="AH5636">
        <v>59.204051698297903</v>
      </c>
      <c r="AI5636">
        <v>88.100564814620398</v>
      </c>
      <c r="AJ5636">
        <v>68.913468528370998</v>
      </c>
      <c r="AK5636">
        <v>63.487865659492599</v>
      </c>
      <c r="AL5636">
        <v>94.089627975230499</v>
      </c>
      <c r="AM5636">
        <v>89.332921960626194</v>
      </c>
      <c r="AN5636">
        <v>0.99999999348499202</v>
      </c>
    </row>
    <row r="5637" spans="1:40" x14ac:dyDescent="0.25">
      <c r="A5637" t="str">
        <f>"20190303154631628"</f>
        <v>20190303154631628</v>
      </c>
      <c r="B5637" t="str">
        <f>"1551599191616994"</f>
        <v>1551599191616994</v>
      </c>
      <c r="C5637" t="s">
        <v>40</v>
      </c>
      <c r="D5637">
        <v>4.9585129999999999</v>
      </c>
      <c r="E5637">
        <v>0.64029309999999995</v>
      </c>
      <c r="F5637" t="s">
        <v>68</v>
      </c>
      <c r="G5637">
        <v>-279.02</v>
      </c>
      <c r="H5637">
        <v>3.1964760000000001</v>
      </c>
      <c r="I5637">
        <v>-5.2117199999999997</v>
      </c>
      <c r="J5637">
        <v>-337.97539999999998</v>
      </c>
      <c r="K5637">
        <v>1.1209789999999999</v>
      </c>
      <c r="L5637">
        <v>17.79984</v>
      </c>
      <c r="M5637">
        <v>0.99992590000000003</v>
      </c>
      <c r="N5637">
        <v>-1.144622E-2</v>
      </c>
      <c r="O5637">
        <v>-4.1572620000000001E-3</v>
      </c>
      <c r="P5637">
        <v>0.99639180000000005</v>
      </c>
      <c r="Q5637">
        <v>-8.3551440000000005E-2</v>
      </c>
      <c r="R5637">
        <v>-1.4921739999999999E-2</v>
      </c>
      <c r="S5637">
        <v>3.0007630000000001</v>
      </c>
      <c r="T5637">
        <v>0.1052599</v>
      </c>
      <c r="U5637">
        <v>-1.167084</v>
      </c>
      <c r="V5637">
        <v>1.079887E-2</v>
      </c>
      <c r="W5637">
        <v>-7.2137499999999993E-2</v>
      </c>
      <c r="X5637">
        <v>0.99733620000000001</v>
      </c>
      <c r="Y5637">
        <v>0.35848190000000002</v>
      </c>
      <c r="Z5637">
        <v>3.753569E-3</v>
      </c>
      <c r="AA5637">
        <v>0.9335291</v>
      </c>
      <c r="AB5637">
        <v>21</v>
      </c>
      <c r="AC5637">
        <v>58.955399999999997</v>
      </c>
      <c r="AD5637">
        <v>2.0754969999999902</v>
      </c>
      <c r="AE5637">
        <v>-23.011559999999999</v>
      </c>
      <c r="AF5637">
        <v>22.741793127278601</v>
      </c>
      <c r="AG5637">
        <v>2.0754969999999902</v>
      </c>
      <c r="AH5637">
        <v>58.987120894874799</v>
      </c>
      <c r="AI5637">
        <v>88.119645810478104</v>
      </c>
      <c r="AJ5637">
        <v>68.916439393932194</v>
      </c>
      <c r="AK5637">
        <v>63.253278760136403</v>
      </c>
      <c r="AL5637">
        <v>94.136767574557595</v>
      </c>
      <c r="AM5637">
        <v>89.379641993957193</v>
      </c>
      <c r="AN5637">
        <v>0.99999996516498202</v>
      </c>
    </row>
    <row r="5638" spans="1:40" x14ac:dyDescent="0.25">
      <c r="A5638" t="str">
        <f>"20190303154631651"</f>
        <v>20190303154631651</v>
      </c>
      <c r="B5638" t="str">
        <f>"1551599191647251"</f>
        <v>1551599191647251</v>
      </c>
      <c r="C5638" t="s">
        <v>40</v>
      </c>
      <c r="D5638">
        <v>5.7643190000000004</v>
      </c>
      <c r="E5638">
        <v>0.5773355</v>
      </c>
      <c r="F5638" t="s">
        <v>68</v>
      </c>
      <c r="G5638">
        <v>-279.02</v>
      </c>
      <c r="H5638">
        <v>3.126541</v>
      </c>
      <c r="I5638">
        <v>-5.0947630000000004</v>
      </c>
      <c r="J5638">
        <v>-337.76350000000002</v>
      </c>
      <c r="K5638">
        <v>1.1209789999999999</v>
      </c>
      <c r="L5638">
        <v>17.799219999999998</v>
      </c>
      <c r="M5638">
        <v>0.9999268</v>
      </c>
      <c r="N5638">
        <v>-1.1452779999999999E-2</v>
      </c>
      <c r="O5638">
        <v>-3.934145E-3</v>
      </c>
      <c r="P5638">
        <v>0.99639100000000003</v>
      </c>
      <c r="Q5638">
        <v>-8.3663199999999993E-2</v>
      </c>
      <c r="R5638">
        <v>-1.434885E-2</v>
      </c>
      <c r="S5638">
        <v>3.0019529999999999</v>
      </c>
      <c r="T5638">
        <v>0.1021214</v>
      </c>
      <c r="U5638">
        <v>-1.1657709999999999</v>
      </c>
      <c r="V5638">
        <v>1.044818E-2</v>
      </c>
      <c r="W5638">
        <v>-7.2242829999999994E-2</v>
      </c>
      <c r="X5638">
        <v>0.99733229999999995</v>
      </c>
      <c r="Y5638">
        <v>0.35821960000000003</v>
      </c>
      <c r="Z5638">
        <v>3.5813669999999998E-3</v>
      </c>
      <c r="AA5638">
        <v>0.93363050000000003</v>
      </c>
      <c r="AB5638">
        <v>21</v>
      </c>
      <c r="AC5638">
        <v>58.743499999999997</v>
      </c>
      <c r="AD5638">
        <v>2.0055619999999998</v>
      </c>
      <c r="AE5638">
        <v>-22.893982999999999</v>
      </c>
      <c r="AF5638">
        <v>22.6397757895982</v>
      </c>
      <c r="AG5638">
        <v>2.0055619999999998</v>
      </c>
      <c r="AH5638">
        <v>58.7736457801551</v>
      </c>
      <c r="AI5638">
        <v>88.176161712212803</v>
      </c>
      <c r="AJ5638">
        <v>68.933173056550302</v>
      </c>
      <c r="AK5638">
        <v>63.015261366039397</v>
      </c>
      <c r="AL5638">
        <v>94.142818373544401</v>
      </c>
      <c r="AM5638">
        <v>89.399784084939697</v>
      </c>
      <c r="AN5638">
        <v>0.99999995378750395</v>
      </c>
    </row>
    <row r="5639" spans="1:40" x14ac:dyDescent="0.25">
      <c r="A5639" t="str">
        <f>"20190303154631672"</f>
        <v>20190303154631672</v>
      </c>
      <c r="B5639" t="str">
        <f>"1551599191666770"</f>
        <v>1551599191666770</v>
      </c>
      <c r="C5639" t="s">
        <v>40</v>
      </c>
      <c r="D5639">
        <v>5.3285519999999904</v>
      </c>
      <c r="E5639">
        <v>0.50687119999999997</v>
      </c>
      <c r="F5639" t="s">
        <v>43</v>
      </c>
      <c r="G5639">
        <v>-314.28030000000001</v>
      </c>
      <c r="H5639">
        <v>-0.05</v>
      </c>
      <c r="I5639">
        <v>12.60999</v>
      </c>
      <c r="J5639">
        <v>-337.55020000000002</v>
      </c>
      <c r="K5639">
        <v>1.1209789999999999</v>
      </c>
      <c r="L5639">
        <v>17.798679999999901</v>
      </c>
      <c r="M5639">
        <v>0.99992760000000003</v>
      </c>
      <c r="N5639">
        <v>-1.145852E-2</v>
      </c>
      <c r="O5639">
        <v>-3.7098299999999999E-3</v>
      </c>
      <c r="P5639">
        <v>0.99632169999999998</v>
      </c>
      <c r="Q5639">
        <v>-8.454863E-2</v>
      </c>
      <c r="R5639">
        <v>-1.395339E-2</v>
      </c>
      <c r="S5639">
        <v>2.9888309999999998</v>
      </c>
      <c r="T5639">
        <v>-0.14903640000000001</v>
      </c>
      <c r="U5639">
        <v>-0.66046139999999998</v>
      </c>
      <c r="V5639">
        <v>1.0276860000000001E-2</v>
      </c>
      <c r="W5639">
        <v>-7.3123389999999996E-2</v>
      </c>
      <c r="X5639">
        <v>0.99726990000000004</v>
      </c>
      <c r="Y5639">
        <v>0.21183879999999999</v>
      </c>
      <c r="Z5639">
        <v>-6.3039489999999997E-3</v>
      </c>
      <c r="AA5639">
        <v>0.97728429999999999</v>
      </c>
      <c r="AB5639">
        <v>21</v>
      </c>
      <c r="AC5639">
        <v>23.2699</v>
      </c>
      <c r="AD5639">
        <v>-1.170979</v>
      </c>
      <c r="AE5639">
        <v>-5.1886899999999896</v>
      </c>
      <c r="AF5639">
        <v>5.0900424203819501</v>
      </c>
      <c r="AG5639">
        <v>-1.170979</v>
      </c>
      <c r="AH5639">
        <v>23.232944839382601</v>
      </c>
      <c r="AI5639">
        <v>92.818619531073196</v>
      </c>
      <c r="AJ5639">
        <v>77.642472427208304</v>
      </c>
      <c r="AK5639">
        <v>23.8128001203034</v>
      </c>
      <c r="AL5639">
        <v>94.193404566527605</v>
      </c>
      <c r="AM5639">
        <v>89.409588253775198</v>
      </c>
      <c r="AN5639">
        <v>0.99999994873127895</v>
      </c>
    </row>
    <row r="5640" spans="1:40" x14ac:dyDescent="0.25">
      <c r="A5640" t="str">
        <f>"20190303154631694"</f>
        <v>20190303154631694</v>
      </c>
      <c r="B5640" t="str">
        <f>"1551599191687267"</f>
        <v>1551599191687267</v>
      </c>
      <c r="C5640" t="s">
        <v>40</v>
      </c>
      <c r="D5640">
        <v>5.3847880000000004</v>
      </c>
      <c r="E5640">
        <v>0.49178660000000002</v>
      </c>
      <c r="F5640" t="s">
        <v>43</v>
      </c>
      <c r="G5640">
        <v>-308.81479999999999</v>
      </c>
      <c r="H5640">
        <v>-0.05</v>
      </c>
      <c r="I5640">
        <v>16.863969999999998</v>
      </c>
      <c r="J5640">
        <v>-337.34429999999998</v>
      </c>
      <c r="K5640">
        <v>1.120986</v>
      </c>
      <c r="L5640">
        <v>17.798159999999999</v>
      </c>
      <c r="M5640">
        <v>0.99992820000000004</v>
      </c>
      <c r="N5640">
        <v>-1.1466560000000001E-2</v>
      </c>
      <c r="O5640">
        <v>-3.4933949999999998E-3</v>
      </c>
      <c r="P5640">
        <v>0.99634869999999998</v>
      </c>
      <c r="Q5640">
        <v>-8.4315119999999993E-2</v>
      </c>
      <c r="R5640">
        <v>-1.3434450000000001E-2</v>
      </c>
      <c r="S5640">
        <v>2.9993590000000001</v>
      </c>
      <c r="T5640">
        <v>-0.12222520000000001</v>
      </c>
      <c r="U5640">
        <v>-9.7564700000000004E-2</v>
      </c>
      <c r="V5640">
        <v>9.9735450000000003E-3</v>
      </c>
      <c r="W5640">
        <v>-7.2881680000000004E-2</v>
      </c>
      <c r="X5640">
        <v>0.99729069999999997</v>
      </c>
      <c r="Y5640">
        <v>2.899003E-2</v>
      </c>
      <c r="Z5640">
        <v>-6.5440089999999995E-4</v>
      </c>
      <c r="AA5640">
        <v>0.99957949999999995</v>
      </c>
      <c r="AB5640">
        <v>21</v>
      </c>
      <c r="AC5640">
        <v>28.529499999999899</v>
      </c>
      <c r="AD5640">
        <v>-1.1709860000000001</v>
      </c>
      <c r="AE5640">
        <v>-0.93418999999999697</v>
      </c>
      <c r="AF5640">
        <v>0.833110923564367</v>
      </c>
      <c r="AG5640">
        <v>-1.1709860000000001</v>
      </c>
      <c r="AH5640">
        <v>28.484653730585698</v>
      </c>
      <c r="AI5640">
        <v>92.353062455094104</v>
      </c>
      <c r="AJ5640">
        <v>88.324707181488293</v>
      </c>
      <c r="AK5640">
        <v>28.520883229215102</v>
      </c>
      <c r="AL5640">
        <v>94.179518439157306</v>
      </c>
      <c r="AM5640">
        <v>89.427024651967699</v>
      </c>
      <c r="AN5640">
        <v>0.99999997559298903</v>
      </c>
    </row>
    <row r="5641" spans="1:40" x14ac:dyDescent="0.25">
      <c r="A5641" t="str">
        <f>"20190303154631715"</f>
        <v>20190303154631715</v>
      </c>
      <c r="B5641" t="str">
        <f>"1551599191706790"</f>
        <v>1551599191706790</v>
      </c>
      <c r="C5641" t="s">
        <v>40</v>
      </c>
      <c r="D5641">
        <v>5.3058310000000004</v>
      </c>
      <c r="E5641">
        <v>0.48691180000000001</v>
      </c>
      <c r="F5641" t="s">
        <v>43</v>
      </c>
      <c r="G5641">
        <v>-312.82279999999997</v>
      </c>
      <c r="H5641">
        <v>-0.05</v>
      </c>
      <c r="I5641">
        <v>17.99803</v>
      </c>
      <c r="J5641">
        <v>-337.14150000000001</v>
      </c>
      <c r="K5641">
        <v>1.1209899999999999</v>
      </c>
      <c r="L5641">
        <v>17.797699999999999</v>
      </c>
      <c r="M5641">
        <v>0.99992879999999995</v>
      </c>
      <c r="N5641">
        <v>-1.147931E-2</v>
      </c>
      <c r="O5641">
        <v>-3.2797260000000002E-3</v>
      </c>
      <c r="P5641">
        <v>0.99642509999999995</v>
      </c>
      <c r="Q5641">
        <v>-8.3426239999999999E-2</v>
      </c>
      <c r="R5641">
        <v>-1.331921E-2</v>
      </c>
      <c r="S5641">
        <v>2.9992070000000002</v>
      </c>
      <c r="T5641">
        <v>-0.1432223</v>
      </c>
      <c r="U5641">
        <v>2.444458E-2</v>
      </c>
      <c r="V5641">
        <v>1.007077E-2</v>
      </c>
      <c r="W5641">
        <v>-7.1979280000000007E-2</v>
      </c>
      <c r="X5641">
        <v>0.99735529999999994</v>
      </c>
      <c r="Y5641">
        <v>-1.1411579999999999E-2</v>
      </c>
      <c r="Z5641">
        <v>4.5675259999999998E-4</v>
      </c>
      <c r="AA5641">
        <v>0.99993480000000001</v>
      </c>
      <c r="AB5641">
        <v>21</v>
      </c>
      <c r="AC5641">
        <v>24.3187</v>
      </c>
      <c r="AD5641">
        <v>-1.17099</v>
      </c>
      <c r="AE5641">
        <v>0.20033000000000101</v>
      </c>
      <c r="AF5641">
        <v>-0.27944496837750998</v>
      </c>
      <c r="AG5641">
        <v>-1.17099</v>
      </c>
      <c r="AH5641">
        <v>24.2616628658416</v>
      </c>
      <c r="AI5641">
        <v>92.763055462050403</v>
      </c>
      <c r="AJ5641">
        <v>90.6599015662364</v>
      </c>
      <c r="AK5641">
        <v>24.291512758290899</v>
      </c>
      <c r="AL5641">
        <v>94.127678399100006</v>
      </c>
      <c r="AM5641">
        <v>89.421476972044005</v>
      </c>
      <c r="AN5641">
        <v>1.0000000157979001</v>
      </c>
    </row>
    <row r="5642" spans="1:40" x14ac:dyDescent="0.25">
      <c r="A5642" t="str">
        <f>"20190303154631738"</f>
        <v>20190303154631738</v>
      </c>
      <c r="B5642" t="str">
        <f>"1551599191727282"</f>
        <v>1551599191727282</v>
      </c>
      <c r="C5642" t="s">
        <v>40</v>
      </c>
      <c r="D5642">
        <v>5.3234269999999997</v>
      </c>
      <c r="E5642">
        <v>0.48436560000000001</v>
      </c>
      <c r="F5642" t="s">
        <v>43</v>
      </c>
      <c r="G5642">
        <v>-314.8442</v>
      </c>
      <c r="H5642">
        <v>-0.05</v>
      </c>
      <c r="I5642">
        <v>18.27177</v>
      </c>
      <c r="J5642">
        <v>-336.92840000000001</v>
      </c>
      <c r="K5642">
        <v>1.120995</v>
      </c>
      <c r="L5642">
        <v>17.797239999999999</v>
      </c>
      <c r="M5642">
        <v>0.99992930000000002</v>
      </c>
      <c r="N5642">
        <v>-1.149442E-2</v>
      </c>
      <c r="O5642">
        <v>-3.055342E-3</v>
      </c>
      <c r="P5642">
        <v>0.99648639999999999</v>
      </c>
      <c r="Q5642">
        <v>-8.2665089999999997E-2</v>
      </c>
      <c r="R5642">
        <v>-1.3474389999999999E-2</v>
      </c>
      <c r="S5642">
        <v>2.9984440000000001</v>
      </c>
      <c r="T5642">
        <v>-0.15747</v>
      </c>
      <c r="U5642">
        <v>6.3751219999999997E-2</v>
      </c>
      <c r="V5642">
        <v>1.0449109999999999E-2</v>
      </c>
      <c r="W5642">
        <v>-7.1202299999999996E-2</v>
      </c>
      <c r="X5642">
        <v>0.99740709999999999</v>
      </c>
      <c r="Y5642">
        <v>-2.4268060000000001E-2</v>
      </c>
      <c r="Z5642">
        <v>9.0157940000000004E-4</v>
      </c>
      <c r="AA5642">
        <v>0.99970510000000001</v>
      </c>
      <c r="AB5642">
        <v>21</v>
      </c>
      <c r="AC5642">
        <v>22.084199999999999</v>
      </c>
      <c r="AD5642">
        <v>-1.170995</v>
      </c>
      <c r="AE5642">
        <v>0.47453000000000101</v>
      </c>
      <c r="AF5642">
        <v>-0.54048811309042699</v>
      </c>
      <c r="AG5642">
        <v>-1.170995</v>
      </c>
      <c r="AH5642">
        <v>22.020762923680898</v>
      </c>
      <c r="AI5642">
        <v>93.043027791001194</v>
      </c>
      <c r="AJ5642">
        <v>91.406012656135999</v>
      </c>
      <c r="AK5642">
        <v>22.058498508089301</v>
      </c>
      <c r="AL5642">
        <v>94.083046522726903</v>
      </c>
      <c r="AM5642">
        <v>89.3997756767765</v>
      </c>
      <c r="AN5642">
        <v>0.99999993727774295</v>
      </c>
    </row>
    <row r="5643" spans="1:40" x14ac:dyDescent="0.25">
      <c r="A5643" t="str">
        <f>"20190303154631761"</f>
        <v>20190303154631761</v>
      </c>
      <c r="B5643" t="str">
        <f>"1551599191756562"</f>
        <v>1551599191756562</v>
      </c>
      <c r="C5643" t="s">
        <v>40</v>
      </c>
      <c r="D5643">
        <v>5.3371890000000004</v>
      </c>
      <c r="E5643">
        <v>0.48264109999999999</v>
      </c>
      <c r="F5643" t="s">
        <v>43</v>
      </c>
      <c r="G5643">
        <v>-315.5616</v>
      </c>
      <c r="H5643">
        <v>-0.05</v>
      </c>
      <c r="I5643">
        <v>18.39404</v>
      </c>
      <c r="J5643">
        <v>-336.71390000000002</v>
      </c>
      <c r="K5643">
        <v>1.121</v>
      </c>
      <c r="L5643">
        <v>17.796879999999899</v>
      </c>
      <c r="M5643">
        <v>0.99992990000000004</v>
      </c>
      <c r="N5643">
        <v>-1.1507699999999999E-2</v>
      </c>
      <c r="O5643">
        <v>-2.8298759999999998E-3</v>
      </c>
      <c r="P5643">
        <v>0.99647140000000001</v>
      </c>
      <c r="Q5643">
        <v>-8.2765119999999998E-2</v>
      </c>
      <c r="R5643">
        <v>-1.39556E-2</v>
      </c>
      <c r="S5643">
        <v>2.9981080000000002</v>
      </c>
      <c r="T5643">
        <v>-0.16430910000000001</v>
      </c>
      <c r="U5643">
        <v>8.3740229999999999E-2</v>
      </c>
      <c r="V5643">
        <v>1.115535E-2</v>
      </c>
      <c r="W5643">
        <v>-7.1289069999999996E-2</v>
      </c>
      <c r="X5643">
        <v>0.99739330000000004</v>
      </c>
      <c r="Y5643">
        <v>-3.069063E-2</v>
      </c>
      <c r="Z5643">
        <v>1.1393880000000001E-3</v>
      </c>
      <c r="AA5643">
        <v>0.99952830000000004</v>
      </c>
      <c r="AB5643">
        <v>21</v>
      </c>
      <c r="AC5643">
        <v>21.1523</v>
      </c>
      <c r="AD5643">
        <v>-1.171</v>
      </c>
      <c r="AE5643">
        <v>0.59716000000000202</v>
      </c>
      <c r="AF5643">
        <v>-0.65501407928407895</v>
      </c>
      <c r="AG5643">
        <v>-1.171</v>
      </c>
      <c r="AH5643">
        <v>21.0859530556537</v>
      </c>
      <c r="AI5643">
        <v>93.177103836127699</v>
      </c>
      <c r="AJ5643">
        <v>91.779264019755303</v>
      </c>
      <c r="AK5643">
        <v>21.1285991184767</v>
      </c>
      <c r="AL5643">
        <v>94.088030551968799</v>
      </c>
      <c r="AM5643">
        <v>89.359201806638794</v>
      </c>
      <c r="AN5643">
        <v>0.99999998410998803</v>
      </c>
    </row>
    <row r="5644" spans="1:40" x14ac:dyDescent="0.25">
      <c r="A5644" t="str">
        <f>"20190303154631782"</f>
        <v>20190303154631782</v>
      </c>
      <c r="B5644" t="str">
        <f>"1551599191777058"</f>
        <v>1551599191777058</v>
      </c>
      <c r="C5644" t="s">
        <v>40</v>
      </c>
      <c r="D5644">
        <v>5.3004800000000003</v>
      </c>
      <c r="E5644">
        <v>0.48170350000000001</v>
      </c>
      <c r="F5644" t="s">
        <v>43</v>
      </c>
      <c r="G5644">
        <v>-316.44549999999998</v>
      </c>
      <c r="H5644">
        <v>-0.05</v>
      </c>
      <c r="I5644">
        <v>18.446470000000001</v>
      </c>
      <c r="J5644">
        <v>-336.51060000000001</v>
      </c>
      <c r="K5644">
        <v>1.1209929999999999</v>
      </c>
      <c r="L5644">
        <v>17.79654</v>
      </c>
      <c r="M5644">
        <v>0.99993019999999999</v>
      </c>
      <c r="N5644">
        <v>-1.151836E-2</v>
      </c>
      <c r="O5644">
        <v>-2.6157239999999998E-3</v>
      </c>
      <c r="P5644">
        <v>0.99638289999999996</v>
      </c>
      <c r="Q5644">
        <v>-8.3704600000000004E-2</v>
      </c>
      <c r="R5644">
        <v>-1.4648420000000001E-2</v>
      </c>
      <c r="S5644">
        <v>2.9975589999999999</v>
      </c>
      <c r="T5644">
        <v>-0.173183</v>
      </c>
      <c r="U5644">
        <v>9.6069340000000003E-2</v>
      </c>
      <c r="V5644">
        <v>1.206199E-2</v>
      </c>
      <c r="W5644">
        <v>-7.2218630000000006E-2</v>
      </c>
      <c r="X5644">
        <v>0.99731590000000003</v>
      </c>
      <c r="Y5644">
        <v>-3.4575290000000002E-2</v>
      </c>
      <c r="Z5644">
        <v>1.3179400000000001E-3</v>
      </c>
      <c r="AA5644">
        <v>0.99940119999999999</v>
      </c>
      <c r="AB5644">
        <v>21</v>
      </c>
      <c r="AC5644">
        <v>20.065100000000001</v>
      </c>
      <c r="AD5644">
        <v>-1.170993</v>
      </c>
      <c r="AE5644">
        <v>0.64993000000000101</v>
      </c>
      <c r="AF5644">
        <v>-0.700034308697006</v>
      </c>
      <c r="AG5644">
        <v>-1.170993</v>
      </c>
      <c r="AH5644">
        <v>19.9953015089337</v>
      </c>
      <c r="AI5644">
        <v>93.349560503962394</v>
      </c>
      <c r="AJ5644">
        <v>92.005102862552903</v>
      </c>
      <c r="AK5644">
        <v>20.041790216259798</v>
      </c>
      <c r="AL5644">
        <v>94.1414279376515</v>
      </c>
      <c r="AM5644">
        <v>89.307072688436804</v>
      </c>
      <c r="AN5644">
        <v>1.0000000132573199</v>
      </c>
    </row>
    <row r="5645" spans="1:40" x14ac:dyDescent="0.25">
      <c r="A5645" t="str">
        <f>"20190303154631805"</f>
        <v>20190303154631805</v>
      </c>
      <c r="B5645" t="str">
        <f>"1551599191796578"</f>
        <v>1551599191796578</v>
      </c>
      <c r="C5645" t="s">
        <v>40</v>
      </c>
      <c r="D5645">
        <v>5.2336720000000003</v>
      </c>
      <c r="E5645">
        <v>0.48096800000000001</v>
      </c>
      <c r="F5645" t="s">
        <v>43</v>
      </c>
      <c r="G5645">
        <v>-317.03280000000001</v>
      </c>
      <c r="H5645">
        <v>-0.05</v>
      </c>
      <c r="I5645">
        <v>18.455960000000001</v>
      </c>
      <c r="J5645">
        <v>-336.29739999999998</v>
      </c>
      <c r="K5645">
        <v>1.120992</v>
      </c>
      <c r="L5645">
        <v>17.79626</v>
      </c>
      <c r="M5645">
        <v>0.99993069999999895</v>
      </c>
      <c r="N5645">
        <v>-1.152911E-2</v>
      </c>
      <c r="O5645">
        <v>-2.391088E-3</v>
      </c>
      <c r="P5645">
        <v>0.9964191</v>
      </c>
      <c r="Q5645">
        <v>-8.3349790000000007E-2</v>
      </c>
      <c r="R5645">
        <v>-1.421013E-2</v>
      </c>
      <c r="S5645">
        <v>2.997223</v>
      </c>
      <c r="T5645">
        <v>-0.1801912</v>
      </c>
      <c r="U5645">
        <v>0.1014709</v>
      </c>
      <c r="V5645">
        <v>1.1847140000000001E-2</v>
      </c>
      <c r="W5645">
        <v>-7.1852810000000003E-2</v>
      </c>
      <c r="X5645">
        <v>0.99734489999999998</v>
      </c>
      <c r="Y5645">
        <v>-3.6144849999999999E-2</v>
      </c>
      <c r="Z5645">
        <v>1.409904E-3</v>
      </c>
      <c r="AA5645">
        <v>0.9993455</v>
      </c>
      <c r="AB5645">
        <v>21</v>
      </c>
      <c r="AC5645">
        <v>19.264599999999898</v>
      </c>
      <c r="AD5645">
        <v>-1.170992</v>
      </c>
      <c r="AE5645">
        <v>0.65969999999999995</v>
      </c>
      <c r="AF5645">
        <v>-0.70316951918568404</v>
      </c>
      <c r="AG5645">
        <v>-1.170992</v>
      </c>
      <c r="AH5645">
        <v>19.1921398561357</v>
      </c>
      <c r="AI5645">
        <v>93.489189294704005</v>
      </c>
      <c r="AJ5645">
        <v>92.098287792458507</v>
      </c>
      <c r="AK5645">
        <v>19.240683509019298</v>
      </c>
      <c r="AL5645">
        <v>94.120413392690196</v>
      </c>
      <c r="AM5645">
        <v>89.319433831253704</v>
      </c>
      <c r="AN5645">
        <v>1.00000001529354</v>
      </c>
    </row>
    <row r="5646" spans="1:40" x14ac:dyDescent="0.25">
      <c r="A5646" t="str">
        <f>"20190303154631828"</f>
        <v>20190303154631828</v>
      </c>
      <c r="B5646" t="str">
        <f>"1551599191817075"</f>
        <v>1551599191817075</v>
      </c>
      <c r="C5646" t="s">
        <v>40</v>
      </c>
      <c r="D5646">
        <v>5.2370140000000003</v>
      </c>
      <c r="E5646">
        <v>0.48010950000000002</v>
      </c>
      <c r="F5646" t="s">
        <v>43</v>
      </c>
      <c r="G5646">
        <v>-317.4008</v>
      </c>
      <c r="H5646">
        <v>-0.05</v>
      </c>
      <c r="I5646">
        <v>18.48169</v>
      </c>
      <c r="J5646">
        <v>-336.08600000000001</v>
      </c>
      <c r="K5646">
        <v>1.120992</v>
      </c>
      <c r="L5646">
        <v>17.796019999999999</v>
      </c>
      <c r="M5646">
        <v>0.99993120000000002</v>
      </c>
      <c r="N5646">
        <v>-1.154084E-2</v>
      </c>
      <c r="O5646">
        <v>-2.1678859999999999E-3</v>
      </c>
      <c r="P5646">
        <v>0.99644169999999999</v>
      </c>
      <c r="Q5646">
        <v>-8.3180840000000006E-2</v>
      </c>
      <c r="R5646">
        <v>-1.362319E-2</v>
      </c>
      <c r="S5646">
        <v>2.996826</v>
      </c>
      <c r="T5646">
        <v>-0.18570880000000001</v>
      </c>
      <c r="U5646">
        <v>0.1087036</v>
      </c>
      <c r="V5646">
        <v>1.148236E-2</v>
      </c>
      <c r="W5646">
        <v>-7.1672059999999996E-2</v>
      </c>
      <c r="X5646">
        <v>0.99736210000000003</v>
      </c>
      <c r="Y5646">
        <v>-3.8325709999999999E-2</v>
      </c>
      <c r="Z5646">
        <v>1.5166299999999999E-3</v>
      </c>
      <c r="AA5646">
        <v>0.99926409999999999</v>
      </c>
      <c r="AB5646">
        <v>21</v>
      </c>
      <c r="AC5646">
        <v>18.685199999999998</v>
      </c>
      <c r="AD5646">
        <v>-1.170992</v>
      </c>
      <c r="AE5646">
        <v>0.685669999999998</v>
      </c>
      <c r="AF5646">
        <v>-0.72334138612740595</v>
      </c>
      <c r="AG5646">
        <v>-1.170992</v>
      </c>
      <c r="AH5646">
        <v>18.610675046639201</v>
      </c>
      <c r="AI5646">
        <v>93.597620675062004</v>
      </c>
      <c r="AJ5646">
        <v>92.225795577152198</v>
      </c>
      <c r="AK5646">
        <v>18.661502370295601</v>
      </c>
      <c r="AL5646">
        <v>94.110030705773099</v>
      </c>
      <c r="AM5646">
        <v>89.340398333862296</v>
      </c>
      <c r="AN5646">
        <v>0.99999994364611</v>
      </c>
    </row>
    <row r="5647" spans="1:40" x14ac:dyDescent="0.25">
      <c r="A5647" t="str">
        <f>"20190303154631852"</f>
        <v>20190303154631852</v>
      </c>
      <c r="B5647" t="str">
        <f>"1551599191846926"</f>
        <v>1551599191846926</v>
      </c>
      <c r="C5647" t="s">
        <v>40</v>
      </c>
      <c r="D5647">
        <v>5.1719210000000002</v>
      </c>
      <c r="E5647">
        <v>0.4792981</v>
      </c>
      <c r="F5647" t="s">
        <v>43</v>
      </c>
      <c r="G5647">
        <v>-317.79410000000001</v>
      </c>
      <c r="H5647">
        <v>-0.05</v>
      </c>
      <c r="I5647">
        <v>18.512370000000001</v>
      </c>
      <c r="J5647">
        <v>-335.8603</v>
      </c>
      <c r="K5647">
        <v>1.1210039999999999</v>
      </c>
      <c r="L5647">
        <v>17.795839999999998</v>
      </c>
      <c r="M5647">
        <v>0.99993129999999997</v>
      </c>
      <c r="N5647">
        <v>-1.1558819999999999E-2</v>
      </c>
      <c r="O5647">
        <v>-1.928857E-3</v>
      </c>
      <c r="P5647">
        <v>0.99654299999999996</v>
      </c>
      <c r="Q5647">
        <v>-8.2036609999999996E-2</v>
      </c>
      <c r="R5647">
        <v>-1.311849E-2</v>
      </c>
      <c r="S5647">
        <v>2.9962770000000001</v>
      </c>
      <c r="T5647">
        <v>-0.19181319999999999</v>
      </c>
      <c r="U5647">
        <v>0.1173401</v>
      </c>
      <c r="V5647">
        <v>1.1215549999999999E-2</v>
      </c>
      <c r="W5647">
        <v>-7.0508909999999994E-2</v>
      </c>
      <c r="X5647">
        <v>0.99744809999999995</v>
      </c>
      <c r="Y5647">
        <v>-4.0957880000000002E-2</v>
      </c>
      <c r="Z5647">
        <v>1.6472990000000001E-3</v>
      </c>
      <c r="AA5647">
        <v>0.99915949999999998</v>
      </c>
      <c r="AB5647">
        <v>21</v>
      </c>
      <c r="AC5647">
        <v>18.066199999999899</v>
      </c>
      <c r="AD5647">
        <v>-1.1710039999999999</v>
      </c>
      <c r="AE5647">
        <v>0.716530000000002</v>
      </c>
      <c r="AF5647">
        <v>-0.748239475284047</v>
      </c>
      <c r="AG5647">
        <v>-1.1710039999999999</v>
      </c>
      <c r="AH5647">
        <v>17.989324460936601</v>
      </c>
      <c r="AI5647">
        <v>93.721170601070597</v>
      </c>
      <c r="AJ5647">
        <v>92.3817607580594</v>
      </c>
      <c r="AK5647">
        <v>18.042918479038899</v>
      </c>
      <c r="AL5647">
        <v>94.043217824912503</v>
      </c>
      <c r="AM5647">
        <v>89.355779413622898</v>
      </c>
      <c r="AN5647">
        <v>1.0000000035723999</v>
      </c>
    </row>
    <row r="5648" spans="1:40" x14ac:dyDescent="0.25">
      <c r="A5648" t="str">
        <f>"20190303154631874"</f>
        <v>20190303154631874</v>
      </c>
      <c r="B5648" t="str">
        <f>"1551599191867421"</f>
        <v>1551599191867421</v>
      </c>
      <c r="C5648" t="s">
        <v>40</v>
      </c>
      <c r="D5648">
        <v>5.1261609999999997</v>
      </c>
      <c r="E5648">
        <v>0.47894019999999998</v>
      </c>
      <c r="F5648" t="s">
        <v>43</v>
      </c>
      <c r="G5648">
        <v>-317.4203</v>
      </c>
      <c r="H5648">
        <v>-0.05</v>
      </c>
      <c r="I5648">
        <v>18.567170000000001</v>
      </c>
      <c r="J5648">
        <v>-335.64879999999999</v>
      </c>
      <c r="K5648">
        <v>1.121011</v>
      </c>
      <c r="L5648">
        <v>17.795679999999901</v>
      </c>
      <c r="M5648">
        <v>0.99993149999999997</v>
      </c>
      <c r="N5648">
        <v>-1.1580760000000001E-2</v>
      </c>
      <c r="O5648">
        <v>-1.70498E-3</v>
      </c>
      <c r="P5648">
        <v>0.99657870000000004</v>
      </c>
      <c r="Q5648">
        <v>-8.1706119999999993E-2</v>
      </c>
      <c r="R5648">
        <v>-1.2456800000000001E-2</v>
      </c>
      <c r="S5648">
        <v>2.9963679999999999</v>
      </c>
      <c r="T5648">
        <v>-0.19027959999999999</v>
      </c>
      <c r="U5648">
        <v>0.12533569999999999</v>
      </c>
      <c r="V5648">
        <v>1.0777149999999999E-2</v>
      </c>
      <c r="W5648">
        <v>-7.0156270000000007E-2</v>
      </c>
      <c r="X5648">
        <v>0.99747779999999997</v>
      </c>
      <c r="Y5648">
        <v>-4.3390699999999997E-2</v>
      </c>
      <c r="Z5648">
        <v>1.715804E-3</v>
      </c>
      <c r="AA5648">
        <v>0.99905670000000002</v>
      </c>
      <c r="AB5648">
        <v>21</v>
      </c>
      <c r="AC5648">
        <v>18.2285</v>
      </c>
      <c r="AD5648">
        <v>-1.171011</v>
      </c>
      <c r="AE5648">
        <v>0.77149000000000301</v>
      </c>
      <c r="AF5648">
        <v>-0.79927757893682505</v>
      </c>
      <c r="AG5648">
        <v>-1.171011</v>
      </c>
      <c r="AH5648">
        <v>18.1523795968366</v>
      </c>
      <c r="AI5648">
        <v>93.687476396578802</v>
      </c>
      <c r="AJ5648">
        <v>92.521194010349703</v>
      </c>
      <c r="AK5648">
        <v>18.207663124024499</v>
      </c>
      <c r="AL5648">
        <v>94.022962874677802</v>
      </c>
      <c r="AM5648">
        <v>89.380977517025897</v>
      </c>
      <c r="AN5648">
        <v>1.0000000053376299</v>
      </c>
    </row>
    <row r="5649" spans="1:40" x14ac:dyDescent="0.25">
      <c r="A5649" t="str">
        <f>"20190303154631896"</f>
        <v>20190303154631896</v>
      </c>
      <c r="B5649" t="str">
        <f>"1551599191886940"</f>
        <v>1551599191886940</v>
      </c>
      <c r="C5649" t="s">
        <v>40</v>
      </c>
      <c r="D5649">
        <v>5.0616979999999998</v>
      </c>
      <c r="E5649">
        <v>0.47884460000000001</v>
      </c>
      <c r="F5649" t="s">
        <v>43</v>
      </c>
      <c r="G5649">
        <v>-317.18639999999999</v>
      </c>
      <c r="H5649">
        <v>-0.05</v>
      </c>
      <c r="I5649">
        <v>18.597670000000001</v>
      </c>
      <c r="J5649">
        <v>-335.44130000000001</v>
      </c>
      <c r="K5649">
        <v>1.1210209999999901</v>
      </c>
      <c r="L5649">
        <v>17.795590000000001</v>
      </c>
      <c r="M5649">
        <v>0.99993149999999997</v>
      </c>
      <c r="N5649">
        <v>-1.160601E-2</v>
      </c>
      <c r="O5649">
        <v>-1.4849310000000001E-3</v>
      </c>
      <c r="P5649">
        <v>0.99657419999999997</v>
      </c>
      <c r="Q5649">
        <v>-8.1740460000000001E-2</v>
      </c>
      <c r="R5649">
        <v>-1.25816E-2</v>
      </c>
      <c r="S5649">
        <v>2.9963069999999998</v>
      </c>
      <c r="T5649">
        <v>-0.1900464</v>
      </c>
      <c r="U5649">
        <v>0.13015750000000001</v>
      </c>
      <c r="V5649">
        <v>1.112144E-2</v>
      </c>
      <c r="W5649">
        <v>-7.0165370000000005E-2</v>
      </c>
      <c r="X5649">
        <v>0.99747339999999995</v>
      </c>
      <c r="Y5649">
        <v>-4.4773670000000002E-2</v>
      </c>
      <c r="Z5649">
        <v>1.7549309999999999E-3</v>
      </c>
      <c r="AA5649">
        <v>0.99899559999999998</v>
      </c>
      <c r="AB5649">
        <v>21</v>
      </c>
      <c r="AC5649">
        <v>18.254899999999999</v>
      </c>
      <c r="AD5649">
        <v>-1.1710210000000001</v>
      </c>
      <c r="AE5649">
        <v>0.80208000000000002</v>
      </c>
      <c r="AF5649">
        <v>-0.82579659939236205</v>
      </c>
      <c r="AG5649">
        <v>-1.1710210000000001</v>
      </c>
      <c r="AH5649">
        <v>18.179026098209999</v>
      </c>
      <c r="AI5649">
        <v>93.681889066686395</v>
      </c>
      <c r="AJ5649">
        <v>92.600917960291895</v>
      </c>
      <c r="AK5649">
        <v>18.235411157563998</v>
      </c>
      <c r="AL5649">
        <v>94.023485476515901</v>
      </c>
      <c r="AM5649">
        <v>89.361200838696007</v>
      </c>
      <c r="AN5649">
        <v>1.0000000246412299</v>
      </c>
    </row>
    <row r="5650" spans="1:40" x14ac:dyDescent="0.25">
      <c r="A5650" t="str">
        <f>"20190303154631917"</f>
        <v>20190303154631917</v>
      </c>
      <c r="B5650" t="str">
        <f>"1551599191907437"</f>
        <v>1551599191907437</v>
      </c>
      <c r="C5650" t="s">
        <v>40</v>
      </c>
      <c r="D5650">
        <v>5.1012329999999997</v>
      </c>
      <c r="E5650">
        <v>0.47853859999999898</v>
      </c>
      <c r="F5650" t="s">
        <v>43</v>
      </c>
      <c r="G5650">
        <v>-316.78730000000002</v>
      </c>
      <c r="H5650">
        <v>-0.05</v>
      </c>
      <c r="I5650">
        <v>18.607939999999999</v>
      </c>
      <c r="J5650">
        <v>-335.24579999999997</v>
      </c>
      <c r="K5650">
        <v>1.1210249999999999</v>
      </c>
      <c r="L5650">
        <v>17.795559999999998</v>
      </c>
      <c r="M5650">
        <v>0.99993160000000003</v>
      </c>
      <c r="N5650">
        <v>-1.163338E-2</v>
      </c>
      <c r="O5650">
        <v>-1.276454E-3</v>
      </c>
      <c r="P5650">
        <v>0.99659209999999998</v>
      </c>
      <c r="Q5650">
        <v>-8.1563140000000006E-2</v>
      </c>
      <c r="R5650">
        <v>-1.2317059999999999E-2</v>
      </c>
      <c r="S5650">
        <v>2.9965519999999999</v>
      </c>
      <c r="T5650">
        <v>-0.1881111</v>
      </c>
      <c r="U5650">
        <v>0.1304932</v>
      </c>
      <c r="V5650">
        <v>1.1064910000000001E-2</v>
      </c>
      <c r="W5650">
        <v>-6.9960560000000005E-2</v>
      </c>
      <c r="X5650">
        <v>0.99748840000000005</v>
      </c>
      <c r="Y5650">
        <v>-4.467608E-2</v>
      </c>
      <c r="Z5650">
        <v>1.725734E-3</v>
      </c>
      <c r="AA5650">
        <v>0.999</v>
      </c>
      <c r="AB5650">
        <v>21</v>
      </c>
      <c r="AC5650">
        <v>18.458499999999901</v>
      </c>
      <c r="AD5650">
        <v>-1.171025</v>
      </c>
      <c r="AE5650">
        <v>0.81237999999999699</v>
      </c>
      <c r="AF5650">
        <v>-0.83259783219359795</v>
      </c>
      <c r="AG5650">
        <v>-1.171025</v>
      </c>
      <c r="AH5650">
        <v>18.383601459538198</v>
      </c>
      <c r="AI5650">
        <v>93.641061993991897</v>
      </c>
      <c r="AJ5650">
        <v>92.593167876012899</v>
      </c>
      <c r="AK5650">
        <v>18.439667061092401</v>
      </c>
      <c r="AL5650">
        <v>94.011721878015294</v>
      </c>
      <c r="AM5650">
        <v>89.364457128263098</v>
      </c>
      <c r="AN5650">
        <v>1.0000000101616899</v>
      </c>
    </row>
    <row r="5651" spans="1:40" x14ac:dyDescent="0.25">
      <c r="A5651" t="str">
        <f>"20190303154631939"</f>
        <v>20190303154631939</v>
      </c>
      <c r="B5651" t="str">
        <f>"1551599191936717"</f>
        <v>1551599191936717</v>
      </c>
      <c r="C5651" t="s">
        <v>40</v>
      </c>
      <c r="D5651">
        <v>5.0821519999999998</v>
      </c>
      <c r="E5651">
        <v>0.4780375</v>
      </c>
      <c r="F5651" t="s">
        <v>43</v>
      </c>
      <c r="G5651">
        <v>-316.66120000000001</v>
      </c>
      <c r="H5651">
        <v>-0.05</v>
      </c>
      <c r="I5651">
        <v>18.624970000000001</v>
      </c>
      <c r="J5651">
        <v>-335.02730000000003</v>
      </c>
      <c r="K5651">
        <v>1.121035</v>
      </c>
      <c r="L5651">
        <v>17.795559999999998</v>
      </c>
      <c r="M5651">
        <v>0.99993129999999997</v>
      </c>
      <c r="N5651">
        <v>-1.167149E-2</v>
      </c>
      <c r="O5651">
        <v>-1.038338E-3</v>
      </c>
      <c r="P5651">
        <v>0.99660800000000005</v>
      </c>
      <c r="Q5651">
        <v>-8.1422430000000004E-2</v>
      </c>
      <c r="R5651">
        <v>-1.19577E-2</v>
      </c>
      <c r="S5651">
        <v>2.996429</v>
      </c>
      <c r="T5651">
        <v>-0.1888068</v>
      </c>
      <c r="U5651">
        <v>0.13372800000000001</v>
      </c>
      <c r="V5651">
        <v>1.094321E-2</v>
      </c>
      <c r="W5651">
        <v>-6.9781650000000001E-2</v>
      </c>
      <c r="X5651">
        <v>0.99750229999999995</v>
      </c>
      <c r="Y5651">
        <v>-4.5513909999999998E-2</v>
      </c>
      <c r="Z5651">
        <v>1.751084E-3</v>
      </c>
      <c r="AA5651">
        <v>0.99896220000000002</v>
      </c>
      <c r="AB5651">
        <v>21</v>
      </c>
      <c r="AC5651">
        <v>18.366099999999999</v>
      </c>
      <c r="AD5651">
        <v>-1.171035</v>
      </c>
      <c r="AE5651">
        <v>0.82940999999999898</v>
      </c>
      <c r="AF5651">
        <v>-0.84505256732150202</v>
      </c>
      <c r="AG5651">
        <v>-1.171035</v>
      </c>
      <c r="AH5651">
        <v>18.291019422877898</v>
      </c>
      <c r="AI5651">
        <v>93.659321217134405</v>
      </c>
      <c r="AJ5651">
        <v>92.645207437480593</v>
      </c>
      <c r="AK5651">
        <v>18.347937986075099</v>
      </c>
      <c r="AL5651">
        <v>94.001445874566002</v>
      </c>
      <c r="AM5651">
        <v>89.371455489274993</v>
      </c>
      <c r="AN5651">
        <v>1.0000000355135501</v>
      </c>
    </row>
    <row r="5652" spans="1:40" x14ac:dyDescent="0.25">
      <c r="A5652" t="str">
        <f>"20190303154631962"</f>
        <v>20190303154631962</v>
      </c>
      <c r="B5652" t="str">
        <f>"1551599191957212"</f>
        <v>1551599191957212</v>
      </c>
      <c r="C5652" t="s">
        <v>40</v>
      </c>
      <c r="D5652">
        <v>4.9835739999999999</v>
      </c>
      <c r="E5652">
        <v>0.47792990000000002</v>
      </c>
      <c r="F5652" t="s">
        <v>43</v>
      </c>
      <c r="G5652">
        <v>-316.97800000000001</v>
      </c>
      <c r="H5652">
        <v>-0.05</v>
      </c>
      <c r="I5652">
        <v>18.632259999999999</v>
      </c>
      <c r="J5652">
        <v>-334.81639999999999</v>
      </c>
      <c r="K5652">
        <v>1.1210450000000001</v>
      </c>
      <c r="L5652">
        <v>17.79562</v>
      </c>
      <c r="M5652">
        <v>0.99993109999999996</v>
      </c>
      <c r="N5652">
        <v>-1.171931E-2</v>
      </c>
      <c r="O5652">
        <v>-8.1175970000000003E-4</v>
      </c>
      <c r="P5652">
        <v>0.99665040000000005</v>
      </c>
      <c r="Q5652">
        <v>-8.0963220000000002E-2</v>
      </c>
      <c r="R5652">
        <v>-1.15329E-2</v>
      </c>
      <c r="S5652">
        <v>2.9960019999999998</v>
      </c>
      <c r="T5652">
        <v>-0.194381</v>
      </c>
      <c r="U5652">
        <v>0.1388855</v>
      </c>
      <c r="V5652">
        <v>1.0744190000000001E-2</v>
      </c>
      <c r="W5652">
        <v>-6.9274349999999998E-2</v>
      </c>
      <c r="X5652">
        <v>0.99753979999999998</v>
      </c>
      <c r="Y5652">
        <v>-4.7000510000000002E-2</v>
      </c>
      <c r="Z5652">
        <v>1.8412719999999999E-3</v>
      </c>
      <c r="AA5652">
        <v>0.99889309999999998</v>
      </c>
      <c r="AB5652">
        <v>21</v>
      </c>
      <c r="AC5652">
        <v>17.838399999999901</v>
      </c>
      <c r="AD5652">
        <v>-1.1710449999999999</v>
      </c>
      <c r="AE5652">
        <v>0.83664000000000205</v>
      </c>
      <c r="AF5652">
        <v>-0.84747695454541705</v>
      </c>
      <c r="AG5652">
        <v>-1.1710449999999999</v>
      </c>
      <c r="AH5652">
        <v>17.761338943679601</v>
      </c>
      <c r="AI5652">
        <v>93.767905514079601</v>
      </c>
      <c r="AJ5652">
        <v>92.731779032207797</v>
      </c>
      <c r="AK5652">
        <v>17.820065225828401</v>
      </c>
      <c r="AL5652">
        <v>93.9723093056663</v>
      </c>
      <c r="AM5652">
        <v>89.382908894176296</v>
      </c>
      <c r="AN5652">
        <v>1.0000000128853499</v>
      </c>
    </row>
    <row r="5653" spans="1:40" x14ac:dyDescent="0.25">
      <c r="A5653" t="str">
        <f>"20190303154631974"</f>
        <v>20190303154631974</v>
      </c>
      <c r="B5653" t="str">
        <f>"1551599191966973"</f>
        <v>1551599191966973</v>
      </c>
      <c r="C5653" t="s">
        <v>40</v>
      </c>
      <c r="D5653">
        <v>5.1082609999999997</v>
      </c>
      <c r="E5653">
        <v>0.47792990000000002</v>
      </c>
      <c r="F5653" t="s">
        <v>43</v>
      </c>
      <c r="G5653">
        <v>-316.48910000000001</v>
      </c>
      <c r="H5653">
        <v>-0.05</v>
      </c>
      <c r="I5653">
        <v>18.65823</v>
      </c>
      <c r="J5653">
        <v>-334.6979</v>
      </c>
      <c r="K5653">
        <v>1.121049</v>
      </c>
      <c r="L5653">
        <v>17.795649999999998</v>
      </c>
      <c r="M5653">
        <v>0.99993080000000001</v>
      </c>
      <c r="N5653">
        <v>-1.175671E-2</v>
      </c>
      <c r="O5653">
        <v>-6.9412679999999896E-4</v>
      </c>
      <c r="P5653">
        <v>0.99670829999999999</v>
      </c>
      <c r="Q5653">
        <v>-8.0294679999999993E-2</v>
      </c>
      <c r="R5653">
        <v>-1.1212639999999999E-2</v>
      </c>
      <c r="S5653">
        <v>2.9961549999999999</v>
      </c>
      <c r="T5653">
        <v>-0.19144340000000001</v>
      </c>
      <c r="U5653">
        <v>0.1410217</v>
      </c>
      <c r="V5653">
        <v>1.054039E-2</v>
      </c>
      <c r="W5653">
        <v>-6.8568039999999997E-2</v>
      </c>
      <c r="X5653">
        <v>0.9975908</v>
      </c>
      <c r="Y5653">
        <v>-4.7593249999999997E-2</v>
      </c>
      <c r="Z5653">
        <v>1.8345359999999999E-3</v>
      </c>
      <c r="AA5653">
        <v>0.99886509999999995</v>
      </c>
      <c r="AB5653">
        <v>21</v>
      </c>
      <c r="AC5653">
        <v>18.2088</v>
      </c>
      <c r="AD5653">
        <v>-1.171049</v>
      </c>
      <c r="AE5653">
        <v>0.86258000000000101</v>
      </c>
      <c r="AF5653">
        <v>-0.87162286197227101</v>
      </c>
      <c r="AG5653">
        <v>-1.171049</v>
      </c>
      <c r="AH5653">
        <v>18.133363967477599</v>
      </c>
      <c r="AI5653">
        <v>93.690769421030396</v>
      </c>
      <c r="AJ5653">
        <v>92.751938513073895</v>
      </c>
      <c r="AK5653">
        <v>18.192030424087601</v>
      </c>
      <c r="AL5653">
        <v>93.931744156865705</v>
      </c>
      <c r="AM5653">
        <v>89.394644187132897</v>
      </c>
      <c r="AN5653">
        <v>1.00000004008771</v>
      </c>
    </row>
    <row r="5654" spans="1:40" x14ac:dyDescent="0.25">
      <c r="A5654" t="str">
        <f>"20190303154631987"</f>
        <v>20190303154631987</v>
      </c>
      <c r="B5654" t="str">
        <f>"1551599191976732"</f>
        <v>1551599191976732</v>
      </c>
      <c r="C5654" t="s">
        <v>40</v>
      </c>
      <c r="D5654">
        <v>5.0338010000000004</v>
      </c>
      <c r="E5654">
        <v>0.47560970000000002</v>
      </c>
      <c r="F5654" t="s">
        <v>43</v>
      </c>
      <c r="G5654">
        <v>-316.17250000000001</v>
      </c>
      <c r="H5654">
        <v>-0.05</v>
      </c>
      <c r="I5654">
        <v>18.67342</v>
      </c>
      <c r="J5654">
        <v>-334.57859999999999</v>
      </c>
      <c r="K5654">
        <v>1.1210580000000001</v>
      </c>
      <c r="L5654">
        <v>17.795750000000002</v>
      </c>
      <c r="M5654">
        <v>0.99993030000000005</v>
      </c>
      <c r="N5654">
        <v>-1.179735E-2</v>
      </c>
      <c r="O5654">
        <v>-5.8057529999999897E-4</v>
      </c>
      <c r="P5654">
        <v>0.9967509</v>
      </c>
      <c r="Q5654">
        <v>-7.9776589999999994E-2</v>
      </c>
      <c r="R5654">
        <v>-1.111725E-2</v>
      </c>
      <c r="S5654">
        <v>2.9962770000000001</v>
      </c>
      <c r="T5654">
        <v>-0.1894045</v>
      </c>
      <c r="U5654">
        <v>0.14196779999999901</v>
      </c>
      <c r="V5654">
        <v>1.055704E-2</v>
      </c>
      <c r="W5654">
        <v>-6.8009029999999998E-2</v>
      </c>
      <c r="X5654">
        <v>0.99762890000000004</v>
      </c>
      <c r="Y5654">
        <v>-4.7794469999999999E-2</v>
      </c>
      <c r="Z5654">
        <v>1.820501E-3</v>
      </c>
      <c r="AA5654">
        <v>0.99885550000000001</v>
      </c>
      <c r="AB5654">
        <v>21</v>
      </c>
      <c r="AC5654">
        <v>18.406099999999899</v>
      </c>
      <c r="AD5654">
        <v>-1.1710579999999999</v>
      </c>
      <c r="AE5654">
        <v>0.87766999999999795</v>
      </c>
      <c r="AF5654">
        <v>-0.88478330411000194</v>
      </c>
      <c r="AG5654">
        <v>-1.1710579999999999</v>
      </c>
      <c r="AH5654">
        <v>18.331550768548698</v>
      </c>
      <c r="AI5654">
        <v>93.650969433639304</v>
      </c>
      <c r="AJ5654">
        <v>92.763270787376001</v>
      </c>
      <c r="AK5654">
        <v>18.390214025793099</v>
      </c>
      <c r="AL5654">
        <v>93.899640259821894</v>
      </c>
      <c r="AM5654">
        <v>89.393711169112393</v>
      </c>
      <c r="AN5654">
        <v>1.0000000506851501</v>
      </c>
    </row>
    <row r="5655" spans="1:40" x14ac:dyDescent="0.25">
      <c r="A5655" t="str">
        <f>"20190303154632000"</f>
        <v>20190303154632000</v>
      </c>
      <c r="B5655" t="str">
        <f>"1551599191997229"</f>
        <v>1551599191997229</v>
      </c>
      <c r="C5655" t="s">
        <v>40</v>
      </c>
      <c r="D5655">
        <v>4.8851389999999997</v>
      </c>
      <c r="E5655">
        <v>0.38031749999999998</v>
      </c>
      <c r="F5655" t="s">
        <v>43</v>
      </c>
      <c r="G5655">
        <v>-315.9941</v>
      </c>
      <c r="H5655">
        <v>-0.05</v>
      </c>
      <c r="I5655">
        <v>18.793009999999999</v>
      </c>
      <c r="J5655">
        <v>-334.4581</v>
      </c>
      <c r="K5655">
        <v>1.1210629999999999</v>
      </c>
      <c r="L5655">
        <v>17.795809999999999</v>
      </c>
      <c r="M5655">
        <v>0.99992979999999998</v>
      </c>
      <c r="N5655">
        <v>-1.1841900000000001E-2</v>
      </c>
      <c r="O5655">
        <v>-4.7134990000000001E-4</v>
      </c>
      <c r="P5655">
        <v>0.99678319999999998</v>
      </c>
      <c r="Q5655">
        <v>-7.9410599999999998E-2</v>
      </c>
      <c r="R5655">
        <v>-1.083717E-2</v>
      </c>
      <c r="S5655">
        <v>2.996521</v>
      </c>
      <c r="T5655">
        <v>-0.18881829999999999</v>
      </c>
      <c r="U5655">
        <v>0.1607971</v>
      </c>
      <c r="V5655">
        <v>1.0385200000000001E-2</v>
      </c>
      <c r="W5655">
        <v>-6.7598409999999998E-2</v>
      </c>
      <c r="X5655">
        <v>0.99765859999999995</v>
      </c>
      <c r="Y5655">
        <v>-5.392748E-2</v>
      </c>
      <c r="Z5655">
        <v>2.0401479999999999E-3</v>
      </c>
      <c r="AA5655">
        <v>0.99854279999999995</v>
      </c>
      <c r="AB5655">
        <v>21</v>
      </c>
      <c r="AC5655">
        <v>18.463999999999999</v>
      </c>
      <c r="AD5655">
        <v>-1.171063</v>
      </c>
      <c r="AE5655">
        <v>0.99719999999999898</v>
      </c>
      <c r="AF5655">
        <v>-1.0018850230057801</v>
      </c>
      <c r="AG5655">
        <v>-1.171063</v>
      </c>
      <c r="AH5655">
        <v>18.389767995329802</v>
      </c>
      <c r="AI5655">
        <v>93.638302377715206</v>
      </c>
      <c r="AJ5655">
        <v>93.118423805558194</v>
      </c>
      <c r="AK5655">
        <v>18.454233364497899</v>
      </c>
      <c r="AL5655">
        <v>93.876059242616805</v>
      </c>
      <c r="AM5655">
        <v>89.403596943345903</v>
      </c>
      <c r="AN5655">
        <v>1.0000000397837601</v>
      </c>
    </row>
    <row r="5656" spans="1:40" x14ac:dyDescent="0.25">
      <c r="A5656" t="str">
        <f>"20190303154632017"</f>
        <v>20190303154632017</v>
      </c>
      <c r="B5656" t="str">
        <f>"1551599192006988"</f>
        <v>1551599192006988</v>
      </c>
      <c r="C5656" t="s">
        <v>40</v>
      </c>
      <c r="D5656">
        <v>4.8928729999999998</v>
      </c>
      <c r="E5656">
        <v>0.37357509999999999</v>
      </c>
      <c r="F5656" t="s">
        <v>43</v>
      </c>
      <c r="G5656">
        <v>-317.16359999999997</v>
      </c>
      <c r="H5656">
        <v>-0.05</v>
      </c>
      <c r="I5656">
        <v>23.102989999999998</v>
      </c>
      <c r="J5656">
        <v>-334.28949999999998</v>
      </c>
      <c r="K5656">
        <v>1.1210530000000001</v>
      </c>
      <c r="L5656">
        <v>17.7959</v>
      </c>
      <c r="M5656">
        <v>0.99992879999999995</v>
      </c>
      <c r="N5656">
        <v>-1.192621E-2</v>
      </c>
      <c r="O5656">
        <v>-3.2816449999999999E-4</v>
      </c>
      <c r="P5656">
        <v>0.99676690000000001</v>
      </c>
      <c r="Q5656">
        <v>-7.9599749999999997E-2</v>
      </c>
      <c r="R5656">
        <v>-1.095132E-2</v>
      </c>
      <c r="S5656">
        <v>3.0035099999999999</v>
      </c>
      <c r="T5656">
        <v>-0.2033769</v>
      </c>
      <c r="U5656">
        <v>0.92169190000000001</v>
      </c>
      <c r="V5656">
        <v>1.0639529999999999E-2</v>
      </c>
      <c r="W5656">
        <v>-6.7703979999999997E-2</v>
      </c>
      <c r="X5656">
        <v>0.99764870000000005</v>
      </c>
      <c r="Y5656">
        <v>-0.29295300000000002</v>
      </c>
      <c r="Z5656">
        <v>1.149122E-2</v>
      </c>
      <c r="AA5656">
        <v>0.95605779999999996</v>
      </c>
      <c r="AB5656">
        <v>21</v>
      </c>
      <c r="AC5656">
        <v>17.125900000000001</v>
      </c>
      <c r="AD5656">
        <v>-1.1710529999999999</v>
      </c>
      <c r="AE5656">
        <v>5.3070899999999899</v>
      </c>
      <c r="AF5656">
        <v>-5.2901423195829302</v>
      </c>
      <c r="AG5656">
        <v>-1.1710529999999999</v>
      </c>
      <c r="AH5656">
        <v>17.051415501766101</v>
      </c>
      <c r="AI5656">
        <v>93.752854047887794</v>
      </c>
      <c r="AJ5656">
        <v>107.23632148220599</v>
      </c>
      <c r="AK5656">
        <v>17.891555033146801</v>
      </c>
      <c r="AL5656">
        <v>93.882122085090003</v>
      </c>
      <c r="AM5656">
        <v>89.388986267548404</v>
      </c>
      <c r="AN5656">
        <v>0.99999997855907496</v>
      </c>
    </row>
    <row r="5657" spans="1:40" x14ac:dyDescent="0.25">
      <c r="A5657" t="str">
        <f>"20190303154632041"</f>
        <v>20190303154632041</v>
      </c>
      <c r="B5657" t="str">
        <f>"1551599192037245"</f>
        <v>1551599192037245</v>
      </c>
      <c r="C5657" t="s">
        <v>40</v>
      </c>
      <c r="D5657">
        <v>4.8434010000000001</v>
      </c>
      <c r="E5657">
        <v>0.3638903</v>
      </c>
      <c r="F5657" t="s">
        <v>43</v>
      </c>
      <c r="G5657">
        <v>-317.51170000000002</v>
      </c>
      <c r="H5657">
        <v>-0.05</v>
      </c>
      <c r="I5657">
        <v>23.242799999999999</v>
      </c>
      <c r="J5657">
        <v>-334.07319999999999</v>
      </c>
      <c r="K5657">
        <v>1.1210420000000001</v>
      </c>
      <c r="L5657">
        <v>17.79608</v>
      </c>
      <c r="M5657">
        <v>0.99992709999999996</v>
      </c>
      <c r="N5657">
        <v>-1.2069699999999999E-2</v>
      </c>
      <c r="O5657">
        <v>-1.6561869999999999E-4</v>
      </c>
      <c r="P5657">
        <v>0.99666999999999994</v>
      </c>
      <c r="Q5657">
        <v>-8.0694650000000007E-2</v>
      </c>
      <c r="R5657">
        <v>-1.1715440000000001E-2</v>
      </c>
      <c r="S5657">
        <v>3.0037229999999999</v>
      </c>
      <c r="T5657">
        <v>-0.2096536</v>
      </c>
      <c r="U5657">
        <v>0.97515870000000004</v>
      </c>
      <c r="V5657">
        <v>1.156157E-2</v>
      </c>
      <c r="W5657">
        <v>-6.8657369999999995E-2</v>
      </c>
      <c r="X5657">
        <v>0.9975733</v>
      </c>
      <c r="Y5657">
        <v>-0.30813669999999999</v>
      </c>
      <c r="Z5657">
        <v>1.2390450000000001E-2</v>
      </c>
      <c r="AA5657">
        <v>0.95126140000000003</v>
      </c>
      <c r="AB5657">
        <v>21</v>
      </c>
      <c r="AC5657">
        <v>16.561499999999899</v>
      </c>
      <c r="AD5657">
        <v>-1.1710419999999999</v>
      </c>
      <c r="AE5657">
        <v>5.4467199999999902</v>
      </c>
      <c r="AF5657">
        <v>-5.4249869634645602</v>
      </c>
      <c r="AG5657">
        <v>-1.1710419999999999</v>
      </c>
      <c r="AH5657">
        <v>16.486216334094198</v>
      </c>
      <c r="AI5657">
        <v>93.860035173264507</v>
      </c>
      <c r="AJ5657">
        <v>108.21440976181501</v>
      </c>
      <c r="AK5657">
        <v>17.3953198284504</v>
      </c>
      <c r="AL5657">
        <v>93.936874650326601</v>
      </c>
      <c r="AM5657">
        <v>89.335989136289697</v>
      </c>
      <c r="AN5657">
        <v>0.99999999661453598</v>
      </c>
    </row>
    <row r="5658" spans="1:40" x14ac:dyDescent="0.25">
      <c r="A5658" t="str">
        <f>"20190303154632065"</f>
        <v>20190303154632065</v>
      </c>
      <c r="B5658" t="str">
        <f>"1551599192057270"</f>
        <v>1551599192057270</v>
      </c>
      <c r="C5658" t="s">
        <v>40</v>
      </c>
      <c r="D5658">
        <v>4.8526759999999998</v>
      </c>
      <c r="E5658">
        <v>0.36116900000000002</v>
      </c>
      <c r="F5658" t="s">
        <v>43</v>
      </c>
      <c r="G5658">
        <v>-318.726</v>
      </c>
      <c r="H5658">
        <v>-0.05</v>
      </c>
      <c r="I5658">
        <v>23.161670000000001</v>
      </c>
      <c r="J5658">
        <v>-333.858</v>
      </c>
      <c r="K5658">
        <v>1.12103</v>
      </c>
      <c r="L5658">
        <v>17.796199999999999</v>
      </c>
      <c r="M5658">
        <v>0.99992519999999996</v>
      </c>
      <c r="N5658">
        <v>-1.223366E-2</v>
      </c>
      <c r="O5658" s="1">
        <v>-4.3590580000000001E-5</v>
      </c>
      <c r="P5658">
        <v>0.99652450000000004</v>
      </c>
      <c r="Q5658">
        <v>-8.2412589999999994E-2</v>
      </c>
      <c r="R5658">
        <v>-1.213447E-2</v>
      </c>
      <c r="S5658">
        <v>3.0038149999999999</v>
      </c>
      <c r="T5658">
        <v>-0.2292006</v>
      </c>
      <c r="U5658">
        <v>1.050171</v>
      </c>
      <c r="V5658">
        <v>1.20967E-2</v>
      </c>
      <c r="W5658">
        <v>-7.0214289999999999E-2</v>
      </c>
      <c r="X5658">
        <v>0.99745859999999997</v>
      </c>
      <c r="Y5658">
        <v>-0.32906299999999999</v>
      </c>
      <c r="Z5658">
        <v>1.4252910000000001E-2</v>
      </c>
      <c r="AA5658">
        <v>0.94420040000000005</v>
      </c>
      <c r="AB5658">
        <v>21</v>
      </c>
      <c r="AC5658">
        <v>15.132</v>
      </c>
      <c r="AD5658">
        <v>-1.17103</v>
      </c>
      <c r="AE5658">
        <v>5.3654700000000002</v>
      </c>
      <c r="AF5658">
        <v>-5.3377329635518302</v>
      </c>
      <c r="AG5658">
        <v>-1.17103</v>
      </c>
      <c r="AH5658">
        <v>15.051691216667299</v>
      </c>
      <c r="AI5658">
        <v>94.193782076769395</v>
      </c>
      <c r="AJ5658">
        <v>109.52587004438701</v>
      </c>
      <c r="AK5658">
        <v>16.012998249328199</v>
      </c>
      <c r="AL5658">
        <v>94.026295344044996</v>
      </c>
      <c r="AM5658">
        <v>89.305178300235497</v>
      </c>
      <c r="AN5658">
        <v>1.0000000176925199</v>
      </c>
    </row>
    <row r="5659" spans="1:40" x14ac:dyDescent="0.25">
      <c r="A5659" t="str">
        <f>"20190303154632085"</f>
        <v>20190303154632085</v>
      </c>
      <c r="B5659" t="str">
        <f>"1551599192076791"</f>
        <v>1551599192076791</v>
      </c>
      <c r="C5659" t="s">
        <v>40</v>
      </c>
      <c r="D5659">
        <v>4.8558149999999998</v>
      </c>
      <c r="E5659">
        <v>0.3601587</v>
      </c>
      <c r="F5659" t="s">
        <v>43</v>
      </c>
      <c r="G5659">
        <v>-319.27749999999997</v>
      </c>
      <c r="H5659">
        <v>-0.05</v>
      </c>
      <c r="I5659">
        <v>22.99436</v>
      </c>
      <c r="J5659">
        <v>-333.65699999999998</v>
      </c>
      <c r="K5659">
        <v>1.1210119999999999</v>
      </c>
      <c r="L5659">
        <v>17.796299999999999</v>
      </c>
      <c r="M5659">
        <v>0.99992340000000002</v>
      </c>
      <c r="N5659">
        <v>-1.237576E-2</v>
      </c>
      <c r="O5659" s="1">
        <v>2.990806E-5</v>
      </c>
      <c r="P5659">
        <v>0.99641950000000001</v>
      </c>
      <c r="Q5659">
        <v>-8.3605680000000002E-2</v>
      </c>
      <c r="R5659">
        <v>-1.259234E-2</v>
      </c>
      <c r="S5659">
        <v>3.0035400000000001</v>
      </c>
      <c r="T5659">
        <v>-0.241228</v>
      </c>
      <c r="U5659">
        <v>1.0708009999999999</v>
      </c>
      <c r="V5659">
        <v>1.2622960000000001E-2</v>
      </c>
      <c r="W5659">
        <v>-7.1267700000000003E-2</v>
      </c>
      <c r="X5659">
        <v>0.99737730000000002</v>
      </c>
      <c r="Y5659">
        <v>-0.3346633</v>
      </c>
      <c r="Z5659">
        <v>1.5152499999999999E-2</v>
      </c>
      <c r="AA5659">
        <v>0.9422159</v>
      </c>
      <c r="AB5659">
        <v>21</v>
      </c>
      <c r="AC5659">
        <v>14.3795</v>
      </c>
      <c r="AD5659">
        <v>-1.1710119999999999</v>
      </c>
      <c r="AE5659">
        <v>5.1980599999999999</v>
      </c>
      <c r="AF5659">
        <v>-5.1673215353874999</v>
      </c>
      <c r="AG5659">
        <v>-1.1710119999999999</v>
      </c>
      <c r="AH5659">
        <v>14.2958049692719</v>
      </c>
      <c r="AI5659">
        <v>94.405083332613302</v>
      </c>
      <c r="AJ5659">
        <v>109.872754014931</v>
      </c>
      <c r="AK5659">
        <v>15.2460657441086</v>
      </c>
      <c r="AL5659">
        <v>94.086803152896806</v>
      </c>
      <c r="AM5659">
        <v>89.274894545139105</v>
      </c>
      <c r="AN5659">
        <v>0.99999995136886899</v>
      </c>
    </row>
    <row r="5660" spans="1:40" x14ac:dyDescent="0.25">
      <c r="A5660" t="str">
        <f>"20190303154632107"</f>
        <v>20190303154632107</v>
      </c>
      <c r="B5660" t="str">
        <f>"1551599192097287"</f>
        <v>1551599192097287</v>
      </c>
      <c r="C5660" t="s">
        <v>40</v>
      </c>
      <c r="D5660">
        <v>4.8695729999999999</v>
      </c>
      <c r="E5660">
        <v>0.3603615</v>
      </c>
      <c r="F5660" t="s">
        <v>41</v>
      </c>
      <c r="G5660">
        <v>-319.99650000000003</v>
      </c>
      <c r="H5660" s="1">
        <v>-5.258862E-6</v>
      </c>
      <c r="I5660">
        <v>22.695699999999999</v>
      </c>
      <c r="J5660">
        <v>-333.45209999999997</v>
      </c>
      <c r="K5660">
        <v>1.121008</v>
      </c>
      <c r="L5660">
        <v>17.79636</v>
      </c>
      <c r="M5660">
        <v>0.99992190000000003</v>
      </c>
      <c r="N5660">
        <v>-1.250442E-2</v>
      </c>
      <c r="O5660" s="1">
        <v>6.6733030000000002E-5</v>
      </c>
      <c r="P5660">
        <v>0.99637779999999998</v>
      </c>
      <c r="Q5660">
        <v>-8.4076719999999994E-2</v>
      </c>
      <c r="R5660">
        <v>-1.274288E-2</v>
      </c>
      <c r="S5660">
        <v>3.0037229999999999</v>
      </c>
      <c r="T5660">
        <v>-0.24649389999999999</v>
      </c>
      <c r="U5660">
        <v>1.0773010000000001</v>
      </c>
      <c r="V5660">
        <v>1.280624E-2</v>
      </c>
      <c r="W5660">
        <v>-7.1611590000000003E-2</v>
      </c>
      <c r="X5660">
        <v>0.99735039999999997</v>
      </c>
      <c r="Y5660">
        <v>-0.33636559999999999</v>
      </c>
      <c r="Z5660">
        <v>1.552953E-2</v>
      </c>
      <c r="AA5660">
        <v>0.94160350000000004</v>
      </c>
      <c r="AB5660">
        <v>21</v>
      </c>
      <c r="AC5660">
        <v>13.455599999999899</v>
      </c>
      <c r="AD5660">
        <v>-1.1210132588619901</v>
      </c>
      <c r="AE5660">
        <v>4.8993399999999898</v>
      </c>
      <c r="AF5660">
        <v>-4.8686051968727204</v>
      </c>
      <c r="AG5660">
        <v>-1.1210132588619901</v>
      </c>
      <c r="AH5660">
        <v>13.373965851285099</v>
      </c>
      <c r="AI5660">
        <v>94.503541058444796</v>
      </c>
      <c r="AJ5660">
        <v>110.00332786607299</v>
      </c>
      <c r="AK5660">
        <v>14.276657517812099</v>
      </c>
      <c r="AL5660">
        <v>94.106556790042902</v>
      </c>
      <c r="AM5660">
        <v>89.264347632731301</v>
      </c>
      <c r="AN5660">
        <v>1.0000000199927099</v>
      </c>
    </row>
    <row r="5661" spans="1:40" x14ac:dyDescent="0.25">
      <c r="A5661" t="str">
        <f>"20190303154632119"</f>
        <v>20190303154632119</v>
      </c>
      <c r="B5661" t="str">
        <f>"1551599192116807"</f>
        <v>1551599192116807</v>
      </c>
      <c r="C5661" t="s">
        <v>40</v>
      </c>
      <c r="D5661">
        <v>4.8575299999999997</v>
      </c>
      <c r="E5661">
        <v>0.36057539999999999</v>
      </c>
      <c r="F5661" t="s">
        <v>41</v>
      </c>
      <c r="G5661">
        <v>-320.2217</v>
      </c>
      <c r="H5661" s="1">
        <v>-5.1436719999999996E-6</v>
      </c>
      <c r="I5661">
        <v>22.533850000000001</v>
      </c>
      <c r="J5661">
        <v>-333.32940000000002</v>
      </c>
      <c r="K5661">
        <v>1.1210039999999999</v>
      </c>
      <c r="L5661">
        <v>17.796389999999999</v>
      </c>
      <c r="M5661">
        <v>0.99992099999999995</v>
      </c>
      <c r="N5661">
        <v>-1.257694E-2</v>
      </c>
      <c r="O5661" s="1">
        <v>7.4345959999999898E-5</v>
      </c>
      <c r="P5661">
        <v>0.9963938</v>
      </c>
      <c r="Q5661">
        <v>-8.3905729999999998E-2</v>
      </c>
      <c r="R5661">
        <v>-1.262335E-2</v>
      </c>
      <c r="S5661">
        <v>3.0032040000000002</v>
      </c>
      <c r="T5661">
        <v>-0.25446210000000002</v>
      </c>
      <c r="U5661">
        <v>1.0753779999999999</v>
      </c>
      <c r="V5661">
        <v>1.2692459999999999E-2</v>
      </c>
      <c r="W5661">
        <v>-7.1368399999999999E-2</v>
      </c>
      <c r="X5661">
        <v>0.99736930000000001</v>
      </c>
      <c r="Y5661">
        <v>-0.33580510000000002</v>
      </c>
      <c r="Z5661">
        <v>1.5949109999999999E-2</v>
      </c>
      <c r="AA5661">
        <v>0.94179650000000004</v>
      </c>
      <c r="AB5661">
        <v>21</v>
      </c>
      <c r="AC5661">
        <v>13.107699999999999</v>
      </c>
      <c r="AD5661">
        <v>-1.121009143672</v>
      </c>
      <c r="AE5661">
        <v>4.7374599999999996</v>
      </c>
      <c r="AF5661">
        <v>-4.7060414468505796</v>
      </c>
      <c r="AG5661">
        <v>-1.121009143672</v>
      </c>
      <c r="AH5661">
        <v>13.0237996475046</v>
      </c>
      <c r="AI5661">
        <v>94.628068740216804</v>
      </c>
      <c r="AJ5661">
        <v>109.866899407139</v>
      </c>
      <c r="AK5661">
        <v>13.893266169551801</v>
      </c>
      <c r="AL5661">
        <v>94.092587229444504</v>
      </c>
      <c r="AM5661">
        <v>89.2708968126679</v>
      </c>
      <c r="AN5661">
        <v>1.00000003382095</v>
      </c>
    </row>
    <row r="5662" spans="1:40" x14ac:dyDescent="0.25">
      <c r="A5662" t="str">
        <f>"20190303154632133"</f>
        <v>20190303154632133</v>
      </c>
      <c r="B5662" t="str">
        <f>"1551599192126568"</f>
        <v>1551599192126568</v>
      </c>
      <c r="C5662" t="s">
        <v>40</v>
      </c>
      <c r="D5662">
        <v>4.8764379999999896</v>
      </c>
      <c r="E5662">
        <v>0.36057289999999997</v>
      </c>
      <c r="F5662" t="s">
        <v>41</v>
      </c>
      <c r="G5662">
        <v>-320.34870000000001</v>
      </c>
      <c r="H5662" s="1">
        <v>-5.0781809999999996E-6</v>
      </c>
      <c r="I5662">
        <v>22.439520000000002</v>
      </c>
      <c r="J5662">
        <v>-333.20269999999999</v>
      </c>
      <c r="K5662">
        <v>1.121005</v>
      </c>
      <c r="L5662">
        <v>17.796420000000001</v>
      </c>
      <c r="M5662">
        <v>0.99992020000000004</v>
      </c>
      <c r="N5662">
        <v>-1.26488E-2</v>
      </c>
      <c r="O5662" s="1">
        <v>6.8243580000000004E-5</v>
      </c>
      <c r="P5662">
        <v>0.99642370000000002</v>
      </c>
      <c r="Q5662">
        <v>-8.3571759999999995E-2</v>
      </c>
      <c r="R5662">
        <v>-1.24899E-2</v>
      </c>
      <c r="S5662">
        <v>3.0026549999999999</v>
      </c>
      <c r="T5662">
        <v>-0.25930819999999999</v>
      </c>
      <c r="U5662">
        <v>1.074036</v>
      </c>
      <c r="V5662">
        <v>1.255186E-2</v>
      </c>
      <c r="W5662">
        <v>-7.0962559999999994E-2</v>
      </c>
      <c r="X5662">
        <v>0.99739999999999995</v>
      </c>
      <c r="Y5662">
        <v>-0.33544760000000001</v>
      </c>
      <c r="Z5662">
        <v>1.620951E-2</v>
      </c>
      <c r="AA5662">
        <v>0.94191939999999996</v>
      </c>
      <c r="AB5662">
        <v>21</v>
      </c>
      <c r="AC5662">
        <v>12.8539999999999</v>
      </c>
      <c r="AD5662">
        <v>-1.121010078181</v>
      </c>
      <c r="AE5662">
        <v>4.6430999999999996</v>
      </c>
      <c r="AF5662">
        <v>-4.61119899142661</v>
      </c>
      <c r="AG5662">
        <v>-1.121010078181</v>
      </c>
      <c r="AH5662">
        <v>12.7684121487979</v>
      </c>
      <c r="AI5662">
        <v>94.720527897700904</v>
      </c>
      <c r="AJ5662">
        <v>109.856736691845</v>
      </c>
      <c r="AK5662">
        <v>13.6217535044313</v>
      </c>
      <c r="AL5662">
        <v>94.069275353667805</v>
      </c>
      <c r="AM5662">
        <v>89.278994744997107</v>
      </c>
      <c r="AN5662">
        <v>0.99999999705560605</v>
      </c>
    </row>
    <row r="5663" spans="1:40" x14ac:dyDescent="0.25">
      <c r="A5663" t="str">
        <f>"20190303154632146"</f>
        <v>20190303154632146</v>
      </c>
      <c r="B5663" t="str">
        <f>"1551599192137303"</f>
        <v>1551599192137303</v>
      </c>
      <c r="C5663" t="s">
        <v>40</v>
      </c>
      <c r="D5663">
        <v>4.8634690000000003</v>
      </c>
      <c r="E5663">
        <v>0.36051709999999998</v>
      </c>
      <c r="F5663" t="s">
        <v>41</v>
      </c>
      <c r="G5663">
        <v>-320.28359999999998</v>
      </c>
      <c r="H5663" s="1">
        <v>-5.0996229999999998E-6</v>
      </c>
      <c r="I5663">
        <v>22.41958</v>
      </c>
      <c r="J5663">
        <v>-333.084</v>
      </c>
      <c r="K5663">
        <v>1.121008</v>
      </c>
      <c r="L5663">
        <v>17.79645</v>
      </c>
      <c r="M5663">
        <v>0.99991920000000001</v>
      </c>
      <c r="N5663">
        <v>-1.271429E-2</v>
      </c>
      <c r="O5663" s="1">
        <v>5.8273899999999998E-5</v>
      </c>
      <c r="P5663">
        <v>0.99642850000000005</v>
      </c>
      <c r="Q5663">
        <v>-8.3549620000000005E-2</v>
      </c>
      <c r="R5663">
        <v>-1.224924E-2</v>
      </c>
      <c r="S5663">
        <v>3.0024109999999999</v>
      </c>
      <c r="T5663">
        <v>-0.26052500000000001</v>
      </c>
      <c r="U5663">
        <v>1.0744320000000001</v>
      </c>
      <c r="V5663">
        <v>1.230039E-2</v>
      </c>
      <c r="W5663">
        <v>-7.0875160000000006E-2</v>
      </c>
      <c r="X5663">
        <v>0.99740930000000005</v>
      </c>
      <c r="Y5663">
        <v>-0.33557880000000001</v>
      </c>
      <c r="Z5663">
        <v>1.6294360000000001E-2</v>
      </c>
      <c r="AA5663">
        <v>0.94187120000000002</v>
      </c>
      <c r="AB5663">
        <v>21</v>
      </c>
      <c r="AC5663">
        <v>12.8004</v>
      </c>
      <c r="AD5663">
        <v>-1.1210130996230001</v>
      </c>
      <c r="AE5663">
        <v>4.6231299999999997</v>
      </c>
      <c r="AF5663">
        <v>-4.59123425205913</v>
      </c>
      <c r="AG5663">
        <v>-1.1210130996230001</v>
      </c>
      <c r="AH5663">
        <v>12.714407068077101</v>
      </c>
      <c r="AI5663">
        <v>94.740554801606507</v>
      </c>
      <c r="AJ5663">
        <v>109.854897793538</v>
      </c>
      <c r="AK5663">
        <v>13.564374273057201</v>
      </c>
      <c r="AL5663">
        <v>94.064255254196894</v>
      </c>
      <c r="AM5663">
        <v>89.293444819072704</v>
      </c>
      <c r="AN5663">
        <v>0.99999994981283202</v>
      </c>
    </row>
    <row r="5664" spans="1:40" x14ac:dyDescent="0.25">
      <c r="A5664" t="str">
        <f>"20190303154632163"</f>
        <v>20190303154632163</v>
      </c>
      <c r="B5664" t="str">
        <f>"1551599192157330"</f>
        <v>1551599192157330</v>
      </c>
      <c r="C5664" t="s">
        <v>40</v>
      </c>
      <c r="D5664">
        <v>4.8723369999999999</v>
      </c>
      <c r="E5664">
        <v>0.3604387</v>
      </c>
      <c r="F5664" t="s">
        <v>41</v>
      </c>
      <c r="G5664">
        <v>-320.29230000000001</v>
      </c>
      <c r="H5664" s="1">
        <v>-5.0892899999999999E-6</v>
      </c>
      <c r="I5664">
        <v>22.380019999999998</v>
      </c>
      <c r="J5664">
        <v>-332.92770000000002</v>
      </c>
      <c r="K5664">
        <v>1.121022</v>
      </c>
      <c r="L5664">
        <v>17.79645</v>
      </c>
      <c r="M5664">
        <v>0.99991819999999998</v>
      </c>
      <c r="N5664">
        <v>-1.2796709999999999E-2</v>
      </c>
      <c r="O5664" s="1">
        <v>3.8313499999999998E-5</v>
      </c>
      <c r="P5664">
        <v>0.99646120000000005</v>
      </c>
      <c r="Q5664">
        <v>-8.3144609999999994E-2</v>
      </c>
      <c r="R5664">
        <v>-1.23295E-2</v>
      </c>
      <c r="S5664">
        <v>3.0019230000000001</v>
      </c>
      <c r="T5664">
        <v>-0.26307459999999899</v>
      </c>
      <c r="U5664">
        <v>1.075653</v>
      </c>
      <c r="V5664">
        <v>1.2360339999999999E-2</v>
      </c>
      <c r="W5664">
        <v>-7.0387699999999997E-2</v>
      </c>
      <c r="X5664">
        <v>0.99744310000000003</v>
      </c>
      <c r="Y5664">
        <v>-0.33595900000000001</v>
      </c>
      <c r="Z5664">
        <v>1.646763E-2</v>
      </c>
      <c r="AA5664">
        <v>0.94173260000000003</v>
      </c>
      <c r="AB5664">
        <v>21</v>
      </c>
      <c r="AC5664">
        <v>12.635400000000001</v>
      </c>
      <c r="AD5664">
        <v>-1.1210270892899901</v>
      </c>
      <c r="AE5664">
        <v>4.5835699999999999</v>
      </c>
      <c r="AF5664">
        <v>-4.5514257863889096</v>
      </c>
      <c r="AG5664">
        <v>-1.1210270892899901</v>
      </c>
      <c r="AH5664">
        <v>12.548288765811201</v>
      </c>
      <c r="AI5664">
        <v>94.800620509976497</v>
      </c>
      <c r="AJ5664">
        <v>109.93635973348999</v>
      </c>
      <c r="AK5664">
        <v>13.395212927539101</v>
      </c>
      <c r="AL5664">
        <v>94.036255833173598</v>
      </c>
      <c r="AM5664">
        <v>89.290025598463899</v>
      </c>
      <c r="AN5664">
        <v>0.99999997202690705</v>
      </c>
    </row>
    <row r="5665" spans="1:40" x14ac:dyDescent="0.25">
      <c r="A5665" t="str">
        <f>"20190303154632176"</f>
        <v>20190303154632176</v>
      </c>
      <c r="B5665" t="str">
        <f>"1551599192167090"</f>
        <v>1551599192167090</v>
      </c>
      <c r="C5665" t="s">
        <v>40</v>
      </c>
      <c r="D5665">
        <v>4.8813469999999999</v>
      </c>
      <c r="E5665">
        <v>0.36064089999999999</v>
      </c>
      <c r="F5665" t="s">
        <v>41</v>
      </c>
      <c r="G5665">
        <v>-320.17489999999998</v>
      </c>
      <c r="H5665" s="1">
        <v>-5.132123E-6</v>
      </c>
      <c r="I5665">
        <v>22.367419999999999</v>
      </c>
      <c r="J5665">
        <v>-332.79390000000001</v>
      </c>
      <c r="K5665">
        <v>1.1210249999999999</v>
      </c>
      <c r="L5665">
        <v>17.79645</v>
      </c>
      <c r="M5665">
        <v>0.99991730000000001</v>
      </c>
      <c r="N5665">
        <v>-1.286079E-2</v>
      </c>
      <c r="O5665" s="1">
        <v>1.898245E-5</v>
      </c>
      <c r="P5665">
        <v>0.9964693</v>
      </c>
      <c r="Q5665">
        <v>-8.2983870000000001E-2</v>
      </c>
      <c r="R5665">
        <v>-1.2752889999999999E-2</v>
      </c>
      <c r="S5665">
        <v>3.0019529999999999</v>
      </c>
      <c r="T5665">
        <v>-0.26388529999999999</v>
      </c>
      <c r="U5665">
        <v>1.0759890000000001</v>
      </c>
      <c r="V5665">
        <v>1.2764309999999999E-2</v>
      </c>
      <c r="W5665">
        <v>-7.0163030000000001E-2</v>
      </c>
      <c r="X5665">
        <v>0.9974539</v>
      </c>
      <c r="Y5665">
        <v>-0.33605849999999998</v>
      </c>
      <c r="Z5665">
        <v>1.6528459999999998E-2</v>
      </c>
      <c r="AA5665">
        <v>0.94169599999999998</v>
      </c>
      <c r="AB5665">
        <v>21</v>
      </c>
      <c r="AC5665">
        <v>12.619</v>
      </c>
      <c r="AD5665">
        <v>-1.1210301321229901</v>
      </c>
      <c r="AE5665">
        <v>4.57097</v>
      </c>
      <c r="AF5665">
        <v>-4.5390633822538202</v>
      </c>
      <c r="AG5665">
        <v>-1.1210301321229901</v>
      </c>
      <c r="AH5665">
        <v>12.5316588767085</v>
      </c>
      <c r="AI5665">
        <v>94.807748606709694</v>
      </c>
      <c r="AJ5665">
        <v>109.91077702209201</v>
      </c>
      <c r="AK5665">
        <v>13.375435661967501</v>
      </c>
      <c r="AL5665">
        <v>94.023351049513593</v>
      </c>
      <c r="AM5665">
        <v>89.266832107491993</v>
      </c>
      <c r="AN5665">
        <v>1.0000000305068799</v>
      </c>
    </row>
    <row r="5666" spans="1:40" x14ac:dyDescent="0.25">
      <c r="A5666" t="str">
        <f>"20190303154632196"</f>
        <v>20190303154632196</v>
      </c>
      <c r="B5666" t="str">
        <f>"1551599192186610"</f>
        <v>1551599192186610</v>
      </c>
      <c r="C5666" t="s">
        <v>40</v>
      </c>
      <c r="D5666">
        <v>4.9061279999999998</v>
      </c>
      <c r="E5666">
        <v>0.36098520000000001</v>
      </c>
      <c r="F5666" t="s">
        <v>41</v>
      </c>
      <c r="G5666">
        <v>-320.09699999999998</v>
      </c>
      <c r="H5666" s="1">
        <v>-5.1562690000000003E-6</v>
      </c>
      <c r="I5666">
        <v>22.335000000000001</v>
      </c>
      <c r="J5666">
        <v>-332.61860000000001</v>
      </c>
      <c r="K5666">
        <v>1.121035</v>
      </c>
      <c r="L5666">
        <v>17.79645</v>
      </c>
      <c r="M5666">
        <v>0.99991640000000004</v>
      </c>
      <c r="N5666">
        <v>-1.293708E-2</v>
      </c>
      <c r="O5666" s="1">
        <v>-4.5825980000000003E-6</v>
      </c>
      <c r="P5666">
        <v>0.99648139999999996</v>
      </c>
      <c r="Q5666">
        <v>-8.2764690000000002E-2</v>
      </c>
      <c r="R5666">
        <v>-1.323219E-2</v>
      </c>
      <c r="S5666">
        <v>3.0022890000000002</v>
      </c>
      <c r="T5666">
        <v>-0.26507760000000002</v>
      </c>
      <c r="U5666">
        <v>1.0731809999999999</v>
      </c>
      <c r="V5666">
        <v>1.3220040000000001E-2</v>
      </c>
      <c r="W5666">
        <v>-6.986763E-2</v>
      </c>
      <c r="X5666">
        <v>0.99746869999999999</v>
      </c>
      <c r="Y5666">
        <v>-0.33525729999999998</v>
      </c>
      <c r="Z5666">
        <v>1.6568579999999999E-2</v>
      </c>
      <c r="AA5666">
        <v>0.94198090000000001</v>
      </c>
      <c r="AB5666">
        <v>21</v>
      </c>
      <c r="AC5666">
        <v>12.521599999999999</v>
      </c>
      <c r="AD5666">
        <v>-1.121040156269</v>
      </c>
      <c r="AE5666">
        <v>4.5385499999999999</v>
      </c>
      <c r="AF5666">
        <v>-4.5066793249056296</v>
      </c>
      <c r="AG5666">
        <v>-1.121040156269</v>
      </c>
      <c r="AH5666">
        <v>12.433492763944599</v>
      </c>
      <c r="AI5666">
        <v>94.845176209800698</v>
      </c>
      <c r="AJ5666">
        <v>109.92369973130199</v>
      </c>
      <c r="AK5666">
        <v>13.272476478809899</v>
      </c>
      <c r="AL5666">
        <v>94.006384235413194</v>
      </c>
      <c r="AM5666">
        <v>89.2406697564533</v>
      </c>
      <c r="AN5666">
        <v>1.0000000313295501</v>
      </c>
    </row>
    <row r="5667" spans="1:40" x14ac:dyDescent="0.25">
      <c r="A5667" t="str">
        <f>"20190303154632210"</f>
        <v>20190303154632210</v>
      </c>
      <c r="B5667" t="str">
        <f>"1551599192207106"</f>
        <v>1551599192207106</v>
      </c>
      <c r="C5667" t="s">
        <v>40</v>
      </c>
      <c r="D5667">
        <v>4.895181</v>
      </c>
      <c r="E5667">
        <v>0.36114380000000001</v>
      </c>
      <c r="F5667" t="s">
        <v>41</v>
      </c>
      <c r="G5667">
        <v>-320.09010000000001</v>
      </c>
      <c r="H5667" s="1">
        <v>-5.14519599999999E-6</v>
      </c>
      <c r="I5667">
        <v>22.25752</v>
      </c>
      <c r="J5667">
        <v>-332.49189999999999</v>
      </c>
      <c r="K5667">
        <v>1.1210370000000001</v>
      </c>
      <c r="L5667">
        <v>17.796420000000001</v>
      </c>
      <c r="M5667">
        <v>0.99991580000000002</v>
      </c>
      <c r="N5667">
        <v>-1.2986869999999999E-2</v>
      </c>
      <c r="O5667" s="1">
        <v>-1.9076130000000001E-5</v>
      </c>
      <c r="P5667">
        <v>0.9964691</v>
      </c>
      <c r="Q5667">
        <v>-8.2878569999999999E-2</v>
      </c>
      <c r="R5667">
        <v>-1.344856E-2</v>
      </c>
      <c r="S5667">
        <v>3.0024410000000001</v>
      </c>
      <c r="T5667">
        <v>-0.26865600000000001</v>
      </c>
      <c r="U5667">
        <v>1.0690919999999999</v>
      </c>
      <c r="V5667">
        <v>1.3422109999999999E-2</v>
      </c>
      <c r="W5667">
        <v>-6.9932010000000003E-2</v>
      </c>
      <c r="X5667">
        <v>0.99746140000000005</v>
      </c>
      <c r="Y5667">
        <v>-0.33408690000000002</v>
      </c>
      <c r="Z5667">
        <v>1.6714619999999999E-2</v>
      </c>
      <c r="AA5667">
        <v>0.94239410000000001</v>
      </c>
      <c r="AB5667">
        <v>21</v>
      </c>
      <c r="AC5667">
        <v>12.4017999999999</v>
      </c>
      <c r="AD5667">
        <v>-1.121042145196</v>
      </c>
      <c r="AE5667">
        <v>4.4610999999999903</v>
      </c>
      <c r="AF5667">
        <v>-4.4292913838537196</v>
      </c>
      <c r="AG5667">
        <v>-1.121042145196</v>
      </c>
      <c r="AH5667">
        <v>12.3126349486416</v>
      </c>
      <c r="AI5667">
        <v>94.896757937158299</v>
      </c>
      <c r="AJ5667">
        <v>109.78545712234001</v>
      </c>
      <c r="AK5667">
        <v>13.133024671906201</v>
      </c>
      <c r="AL5667">
        <v>94.010082341921404</v>
      </c>
      <c r="AM5667">
        <v>89.229059045501998</v>
      </c>
      <c r="AN5667">
        <v>0.99999994177472395</v>
      </c>
    </row>
    <row r="5668" spans="1:40" x14ac:dyDescent="0.25">
      <c r="A5668" t="str">
        <f>"20190303154632230"</f>
        <v>20190303154632230</v>
      </c>
      <c r="B5668" t="str">
        <f>"1551599192227602"</f>
        <v>1551599192227602</v>
      </c>
      <c r="C5668" t="s">
        <v>40</v>
      </c>
      <c r="D5668">
        <v>4.929373</v>
      </c>
      <c r="E5668">
        <v>0.36125400000000002</v>
      </c>
      <c r="F5668" t="s">
        <v>41</v>
      </c>
      <c r="G5668">
        <v>-320.20999999999998</v>
      </c>
      <c r="H5668" s="1">
        <v>-5.0821830000000004E-6</v>
      </c>
      <c r="I5668">
        <v>22.161829999999998</v>
      </c>
      <c r="J5668">
        <v>-332.303</v>
      </c>
      <c r="K5668">
        <v>1.1210450000000001</v>
      </c>
      <c r="L5668">
        <v>17.79645</v>
      </c>
      <c r="M5668">
        <v>0.99991479999999999</v>
      </c>
      <c r="N5668">
        <v>-1.3054130000000001E-2</v>
      </c>
      <c r="O5668" s="1">
        <v>-3.6157700000000001E-5</v>
      </c>
      <c r="P5668">
        <v>0.99645499999999998</v>
      </c>
      <c r="Q5668">
        <v>-8.3066669999999995E-2</v>
      </c>
      <c r="R5668">
        <v>-1.332797E-2</v>
      </c>
      <c r="S5668">
        <v>3.0022579999999999</v>
      </c>
      <c r="T5668">
        <v>-0.27403460000000002</v>
      </c>
      <c r="U5668">
        <v>1.0671079999999999</v>
      </c>
      <c r="V5668">
        <v>1.3284819999999999E-2</v>
      </c>
      <c r="W5668">
        <v>-7.005306E-2</v>
      </c>
      <c r="X5668">
        <v>0.99745479999999997</v>
      </c>
      <c r="Y5668">
        <v>-0.33351769999999997</v>
      </c>
      <c r="Z5668">
        <v>1.6989629999999999E-2</v>
      </c>
      <c r="AA5668">
        <v>0.94259079999999995</v>
      </c>
      <c r="AB5668">
        <v>21</v>
      </c>
      <c r="AC5668">
        <v>12.093</v>
      </c>
      <c r="AD5668">
        <v>-1.1210500821830001</v>
      </c>
      <c r="AE5668">
        <v>4.3653799999999903</v>
      </c>
      <c r="AF5668">
        <v>-4.3328744778562003</v>
      </c>
      <c r="AG5668">
        <v>-1.1210500821830001</v>
      </c>
      <c r="AH5668">
        <v>12.001594108063999</v>
      </c>
      <c r="AI5668">
        <v>95.021004755615806</v>
      </c>
      <c r="AJ5668">
        <v>109.850845230104</v>
      </c>
      <c r="AK5668">
        <v>12.8089349932903</v>
      </c>
      <c r="AL5668">
        <v>94.0170348222195</v>
      </c>
      <c r="AM5668">
        <v>89.236938741299198</v>
      </c>
      <c r="AN5668">
        <v>0.99999999785041804</v>
      </c>
    </row>
    <row r="5669" spans="1:40" x14ac:dyDescent="0.25">
      <c r="A5669" t="str">
        <f>"20190303154632253"</f>
        <v>20190303154632253</v>
      </c>
      <c r="B5669" t="str">
        <f>"1551599192247123"</f>
        <v>1551599192247123</v>
      </c>
      <c r="C5669" t="s">
        <v>40</v>
      </c>
      <c r="D5669">
        <v>4.9210079999999996</v>
      </c>
      <c r="E5669">
        <v>0.3613558</v>
      </c>
      <c r="F5669" t="s">
        <v>41</v>
      </c>
      <c r="G5669">
        <v>-320.32420000000002</v>
      </c>
      <c r="H5669" s="1">
        <v>-5.0191010000000002E-6</v>
      </c>
      <c r="I5669">
        <v>22.0534</v>
      </c>
      <c r="J5669">
        <v>-332.08190000000002</v>
      </c>
      <c r="K5669">
        <v>1.1210469999999999</v>
      </c>
      <c r="L5669">
        <v>17.796420000000001</v>
      </c>
      <c r="M5669">
        <v>0.99991390000000002</v>
      </c>
      <c r="N5669">
        <v>-1.312345E-2</v>
      </c>
      <c r="O5669" s="1">
        <v>-4.8870669999999997E-5</v>
      </c>
      <c r="P5669">
        <v>0.99635370000000001</v>
      </c>
      <c r="Q5669">
        <v>-8.4330009999999997E-2</v>
      </c>
      <c r="R5669">
        <v>-1.295843E-2</v>
      </c>
      <c r="S5669">
        <v>3.0014949999999998</v>
      </c>
      <c r="T5669">
        <v>-0.28089819999999999</v>
      </c>
      <c r="U5669">
        <v>1.0666500000000001</v>
      </c>
      <c r="V5669">
        <v>1.290356E-2</v>
      </c>
      <c r="W5669">
        <v>-7.1248259999999994E-2</v>
      </c>
      <c r="X5669">
        <v>0.99737509999999996</v>
      </c>
      <c r="Y5669">
        <v>-0.33340910000000001</v>
      </c>
      <c r="Z5669">
        <v>1.7368890000000001E-2</v>
      </c>
      <c r="AA5669">
        <v>0.94262219999999997</v>
      </c>
      <c r="AB5669">
        <v>21</v>
      </c>
      <c r="AC5669">
        <v>11.7577</v>
      </c>
      <c r="AD5669">
        <v>-1.1210520191009901</v>
      </c>
      <c r="AE5669">
        <v>4.2569799999999898</v>
      </c>
      <c r="AF5669">
        <v>-4.2236081883490302</v>
      </c>
      <c r="AG5669">
        <v>-1.1210520191009901</v>
      </c>
      <c r="AH5669">
        <v>11.6637467385347</v>
      </c>
      <c r="AI5669">
        <v>95.163884943401797</v>
      </c>
      <c r="AJ5669">
        <v>109.906040297117</v>
      </c>
      <c r="AK5669">
        <v>12.4554651353893</v>
      </c>
      <c r="AL5669">
        <v>94.085686476499603</v>
      </c>
      <c r="AM5669">
        <v>89.258776077446697</v>
      </c>
      <c r="AN5669">
        <v>0.99999995325685398</v>
      </c>
    </row>
    <row r="5670" spans="1:40" x14ac:dyDescent="0.25">
      <c r="A5670" t="str">
        <f>"20190303154632277"</f>
        <v>20190303154632277</v>
      </c>
      <c r="B5670" t="str">
        <f>"1551599192267617"</f>
        <v>1551599192267617</v>
      </c>
      <c r="C5670" t="s">
        <v>40</v>
      </c>
      <c r="D5670">
        <v>4.9504919999999997</v>
      </c>
      <c r="E5670">
        <v>0.36135489999999998</v>
      </c>
      <c r="F5670" t="s">
        <v>41</v>
      </c>
      <c r="G5670">
        <v>-320.41460000000001</v>
      </c>
      <c r="H5670" s="1">
        <v>-4.9651269999999998E-6</v>
      </c>
      <c r="I5670">
        <v>21.94492</v>
      </c>
      <c r="J5670">
        <v>-331.87049999999999</v>
      </c>
      <c r="K5670">
        <v>1.1210500000000001</v>
      </c>
      <c r="L5670">
        <v>17.796389999999999</v>
      </c>
      <c r="M5670">
        <v>0.99991319999999995</v>
      </c>
      <c r="N5670">
        <v>-1.318125E-2</v>
      </c>
      <c r="O5670" s="1">
        <v>-5.4288849999999998E-5</v>
      </c>
      <c r="P5670">
        <v>0.99626930000000002</v>
      </c>
      <c r="Q5670">
        <v>-8.5479559999999996E-2</v>
      </c>
      <c r="R5670">
        <v>-1.186798E-2</v>
      </c>
      <c r="S5670">
        <v>3.0004580000000001</v>
      </c>
      <c r="T5670">
        <v>-0.28829929999999998</v>
      </c>
      <c r="U5670">
        <v>1.066864</v>
      </c>
      <c r="V5670">
        <v>1.1808549999999999E-2</v>
      </c>
      <c r="W5670">
        <v>-7.2340909999999994E-2</v>
      </c>
      <c r="X5670">
        <v>0.99731000000000003</v>
      </c>
      <c r="Y5670">
        <v>-0.33350010000000002</v>
      </c>
      <c r="Z5670">
        <v>1.7785820000000001E-2</v>
      </c>
      <c r="AA5670">
        <v>0.94258220000000004</v>
      </c>
      <c r="AB5670">
        <v>21</v>
      </c>
      <c r="AC5670">
        <v>11.4558999999999</v>
      </c>
      <c r="AD5670">
        <v>-1.1210549651270001</v>
      </c>
      <c r="AE5670">
        <v>4.1485300000000001</v>
      </c>
      <c r="AF5670">
        <v>-4.1143200333442698</v>
      </c>
      <c r="AG5670">
        <v>-1.1210549651270001</v>
      </c>
      <c r="AH5670">
        <v>11.3595048760706</v>
      </c>
      <c r="AI5670">
        <v>95.301294344831405</v>
      </c>
      <c r="AJ5670">
        <v>109.90997379395</v>
      </c>
      <c r="AK5670">
        <v>12.133538008391699</v>
      </c>
      <c r="AL5670">
        <v>94.148452732394901</v>
      </c>
      <c r="AM5670">
        <v>89.321626713765994</v>
      </c>
      <c r="AN5670">
        <v>0.99999994260636305</v>
      </c>
    </row>
    <row r="5671" spans="1:40" x14ac:dyDescent="0.25">
      <c r="A5671" t="str">
        <f>"20190303154632297"</f>
        <v>20190303154632297</v>
      </c>
      <c r="B5671" t="str">
        <f>"1551599192287138"</f>
        <v>1551599192287138</v>
      </c>
      <c r="C5671" t="s">
        <v>40</v>
      </c>
      <c r="D5671">
        <v>4.9200169999999996</v>
      </c>
      <c r="E5671">
        <v>0.3614117</v>
      </c>
      <c r="F5671" t="s">
        <v>41</v>
      </c>
      <c r="G5671">
        <v>-320.51249999999999</v>
      </c>
      <c r="H5671" s="1">
        <v>-4.9107320000000003E-6</v>
      </c>
      <c r="I5671">
        <v>21.850249999999999</v>
      </c>
      <c r="J5671">
        <v>-331.67939999999999</v>
      </c>
      <c r="K5671">
        <v>1.121049</v>
      </c>
      <c r="L5671">
        <v>17.796420000000001</v>
      </c>
      <c r="M5671">
        <v>0.99991240000000003</v>
      </c>
      <c r="N5671">
        <v>-1.322659E-2</v>
      </c>
      <c r="O5671" s="1">
        <v>-5.48694199999999E-5</v>
      </c>
      <c r="P5671">
        <v>0.99626700000000001</v>
      </c>
      <c r="Q5671">
        <v>-8.5713999999999999E-2</v>
      </c>
      <c r="R5671">
        <v>-1.0263080000000001E-2</v>
      </c>
      <c r="S5671">
        <v>2.998596</v>
      </c>
      <c r="T5671">
        <v>-0.29596709999999998</v>
      </c>
      <c r="U5671">
        <v>1.0702510000000001</v>
      </c>
      <c r="V5671">
        <v>1.020389E-2</v>
      </c>
      <c r="W5671">
        <v>-7.2529899999999994E-2</v>
      </c>
      <c r="X5671">
        <v>0.99731400000000003</v>
      </c>
      <c r="Y5671">
        <v>-0.33454420000000001</v>
      </c>
      <c r="Z5671">
        <v>1.8268679999999999E-2</v>
      </c>
      <c r="AA5671">
        <v>0.94220300000000001</v>
      </c>
      <c r="AB5671">
        <v>21</v>
      </c>
      <c r="AC5671">
        <v>11.166899999999901</v>
      </c>
      <c r="AD5671">
        <v>-1.1210539107319999</v>
      </c>
      <c r="AE5671">
        <v>4.0538299999999898</v>
      </c>
      <c r="AF5671">
        <v>-4.0186574561391897</v>
      </c>
      <c r="AG5671">
        <v>-1.1210539107319999</v>
      </c>
      <c r="AH5671">
        <v>11.068118230719399</v>
      </c>
      <c r="AI5671">
        <v>95.438482003035602</v>
      </c>
      <c r="AJ5671">
        <v>109.95515332268999</v>
      </c>
      <c r="AK5671">
        <v>11.8283393081926</v>
      </c>
      <c r="AL5671">
        <v>94.159309508977202</v>
      </c>
      <c r="AM5671">
        <v>89.413806050374305</v>
      </c>
      <c r="AN5671">
        <v>0.99999996018057002</v>
      </c>
    </row>
    <row r="5672" spans="1:40" x14ac:dyDescent="0.25">
      <c r="A5672" t="str">
        <f>"20190303154632320"</f>
        <v>20190303154632320</v>
      </c>
      <c r="B5672" t="str">
        <f>"1551599192317394"</f>
        <v>1551599192317394</v>
      </c>
      <c r="C5672" t="s">
        <v>40</v>
      </c>
      <c r="D5672">
        <v>4.8791169999999999</v>
      </c>
      <c r="E5672">
        <v>0.36145539999999998</v>
      </c>
      <c r="F5672" t="s">
        <v>41</v>
      </c>
      <c r="G5672">
        <v>-320.5034</v>
      </c>
      <c r="H5672" s="1">
        <v>-4.9060899999999996E-6</v>
      </c>
      <c r="I5672">
        <v>21.80425</v>
      </c>
      <c r="J5672">
        <v>-331.46800000000002</v>
      </c>
      <c r="K5672">
        <v>1.1210629999999999</v>
      </c>
      <c r="L5672">
        <v>17.796389999999999</v>
      </c>
      <c r="M5672">
        <v>0.99991200000000002</v>
      </c>
      <c r="N5672">
        <v>-1.3270179999999999E-2</v>
      </c>
      <c r="O5672" s="1">
        <v>-5.2223530000000001E-5</v>
      </c>
      <c r="P5672">
        <v>0.9963786</v>
      </c>
      <c r="Q5672">
        <v>-8.4576410000000005E-2</v>
      </c>
      <c r="R5672">
        <v>-8.757005E-3</v>
      </c>
      <c r="S5672">
        <v>2.9964599999999999</v>
      </c>
      <c r="T5672">
        <v>-0.3005699</v>
      </c>
      <c r="U5672">
        <v>1.074554</v>
      </c>
      <c r="V5672">
        <v>8.7014729999999995E-3</v>
      </c>
      <c r="W5672">
        <v>-7.1347300000000002E-2</v>
      </c>
      <c r="X5672">
        <v>0.99741360000000001</v>
      </c>
      <c r="Y5672">
        <v>-0.33589599999999997</v>
      </c>
      <c r="Z5672">
        <v>1.860614E-2</v>
      </c>
      <c r="AA5672">
        <v>0.94171530000000003</v>
      </c>
      <c r="AB5672">
        <v>21</v>
      </c>
      <c r="AC5672">
        <v>10.964600000000001</v>
      </c>
      <c r="AD5672">
        <v>-1.12106790609</v>
      </c>
      <c r="AE5672">
        <v>4.00786</v>
      </c>
      <c r="AF5672">
        <v>-3.97180555778393</v>
      </c>
      <c r="AG5672">
        <v>-1.12106790609</v>
      </c>
      <c r="AH5672">
        <v>10.8642034223423</v>
      </c>
      <c r="AI5672">
        <v>95.535569202793695</v>
      </c>
      <c r="AJ5672">
        <v>110.08172740005701</v>
      </c>
      <c r="AK5672">
        <v>11.621658601118099</v>
      </c>
      <c r="AL5672">
        <v>94.091375250704303</v>
      </c>
      <c r="AM5672">
        <v>89.500162188672206</v>
      </c>
      <c r="AN5672">
        <v>1.0000000211572999</v>
      </c>
    </row>
    <row r="5673" spans="1:40" x14ac:dyDescent="0.25">
      <c r="A5673" t="str">
        <f>"20190303154632342"</f>
        <v>20190303154632342</v>
      </c>
      <c r="B5673" t="str">
        <f>"1551599192336914"</f>
        <v>1551599192336914</v>
      </c>
      <c r="C5673" t="s">
        <v>40</v>
      </c>
      <c r="D5673">
        <v>4.93811</v>
      </c>
      <c r="E5673">
        <v>0.36136380000000001</v>
      </c>
      <c r="F5673" t="s">
        <v>41</v>
      </c>
      <c r="G5673">
        <v>-320.27800000000002</v>
      </c>
      <c r="H5673" s="1">
        <v>-4.9966120000000001E-6</v>
      </c>
      <c r="I5673">
        <v>21.826789999999999</v>
      </c>
      <c r="J5673">
        <v>-331.26299999999998</v>
      </c>
      <c r="K5673">
        <v>1.1210709999999999</v>
      </c>
      <c r="L5673">
        <v>17.796389999999999</v>
      </c>
      <c r="M5673">
        <v>0.99991160000000001</v>
      </c>
      <c r="N5673">
        <v>-1.330654E-2</v>
      </c>
      <c r="O5673" s="1">
        <v>-4.7764160000000003E-5</v>
      </c>
      <c r="P5673">
        <v>0.99649160000000003</v>
      </c>
      <c r="Q5673">
        <v>-8.3307709999999993E-2</v>
      </c>
      <c r="R5673">
        <v>-8.0494079999999992E-3</v>
      </c>
      <c r="S5673">
        <v>2.994904</v>
      </c>
      <c r="T5673">
        <v>-0.3000447</v>
      </c>
      <c r="U5673">
        <v>1.078705</v>
      </c>
      <c r="V5673">
        <v>7.9988419999999904E-3</v>
      </c>
      <c r="W5673">
        <v>-7.00408E-2</v>
      </c>
      <c r="X5673">
        <v>0.99751199999999995</v>
      </c>
      <c r="Y5673">
        <v>-0.33720029999999901</v>
      </c>
      <c r="Z5673">
        <v>1.8660679999999999E-2</v>
      </c>
      <c r="AA5673">
        <v>0.94124790000000003</v>
      </c>
      <c r="AB5673">
        <v>21</v>
      </c>
      <c r="AC5673">
        <v>10.984999999999999</v>
      </c>
      <c r="AD5673">
        <v>-1.1210759966120001</v>
      </c>
      <c r="AE5673">
        <v>4.0304000000000002</v>
      </c>
      <c r="AF5673">
        <v>-3.9942592497011198</v>
      </c>
      <c r="AG5673">
        <v>-1.1210759966120001</v>
      </c>
      <c r="AH5673">
        <v>10.8848891352475</v>
      </c>
      <c r="AI5673">
        <v>95.522728706006802</v>
      </c>
      <c r="AJ5673">
        <v>110.150840191925</v>
      </c>
      <c r="AK5673">
        <v>11.6486793170141</v>
      </c>
      <c r="AL5673">
        <v>94.016330868395002</v>
      </c>
      <c r="AM5673">
        <v>89.540566865442997</v>
      </c>
      <c r="AN5673">
        <v>0.99999994264098802</v>
      </c>
    </row>
    <row r="5674" spans="1:40" x14ac:dyDescent="0.25">
      <c r="A5674" t="str">
        <f>"20190303154632364"</f>
        <v>20190303154632364</v>
      </c>
      <c r="B5674" t="str">
        <f>"1551599192357410"</f>
        <v>1551599192357410</v>
      </c>
      <c r="C5674" t="s">
        <v>40</v>
      </c>
      <c r="D5674">
        <v>4.7795990000000002</v>
      </c>
      <c r="E5674">
        <v>0.36074620000000002</v>
      </c>
      <c r="F5674" t="s">
        <v>43</v>
      </c>
      <c r="G5674">
        <v>-319.44319999999999</v>
      </c>
      <c r="H5674">
        <v>-0.05</v>
      </c>
      <c r="I5674">
        <v>22.06589</v>
      </c>
      <c r="J5674">
        <v>-331.06049999999999</v>
      </c>
      <c r="K5674">
        <v>1.121078</v>
      </c>
      <c r="L5674">
        <v>17.79636</v>
      </c>
      <c r="M5674">
        <v>0.99991110000000005</v>
      </c>
      <c r="N5674">
        <v>-1.33375E-2</v>
      </c>
      <c r="O5674" s="1">
        <v>-4.2633489999999997E-5</v>
      </c>
      <c r="P5674">
        <v>0.99649829999999995</v>
      </c>
      <c r="Q5674">
        <v>-8.3173769999999994E-2</v>
      </c>
      <c r="R5674">
        <v>-8.5607959999999903E-3</v>
      </c>
      <c r="S5674">
        <v>2.994507</v>
      </c>
      <c r="T5674">
        <v>-0.29668689999999998</v>
      </c>
      <c r="U5674">
        <v>1.0816650000000001</v>
      </c>
      <c r="V5674">
        <v>8.5156829999999996E-3</v>
      </c>
      <c r="W5674">
        <v>-6.9875880000000001E-2</v>
      </c>
      <c r="X5674">
        <v>0.99751939999999995</v>
      </c>
      <c r="Y5674">
        <v>-0.33808939999999998</v>
      </c>
      <c r="Z5674">
        <v>1.8531929999999999E-2</v>
      </c>
      <c r="AA5674">
        <v>0.94093159999999998</v>
      </c>
      <c r="AB5674">
        <v>21</v>
      </c>
      <c r="AC5674">
        <v>11.6173</v>
      </c>
      <c r="AD5674">
        <v>-1.1710780000000001</v>
      </c>
      <c r="AE5674">
        <v>4.2695299999999996</v>
      </c>
      <c r="AF5674">
        <v>-4.2321375205585303</v>
      </c>
      <c r="AG5674">
        <v>-1.1710780000000001</v>
      </c>
      <c r="AH5674">
        <v>11.5140396119175</v>
      </c>
      <c r="AI5674">
        <v>95.453169942334895</v>
      </c>
      <c r="AJ5674">
        <v>110.18157145107</v>
      </c>
      <c r="AK5674">
        <v>12.3229671694689</v>
      </c>
      <c r="AL5674">
        <v>94.0068579910034</v>
      </c>
      <c r="AM5674">
        <v>89.510885860070601</v>
      </c>
      <c r="AN5674">
        <v>1.00000005441954</v>
      </c>
    </row>
    <row r="5675" spans="1:40" x14ac:dyDescent="0.25">
      <c r="A5675" t="str">
        <f>"20190303154632377"</f>
        <v>20190303154632377</v>
      </c>
      <c r="B5675" t="str">
        <f>"1551599192367170"</f>
        <v>1551599192367170</v>
      </c>
      <c r="C5675" t="s">
        <v>40</v>
      </c>
      <c r="D5675">
        <v>4.8171179999999998</v>
      </c>
      <c r="E5675">
        <v>0.36074620000000002</v>
      </c>
      <c r="F5675" t="s">
        <v>43</v>
      </c>
      <c r="G5675">
        <v>-319.18920000000003</v>
      </c>
      <c r="H5675">
        <v>-0.05</v>
      </c>
      <c r="I5675">
        <v>22.096399999999999</v>
      </c>
      <c r="J5675">
        <v>-330.93529999999998</v>
      </c>
      <c r="K5675">
        <v>1.121081</v>
      </c>
      <c r="L5675">
        <v>17.796329999999902</v>
      </c>
      <c r="M5675">
        <v>0.99991090000000005</v>
      </c>
      <c r="N5675">
        <v>-1.3354390000000001E-2</v>
      </c>
      <c r="O5675" s="1">
        <v>-4.0050969999999998E-5</v>
      </c>
      <c r="P5675">
        <v>0.99644560000000004</v>
      </c>
      <c r="Q5675">
        <v>-8.3764779999999997E-2</v>
      </c>
      <c r="R5675">
        <v>-8.9306379999999994E-3</v>
      </c>
      <c r="S5675">
        <v>2.995209</v>
      </c>
      <c r="T5675">
        <v>-0.2954714</v>
      </c>
      <c r="U5675">
        <v>1.0849299999999999</v>
      </c>
      <c r="V5675">
        <v>8.8882330000000006E-3</v>
      </c>
      <c r="W5675">
        <v>-7.0450719999999994E-2</v>
      </c>
      <c r="X5675">
        <v>0.99747569999999997</v>
      </c>
      <c r="Y5675">
        <v>-0.33893319999999999</v>
      </c>
      <c r="Z5675">
        <v>1.8508549999999999E-2</v>
      </c>
      <c r="AA5675">
        <v>0.94062829999999997</v>
      </c>
      <c r="AB5675">
        <v>21</v>
      </c>
      <c r="AC5675">
        <v>11.746099999999901</v>
      </c>
      <c r="AD5675">
        <v>-1.171081</v>
      </c>
      <c r="AE5675">
        <v>4.3000699999999998</v>
      </c>
      <c r="AF5675">
        <v>-4.2631725220370997</v>
      </c>
      <c r="AG5675">
        <v>-1.171081</v>
      </c>
      <c r="AH5675">
        <v>11.6438658496022</v>
      </c>
      <c r="AI5675">
        <v>95.395226918763697</v>
      </c>
      <c r="AJ5675">
        <v>110.10921106697</v>
      </c>
      <c r="AK5675">
        <v>12.454946109267</v>
      </c>
      <c r="AL5675">
        <v>94.039875330988806</v>
      </c>
      <c r="AM5675">
        <v>89.489466499960102</v>
      </c>
      <c r="AN5675">
        <v>1.0000000383624299</v>
      </c>
    </row>
    <row r="5676" spans="1:40" x14ac:dyDescent="0.25">
      <c r="A5676" t="str">
        <f>"20190303154632397"</f>
        <v>20190303154632397</v>
      </c>
      <c r="B5676" t="str">
        <f>"1551599192387668"</f>
        <v>1551599192387668</v>
      </c>
      <c r="C5676" t="s">
        <v>40</v>
      </c>
      <c r="D5676">
        <v>5.1770189999999996</v>
      </c>
      <c r="E5676">
        <v>0.36098590000000003</v>
      </c>
      <c r="F5676" t="s">
        <v>43</v>
      </c>
      <c r="G5676">
        <v>-319.13170000000002</v>
      </c>
      <c r="H5676">
        <v>-0.05</v>
      </c>
      <c r="I5676">
        <v>22.068079999999998</v>
      </c>
      <c r="J5676">
        <v>-330.76029999999997</v>
      </c>
      <c r="K5676">
        <v>1.1210869999999999</v>
      </c>
      <c r="L5676">
        <v>17.796329999999902</v>
      </c>
      <c r="M5676">
        <v>0.99991070000000004</v>
      </c>
      <c r="N5676">
        <v>-1.337532E-2</v>
      </c>
      <c r="O5676" s="1">
        <v>-3.696332E-5</v>
      </c>
      <c r="P5676">
        <v>0.99640859999999998</v>
      </c>
      <c r="Q5676">
        <v>-8.4092200000000006E-2</v>
      </c>
      <c r="R5676">
        <v>-9.9394180000000002E-3</v>
      </c>
      <c r="S5676">
        <v>2.995422</v>
      </c>
      <c r="T5676">
        <v>-0.2971859</v>
      </c>
      <c r="U5676">
        <v>1.0840449999999999</v>
      </c>
      <c r="V5676">
        <v>9.9001349999999991E-3</v>
      </c>
      <c r="W5676">
        <v>-7.0757719999999996E-2</v>
      </c>
      <c r="X5676">
        <v>0.99744440000000001</v>
      </c>
      <c r="Y5676">
        <v>-0.33864610000000001</v>
      </c>
      <c r="Z5676">
        <v>1.858926E-2</v>
      </c>
      <c r="AA5676">
        <v>0.94073019999999996</v>
      </c>
      <c r="AB5676">
        <v>21</v>
      </c>
      <c r="AC5676">
        <v>11.628599999999899</v>
      </c>
      <c r="AD5676">
        <v>-1.171087</v>
      </c>
      <c r="AE5676">
        <v>4.2717499999999999</v>
      </c>
      <c r="AF5676">
        <v>-4.2343413156223502</v>
      </c>
      <c r="AG5676">
        <v>-1.171087</v>
      </c>
      <c r="AH5676">
        <v>11.5254493646275</v>
      </c>
      <c r="AI5676">
        <v>95.448148336977994</v>
      </c>
      <c r="AJ5676">
        <v>110.172855611442</v>
      </c>
      <c r="AK5676">
        <v>12.334385845892299</v>
      </c>
      <c r="AL5676">
        <v>94.057509300037196</v>
      </c>
      <c r="AM5676">
        <v>89.431329379340696</v>
      </c>
      <c r="AN5676">
        <v>0.99999999935198802</v>
      </c>
    </row>
    <row r="5677" spans="1:40" x14ac:dyDescent="0.25">
      <c r="A5677" t="str">
        <f>"20190303154632419"</f>
        <v>20190303154632419</v>
      </c>
      <c r="B5677" t="str">
        <f>"1551599192416946"</f>
        <v>1551599192416946</v>
      </c>
      <c r="C5677" t="s">
        <v>40</v>
      </c>
      <c r="D5677">
        <v>4.9342129999999997</v>
      </c>
      <c r="E5677">
        <v>0.45966459999999998</v>
      </c>
      <c r="F5677" t="s">
        <v>43</v>
      </c>
      <c r="G5677">
        <v>-318.92500000000001</v>
      </c>
      <c r="H5677">
        <v>-0.05</v>
      </c>
      <c r="I5677">
        <v>22.057749999999999</v>
      </c>
      <c r="J5677">
        <v>-330.5489</v>
      </c>
      <c r="K5677">
        <v>1.121102</v>
      </c>
      <c r="L5677">
        <v>17.796329999999902</v>
      </c>
      <c r="M5677">
        <v>0.99991030000000003</v>
      </c>
      <c r="N5677">
        <v>-1.339716E-2</v>
      </c>
      <c r="O5677" s="1">
        <v>-3.442718E-5</v>
      </c>
      <c r="P5677">
        <v>0.99649410000000005</v>
      </c>
      <c r="Q5677">
        <v>-8.2874509999999998E-2</v>
      </c>
      <c r="R5677">
        <v>-1.147544E-2</v>
      </c>
      <c r="S5677">
        <v>2.9965519999999999</v>
      </c>
      <c r="T5677">
        <v>-0.29650690000000002</v>
      </c>
      <c r="U5677">
        <v>1.0789489999999999</v>
      </c>
      <c r="V5677">
        <v>1.143884E-2</v>
      </c>
      <c r="W5677">
        <v>-6.9517259999999997E-2</v>
      </c>
      <c r="X5677">
        <v>0.99751509999999999</v>
      </c>
      <c r="Y5677">
        <v>-0.33712880000000001</v>
      </c>
      <c r="Z5677">
        <v>1.847089E-2</v>
      </c>
      <c r="AA5677">
        <v>0.94127729999999998</v>
      </c>
      <c r="AB5677">
        <v>21</v>
      </c>
      <c r="AC5677">
        <v>11.6238999999999</v>
      </c>
      <c r="AD5677">
        <v>-1.1711020000000001</v>
      </c>
      <c r="AE5677">
        <v>4.2614200000000002</v>
      </c>
      <c r="AF5677">
        <v>-4.2240242647081203</v>
      </c>
      <c r="AG5677">
        <v>-1.1711020000000001</v>
      </c>
      <c r="AH5677">
        <v>11.520668031161801</v>
      </c>
      <c r="AI5677">
        <v>95.451767443040296</v>
      </c>
      <c r="AJ5677">
        <v>110.135335980535</v>
      </c>
      <c r="AK5677">
        <v>12.326380359516801</v>
      </c>
      <c r="AL5677">
        <v>93.986260965693504</v>
      </c>
      <c r="AM5677">
        <v>89.342998889345694</v>
      </c>
      <c r="AN5677">
        <v>0.99999993561322897</v>
      </c>
    </row>
    <row r="5678" spans="1:40" x14ac:dyDescent="0.25">
      <c r="A5678" t="str">
        <f>"20190303154632442"</f>
        <v>20190303154632442</v>
      </c>
      <c r="B5678" t="str">
        <f>"1551599192437442"</f>
        <v>1551599192437442</v>
      </c>
      <c r="C5678" t="s">
        <v>40</v>
      </c>
      <c r="D5678">
        <v>5.0854809999999997</v>
      </c>
      <c r="E5678">
        <v>0.53635200000000005</v>
      </c>
      <c r="F5678" t="s">
        <v>43</v>
      </c>
      <c r="G5678">
        <v>-317.42099999999999</v>
      </c>
      <c r="H5678">
        <v>-0.05</v>
      </c>
      <c r="I5678">
        <v>19.057009999999998</v>
      </c>
      <c r="J5678">
        <v>-330.34379999999999</v>
      </c>
      <c r="K5678">
        <v>1.1211120000000001</v>
      </c>
      <c r="L5678">
        <v>17.796329999999902</v>
      </c>
      <c r="M5678">
        <v>0.99991010000000002</v>
      </c>
      <c r="N5678">
        <v>-1.341524E-2</v>
      </c>
      <c r="O5678" s="1">
        <v>-3.2886290000000003E-5</v>
      </c>
      <c r="P5678">
        <v>0.99662700000000004</v>
      </c>
      <c r="Q5678">
        <v>-8.1048449999999994E-2</v>
      </c>
      <c r="R5678">
        <v>-1.2893119999999999E-2</v>
      </c>
      <c r="S5678">
        <v>2.9916689999999999</v>
      </c>
      <c r="T5678">
        <v>-0.26687709999999998</v>
      </c>
      <c r="U5678">
        <v>0.28729250000000001</v>
      </c>
      <c r="V5678">
        <v>1.285791E-2</v>
      </c>
      <c r="W5678">
        <v>-6.7671599999999998E-2</v>
      </c>
      <c r="X5678">
        <v>0.99762479999999998</v>
      </c>
      <c r="Y5678">
        <v>-9.5192189999999996E-2</v>
      </c>
      <c r="Z5678">
        <v>4.8717470000000001E-3</v>
      </c>
      <c r="AA5678">
        <v>0.99544699999999997</v>
      </c>
      <c r="AB5678">
        <v>21</v>
      </c>
      <c r="AC5678">
        <v>12.922799999999899</v>
      </c>
      <c r="AD5678">
        <v>-1.1711119999999999</v>
      </c>
      <c r="AE5678">
        <v>1.26068</v>
      </c>
      <c r="AF5678">
        <v>-1.25092842586193</v>
      </c>
      <c r="AG5678">
        <v>-1.1711119999999999</v>
      </c>
      <c r="AH5678">
        <v>12.818477227116601</v>
      </c>
      <c r="AI5678">
        <v>95.195576739221096</v>
      </c>
      <c r="AJ5678">
        <v>95.573726582457695</v>
      </c>
      <c r="AK5678">
        <v>12.932504926164899</v>
      </c>
      <c r="AL5678">
        <v>93.8802624747034</v>
      </c>
      <c r="AM5678">
        <v>89.261582923622299</v>
      </c>
      <c r="AN5678">
        <v>1.0000000064355801</v>
      </c>
    </row>
    <row r="5679" spans="1:40" x14ac:dyDescent="0.25">
      <c r="A5679" t="str">
        <f>"20190303154632465"</f>
        <v>20190303154632465</v>
      </c>
      <c r="B5679" t="str">
        <f>"1551599192456961"</f>
        <v>1551599192456961</v>
      </c>
      <c r="C5679" t="s">
        <v>40</v>
      </c>
      <c r="D5679">
        <v>5.1203969999999996</v>
      </c>
      <c r="E5679">
        <v>0.54351949999999905</v>
      </c>
      <c r="F5679" t="s">
        <v>42</v>
      </c>
      <c r="G5679">
        <v>-329.4436</v>
      </c>
      <c r="H5679">
        <v>1.03993</v>
      </c>
      <c r="I5679">
        <v>17.697019999999998</v>
      </c>
      <c r="J5679">
        <v>-330.13409999999999</v>
      </c>
      <c r="K5679">
        <v>1.12112099999999</v>
      </c>
      <c r="L5679">
        <v>17.796329999999902</v>
      </c>
      <c r="M5679">
        <v>0.99990979999999996</v>
      </c>
      <c r="N5679">
        <v>-1.343077E-2</v>
      </c>
      <c r="O5679" s="1">
        <v>-3.2643069999999997E-5</v>
      </c>
      <c r="P5679">
        <v>0.99668100000000004</v>
      </c>
      <c r="Q5679">
        <v>-8.0255750000000001E-2</v>
      </c>
      <c r="R5679">
        <v>-1.36455E-2</v>
      </c>
      <c r="S5679">
        <v>2.9840089999999999</v>
      </c>
      <c r="T5679">
        <v>-0.26909650000000002</v>
      </c>
      <c r="U5679">
        <v>-0.32846069999999999</v>
      </c>
      <c r="V5679">
        <v>1.361045E-2</v>
      </c>
      <c r="W5679">
        <v>-6.68628E-2</v>
      </c>
      <c r="X5679">
        <v>0.99766929999999998</v>
      </c>
      <c r="Y5679">
        <v>0.108878</v>
      </c>
      <c r="Z5679">
        <v>-5.6172640000000003E-3</v>
      </c>
      <c r="AA5679">
        <v>0.99403920000000001</v>
      </c>
      <c r="AB5679">
        <v>21</v>
      </c>
      <c r="AC5679">
        <v>0.69049999999998501</v>
      </c>
      <c r="AD5679">
        <v>-8.1190999999999694E-2</v>
      </c>
      <c r="AE5679">
        <v>-9.9309999999995499E-2</v>
      </c>
      <c r="AF5679">
        <v>9.7960528705413205E-2</v>
      </c>
      <c r="AG5679">
        <v>-8.1190999999999694E-2</v>
      </c>
      <c r="AH5679">
        <v>0.68127499765743305</v>
      </c>
      <c r="AI5679">
        <v>96.727626229188502</v>
      </c>
      <c r="AJ5679">
        <v>81.817524963018101</v>
      </c>
      <c r="AK5679">
        <v>0.69305401383902199</v>
      </c>
      <c r="AL5679">
        <v>93.833816643305397</v>
      </c>
      <c r="AM5679">
        <v>89.2184053674588</v>
      </c>
      <c r="AN5679">
        <v>0.99999995526776497</v>
      </c>
    </row>
    <row r="5680" spans="1:40" x14ac:dyDescent="0.25">
      <c r="A5680" t="str">
        <f>"20190303154632487"</f>
        <v>20190303154632487</v>
      </c>
      <c r="B5680" t="str">
        <f>"1551599192477458"</f>
        <v>1551599192477458</v>
      </c>
      <c r="C5680" t="s">
        <v>40</v>
      </c>
      <c r="D5680">
        <v>5.063339</v>
      </c>
      <c r="E5680">
        <v>0.54718599999999995</v>
      </c>
      <c r="F5680" t="s">
        <v>42</v>
      </c>
      <c r="G5680">
        <v>-329.25909999999999</v>
      </c>
      <c r="H5680">
        <v>1.04105</v>
      </c>
      <c r="I5680">
        <v>17.682289999999998</v>
      </c>
      <c r="J5680">
        <v>-329.94</v>
      </c>
      <c r="K5680">
        <v>1.121113</v>
      </c>
      <c r="L5680">
        <v>17.796299999999999</v>
      </c>
      <c r="M5680">
        <v>0.99990970000000001</v>
      </c>
      <c r="N5680">
        <v>-1.344279E-2</v>
      </c>
      <c r="O5680" s="1">
        <v>-3.273233E-5</v>
      </c>
      <c r="P5680">
        <v>0.99674680000000004</v>
      </c>
      <c r="Q5680">
        <v>-7.9371349999999993E-2</v>
      </c>
      <c r="R5680">
        <v>-1.4010079999999999E-2</v>
      </c>
      <c r="S5680">
        <v>2.982666</v>
      </c>
      <c r="T5680">
        <v>-0.27285779999999998</v>
      </c>
      <c r="U5680">
        <v>-0.38787840000000001</v>
      </c>
      <c r="V5680">
        <v>1.3974840000000001E-2</v>
      </c>
      <c r="W5680">
        <v>-6.5965650000000001E-2</v>
      </c>
      <c r="X5680">
        <v>0.9977241</v>
      </c>
      <c r="Y5680">
        <v>0.1283202</v>
      </c>
      <c r="Z5680">
        <v>-6.6984499999999999E-3</v>
      </c>
      <c r="AA5680">
        <v>0.99171019999999999</v>
      </c>
      <c r="AB5680">
        <v>20</v>
      </c>
      <c r="AC5680">
        <v>0.68090000000000805</v>
      </c>
      <c r="AD5680">
        <v>-8.0062999999999995E-2</v>
      </c>
      <c r="AE5680">
        <v>-0.11401</v>
      </c>
      <c r="AF5680">
        <v>0.112475038403725</v>
      </c>
      <c r="AG5680">
        <v>-8.0062999999999995E-2</v>
      </c>
      <c r="AH5680">
        <v>0.67186780976185001</v>
      </c>
      <c r="AI5680">
        <v>96.703182528460701</v>
      </c>
      <c r="AJ5680">
        <v>80.496439084148705</v>
      </c>
      <c r="AK5680">
        <v>0.68590602273715695</v>
      </c>
      <c r="AL5680">
        <v>93.782299549001493</v>
      </c>
      <c r="AM5680">
        <v>89.197526655956494</v>
      </c>
      <c r="AN5680">
        <v>1.00000007142687</v>
      </c>
    </row>
    <row r="5681" spans="1:40" x14ac:dyDescent="0.25">
      <c r="A5681" t="str">
        <f>"20190303154632510"</f>
        <v>20190303154632510</v>
      </c>
      <c r="B5681" t="str">
        <f>"1551599192496978"</f>
        <v>1551599192496978</v>
      </c>
      <c r="C5681" t="s">
        <v>40</v>
      </c>
      <c r="D5681">
        <v>5.0482079999999998</v>
      </c>
      <c r="E5681">
        <v>0.54922389999999999</v>
      </c>
      <c r="F5681" t="s">
        <v>42</v>
      </c>
      <c r="G5681">
        <v>-329.07380000000001</v>
      </c>
      <c r="H5681">
        <v>1.042824</v>
      </c>
      <c r="I5681">
        <v>17.674579999999999</v>
      </c>
      <c r="J5681">
        <v>-329.72039999999998</v>
      </c>
      <c r="K5681">
        <v>1.1211169999999999</v>
      </c>
      <c r="L5681">
        <v>17.796299999999999</v>
      </c>
      <c r="M5681">
        <v>0.99990959999999995</v>
      </c>
      <c r="N5681">
        <v>-1.3454239999999999E-2</v>
      </c>
      <c r="O5681" s="1">
        <v>-3.3531399999999901E-5</v>
      </c>
      <c r="P5681">
        <v>0.9967087</v>
      </c>
      <c r="Q5681">
        <v>-7.9792859999999993E-2</v>
      </c>
      <c r="R5681">
        <v>-1.4315970000000001E-2</v>
      </c>
      <c r="S5681">
        <v>2.9824519999999999</v>
      </c>
      <c r="T5681">
        <v>-0.26952619999999999</v>
      </c>
      <c r="U5681">
        <v>-0.4182129</v>
      </c>
      <c r="V5681">
        <v>1.428021E-2</v>
      </c>
      <c r="W5681">
        <v>-6.6376229999999994E-2</v>
      </c>
      <c r="X5681">
        <v>0.99769249999999998</v>
      </c>
      <c r="Y5681">
        <v>0.1381966</v>
      </c>
      <c r="Z5681">
        <v>-7.1354160000000003E-3</v>
      </c>
      <c r="AA5681">
        <v>0.99037909999999996</v>
      </c>
      <c r="AB5681">
        <v>20</v>
      </c>
      <c r="AC5681">
        <v>0.64659999999997797</v>
      </c>
      <c r="AD5681">
        <v>-7.8292999999999904E-2</v>
      </c>
      <c r="AE5681">
        <v>-0.121719999999999</v>
      </c>
      <c r="AF5681">
        <v>0.119999176400911</v>
      </c>
      <c r="AG5681">
        <v>-7.8292999999999904E-2</v>
      </c>
      <c r="AH5681">
        <v>0.63757625757873604</v>
      </c>
      <c r="AI5681">
        <v>96.881123048565698</v>
      </c>
      <c r="AJ5681">
        <v>79.340969003888901</v>
      </c>
      <c r="AK5681">
        <v>0.65347768164949904</v>
      </c>
      <c r="AL5681">
        <v>93.805875891991604</v>
      </c>
      <c r="AM5681">
        <v>89.179967879709693</v>
      </c>
      <c r="AN5681">
        <v>1.0000000264314499</v>
      </c>
    </row>
    <row r="5682" spans="1:40" x14ac:dyDescent="0.25">
      <c r="A5682" t="str">
        <f>"20190303154632532"</f>
        <v>20190303154632532</v>
      </c>
      <c r="B5682" t="str">
        <f>"1551599192527234"</f>
        <v>1551599192527234</v>
      </c>
      <c r="C5682" t="s">
        <v>40</v>
      </c>
      <c r="D5682">
        <v>5.0847350000000002</v>
      </c>
      <c r="E5682">
        <v>0.55070149999999995</v>
      </c>
      <c r="F5682" t="s">
        <v>43</v>
      </c>
      <c r="G5682">
        <v>-316.11610000000002</v>
      </c>
      <c r="H5682">
        <v>-0.05</v>
      </c>
      <c r="I5682">
        <v>15.81091</v>
      </c>
      <c r="J5682">
        <v>-329.52499999999998</v>
      </c>
      <c r="K5682">
        <v>1.1211120000000001</v>
      </c>
      <c r="L5682">
        <v>17.79626</v>
      </c>
      <c r="M5682">
        <v>0.99990939999999995</v>
      </c>
      <c r="N5682">
        <v>-1.3462770000000001E-2</v>
      </c>
      <c r="O5682" s="1">
        <v>-3.4069970000000002E-5</v>
      </c>
      <c r="P5682">
        <v>0.99662810000000002</v>
      </c>
      <c r="Q5682">
        <v>-8.0598509999999998E-2</v>
      </c>
      <c r="R5682">
        <v>-1.5374469999999999E-2</v>
      </c>
      <c r="S5682">
        <v>2.9830320000000001</v>
      </c>
      <c r="T5682">
        <v>-0.25679150000000001</v>
      </c>
      <c r="U5682">
        <v>-0.43533329999999998</v>
      </c>
      <c r="V5682">
        <v>1.5338020000000001E-2</v>
      </c>
      <c r="W5682">
        <v>-6.7174429999999993E-2</v>
      </c>
      <c r="X5682">
        <v>0.99762329999999999</v>
      </c>
      <c r="Y5682">
        <v>0.14376949999999999</v>
      </c>
      <c r="Z5682">
        <v>-7.1168269999999896E-3</v>
      </c>
      <c r="AA5682">
        <v>0.98958559999999995</v>
      </c>
      <c r="AB5682">
        <v>20</v>
      </c>
      <c r="AC5682">
        <v>13.4088999999999</v>
      </c>
      <c r="AD5682">
        <v>-1.1711119999999999</v>
      </c>
      <c r="AE5682">
        <v>-1.9853499999999999</v>
      </c>
      <c r="AF5682">
        <v>1.97018692982712</v>
      </c>
      <c r="AG5682">
        <v>-1.1711119999999999</v>
      </c>
      <c r="AH5682">
        <v>13.3096198297842</v>
      </c>
      <c r="AI5682">
        <v>94.974569033314296</v>
      </c>
      <c r="AJ5682">
        <v>81.579807144679293</v>
      </c>
      <c r="AK5682">
        <v>13.5055218288073</v>
      </c>
      <c r="AL5682">
        <v>93.851711967192998</v>
      </c>
      <c r="AM5682">
        <v>89.119171957121594</v>
      </c>
      <c r="AN5682">
        <v>0.99999995380311602</v>
      </c>
    </row>
    <row r="5683" spans="1:40" x14ac:dyDescent="0.25">
      <c r="A5683" t="str">
        <f>"20190303154632554"</f>
        <v>20190303154632554</v>
      </c>
      <c r="B5683" t="str">
        <f>"1551599192547730"</f>
        <v>1551599192547730</v>
      </c>
      <c r="C5683" t="s">
        <v>40</v>
      </c>
      <c r="D5683">
        <v>4.8320919999999896</v>
      </c>
      <c r="E5683">
        <v>0.55105669999999995</v>
      </c>
      <c r="F5683" t="s">
        <v>43</v>
      </c>
      <c r="G5683">
        <v>-314.70859999999999</v>
      </c>
      <c r="H5683">
        <v>-0.05</v>
      </c>
      <c r="I5683">
        <v>15.5598299999999</v>
      </c>
      <c r="J5683">
        <v>-329.32029999999997</v>
      </c>
      <c r="K5683">
        <v>1.121113</v>
      </c>
      <c r="L5683">
        <v>17.79626</v>
      </c>
      <c r="M5683">
        <v>0.9999093</v>
      </c>
      <c r="N5683">
        <v>-1.347022E-2</v>
      </c>
      <c r="O5683" s="1">
        <v>-3.4779239999999997E-5</v>
      </c>
      <c r="P5683">
        <v>0.99656230000000001</v>
      </c>
      <c r="Q5683">
        <v>-8.1121330000000005E-2</v>
      </c>
      <c r="R5683">
        <v>-1.68208E-2</v>
      </c>
      <c r="S5683">
        <v>2.9841609999999998</v>
      </c>
      <c r="T5683">
        <v>-0.23587269999999999</v>
      </c>
      <c r="U5683">
        <v>-0.45043949999999999</v>
      </c>
      <c r="V5683">
        <v>1.67835E-2</v>
      </c>
      <c r="W5683">
        <v>-6.7690730000000005E-2</v>
      </c>
      <c r="X5683">
        <v>0.99756520000000004</v>
      </c>
      <c r="Y5683">
        <v>0.14868599999999901</v>
      </c>
      <c r="Z5683">
        <v>-6.8407759999999998E-3</v>
      </c>
      <c r="AA5683">
        <v>0.98886079999999998</v>
      </c>
      <c r="AB5683">
        <v>20</v>
      </c>
      <c r="AC5683">
        <v>14.6116999999999</v>
      </c>
      <c r="AD5683">
        <v>-1.1711129999999901</v>
      </c>
      <c r="AE5683">
        <v>-2.2364299999999999</v>
      </c>
      <c r="AF5683">
        <v>2.2219748410234899</v>
      </c>
      <c r="AG5683">
        <v>-1.1711129999999901</v>
      </c>
      <c r="AH5683">
        <v>14.520634425968201</v>
      </c>
      <c r="AI5683">
        <v>94.558187911334798</v>
      </c>
      <c r="AJ5683">
        <v>81.299978652190902</v>
      </c>
      <c r="AK5683">
        <v>14.736264858692101</v>
      </c>
      <c r="AL5683">
        <v>93.881360991696496</v>
      </c>
      <c r="AM5683">
        <v>89.036120147706001</v>
      </c>
      <c r="AN5683">
        <v>1.00000002452561</v>
      </c>
    </row>
    <row r="5684" spans="1:40" x14ac:dyDescent="0.25">
      <c r="A5684" t="str">
        <f>"20190303154632576"</f>
        <v>20190303154632576</v>
      </c>
      <c r="B5684" t="str">
        <f>"1551599192567250"</f>
        <v>1551599192567250</v>
      </c>
      <c r="C5684" t="s">
        <v>40</v>
      </c>
      <c r="D5684">
        <v>5.0557319999999999</v>
      </c>
      <c r="E5684">
        <v>0.55113080000000003</v>
      </c>
      <c r="F5684" t="s">
        <v>43</v>
      </c>
      <c r="G5684">
        <v>-313.8698</v>
      </c>
      <c r="H5684">
        <v>-0.05</v>
      </c>
      <c r="I5684">
        <v>15.426729999999999</v>
      </c>
      <c r="J5684">
        <v>-329.1266</v>
      </c>
      <c r="K5684">
        <v>1.1211199999999999</v>
      </c>
      <c r="L5684">
        <v>17.796229999999898</v>
      </c>
      <c r="M5684">
        <v>0.9999093</v>
      </c>
      <c r="N5684">
        <v>-1.347606E-2</v>
      </c>
      <c r="O5684" s="1">
        <v>-3.5176860000000003E-5</v>
      </c>
      <c r="P5684">
        <v>0.99639370000000005</v>
      </c>
      <c r="Q5684">
        <v>-8.2591659999999997E-2</v>
      </c>
      <c r="R5684">
        <v>-1.9452029999999999E-2</v>
      </c>
      <c r="S5684">
        <v>2.9842219999999999</v>
      </c>
      <c r="T5684">
        <v>-0.2261976</v>
      </c>
      <c r="U5684">
        <v>-0.45767210000000003</v>
      </c>
      <c r="V5684">
        <v>1.941416E-2</v>
      </c>
      <c r="W5684">
        <v>-6.9157460000000004E-2</v>
      </c>
      <c r="X5684">
        <v>0.99741690000000005</v>
      </c>
      <c r="Y5684">
        <v>0.15105660000000001</v>
      </c>
      <c r="Z5684">
        <v>-6.7068910000000004E-3</v>
      </c>
      <c r="AA5684">
        <v>0.9885024</v>
      </c>
      <c r="AB5684">
        <v>20</v>
      </c>
      <c r="AC5684">
        <v>15.256799999999901</v>
      </c>
      <c r="AD5684">
        <v>-1.1711199999999999</v>
      </c>
      <c r="AE5684">
        <v>-2.3694999999999902</v>
      </c>
      <c r="AF5684">
        <v>2.3554116302835202</v>
      </c>
      <c r="AG5684">
        <v>-1.1711199999999999</v>
      </c>
      <c r="AH5684">
        <v>15.169606484365501</v>
      </c>
      <c r="AI5684">
        <v>94.362507341684804</v>
      </c>
      <c r="AJ5684">
        <v>81.174061757976403</v>
      </c>
      <c r="AK5684">
        <v>15.395988012887599</v>
      </c>
      <c r="AL5684">
        <v>93.965595681863107</v>
      </c>
      <c r="AM5684">
        <v>88.884910626445105</v>
      </c>
      <c r="AN5684">
        <v>1.0000000681438801</v>
      </c>
    </row>
    <row r="5685" spans="1:40" x14ac:dyDescent="0.25">
      <c r="A5685" t="str">
        <f>"20190303154632598"</f>
        <v>20190303154632598</v>
      </c>
      <c r="B5685" t="str">
        <f>"1551599192587749"</f>
        <v>1551599192587749</v>
      </c>
      <c r="C5685" t="s">
        <v>40</v>
      </c>
      <c r="D5685">
        <v>5.0524940000000003</v>
      </c>
      <c r="E5685">
        <v>0.55106509999999997</v>
      </c>
      <c r="F5685" t="s">
        <v>43</v>
      </c>
      <c r="G5685">
        <v>-314.72120000000001</v>
      </c>
      <c r="H5685">
        <v>-0.05</v>
      </c>
      <c r="I5685">
        <v>15.54434</v>
      </c>
      <c r="J5685">
        <v>-328.92500000000001</v>
      </c>
      <c r="K5685">
        <v>1.121122</v>
      </c>
      <c r="L5685">
        <v>17.796229999999898</v>
      </c>
      <c r="M5685">
        <v>0.9999093</v>
      </c>
      <c r="N5685">
        <v>-1.348107E-2</v>
      </c>
      <c r="O5685" s="1">
        <v>-3.538779E-5</v>
      </c>
      <c r="P5685">
        <v>0.99622109999999997</v>
      </c>
      <c r="Q5685">
        <v>-8.4052589999999996E-2</v>
      </c>
      <c r="R5685">
        <v>-2.188244E-2</v>
      </c>
      <c r="S5685">
        <v>2.9816280000000002</v>
      </c>
      <c r="T5685">
        <v>-0.2423978</v>
      </c>
      <c r="U5685">
        <v>-0.46609499999999998</v>
      </c>
      <c r="V5685">
        <v>2.1844410000000002E-2</v>
      </c>
      <c r="W5685">
        <v>-7.0615659999999997E-2</v>
      </c>
      <c r="X5685">
        <v>0.99726440000000005</v>
      </c>
      <c r="Y5685">
        <v>0.15383229999999901</v>
      </c>
      <c r="Z5685">
        <v>-7.2480540000000003E-3</v>
      </c>
      <c r="AA5685">
        <v>0.98807040000000002</v>
      </c>
      <c r="AB5685">
        <v>20</v>
      </c>
      <c r="AC5685">
        <v>14.203799999999999</v>
      </c>
      <c r="AD5685">
        <v>-1.171122</v>
      </c>
      <c r="AE5685">
        <v>-2.2518899999999902</v>
      </c>
      <c r="AF5685">
        <v>2.2365555191644102</v>
      </c>
      <c r="AG5685">
        <v>-1.171122</v>
      </c>
      <c r="AH5685">
        <v>14.1103067167476</v>
      </c>
      <c r="AI5685">
        <v>94.686300990609098</v>
      </c>
      <c r="AJ5685">
        <v>80.993256245607398</v>
      </c>
      <c r="AK5685">
        <v>14.3343804529488</v>
      </c>
      <c r="AL5685">
        <v>94.049349380327399</v>
      </c>
      <c r="AM5685">
        <v>88.745174915190105</v>
      </c>
      <c r="AN5685">
        <v>1.00000001659642</v>
      </c>
    </row>
    <row r="5686" spans="1:40" x14ac:dyDescent="0.25">
      <c r="A5686" t="str">
        <f>"20190303154632620"</f>
        <v>20190303154632620</v>
      </c>
      <c r="B5686" t="str">
        <f>"1551599192617026"</f>
        <v>1551599192617026</v>
      </c>
      <c r="C5686" t="s">
        <v>40</v>
      </c>
      <c r="D5686">
        <v>5.029217</v>
      </c>
      <c r="E5686">
        <v>0.55102759999999995</v>
      </c>
      <c r="F5686" t="s">
        <v>43</v>
      </c>
      <c r="G5686">
        <v>-315.32619999999997</v>
      </c>
      <c r="H5686">
        <v>-0.05</v>
      </c>
      <c r="I5686">
        <v>15.63847</v>
      </c>
      <c r="J5686">
        <v>-328.71550000000002</v>
      </c>
      <c r="K5686">
        <v>1.121127</v>
      </c>
      <c r="L5686">
        <v>17.79617</v>
      </c>
      <c r="M5686">
        <v>0.99990919999999905</v>
      </c>
      <c r="N5686">
        <v>-1.3485270000000001E-2</v>
      </c>
      <c r="O5686" s="1">
        <v>-3.5412520000000002E-5</v>
      </c>
      <c r="P5686">
        <v>0.99606760000000005</v>
      </c>
      <c r="Q5686">
        <v>-8.5164009999999998E-2</v>
      </c>
      <c r="R5686">
        <v>-2.4422889999999999E-2</v>
      </c>
      <c r="S5686">
        <v>2.9793699999999999</v>
      </c>
      <c r="T5686">
        <v>-0.25658259999999999</v>
      </c>
      <c r="U5686">
        <v>-0.4727478</v>
      </c>
      <c r="V5686">
        <v>2.438485E-2</v>
      </c>
      <c r="W5686">
        <v>-7.1724940000000001E-2</v>
      </c>
      <c r="X5686">
        <v>0.99712630000000002</v>
      </c>
      <c r="Y5686">
        <v>0.15602460000000001</v>
      </c>
      <c r="Z5686">
        <v>-7.7227859999999997E-3</v>
      </c>
      <c r="AA5686">
        <v>0.98772300000000002</v>
      </c>
      <c r="AB5686">
        <v>20</v>
      </c>
      <c r="AC5686">
        <v>13.3893</v>
      </c>
      <c r="AD5686">
        <v>-1.171127</v>
      </c>
      <c r="AE5686">
        <v>-2.15769999999999</v>
      </c>
      <c r="AF5686">
        <v>2.1412586768802901</v>
      </c>
      <c r="AG5686">
        <v>-1.171127</v>
      </c>
      <c r="AH5686">
        <v>13.2902723128975</v>
      </c>
      <c r="AI5686">
        <v>94.972054569354498</v>
      </c>
      <c r="AJ5686">
        <v>80.847458674908495</v>
      </c>
      <c r="AK5686">
        <v>13.5125077362573</v>
      </c>
      <c r="AL5686">
        <v>94.113068203425499</v>
      </c>
      <c r="AM5686">
        <v>88.599103678432201</v>
      </c>
      <c r="AN5686">
        <v>0.99999997303960697</v>
      </c>
    </row>
    <row r="5687" spans="1:40" x14ac:dyDescent="0.25">
      <c r="A5687" t="str">
        <f>"20190303154632643"</f>
        <v>20190303154632643</v>
      </c>
      <c r="B5687" t="str">
        <f>"1551599192637522"</f>
        <v>1551599192637522</v>
      </c>
      <c r="C5687" t="s">
        <v>40</v>
      </c>
      <c r="D5687">
        <v>5.027876</v>
      </c>
      <c r="E5687">
        <v>0.55086429999999997</v>
      </c>
      <c r="F5687" t="s">
        <v>43</v>
      </c>
      <c r="G5687">
        <v>-315.77820000000003</v>
      </c>
      <c r="H5687">
        <v>-0.05</v>
      </c>
      <c r="I5687">
        <v>15.71007</v>
      </c>
      <c r="J5687">
        <v>-328.5197</v>
      </c>
      <c r="K5687">
        <v>1.121129</v>
      </c>
      <c r="L5687">
        <v>17.79617</v>
      </c>
      <c r="M5687">
        <v>0.99990919999999905</v>
      </c>
      <c r="N5687">
        <v>-1.3488450000000001E-2</v>
      </c>
      <c r="O5687" s="1">
        <v>-3.5253550000000001E-5</v>
      </c>
      <c r="P5687">
        <v>0.99585279999999998</v>
      </c>
      <c r="Q5687">
        <v>-8.6337579999999997E-2</v>
      </c>
      <c r="R5687">
        <v>-2.8691680000000001E-2</v>
      </c>
      <c r="S5687">
        <v>2.9770509999999999</v>
      </c>
      <c r="T5687">
        <v>-0.26949329999999999</v>
      </c>
      <c r="U5687">
        <v>-0.48004150000000001</v>
      </c>
      <c r="V5687">
        <v>2.8653749999999999E-2</v>
      </c>
      <c r="W5687">
        <v>-7.2898329999999997E-2</v>
      </c>
      <c r="X5687">
        <v>0.99692769999999997</v>
      </c>
      <c r="Y5687">
        <v>0.1584285</v>
      </c>
      <c r="Z5687">
        <v>-8.1856250000000002E-3</v>
      </c>
      <c r="AA5687">
        <v>0.98733649999999995</v>
      </c>
      <c r="AB5687">
        <v>20</v>
      </c>
      <c r="AC5687">
        <v>12.741499999999901</v>
      </c>
      <c r="AD5687">
        <v>-1.1711290000000001</v>
      </c>
      <c r="AE5687">
        <v>-2.0860999999999899</v>
      </c>
      <c r="AF5687">
        <v>2.0686306404469299</v>
      </c>
      <c r="AG5687">
        <v>-1.1711290000000001</v>
      </c>
      <c r="AH5687">
        <v>12.637594823253</v>
      </c>
      <c r="AI5687">
        <v>95.225343983417403</v>
      </c>
      <c r="AJ5687">
        <v>80.703774625643902</v>
      </c>
      <c r="AK5687">
        <v>12.859221546343599</v>
      </c>
      <c r="AL5687">
        <v>94.1804747661497</v>
      </c>
      <c r="AM5687">
        <v>88.353654850915106</v>
      </c>
      <c r="AN5687">
        <v>1.0000000214665701</v>
      </c>
    </row>
    <row r="5688" spans="1:40" x14ac:dyDescent="0.25">
      <c r="A5688" t="str">
        <f>"20190303154632666"</f>
        <v>20190303154632666</v>
      </c>
      <c r="B5688" t="str">
        <f>"1551599192657042"</f>
        <v>1551599192657042</v>
      </c>
      <c r="C5688" t="s">
        <v>40</v>
      </c>
      <c r="D5688">
        <v>5.0227050000000002</v>
      </c>
      <c r="E5688">
        <v>0.55077929999999997</v>
      </c>
      <c r="F5688" t="s">
        <v>42</v>
      </c>
      <c r="G5688">
        <v>-327.61399999999998</v>
      </c>
      <c r="H5688">
        <v>1.03671</v>
      </c>
      <c r="I5688">
        <v>17.646429999999999</v>
      </c>
      <c r="J5688">
        <v>-328.30430000000001</v>
      </c>
      <c r="K5688">
        <v>1.12113</v>
      </c>
      <c r="L5688">
        <v>17.796140000000001</v>
      </c>
      <c r="M5688">
        <v>0.99990900000000005</v>
      </c>
      <c r="N5688">
        <v>-1.349113E-2</v>
      </c>
      <c r="O5688" s="1">
        <v>-3.479363E-5</v>
      </c>
      <c r="P5688">
        <v>0.9956796</v>
      </c>
      <c r="Q5688">
        <v>-8.6361240000000006E-2</v>
      </c>
      <c r="R5688">
        <v>-3.411612E-2</v>
      </c>
      <c r="S5688">
        <v>2.9743040000000001</v>
      </c>
      <c r="T5688">
        <v>-0.27726919999999999</v>
      </c>
      <c r="U5688">
        <v>-0.491394</v>
      </c>
      <c r="V5688">
        <v>3.4078669999999998E-2</v>
      </c>
      <c r="W5688">
        <v>-7.2921830000000007E-2</v>
      </c>
      <c r="X5688">
        <v>0.99675519999999995</v>
      </c>
      <c r="Y5688">
        <v>0.1621831</v>
      </c>
      <c r="Z5688">
        <v>-8.5940010000000004E-3</v>
      </c>
      <c r="AA5688">
        <v>0.98672320000000002</v>
      </c>
      <c r="AB5688">
        <v>20</v>
      </c>
      <c r="AC5688">
        <v>0.69029999999997904</v>
      </c>
      <c r="AD5688">
        <v>-8.4419999999999898E-2</v>
      </c>
      <c r="AE5688">
        <v>-0.14971000000000201</v>
      </c>
      <c r="AF5688">
        <v>0.14757795818773101</v>
      </c>
      <c r="AG5688">
        <v>-8.4419999999999898E-2</v>
      </c>
      <c r="AH5688">
        <v>0.68058366915455704</v>
      </c>
      <c r="AI5688">
        <v>96.911862957949893</v>
      </c>
      <c r="AJ5688">
        <v>77.765376000377401</v>
      </c>
      <c r="AK5688">
        <v>0.70149848243794499</v>
      </c>
      <c r="AL5688">
        <v>94.181825156019698</v>
      </c>
      <c r="AM5688">
        <v>88.041842477995303</v>
      </c>
      <c r="AN5688">
        <v>0.99999993888327698</v>
      </c>
    </row>
    <row r="5689" spans="1:40" x14ac:dyDescent="0.25">
      <c r="A5689" t="str">
        <f>"20190303154632688"</f>
        <v>20190303154632688</v>
      </c>
      <c r="B5689" t="str">
        <f>"1551599192677537"</f>
        <v>1551599192677537</v>
      </c>
      <c r="C5689" t="s">
        <v>40</v>
      </c>
      <c r="D5689">
        <v>4.7841879999999897</v>
      </c>
      <c r="E5689">
        <v>0.5506818</v>
      </c>
      <c r="F5689" t="s">
        <v>43</v>
      </c>
      <c r="G5689">
        <v>-315.94459999999998</v>
      </c>
      <c r="H5689">
        <v>-0.05</v>
      </c>
      <c r="I5689">
        <v>15.687709999999999</v>
      </c>
      <c r="J5689">
        <v>-328.1071</v>
      </c>
      <c r="K5689">
        <v>1.121129</v>
      </c>
      <c r="L5689">
        <v>17.796109999999999</v>
      </c>
      <c r="M5689">
        <v>0.9999091</v>
      </c>
      <c r="N5689">
        <v>-1.349294E-2</v>
      </c>
      <c r="O5689" s="1">
        <v>-3.4625739999999999E-5</v>
      </c>
      <c r="P5689">
        <v>0.99548409999999998</v>
      </c>
      <c r="Q5689">
        <v>-8.565536E-2</v>
      </c>
      <c r="R5689">
        <v>-4.09249E-2</v>
      </c>
      <c r="S5689">
        <v>2.9712519999999998</v>
      </c>
      <c r="T5689">
        <v>-0.28153990000000001</v>
      </c>
      <c r="U5689">
        <v>-0.5068665</v>
      </c>
      <c r="V5689">
        <v>4.0887840000000002E-2</v>
      </c>
      <c r="W5689">
        <v>-7.2217110000000001E-2</v>
      </c>
      <c r="X5689">
        <v>0.99655050000000001</v>
      </c>
      <c r="Y5689">
        <v>0.1672921</v>
      </c>
      <c r="Z5689">
        <v>-8.9886040000000007E-3</v>
      </c>
      <c r="AA5689">
        <v>0.98586640000000003</v>
      </c>
      <c r="AB5689">
        <v>20</v>
      </c>
      <c r="AC5689">
        <v>12.1625</v>
      </c>
      <c r="AD5689">
        <v>-1.1711290000000001</v>
      </c>
      <c r="AE5689">
        <v>-2.1084000000000001</v>
      </c>
      <c r="AF5689">
        <v>2.08917355736618</v>
      </c>
      <c r="AG5689">
        <v>-1.1711290000000001</v>
      </c>
      <c r="AH5689">
        <v>12.0540707572651</v>
      </c>
      <c r="AI5689">
        <v>95.468213434510901</v>
      </c>
      <c r="AJ5689">
        <v>80.167352990317994</v>
      </c>
      <c r="AK5689">
        <v>12.289703458936399</v>
      </c>
      <c r="AL5689">
        <v>94.141340622203003</v>
      </c>
      <c r="AM5689">
        <v>87.650508010461905</v>
      </c>
      <c r="AN5689">
        <v>1.0000000127434301</v>
      </c>
    </row>
    <row r="5690" spans="1:40" x14ac:dyDescent="0.25">
      <c r="A5690" t="str">
        <f>"20190303154632710"</f>
        <v>20190303154632710</v>
      </c>
      <c r="B5690" t="str">
        <f>"1551599192706819"</f>
        <v>1551599192706819</v>
      </c>
      <c r="C5690" t="s">
        <v>40</v>
      </c>
      <c r="D5690">
        <v>4.9085289999999997</v>
      </c>
      <c r="E5690">
        <v>0.52159949999999999</v>
      </c>
      <c r="F5690" t="s">
        <v>43</v>
      </c>
      <c r="G5690">
        <v>-315.31580000000002</v>
      </c>
      <c r="H5690">
        <v>-0.05</v>
      </c>
      <c r="I5690">
        <v>15.52739</v>
      </c>
      <c r="J5690">
        <v>-327.9051</v>
      </c>
      <c r="K5690">
        <v>1.121129</v>
      </c>
      <c r="L5690">
        <v>17.79608</v>
      </c>
      <c r="M5690">
        <v>0.99990900000000005</v>
      </c>
      <c r="N5690">
        <v>-1.3494259999999999E-2</v>
      </c>
      <c r="O5690" s="1">
        <v>-3.4275259999999997E-5</v>
      </c>
      <c r="P5690">
        <v>0.99514860000000005</v>
      </c>
      <c r="Q5690">
        <v>-8.5902210000000007E-2</v>
      </c>
      <c r="R5690">
        <v>-4.7960009999999997E-2</v>
      </c>
      <c r="S5690">
        <v>2.9685969999999999</v>
      </c>
      <c r="T5690">
        <v>-0.2717929</v>
      </c>
      <c r="U5690">
        <v>-0.52651979999999998</v>
      </c>
      <c r="V5690">
        <v>4.7923189999999997E-2</v>
      </c>
      <c r="W5690">
        <v>-7.2467379999999998E-2</v>
      </c>
      <c r="X5690">
        <v>0.99621879999999996</v>
      </c>
      <c r="Y5690">
        <v>0.17379229999999901</v>
      </c>
      <c r="Z5690">
        <v>-9.0599800000000005E-3</v>
      </c>
      <c r="AA5690">
        <v>0.98474070000000002</v>
      </c>
      <c r="AB5690">
        <v>20</v>
      </c>
      <c r="AC5690">
        <v>12.5892999999999</v>
      </c>
      <c r="AD5690">
        <v>-1.1711290000000001</v>
      </c>
      <c r="AE5690">
        <v>-2.2686899999999999</v>
      </c>
      <c r="AF5690">
        <v>2.2494048508238298</v>
      </c>
      <c r="AG5690">
        <v>-1.1711290000000001</v>
      </c>
      <c r="AH5690">
        <v>12.4847357245081</v>
      </c>
      <c r="AI5690">
        <v>95.274504936506901</v>
      </c>
      <c r="AJ5690">
        <v>79.786458539113795</v>
      </c>
      <c r="AK5690">
        <v>12.7397013869384</v>
      </c>
      <c r="AL5690">
        <v>94.155717654023903</v>
      </c>
      <c r="AM5690">
        <v>87.245904766554304</v>
      </c>
      <c r="AN5690">
        <v>1.0000000253886301</v>
      </c>
    </row>
    <row r="5691" spans="1:40" x14ac:dyDescent="0.25">
      <c r="A5691" t="str">
        <f>"20190303154632732"</f>
        <v>20190303154632732</v>
      </c>
      <c r="B5691" t="str">
        <f>"1551599192727314"</f>
        <v>1551599192727314</v>
      </c>
      <c r="C5691" t="s">
        <v>40</v>
      </c>
      <c r="D5691">
        <v>4.8782620000000003</v>
      </c>
      <c r="E5691">
        <v>0.51838269999999997</v>
      </c>
      <c r="F5691" t="s">
        <v>42</v>
      </c>
      <c r="G5691">
        <v>-327.07729999999998</v>
      </c>
      <c r="H5691">
        <v>1.0490139999999999</v>
      </c>
      <c r="I5691">
        <v>17.707999999999998</v>
      </c>
      <c r="J5691">
        <v>-327.71480000000003</v>
      </c>
      <c r="K5691">
        <v>1.12113</v>
      </c>
      <c r="L5691">
        <v>17.796019999999999</v>
      </c>
      <c r="M5691">
        <v>0.9999091</v>
      </c>
      <c r="N5691">
        <v>-1.349508E-2</v>
      </c>
      <c r="O5691" s="1">
        <v>-3.410132E-5</v>
      </c>
      <c r="P5691">
        <v>0.99465780000000004</v>
      </c>
      <c r="Q5691">
        <v>-8.6829950000000003E-2</v>
      </c>
      <c r="R5691">
        <v>-5.5828780000000001E-2</v>
      </c>
      <c r="S5691">
        <v>2.9770509999999999</v>
      </c>
      <c r="T5691">
        <v>-0.25931920000000003</v>
      </c>
      <c r="U5691">
        <v>-0.31594850000000002</v>
      </c>
      <c r="V5691">
        <v>5.5791899999999998E-2</v>
      </c>
      <c r="W5691">
        <v>-7.3401110000000006E-2</v>
      </c>
      <c r="X5691">
        <v>0.99574070000000003</v>
      </c>
      <c r="Y5691">
        <v>0.1050465</v>
      </c>
      <c r="Z5691">
        <v>-5.2635889999999999E-3</v>
      </c>
      <c r="AA5691">
        <v>0.99445340000000004</v>
      </c>
      <c r="AB5691">
        <v>20</v>
      </c>
      <c r="AC5691">
        <v>0.63750000000004503</v>
      </c>
      <c r="AD5691">
        <v>-7.2116E-2</v>
      </c>
      <c r="AE5691">
        <v>-8.8020000000003706E-2</v>
      </c>
      <c r="AF5691">
        <v>8.6906928511629997E-2</v>
      </c>
      <c r="AG5691">
        <v>-7.2116E-2</v>
      </c>
      <c r="AH5691">
        <v>0.62959686699085105</v>
      </c>
      <c r="AI5691">
        <v>96.473507047299904</v>
      </c>
      <c r="AJ5691">
        <v>82.140794325162403</v>
      </c>
      <c r="AK5691">
        <v>0.63964501608628299</v>
      </c>
      <c r="AL5691">
        <v>94.2093594094965</v>
      </c>
      <c r="AM5691">
        <v>86.793039105084503</v>
      </c>
      <c r="AN5691">
        <v>1.0000000003456599</v>
      </c>
    </row>
    <row r="5692" spans="1:40" x14ac:dyDescent="0.25">
      <c r="A5692" t="str">
        <f>"20190303154632755"</f>
        <v>20190303154632755</v>
      </c>
      <c r="B5692" t="str">
        <f>"1551599192746837"</f>
        <v>1551599192746837</v>
      </c>
      <c r="C5692" t="s">
        <v>40</v>
      </c>
      <c r="D5692">
        <v>4.8744449999999997</v>
      </c>
      <c r="E5692">
        <v>0.51689649999999998</v>
      </c>
      <c r="F5692" t="s">
        <v>43</v>
      </c>
      <c r="G5692">
        <v>-312.68310000000002</v>
      </c>
      <c r="H5692">
        <v>-0.05</v>
      </c>
      <c r="I5692">
        <v>16.209820000000001</v>
      </c>
      <c r="J5692">
        <v>-327.50790000000001</v>
      </c>
      <c r="K5692">
        <v>1.12112099999999</v>
      </c>
      <c r="L5692">
        <v>17.796019999999999</v>
      </c>
      <c r="M5692">
        <v>0.99990900000000005</v>
      </c>
      <c r="N5692">
        <v>-1.349561E-2</v>
      </c>
      <c r="O5692" s="1">
        <v>-3.3927000000000002E-5</v>
      </c>
      <c r="P5692">
        <v>0.99410469999999895</v>
      </c>
      <c r="Q5692">
        <v>-8.7619470000000005E-2</v>
      </c>
      <c r="R5692">
        <v>-6.3865770000000002E-2</v>
      </c>
      <c r="S5692">
        <v>2.9782099999999998</v>
      </c>
      <c r="T5692">
        <v>-0.23203470000000001</v>
      </c>
      <c r="U5692">
        <v>-0.31426999999999999</v>
      </c>
      <c r="V5692">
        <v>6.3829079999999996E-2</v>
      </c>
      <c r="W5692">
        <v>-7.4197810000000003E-2</v>
      </c>
      <c r="X5692">
        <v>0.99519869999999999</v>
      </c>
      <c r="Y5692">
        <v>0.10453850000000001</v>
      </c>
      <c r="Z5692">
        <v>-4.7614279999999998E-3</v>
      </c>
      <c r="AA5692">
        <v>0.99450950000000005</v>
      </c>
      <c r="AB5692">
        <v>20</v>
      </c>
      <c r="AC5692">
        <v>14.8247999999999</v>
      </c>
      <c r="AD5692">
        <v>-1.1711210000000001</v>
      </c>
      <c r="AE5692">
        <v>-1.5862000000000001</v>
      </c>
      <c r="AF5692">
        <v>1.5759733035394601</v>
      </c>
      <c r="AG5692">
        <v>-1.1711210000000001</v>
      </c>
      <c r="AH5692">
        <v>14.733945986335399</v>
      </c>
      <c r="AI5692">
        <v>94.518905556967297</v>
      </c>
      <c r="AJ5692">
        <v>83.894737634655598</v>
      </c>
      <c r="AK5692">
        <v>14.8641979460165</v>
      </c>
      <c r="AL5692">
        <v>94.255131949073203</v>
      </c>
      <c r="AM5692">
        <v>86.330245788676805</v>
      </c>
      <c r="AN5692">
        <v>0.99999995947206499</v>
      </c>
    </row>
    <row r="5693" spans="1:40" x14ac:dyDescent="0.25">
      <c r="A5693" t="str">
        <f>"20190303154632777"</f>
        <v>20190303154632777</v>
      </c>
      <c r="B5693" t="str">
        <f>"1551599192767330"</f>
        <v>1551599192767330</v>
      </c>
      <c r="C5693" t="s">
        <v>40</v>
      </c>
      <c r="D5693">
        <v>4.8413969999999997</v>
      </c>
      <c r="E5693">
        <v>0.51582870000000003</v>
      </c>
      <c r="F5693" t="s">
        <v>43</v>
      </c>
      <c r="G5693">
        <v>-312.1164</v>
      </c>
      <c r="H5693">
        <v>-0.05</v>
      </c>
      <c r="I5693">
        <v>16.10689</v>
      </c>
      <c r="J5693">
        <v>-327.31400000000002</v>
      </c>
      <c r="K5693">
        <v>1.1211169999999999</v>
      </c>
      <c r="L5693">
        <v>17.796019999999999</v>
      </c>
      <c r="M5693">
        <v>0.99990900000000005</v>
      </c>
      <c r="N5693">
        <v>-1.3495800000000001E-2</v>
      </c>
      <c r="O5693" s="1">
        <v>-3.3631109999999998E-5</v>
      </c>
      <c r="P5693">
        <v>0.99355519999999997</v>
      </c>
      <c r="Q5693">
        <v>-8.7574970000000002E-2</v>
      </c>
      <c r="R5693">
        <v>-7.1963970000000002E-2</v>
      </c>
      <c r="S5693">
        <v>2.9768680000000001</v>
      </c>
      <c r="T5693">
        <v>-0.2265064</v>
      </c>
      <c r="U5693">
        <v>-0.3266907</v>
      </c>
      <c r="V5693">
        <v>7.1927740000000004E-2</v>
      </c>
      <c r="W5693">
        <v>-7.4160889999999993E-2</v>
      </c>
      <c r="X5693">
        <v>0.99464900000000001</v>
      </c>
      <c r="Y5693">
        <v>0.1086886</v>
      </c>
      <c r="Z5693">
        <v>-4.8515090000000004E-3</v>
      </c>
      <c r="AA5693">
        <v>0.99406399999999995</v>
      </c>
      <c r="AB5693">
        <v>20</v>
      </c>
      <c r="AC5693">
        <v>15.1976</v>
      </c>
      <c r="AD5693">
        <v>-1.171117</v>
      </c>
      <c r="AE5693">
        <v>-1.68913</v>
      </c>
      <c r="AF5693">
        <v>1.6787716990428501</v>
      </c>
      <c r="AG5693">
        <v>-1.171117</v>
      </c>
      <c r="AH5693">
        <v>15.109032023186201</v>
      </c>
      <c r="AI5693">
        <v>94.405193155474706</v>
      </c>
      <c r="AJ5693">
        <v>83.659844352912899</v>
      </c>
      <c r="AK5693">
        <v>15.2470534242804</v>
      </c>
      <c r="AL5693">
        <v>94.253010421647403</v>
      </c>
      <c r="AM5693">
        <v>85.863872941198807</v>
      </c>
      <c r="AN5693">
        <v>1.0000000352940399</v>
      </c>
    </row>
    <row r="5694" spans="1:40" x14ac:dyDescent="0.25">
      <c r="A5694" t="str">
        <f>"20190303154632799"</f>
        <v>20190303154632799</v>
      </c>
      <c r="B5694" t="str">
        <f>"1551599192786850"</f>
        <v>1551599192786850</v>
      </c>
      <c r="C5694" t="s">
        <v>40</v>
      </c>
      <c r="D5694">
        <v>4.8244210000000001</v>
      </c>
      <c r="E5694">
        <v>0.51435620000000004</v>
      </c>
      <c r="F5694" t="s">
        <v>43</v>
      </c>
      <c r="G5694">
        <v>-311.46269999999998</v>
      </c>
      <c r="H5694">
        <v>-0.05</v>
      </c>
      <c r="I5694">
        <v>15.97099</v>
      </c>
      <c r="J5694">
        <v>-327.11250000000001</v>
      </c>
      <c r="K5694">
        <v>1.12112099999999</v>
      </c>
      <c r="L5694">
        <v>17.796019999999999</v>
      </c>
      <c r="M5694">
        <v>0.9999091</v>
      </c>
      <c r="N5694">
        <v>-1.3495689999999999E-2</v>
      </c>
      <c r="O5694" s="1">
        <v>-3.3630580000000001E-5</v>
      </c>
      <c r="P5694">
        <v>0.99304519999999996</v>
      </c>
      <c r="Q5694">
        <v>-8.6336339999999998E-2</v>
      </c>
      <c r="R5694">
        <v>-8.0047289999999993E-2</v>
      </c>
      <c r="S5694">
        <v>2.975311</v>
      </c>
      <c r="T5694">
        <v>-0.2198205</v>
      </c>
      <c r="U5694">
        <v>-0.34255980000000003</v>
      </c>
      <c r="V5694">
        <v>8.0011170000000006E-2</v>
      </c>
      <c r="W5694">
        <v>-7.2929640000000004E-2</v>
      </c>
      <c r="X5694">
        <v>0.99412239999999996</v>
      </c>
      <c r="Y5694">
        <v>0.11398179999999999</v>
      </c>
      <c r="Z5694">
        <v>-4.9619599999999996E-3</v>
      </c>
      <c r="AA5694">
        <v>0.99347039999999998</v>
      </c>
      <c r="AB5694">
        <v>20</v>
      </c>
      <c r="AC5694">
        <v>15.649800000000001</v>
      </c>
      <c r="AD5694">
        <v>-1.1711210000000001</v>
      </c>
      <c r="AE5694">
        <v>-1.8250299999999999</v>
      </c>
      <c r="AF5694">
        <v>1.81447893651998</v>
      </c>
      <c r="AG5694">
        <v>-1.1711210000000001</v>
      </c>
      <c r="AH5694">
        <v>15.563873488956499</v>
      </c>
      <c r="AI5694">
        <v>94.274334522385701</v>
      </c>
      <c r="AJ5694">
        <v>83.350319361473595</v>
      </c>
      <c r="AK5694">
        <v>15.7129887732398</v>
      </c>
      <c r="AL5694">
        <v>94.182273855603199</v>
      </c>
      <c r="AM5694">
        <v>85.398512239850007</v>
      </c>
      <c r="AN5694">
        <v>0.99999993294852696</v>
      </c>
    </row>
    <row r="5695" spans="1:40" x14ac:dyDescent="0.25">
      <c r="A5695" t="str">
        <f>"20190303154632823"</f>
        <v>20190303154632823</v>
      </c>
      <c r="B5695" t="str">
        <f>"1551599192817106"</f>
        <v>1551599192817106</v>
      </c>
      <c r="C5695" t="s">
        <v>40</v>
      </c>
      <c r="D5695">
        <v>4.8356729999999999</v>
      </c>
      <c r="E5695">
        <v>0.51233419999999996</v>
      </c>
      <c r="F5695" t="s">
        <v>43</v>
      </c>
      <c r="G5695">
        <v>-311.12079999999997</v>
      </c>
      <c r="H5695">
        <v>-0.05</v>
      </c>
      <c r="I5695">
        <v>15.886729999999901</v>
      </c>
      <c r="J5695">
        <v>-326.89679999999998</v>
      </c>
      <c r="K5695">
        <v>1.121138</v>
      </c>
      <c r="L5695">
        <v>17.796019999999999</v>
      </c>
      <c r="M5695">
        <v>0.99990889999999999</v>
      </c>
      <c r="N5695">
        <v>-1.349527E-2</v>
      </c>
      <c r="O5695" s="1">
        <v>-2.6485730000000002E-5</v>
      </c>
      <c r="P5695">
        <v>0.99255289999999996</v>
      </c>
      <c r="Q5695">
        <v>-8.3047570000000001E-2</v>
      </c>
      <c r="R5695">
        <v>-8.911645E-2</v>
      </c>
      <c r="S5695">
        <v>2.9734799999999999</v>
      </c>
      <c r="T5695">
        <v>-0.21775639999999999</v>
      </c>
      <c r="U5695">
        <v>-0.35501100000000002</v>
      </c>
      <c r="V5695">
        <v>8.9087929999999996E-2</v>
      </c>
      <c r="W5695">
        <v>-6.9647920000000002E-2</v>
      </c>
      <c r="X5695">
        <v>0.99358570000000002</v>
      </c>
      <c r="Y5695">
        <v>0.11815390000000001</v>
      </c>
      <c r="Z5695">
        <v>-5.105152E-3</v>
      </c>
      <c r="AA5695">
        <v>0.99298209999999998</v>
      </c>
      <c r="AB5695">
        <v>20</v>
      </c>
      <c r="AC5695">
        <v>15.776</v>
      </c>
      <c r="AD5695">
        <v>-1.171138</v>
      </c>
      <c r="AE5695">
        <v>-1.9092899999999999</v>
      </c>
      <c r="AF5695">
        <v>1.8985603867388099</v>
      </c>
      <c r="AG5695">
        <v>-1.171138</v>
      </c>
      <c r="AH5695">
        <v>15.6908282730795</v>
      </c>
      <c r="AI5695">
        <v>94.237754400386507</v>
      </c>
      <c r="AJ5695">
        <v>83.100858223418896</v>
      </c>
      <c r="AK5695">
        <v>15.8486020724987</v>
      </c>
      <c r="AL5695">
        <v>93.993765093959396</v>
      </c>
      <c r="AM5695">
        <v>84.876386383641901</v>
      </c>
      <c r="AN5695">
        <v>1.00000001763825</v>
      </c>
    </row>
    <row r="5696" spans="1:40" x14ac:dyDescent="0.25">
      <c r="A5696" t="str">
        <f>"20190303154632843"</f>
        <v>20190303154632843</v>
      </c>
      <c r="B5696" t="str">
        <f>"1551599192837602"</f>
        <v>1551599192837602</v>
      </c>
      <c r="C5696" t="s">
        <v>40</v>
      </c>
      <c r="D5696">
        <v>4.8942759999999996</v>
      </c>
      <c r="E5696">
        <v>0.49817699999999998</v>
      </c>
      <c r="F5696" t="s">
        <v>43</v>
      </c>
      <c r="G5696">
        <v>-310.03829999999999</v>
      </c>
      <c r="H5696">
        <v>-0.05</v>
      </c>
      <c r="I5696">
        <v>15.72002</v>
      </c>
      <c r="J5696">
        <v>-326.71469999999999</v>
      </c>
      <c r="K5696">
        <v>1.121176</v>
      </c>
      <c r="L5696">
        <v>17.796050000000001</v>
      </c>
      <c r="M5696">
        <v>0.9999091</v>
      </c>
      <c r="N5696">
        <v>-1.349471E-2</v>
      </c>
      <c r="O5696" s="1">
        <v>5.0803649999999998E-6</v>
      </c>
      <c r="P5696">
        <v>0.99208580000000002</v>
      </c>
      <c r="Q5696">
        <v>-7.9374089999999994E-2</v>
      </c>
      <c r="R5696">
        <v>-9.7294909999999998E-2</v>
      </c>
      <c r="S5696">
        <v>2.9723820000000001</v>
      </c>
      <c r="T5696">
        <v>-0.20648739999999999</v>
      </c>
      <c r="U5696">
        <v>-0.36602780000000001</v>
      </c>
      <c r="V5696">
        <v>9.7299780000000002E-2</v>
      </c>
      <c r="W5696">
        <v>-6.5978869999999995E-2</v>
      </c>
      <c r="X5696">
        <v>0.99306570000000005</v>
      </c>
      <c r="Y5696">
        <v>0.121878399999999</v>
      </c>
      <c r="Z5696">
        <v>-5.0393590000000002E-3</v>
      </c>
      <c r="AA5696">
        <v>0.99253230000000003</v>
      </c>
      <c r="AB5696">
        <v>20</v>
      </c>
      <c r="AC5696">
        <v>16.676400000000001</v>
      </c>
      <c r="AD5696">
        <v>-1.171176</v>
      </c>
      <c r="AE5696">
        <v>-2.0760299999999998</v>
      </c>
      <c r="AF5696">
        <v>2.0660799472310498</v>
      </c>
      <c r="AG5696">
        <v>-1.171176</v>
      </c>
      <c r="AH5696">
        <v>16.595785070482901</v>
      </c>
      <c r="AI5696">
        <v>94.005888251145706</v>
      </c>
      <c r="AJ5696">
        <v>82.903516512265</v>
      </c>
      <c r="AK5696">
        <v>16.764856744899198</v>
      </c>
      <c r="AL5696">
        <v>93.783059031489103</v>
      </c>
      <c r="AM5696">
        <v>84.404066754242194</v>
      </c>
      <c r="AN5696">
        <v>0.99999997149550701</v>
      </c>
    </row>
    <row r="5697" spans="1:40" x14ac:dyDescent="0.25">
      <c r="A5697" t="str">
        <f>"20190303154632866"</f>
        <v>20190303154632866</v>
      </c>
      <c r="B5697" t="str">
        <f>"1551599192857122"</f>
        <v>1551599192857122</v>
      </c>
      <c r="C5697" t="s">
        <v>40</v>
      </c>
      <c r="D5697">
        <v>4.8662700000000001</v>
      </c>
      <c r="E5697">
        <v>0.49755139999999998</v>
      </c>
      <c r="F5697" t="s">
        <v>42</v>
      </c>
      <c r="G5697">
        <v>-325.82319999999999</v>
      </c>
      <c r="H5697">
        <v>1.049634</v>
      </c>
      <c r="I5697">
        <v>17.71303</v>
      </c>
      <c r="J5697">
        <v>-326.51220000000001</v>
      </c>
      <c r="K5697">
        <v>1.1212310000000001</v>
      </c>
      <c r="L5697">
        <v>17.796109999999999</v>
      </c>
      <c r="M5697">
        <v>0.99990889999999999</v>
      </c>
      <c r="N5697">
        <v>-1.349392E-2</v>
      </c>
      <c r="O5697" s="1">
        <v>7.97188E-5</v>
      </c>
      <c r="P5697">
        <v>0.99152300000000004</v>
      </c>
      <c r="Q5697">
        <v>-7.8613730000000007E-2</v>
      </c>
      <c r="R5697">
        <v>-0.1034496</v>
      </c>
      <c r="S5697">
        <v>2.9775999999999998</v>
      </c>
      <c r="T5697">
        <v>-0.2389212</v>
      </c>
      <c r="U5697">
        <v>-0.2774353</v>
      </c>
      <c r="V5697">
        <v>0.10353279999999999</v>
      </c>
      <c r="W5697">
        <v>-6.5220490000000006E-2</v>
      </c>
      <c r="X5697">
        <v>0.99248539999999996</v>
      </c>
      <c r="Y5697">
        <v>9.2506660000000004E-2</v>
      </c>
      <c r="Z5697">
        <v>-4.3293990000000003E-3</v>
      </c>
      <c r="AA5697">
        <v>0.99570259999999999</v>
      </c>
      <c r="AB5697">
        <v>20</v>
      </c>
      <c r="AC5697">
        <v>0.68900000000002104</v>
      </c>
      <c r="AD5697">
        <v>-7.1596999999999897E-2</v>
      </c>
      <c r="AE5697">
        <v>-8.3080000000002402E-2</v>
      </c>
      <c r="AF5697">
        <v>8.2259407606659299E-2</v>
      </c>
      <c r="AG5697">
        <v>-7.1596999999999897E-2</v>
      </c>
      <c r="AH5697">
        <v>0.68173734105429795</v>
      </c>
      <c r="AI5697">
        <v>95.952443439873406</v>
      </c>
      <c r="AJ5697">
        <v>83.1198699136107</v>
      </c>
      <c r="AK5697">
        <v>0.690404622476257</v>
      </c>
      <c r="AL5697">
        <v>93.739513110926296</v>
      </c>
      <c r="AM5697">
        <v>84.044633173689704</v>
      </c>
      <c r="AN5697">
        <v>1.0000000111024101</v>
      </c>
    </row>
    <row r="5698" spans="1:40" x14ac:dyDescent="0.25">
      <c r="A5698" t="str">
        <f>"20190303154632890"</f>
        <v>20190303154632890</v>
      </c>
      <c r="B5698" t="str">
        <f>"1551599192887378"</f>
        <v>1551599192887378</v>
      </c>
      <c r="C5698" t="s">
        <v>40</v>
      </c>
      <c r="D5698">
        <v>4.8807499999999999</v>
      </c>
      <c r="E5698">
        <v>0.4966506</v>
      </c>
      <c r="F5698" t="s">
        <v>42</v>
      </c>
      <c r="G5698">
        <v>-325.63889999999998</v>
      </c>
      <c r="H5698">
        <v>1.0528329999999999</v>
      </c>
      <c r="I5698">
        <v>17.710570000000001</v>
      </c>
      <c r="J5698">
        <v>-326.30470000000003</v>
      </c>
      <c r="K5698">
        <v>1.121289</v>
      </c>
      <c r="L5698">
        <v>17.79626</v>
      </c>
      <c r="M5698">
        <v>0.99990900000000005</v>
      </c>
      <c r="N5698">
        <v>-1.349303E-2</v>
      </c>
      <c r="O5698">
        <v>2.18087E-4</v>
      </c>
      <c r="P5698">
        <v>0.99078770000000005</v>
      </c>
      <c r="Q5698">
        <v>-8.1442360000000005E-2</v>
      </c>
      <c r="R5698">
        <v>-0.1082004</v>
      </c>
      <c r="S5698">
        <v>2.9768370000000002</v>
      </c>
      <c r="T5698">
        <v>-0.23318449999999999</v>
      </c>
      <c r="U5698">
        <v>-0.29095460000000001</v>
      </c>
      <c r="V5698">
        <v>0.1084278</v>
      </c>
      <c r="W5698">
        <v>-6.8048510000000006E-2</v>
      </c>
      <c r="X5698">
        <v>0.9917726</v>
      </c>
      <c r="Y5698">
        <v>9.7146469999999999E-2</v>
      </c>
      <c r="Z5698">
        <v>-4.4623170000000004E-3</v>
      </c>
      <c r="AA5698">
        <v>0.99526009999999998</v>
      </c>
      <c r="AB5698">
        <v>20</v>
      </c>
      <c r="AC5698">
        <v>0.66580000000004702</v>
      </c>
      <c r="AD5698">
        <v>-6.8456000000000003E-2</v>
      </c>
      <c r="AE5698">
        <v>-8.56899999999996E-2</v>
      </c>
      <c r="AF5698">
        <v>8.4951781551977495E-2</v>
      </c>
      <c r="AG5698">
        <v>-6.8456000000000003E-2</v>
      </c>
      <c r="AH5698">
        <v>0.65892894995658802</v>
      </c>
      <c r="AI5698">
        <v>95.882826607034502</v>
      </c>
      <c r="AJ5698">
        <v>82.653719683822203</v>
      </c>
      <c r="AK5698">
        <v>0.66789998518921001</v>
      </c>
      <c r="AL5698">
        <v>93.901907595951201</v>
      </c>
      <c r="AM5698">
        <v>83.760787541432904</v>
      </c>
      <c r="AN5698">
        <v>1.0000000388184</v>
      </c>
    </row>
    <row r="5699" spans="1:40" x14ac:dyDescent="0.25">
      <c r="A5699" t="str">
        <f>"20190303154632911"</f>
        <v>20190303154632911</v>
      </c>
      <c r="B5699" t="str">
        <f>"1551599192906898"</f>
        <v>1551599192906898</v>
      </c>
      <c r="C5699" t="s">
        <v>40</v>
      </c>
      <c r="D5699">
        <v>4.8859949999999897</v>
      </c>
      <c r="E5699">
        <v>0.49613020000000002</v>
      </c>
      <c r="F5699" t="s">
        <v>43</v>
      </c>
      <c r="G5699">
        <v>-311.2731</v>
      </c>
      <c r="H5699">
        <v>-0.05</v>
      </c>
      <c r="I5699">
        <v>16.291049999999998</v>
      </c>
      <c r="J5699">
        <v>-326.11410000000001</v>
      </c>
      <c r="K5699">
        <v>1.121346</v>
      </c>
      <c r="L5699">
        <v>17.796479999999999</v>
      </c>
      <c r="M5699">
        <v>0.99990900000000005</v>
      </c>
      <c r="N5699">
        <v>-1.3492179999999999E-2</v>
      </c>
      <c r="O5699">
        <v>4.0014759999999999E-4</v>
      </c>
      <c r="P5699">
        <v>0.99032869999999995</v>
      </c>
      <c r="Q5699">
        <v>-8.1816550000000002E-2</v>
      </c>
      <c r="R5699">
        <v>-0.1120514</v>
      </c>
      <c r="S5699">
        <v>2.9762879999999998</v>
      </c>
      <c r="T5699">
        <v>-0.2319174</v>
      </c>
      <c r="U5699">
        <v>-0.29803469999999999</v>
      </c>
      <c r="V5699">
        <v>0.1124661</v>
      </c>
      <c r="W5699">
        <v>-6.8417660000000005E-2</v>
      </c>
      <c r="X5699">
        <v>0.99129730000000005</v>
      </c>
      <c r="Y5699">
        <v>9.9683880000000002E-2</v>
      </c>
      <c r="Z5699">
        <v>-4.5693069999999999E-3</v>
      </c>
      <c r="AA5699">
        <v>0.99500860000000002</v>
      </c>
      <c r="AB5699">
        <v>20</v>
      </c>
      <c r="AC5699">
        <v>14.840999999999999</v>
      </c>
      <c r="AD5699">
        <v>-1.171346</v>
      </c>
      <c r="AE5699">
        <v>-1.50543</v>
      </c>
      <c r="AF5699">
        <v>1.5021071303861599</v>
      </c>
      <c r="AG5699">
        <v>-1.171346</v>
      </c>
      <c r="AH5699">
        <v>14.749452348842601</v>
      </c>
      <c r="AI5699">
        <v>94.517416497302506</v>
      </c>
      <c r="AJ5699">
        <v>84.184957503786094</v>
      </c>
      <c r="AK5699">
        <v>14.871944118831699</v>
      </c>
      <c r="AL5699">
        <v>93.923108017781303</v>
      </c>
      <c r="AM5699">
        <v>83.527273014674805</v>
      </c>
      <c r="AN5699">
        <v>0.99999996841818695</v>
      </c>
    </row>
    <row r="5700" spans="1:40" x14ac:dyDescent="0.25">
      <c r="A5700" t="str">
        <f>"20190303154632932"</f>
        <v>20190303154632932</v>
      </c>
      <c r="B5700" t="str">
        <f>"1551599192927395"</f>
        <v>1551599192927395</v>
      </c>
      <c r="C5700" t="s">
        <v>40</v>
      </c>
      <c r="D5700">
        <v>5.0518780000000003</v>
      </c>
      <c r="E5700">
        <v>0.52820029999999996</v>
      </c>
      <c r="F5700" t="s">
        <v>43</v>
      </c>
      <c r="G5700">
        <v>-311.15300000000002</v>
      </c>
      <c r="H5700">
        <v>-0.05</v>
      </c>
      <c r="I5700">
        <v>16.260770000000001</v>
      </c>
      <c r="J5700">
        <v>-325.9212</v>
      </c>
      <c r="K5700">
        <v>1.1213839999999999</v>
      </c>
      <c r="L5700">
        <v>17.796810000000001</v>
      </c>
      <c r="M5700">
        <v>0.99990889999999999</v>
      </c>
      <c r="N5700">
        <v>-1.349119E-2</v>
      </c>
      <c r="O5700">
        <v>6.2011420000000002E-4</v>
      </c>
      <c r="P5700">
        <v>0.99059240000000004</v>
      </c>
      <c r="Q5700">
        <v>-7.9010639999999993E-2</v>
      </c>
      <c r="R5700">
        <v>-0.1117329</v>
      </c>
      <c r="S5700">
        <v>2.9754640000000001</v>
      </c>
      <c r="T5700">
        <v>-0.23295640000000001</v>
      </c>
      <c r="U5700">
        <v>-0.30541990000000002</v>
      </c>
      <c r="V5700">
        <v>0.11237</v>
      </c>
      <c r="W5700">
        <v>-6.5601209999999993E-2</v>
      </c>
      <c r="X5700">
        <v>0.99149860000000001</v>
      </c>
      <c r="Y5700">
        <v>0.1023612</v>
      </c>
      <c r="Z5700">
        <v>-4.724069E-3</v>
      </c>
      <c r="AA5700">
        <v>0.99473610000000001</v>
      </c>
      <c r="AB5700">
        <v>20</v>
      </c>
      <c r="AC5700">
        <v>14.768199999999901</v>
      </c>
      <c r="AD5700">
        <v>-1.171384</v>
      </c>
      <c r="AE5700">
        <v>-1.5360399999999901</v>
      </c>
      <c r="AF5700">
        <v>1.53564066128695</v>
      </c>
      <c r="AG5700">
        <v>-1.171384</v>
      </c>
      <c r="AH5700">
        <v>14.6759015604531</v>
      </c>
      <c r="AI5700">
        <v>94.538817758715993</v>
      </c>
      <c r="AJ5700">
        <v>84.026485765104297</v>
      </c>
      <c r="AK5700">
        <v>14.8024463967334</v>
      </c>
      <c r="AL5700">
        <v>93.761373600002301</v>
      </c>
      <c r="AM5700">
        <v>83.534058848457605</v>
      </c>
      <c r="AN5700">
        <v>1.00000000472771</v>
      </c>
    </row>
    <row r="5701" spans="1:40" x14ac:dyDescent="0.25">
      <c r="A5701" t="str">
        <f>"20190303154632955"</f>
        <v>20190303154632955</v>
      </c>
      <c r="B5701" t="str">
        <f>"1551599192946918"</f>
        <v>1551599192946918</v>
      </c>
      <c r="C5701" t="s">
        <v>40</v>
      </c>
      <c r="D5701">
        <v>4.9047140000000002</v>
      </c>
      <c r="E5701">
        <v>0.59661690000000001</v>
      </c>
      <c r="F5701" t="s">
        <v>43</v>
      </c>
      <c r="G5701">
        <v>-310.27170000000001</v>
      </c>
      <c r="H5701">
        <v>-0.05</v>
      </c>
      <c r="I5701">
        <v>14.83095</v>
      </c>
      <c r="J5701">
        <v>-325.7192</v>
      </c>
      <c r="K5701">
        <v>1.121397</v>
      </c>
      <c r="L5701">
        <v>17.797239999999999</v>
      </c>
      <c r="M5701">
        <v>0.99990869999999998</v>
      </c>
      <c r="N5701">
        <v>-1.3489839999999999E-2</v>
      </c>
      <c r="O5701">
        <v>8.5641059999999895E-4</v>
      </c>
      <c r="P5701">
        <v>0.99050590000000005</v>
      </c>
      <c r="Q5701">
        <v>-7.7011659999999996E-2</v>
      </c>
      <c r="R5701">
        <v>-0.1138754</v>
      </c>
      <c r="S5701">
        <v>2.9479060000000001</v>
      </c>
      <c r="T5701">
        <v>-0.22065480000000001</v>
      </c>
      <c r="U5701">
        <v>-0.55868530000000005</v>
      </c>
      <c r="V5701">
        <v>0.1147466</v>
      </c>
      <c r="W5701">
        <v>-6.3602969999999995E-2</v>
      </c>
      <c r="X5701">
        <v>0.99135660000000003</v>
      </c>
      <c r="Y5701">
        <v>0.18644759999999999</v>
      </c>
      <c r="Z5701">
        <v>-8.2297159999999998E-3</v>
      </c>
      <c r="AA5701">
        <v>0.98243049999999998</v>
      </c>
      <c r="AB5701">
        <v>20</v>
      </c>
      <c r="AC5701">
        <v>15.4474999999999</v>
      </c>
      <c r="AD5701">
        <v>-1.171397</v>
      </c>
      <c r="AE5701">
        <v>-2.9662899999999901</v>
      </c>
      <c r="AF5701">
        <v>2.9630867573383499</v>
      </c>
      <c r="AG5701">
        <v>-1.171397</v>
      </c>
      <c r="AH5701">
        <v>15.359771138607</v>
      </c>
      <c r="AI5701">
        <v>94.282503974082303</v>
      </c>
      <c r="AJ5701">
        <v>79.081077922205395</v>
      </c>
      <c r="AK5701">
        <v>15.6867658710618</v>
      </c>
      <c r="AL5701">
        <v>93.646643168237603</v>
      </c>
      <c r="AM5701">
        <v>83.397563166310803</v>
      </c>
      <c r="AN5701">
        <v>1.00000001418397</v>
      </c>
    </row>
    <row r="5702" spans="1:40" x14ac:dyDescent="0.25">
      <c r="A5702" t="str">
        <f>"20190303154632967"</f>
        <v>20190303154632967</v>
      </c>
      <c r="B5702" t="str">
        <f>"1551599192957650"</f>
        <v>1551599192957650</v>
      </c>
      <c r="C5702" t="s">
        <v>40</v>
      </c>
      <c r="D5702">
        <v>5.027533</v>
      </c>
      <c r="E5702">
        <v>0.60204829999999998</v>
      </c>
      <c r="F5702" t="s">
        <v>68</v>
      </c>
      <c r="G5702">
        <v>-279.02</v>
      </c>
      <c r="H5702">
        <v>0.69342769999999898</v>
      </c>
      <c r="I5702">
        <v>-2.6874539999999999E-2</v>
      </c>
      <c r="J5702">
        <v>-325.61439999999999</v>
      </c>
      <c r="K5702">
        <v>1.121378</v>
      </c>
      <c r="L5702">
        <v>17.797450000000001</v>
      </c>
      <c r="M5702">
        <v>0.99990860000000004</v>
      </c>
      <c r="N5702">
        <v>-1.3489019999999999E-2</v>
      </c>
      <c r="O5702">
        <v>9.6900420000000005E-4</v>
      </c>
      <c r="P5702">
        <v>0.99044920000000003</v>
      </c>
      <c r="Q5702">
        <v>-7.7763600000000002E-2</v>
      </c>
      <c r="R5702">
        <v>-0.1138569</v>
      </c>
      <c r="S5702">
        <v>2.8994450000000001</v>
      </c>
      <c r="T5702">
        <v>-2.6571629999999999E-2</v>
      </c>
      <c r="U5702">
        <v>-1.1066590000000001</v>
      </c>
      <c r="V5702">
        <v>0.1148378</v>
      </c>
      <c r="W5702">
        <v>-6.4359689999999997E-2</v>
      </c>
      <c r="X5702">
        <v>0.99129719999999999</v>
      </c>
      <c r="Y5702">
        <v>0.35745830000000001</v>
      </c>
      <c r="Z5702">
        <v>-4.0712509999999997E-3</v>
      </c>
      <c r="AA5702">
        <v>0.93392030000000004</v>
      </c>
      <c r="AB5702">
        <v>20</v>
      </c>
      <c r="AC5702">
        <v>46.5944</v>
      </c>
      <c r="AD5702">
        <v>-0.42795030000000001</v>
      </c>
      <c r="AE5702">
        <v>-17.824324539999999</v>
      </c>
      <c r="AF5702">
        <v>17.868155565623301</v>
      </c>
      <c r="AG5702">
        <v>-0.42795030000000001</v>
      </c>
      <c r="AH5702">
        <v>46.5736774461541</v>
      </c>
      <c r="AI5702">
        <v>90.491526685076394</v>
      </c>
      <c r="AJ5702">
        <v>69.010513024355006</v>
      </c>
      <c r="AK5702">
        <v>49.885484418164999</v>
      </c>
      <c r="AL5702">
        <v>93.690089046717802</v>
      </c>
      <c r="AM5702">
        <v>83.391969532354494</v>
      </c>
      <c r="AN5702">
        <v>1.00000001436678</v>
      </c>
    </row>
    <row r="5703" spans="1:40" x14ac:dyDescent="0.25">
      <c r="A5703" t="str">
        <f>"20190303154632980"</f>
        <v>20190303154632980</v>
      </c>
      <c r="B5703" t="str">
        <f>"1551599192977171"</f>
        <v>1551599192977171</v>
      </c>
      <c r="C5703" t="s">
        <v>40</v>
      </c>
      <c r="D5703">
        <v>4.9877409999999998</v>
      </c>
      <c r="E5703">
        <v>0.60638269999999905</v>
      </c>
      <c r="F5703" t="s">
        <v>43</v>
      </c>
      <c r="G5703">
        <v>-276.1549</v>
      </c>
      <c r="H5703">
        <v>-0.05</v>
      </c>
      <c r="I5703">
        <v>-1.8732759999999999</v>
      </c>
      <c r="J5703">
        <v>-325.49779999999998</v>
      </c>
      <c r="K5703">
        <v>1.121348</v>
      </c>
      <c r="L5703">
        <v>17.797729999999898</v>
      </c>
      <c r="M5703">
        <v>0.99990849999999998</v>
      </c>
      <c r="N5703">
        <v>-1.348806E-2</v>
      </c>
      <c r="O5703">
        <v>1.0852559999999999E-3</v>
      </c>
      <c r="P5703">
        <v>0.99024420000000002</v>
      </c>
      <c r="Q5703">
        <v>-8.0188259999999997E-2</v>
      </c>
      <c r="R5703">
        <v>-0.11395959999999999</v>
      </c>
      <c r="S5703">
        <v>2.8913570000000002</v>
      </c>
      <c r="T5703">
        <v>-6.8477750000000004E-2</v>
      </c>
      <c r="U5703">
        <v>-1.1499330000000001</v>
      </c>
      <c r="V5703">
        <v>0.115053</v>
      </c>
      <c r="W5703">
        <v>-6.67938E-2</v>
      </c>
      <c r="X5703">
        <v>0.99111119999999997</v>
      </c>
      <c r="Y5703">
        <v>0.370419</v>
      </c>
      <c r="Z5703">
        <v>-6.8260019999999899E-3</v>
      </c>
      <c r="AA5703">
        <v>0.92883970000000005</v>
      </c>
      <c r="AB5703">
        <v>20</v>
      </c>
      <c r="AC5703">
        <v>49.342899999999901</v>
      </c>
      <c r="AD5703">
        <v>-1.1713480000000001</v>
      </c>
      <c r="AE5703">
        <v>-19.671005999999998</v>
      </c>
      <c r="AF5703">
        <v>19.714962427753999</v>
      </c>
      <c r="AG5703">
        <v>-1.1713480000000001</v>
      </c>
      <c r="AH5703">
        <v>49.297549653890101</v>
      </c>
      <c r="AI5703">
        <v>91.263851718676406</v>
      </c>
      <c r="AJ5703">
        <v>68.202655911732506</v>
      </c>
      <c r="AK5703">
        <v>53.106498675233901</v>
      </c>
      <c r="AL5703">
        <v>93.829854175753496</v>
      </c>
      <c r="AM5703">
        <v>83.378464864165593</v>
      </c>
      <c r="AN5703">
        <v>1.0000000076464399</v>
      </c>
    </row>
    <row r="5704" spans="1:40" x14ac:dyDescent="0.25">
      <c r="A5704" t="str">
        <f>"20190303154632992"</f>
        <v>20190303154632992</v>
      </c>
      <c r="B5704" t="str">
        <f>"1551599192986930"</f>
        <v>1551599192986930</v>
      </c>
      <c r="C5704" t="s">
        <v>40</v>
      </c>
      <c r="D5704">
        <v>4.9781789999999999</v>
      </c>
      <c r="E5704">
        <v>0.60791790000000001</v>
      </c>
      <c r="F5704" t="s">
        <v>43</v>
      </c>
      <c r="G5704">
        <v>-293.85480000000001</v>
      </c>
      <c r="H5704">
        <v>-0.05</v>
      </c>
      <c r="I5704">
        <v>4.8042449999999999</v>
      </c>
      <c r="J5704">
        <v>-325.3886</v>
      </c>
      <c r="K5704">
        <v>1.1213089999999999</v>
      </c>
      <c r="L5704">
        <v>17.797940000000001</v>
      </c>
      <c r="M5704">
        <v>0.99990840000000003</v>
      </c>
      <c r="N5704">
        <v>-1.348718E-2</v>
      </c>
      <c r="O5704">
        <v>1.170567E-3</v>
      </c>
      <c r="P5704">
        <v>0.99002469999999998</v>
      </c>
      <c r="Q5704">
        <v>-8.2741040000000002E-2</v>
      </c>
      <c r="R5704">
        <v>-0.114041</v>
      </c>
      <c r="S5704">
        <v>2.8845519999999998</v>
      </c>
      <c r="T5704">
        <v>-0.10677929999999999</v>
      </c>
      <c r="U5704">
        <v>-1.1844790000000001</v>
      </c>
      <c r="V5704">
        <v>0.1152145</v>
      </c>
      <c r="W5704">
        <v>-6.9358299999999998E-2</v>
      </c>
      <c r="X5704">
        <v>0.99091629999999997</v>
      </c>
      <c r="Y5704">
        <v>0.38061739999999999</v>
      </c>
      <c r="Z5704">
        <v>-9.4627540000000003E-3</v>
      </c>
      <c r="AA5704">
        <v>0.92468419999999896</v>
      </c>
      <c r="AB5704">
        <v>20</v>
      </c>
      <c r="AC5704">
        <v>31.5337999999999</v>
      </c>
      <c r="AD5704">
        <v>-1.1713089999999999</v>
      </c>
      <c r="AE5704">
        <v>-12.993694999999899</v>
      </c>
      <c r="AF5704">
        <v>13.0152509408512</v>
      </c>
      <c r="AG5704">
        <v>-1.1713089999999999</v>
      </c>
      <c r="AH5704">
        <v>31.481435997945201</v>
      </c>
      <c r="AI5704">
        <v>91.969267339081796</v>
      </c>
      <c r="AJ5704">
        <v>67.538515923633099</v>
      </c>
      <c r="AK5704">
        <v>34.085914016196298</v>
      </c>
      <c r="AL5704">
        <v>93.977130798590593</v>
      </c>
      <c r="AM5704">
        <v>83.367960356824298</v>
      </c>
      <c r="AN5704">
        <v>1.00000003419741</v>
      </c>
    </row>
    <row r="5705" spans="1:40" x14ac:dyDescent="0.25">
      <c r="A5705" t="str">
        <f>"20190303154633005"</f>
        <v>20190303154633005</v>
      </c>
      <c r="B5705" t="str">
        <f>"1551599192997667"</f>
        <v>1551599192997667</v>
      </c>
      <c r="C5705" t="s">
        <v>40</v>
      </c>
      <c r="D5705">
        <v>4.2864719999999998</v>
      </c>
      <c r="E5705">
        <v>0.6158013</v>
      </c>
      <c r="F5705" t="s">
        <v>43</v>
      </c>
      <c r="G5705">
        <v>-296.22539999999998</v>
      </c>
      <c r="H5705">
        <v>-0.05</v>
      </c>
      <c r="I5705">
        <v>5.6878199999999897</v>
      </c>
      <c r="J5705">
        <v>-325.27300000000002</v>
      </c>
      <c r="K5705">
        <v>1.121259</v>
      </c>
      <c r="L5705">
        <v>17.798159999999999</v>
      </c>
      <c r="M5705">
        <v>0.99990829999999997</v>
      </c>
      <c r="N5705">
        <v>-1.348628E-2</v>
      </c>
      <c r="O5705">
        <v>1.247066E-3</v>
      </c>
      <c r="P5705">
        <v>0.98975460000000004</v>
      </c>
      <c r="Q5705">
        <v>-8.6291290000000007E-2</v>
      </c>
      <c r="R5705">
        <v>-0.1137534</v>
      </c>
      <c r="S5705">
        <v>2.8826290000000001</v>
      </c>
      <c r="T5705">
        <v>-0.11577759999999999</v>
      </c>
      <c r="U5705">
        <v>-1.1970209999999999</v>
      </c>
      <c r="V5705">
        <v>0.1149975</v>
      </c>
      <c r="W5705">
        <v>-7.2921799999999995E-2</v>
      </c>
      <c r="X5705">
        <v>0.99068560000000006</v>
      </c>
      <c r="Y5705">
        <v>0.38428839999999997</v>
      </c>
      <c r="Z5705">
        <v>-1.0135470000000001E-2</v>
      </c>
      <c r="AA5705">
        <v>0.92315749999999996</v>
      </c>
      <c r="AB5705">
        <v>20</v>
      </c>
      <c r="AC5705">
        <v>29.0475999999999</v>
      </c>
      <c r="AD5705">
        <v>-1.1712590000000001</v>
      </c>
      <c r="AE5705">
        <v>-12.1103399999999</v>
      </c>
      <c r="AF5705">
        <v>12.1297570738313</v>
      </c>
      <c r="AG5705">
        <v>-1.1712590000000001</v>
      </c>
      <c r="AH5705">
        <v>28.992316028473802</v>
      </c>
      <c r="AI5705">
        <v>92.134348370988704</v>
      </c>
      <c r="AJ5705">
        <v>67.296621810007096</v>
      </c>
      <c r="AK5705">
        <v>31.449280484776502</v>
      </c>
      <c r="AL5705">
        <v>94.181823235238596</v>
      </c>
      <c r="AM5705">
        <v>83.378812637724593</v>
      </c>
      <c r="AN5705">
        <v>0.99999998598442497</v>
      </c>
    </row>
    <row r="5706" spans="1:40" x14ac:dyDescent="0.25">
      <c r="A5706" t="str">
        <f>"20190303154633023"</f>
        <v>20190303154633023</v>
      </c>
      <c r="B5706" t="str">
        <f>"1551599193017187"</f>
        <v>1551599193017187</v>
      </c>
      <c r="C5706" t="s">
        <v>40</v>
      </c>
      <c r="D5706">
        <v>4.2930460000000004</v>
      </c>
      <c r="E5706">
        <v>0.62632639999999995</v>
      </c>
      <c r="F5706" t="s">
        <v>68</v>
      </c>
      <c r="G5706">
        <v>-279.02</v>
      </c>
      <c r="H5706">
        <v>0.28307389999999999</v>
      </c>
      <c r="I5706">
        <v>-2.4039649999999999</v>
      </c>
      <c r="J5706">
        <v>-325.12639999999999</v>
      </c>
      <c r="K5706">
        <v>1.1211739999999999</v>
      </c>
      <c r="L5706">
        <v>17.798400000000001</v>
      </c>
      <c r="M5706">
        <v>0.99990820000000002</v>
      </c>
      <c r="N5706">
        <v>-1.3485199999999999E-2</v>
      </c>
      <c r="O5706">
        <v>1.311904E-3</v>
      </c>
      <c r="P5706">
        <v>0.9893805</v>
      </c>
      <c r="Q5706">
        <v>-9.1903970000000001E-2</v>
      </c>
      <c r="R5706">
        <v>-0.1126057</v>
      </c>
      <c r="S5706">
        <v>2.8818049999999999</v>
      </c>
      <c r="T5706">
        <v>-5.2223319999999997E-2</v>
      </c>
      <c r="U5706">
        <v>-1.2586980000000001</v>
      </c>
      <c r="V5706">
        <v>0.1139063</v>
      </c>
      <c r="W5706">
        <v>-7.855173E-2</v>
      </c>
      <c r="X5706">
        <v>0.99038119999999996</v>
      </c>
      <c r="Y5706">
        <v>0.40135850000000001</v>
      </c>
      <c r="Z5706">
        <v>-6.3083200000000001E-3</v>
      </c>
      <c r="AA5706">
        <v>0.91589929999999997</v>
      </c>
      <c r="AB5706">
        <v>20</v>
      </c>
      <c r="AC5706">
        <v>46.106400000000001</v>
      </c>
      <c r="AD5706">
        <v>-0.83810009999999902</v>
      </c>
      <c r="AE5706">
        <v>-20.202365</v>
      </c>
      <c r="AF5706">
        <v>20.257224942315499</v>
      </c>
      <c r="AG5706">
        <v>-0.83810009999999902</v>
      </c>
      <c r="AH5706">
        <v>46.067084458952102</v>
      </c>
      <c r="AI5706">
        <v>90.954115510948398</v>
      </c>
      <c r="AJ5706">
        <v>66.263315418354907</v>
      </c>
      <c r="AK5706">
        <v>50.331241239308</v>
      </c>
      <c r="AL5706">
        <v>94.505324117994704</v>
      </c>
      <c r="AM5706">
        <v>83.439092055897902</v>
      </c>
      <c r="AN5706">
        <v>0.99999997038956001</v>
      </c>
    </row>
    <row r="5707" spans="1:40" x14ac:dyDescent="0.25">
      <c r="A5707" t="str">
        <f>"20190303154633035"</f>
        <v>20190303154633035</v>
      </c>
      <c r="B5707" t="str">
        <f>"1551599193026947"</f>
        <v>1551599193026947</v>
      </c>
      <c r="C5707" t="s">
        <v>40</v>
      </c>
      <c r="D5707">
        <v>4.9896669999999999</v>
      </c>
      <c r="E5707">
        <v>0.62500540000000004</v>
      </c>
      <c r="F5707" t="s">
        <v>68</v>
      </c>
      <c r="G5707">
        <v>-279.02</v>
      </c>
      <c r="H5707">
        <v>1.5877429999999999</v>
      </c>
      <c r="I5707">
        <v>-3.6241430000000001</v>
      </c>
      <c r="J5707">
        <v>-325.01150000000001</v>
      </c>
      <c r="K5707">
        <v>1.1211359999999999</v>
      </c>
      <c r="L5707">
        <v>17.798579999999902</v>
      </c>
      <c r="M5707">
        <v>0.99990820000000002</v>
      </c>
      <c r="N5707">
        <v>-1.3484329999999999E-2</v>
      </c>
      <c r="O5707">
        <v>1.326767E-3</v>
      </c>
      <c r="P5707">
        <v>0.98928309999999997</v>
      </c>
      <c r="Q5707">
        <v>-9.3451919999999994E-2</v>
      </c>
      <c r="R5707">
        <v>-0.11218599999999999</v>
      </c>
      <c r="S5707">
        <v>2.8824770000000002</v>
      </c>
      <c r="T5707">
        <v>2.9168960000000001E-2</v>
      </c>
      <c r="U5707">
        <v>-1.339294</v>
      </c>
      <c r="V5707">
        <v>0.11349579999999999</v>
      </c>
      <c r="W5707">
        <v>-8.0109509999999995E-2</v>
      </c>
      <c r="X5707">
        <v>0.99030359999999995</v>
      </c>
      <c r="Y5707">
        <v>0.42258099999999998</v>
      </c>
      <c r="Z5707">
        <v>-9.2486149999999997E-4</v>
      </c>
      <c r="AA5707">
        <v>0.90632469999999998</v>
      </c>
      <c r="AB5707">
        <v>20</v>
      </c>
      <c r="AC5707">
        <v>45.991500000000002</v>
      </c>
      <c r="AD5707">
        <v>0.46660699999999999</v>
      </c>
      <c r="AE5707">
        <v>-21.422723000000001</v>
      </c>
      <c r="AF5707">
        <v>21.481912750715999</v>
      </c>
      <c r="AG5707">
        <v>0.46660699999999999</v>
      </c>
      <c r="AH5707">
        <v>45.959146734998498</v>
      </c>
      <c r="AI5707">
        <v>89.473035515048807</v>
      </c>
      <c r="AJ5707">
        <v>64.947991658986993</v>
      </c>
      <c r="AK5707">
        <v>50.733947866600602</v>
      </c>
      <c r="AL5707">
        <v>94.594860283530707</v>
      </c>
      <c r="AM5707">
        <v>83.462023626360306</v>
      </c>
      <c r="AN5707">
        <v>1.00000002519151</v>
      </c>
    </row>
    <row r="5708" spans="1:40" x14ac:dyDescent="0.25">
      <c r="A5708" t="str">
        <f>"20190303154633047"</f>
        <v>20190303154633047</v>
      </c>
      <c r="B5708" t="str">
        <f>"1551599193037682"</f>
        <v>1551599193037682</v>
      </c>
      <c r="C5708" t="s">
        <v>40</v>
      </c>
      <c r="D5708">
        <v>5.2468409999999999</v>
      </c>
      <c r="E5708">
        <v>0.62199519999999997</v>
      </c>
      <c r="F5708" t="s">
        <v>68</v>
      </c>
      <c r="G5708">
        <v>-279.02</v>
      </c>
      <c r="H5708">
        <v>1.139289</v>
      </c>
      <c r="I5708">
        <v>-3.39086</v>
      </c>
      <c r="J5708">
        <v>-324.91160000000002</v>
      </c>
      <c r="K5708">
        <v>1.1211089999999999</v>
      </c>
      <c r="L5708">
        <v>17.79871</v>
      </c>
      <c r="M5708">
        <v>0.99990829999999997</v>
      </c>
      <c r="N5708">
        <v>-1.348354E-2</v>
      </c>
      <c r="O5708">
        <v>1.3232669999999999E-3</v>
      </c>
      <c r="P5708">
        <v>0.98924699999999999</v>
      </c>
      <c r="Q5708">
        <v>-9.4671909999999998E-2</v>
      </c>
      <c r="R5708">
        <v>-0.1114787</v>
      </c>
      <c r="S5708">
        <v>2.8820190000000001</v>
      </c>
      <c r="T5708">
        <v>1.1374950000000001E-3</v>
      </c>
      <c r="U5708">
        <v>-1.32782</v>
      </c>
      <c r="V5708">
        <v>0.1127808</v>
      </c>
      <c r="W5708">
        <v>-8.133638E-2</v>
      </c>
      <c r="X5708">
        <v>0.99028530000000003</v>
      </c>
      <c r="Y5708">
        <v>0.41965010000000003</v>
      </c>
      <c r="Z5708">
        <v>-2.8690529999999999E-3</v>
      </c>
      <c r="AA5708">
        <v>0.90768139999999997</v>
      </c>
      <c r="AB5708">
        <v>20</v>
      </c>
      <c r="AC5708">
        <v>45.891599999999997</v>
      </c>
      <c r="AD5708">
        <v>1.8180000000000002E-2</v>
      </c>
      <c r="AE5708">
        <v>-21.18957</v>
      </c>
      <c r="AF5708">
        <v>21.2502810517366</v>
      </c>
      <c r="AG5708">
        <v>1.8180000000000002E-2</v>
      </c>
      <c r="AH5708">
        <v>45.863511875372403</v>
      </c>
      <c r="AI5708">
        <v>89.979392848374204</v>
      </c>
      <c r="AJ5708">
        <v>65.139945683382706</v>
      </c>
      <c r="AK5708">
        <v>50.547368841836096</v>
      </c>
      <c r="AL5708">
        <v>94.665384816042305</v>
      </c>
      <c r="AM5708">
        <v>83.502739206177793</v>
      </c>
      <c r="AN5708">
        <v>1.0000000454781099</v>
      </c>
    </row>
    <row r="5709" spans="1:40" x14ac:dyDescent="0.25">
      <c r="A5709" t="str">
        <f>"20190303154633067"</f>
        <v>20190303154633067</v>
      </c>
      <c r="B5709" t="str">
        <f>"1551599193057202"</f>
        <v>1551599193057202</v>
      </c>
      <c r="C5709" t="s">
        <v>40</v>
      </c>
      <c r="D5709">
        <v>5.2181829999999998</v>
      </c>
      <c r="E5709">
        <v>0.61742019999999997</v>
      </c>
      <c r="F5709" t="s">
        <v>68</v>
      </c>
      <c r="G5709">
        <v>-279.02</v>
      </c>
      <c r="H5709">
        <v>0.54094960000000003</v>
      </c>
      <c r="I5709">
        <v>-2.928315</v>
      </c>
      <c r="J5709">
        <v>-324.73700000000002</v>
      </c>
      <c r="K5709">
        <v>1.121076</v>
      </c>
      <c r="L5709">
        <v>17.798950000000001</v>
      </c>
      <c r="M5709">
        <v>0.99990840000000003</v>
      </c>
      <c r="N5709">
        <v>-1.3482040000000001E-2</v>
      </c>
      <c r="O5709">
        <v>1.276447E-3</v>
      </c>
      <c r="P5709">
        <v>0.98934770000000005</v>
      </c>
      <c r="Q5709">
        <v>-9.5208749999999995E-2</v>
      </c>
      <c r="R5709">
        <v>-0.110121</v>
      </c>
      <c r="S5709">
        <v>2.8824160000000001</v>
      </c>
      <c r="T5709">
        <v>-3.643942E-2</v>
      </c>
      <c r="U5709">
        <v>-1.301849</v>
      </c>
      <c r="V5709">
        <v>0.11137130000000001</v>
      </c>
      <c r="W5709">
        <v>-8.1880599999999998E-2</v>
      </c>
      <c r="X5709">
        <v>0.9903999</v>
      </c>
      <c r="Y5709">
        <v>0.41271679999999999</v>
      </c>
      <c r="Z5709">
        <v>-5.3981899999999998E-3</v>
      </c>
      <c r="AA5709">
        <v>0.91084339999999997</v>
      </c>
      <c r="AB5709">
        <v>20</v>
      </c>
      <c r="AC5709">
        <v>45.716999999999999</v>
      </c>
      <c r="AD5709">
        <v>-0.58012639999999904</v>
      </c>
      <c r="AE5709">
        <v>-20.727264999999999</v>
      </c>
      <c r="AF5709">
        <v>20.782832813908399</v>
      </c>
      <c r="AG5709">
        <v>-0.58012639999999904</v>
      </c>
      <c r="AH5709">
        <v>45.684401114177398</v>
      </c>
      <c r="AI5709">
        <v>90.6622357845837</v>
      </c>
      <c r="AJ5709">
        <v>65.538174105089695</v>
      </c>
      <c r="AK5709">
        <v>50.192899812343001</v>
      </c>
      <c r="AL5709">
        <v>94.696670985022706</v>
      </c>
      <c r="AM5709">
        <v>83.583994782117699</v>
      </c>
      <c r="AN5709">
        <v>0.99999998052002903</v>
      </c>
    </row>
    <row r="5710" spans="1:40" x14ac:dyDescent="0.25">
      <c r="A5710" t="str">
        <f>"20190303154633091"</f>
        <v>20190303154633091</v>
      </c>
      <c r="B5710" t="str">
        <f>"1551599193087458"</f>
        <v>1551599193087458</v>
      </c>
      <c r="C5710" t="s">
        <v>40</v>
      </c>
      <c r="D5710">
        <v>5.1829499999999999</v>
      </c>
      <c r="E5710">
        <v>0.6137705</v>
      </c>
      <c r="F5710" t="s">
        <v>43</v>
      </c>
      <c r="G5710">
        <v>-286.69069999999999</v>
      </c>
      <c r="H5710">
        <v>-0.05</v>
      </c>
      <c r="I5710">
        <v>1.1494450000000001</v>
      </c>
      <c r="J5710">
        <v>-324.52449999999999</v>
      </c>
      <c r="K5710">
        <v>1.1210519999999999</v>
      </c>
      <c r="L5710">
        <v>17.799129999999899</v>
      </c>
      <c r="M5710">
        <v>0.99990840000000003</v>
      </c>
      <c r="N5710">
        <v>-1.348007E-2</v>
      </c>
      <c r="O5710">
        <v>1.1688639999999999E-3</v>
      </c>
      <c r="P5710">
        <v>0.98956169999999999</v>
      </c>
      <c r="Q5710">
        <v>-9.4278050000000002E-2</v>
      </c>
      <c r="R5710">
        <v>-0.1089922</v>
      </c>
      <c r="S5710">
        <v>2.8833310000000001</v>
      </c>
      <c r="T5710">
        <v>-8.8749770000000006E-2</v>
      </c>
      <c r="U5710">
        <v>-1.2617799999999999</v>
      </c>
      <c r="V5710">
        <v>0.11013290000000001</v>
      </c>
      <c r="W5710">
        <v>-8.0953750000000005E-2</v>
      </c>
      <c r="X5710">
        <v>0.99061460000000001</v>
      </c>
      <c r="Y5710">
        <v>0.40173429999999999</v>
      </c>
      <c r="Z5710">
        <v>-8.7573849999999995E-3</v>
      </c>
      <c r="AA5710">
        <v>0.91571440000000004</v>
      </c>
      <c r="AB5710">
        <v>20</v>
      </c>
      <c r="AC5710">
        <v>37.833799999999997</v>
      </c>
      <c r="AD5710">
        <v>-1.171052</v>
      </c>
      <c r="AE5710">
        <v>-16.649684999999899</v>
      </c>
      <c r="AF5710">
        <v>16.680512104304299</v>
      </c>
      <c r="AG5710">
        <v>-1.171052</v>
      </c>
      <c r="AH5710">
        <v>37.783984992614997</v>
      </c>
      <c r="AI5710">
        <v>91.624088294060101</v>
      </c>
      <c r="AJ5710">
        <v>66.1799594684597</v>
      </c>
      <c r="AK5710">
        <v>41.318765334539002</v>
      </c>
      <c r="AL5710">
        <v>94.643389290772504</v>
      </c>
      <c r="AM5710">
        <v>83.656116836524205</v>
      </c>
      <c r="AN5710">
        <v>1.00000002551731</v>
      </c>
    </row>
    <row r="5711" spans="1:40" x14ac:dyDescent="0.25">
      <c r="A5711" t="str">
        <f>"20190303154633112"</f>
        <v>20190303154633112</v>
      </c>
      <c r="B5711" t="str">
        <f>"1551599193106978"</f>
        <v>1551599193106978</v>
      </c>
      <c r="C5711" t="s">
        <v>40</v>
      </c>
      <c r="D5711">
        <v>5.2242100000000002</v>
      </c>
      <c r="E5711">
        <v>0.61205390000000004</v>
      </c>
      <c r="F5711" t="s">
        <v>43</v>
      </c>
      <c r="G5711">
        <v>-298.08339999999998</v>
      </c>
      <c r="H5711">
        <v>-0.05</v>
      </c>
      <c r="I5711">
        <v>6.528397</v>
      </c>
      <c r="J5711">
        <v>-324.33370000000002</v>
      </c>
      <c r="K5711">
        <v>1.1210519999999999</v>
      </c>
      <c r="L5711">
        <v>17.79926</v>
      </c>
      <c r="M5711">
        <v>0.99990860000000004</v>
      </c>
      <c r="N5711">
        <v>-1.3478260000000001E-2</v>
      </c>
      <c r="O5711">
        <v>1.052473E-3</v>
      </c>
      <c r="P5711">
        <v>0.9896064</v>
      </c>
      <c r="Q5711">
        <v>-9.437363E-2</v>
      </c>
      <c r="R5711">
        <v>-0.1085033</v>
      </c>
      <c r="S5711">
        <v>2.8840330000000001</v>
      </c>
      <c r="T5711">
        <v>-0.12773080000000001</v>
      </c>
      <c r="U5711">
        <v>-1.2293400000000001</v>
      </c>
      <c r="V5711">
        <v>0.10952720000000001</v>
      </c>
      <c r="W5711">
        <v>-8.1052150000000003E-2</v>
      </c>
      <c r="X5711">
        <v>0.99067369999999999</v>
      </c>
      <c r="Y5711">
        <v>0.392648</v>
      </c>
      <c r="Z5711">
        <v>-1.111786E-2</v>
      </c>
      <c r="AA5711">
        <v>0.91962160000000004</v>
      </c>
      <c r="AB5711">
        <v>20</v>
      </c>
      <c r="AC5711">
        <v>26.250299999999999</v>
      </c>
      <c r="AD5711">
        <v>-1.171052</v>
      </c>
      <c r="AE5711">
        <v>-11.270863</v>
      </c>
      <c r="AF5711">
        <v>11.279533278182599</v>
      </c>
      <c r="AG5711">
        <v>-1.171052</v>
      </c>
      <c r="AH5711">
        <v>26.1944059680091</v>
      </c>
      <c r="AI5711">
        <v>92.351308236072697</v>
      </c>
      <c r="AJ5711">
        <v>66.702878779698494</v>
      </c>
      <c r="AK5711">
        <v>28.543758298044899</v>
      </c>
      <c r="AL5711">
        <v>94.6490458127126</v>
      </c>
      <c r="AM5711">
        <v>83.691097635052799</v>
      </c>
      <c r="AN5711">
        <v>1.00000001921557</v>
      </c>
    </row>
    <row r="5712" spans="1:40" x14ac:dyDescent="0.25">
      <c r="A5712" t="str">
        <f>"20190303154633127"</f>
        <v>20190303154633127</v>
      </c>
      <c r="B5712" t="str">
        <f>"1551599193116738"</f>
        <v>1551599193116738</v>
      </c>
      <c r="C5712" t="s">
        <v>40</v>
      </c>
      <c r="D5712">
        <v>5.2358789999999997</v>
      </c>
      <c r="E5712">
        <v>0.61142050000000003</v>
      </c>
      <c r="F5712" t="s">
        <v>43</v>
      </c>
      <c r="G5712">
        <v>-301.36180000000002</v>
      </c>
      <c r="H5712">
        <v>-0.05</v>
      </c>
      <c r="I5712">
        <v>8.1276700000000002</v>
      </c>
      <c r="J5712">
        <v>-324.209</v>
      </c>
      <c r="K5712">
        <v>1.1210580000000001</v>
      </c>
      <c r="L5712">
        <v>17.799320000000002</v>
      </c>
      <c r="M5712">
        <v>0.99990880000000004</v>
      </c>
      <c r="N5712">
        <v>-1.3477090000000001E-2</v>
      </c>
      <c r="O5712">
        <v>9.7634309999999999E-4</v>
      </c>
      <c r="P5712">
        <v>0.98971370000000003</v>
      </c>
      <c r="Q5712">
        <v>-9.3815860000000001E-2</v>
      </c>
      <c r="R5712">
        <v>-0.1080077</v>
      </c>
      <c r="S5712">
        <v>2.8843380000000001</v>
      </c>
      <c r="T5712">
        <v>-0.147036</v>
      </c>
      <c r="U5712">
        <v>-1.2143550000000001</v>
      </c>
      <c r="V5712">
        <v>0.10895630000000001</v>
      </c>
      <c r="W5712">
        <v>-8.0494289999999996E-2</v>
      </c>
      <c r="X5712">
        <v>0.9907821</v>
      </c>
      <c r="Y5712">
        <v>0.3883703</v>
      </c>
      <c r="Z5712">
        <v>-1.2250850000000001E-2</v>
      </c>
      <c r="AA5712">
        <v>0.92142190000000002</v>
      </c>
      <c r="AB5712">
        <v>20</v>
      </c>
      <c r="AC5712">
        <v>22.847199999999901</v>
      </c>
      <c r="AD5712">
        <v>-1.1710579999999999</v>
      </c>
      <c r="AE5712">
        <v>-9.6716499999999996</v>
      </c>
      <c r="AF5712">
        <v>9.6724045669055094</v>
      </c>
      <c r="AG5712">
        <v>-1.1710579999999999</v>
      </c>
      <c r="AH5712">
        <v>22.786977348202502</v>
      </c>
      <c r="AI5712">
        <v>92.708428579275306</v>
      </c>
      <c r="AJ5712">
        <v>67.000199109052105</v>
      </c>
      <c r="AK5712">
        <v>24.782516490718901</v>
      </c>
      <c r="AL5712">
        <v>94.616978153060202</v>
      </c>
      <c r="AM5712">
        <v>83.724400270256396</v>
      </c>
      <c r="AN5712">
        <v>0.99999998785635202</v>
      </c>
    </row>
    <row r="5713" spans="1:40" x14ac:dyDescent="0.25">
      <c r="A5713" t="str">
        <f>"20190303154633146"</f>
        <v>20190303154633146</v>
      </c>
      <c r="B5713" t="str">
        <f>"1551599193137234"</f>
        <v>1551599193137234</v>
      </c>
      <c r="C5713" t="s">
        <v>40</v>
      </c>
      <c r="D5713">
        <v>5.914523</v>
      </c>
      <c r="E5713">
        <v>0.61075409999999997</v>
      </c>
      <c r="F5713" t="s">
        <v>43</v>
      </c>
      <c r="G5713">
        <v>-302.10640000000001</v>
      </c>
      <c r="H5713">
        <v>-0.05</v>
      </c>
      <c r="I5713">
        <v>8.5456539999999901</v>
      </c>
      <c r="J5713">
        <v>-324.0421</v>
      </c>
      <c r="K5713">
        <v>1.1210719999999901</v>
      </c>
      <c r="L5713">
        <v>17.799410000000002</v>
      </c>
      <c r="M5713">
        <v>0.99990889999999999</v>
      </c>
      <c r="N5713">
        <v>-1.347552E-2</v>
      </c>
      <c r="O5713">
        <v>8.8184039999999997E-4</v>
      </c>
      <c r="P5713">
        <v>0.98990769999999995</v>
      </c>
      <c r="Q5713">
        <v>-9.2617720000000001E-2</v>
      </c>
      <c r="R5713">
        <v>-0.1072611</v>
      </c>
      <c r="S5713">
        <v>2.8848569999999998</v>
      </c>
      <c r="T5713">
        <v>-0.15284739999999999</v>
      </c>
      <c r="U5713">
        <v>-1.207794</v>
      </c>
      <c r="V5713">
        <v>0.1081167</v>
      </c>
      <c r="W5713">
        <v>-7.9294619999999996E-2</v>
      </c>
      <c r="X5713">
        <v>0.99097080000000004</v>
      </c>
      <c r="Y5713">
        <v>0.38640459999999999</v>
      </c>
      <c r="Z5713">
        <v>-1.2561309999999999E-2</v>
      </c>
      <c r="AA5713">
        <v>0.92224379999999995</v>
      </c>
      <c r="AB5713">
        <v>20</v>
      </c>
      <c r="AC5713">
        <v>21.935700000000001</v>
      </c>
      <c r="AD5713">
        <v>-1.1710719999999999</v>
      </c>
      <c r="AE5713">
        <v>-9.2537559999999992</v>
      </c>
      <c r="AF5713">
        <v>9.2507155059310193</v>
      </c>
      <c r="AG5713">
        <v>-1.1710719999999999</v>
      </c>
      <c r="AH5713">
        <v>21.874604007258199</v>
      </c>
      <c r="AI5713">
        <v>92.822842085002193</v>
      </c>
      <c r="AJ5713">
        <v>67.076619227553493</v>
      </c>
      <c r="AK5713">
        <v>23.779096859956901</v>
      </c>
      <c r="AL5713">
        <v>94.548021670073098</v>
      </c>
      <c r="AM5713">
        <v>83.773554159279698</v>
      </c>
      <c r="AN5713">
        <v>0.99999999201623702</v>
      </c>
    </row>
    <row r="5714" spans="1:40" x14ac:dyDescent="0.25">
      <c r="A5714" t="str">
        <f>"20190303154633157"</f>
        <v>20190303154633157</v>
      </c>
      <c r="B5714" t="str">
        <f>"1551599193146994"</f>
        <v>1551599193146994</v>
      </c>
      <c r="C5714" t="s">
        <v>40</v>
      </c>
      <c r="D5714">
        <v>5.141966</v>
      </c>
      <c r="E5714">
        <v>0.56475750000000002</v>
      </c>
      <c r="F5714" t="s">
        <v>43</v>
      </c>
      <c r="G5714">
        <v>-302.3621</v>
      </c>
      <c r="H5714">
        <v>-0.05</v>
      </c>
      <c r="I5714">
        <v>8.7849430000000002</v>
      </c>
      <c r="J5714">
        <v>-323.93439999999998</v>
      </c>
      <c r="K5714">
        <v>1.1210830000000001</v>
      </c>
      <c r="L5714">
        <v>17.799440000000001</v>
      </c>
      <c r="M5714">
        <v>0.9999091</v>
      </c>
      <c r="N5714">
        <v>-1.347448E-2</v>
      </c>
      <c r="O5714">
        <v>8.2728939999999996E-4</v>
      </c>
      <c r="P5714">
        <v>0.99008660000000004</v>
      </c>
      <c r="Q5714">
        <v>-9.1599730000000004E-2</v>
      </c>
      <c r="R5714">
        <v>-0.10648249999999999</v>
      </c>
      <c r="S5714">
        <v>2.8859249999999999</v>
      </c>
      <c r="T5714">
        <v>-0.15588640000000001</v>
      </c>
      <c r="U5714">
        <v>-1.199951</v>
      </c>
      <c r="V5714">
        <v>0.1072849</v>
      </c>
      <c r="W5714">
        <v>-7.8274499999999997E-2</v>
      </c>
      <c r="X5714">
        <v>0.99114230000000003</v>
      </c>
      <c r="Y5714">
        <v>0.384079</v>
      </c>
      <c r="Z5714">
        <v>-1.267859E-2</v>
      </c>
      <c r="AA5714">
        <v>0.92321319999999996</v>
      </c>
      <c r="AB5714">
        <v>20</v>
      </c>
      <c r="AC5714">
        <v>21.572299999999899</v>
      </c>
      <c r="AD5714">
        <v>-1.1710830000000001</v>
      </c>
      <c r="AE5714">
        <v>-9.0144970000000004</v>
      </c>
      <c r="AF5714">
        <v>9.0097374168611992</v>
      </c>
      <c r="AG5714">
        <v>-1.1710830000000001</v>
      </c>
      <c r="AH5714">
        <v>21.510865448900901</v>
      </c>
      <c r="AI5714">
        <v>92.874677070404502</v>
      </c>
      <c r="AJ5714">
        <v>67.2738279597163</v>
      </c>
      <c r="AK5714">
        <v>23.3508915477417</v>
      </c>
      <c r="AL5714">
        <v>94.489390802886902</v>
      </c>
      <c r="AM5714">
        <v>83.822146480233698</v>
      </c>
      <c r="AN5714">
        <v>1.0000000029837699</v>
      </c>
    </row>
    <row r="5715" spans="1:40" x14ac:dyDescent="0.25">
      <c r="A5715" t="str">
        <f>"20190303154633179"</f>
        <v>20190303154633179</v>
      </c>
      <c r="B5715" t="str">
        <f>"1551599193167490"</f>
        <v>1551599193167490</v>
      </c>
      <c r="C5715" t="s">
        <v>40</v>
      </c>
      <c r="D5715">
        <v>5.0520269999999998</v>
      </c>
      <c r="E5715">
        <v>0.53870200000000001</v>
      </c>
      <c r="F5715" t="s">
        <v>43</v>
      </c>
      <c r="G5715">
        <v>-305.60969999999998</v>
      </c>
      <c r="H5715">
        <v>-0.05</v>
      </c>
      <c r="I5715">
        <v>12.5779</v>
      </c>
      <c r="J5715">
        <v>-323.75549999999998</v>
      </c>
      <c r="K5715">
        <v>1.1211089999999999</v>
      </c>
      <c r="L5715">
        <v>17.799529999999901</v>
      </c>
      <c r="M5715">
        <v>0.9999091</v>
      </c>
      <c r="N5715">
        <v>-1.3472720000000001E-2</v>
      </c>
      <c r="O5715">
        <v>7.5171750000000001E-4</v>
      </c>
      <c r="P5715">
        <v>0.99053910000000001</v>
      </c>
      <c r="Q5715">
        <v>-8.8651279999999999E-2</v>
      </c>
      <c r="R5715">
        <v>-0.1047559</v>
      </c>
      <c r="S5715">
        <v>2.923187</v>
      </c>
      <c r="T5715">
        <v>-0.1868126</v>
      </c>
      <c r="U5715">
        <v>-0.83294679999999999</v>
      </c>
      <c r="V5715">
        <v>0.1054857</v>
      </c>
      <c r="W5715">
        <v>-7.5319739999999996E-2</v>
      </c>
      <c r="X5715">
        <v>0.99156429999999995</v>
      </c>
      <c r="Y5715">
        <v>0.27412530000000002</v>
      </c>
      <c r="Z5715">
        <v>-1.050211E-2</v>
      </c>
      <c r="AA5715">
        <v>0.96163670000000001</v>
      </c>
      <c r="AB5715">
        <v>20</v>
      </c>
      <c r="AC5715">
        <v>18.145800000000001</v>
      </c>
      <c r="AD5715">
        <v>-1.171109</v>
      </c>
      <c r="AE5715">
        <v>-5.2216299999999896</v>
      </c>
      <c r="AF5715">
        <v>5.2152087676098704</v>
      </c>
      <c r="AG5715">
        <v>-1.171109</v>
      </c>
      <c r="AH5715">
        <v>18.072349846444801</v>
      </c>
      <c r="AI5715">
        <v>93.562671347891794</v>
      </c>
      <c r="AJ5715">
        <v>73.903239679902299</v>
      </c>
      <c r="AK5715">
        <v>18.846212557220301</v>
      </c>
      <c r="AL5715">
        <v>94.319593898037297</v>
      </c>
      <c r="AM5715">
        <v>83.927535812491101</v>
      </c>
      <c r="AN5715">
        <v>1.00000002858632</v>
      </c>
    </row>
    <row r="5716" spans="1:40" x14ac:dyDescent="0.25">
      <c r="A5716" t="str">
        <f>"20190303154633191"</f>
        <v>20190303154633191</v>
      </c>
      <c r="B5716" t="str">
        <f>"1551599193187011"</f>
        <v>1551599193187011</v>
      </c>
      <c r="C5716" t="s">
        <v>40</v>
      </c>
      <c r="D5716">
        <v>5.1408389999999997</v>
      </c>
      <c r="E5716">
        <v>0.51987919999999999</v>
      </c>
      <c r="F5716" t="s">
        <v>43</v>
      </c>
      <c r="G5716">
        <v>-299.64690000000002</v>
      </c>
      <c r="H5716">
        <v>-0.05</v>
      </c>
      <c r="I5716">
        <v>12.72269</v>
      </c>
      <c r="J5716">
        <v>-323.64569999999998</v>
      </c>
      <c r="K5716">
        <v>1.121127</v>
      </c>
      <c r="L5716">
        <v>17.79956</v>
      </c>
      <c r="M5716">
        <v>0.99990900000000005</v>
      </c>
      <c r="N5716">
        <v>-1.347162E-2</v>
      </c>
      <c r="O5716">
        <v>7.1630779999999996E-4</v>
      </c>
      <c r="P5716">
        <v>0.99079079999999997</v>
      </c>
      <c r="Q5716">
        <v>-8.7449150000000003E-2</v>
      </c>
      <c r="R5716">
        <v>-0.1033757</v>
      </c>
      <c r="S5716">
        <v>2.9501339999999998</v>
      </c>
      <c r="T5716">
        <v>-0.14330689999999999</v>
      </c>
      <c r="U5716">
        <v>-0.62124630000000003</v>
      </c>
      <c r="V5716">
        <v>0.1040721</v>
      </c>
      <c r="W5716">
        <v>-7.4113470000000001E-2</v>
      </c>
      <c r="X5716">
        <v>0.99180449999999998</v>
      </c>
      <c r="Y5716">
        <v>0.20646339999999999</v>
      </c>
      <c r="Z5716">
        <v>-6.3891180000000001E-3</v>
      </c>
      <c r="AA5716">
        <v>0.97843349999999996</v>
      </c>
      <c r="AB5716">
        <v>20</v>
      </c>
      <c r="AC5716">
        <v>23.9987999999999</v>
      </c>
      <c r="AD5716">
        <v>-1.171127</v>
      </c>
      <c r="AE5716">
        <v>-5.0768700000000004</v>
      </c>
      <c r="AF5716">
        <v>5.08247591865356</v>
      </c>
      <c r="AG5716">
        <v>-1.171127</v>
      </c>
      <c r="AH5716">
        <v>23.940587344506401</v>
      </c>
      <c r="AI5716">
        <v>92.739606096594002</v>
      </c>
      <c r="AJ5716">
        <v>78.014318875661502</v>
      </c>
      <c r="AK5716">
        <v>24.5021391375072</v>
      </c>
      <c r="AL5716">
        <v>94.250286162547695</v>
      </c>
      <c r="AM5716">
        <v>84.009756693296495</v>
      </c>
      <c r="AN5716">
        <v>0.99999998732704998</v>
      </c>
    </row>
    <row r="5717" spans="1:40" x14ac:dyDescent="0.25">
      <c r="A5717" t="str">
        <f>"20190303154633212"</f>
        <v>20190303154633212</v>
      </c>
      <c r="B5717" t="str">
        <f>"1551599193207507"</f>
        <v>1551599193207507</v>
      </c>
      <c r="C5717" t="s">
        <v>40</v>
      </c>
      <c r="D5717">
        <v>5.099113</v>
      </c>
      <c r="E5717">
        <v>0.50999220000000001</v>
      </c>
      <c r="F5717" t="s">
        <v>43</v>
      </c>
      <c r="G5717">
        <v>-300.05250000000001</v>
      </c>
      <c r="H5717">
        <v>-0.05</v>
      </c>
      <c r="I5717">
        <v>14.078279999999999</v>
      </c>
      <c r="J5717">
        <v>-323.46379999999999</v>
      </c>
      <c r="K5717">
        <v>1.1211530000000001</v>
      </c>
      <c r="L5717">
        <v>17.799620000000001</v>
      </c>
      <c r="M5717">
        <v>0.99990900000000005</v>
      </c>
      <c r="N5717">
        <v>-1.34697999999999E-2</v>
      </c>
      <c r="O5717">
        <v>6.7268000000000004E-4</v>
      </c>
      <c r="P5717">
        <v>0.9912668</v>
      </c>
      <c r="Q5717">
        <v>-8.4663660000000002E-2</v>
      </c>
      <c r="R5717">
        <v>-0.1011058</v>
      </c>
      <c r="S5717">
        <v>2.9660950000000001</v>
      </c>
      <c r="T5717">
        <v>-0.1472321</v>
      </c>
      <c r="U5717">
        <v>-0.46783449999999999</v>
      </c>
      <c r="V5717">
        <v>0.10176200000000001</v>
      </c>
      <c r="W5717">
        <v>-7.1319740000000006E-2</v>
      </c>
      <c r="X5717">
        <v>0.99224900000000005</v>
      </c>
      <c r="Y5717">
        <v>0.1562257</v>
      </c>
      <c r="Z5717">
        <v>-4.9348919999999998E-3</v>
      </c>
      <c r="AA5717">
        <v>0.98770899999999995</v>
      </c>
      <c r="AB5717">
        <v>20</v>
      </c>
      <c r="AC5717">
        <v>23.411299999999901</v>
      </c>
      <c r="AD5717">
        <v>-1.1711530000000001</v>
      </c>
      <c r="AE5717">
        <v>-3.7213400000000001</v>
      </c>
      <c r="AF5717">
        <v>3.72798947359286</v>
      </c>
      <c r="AG5717">
        <v>-1.1711530000000001</v>
      </c>
      <c r="AH5717">
        <v>23.3517932041614</v>
      </c>
      <c r="AI5717">
        <v>92.835282753613498</v>
      </c>
      <c r="AJ5717">
        <v>80.9295745419535</v>
      </c>
      <c r="AK5717">
        <v>23.676480961379099</v>
      </c>
      <c r="AL5717">
        <v>94.089792052630401</v>
      </c>
      <c r="AM5717">
        <v>84.144393736521394</v>
      </c>
      <c r="AN5717">
        <v>1.00000004397933</v>
      </c>
    </row>
    <row r="5718" spans="1:40" x14ac:dyDescent="0.25">
      <c r="A5718" t="str">
        <f>"20190303154633226"</f>
        <v>20190303154633226</v>
      </c>
      <c r="B5718" t="str">
        <f>"1551599193217266"</f>
        <v>1551599193217266</v>
      </c>
      <c r="C5718" t="s">
        <v>40</v>
      </c>
      <c r="D5718">
        <v>5.0808269999999904</v>
      </c>
      <c r="E5718">
        <v>0.5068163</v>
      </c>
      <c r="F5718" t="s">
        <v>43</v>
      </c>
      <c r="G5718">
        <v>-300.20979999999997</v>
      </c>
      <c r="H5718">
        <v>-0.05</v>
      </c>
      <c r="I5718">
        <v>14.809369999999999</v>
      </c>
      <c r="J5718">
        <v>-323.3503</v>
      </c>
      <c r="K5718">
        <v>1.1211709999999999</v>
      </c>
      <c r="L5718">
        <v>17.79965</v>
      </c>
      <c r="M5718">
        <v>0.99990900000000005</v>
      </c>
      <c r="N5718">
        <v>-1.346866E-2</v>
      </c>
      <c r="O5718">
        <v>6.5551339999999996E-4</v>
      </c>
      <c r="P5718">
        <v>0.99145749999999999</v>
      </c>
      <c r="Q5718">
        <v>-8.3628859999999999E-2</v>
      </c>
      <c r="R5718">
        <v>-0.1000928</v>
      </c>
      <c r="S5718">
        <v>2.9746090000000001</v>
      </c>
      <c r="T5718">
        <v>-0.14981149999999999</v>
      </c>
      <c r="U5718">
        <v>-0.38250729999999999</v>
      </c>
      <c r="V5718">
        <v>0.100734</v>
      </c>
      <c r="W5718">
        <v>-7.0280919999999997E-2</v>
      </c>
      <c r="X5718">
        <v>0.99242790000000003</v>
      </c>
      <c r="Y5718">
        <v>0.1279875</v>
      </c>
      <c r="Z5718">
        <v>-4.0979579999999996E-3</v>
      </c>
      <c r="AA5718">
        <v>0.99176730000000002</v>
      </c>
      <c r="AB5718">
        <v>20</v>
      </c>
      <c r="AC5718">
        <v>23.140499999999999</v>
      </c>
      <c r="AD5718">
        <v>-1.171171</v>
      </c>
      <c r="AE5718">
        <v>-2.9902799999999901</v>
      </c>
      <c r="AF5718">
        <v>2.9978966404390701</v>
      </c>
      <c r="AG5718">
        <v>-1.171171</v>
      </c>
      <c r="AH5718">
        <v>23.080385178807902</v>
      </c>
      <c r="AI5718">
        <v>92.880717973776996</v>
      </c>
      <c r="AJ5718">
        <v>82.599321370692195</v>
      </c>
      <c r="AK5718">
        <v>23.303716565821201</v>
      </c>
      <c r="AL5718">
        <v>94.030122723449907</v>
      </c>
      <c r="AM5718">
        <v>84.204180063939305</v>
      </c>
      <c r="AN5718">
        <v>0.99999994158522598</v>
      </c>
    </row>
    <row r="5719" spans="1:40" x14ac:dyDescent="0.25">
      <c r="A5719" t="str">
        <f>"20190303154633239"</f>
        <v>20190303154633239</v>
      </c>
      <c r="B5719" t="str">
        <f>"1551599193227026"</f>
        <v>1551599193227026</v>
      </c>
      <c r="C5719" t="s">
        <v>40</v>
      </c>
      <c r="D5719">
        <v>5.0927049999999996</v>
      </c>
      <c r="E5719">
        <v>0.50437029999999905</v>
      </c>
      <c r="F5719" t="s">
        <v>43</v>
      </c>
      <c r="G5719">
        <v>-300.23680000000002</v>
      </c>
      <c r="H5719">
        <v>-0.05</v>
      </c>
      <c r="I5719">
        <v>15.04935</v>
      </c>
      <c r="J5719">
        <v>-323.22739999999999</v>
      </c>
      <c r="K5719">
        <v>1.1211850000000001</v>
      </c>
      <c r="L5719">
        <v>17.799710000000001</v>
      </c>
      <c r="M5719">
        <v>0.99990919999999905</v>
      </c>
      <c r="N5719">
        <v>-1.3467420000000001E-2</v>
      </c>
      <c r="O5719">
        <v>6.4546949999999895E-4</v>
      </c>
      <c r="P5719">
        <v>0.99155269999999995</v>
      </c>
      <c r="Q5719">
        <v>-8.2876870000000005E-2</v>
      </c>
      <c r="R5719">
        <v>-9.9774399999999999E-2</v>
      </c>
      <c r="S5719">
        <v>2.9773559999999999</v>
      </c>
      <c r="T5719">
        <v>-0.150864</v>
      </c>
      <c r="U5719">
        <v>-0.354278599999999</v>
      </c>
      <c r="V5719">
        <v>0.10040789999999999</v>
      </c>
      <c r="W5719">
        <v>-6.952593E-2</v>
      </c>
      <c r="X5719">
        <v>0.99251420000000001</v>
      </c>
      <c r="Y5719">
        <v>0.11860759999999999</v>
      </c>
      <c r="Z5719">
        <v>-3.818555E-3</v>
      </c>
      <c r="AA5719">
        <v>0.99293390000000004</v>
      </c>
      <c r="AB5719">
        <v>19</v>
      </c>
      <c r="AC5719">
        <v>22.990599999999901</v>
      </c>
      <c r="AD5719">
        <v>-1.1711849999999999</v>
      </c>
      <c r="AE5719">
        <v>-2.7503600000000001</v>
      </c>
      <c r="AF5719">
        <v>2.7581438934795299</v>
      </c>
      <c r="AG5719">
        <v>-1.1711849999999999</v>
      </c>
      <c r="AH5719">
        <v>22.930153825864998</v>
      </c>
      <c r="AI5719">
        <v>92.903020143745394</v>
      </c>
      <c r="AJ5719">
        <v>83.141153429193096</v>
      </c>
      <c r="AK5719">
        <v>23.125115924448799</v>
      </c>
      <c r="AL5719">
        <v>93.986758590941506</v>
      </c>
      <c r="AM5719">
        <v>84.223314334546998</v>
      </c>
      <c r="AN5719">
        <v>1.0000000192631999</v>
      </c>
    </row>
    <row r="5720" spans="1:40" x14ac:dyDescent="0.25">
      <c r="A5720" t="str">
        <f>"20190303154633257"</f>
        <v>20190303154633257</v>
      </c>
      <c r="B5720" t="str">
        <f>"1551599193247523"</f>
        <v>1551599193247523</v>
      </c>
      <c r="C5720" t="s">
        <v>40</v>
      </c>
      <c r="D5720">
        <v>5.114681</v>
      </c>
      <c r="E5720">
        <v>0.50042929999999997</v>
      </c>
      <c r="F5720" t="s">
        <v>43</v>
      </c>
      <c r="G5720">
        <v>-300.43459999999999</v>
      </c>
      <c r="H5720">
        <v>-0.05</v>
      </c>
      <c r="I5720">
        <v>15.244719999999999</v>
      </c>
      <c r="J5720">
        <v>-323.07670000000002</v>
      </c>
      <c r="K5720">
        <v>1.1212059999999999</v>
      </c>
      <c r="L5720">
        <v>17.799769999999999</v>
      </c>
      <c r="M5720">
        <v>0.99990919999999905</v>
      </c>
      <c r="N5720">
        <v>-1.3465889999999999E-2</v>
      </c>
      <c r="O5720">
        <v>6.4368209999999995E-4</v>
      </c>
      <c r="P5720">
        <v>0.99161969999999999</v>
      </c>
      <c r="Q5720">
        <v>-8.2312159999999995E-2</v>
      </c>
      <c r="R5720">
        <v>-9.9577100000000002E-2</v>
      </c>
      <c r="S5720">
        <v>2.9791560000000001</v>
      </c>
      <c r="T5720">
        <v>-0.1530812</v>
      </c>
      <c r="U5720">
        <v>-0.33395390000000003</v>
      </c>
      <c r="V5720">
        <v>0.1002111</v>
      </c>
      <c r="W5720">
        <v>-6.8958459999999999E-2</v>
      </c>
      <c r="X5720">
        <v>0.9925737</v>
      </c>
      <c r="Y5720">
        <v>0.11185390000000001</v>
      </c>
      <c r="Z5720">
        <v>-3.6433390000000002E-3</v>
      </c>
      <c r="AA5720">
        <v>0.99371799999999999</v>
      </c>
      <c r="AB5720">
        <v>19</v>
      </c>
      <c r="AC5720">
        <v>22.642099999999999</v>
      </c>
      <c r="AD5720">
        <v>-1.171206</v>
      </c>
      <c r="AE5720">
        <v>-2.55505</v>
      </c>
      <c r="AF5720">
        <v>2.56285396803078</v>
      </c>
      <c r="AG5720">
        <v>-1.171206</v>
      </c>
      <c r="AH5720">
        <v>22.580791387648699</v>
      </c>
      <c r="AI5720">
        <v>92.950212978389501</v>
      </c>
      <c r="AJ5720">
        <v>83.524804852204099</v>
      </c>
      <c r="AK5720">
        <v>22.755924144020099</v>
      </c>
      <c r="AL5720">
        <v>93.954166641260301</v>
      </c>
      <c r="AM5720">
        <v>84.2349036007964</v>
      </c>
      <c r="AN5720">
        <v>1.0000000418502299</v>
      </c>
    </row>
    <row r="5721" spans="1:40" x14ac:dyDescent="0.25">
      <c r="A5721" t="str">
        <f>"20190303154633269"</f>
        <v>20190303154633269</v>
      </c>
      <c r="B5721" t="str">
        <f>"1551599193257283"</f>
        <v>1551599193257283</v>
      </c>
      <c r="C5721" t="s">
        <v>40</v>
      </c>
      <c r="D5721">
        <v>5.0979390000000002</v>
      </c>
      <c r="E5721">
        <v>0.4989963</v>
      </c>
      <c r="F5721" t="s">
        <v>43</v>
      </c>
      <c r="G5721">
        <v>-301.11599999999999</v>
      </c>
      <c r="H5721">
        <v>-0.05</v>
      </c>
      <c r="I5721">
        <v>15.57446</v>
      </c>
      <c r="J5721">
        <v>-322.96749999999997</v>
      </c>
      <c r="K5721">
        <v>1.1212200000000001</v>
      </c>
      <c r="L5721">
        <v>17.799800000000001</v>
      </c>
      <c r="M5721">
        <v>0.9999093</v>
      </c>
      <c r="N5721">
        <v>-1.3464769999999999E-2</v>
      </c>
      <c r="O5721">
        <v>6.5431029999999995E-4</v>
      </c>
      <c r="P5721">
        <v>0.9916199</v>
      </c>
      <c r="Q5721">
        <v>-8.2072149999999996E-2</v>
      </c>
      <c r="R5721">
        <v>-9.9772070000000004E-2</v>
      </c>
      <c r="S5721">
        <v>2.9818419999999999</v>
      </c>
      <c r="T5721">
        <v>-0.159027799999999</v>
      </c>
      <c r="U5721">
        <v>-0.30215449999999999</v>
      </c>
      <c r="V5721">
        <v>0.1004187</v>
      </c>
      <c r="W5721">
        <v>-6.8716780000000005E-2</v>
      </c>
      <c r="X5721">
        <v>0.99256940000000005</v>
      </c>
      <c r="Y5721">
        <v>0.1012869</v>
      </c>
      <c r="Z5721">
        <v>-3.4024010000000002E-3</v>
      </c>
      <c r="AA5721">
        <v>0.99485140000000005</v>
      </c>
      <c r="AB5721">
        <v>19</v>
      </c>
      <c r="AC5721">
        <v>21.851499999999898</v>
      </c>
      <c r="AD5721">
        <v>-1.1712199999999999</v>
      </c>
      <c r="AE5721">
        <v>-2.2253400000000001</v>
      </c>
      <c r="AF5721">
        <v>2.2332884121560301</v>
      </c>
      <c r="AG5721">
        <v>-1.1712199999999999</v>
      </c>
      <c r="AH5721">
        <v>21.788087517898301</v>
      </c>
      <c r="AI5721">
        <v>93.060969681844298</v>
      </c>
      <c r="AJ5721">
        <v>84.147596440879198</v>
      </c>
      <c r="AK5721">
        <v>21.9335380435503</v>
      </c>
      <c r="AL5721">
        <v>93.940286785552004</v>
      </c>
      <c r="AM5721">
        <v>84.223016311139205</v>
      </c>
      <c r="AN5721">
        <v>0.99999996248980805</v>
      </c>
    </row>
    <row r="5722" spans="1:40" x14ac:dyDescent="0.25">
      <c r="A5722" t="str">
        <f>"20190303154633292"</f>
        <v>20190303154633292</v>
      </c>
      <c r="B5722" t="str">
        <f>"1551599193287538"</f>
        <v>1551599193287538</v>
      </c>
      <c r="C5722" t="s">
        <v>40</v>
      </c>
      <c r="D5722">
        <v>5.0966209999999998</v>
      </c>
      <c r="E5722">
        <v>0.49624819999999997</v>
      </c>
      <c r="F5722" t="s">
        <v>43</v>
      </c>
      <c r="G5722">
        <v>-301.3202</v>
      </c>
      <c r="H5722">
        <v>-0.05</v>
      </c>
      <c r="I5722">
        <v>15.685029999999999</v>
      </c>
      <c r="J5722">
        <v>-322.7713</v>
      </c>
      <c r="K5722">
        <v>1.121246</v>
      </c>
      <c r="L5722">
        <v>17.799959999999999</v>
      </c>
      <c r="M5722">
        <v>0.99990919999999905</v>
      </c>
      <c r="N5722">
        <v>-1.3462770000000001E-2</v>
      </c>
      <c r="O5722">
        <v>7.0601080000000003E-4</v>
      </c>
      <c r="P5722">
        <v>0.99133830000000001</v>
      </c>
      <c r="Q5722">
        <v>-8.3150459999999995E-2</v>
      </c>
      <c r="R5722">
        <v>-0.1016585</v>
      </c>
      <c r="S5722">
        <v>2.9826350000000001</v>
      </c>
      <c r="T5722">
        <v>-0.16137399999999999</v>
      </c>
      <c r="U5722">
        <v>-0.29138180000000002</v>
      </c>
      <c r="V5722">
        <v>0.1023607</v>
      </c>
      <c r="W5722">
        <v>-6.9794410000000001E-2</v>
      </c>
      <c r="X5722">
        <v>0.99229590000000001</v>
      </c>
      <c r="Y5722">
        <v>9.7754809999999998E-2</v>
      </c>
      <c r="Z5722">
        <v>-3.32511E-3</v>
      </c>
      <c r="AA5722">
        <v>0.99520500000000001</v>
      </c>
      <c r="AB5722">
        <v>19</v>
      </c>
      <c r="AC5722">
        <v>21.4511</v>
      </c>
      <c r="AD5722">
        <v>-1.171246</v>
      </c>
      <c r="AE5722">
        <v>-2.1149300000000002</v>
      </c>
      <c r="AF5722">
        <v>2.12380493208572</v>
      </c>
      <c r="AG5722">
        <v>-1.171246</v>
      </c>
      <c r="AH5722">
        <v>21.386456969756299</v>
      </c>
      <c r="AI5722">
        <v>93.119403548136205</v>
      </c>
      <c r="AJ5722">
        <v>84.328775326686397</v>
      </c>
      <c r="AK5722">
        <v>21.523543070352201</v>
      </c>
      <c r="AL5722">
        <v>94.002178645924502</v>
      </c>
      <c r="AM5722">
        <v>84.110461142810195</v>
      </c>
      <c r="AN5722">
        <v>1.00000006286427</v>
      </c>
    </row>
    <row r="5723" spans="1:40" x14ac:dyDescent="0.25">
      <c r="A5723" t="str">
        <f>"20190303154633314"</f>
        <v>20190303154633314</v>
      </c>
      <c r="B5723" t="str">
        <f>"1551599193307059"</f>
        <v>1551599193307059</v>
      </c>
      <c r="C5723" t="s">
        <v>40</v>
      </c>
      <c r="D5723">
        <v>5.1083339999999904</v>
      </c>
      <c r="E5723">
        <v>0.49515559999999997</v>
      </c>
      <c r="F5723" t="s">
        <v>43</v>
      </c>
      <c r="G5723">
        <v>-302.19990000000001</v>
      </c>
      <c r="H5723">
        <v>-0.05</v>
      </c>
      <c r="I5723">
        <v>15.901899999999999</v>
      </c>
      <c r="J5723">
        <v>-322.58049999999997</v>
      </c>
      <c r="K5723">
        <v>1.1212789999999999</v>
      </c>
      <c r="L5723">
        <v>17.800139999999999</v>
      </c>
      <c r="M5723">
        <v>0.99990919999999905</v>
      </c>
      <c r="N5723">
        <v>-1.346086E-2</v>
      </c>
      <c r="O5723">
        <v>8.0718939999999996E-4</v>
      </c>
      <c r="P5723">
        <v>0.9911643</v>
      </c>
      <c r="Q5723">
        <v>-8.3155800000000002E-2</v>
      </c>
      <c r="R5723">
        <v>-0.1033374</v>
      </c>
      <c r="S5723">
        <v>2.9837340000000001</v>
      </c>
      <c r="T5723">
        <v>-0.1698807</v>
      </c>
      <c r="U5723">
        <v>-0.27529910000000002</v>
      </c>
      <c r="V5723">
        <v>0.1041455</v>
      </c>
      <c r="W5723">
        <v>-6.9795410000000002E-2</v>
      </c>
      <c r="X5723">
        <v>0.99211000000000005</v>
      </c>
      <c r="Y5723">
        <v>9.249549E-2</v>
      </c>
      <c r="Z5723">
        <v>-3.2849390000000002E-3</v>
      </c>
      <c r="AA5723">
        <v>0.99570769999999997</v>
      </c>
      <c r="AB5723">
        <v>19</v>
      </c>
      <c r="AC5723">
        <v>20.380599999999902</v>
      </c>
      <c r="AD5723">
        <v>-1.171279</v>
      </c>
      <c r="AE5723">
        <v>-1.8982399999999999</v>
      </c>
      <c r="AF5723">
        <v>1.9084428144035599</v>
      </c>
      <c r="AG5723">
        <v>-1.171279</v>
      </c>
      <c r="AH5723">
        <v>20.312548988367801</v>
      </c>
      <c r="AI5723">
        <v>93.285743762747998</v>
      </c>
      <c r="AJ5723">
        <v>84.6325954199623</v>
      </c>
      <c r="AK5723">
        <v>20.435598715881302</v>
      </c>
      <c r="AL5723">
        <v>94.002236460996599</v>
      </c>
      <c r="AM5723">
        <v>84.007395074502696</v>
      </c>
      <c r="AN5723">
        <v>0.999999968263658</v>
      </c>
    </row>
    <row r="5724" spans="1:40" x14ac:dyDescent="0.25">
      <c r="A5724" t="str">
        <f>"20190303154633339"</f>
        <v>20190303154633339</v>
      </c>
      <c r="B5724" t="str">
        <f>"1551599193327555"</f>
        <v>1551599193327555</v>
      </c>
      <c r="C5724" t="s">
        <v>40</v>
      </c>
      <c r="D5724">
        <v>5.1126399999999999</v>
      </c>
      <c r="E5724">
        <v>0.4942318</v>
      </c>
      <c r="F5724" t="s">
        <v>43</v>
      </c>
      <c r="G5724">
        <v>-302.19209999999998</v>
      </c>
      <c r="H5724">
        <v>-0.05</v>
      </c>
      <c r="I5724">
        <v>15.943339999999999</v>
      </c>
      <c r="J5724">
        <v>-322.36869999999999</v>
      </c>
      <c r="K5724">
        <v>1.121321</v>
      </c>
      <c r="L5724">
        <v>17.80048</v>
      </c>
      <c r="M5724">
        <v>0.99990900000000005</v>
      </c>
      <c r="N5724">
        <v>-1.345879E-2</v>
      </c>
      <c r="O5724">
        <v>9.8876400000000005E-4</v>
      </c>
      <c r="P5724">
        <v>0.9910582</v>
      </c>
      <c r="Q5724">
        <v>-8.3274570000000006E-2</v>
      </c>
      <c r="R5724">
        <v>-0.1042575</v>
      </c>
      <c r="S5724">
        <v>2.9840390000000001</v>
      </c>
      <c r="T5724">
        <v>-0.171428</v>
      </c>
      <c r="U5724">
        <v>-0.27175899999999997</v>
      </c>
      <c r="V5724">
        <v>0.10525379999999999</v>
      </c>
      <c r="W5724">
        <v>-6.9905300000000004E-2</v>
      </c>
      <c r="X5724">
        <v>0.99198529999999996</v>
      </c>
      <c r="Y5724">
        <v>9.1494339999999993E-2</v>
      </c>
      <c r="Z5724">
        <v>-3.2815129999999998E-3</v>
      </c>
      <c r="AA5724">
        <v>0.99580020000000002</v>
      </c>
      <c r="AB5724">
        <v>19</v>
      </c>
      <c r="AC5724">
        <v>20.176600000000001</v>
      </c>
      <c r="AD5724">
        <v>-1.1713209999999901</v>
      </c>
      <c r="AE5724">
        <v>-1.85714</v>
      </c>
      <c r="AF5724">
        <v>1.8708386589805199</v>
      </c>
      <c r="AG5724">
        <v>-1.1713209999999901</v>
      </c>
      <c r="AH5724">
        <v>20.107556479799999</v>
      </c>
      <c r="AI5724">
        <v>93.319565560371203</v>
      </c>
      <c r="AJ5724">
        <v>84.684413908960906</v>
      </c>
      <c r="AK5724">
        <v>20.228342931672</v>
      </c>
      <c r="AL5724">
        <v>94.008548086100504</v>
      </c>
      <c r="AM5724">
        <v>83.943338533567498</v>
      </c>
      <c r="AN5724">
        <v>0.99999997439930899</v>
      </c>
    </row>
    <row r="5725" spans="1:40" x14ac:dyDescent="0.25">
      <c r="A5725" t="str">
        <f>"20190303154633351"</f>
        <v>20190303154633351</v>
      </c>
      <c r="B5725" t="str">
        <f>"1551599193347075"</f>
        <v>1551599193347075</v>
      </c>
      <c r="C5725" t="s">
        <v>40</v>
      </c>
      <c r="D5725">
        <v>5.1657520000000003</v>
      </c>
      <c r="E5725">
        <v>0.4935929</v>
      </c>
      <c r="F5725" t="s">
        <v>43</v>
      </c>
      <c r="G5725">
        <v>-302.33780000000002</v>
      </c>
      <c r="H5725">
        <v>-0.05</v>
      </c>
      <c r="I5725">
        <v>16.006499999999999</v>
      </c>
      <c r="J5725">
        <v>-322.25490000000002</v>
      </c>
      <c r="K5725">
        <v>1.121351</v>
      </c>
      <c r="L5725">
        <v>17.800719999999998</v>
      </c>
      <c r="M5725">
        <v>0.99990880000000004</v>
      </c>
      <c r="N5725">
        <v>-1.3457739999999999E-2</v>
      </c>
      <c r="O5725">
        <v>1.131312E-3</v>
      </c>
      <c r="P5725">
        <v>0.99084380000000005</v>
      </c>
      <c r="Q5725">
        <v>-8.3384349999999996E-2</v>
      </c>
      <c r="R5725">
        <v>-0.1061873</v>
      </c>
      <c r="S5725">
        <v>2.984283</v>
      </c>
      <c r="T5725">
        <v>-0.1745081</v>
      </c>
      <c r="U5725">
        <v>-0.26727289999999998</v>
      </c>
      <c r="V5725">
        <v>0.10732990000000001</v>
      </c>
      <c r="W5725">
        <v>-7.0010459999999997E-2</v>
      </c>
      <c r="X5725">
        <v>0.99175539999999995</v>
      </c>
      <c r="Y5725">
        <v>9.0140639999999994E-2</v>
      </c>
      <c r="Z5725">
        <v>-3.2872219999999998E-3</v>
      </c>
      <c r="AA5725">
        <v>0.99592360000000002</v>
      </c>
      <c r="AB5725">
        <v>19</v>
      </c>
      <c r="AC5725">
        <v>19.917100000000001</v>
      </c>
      <c r="AD5725">
        <v>-1.171351</v>
      </c>
      <c r="AE5725">
        <v>-1.7942199999999999</v>
      </c>
      <c r="AF5725">
        <v>1.81054150714721</v>
      </c>
      <c r="AG5725">
        <v>-1.171351</v>
      </c>
      <c r="AH5725">
        <v>19.846963721565601</v>
      </c>
      <c r="AI5725">
        <v>93.363695222580702</v>
      </c>
      <c r="AJ5725">
        <v>84.787613291367094</v>
      </c>
      <c r="AK5725">
        <v>19.963769500759199</v>
      </c>
      <c r="AL5725">
        <v>94.014588115701301</v>
      </c>
      <c r="AM5725">
        <v>83.823366443931604</v>
      </c>
      <c r="AN5725">
        <v>0.99999997268629004</v>
      </c>
    </row>
    <row r="5726" spans="1:40" x14ac:dyDescent="0.25">
      <c r="A5726" t="str">
        <f>"20190303154633368"</f>
        <v>20190303154633368</v>
      </c>
      <c r="B5726" t="str">
        <f>"1551599193356835"</f>
        <v>1551599193356835</v>
      </c>
      <c r="C5726" t="s">
        <v>40</v>
      </c>
      <c r="D5726">
        <v>5.158175</v>
      </c>
      <c r="E5726">
        <v>0.49308390000000002</v>
      </c>
      <c r="F5726" t="s">
        <v>43</v>
      </c>
      <c r="G5726">
        <v>-302.47399999999999</v>
      </c>
      <c r="H5726">
        <v>-0.05</v>
      </c>
      <c r="I5726">
        <v>16.023800000000001</v>
      </c>
      <c r="J5726">
        <v>-322.1103</v>
      </c>
      <c r="K5726">
        <v>1.1213850000000001</v>
      </c>
      <c r="L5726">
        <v>17.801120000000001</v>
      </c>
      <c r="M5726">
        <v>0.99990860000000004</v>
      </c>
      <c r="N5726">
        <v>-1.345647E-2</v>
      </c>
      <c r="O5726">
        <v>1.3523719999999999E-3</v>
      </c>
      <c r="P5726">
        <v>0.99056979999999994</v>
      </c>
      <c r="Q5726">
        <v>-8.4206729999999994E-2</v>
      </c>
      <c r="R5726">
        <v>-0.10807840000000001</v>
      </c>
      <c r="S5726">
        <v>2.9841310000000001</v>
      </c>
      <c r="T5726">
        <v>-0.1767088</v>
      </c>
      <c r="U5726">
        <v>-0.26806639999999998</v>
      </c>
      <c r="V5726">
        <v>0.109447699999999</v>
      </c>
      <c r="W5726">
        <v>-7.0825620000000006E-2</v>
      </c>
      <c r="X5726">
        <v>0.99146599999999996</v>
      </c>
      <c r="Y5726">
        <v>9.0622400000000006E-2</v>
      </c>
      <c r="Z5726">
        <v>-3.348771E-3</v>
      </c>
      <c r="AA5726">
        <v>0.99587969999999904</v>
      </c>
      <c r="AB5726">
        <v>19</v>
      </c>
      <c r="AC5726">
        <v>19.636299999999999</v>
      </c>
      <c r="AD5726">
        <v>-1.1713849999999999</v>
      </c>
      <c r="AE5726">
        <v>-1.77731999999999</v>
      </c>
      <c r="AF5726">
        <v>1.79753163028215</v>
      </c>
      <c r="AG5726">
        <v>-1.1713849999999999</v>
      </c>
      <c r="AH5726">
        <v>19.564820472231599</v>
      </c>
      <c r="AI5726">
        <v>93.411986842467201</v>
      </c>
      <c r="AJ5726">
        <v>84.750647073571002</v>
      </c>
      <c r="AK5726">
        <v>19.682110224534998</v>
      </c>
      <c r="AL5726">
        <v>94.061409676124697</v>
      </c>
      <c r="AM5726">
        <v>83.700637470372001</v>
      </c>
      <c r="AN5726">
        <v>0.99999994831983496</v>
      </c>
    </row>
    <row r="5727" spans="1:40" x14ac:dyDescent="0.25">
      <c r="A5727" t="str">
        <f>"20190303154633391"</f>
        <v>20190303154633391</v>
      </c>
      <c r="B5727" t="str">
        <f>"1551599193387091"</f>
        <v>1551599193387091</v>
      </c>
      <c r="C5727" t="s">
        <v>40</v>
      </c>
      <c r="D5727">
        <v>5.2310699999999999</v>
      </c>
      <c r="E5727">
        <v>0.49237559999999903</v>
      </c>
      <c r="F5727" t="s">
        <v>43</v>
      </c>
      <c r="G5727">
        <v>-302.9271</v>
      </c>
      <c r="H5727">
        <v>-0.05</v>
      </c>
      <c r="I5727">
        <v>16.066990000000001</v>
      </c>
      <c r="J5727">
        <v>-321.91419999999999</v>
      </c>
      <c r="K5727">
        <v>1.121445</v>
      </c>
      <c r="L5727">
        <v>17.80179</v>
      </c>
      <c r="M5727">
        <v>0.99990809999999997</v>
      </c>
      <c r="N5727">
        <v>-1.345491E-2</v>
      </c>
      <c r="O5727">
        <v>1.744876E-3</v>
      </c>
      <c r="P5727">
        <v>0.99019290000000004</v>
      </c>
      <c r="Q5727">
        <v>-8.5797380000000006E-2</v>
      </c>
      <c r="R5727">
        <v>-0.11026030000000001</v>
      </c>
      <c r="S5727">
        <v>2.9836119999999999</v>
      </c>
      <c r="T5727">
        <v>-0.1821885</v>
      </c>
      <c r="U5727">
        <v>-0.26971440000000002</v>
      </c>
      <c r="V5727">
        <v>0.1120299</v>
      </c>
      <c r="W5727">
        <v>-7.2404529999999995E-2</v>
      </c>
      <c r="X5727">
        <v>0.99106349999999999</v>
      </c>
      <c r="Y5727">
        <v>9.1560559999999999E-2</v>
      </c>
      <c r="Z5727">
        <v>-3.4879830000000001E-3</v>
      </c>
      <c r="AA5727">
        <v>0.99579340000000005</v>
      </c>
      <c r="AB5727">
        <v>19</v>
      </c>
      <c r="AC5727">
        <v>18.987100000000002</v>
      </c>
      <c r="AD5727">
        <v>-1.1714450000000001</v>
      </c>
      <c r="AE5727">
        <v>-1.7347999999999999</v>
      </c>
      <c r="AF5727">
        <v>1.7612816631078501</v>
      </c>
      <c r="AG5727">
        <v>-1.1714450000000001</v>
      </c>
      <c r="AH5727">
        <v>18.912648698687001</v>
      </c>
      <c r="AI5727">
        <v>93.529127412698699</v>
      </c>
      <c r="AJ5727">
        <v>84.679550982391902</v>
      </c>
      <c r="AK5727">
        <v>19.030572174392798</v>
      </c>
      <c r="AL5727">
        <v>94.152107286336303</v>
      </c>
      <c r="AM5727">
        <v>83.550657392823098</v>
      </c>
      <c r="AN5727">
        <v>0.99999998774539001</v>
      </c>
    </row>
    <row r="5728" spans="1:40" x14ac:dyDescent="0.25">
      <c r="A5728" t="str">
        <f>"20190303154633412"</f>
        <v>20190303154633412</v>
      </c>
      <c r="B5728" t="str">
        <f>"1551599193407587"</f>
        <v>1551599193407587</v>
      </c>
      <c r="C5728" t="s">
        <v>40</v>
      </c>
      <c r="D5728">
        <v>5.1641240000000002</v>
      </c>
      <c r="E5728">
        <v>0.49196770000000001</v>
      </c>
      <c r="F5728" t="s">
        <v>43</v>
      </c>
      <c r="G5728">
        <v>-303.3723</v>
      </c>
      <c r="H5728">
        <v>-0.05</v>
      </c>
      <c r="I5728">
        <v>16.118970000000001</v>
      </c>
      <c r="J5728">
        <v>-321.7296</v>
      </c>
      <c r="K5728">
        <v>1.1214980000000001</v>
      </c>
      <c r="L5728">
        <v>17.802579999999999</v>
      </c>
      <c r="M5728">
        <v>0.99990699999999999</v>
      </c>
      <c r="N5728">
        <v>-1.345358E-2</v>
      </c>
      <c r="O5728">
        <v>2.2108520000000001E-3</v>
      </c>
      <c r="P5728">
        <v>0.98961449999999995</v>
      </c>
      <c r="Q5728">
        <v>-8.8446300000000005E-2</v>
      </c>
      <c r="R5728">
        <v>-0.1133156</v>
      </c>
      <c r="S5728">
        <v>2.9832459999999998</v>
      </c>
      <c r="T5728">
        <v>-0.18847630000000001</v>
      </c>
      <c r="U5728">
        <v>-0.27075199999999999</v>
      </c>
      <c r="V5728">
        <v>0.1155578</v>
      </c>
      <c r="W5728">
        <v>-7.5043879999999993E-2</v>
      </c>
      <c r="X5728">
        <v>0.99046190000000001</v>
      </c>
      <c r="Y5728">
        <v>9.2363200000000006E-2</v>
      </c>
      <c r="Z5728">
        <v>-3.64176E-3</v>
      </c>
      <c r="AA5728">
        <v>0.99571869999999996</v>
      </c>
      <c r="AB5728">
        <v>19</v>
      </c>
      <c r="AC5728">
        <v>18.357299999999999</v>
      </c>
      <c r="AD5728">
        <v>-1.1714979999999999</v>
      </c>
      <c r="AE5728">
        <v>-1.6836099999999901</v>
      </c>
      <c r="AF5728">
        <v>1.71725955819594</v>
      </c>
      <c r="AG5728">
        <v>-1.1714979999999999</v>
      </c>
      <c r="AH5728">
        <v>18.279708668780302</v>
      </c>
      <c r="AI5728">
        <v>93.650888560459506</v>
      </c>
      <c r="AJ5728">
        <v>84.633185801067995</v>
      </c>
      <c r="AK5728">
        <v>18.3975307302284</v>
      </c>
      <c r="AL5728">
        <v>94.303743625347593</v>
      </c>
      <c r="AM5728">
        <v>83.345351712387796</v>
      </c>
      <c r="AN5728">
        <v>0.99999998220895203</v>
      </c>
    </row>
    <row r="5729" spans="1:40" x14ac:dyDescent="0.25">
      <c r="A5729" t="str">
        <f>"20190303154633446"</f>
        <v>20190303154633446</v>
      </c>
      <c r="B5729" t="str">
        <f>"1551599193436867"</f>
        <v>1551599193436867</v>
      </c>
      <c r="C5729" t="s">
        <v>40</v>
      </c>
      <c r="D5729">
        <v>5.1525290000000004</v>
      </c>
      <c r="E5729">
        <v>0.46169949999999998</v>
      </c>
      <c r="F5729" t="s">
        <v>43</v>
      </c>
      <c r="G5729">
        <v>-303.97359999999998</v>
      </c>
      <c r="H5729">
        <v>-0.05</v>
      </c>
      <c r="I5729">
        <v>16.155079999999899</v>
      </c>
      <c r="J5729">
        <v>-321.44540000000001</v>
      </c>
      <c r="K5729">
        <v>1.1215729999999999</v>
      </c>
      <c r="L5729">
        <v>17.80423</v>
      </c>
      <c r="M5729">
        <v>0.99990480000000004</v>
      </c>
      <c r="N5729">
        <v>-1.3451660000000001E-2</v>
      </c>
      <c r="O5729">
        <v>3.107472E-3</v>
      </c>
      <c r="P5729">
        <v>0.98919460000000003</v>
      </c>
      <c r="Q5729">
        <v>-9.0546299999999996E-2</v>
      </c>
      <c r="R5729">
        <v>-0.11530839999999901</v>
      </c>
      <c r="S5729">
        <v>2.9821780000000002</v>
      </c>
      <c r="T5729">
        <v>-0.19675609999999999</v>
      </c>
      <c r="U5729">
        <v>-0.27670289999999997</v>
      </c>
      <c r="V5729">
        <v>0.1184542</v>
      </c>
      <c r="W5729">
        <v>-7.7125699999999894E-2</v>
      </c>
      <c r="X5729">
        <v>0.9899597</v>
      </c>
      <c r="Y5729">
        <v>9.5230899999999993E-2</v>
      </c>
      <c r="Z5729">
        <v>-3.9368579999999997E-3</v>
      </c>
      <c r="AA5729">
        <v>0.99544739999999998</v>
      </c>
      <c r="AB5729">
        <v>19</v>
      </c>
      <c r="AC5729">
        <v>17.471800000000002</v>
      </c>
      <c r="AD5729">
        <v>-1.171573</v>
      </c>
      <c r="AE5729">
        <v>-1.6491499999999999</v>
      </c>
      <c r="AF5729">
        <v>1.69588207183478</v>
      </c>
      <c r="AG5729">
        <v>-1.171573</v>
      </c>
      <c r="AH5729">
        <v>17.3890928864495</v>
      </c>
      <c r="AI5729">
        <v>93.836275690598399</v>
      </c>
      <c r="AJ5729">
        <v>84.429808808394796</v>
      </c>
      <c r="AK5729">
        <v>17.510829526595</v>
      </c>
      <c r="AL5729">
        <v>94.423369872090504</v>
      </c>
      <c r="AM5729">
        <v>83.176681177356798</v>
      </c>
      <c r="AN5729">
        <v>0.99999998936111001</v>
      </c>
    </row>
    <row r="5730" spans="1:40" x14ac:dyDescent="0.25">
      <c r="A5730" t="str">
        <f>"20190303154633470"</f>
        <v>20190303154633470</v>
      </c>
      <c r="B5730" t="str">
        <f>"1551599193467126"</f>
        <v>1551599193467126</v>
      </c>
      <c r="C5730" t="s">
        <v>40</v>
      </c>
      <c r="D5730">
        <v>5.2140120000000003</v>
      </c>
      <c r="E5730">
        <v>0.45982580000000001</v>
      </c>
      <c r="F5730" t="s">
        <v>43</v>
      </c>
      <c r="G5730">
        <v>-295.80810000000002</v>
      </c>
      <c r="H5730">
        <v>-0.05</v>
      </c>
      <c r="I5730">
        <v>17.440429999999999</v>
      </c>
      <c r="J5730">
        <v>-321.24180000000001</v>
      </c>
      <c r="K5730">
        <v>1.1215520000000001</v>
      </c>
      <c r="L5730">
        <v>17.805730000000001</v>
      </c>
      <c r="M5730">
        <v>0.9999053</v>
      </c>
      <c r="N5730">
        <v>-1.321162E-2</v>
      </c>
      <c r="O5730">
        <v>3.8915529999999999E-3</v>
      </c>
      <c r="P5730">
        <v>0.9890776</v>
      </c>
      <c r="Q5730">
        <v>-9.0063149999999995E-2</v>
      </c>
      <c r="R5730">
        <v>-0.1166814</v>
      </c>
      <c r="S5730">
        <v>3.0151669999999999</v>
      </c>
      <c r="T5730">
        <v>-0.1377872</v>
      </c>
      <c r="U5730">
        <v>-4.278564E-2</v>
      </c>
      <c r="V5730">
        <v>0.1206111</v>
      </c>
      <c r="W5730">
        <v>-7.6866719999999999E-2</v>
      </c>
      <c r="X5730">
        <v>0.98971940000000003</v>
      </c>
      <c r="Y5730">
        <v>1.8053759999999999E-2</v>
      </c>
      <c r="Z5730">
        <v>-6.579674E-4</v>
      </c>
      <c r="AA5730">
        <v>0.99983679999999997</v>
      </c>
      <c r="AB5730">
        <v>19</v>
      </c>
      <c r="AC5730">
        <v>25.433699999999899</v>
      </c>
      <c r="AD5730">
        <v>-1.1715519999999999</v>
      </c>
      <c r="AE5730">
        <v>-0.36530000000000101</v>
      </c>
      <c r="AF5730">
        <v>0.46329962376335998</v>
      </c>
      <c r="AG5730">
        <v>-1.1715519999999999</v>
      </c>
      <c r="AH5730">
        <v>25.378249256767798</v>
      </c>
      <c r="AI5730">
        <v>92.642664726560199</v>
      </c>
      <c r="AJ5730">
        <v>88.954137281636704</v>
      </c>
      <c r="AK5730">
        <v>25.409500506084701</v>
      </c>
      <c r="AL5730">
        <v>94.408487137099598</v>
      </c>
      <c r="AM5730">
        <v>83.051970367629295</v>
      </c>
      <c r="AN5730">
        <v>1.0000000104115601</v>
      </c>
    </row>
    <row r="5731" spans="1:40" x14ac:dyDescent="0.25">
      <c r="A5731" t="str">
        <f>"20190303154633493"</f>
        <v>20190303154633493</v>
      </c>
      <c r="B5731" t="str">
        <f>"1551599193486647"</f>
        <v>1551599193486647</v>
      </c>
      <c r="C5731" t="s">
        <v>40</v>
      </c>
      <c r="D5731">
        <v>5.2153140000000002</v>
      </c>
      <c r="E5731">
        <v>0.45928730000000001</v>
      </c>
      <c r="F5731" t="s">
        <v>43</v>
      </c>
      <c r="G5731">
        <v>-296.05290000000002</v>
      </c>
      <c r="H5731">
        <v>-0.05</v>
      </c>
      <c r="I5731">
        <v>17.54224</v>
      </c>
      <c r="J5731">
        <v>-321.04520000000002</v>
      </c>
      <c r="K5731">
        <v>1.121373</v>
      </c>
      <c r="L5731">
        <v>17.807369999999999</v>
      </c>
      <c r="M5731">
        <v>0.99990880000000004</v>
      </c>
      <c r="N5731">
        <v>-1.2652389999999999E-2</v>
      </c>
      <c r="O5731">
        <v>4.7423049999999996E-3</v>
      </c>
      <c r="P5731">
        <v>0.98888589999999998</v>
      </c>
      <c r="Q5731">
        <v>-8.9624960000000004E-2</v>
      </c>
      <c r="R5731">
        <v>-0.1186267</v>
      </c>
      <c r="S5731">
        <v>3.0166629999999999</v>
      </c>
      <c r="T5731">
        <v>-0.14030709999999999</v>
      </c>
      <c r="U5731">
        <v>-3.1555180000000002E-2</v>
      </c>
      <c r="V5731">
        <v>0.1234029</v>
      </c>
      <c r="W5731">
        <v>-7.6972949999999998E-2</v>
      </c>
      <c r="X5731">
        <v>0.98936690000000005</v>
      </c>
      <c r="Y5731">
        <v>1.517844E-2</v>
      </c>
      <c r="Z5731">
        <v>-6.0933869999999998E-4</v>
      </c>
      <c r="AA5731">
        <v>0.99988460000000001</v>
      </c>
      <c r="AB5731">
        <v>19</v>
      </c>
      <c r="AC5731">
        <v>24.9923</v>
      </c>
      <c r="AD5731">
        <v>-1.171373</v>
      </c>
      <c r="AE5731">
        <v>-0.26513000000000198</v>
      </c>
      <c r="AF5731">
        <v>0.38281675156887601</v>
      </c>
      <c r="AG5731">
        <v>-1.171373</v>
      </c>
      <c r="AH5731">
        <v>24.935989858642401</v>
      </c>
      <c r="AI5731">
        <v>92.689186914557496</v>
      </c>
      <c r="AJ5731">
        <v>89.120465583350907</v>
      </c>
      <c r="AK5731">
        <v>24.966422523075401</v>
      </c>
      <c r="AL5731">
        <v>94.414591858458905</v>
      </c>
      <c r="AM5731">
        <v>82.8902635457857</v>
      </c>
      <c r="AN5731">
        <v>0.99999998678786095</v>
      </c>
    </row>
    <row r="5732" spans="1:40" x14ac:dyDescent="0.25">
      <c r="A5732" t="str">
        <f>"20190303154633515"</f>
        <v>20190303154633515</v>
      </c>
      <c r="B5732" t="str">
        <f>"1551599193507143"</f>
        <v>1551599193507143</v>
      </c>
      <c r="C5732" t="s">
        <v>40</v>
      </c>
      <c r="D5732">
        <v>5.1457680000000003</v>
      </c>
      <c r="E5732">
        <v>0.45901350000000002</v>
      </c>
      <c r="F5732" t="s">
        <v>43</v>
      </c>
      <c r="G5732">
        <v>-295.6071</v>
      </c>
      <c r="H5732">
        <v>-0.05</v>
      </c>
      <c r="I5732">
        <v>17.53078</v>
      </c>
      <c r="J5732">
        <v>-320.8485</v>
      </c>
      <c r="K5732">
        <v>1.121151</v>
      </c>
      <c r="L5732">
        <v>17.809200000000001</v>
      </c>
      <c r="M5732">
        <v>0.99990480000000004</v>
      </c>
      <c r="N5732">
        <v>-1.260554E-2</v>
      </c>
      <c r="O5732">
        <v>5.6237930000000002E-3</v>
      </c>
      <c r="P5732">
        <v>0.98857130000000004</v>
      </c>
      <c r="Q5732">
        <v>-8.9979790000000004E-2</v>
      </c>
      <c r="R5732">
        <v>-0.1209575</v>
      </c>
      <c r="S5732">
        <v>3.0171809999999999</v>
      </c>
      <c r="T5732">
        <v>-0.13893520000000001</v>
      </c>
      <c r="U5732">
        <v>-3.2806399999999999E-2</v>
      </c>
      <c r="V5732">
        <v>0.12660830000000001</v>
      </c>
      <c r="W5732">
        <v>-7.736817E-2</v>
      </c>
      <c r="X5732">
        <v>0.988931</v>
      </c>
      <c r="Y5732">
        <v>1.6470909999999998E-2</v>
      </c>
      <c r="Z5732">
        <v>-6.7086039999999895E-4</v>
      </c>
      <c r="AA5732">
        <v>0.99986410000000003</v>
      </c>
      <c r="AB5732">
        <v>19</v>
      </c>
      <c r="AC5732">
        <v>25.241399999999999</v>
      </c>
      <c r="AD5732">
        <v>-1.1711510000000001</v>
      </c>
      <c r="AE5732">
        <v>-0.27842</v>
      </c>
      <c r="AF5732">
        <v>0.41947634600508998</v>
      </c>
      <c r="AG5732">
        <v>-1.1711510000000001</v>
      </c>
      <c r="AH5732">
        <v>25.185223320470399</v>
      </c>
      <c r="AI5732">
        <v>92.662053814469502</v>
      </c>
      <c r="AJ5732">
        <v>89.045789594767001</v>
      </c>
      <c r="AK5732">
        <v>25.2159280767459</v>
      </c>
      <c r="AL5732">
        <v>94.437303927688902</v>
      </c>
      <c r="AM5732">
        <v>82.704371092989902</v>
      </c>
      <c r="AN5732">
        <v>1.00000000905951</v>
      </c>
    </row>
    <row r="5733" spans="1:40" x14ac:dyDescent="0.25">
      <c r="A5733" t="str">
        <f>"20190303154633538"</f>
        <v>20190303154633538</v>
      </c>
      <c r="B5733" t="str">
        <f>"1551599193527638"</f>
        <v>1551599193527638</v>
      </c>
      <c r="C5733" t="s">
        <v>40</v>
      </c>
      <c r="D5733">
        <v>5.0911549999999997</v>
      </c>
      <c r="E5733">
        <v>0.45894499999999999</v>
      </c>
      <c r="F5733" t="s">
        <v>43</v>
      </c>
      <c r="G5733">
        <v>-295.07279999999997</v>
      </c>
      <c r="H5733">
        <v>-0.05</v>
      </c>
      <c r="I5733">
        <v>17.488329999999898</v>
      </c>
      <c r="J5733">
        <v>-320.65910000000002</v>
      </c>
      <c r="K5733">
        <v>1.1208260000000001</v>
      </c>
      <c r="L5733">
        <v>17.81119</v>
      </c>
      <c r="M5733">
        <v>0.99989189999999994</v>
      </c>
      <c r="N5733">
        <v>-1.3198649999999999E-2</v>
      </c>
      <c r="O5733">
        <v>6.481746E-3</v>
      </c>
      <c r="P5733">
        <v>0.98835729999999999</v>
      </c>
      <c r="Q5733">
        <v>-9.0198039999999993E-2</v>
      </c>
      <c r="R5733">
        <v>-0.1225325</v>
      </c>
      <c r="S5733">
        <v>3.017639</v>
      </c>
      <c r="T5733">
        <v>-0.13710999999999901</v>
      </c>
      <c r="U5733">
        <v>-3.7567139999999999E-2</v>
      </c>
      <c r="V5733">
        <v>0.12903239999999999</v>
      </c>
      <c r="W5733">
        <v>-7.6995750000000002E-2</v>
      </c>
      <c r="X5733">
        <v>0.98864669999999999</v>
      </c>
      <c r="Y5733">
        <v>1.8901230000000002E-2</v>
      </c>
      <c r="Z5733">
        <v>-7.6281549999999997E-4</v>
      </c>
      <c r="AA5733">
        <v>0.99982110000000002</v>
      </c>
      <c r="AB5733">
        <v>19</v>
      </c>
      <c r="AC5733">
        <v>25.586300000000001</v>
      </c>
      <c r="AD5733">
        <v>-1.1708259999999999</v>
      </c>
      <c r="AE5733">
        <v>-0.32286000000000198</v>
      </c>
      <c r="AF5733">
        <v>0.48769051405568098</v>
      </c>
      <c r="AG5733">
        <v>-1.1708259999999999</v>
      </c>
      <c r="AH5733">
        <v>25.530218629751101</v>
      </c>
      <c r="AI5733">
        <v>92.625289218243495</v>
      </c>
      <c r="AJ5733">
        <v>88.905641564765901</v>
      </c>
      <c r="AK5733">
        <v>25.561704537113101</v>
      </c>
      <c r="AL5733">
        <v>94.415902025109702</v>
      </c>
      <c r="AM5733">
        <v>82.564119801043006</v>
      </c>
      <c r="AN5733">
        <v>1.00000000159435</v>
      </c>
    </row>
    <row r="5734" spans="1:40" x14ac:dyDescent="0.25">
      <c r="A5734" t="str">
        <f>"20190303154633558"</f>
        <v>20190303154633558</v>
      </c>
      <c r="B5734" t="str">
        <f>"1551599193547159"</f>
        <v>1551599193547159</v>
      </c>
      <c r="C5734" t="s">
        <v>40</v>
      </c>
      <c r="D5734">
        <v>5.0630509999999997</v>
      </c>
      <c r="E5734">
        <v>0.45862049999999999</v>
      </c>
      <c r="F5734" t="s">
        <v>43</v>
      </c>
      <c r="G5734">
        <v>-293.93439999999998</v>
      </c>
      <c r="H5734">
        <v>-0.05</v>
      </c>
      <c r="I5734">
        <v>17.442889999999998</v>
      </c>
      <c r="J5734">
        <v>-320.47480000000002</v>
      </c>
      <c r="K5734">
        <v>1.1202810000000001</v>
      </c>
      <c r="L5734">
        <v>17.813320000000001</v>
      </c>
      <c r="M5734">
        <v>0.99987440000000005</v>
      </c>
      <c r="N5734">
        <v>-1.40494E-2</v>
      </c>
      <c r="O5734">
        <v>7.3384749999999997E-3</v>
      </c>
      <c r="P5734">
        <v>0.98833020000000005</v>
      </c>
      <c r="Q5734">
        <v>-8.9202799999999999E-2</v>
      </c>
      <c r="R5734">
        <v>-0.12347610000000001</v>
      </c>
      <c r="S5734">
        <v>3.0181580000000001</v>
      </c>
      <c r="T5734">
        <v>-0.13222709999999999</v>
      </c>
      <c r="U5734">
        <v>-4.1595460000000001E-2</v>
      </c>
      <c r="V5734">
        <v>0.13082279999999999</v>
      </c>
      <c r="W5734">
        <v>-7.5154100000000001E-2</v>
      </c>
      <c r="X5734">
        <v>0.98855309999999996</v>
      </c>
      <c r="Y5734">
        <v>2.1088599999999999E-2</v>
      </c>
      <c r="Z5734">
        <v>-8.2822479999999997E-4</v>
      </c>
      <c r="AA5734">
        <v>0.99977729999999998</v>
      </c>
      <c r="AB5734">
        <v>19</v>
      </c>
      <c r="AC5734">
        <v>26.540400000000002</v>
      </c>
      <c r="AD5734">
        <v>-1.1702809999999999</v>
      </c>
      <c r="AE5734">
        <v>-0.37043000000000198</v>
      </c>
      <c r="AF5734">
        <v>0.56410871662790496</v>
      </c>
      <c r="AG5734">
        <v>-1.1702809999999999</v>
      </c>
      <c r="AH5734">
        <v>26.4854806070596</v>
      </c>
      <c r="AI5734">
        <v>92.529438794425204</v>
      </c>
      <c r="AJ5734">
        <v>88.779853645049599</v>
      </c>
      <c r="AK5734">
        <v>26.517323757311299</v>
      </c>
      <c r="AL5734">
        <v>94.310076626791698</v>
      </c>
      <c r="AM5734">
        <v>82.461415566051798</v>
      </c>
      <c r="AN5734">
        <v>0.99999998763312903</v>
      </c>
    </row>
    <row r="5735" spans="1:40" x14ac:dyDescent="0.25">
      <c r="A5735" t="str">
        <f>"20190303154633582"</f>
        <v>20190303154633582</v>
      </c>
      <c r="B5735" t="str">
        <f>"1551599193577414"</f>
        <v>1551599193577414</v>
      </c>
      <c r="C5735" t="s">
        <v>40</v>
      </c>
      <c r="D5735">
        <v>5.0027879999999998</v>
      </c>
      <c r="E5735">
        <v>0.4579104</v>
      </c>
      <c r="F5735" t="s">
        <v>43</v>
      </c>
      <c r="G5735">
        <v>-292.62729999999999</v>
      </c>
      <c r="H5735">
        <v>-0.05</v>
      </c>
      <c r="I5735">
        <v>17.4299</v>
      </c>
      <c r="J5735">
        <v>-320.28059999999999</v>
      </c>
      <c r="K5735">
        <v>1.119407</v>
      </c>
      <c r="L5735">
        <v>17.8157</v>
      </c>
      <c r="M5735">
        <v>0.99985210000000002</v>
      </c>
      <c r="N5735">
        <v>-1.5125039999999999E-2</v>
      </c>
      <c r="O5735">
        <v>8.2081819999999996E-3</v>
      </c>
      <c r="P5735">
        <v>0.98837620000000004</v>
      </c>
      <c r="Q5735">
        <v>-8.7795600000000001E-2</v>
      </c>
      <c r="R5735">
        <v>-0.12411609999999999</v>
      </c>
      <c r="S5735">
        <v>3.018799</v>
      </c>
      <c r="T5735">
        <v>-0.1268637</v>
      </c>
      <c r="U5735">
        <v>-4.1564940000000002E-2</v>
      </c>
      <c r="V5735">
        <v>0.13232269999999999</v>
      </c>
      <c r="W5735">
        <v>-7.2675760000000006E-2</v>
      </c>
      <c r="X5735">
        <v>0.98853880000000005</v>
      </c>
      <c r="Y5735">
        <v>2.194596E-2</v>
      </c>
      <c r="Z5735">
        <v>-8.4765759999999904E-4</v>
      </c>
      <c r="AA5735">
        <v>0.99975879999999995</v>
      </c>
      <c r="AB5735">
        <v>19</v>
      </c>
      <c r="AC5735">
        <v>27.653300000000002</v>
      </c>
      <c r="AD5735">
        <v>-1.1694069999999901</v>
      </c>
      <c r="AE5735">
        <v>-0.38579999999999898</v>
      </c>
      <c r="AF5735">
        <v>0.61170255856084399</v>
      </c>
      <c r="AG5735">
        <v>-1.1694069999999901</v>
      </c>
      <c r="AH5735">
        <v>27.599854251266599</v>
      </c>
      <c r="AI5735">
        <v>92.425578524445001</v>
      </c>
      <c r="AJ5735">
        <v>88.730346991747496</v>
      </c>
      <c r="AK5735">
        <v>27.631388807712099</v>
      </c>
      <c r="AL5735">
        <v>94.167688572747096</v>
      </c>
      <c r="AM5735">
        <v>82.3758867181336</v>
      </c>
      <c r="AN5735">
        <v>1.00000001106615</v>
      </c>
    </row>
    <row r="5736" spans="1:40" x14ac:dyDescent="0.25">
      <c r="A5736" t="str">
        <f>"20190303154633603"</f>
        <v>20190303154633603</v>
      </c>
      <c r="B5736" t="str">
        <f>"1551599193596934"</f>
        <v>1551599193596934</v>
      </c>
      <c r="C5736" t="s">
        <v>40</v>
      </c>
      <c r="D5736">
        <v>5.0497370000000004</v>
      </c>
      <c r="E5736">
        <v>0.45751409999999998</v>
      </c>
      <c r="F5736" t="s">
        <v>43</v>
      </c>
      <c r="G5736">
        <v>-290.84390000000002</v>
      </c>
      <c r="H5736">
        <v>-0.05</v>
      </c>
      <c r="I5736">
        <v>17.450119999999998</v>
      </c>
      <c r="J5736">
        <v>-320.09390000000002</v>
      </c>
      <c r="K5736">
        <v>1.1183080000000001</v>
      </c>
      <c r="L5736">
        <v>17.818210000000001</v>
      </c>
      <c r="M5736">
        <v>0.99982249999999995</v>
      </c>
      <c r="N5736">
        <v>-1.6556830000000002E-2</v>
      </c>
      <c r="O5736">
        <v>9.0003280000000001E-3</v>
      </c>
      <c r="P5736">
        <v>0.98819860000000004</v>
      </c>
      <c r="Q5736">
        <v>-8.7982879999999999E-2</v>
      </c>
      <c r="R5736">
        <v>-0.1253898</v>
      </c>
      <c r="S5736">
        <v>3.0198969999999998</v>
      </c>
      <c r="T5736">
        <v>-0.119968699999999</v>
      </c>
      <c r="U5736">
        <v>-3.7506100000000001E-2</v>
      </c>
      <c r="V5736">
        <v>0.134377</v>
      </c>
      <c r="W5736">
        <v>-7.1446640000000006E-2</v>
      </c>
      <c r="X5736">
        <v>0.98835119999999999</v>
      </c>
      <c r="Y5736">
        <v>2.1392749999999999E-2</v>
      </c>
      <c r="Z5736">
        <v>-8.1036469999999996E-4</v>
      </c>
      <c r="AA5736">
        <v>0.99977079999999996</v>
      </c>
      <c r="AB5736">
        <v>19</v>
      </c>
      <c r="AC5736">
        <v>29.25</v>
      </c>
      <c r="AD5736">
        <v>-1.1683079999999999</v>
      </c>
      <c r="AE5736">
        <v>-0.36808999999999797</v>
      </c>
      <c r="AF5736">
        <v>0.63036523981203096</v>
      </c>
      <c r="AG5736">
        <v>-1.1683079999999999</v>
      </c>
      <c r="AH5736">
        <v>29.198925676151099</v>
      </c>
      <c r="AI5736">
        <v>92.290764444282502</v>
      </c>
      <c r="AJ5736">
        <v>88.763253870753701</v>
      </c>
      <c r="AK5736">
        <v>29.229087645012498</v>
      </c>
      <c r="AL5736">
        <v>94.097081878197102</v>
      </c>
      <c r="AM5736">
        <v>82.257495801036697</v>
      </c>
      <c r="AN5736">
        <v>0.99999994751886301</v>
      </c>
    </row>
    <row r="5737" spans="1:40" x14ac:dyDescent="0.25">
      <c r="A5737" t="str">
        <f>"20190303154633625"</f>
        <v>20190303154633625</v>
      </c>
      <c r="B5737" t="str">
        <f>"1551599193617430"</f>
        <v>1551599193617430</v>
      </c>
      <c r="C5737" t="s">
        <v>40</v>
      </c>
      <c r="D5737">
        <v>5.0037969999999996</v>
      </c>
      <c r="E5737">
        <v>0.4569764</v>
      </c>
      <c r="F5737" t="s">
        <v>43</v>
      </c>
      <c r="G5737">
        <v>-290.72949999999997</v>
      </c>
      <c r="H5737">
        <v>-0.05</v>
      </c>
      <c r="I5737">
        <v>17.448519999999998</v>
      </c>
      <c r="J5737">
        <v>-319.90300000000002</v>
      </c>
      <c r="K5737">
        <v>1.1169830000000001</v>
      </c>
      <c r="L5737">
        <v>17.820920000000001</v>
      </c>
      <c r="M5737">
        <v>0.99978429999999996</v>
      </c>
      <c r="N5737">
        <v>-1.8311999999999998E-2</v>
      </c>
      <c r="O5737">
        <v>9.8188609999999999E-3</v>
      </c>
      <c r="P5737">
        <v>0.98776839999999999</v>
      </c>
      <c r="Q5737">
        <v>-8.9120859999999996E-2</v>
      </c>
      <c r="R5737">
        <v>-0.1279507</v>
      </c>
      <c r="S5737">
        <v>3.0203250000000001</v>
      </c>
      <c r="T5737">
        <v>-0.12016839999999999</v>
      </c>
      <c r="U5737">
        <v>-3.80249E-2</v>
      </c>
      <c r="V5737">
        <v>0.13773959999999999</v>
      </c>
      <c r="W5737">
        <v>-7.0858080000000004E-2</v>
      </c>
      <c r="X5737">
        <v>0.98793070000000005</v>
      </c>
      <c r="Y5737">
        <v>2.2379679999999999E-2</v>
      </c>
      <c r="Z5737">
        <v>-8.6078249999999999E-4</v>
      </c>
      <c r="AA5737">
        <v>0.9997492</v>
      </c>
      <c r="AB5737">
        <v>19</v>
      </c>
      <c r="AC5737">
        <v>29.173500000000001</v>
      </c>
      <c r="AD5737">
        <v>-1.1669830000000001</v>
      </c>
      <c r="AE5737">
        <v>-0.37239999999999801</v>
      </c>
      <c r="AF5737">
        <v>0.65782813670822005</v>
      </c>
      <c r="AG5737">
        <v>-1.1669830000000001</v>
      </c>
      <c r="AH5737">
        <v>29.121845234916101</v>
      </c>
      <c r="AI5737">
        <v>92.294168524047905</v>
      </c>
      <c r="AJ5737">
        <v>88.705975981158502</v>
      </c>
      <c r="AK5737">
        <v>29.1526406533977</v>
      </c>
      <c r="AL5737">
        <v>94.063273700856996</v>
      </c>
      <c r="AM5737">
        <v>82.062853983016495</v>
      </c>
      <c r="AN5737">
        <v>1.0000000664559601</v>
      </c>
    </row>
    <row r="5738" spans="1:40" x14ac:dyDescent="0.25">
      <c r="A5738" t="str">
        <f>"20190303154633647"</f>
        <v>20190303154633647</v>
      </c>
      <c r="B5738" t="str">
        <f>"1551599193636950"</f>
        <v>1551599193636950</v>
      </c>
      <c r="C5738" t="s">
        <v>40</v>
      </c>
      <c r="D5738">
        <v>4.9143860000000004</v>
      </c>
      <c r="E5738">
        <v>0.45617750000000001</v>
      </c>
      <c r="F5738" t="s">
        <v>43</v>
      </c>
      <c r="G5738">
        <v>-291.24419999999998</v>
      </c>
      <c r="H5738">
        <v>-0.05</v>
      </c>
      <c r="I5738">
        <v>17.425419999999999</v>
      </c>
      <c r="J5738">
        <v>-319.7183</v>
      </c>
      <c r="K5738">
        <v>1.1155389999999901</v>
      </c>
      <c r="L5738">
        <v>17.823729999999902</v>
      </c>
      <c r="M5738">
        <v>0.99974320000000005</v>
      </c>
      <c r="N5738">
        <v>-2.0001479999999999E-2</v>
      </c>
      <c r="O5738">
        <v>1.0653549999999999E-2</v>
      </c>
      <c r="P5738">
        <v>0.9871664</v>
      </c>
      <c r="Q5738">
        <v>-9.0692460000000003E-2</v>
      </c>
      <c r="R5738">
        <v>-0.131443899999999</v>
      </c>
      <c r="S5738">
        <v>3.0206909999999998</v>
      </c>
      <c r="T5738">
        <v>-0.12300229999999999</v>
      </c>
      <c r="U5738">
        <v>-4.1687009999999997E-2</v>
      </c>
      <c r="V5738">
        <v>0.14204739999999999</v>
      </c>
      <c r="W5738">
        <v>-7.0774240000000002E-2</v>
      </c>
      <c r="X5738">
        <v>0.98732640000000005</v>
      </c>
      <c r="Y5738">
        <v>2.4420589999999999E-2</v>
      </c>
      <c r="Z5738">
        <v>-9.6194450000000001E-4</v>
      </c>
      <c r="AA5738">
        <v>0.99970130000000001</v>
      </c>
      <c r="AB5738">
        <v>19</v>
      </c>
      <c r="AC5738">
        <v>28.4741</v>
      </c>
      <c r="AD5738">
        <v>-1.1655390000000001</v>
      </c>
      <c r="AE5738">
        <v>-0.398309999999995</v>
      </c>
      <c r="AF5738">
        <v>0.70052480388157501</v>
      </c>
      <c r="AG5738">
        <v>-1.1655390000000001</v>
      </c>
      <c r="AH5738">
        <v>28.420628711213102</v>
      </c>
      <c r="AI5738">
        <v>92.3476898756156</v>
      </c>
      <c r="AJ5738">
        <v>88.588033020469098</v>
      </c>
      <c r="AK5738">
        <v>28.453143104093101</v>
      </c>
      <c r="AL5738">
        <v>94.058458452588198</v>
      </c>
      <c r="AM5738">
        <v>81.812991248918607</v>
      </c>
      <c r="AN5738">
        <v>0.99999993851564695</v>
      </c>
    </row>
    <row r="5739" spans="1:40" x14ac:dyDescent="0.25">
      <c r="A5739" t="str">
        <f>"20190303154633670"</f>
        <v>20190303154633670</v>
      </c>
      <c r="B5739" t="str">
        <f>"1551599193667206"</f>
        <v>1551599193667206</v>
      </c>
      <c r="C5739" t="s">
        <v>40</v>
      </c>
      <c r="D5739">
        <v>4.8684789999999998</v>
      </c>
      <c r="E5739">
        <v>0.45504420000000001</v>
      </c>
      <c r="F5739" t="s">
        <v>43</v>
      </c>
      <c r="G5739">
        <v>-292.33269999999999</v>
      </c>
      <c r="H5739">
        <v>-0.05</v>
      </c>
      <c r="I5739">
        <v>17.404050000000002</v>
      </c>
      <c r="J5739">
        <v>-319.52409999999998</v>
      </c>
      <c r="K5739">
        <v>1.1139049999999999</v>
      </c>
      <c r="L5739">
        <v>17.826840000000001</v>
      </c>
      <c r="M5739">
        <v>0.99970009999999998</v>
      </c>
      <c r="N5739">
        <v>-2.1594120000000001E-2</v>
      </c>
      <c r="O5739">
        <v>1.155836E-2</v>
      </c>
      <c r="P5739">
        <v>0.98658369999999995</v>
      </c>
      <c r="Q5739">
        <v>-9.1605770000000003E-2</v>
      </c>
      <c r="R5739">
        <v>-0.13513559999999999</v>
      </c>
      <c r="S5739">
        <v>3.0210270000000001</v>
      </c>
      <c r="T5739">
        <v>-0.12857569999999999</v>
      </c>
      <c r="U5739">
        <v>-4.6295169999999997E-2</v>
      </c>
      <c r="V5739">
        <v>0.14662210000000001</v>
      </c>
      <c r="W5739">
        <v>-7.0127770000000006E-2</v>
      </c>
      <c r="X5739">
        <v>0.98670360000000001</v>
      </c>
      <c r="Y5739">
        <v>2.6842020000000001E-2</v>
      </c>
      <c r="Z5739">
        <v>-1.103101E-3</v>
      </c>
      <c r="AA5739">
        <v>0.9996391</v>
      </c>
      <c r="AB5739">
        <v>19</v>
      </c>
      <c r="AC5739">
        <v>27.191399999999899</v>
      </c>
      <c r="AD5739">
        <v>-1.163905</v>
      </c>
      <c r="AE5739">
        <v>-0.422789999999999</v>
      </c>
      <c r="AF5739">
        <v>0.73577524858957599</v>
      </c>
      <c r="AG5739">
        <v>-1.163905</v>
      </c>
      <c r="AH5739">
        <v>27.1349902631171</v>
      </c>
      <c r="AI5739">
        <v>92.455189198946201</v>
      </c>
      <c r="AJ5739">
        <v>88.446784438696398</v>
      </c>
      <c r="AK5739">
        <v>27.169904980417598</v>
      </c>
      <c r="AL5739">
        <v>94.021326058343902</v>
      </c>
      <c r="AM5739">
        <v>81.547816194288998</v>
      </c>
      <c r="AN5739">
        <v>0.99999996929327095</v>
      </c>
    </row>
    <row r="5740" spans="1:40" x14ac:dyDescent="0.25">
      <c r="A5740" t="str">
        <f>"20190303154633692"</f>
        <v>20190303154633692</v>
      </c>
      <c r="B5740" t="str">
        <f>"1551599193686726"</f>
        <v>1551599193686726</v>
      </c>
      <c r="C5740" t="s">
        <v>40</v>
      </c>
      <c r="D5740">
        <v>4.8284029999999998</v>
      </c>
      <c r="E5740">
        <v>0.45464929999999898</v>
      </c>
      <c r="F5740" t="s">
        <v>43</v>
      </c>
      <c r="G5740">
        <v>-293.4631</v>
      </c>
      <c r="H5740">
        <v>-0.05</v>
      </c>
      <c r="I5740">
        <v>17.406770000000002</v>
      </c>
      <c r="J5740">
        <v>-319.33870000000002</v>
      </c>
      <c r="K5740">
        <v>1.112331</v>
      </c>
      <c r="L5740">
        <v>17.829989999999999</v>
      </c>
      <c r="M5740">
        <v>0.99965890000000002</v>
      </c>
      <c r="N5740">
        <v>-2.2983819999999999E-2</v>
      </c>
      <c r="O5740">
        <v>1.240279E-2</v>
      </c>
      <c r="P5740">
        <v>0.98585460000000003</v>
      </c>
      <c r="Q5740">
        <v>-9.2833830000000006E-2</v>
      </c>
      <c r="R5740">
        <v>-0.13954440000000001</v>
      </c>
      <c r="S5740">
        <v>3.0216059999999998</v>
      </c>
      <c r="T5740">
        <v>-0.13494690000000001</v>
      </c>
      <c r="U5740">
        <v>-4.8706050000000001E-2</v>
      </c>
      <c r="V5740">
        <v>0.15185379999999901</v>
      </c>
      <c r="W5740">
        <v>-6.9998019999999994E-2</v>
      </c>
      <c r="X5740">
        <v>0.9859213</v>
      </c>
      <c r="Y5740">
        <v>2.847446E-2</v>
      </c>
      <c r="Z5740">
        <v>-1.2316199999999999E-3</v>
      </c>
      <c r="AA5740">
        <v>0.99959370000000003</v>
      </c>
      <c r="AB5740">
        <v>19</v>
      </c>
      <c r="AC5740">
        <v>25.875599999999999</v>
      </c>
      <c r="AD5740">
        <v>-1.162331</v>
      </c>
      <c r="AE5740">
        <v>-0.42321999999999599</v>
      </c>
      <c r="AF5740">
        <v>0.74270363363241698</v>
      </c>
      <c r="AG5740">
        <v>-1.162331</v>
      </c>
      <c r="AH5740">
        <v>25.8162799265838</v>
      </c>
      <c r="AI5740">
        <v>92.576832529039706</v>
      </c>
      <c r="AJ5740">
        <v>88.352123164783293</v>
      </c>
      <c r="AK5740">
        <v>25.853102933472101</v>
      </c>
      <c r="AL5740">
        <v>94.0138732739928</v>
      </c>
      <c r="AM5740">
        <v>81.243982678897297</v>
      </c>
      <c r="AN5740">
        <v>1.0000000545860199</v>
      </c>
    </row>
    <row r="5741" spans="1:40" x14ac:dyDescent="0.25">
      <c r="A5741" t="str">
        <f>"20190303154633715"</f>
        <v>20190303154633715</v>
      </c>
      <c r="B5741" t="str">
        <f>"1551599193707222"</f>
        <v>1551599193707222</v>
      </c>
      <c r="C5741" t="s">
        <v>40</v>
      </c>
      <c r="D5741">
        <v>5.0324759999999999</v>
      </c>
      <c r="E5741">
        <v>0.47753839999999997</v>
      </c>
      <c r="F5741" t="s">
        <v>43</v>
      </c>
      <c r="G5741">
        <v>-294.44709999999998</v>
      </c>
      <c r="H5741">
        <v>-0.05</v>
      </c>
      <c r="I5741">
        <v>17.343</v>
      </c>
      <c r="J5741">
        <v>-319.14519999999999</v>
      </c>
      <c r="K5741">
        <v>1.110727</v>
      </c>
      <c r="L5741">
        <v>17.833469999999998</v>
      </c>
      <c r="M5741">
        <v>0.99961540000000004</v>
      </c>
      <c r="N5741">
        <v>-2.4366550000000001E-2</v>
      </c>
      <c r="O5741">
        <v>1.3251789999999999E-2</v>
      </c>
      <c r="P5741">
        <v>0.98503810000000003</v>
      </c>
      <c r="Q5741">
        <v>-9.4369990000000001E-2</v>
      </c>
      <c r="R5741">
        <v>-0.14420350000000001</v>
      </c>
      <c r="S5741">
        <v>3.0213619999999999</v>
      </c>
      <c r="T5741">
        <v>-0.1410844</v>
      </c>
      <c r="U5741">
        <v>-5.911255E-2</v>
      </c>
      <c r="V5741">
        <v>0.15733730000000001</v>
      </c>
      <c r="W5741">
        <v>-7.0188970000000003E-2</v>
      </c>
      <c r="X5741">
        <v>0.98504749999999996</v>
      </c>
      <c r="Y5741">
        <v>3.275496E-2</v>
      </c>
      <c r="Z5741">
        <v>-1.4593399999999999E-3</v>
      </c>
      <c r="AA5741">
        <v>0.99946239999999997</v>
      </c>
      <c r="AB5741">
        <v>19</v>
      </c>
      <c r="AC5741">
        <v>24.6981</v>
      </c>
      <c r="AD5741">
        <v>-1.1607270000000001</v>
      </c>
      <c r="AE5741">
        <v>-0.49047000000000202</v>
      </c>
      <c r="AF5741">
        <v>0.81601648971812302</v>
      </c>
      <c r="AG5741">
        <v>-1.1607270000000001</v>
      </c>
      <c r="AH5741">
        <v>24.6350389618324</v>
      </c>
      <c r="AI5741">
        <v>92.696128710999204</v>
      </c>
      <c r="AJ5741">
        <v>88.102815572183502</v>
      </c>
      <c r="AK5741">
        <v>24.6758650249798</v>
      </c>
      <c r="AL5741">
        <v>94.024840907235998</v>
      </c>
      <c r="AM5741">
        <v>80.925053429326994</v>
      </c>
      <c r="AN5741">
        <v>1.0000000473685899</v>
      </c>
    </row>
    <row r="5742" spans="1:40" x14ac:dyDescent="0.25">
      <c r="A5742" t="str">
        <f>"20190303154633871"</f>
        <v>20190303154633871</v>
      </c>
      <c r="B5742" t="str">
        <f>"1551599193867299"</f>
        <v>1551599193867299</v>
      </c>
      <c r="C5742" t="s">
        <v>40</v>
      </c>
      <c r="D5742">
        <v>4.6568509999999996</v>
      </c>
      <c r="E5742">
        <v>0.66911909999999997</v>
      </c>
      <c r="F5742" t="s">
        <v>69</v>
      </c>
      <c r="G5742">
        <v>-273.74829999999997</v>
      </c>
      <c r="H5742">
        <v>2.646636</v>
      </c>
      <c r="I5742">
        <v>14.046950000000001</v>
      </c>
      <c r="J5742">
        <v>-317.82740000000001</v>
      </c>
      <c r="K5742">
        <v>1.1005039999999999</v>
      </c>
      <c r="L5742">
        <v>17.861179999999901</v>
      </c>
      <c r="M5742">
        <v>0.99942569999999997</v>
      </c>
      <c r="N5742">
        <v>-2.8009470000000002E-2</v>
      </c>
      <c r="O5742">
        <v>1.9078660000000001E-2</v>
      </c>
      <c r="P5742">
        <v>0.97686510000000004</v>
      </c>
      <c r="Q5742">
        <v>-9.4463829999999999E-2</v>
      </c>
      <c r="R5742">
        <v>-0.1918627</v>
      </c>
      <c r="S5742">
        <v>3.018494</v>
      </c>
      <c r="T5742">
        <v>0.1021247</v>
      </c>
      <c r="U5742">
        <v>-0.25176999999999999</v>
      </c>
      <c r="V5742">
        <v>0.2105466</v>
      </c>
      <c r="W5742">
        <v>-6.6939990000000005E-2</v>
      </c>
      <c r="X5742">
        <v>0.97528930000000003</v>
      </c>
      <c r="Y5742">
        <v>0.1020795</v>
      </c>
      <c r="Z5742">
        <v>1.4684079999999901E-3</v>
      </c>
      <c r="AA5742">
        <v>0.99477519999999997</v>
      </c>
      <c r="AB5742">
        <v>19</v>
      </c>
      <c r="AC5742">
        <v>44.079099999999997</v>
      </c>
      <c r="AD5742">
        <v>1.5461319999999901</v>
      </c>
      <c r="AE5742">
        <v>-3.81422999999999</v>
      </c>
      <c r="AF5742">
        <v>4.6491577764897096</v>
      </c>
      <c r="AG5742">
        <v>1.5461319999999901</v>
      </c>
      <c r="AH5742">
        <v>43.9446064342184</v>
      </c>
      <c r="AI5742">
        <v>87.996130110475505</v>
      </c>
      <c r="AJ5742">
        <v>83.960808173419494</v>
      </c>
      <c r="AK5742">
        <v>44.216893003132498</v>
      </c>
      <c r="AL5742">
        <v>93.838248964170603</v>
      </c>
      <c r="AM5742">
        <v>77.817871648563994</v>
      </c>
      <c r="AN5742">
        <v>1.0000000258636199</v>
      </c>
    </row>
    <row r="5743" spans="1:40" x14ac:dyDescent="0.25">
      <c r="A5743" t="str">
        <f>"20190303154633893"</f>
        <v>20190303154633893</v>
      </c>
      <c r="B5743" t="str">
        <f>"1551599193886819"</f>
        <v>1551599193886819</v>
      </c>
      <c r="C5743" t="s">
        <v>40</v>
      </c>
      <c r="D5743">
        <v>4.6411290000000003</v>
      </c>
      <c r="E5743">
        <v>0.67015119999999995</v>
      </c>
      <c r="F5743" t="s">
        <v>43</v>
      </c>
      <c r="G5743">
        <v>-302.93669999999997</v>
      </c>
      <c r="H5743">
        <v>-0.05</v>
      </c>
      <c r="I5743">
        <v>7.3026119999999999</v>
      </c>
      <c r="J5743">
        <v>-317.64370000000002</v>
      </c>
      <c r="K5743">
        <v>1.098657</v>
      </c>
      <c r="L5743">
        <v>17.865629999999999</v>
      </c>
      <c r="M5743">
        <v>0.99942310000000001</v>
      </c>
      <c r="N5743">
        <v>-2.756372E-2</v>
      </c>
      <c r="O5743">
        <v>1.9843309999999999E-2</v>
      </c>
      <c r="P5743">
        <v>0.97542390000000001</v>
      </c>
      <c r="Q5743">
        <v>-9.3975210000000003E-2</v>
      </c>
      <c r="R5743">
        <v>-0.19929079999999999</v>
      </c>
      <c r="S5743">
        <v>2.6780400000000002</v>
      </c>
      <c r="T5743">
        <v>-0.2069143</v>
      </c>
      <c r="U5743">
        <v>-1.8989259999999999</v>
      </c>
      <c r="V5743">
        <v>0.21869060000000001</v>
      </c>
      <c r="W5743">
        <v>-6.6919359999999997E-2</v>
      </c>
      <c r="X5743">
        <v>0.9734969</v>
      </c>
      <c r="Y5743">
        <v>0.59271099999999999</v>
      </c>
      <c r="Z5743">
        <v>-3.0451010000000001E-2</v>
      </c>
      <c r="AA5743">
        <v>0.80483939999999998</v>
      </c>
      <c r="AB5743">
        <v>19</v>
      </c>
      <c r="AC5743">
        <v>14.707000000000001</v>
      </c>
      <c r="AD5743">
        <v>-1.148657</v>
      </c>
      <c r="AE5743">
        <v>-10.563018</v>
      </c>
      <c r="AF5743">
        <v>10.8093844122094</v>
      </c>
      <c r="AG5743">
        <v>-1.148657</v>
      </c>
      <c r="AH5743">
        <v>14.436323099137001</v>
      </c>
      <c r="AI5743">
        <v>93.644332336652795</v>
      </c>
      <c r="AJ5743">
        <v>53.175489675246901</v>
      </c>
      <c r="AK5743">
        <v>18.071237613878001</v>
      </c>
      <c r="AL5743">
        <v>93.837064407605695</v>
      </c>
      <c r="AM5743">
        <v>77.339012124714998</v>
      </c>
      <c r="AN5743">
        <v>0.99999999679038898</v>
      </c>
    </row>
    <row r="5744" spans="1:40" x14ac:dyDescent="0.25">
      <c r="A5744" t="str">
        <f>"20190303154633916"</f>
        <v>20190303154633916</v>
      </c>
      <c r="B5744" t="str">
        <f>"1551599193907316"</f>
        <v>1551599193907316</v>
      </c>
      <c r="C5744" t="s">
        <v>40</v>
      </c>
      <c r="D5744">
        <v>4.6617860000000002</v>
      </c>
      <c r="E5744">
        <v>0.66907479999999997</v>
      </c>
      <c r="F5744" t="s">
        <v>43</v>
      </c>
      <c r="G5744">
        <v>-304.91320000000002</v>
      </c>
      <c r="H5744">
        <v>-0.05</v>
      </c>
      <c r="I5744">
        <v>8.6360779999999995</v>
      </c>
      <c r="J5744">
        <v>-317.45690000000002</v>
      </c>
      <c r="K5744">
        <v>1.096595</v>
      </c>
      <c r="L5744">
        <v>17.870270000000001</v>
      </c>
      <c r="M5744">
        <v>0.99942609999999998</v>
      </c>
      <c r="N5744">
        <v>-2.6909300000000001E-2</v>
      </c>
      <c r="O5744">
        <v>2.058082E-2</v>
      </c>
      <c r="P5744">
        <v>0.9738715</v>
      </c>
      <c r="Q5744">
        <v>-9.3618939999999998E-2</v>
      </c>
      <c r="R5744">
        <v>-0.20690600000000001</v>
      </c>
      <c r="S5744">
        <v>2.6586609999999999</v>
      </c>
      <c r="T5744">
        <v>-0.23988799999999999</v>
      </c>
      <c r="U5744">
        <v>-1.927521</v>
      </c>
      <c r="V5744">
        <v>0.22698840000000001</v>
      </c>
      <c r="W5744">
        <v>-6.7243349999999993E-2</v>
      </c>
      <c r="X5744">
        <v>0.97157320000000003</v>
      </c>
      <c r="Y5744">
        <v>0.6011978</v>
      </c>
      <c r="Z5744">
        <v>-3.4358340000000001E-2</v>
      </c>
      <c r="AA5744">
        <v>0.79836130000000005</v>
      </c>
      <c r="AB5744">
        <v>19</v>
      </c>
      <c r="AC5744">
        <v>12.543699999999999</v>
      </c>
      <c r="AD5744">
        <v>-1.146595</v>
      </c>
      <c r="AE5744">
        <v>-9.2341920000000002</v>
      </c>
      <c r="AF5744">
        <v>9.4393379703755702</v>
      </c>
      <c r="AG5744">
        <v>-1.146595</v>
      </c>
      <c r="AH5744">
        <v>12.2843586995217</v>
      </c>
      <c r="AI5744">
        <v>94.232822049693794</v>
      </c>
      <c r="AJ5744">
        <v>52.461216782277297</v>
      </c>
      <c r="AK5744">
        <v>15.534518018642</v>
      </c>
      <c r="AL5744">
        <v>93.855669785329894</v>
      </c>
      <c r="AM5744">
        <v>76.849872450411198</v>
      </c>
      <c r="AN5744">
        <v>0.99999994240600898</v>
      </c>
    </row>
    <row r="5745" spans="1:40" x14ac:dyDescent="0.25">
      <c r="A5745" t="str">
        <f>"20190303154633938"</f>
        <v>20190303154633938</v>
      </c>
      <c r="B5745" t="str">
        <f>"1551599193926835"</f>
        <v>1551599193926835</v>
      </c>
      <c r="C5745" t="s">
        <v>40</v>
      </c>
      <c r="D5745">
        <v>4.6401320000000004</v>
      </c>
      <c r="E5745">
        <v>0.6691378</v>
      </c>
      <c r="F5745" t="s">
        <v>43</v>
      </c>
      <c r="G5745">
        <v>-305.68310000000002</v>
      </c>
      <c r="H5745">
        <v>-0.05</v>
      </c>
      <c r="I5745">
        <v>9.2300570000000004</v>
      </c>
      <c r="J5745">
        <v>-317.27300000000002</v>
      </c>
      <c r="K5745">
        <v>1.094422</v>
      </c>
      <c r="L5745">
        <v>17.874939999999999</v>
      </c>
      <c r="M5745">
        <v>0.99943119999999996</v>
      </c>
      <c r="N5745">
        <v>-2.6185170000000001E-2</v>
      </c>
      <c r="O5745">
        <v>2.1258760000000002E-2</v>
      </c>
      <c r="P5745">
        <v>0.97319580000000006</v>
      </c>
      <c r="Q5745">
        <v>-9.2144580000000004E-2</v>
      </c>
      <c r="R5745">
        <v>-0.21071190000000001</v>
      </c>
      <c r="S5745">
        <v>2.6435550000000001</v>
      </c>
      <c r="T5745">
        <v>-0.25744250000000002</v>
      </c>
      <c r="U5745">
        <v>-1.939972</v>
      </c>
      <c r="V5745">
        <v>0.23143069999999999</v>
      </c>
      <c r="W5745">
        <v>-6.6508380000000006E-2</v>
      </c>
      <c r="X5745">
        <v>0.97057530000000003</v>
      </c>
      <c r="Y5745">
        <v>0.60602440000000002</v>
      </c>
      <c r="Z5745">
        <v>-3.6455090000000002E-2</v>
      </c>
      <c r="AA5745">
        <v>0.79461019999999905</v>
      </c>
      <c r="AB5745">
        <v>19</v>
      </c>
      <c r="AC5745">
        <v>11.589899999999901</v>
      </c>
      <c r="AD5745">
        <v>-1.1444219999999901</v>
      </c>
      <c r="AE5745">
        <v>-8.6448829999999894</v>
      </c>
      <c r="AF5745">
        <v>8.8340564329632691</v>
      </c>
      <c r="AG5745">
        <v>-1.1444219999999901</v>
      </c>
      <c r="AH5745">
        <v>11.3324418530784</v>
      </c>
      <c r="AI5745">
        <v>94.553758906825095</v>
      </c>
      <c r="AJ5745">
        <v>52.062270267242098</v>
      </c>
      <c r="AK5745">
        <v>14.414384937563799</v>
      </c>
      <c r="AL5745">
        <v>93.813464500535005</v>
      </c>
      <c r="AM5745">
        <v>76.588434364062906</v>
      </c>
      <c r="AN5745">
        <v>0.999999973241401</v>
      </c>
    </row>
    <row r="5746" spans="1:40" x14ac:dyDescent="0.25">
      <c r="A5746" t="str">
        <f>"20190303154633960"</f>
        <v>20190303154633960</v>
      </c>
      <c r="B5746" t="str">
        <f>"1551599193957091"</f>
        <v>1551599193957091</v>
      </c>
      <c r="C5746" t="s">
        <v>40</v>
      </c>
      <c r="D5746">
        <v>3.9327830000000001</v>
      </c>
      <c r="E5746">
        <v>0.67959069999999899</v>
      </c>
      <c r="F5746" t="s">
        <v>43</v>
      </c>
      <c r="G5746">
        <v>-305.05360000000002</v>
      </c>
      <c r="H5746">
        <v>-0.05</v>
      </c>
      <c r="I5746">
        <v>8.8347470000000001</v>
      </c>
      <c r="J5746">
        <v>-317.08659999999998</v>
      </c>
      <c r="K5746">
        <v>1.0921259999999999</v>
      </c>
      <c r="L5746">
        <v>17.8797</v>
      </c>
      <c r="M5746">
        <v>0.99943789999999999</v>
      </c>
      <c r="N5746">
        <v>-2.5375490000000001E-2</v>
      </c>
      <c r="O5746">
        <v>2.1909000000000001E-2</v>
      </c>
      <c r="P5746">
        <v>0.97168189999999999</v>
      </c>
      <c r="Q5746">
        <v>-8.9597300000000005E-2</v>
      </c>
      <c r="R5746">
        <v>-0.21864739999999999</v>
      </c>
      <c r="S5746">
        <v>2.6369020000000001</v>
      </c>
      <c r="T5746">
        <v>-0.24696180000000001</v>
      </c>
      <c r="U5746">
        <v>-1.950836</v>
      </c>
      <c r="V5746">
        <v>0.2399492</v>
      </c>
      <c r="W5746">
        <v>-6.4821619999999996E-2</v>
      </c>
      <c r="X5746">
        <v>0.96861889999999995</v>
      </c>
      <c r="Y5746">
        <v>0.60979119999999998</v>
      </c>
      <c r="Z5746">
        <v>-3.5341369999999997E-2</v>
      </c>
      <c r="AA5746">
        <v>0.79177369999999903</v>
      </c>
      <c r="AB5746">
        <v>19</v>
      </c>
      <c r="AC5746">
        <v>12.0329999999999</v>
      </c>
      <c r="AD5746">
        <v>-1.142126</v>
      </c>
      <c r="AE5746">
        <v>-9.0449529999999996</v>
      </c>
      <c r="AF5746">
        <v>9.2532300471028002</v>
      </c>
      <c r="AG5746">
        <v>-1.142126</v>
      </c>
      <c r="AH5746">
        <v>11.764159532405801</v>
      </c>
      <c r="AI5746">
        <v>94.363697374414102</v>
      </c>
      <c r="AJ5746">
        <v>51.812787341253802</v>
      </c>
      <c r="AK5746">
        <v>15.010735078881901</v>
      </c>
      <c r="AL5746">
        <v>93.716611057524503</v>
      </c>
      <c r="AM5746">
        <v>76.086609262741007</v>
      </c>
      <c r="AN5746">
        <v>1.0000000172186301</v>
      </c>
    </row>
    <row r="5747" spans="1:40" x14ac:dyDescent="0.25">
      <c r="A5747" t="str">
        <f>"20190303154633971"</f>
        <v>20190303154633971</v>
      </c>
      <c r="B5747" t="str">
        <f>"1551599193966851"</f>
        <v>1551599193966851</v>
      </c>
      <c r="C5747" t="s">
        <v>40</v>
      </c>
      <c r="D5747">
        <v>4.4600580000000001</v>
      </c>
      <c r="E5747">
        <v>0.67966319999999902</v>
      </c>
      <c r="F5747" t="s">
        <v>41</v>
      </c>
      <c r="G5747">
        <v>-291.70769999999999</v>
      </c>
      <c r="H5747" s="1">
        <v>-4.9619510000000002E-6</v>
      </c>
      <c r="I5747">
        <v>-2.0378379999999998</v>
      </c>
      <c r="J5747">
        <v>-316.99090000000001</v>
      </c>
      <c r="K5747">
        <v>1.0909329999999999</v>
      </c>
      <c r="L5747">
        <v>17.882169999999999</v>
      </c>
      <c r="M5747">
        <v>0.99944319999999998</v>
      </c>
      <c r="N5747">
        <v>-2.4903100000000001E-2</v>
      </c>
      <c r="O5747">
        <v>2.2211580000000002E-2</v>
      </c>
      <c r="P5747">
        <v>0.97085259999999995</v>
      </c>
      <c r="Q5747">
        <v>-8.7827240000000001E-2</v>
      </c>
      <c r="R5747">
        <v>-0.22300619999999999</v>
      </c>
      <c r="S5747">
        <v>2.6152039999999999</v>
      </c>
      <c r="T5747">
        <v>-0.1125401</v>
      </c>
      <c r="U5747">
        <v>-2.0524290000000001</v>
      </c>
      <c r="V5747">
        <v>0.2445727</v>
      </c>
      <c r="W5747">
        <v>-6.355719E-2</v>
      </c>
      <c r="X5747">
        <v>0.96754569999999995</v>
      </c>
      <c r="Y5747">
        <v>0.63401649999999998</v>
      </c>
      <c r="Z5747">
        <v>-2.120907E-2</v>
      </c>
      <c r="AA5747">
        <v>0.77302859999999995</v>
      </c>
      <c r="AB5747">
        <v>19</v>
      </c>
      <c r="AC5747">
        <v>25.283200000000001</v>
      </c>
      <c r="AD5747">
        <v>-1.090937961951</v>
      </c>
      <c r="AE5747">
        <v>-19.920007999999999</v>
      </c>
      <c r="AF5747">
        <v>20.4533489835569</v>
      </c>
      <c r="AG5747">
        <v>-1.090937961951</v>
      </c>
      <c r="AH5747">
        <v>24.805871084561598</v>
      </c>
      <c r="AI5747">
        <v>91.943412458885405</v>
      </c>
      <c r="AJ5747">
        <v>50.493170009787903</v>
      </c>
      <c r="AK5747">
        <v>32.169253496838998</v>
      </c>
      <c r="AL5747">
        <v>93.644014894951596</v>
      </c>
      <c r="AM5747">
        <v>75.814137075694404</v>
      </c>
      <c r="AN5747">
        <v>1.0000000017872299</v>
      </c>
    </row>
    <row r="5748" spans="1:40" x14ac:dyDescent="0.25">
      <c r="A5748" t="str">
        <f>"20190303154633983"</f>
        <v>20190303154633983</v>
      </c>
      <c r="B5748" t="str">
        <f>"1551599193977588"</f>
        <v>1551599193977588</v>
      </c>
      <c r="C5748" t="s">
        <v>40</v>
      </c>
      <c r="D5748">
        <v>4.464753</v>
      </c>
      <c r="E5748">
        <v>0.67975989999999997</v>
      </c>
      <c r="F5748" t="s">
        <v>41</v>
      </c>
      <c r="G5748">
        <v>-289.95780000000002</v>
      </c>
      <c r="H5748">
        <v>2.8451509999999999E-2</v>
      </c>
      <c r="I5748">
        <v>-3.532597</v>
      </c>
      <c r="J5748">
        <v>-316.89929999999998</v>
      </c>
      <c r="K5748">
        <v>1.0897920000000001</v>
      </c>
      <c r="L5748">
        <v>17.884519999999998</v>
      </c>
      <c r="M5748">
        <v>0.99944829999999996</v>
      </c>
      <c r="N5748">
        <v>-2.4439990000000002E-2</v>
      </c>
      <c r="O5748">
        <v>2.249027E-2</v>
      </c>
      <c r="P5748">
        <v>0.96995980000000004</v>
      </c>
      <c r="Q5748">
        <v>-8.6790229999999996E-2</v>
      </c>
      <c r="R5748">
        <v>-0.22725699999999999</v>
      </c>
      <c r="S5748">
        <v>2.606506</v>
      </c>
      <c r="T5748">
        <v>-0.1024432</v>
      </c>
      <c r="U5748">
        <v>-2.0647890000000002</v>
      </c>
      <c r="V5748">
        <v>0.24906400000000001</v>
      </c>
      <c r="W5748">
        <v>-6.3018019999999994E-2</v>
      </c>
      <c r="X5748">
        <v>0.96643460000000003</v>
      </c>
      <c r="Y5748">
        <v>0.63782380000000005</v>
      </c>
      <c r="Z5748">
        <v>-2.005239E-2</v>
      </c>
      <c r="AA5748">
        <v>0.76992119999999997</v>
      </c>
      <c r="AB5748">
        <v>19</v>
      </c>
      <c r="AC5748">
        <v>26.941499999999898</v>
      </c>
      <c r="AD5748">
        <v>-1.0613404900000001</v>
      </c>
      <c r="AE5748">
        <v>-21.417117000000001</v>
      </c>
      <c r="AF5748">
        <v>21.996881120468</v>
      </c>
      <c r="AG5748">
        <v>-1.0613404900000001</v>
      </c>
      <c r="AH5748">
        <v>26.427729112990601</v>
      </c>
      <c r="AI5748">
        <v>91.767982327293495</v>
      </c>
      <c r="AJ5748">
        <v>50.228001688579802</v>
      </c>
      <c r="AK5748">
        <v>34.400786164466197</v>
      </c>
      <c r="AL5748">
        <v>93.613060713383902</v>
      </c>
      <c r="AM5748">
        <v>75.548521417692697</v>
      </c>
      <c r="AN5748">
        <v>0.99999999150894003</v>
      </c>
    </row>
    <row r="5749" spans="1:40" x14ac:dyDescent="0.25">
      <c r="A5749" t="str">
        <f>"20190303154633995"</f>
        <v>20190303154633995</v>
      </c>
      <c r="B5749" t="str">
        <f>"1551599193987347"</f>
        <v>1551599193987347</v>
      </c>
      <c r="C5749" t="s">
        <v>40</v>
      </c>
      <c r="D5749">
        <v>4.4365059999999996</v>
      </c>
      <c r="E5749">
        <v>0.67955659999999996</v>
      </c>
      <c r="F5749" t="s">
        <v>41</v>
      </c>
      <c r="G5749">
        <v>-289.40690000000001</v>
      </c>
      <c r="H5749">
        <v>7.9985929999999997E-2</v>
      </c>
      <c r="I5749">
        <v>-4.0938790000000003</v>
      </c>
      <c r="J5749">
        <v>-316.798</v>
      </c>
      <c r="K5749">
        <v>1.088551</v>
      </c>
      <c r="L5749">
        <v>17.887079999999902</v>
      </c>
      <c r="M5749">
        <v>0.99945580000000001</v>
      </c>
      <c r="N5749">
        <v>-2.3894430000000001E-2</v>
      </c>
      <c r="O5749">
        <v>2.2747099999999999E-2</v>
      </c>
      <c r="P5749">
        <v>0.96895180000000003</v>
      </c>
      <c r="Q5749">
        <v>-8.5919339999999997E-2</v>
      </c>
      <c r="R5749">
        <v>-0.2318424</v>
      </c>
      <c r="S5749">
        <v>2.5978089999999998</v>
      </c>
      <c r="T5749">
        <v>-9.5418569999999994E-2</v>
      </c>
      <c r="U5749">
        <v>-2.0767820000000001</v>
      </c>
      <c r="V5749">
        <v>0.25386449999999999</v>
      </c>
      <c r="W5749">
        <v>-6.2732599999999999E-2</v>
      </c>
      <c r="X5749">
        <v>0.96520329999999999</v>
      </c>
      <c r="Y5749">
        <v>0.64150200000000002</v>
      </c>
      <c r="Z5749">
        <v>-1.9200100000000001E-2</v>
      </c>
      <c r="AA5749">
        <v>0.76688109999999998</v>
      </c>
      <c r="AB5749">
        <v>19</v>
      </c>
      <c r="AC5749">
        <v>27.391099999999899</v>
      </c>
      <c r="AD5749">
        <v>-1.00856507</v>
      </c>
      <c r="AE5749">
        <v>-21.980958999999999</v>
      </c>
      <c r="AF5749">
        <v>22.579892707931101</v>
      </c>
      <c r="AG5749">
        <v>-1.00856507</v>
      </c>
      <c r="AH5749">
        <v>26.861710108265399</v>
      </c>
      <c r="AI5749">
        <v>91.646292148140205</v>
      </c>
      <c r="AJ5749">
        <v>49.949667040176102</v>
      </c>
      <c r="AK5749">
        <v>35.105843219364402</v>
      </c>
      <c r="AL5749">
        <v>93.596674947339807</v>
      </c>
      <c r="AM5749">
        <v>75.264008153008405</v>
      </c>
      <c r="AN5749">
        <v>0.99999998689694902</v>
      </c>
    </row>
    <row r="5750" spans="1:40" x14ac:dyDescent="0.25">
      <c r="A5750" t="str">
        <f>"20190303154634006"</f>
        <v>20190303154634006</v>
      </c>
      <c r="B5750" t="str">
        <f>"1551599193997107"</f>
        <v>1551599193997107</v>
      </c>
      <c r="C5750" t="s">
        <v>40</v>
      </c>
      <c r="D5750">
        <v>4.4799519999999999</v>
      </c>
      <c r="E5750">
        <v>0.67920559999999996</v>
      </c>
      <c r="F5750" t="s">
        <v>41</v>
      </c>
      <c r="G5750">
        <v>-288.06110000000001</v>
      </c>
      <c r="H5750">
        <v>7.9985699999999896E-2</v>
      </c>
      <c r="I5750">
        <v>-5.285317</v>
      </c>
      <c r="J5750">
        <v>-316.70620000000002</v>
      </c>
      <c r="K5750">
        <v>1.0874509999999999</v>
      </c>
      <c r="L5750">
        <v>17.889399999999998</v>
      </c>
      <c r="M5750">
        <v>0.99946299999999999</v>
      </c>
      <c r="N5750">
        <v>-2.3397680000000001E-2</v>
      </c>
      <c r="O5750">
        <v>2.2944900000000001E-2</v>
      </c>
      <c r="P5750">
        <v>0.96784040000000005</v>
      </c>
      <c r="Q5750">
        <v>-8.5748340000000006E-2</v>
      </c>
      <c r="R5750">
        <v>-0.23649980000000001</v>
      </c>
      <c r="S5750">
        <v>2.588654</v>
      </c>
      <c r="T5750">
        <v>-9.085298E-2</v>
      </c>
      <c r="U5750">
        <v>-2.087402</v>
      </c>
      <c r="V5750">
        <v>0.25867859999999998</v>
      </c>
      <c r="W5750">
        <v>-6.3098609999999999E-2</v>
      </c>
      <c r="X5750">
        <v>0.96390039999999999</v>
      </c>
      <c r="Y5750">
        <v>0.64491669999999901</v>
      </c>
      <c r="Z5750">
        <v>-1.863151E-2</v>
      </c>
      <c r="AA5750">
        <v>0.76402569999999903</v>
      </c>
      <c r="AB5750">
        <v>19</v>
      </c>
      <c r="AC5750">
        <v>28.645099999999999</v>
      </c>
      <c r="AD5750">
        <v>-1.0074653</v>
      </c>
      <c r="AE5750">
        <v>-23.174717000000001</v>
      </c>
      <c r="AF5750">
        <v>23.808251637225101</v>
      </c>
      <c r="AG5750">
        <v>-1.0074653</v>
      </c>
      <c r="AH5750">
        <v>28.084670508764098</v>
      </c>
      <c r="AI5750">
        <v>91.567406146030905</v>
      </c>
      <c r="AJ5750">
        <v>49.711015165701802</v>
      </c>
      <c r="AK5750">
        <v>36.832004424657399</v>
      </c>
      <c r="AL5750">
        <v>93.6176872961166</v>
      </c>
      <c r="AM5750">
        <v>74.977692737435504</v>
      </c>
      <c r="AN5750">
        <v>1.0000000169010199</v>
      </c>
    </row>
    <row r="5751" spans="1:40" x14ac:dyDescent="0.25">
      <c r="A5751" t="str">
        <f>"20190303154634018"</f>
        <v>20190303154634018</v>
      </c>
      <c r="B5751" t="str">
        <f>"1551599194006868"</f>
        <v>1551599194006868</v>
      </c>
      <c r="C5751" t="s">
        <v>40</v>
      </c>
      <c r="D5751">
        <v>4.4756720000000003</v>
      </c>
      <c r="E5751">
        <v>0.67875730000000001</v>
      </c>
      <c r="F5751" t="s">
        <v>41</v>
      </c>
      <c r="G5751">
        <v>-287.35399999999998</v>
      </c>
      <c r="H5751">
        <v>7.9987020000000006E-2</v>
      </c>
      <c r="I5751">
        <v>-5.9734949999999998</v>
      </c>
      <c r="J5751">
        <v>-316.60840000000002</v>
      </c>
      <c r="K5751">
        <v>1.086301</v>
      </c>
      <c r="L5751">
        <v>17.89188</v>
      </c>
      <c r="M5751">
        <v>0.99947129999999995</v>
      </c>
      <c r="N5751">
        <v>-2.2865159999999999E-2</v>
      </c>
      <c r="O5751">
        <v>2.311595E-2</v>
      </c>
      <c r="P5751">
        <v>0.96650919999999896</v>
      </c>
      <c r="Q5751">
        <v>-8.6045159999999996E-2</v>
      </c>
      <c r="R5751">
        <v>-0.24177789999999999</v>
      </c>
      <c r="S5751">
        <v>2.5794069999999998</v>
      </c>
      <c r="T5751">
        <v>-8.8533520000000004E-2</v>
      </c>
      <c r="U5751">
        <v>-2.0970149999999999</v>
      </c>
      <c r="V5751">
        <v>0.26408110000000001</v>
      </c>
      <c r="W5751">
        <v>-6.3973559999999999E-2</v>
      </c>
      <c r="X5751">
        <v>0.96237649999999997</v>
      </c>
      <c r="Y5751">
        <v>0.64811589999999997</v>
      </c>
      <c r="Z5751">
        <v>-1.8299699999999999E-2</v>
      </c>
      <c r="AA5751">
        <v>0.76132180000000005</v>
      </c>
      <c r="AB5751">
        <v>18</v>
      </c>
      <c r="AC5751">
        <v>29.254399999999901</v>
      </c>
      <c r="AD5751">
        <v>-1.0063139800000001</v>
      </c>
      <c r="AE5751">
        <v>-23.865375</v>
      </c>
      <c r="AF5751">
        <v>24.517995720515199</v>
      </c>
      <c r="AG5751">
        <v>-1.0063139800000001</v>
      </c>
      <c r="AH5751">
        <v>28.674391881496199</v>
      </c>
      <c r="AI5751">
        <v>91.527906875267405</v>
      </c>
      <c r="AJ5751">
        <v>49.467952252124597</v>
      </c>
      <c r="AK5751">
        <v>37.740767503472398</v>
      </c>
      <c r="AL5751">
        <v>93.667919846111104</v>
      </c>
      <c r="AM5751">
        <v>74.655437917732698</v>
      </c>
      <c r="AN5751">
        <v>0.99999998575426596</v>
      </c>
    </row>
    <row r="5752" spans="1:40" x14ac:dyDescent="0.25">
      <c r="A5752" t="str">
        <f>"20190303154634039"</f>
        <v>20190303154634039</v>
      </c>
      <c r="B5752" t="str">
        <f>"1551599194027363"</f>
        <v>1551599194027363</v>
      </c>
      <c r="C5752" t="s">
        <v>40</v>
      </c>
      <c r="D5752">
        <v>4.629143</v>
      </c>
      <c r="E5752">
        <v>0.67546609999999996</v>
      </c>
      <c r="F5752" t="s">
        <v>41</v>
      </c>
      <c r="G5752">
        <v>-287.28100000000001</v>
      </c>
      <c r="H5752">
        <v>7.9986970000000004E-2</v>
      </c>
      <c r="I5752">
        <v>-6.1680840000000003</v>
      </c>
      <c r="J5752">
        <v>-316.44490000000002</v>
      </c>
      <c r="K5752">
        <v>1.084487</v>
      </c>
      <c r="L5752">
        <v>17.895869999999999</v>
      </c>
      <c r="M5752">
        <v>0.99948720000000002</v>
      </c>
      <c r="N5752">
        <v>-2.200067E-2</v>
      </c>
      <c r="O5752">
        <v>2.327599E-2</v>
      </c>
      <c r="P5752">
        <v>0.96379199999999998</v>
      </c>
      <c r="Q5752">
        <v>-8.6258660000000001E-2</v>
      </c>
      <c r="R5752">
        <v>-0.25231949999999997</v>
      </c>
      <c r="S5752">
        <v>2.5689090000000001</v>
      </c>
      <c r="T5752">
        <v>-8.8147279999999995E-2</v>
      </c>
      <c r="U5752">
        <v>-2.107513</v>
      </c>
      <c r="V5752">
        <v>0.27469629999999901</v>
      </c>
      <c r="W5752">
        <v>-6.5140290000000003E-2</v>
      </c>
      <c r="X5752">
        <v>0.95932200000000001</v>
      </c>
      <c r="Y5752">
        <v>0.65162279999999995</v>
      </c>
      <c r="Z5752">
        <v>-1.8088420000000001E-2</v>
      </c>
      <c r="AA5752">
        <v>0.75832749999999904</v>
      </c>
      <c r="AB5752">
        <v>18</v>
      </c>
      <c r="AC5752">
        <v>29.163900000000002</v>
      </c>
      <c r="AD5752">
        <v>-1.00450003</v>
      </c>
      <c r="AE5752">
        <v>-24.063953999999999</v>
      </c>
      <c r="AF5752">
        <v>24.718967496728698</v>
      </c>
      <c r="AG5752">
        <v>-1.00450003</v>
      </c>
      <c r="AH5752">
        <v>28.575578473548202</v>
      </c>
      <c r="AI5752">
        <v>91.522889497035095</v>
      </c>
      <c r="AJ5752">
        <v>49.138942029252703</v>
      </c>
      <c r="AK5752">
        <v>37.796826050774598</v>
      </c>
      <c r="AL5752">
        <v>93.734908211882697</v>
      </c>
      <c r="AM5752">
        <v>74.021241588431906</v>
      </c>
      <c r="AN5752">
        <v>1.0000000071494799</v>
      </c>
    </row>
    <row r="5753" spans="1:40" x14ac:dyDescent="0.25">
      <c r="A5753" t="str">
        <f>"20190303154634050"</f>
        <v>20190303154634050</v>
      </c>
      <c r="B5753" t="str">
        <f>"1551599194046883"</f>
        <v>1551599194046883</v>
      </c>
      <c r="C5753" t="s">
        <v>40</v>
      </c>
      <c r="D5753">
        <v>4.5772649999999997</v>
      </c>
      <c r="E5753">
        <v>0.64983930000000001</v>
      </c>
      <c r="F5753" t="s">
        <v>41</v>
      </c>
      <c r="G5753">
        <v>-291.54430000000002</v>
      </c>
      <c r="H5753" s="1">
        <v>-4.7396859999999997E-6</v>
      </c>
      <c r="I5753">
        <v>-2.7077330000000002</v>
      </c>
      <c r="J5753">
        <v>-316.34820000000002</v>
      </c>
      <c r="K5753">
        <v>1.083488</v>
      </c>
      <c r="L5753">
        <v>17.898219999999998</v>
      </c>
      <c r="M5753">
        <v>0.99949750000000004</v>
      </c>
      <c r="N5753">
        <v>-2.1512469999999999E-2</v>
      </c>
      <c r="O5753">
        <v>2.3285210000000001E-2</v>
      </c>
      <c r="P5753">
        <v>0.96229679999999995</v>
      </c>
      <c r="Q5753">
        <v>-8.6286509999999997E-2</v>
      </c>
      <c r="R5753">
        <v>-0.25795249999999997</v>
      </c>
      <c r="S5753">
        <v>2.5503230000000001</v>
      </c>
      <c r="T5753">
        <v>-0.1110741</v>
      </c>
      <c r="U5753">
        <v>-2.1102289999999999</v>
      </c>
      <c r="V5753">
        <v>0.28029270000000001</v>
      </c>
      <c r="W5753">
        <v>-6.5710009999999999E-2</v>
      </c>
      <c r="X5753">
        <v>0.95766289999999998</v>
      </c>
      <c r="Y5753">
        <v>0.65461029999999998</v>
      </c>
      <c r="Z5753">
        <v>-2.081092E-2</v>
      </c>
      <c r="AA5753">
        <v>0.75568000000000002</v>
      </c>
      <c r="AB5753">
        <v>18</v>
      </c>
      <c r="AC5753">
        <v>24.803899999999999</v>
      </c>
      <c r="AD5753">
        <v>-1.0834927396859999</v>
      </c>
      <c r="AE5753">
        <v>-20.605953</v>
      </c>
      <c r="AF5753">
        <v>21.1541783830348</v>
      </c>
      <c r="AG5753">
        <v>-1.0834927396859999</v>
      </c>
      <c r="AH5753">
        <v>24.2898239658983</v>
      </c>
      <c r="AI5753">
        <v>91.926601729164801</v>
      </c>
      <c r="AJ5753">
        <v>48.947164409855702</v>
      </c>
      <c r="AK5753">
        <v>32.228384506092397</v>
      </c>
      <c r="AL5753">
        <v>93.767620815582205</v>
      </c>
      <c r="AM5753">
        <v>73.686085879657497</v>
      </c>
      <c r="AN5753">
        <v>1.00000001656194</v>
      </c>
    </row>
    <row r="5754" spans="1:40" x14ac:dyDescent="0.25">
      <c r="A5754" t="str">
        <f>"20190303154634062"</f>
        <v>20190303154634062</v>
      </c>
      <c r="B5754" t="str">
        <f>"1551599194056644"</f>
        <v>1551599194056644</v>
      </c>
      <c r="C5754" t="s">
        <v>40</v>
      </c>
      <c r="D5754">
        <v>4.6132030000000004</v>
      </c>
      <c r="E5754">
        <v>0.6486729</v>
      </c>
      <c r="F5754" t="s">
        <v>43</v>
      </c>
      <c r="G5754">
        <v>-306.24849999999998</v>
      </c>
      <c r="H5754">
        <v>-0.05</v>
      </c>
      <c r="I5754">
        <v>10.330830000000001</v>
      </c>
      <c r="J5754">
        <v>-316.25360000000001</v>
      </c>
      <c r="K5754">
        <v>1.0825309999999999</v>
      </c>
      <c r="L5754">
        <v>17.900449999999999</v>
      </c>
      <c r="M5754">
        <v>0.99950779999999995</v>
      </c>
      <c r="N5754">
        <v>-2.1042519999999999E-2</v>
      </c>
      <c r="O5754">
        <v>2.3267039999999999E-2</v>
      </c>
      <c r="P5754">
        <v>0.96092500000000003</v>
      </c>
      <c r="Q5754">
        <v>-8.5611759999999995E-2</v>
      </c>
      <c r="R5754">
        <v>-0.263237</v>
      </c>
      <c r="S5754">
        <v>2.5745239999999998</v>
      </c>
      <c r="T5754">
        <v>-0.28893940000000001</v>
      </c>
      <c r="U5754">
        <v>-1.9290160000000001</v>
      </c>
      <c r="V5754">
        <v>0.28551690000000002</v>
      </c>
      <c r="W5754">
        <v>-6.555735E-2</v>
      </c>
      <c r="X5754">
        <v>0.9561288</v>
      </c>
      <c r="Y5754">
        <v>0.61487789999999998</v>
      </c>
      <c r="Z5754">
        <v>-3.9699329999999998E-2</v>
      </c>
      <c r="AA5754">
        <v>0.7876225</v>
      </c>
      <c r="AB5754">
        <v>18</v>
      </c>
      <c r="AC5754">
        <v>10.005100000000001</v>
      </c>
      <c r="AD5754">
        <v>-1.132531</v>
      </c>
      <c r="AE5754">
        <v>-7.5696199999999898</v>
      </c>
      <c r="AF5754">
        <v>7.7373605108761296</v>
      </c>
      <c r="AG5754">
        <v>-1.132531</v>
      </c>
      <c r="AH5754">
        <v>9.7468041224783306</v>
      </c>
      <c r="AI5754">
        <v>95.199944356489098</v>
      </c>
      <c r="AJ5754">
        <v>51.556201046832498</v>
      </c>
      <c r="AK5754">
        <v>12.495981943936499</v>
      </c>
      <c r="AL5754">
        <v>93.758855300590298</v>
      </c>
      <c r="AM5754">
        <v>73.373448466633505</v>
      </c>
      <c r="AN5754">
        <v>0.99999997425703602</v>
      </c>
    </row>
    <row r="5755" spans="1:40" x14ac:dyDescent="0.25">
      <c r="A5755" t="str">
        <f>"20190303154634073"</f>
        <v>20190303154634073</v>
      </c>
      <c r="B5755" t="str">
        <f>"1551599194067380"</f>
        <v>1551599194067380</v>
      </c>
      <c r="C5755" t="s">
        <v>40</v>
      </c>
      <c r="D5755">
        <v>4.6177799999999998</v>
      </c>
      <c r="E5755">
        <v>0.64803549999999999</v>
      </c>
      <c r="F5755" t="s">
        <v>43</v>
      </c>
      <c r="G5755">
        <v>-306.37459999999999</v>
      </c>
      <c r="H5755">
        <v>-0.05</v>
      </c>
      <c r="I5755">
        <v>10.4529</v>
      </c>
      <c r="J5755">
        <v>-316.15219999999999</v>
      </c>
      <c r="K5755">
        <v>1.081583</v>
      </c>
      <c r="L5755">
        <v>17.90277</v>
      </c>
      <c r="M5755">
        <v>0.99952070000000004</v>
      </c>
      <c r="N5755">
        <v>-2.0568820000000002E-2</v>
      </c>
      <c r="O5755">
        <v>2.3141539999999999E-2</v>
      </c>
      <c r="P5755">
        <v>0.95945740000000002</v>
      </c>
      <c r="Q5755">
        <v>-8.4438170000000007E-2</v>
      </c>
      <c r="R5755">
        <v>-0.26890930000000002</v>
      </c>
      <c r="S5755">
        <v>2.5659179999999999</v>
      </c>
      <c r="T5755">
        <v>-0.29415760000000002</v>
      </c>
      <c r="U5755">
        <v>-1.9343870000000001</v>
      </c>
      <c r="V5755">
        <v>0.29102220000000001</v>
      </c>
      <c r="W5755">
        <v>-6.4921679999999996E-2</v>
      </c>
      <c r="X5755">
        <v>0.954511</v>
      </c>
      <c r="Y5755">
        <v>0.61698219999999904</v>
      </c>
      <c r="Z5755">
        <v>-4.033813E-2</v>
      </c>
      <c r="AA5755">
        <v>0.78594269999999999</v>
      </c>
      <c r="AB5755">
        <v>18</v>
      </c>
      <c r="AC5755">
        <v>9.7775999999999996</v>
      </c>
      <c r="AD5755">
        <v>-1.131583</v>
      </c>
      <c r="AE5755">
        <v>-7.4498699999999998</v>
      </c>
      <c r="AF5755">
        <v>7.6097039229904002</v>
      </c>
      <c r="AG5755">
        <v>-1.131583</v>
      </c>
      <c r="AH5755">
        <v>9.5218517245817296</v>
      </c>
      <c r="AI5755">
        <v>95.303904638447406</v>
      </c>
      <c r="AJ5755">
        <v>51.368739241146599</v>
      </c>
      <c r="AK5755">
        <v>12.241475979079601</v>
      </c>
      <c r="AL5755">
        <v>93.722356248893902</v>
      </c>
      <c r="AM5755">
        <v>73.043986770431701</v>
      </c>
      <c r="AN5755">
        <v>0.99999999727393096</v>
      </c>
    </row>
    <row r="5756" spans="1:40" x14ac:dyDescent="0.25">
      <c r="A5756" t="str">
        <f>"20190303154634084"</f>
        <v>20190303154634084</v>
      </c>
      <c r="B5756" t="str">
        <f>"1551599194077140"</f>
        <v>1551599194077140</v>
      </c>
      <c r="C5756" t="s">
        <v>40</v>
      </c>
      <c r="D5756">
        <v>4.5882290000000001</v>
      </c>
      <c r="E5756">
        <v>0.64785419999999905</v>
      </c>
      <c r="F5756" t="s">
        <v>43</v>
      </c>
      <c r="G5756">
        <v>-306.10820000000001</v>
      </c>
      <c r="H5756">
        <v>-0.05</v>
      </c>
      <c r="I5756">
        <v>10.261509999999999</v>
      </c>
      <c r="J5756">
        <v>-316.06299999999999</v>
      </c>
      <c r="K5756">
        <v>1.080775</v>
      </c>
      <c r="L5756">
        <v>17.904720000000001</v>
      </c>
      <c r="M5756">
        <v>0.99953230000000004</v>
      </c>
      <c r="N5756">
        <v>-2.016269E-2</v>
      </c>
      <c r="O5756">
        <v>2.2998870000000001E-2</v>
      </c>
      <c r="P5756">
        <v>0.95791130000000002</v>
      </c>
      <c r="Q5756">
        <v>-8.3003670000000002E-2</v>
      </c>
      <c r="R5756">
        <v>-0.27480329999999997</v>
      </c>
      <c r="S5756">
        <v>2.5563349999999998</v>
      </c>
      <c r="T5756">
        <v>-0.28800189999999998</v>
      </c>
      <c r="U5756">
        <v>-1.9447939999999999</v>
      </c>
      <c r="V5756">
        <v>0.29673290000000002</v>
      </c>
      <c r="W5756">
        <v>-6.3958600000000004E-2</v>
      </c>
      <c r="X5756">
        <v>0.95281629999999995</v>
      </c>
      <c r="Y5756">
        <v>0.62041809999999997</v>
      </c>
      <c r="Z5756">
        <v>-3.977576E-2</v>
      </c>
      <c r="AA5756">
        <v>0.78326200000000001</v>
      </c>
      <c r="AB5756">
        <v>18</v>
      </c>
      <c r="AC5756">
        <v>9.9547999999999703</v>
      </c>
      <c r="AD5756">
        <v>-1.1307750000000001</v>
      </c>
      <c r="AE5756">
        <v>-7.6432099999999998</v>
      </c>
      <c r="AF5756">
        <v>7.8068108529748299</v>
      </c>
      <c r="AG5756">
        <v>-1.1307750000000001</v>
      </c>
      <c r="AH5756">
        <v>9.6976237932028102</v>
      </c>
      <c r="AI5756">
        <v>95.189872174428302</v>
      </c>
      <c r="AJ5756">
        <v>51.1651330847289</v>
      </c>
      <c r="AK5756">
        <v>12.500754178418299</v>
      </c>
      <c r="AL5756">
        <v>93.667060856901401</v>
      </c>
      <c r="AM5756">
        <v>72.701991461088994</v>
      </c>
      <c r="AN5756">
        <v>1.0000000090010299</v>
      </c>
    </row>
    <row r="5757" spans="1:40" x14ac:dyDescent="0.25">
      <c r="A5757" t="str">
        <f>"20190303154634096"</f>
        <v>20190303154634096</v>
      </c>
      <c r="B5757" t="str">
        <f>"1551599194086900"</f>
        <v>1551599194086900</v>
      </c>
      <c r="C5757" t="s">
        <v>40</v>
      </c>
      <c r="D5757">
        <v>4.5622749999999996</v>
      </c>
      <c r="E5757">
        <v>0.64697099999999996</v>
      </c>
      <c r="F5757" t="s">
        <v>43</v>
      </c>
      <c r="G5757">
        <v>-305.69830000000002</v>
      </c>
      <c r="H5757">
        <v>-0.05</v>
      </c>
      <c r="I5757">
        <v>9.9276429999999998</v>
      </c>
      <c r="J5757">
        <v>-315.96690000000001</v>
      </c>
      <c r="K5757">
        <v>1.079958</v>
      </c>
      <c r="L5757">
        <v>17.9068</v>
      </c>
      <c r="M5757">
        <v>0.99954549999999998</v>
      </c>
      <c r="N5757">
        <v>-1.9747239999999999E-2</v>
      </c>
      <c r="O5757">
        <v>2.2781200000000001E-2</v>
      </c>
      <c r="P5757">
        <v>0.95640429999999999</v>
      </c>
      <c r="Q5757">
        <v>-8.088236E-2</v>
      </c>
      <c r="R5757">
        <v>-0.28062310000000001</v>
      </c>
      <c r="S5757">
        <v>2.545715</v>
      </c>
      <c r="T5757">
        <v>-0.27773540000000002</v>
      </c>
      <c r="U5757">
        <v>-1.95929</v>
      </c>
      <c r="V5757">
        <v>0.30229850000000003</v>
      </c>
      <c r="W5757">
        <v>-6.2324589999999999E-2</v>
      </c>
      <c r="X5757">
        <v>0.95117359999999895</v>
      </c>
      <c r="Y5757">
        <v>0.62480480000000005</v>
      </c>
      <c r="Z5757">
        <v>-3.8773759999999997E-2</v>
      </c>
      <c r="AA5757">
        <v>0.77981769999999995</v>
      </c>
      <c r="AB5757">
        <v>18</v>
      </c>
      <c r="AC5757">
        <v>10.2685999999999</v>
      </c>
      <c r="AD5757">
        <v>-1.129958</v>
      </c>
      <c r="AE5757">
        <v>-7.9791569999999998</v>
      </c>
      <c r="AF5757">
        <v>8.1495322820821201</v>
      </c>
      <c r="AG5757">
        <v>-1.129958</v>
      </c>
      <c r="AH5757">
        <v>10.0085582081855</v>
      </c>
      <c r="AI5757">
        <v>95.003335759030605</v>
      </c>
      <c r="AJ5757">
        <v>50.845576838589899</v>
      </c>
      <c r="AK5757">
        <v>12.9561922996342</v>
      </c>
      <c r="AL5757">
        <v>93.573251894632804</v>
      </c>
      <c r="AM5757">
        <v>72.368893716929307</v>
      </c>
      <c r="AN5757">
        <v>0.99999997747893798</v>
      </c>
    </row>
    <row r="5758" spans="1:40" x14ac:dyDescent="0.25">
      <c r="A5758" t="str">
        <f>"20190303154634109"</f>
        <v>20190303154634109</v>
      </c>
      <c r="B5758" t="str">
        <f>"1551599194096660"</f>
        <v>1551599194096660</v>
      </c>
      <c r="C5758" t="s">
        <v>40</v>
      </c>
      <c r="D5758">
        <v>4.6021239999999999</v>
      </c>
      <c r="E5758">
        <v>0.64652310000000002</v>
      </c>
      <c r="F5758" t="s">
        <v>43</v>
      </c>
      <c r="G5758">
        <v>-305.32170000000002</v>
      </c>
      <c r="H5758">
        <v>-0.05</v>
      </c>
      <c r="I5758">
        <v>9.6475220000000004</v>
      </c>
      <c r="J5758">
        <v>-315.86649999999997</v>
      </c>
      <c r="K5758">
        <v>1.0791519999999999</v>
      </c>
      <c r="L5758">
        <v>17.908809999999999</v>
      </c>
      <c r="M5758">
        <v>0.99956040000000002</v>
      </c>
      <c r="N5758">
        <v>-1.933816E-2</v>
      </c>
      <c r="O5758">
        <v>2.2481879999999999E-2</v>
      </c>
      <c r="P5758">
        <v>0.95478030000000003</v>
      </c>
      <c r="Q5758">
        <v>-7.8118450000000006E-2</v>
      </c>
      <c r="R5758">
        <v>-0.28686679999999998</v>
      </c>
      <c r="S5758">
        <v>2.53653</v>
      </c>
      <c r="T5758">
        <v>-0.26924629999999999</v>
      </c>
      <c r="U5758">
        <v>-1.968018</v>
      </c>
      <c r="V5758">
        <v>0.3082086</v>
      </c>
      <c r="W5758">
        <v>-6.0051260000000002E-2</v>
      </c>
      <c r="X5758">
        <v>0.94942150000000003</v>
      </c>
      <c r="Y5758">
        <v>0.62776140000000002</v>
      </c>
      <c r="Z5758">
        <v>-3.7872990000000002E-2</v>
      </c>
      <c r="AA5758">
        <v>0.77748390000000001</v>
      </c>
      <c r="AB5758">
        <v>18</v>
      </c>
      <c r="AC5758">
        <v>10.544799999999899</v>
      </c>
      <c r="AD5758">
        <v>-1.1291519999999999</v>
      </c>
      <c r="AE5758">
        <v>-8.2612879999999898</v>
      </c>
      <c r="AF5758">
        <v>8.4363676130432204</v>
      </c>
      <c r="AG5758">
        <v>-1.1291519999999999</v>
      </c>
      <c r="AH5758">
        <v>10.283304024118699</v>
      </c>
      <c r="AI5758">
        <v>94.852306478680504</v>
      </c>
      <c r="AJ5758">
        <v>50.634729408401498</v>
      </c>
      <c r="AK5758">
        <v>13.3489184728188</v>
      </c>
      <c r="AL5758">
        <v>93.4427552620961</v>
      </c>
      <c r="AM5758">
        <v>72.015129379249998</v>
      </c>
      <c r="AN5758">
        <v>0.99999993980189605</v>
      </c>
    </row>
    <row r="5759" spans="1:40" x14ac:dyDescent="0.25">
      <c r="A5759" t="str">
        <f>"20190303154634123"</f>
        <v>20190303154634123</v>
      </c>
      <c r="B5759" t="str">
        <f>"1551599194117155"</f>
        <v>1551599194117155</v>
      </c>
      <c r="C5759" t="s">
        <v>40</v>
      </c>
      <c r="D5759">
        <v>4.6046699999999996</v>
      </c>
      <c r="E5759">
        <v>0.64609810000000001</v>
      </c>
      <c r="F5759" t="s">
        <v>43</v>
      </c>
      <c r="G5759">
        <v>-304.77910000000003</v>
      </c>
      <c r="H5759">
        <v>-0.05</v>
      </c>
      <c r="I5759">
        <v>9.2116240000000005</v>
      </c>
      <c r="J5759">
        <v>-315.7516</v>
      </c>
      <c r="K5759">
        <v>1.078274</v>
      </c>
      <c r="L5759">
        <v>17.911010000000001</v>
      </c>
      <c r="M5759">
        <v>0.99957790000000002</v>
      </c>
      <c r="N5759">
        <v>-1.8892079999999999E-2</v>
      </c>
      <c r="O5759">
        <v>2.207274E-2</v>
      </c>
      <c r="P5759">
        <v>0.95295730000000001</v>
      </c>
      <c r="Q5759">
        <v>-7.5265090000000007E-2</v>
      </c>
      <c r="R5759">
        <v>-0.29361169999999998</v>
      </c>
      <c r="S5759">
        <v>2.525757</v>
      </c>
      <c r="T5759">
        <v>-0.25722620000000002</v>
      </c>
      <c r="U5759">
        <v>-1.9812620000000001</v>
      </c>
      <c r="V5759">
        <v>0.3145114</v>
      </c>
      <c r="W5759">
        <v>-5.7740850000000003E-2</v>
      </c>
      <c r="X5759">
        <v>0.94749589999999995</v>
      </c>
      <c r="Y5759">
        <v>0.63178210000000001</v>
      </c>
      <c r="Z5759">
        <v>-3.6588330000000002E-2</v>
      </c>
      <c r="AA5759">
        <v>0.77428209999999997</v>
      </c>
      <c r="AB5759">
        <v>18</v>
      </c>
      <c r="AC5759">
        <v>10.972499999999901</v>
      </c>
      <c r="AD5759">
        <v>-1.128274</v>
      </c>
      <c r="AE5759">
        <v>-8.6993860000000005</v>
      </c>
      <c r="AF5759">
        <v>8.8818375079010092</v>
      </c>
      <c r="AG5759">
        <v>-1.128274</v>
      </c>
      <c r="AH5759">
        <v>10.708249752842301</v>
      </c>
      <c r="AI5759">
        <v>94.636466371440505</v>
      </c>
      <c r="AJ5759">
        <v>50.326371765544202</v>
      </c>
      <c r="AK5759">
        <v>13.9580318277714</v>
      </c>
      <c r="AL5759">
        <v>93.310148247207096</v>
      </c>
      <c r="AM5759">
        <v>71.636951283272495</v>
      </c>
      <c r="AN5759">
        <v>0.99999995350274495</v>
      </c>
    </row>
    <row r="5760" spans="1:40" x14ac:dyDescent="0.25">
      <c r="A5760" t="str">
        <f>"20190303154634140"</f>
        <v>20190303154634140</v>
      </c>
      <c r="B5760" t="str">
        <f>"1551599194136676"</f>
        <v>1551599194136676</v>
      </c>
      <c r="C5760" t="s">
        <v>40</v>
      </c>
      <c r="D5760">
        <v>4.5800020000000004</v>
      </c>
      <c r="E5760">
        <v>0.64500269999999904</v>
      </c>
      <c r="F5760" t="s">
        <v>43</v>
      </c>
      <c r="G5760">
        <v>-303.64850000000001</v>
      </c>
      <c r="H5760">
        <v>-0.05</v>
      </c>
      <c r="I5760">
        <v>8.3052220000000005</v>
      </c>
      <c r="J5760">
        <v>-315.60890000000001</v>
      </c>
      <c r="K5760">
        <v>1.0772870000000001</v>
      </c>
      <c r="L5760">
        <v>17.91348</v>
      </c>
      <c r="M5760">
        <v>0.99960199999999999</v>
      </c>
      <c r="N5760">
        <v>-1.8385579999999999E-2</v>
      </c>
      <c r="O5760">
        <v>2.1403789999999999E-2</v>
      </c>
      <c r="P5760">
        <v>0.9491522</v>
      </c>
      <c r="Q5760">
        <v>-6.9003040000000002E-2</v>
      </c>
      <c r="R5760">
        <v>-0.30716300000000002</v>
      </c>
      <c r="S5760">
        <v>2.5146790000000001</v>
      </c>
      <c r="T5760">
        <v>-0.2344213</v>
      </c>
      <c r="U5760">
        <v>-1.995789</v>
      </c>
      <c r="V5760">
        <v>0.32733410000000002</v>
      </c>
      <c r="W5760">
        <v>-5.2153020000000001E-2</v>
      </c>
      <c r="X5760">
        <v>0.94346830000000004</v>
      </c>
      <c r="Y5760">
        <v>0.63605540000000005</v>
      </c>
      <c r="Z5760">
        <v>-3.3982520000000002E-2</v>
      </c>
      <c r="AA5760">
        <v>0.77089479999999999</v>
      </c>
      <c r="AB5760">
        <v>18</v>
      </c>
      <c r="AC5760">
        <v>11.9603999999999</v>
      </c>
      <c r="AD5760">
        <v>-1.1272869999999999</v>
      </c>
      <c r="AE5760">
        <v>-9.6082579999999993</v>
      </c>
      <c r="AF5760">
        <v>9.8091371195395194</v>
      </c>
      <c r="AG5760">
        <v>-1.1272869999999999</v>
      </c>
      <c r="AH5760">
        <v>11.6888623389451</v>
      </c>
      <c r="AI5760">
        <v>94.225051939395698</v>
      </c>
      <c r="AJ5760">
        <v>49.997074644682598</v>
      </c>
      <c r="AK5760">
        <v>15.300962381141501</v>
      </c>
      <c r="AL5760">
        <v>92.989504215974804</v>
      </c>
      <c r="AM5760">
        <v>70.865903468873796</v>
      </c>
      <c r="AN5760">
        <v>0.99999999181140997</v>
      </c>
    </row>
    <row r="5761" spans="1:40" x14ac:dyDescent="0.25">
      <c r="A5761" t="str">
        <f>"20190303154634161"</f>
        <v>20190303154634161</v>
      </c>
      <c r="B5761" t="str">
        <f>"1551599194157172"</f>
        <v>1551599194157172</v>
      </c>
      <c r="C5761" t="s">
        <v>40</v>
      </c>
      <c r="D5761">
        <v>4.639246</v>
      </c>
      <c r="E5761">
        <v>0.64341409999999999</v>
      </c>
      <c r="F5761" t="s">
        <v>43</v>
      </c>
      <c r="G5761">
        <v>-302.14139999999998</v>
      </c>
      <c r="H5761">
        <v>-0.05</v>
      </c>
      <c r="I5761">
        <v>6.9748380000000001</v>
      </c>
      <c r="J5761">
        <v>-315.44170000000003</v>
      </c>
      <c r="K5761">
        <v>1.0762350000000001</v>
      </c>
      <c r="L5761">
        <v>17.915990000000001</v>
      </c>
      <c r="M5761">
        <v>0.99963259999999998</v>
      </c>
      <c r="N5761">
        <v>-1.7848849999999999E-2</v>
      </c>
      <c r="O5761">
        <v>2.04025E-2</v>
      </c>
      <c r="P5761">
        <v>0.94466110000000003</v>
      </c>
      <c r="Q5761">
        <v>-6.1736369999999999E-2</v>
      </c>
      <c r="R5761">
        <v>-0.32218649999999999</v>
      </c>
      <c r="S5761">
        <v>2.4908139999999999</v>
      </c>
      <c r="T5761">
        <v>-0.2084917</v>
      </c>
      <c r="U5761">
        <v>-2.0231020000000002</v>
      </c>
      <c r="V5761">
        <v>0.34131119999999998</v>
      </c>
      <c r="W5761">
        <v>-4.5624369999999997E-2</v>
      </c>
      <c r="X5761">
        <v>0.93884239999999997</v>
      </c>
      <c r="Y5761">
        <v>0.6443468</v>
      </c>
      <c r="Z5761">
        <v>-3.1201509999999998E-2</v>
      </c>
      <c r="AA5761">
        <v>0.76409669999999996</v>
      </c>
      <c r="AB5761">
        <v>18</v>
      </c>
      <c r="AC5761">
        <v>13.3003</v>
      </c>
      <c r="AD5761">
        <v>-1.1262350000000001</v>
      </c>
      <c r="AE5761">
        <v>-10.941152000000001</v>
      </c>
      <c r="AF5761">
        <v>11.1625410859148</v>
      </c>
      <c r="AG5761">
        <v>-1.1262350000000001</v>
      </c>
      <c r="AH5761">
        <v>13.018595677544401</v>
      </c>
      <c r="AI5761">
        <v>93.757432163323998</v>
      </c>
      <c r="AJ5761">
        <v>49.389205838732501</v>
      </c>
      <c r="AK5761">
        <v>17.185882642021699</v>
      </c>
      <c r="AL5761">
        <v>92.614991638683193</v>
      </c>
      <c r="AM5761">
        <v>70.021531038388403</v>
      </c>
      <c r="AN5761">
        <v>0.999999985210548</v>
      </c>
    </row>
    <row r="5762" spans="1:40" x14ac:dyDescent="0.25">
      <c r="A5762" t="str">
        <f>"20190303154634172"</f>
        <v>20190303154634172</v>
      </c>
      <c r="B5762" t="str">
        <f>"1551599194166932"</f>
        <v>1551599194166932</v>
      </c>
      <c r="C5762" t="s">
        <v>40</v>
      </c>
      <c r="D5762">
        <v>4.6067809999999998</v>
      </c>
      <c r="E5762">
        <v>0.64252679999999995</v>
      </c>
      <c r="F5762" t="s">
        <v>43</v>
      </c>
      <c r="G5762">
        <v>-301.11649999999997</v>
      </c>
      <c r="H5762">
        <v>-0.05</v>
      </c>
      <c r="I5762">
        <v>5.9929810000000003</v>
      </c>
      <c r="J5762">
        <v>-315.34359999999998</v>
      </c>
      <c r="K5762">
        <v>1.0756840000000001</v>
      </c>
      <c r="L5762">
        <v>17.917179999999998</v>
      </c>
      <c r="M5762">
        <v>0.9996524</v>
      </c>
      <c r="N5762">
        <v>-1.7565250000000001E-2</v>
      </c>
      <c r="O5762">
        <v>1.966584E-2</v>
      </c>
      <c r="P5762">
        <v>0.94216009999999994</v>
      </c>
      <c r="Q5762">
        <v>-5.8400239999999999E-2</v>
      </c>
      <c r="R5762">
        <v>-0.33003640000000001</v>
      </c>
      <c r="S5762">
        <v>2.4637150000000001</v>
      </c>
      <c r="T5762">
        <v>-0.19369449999999999</v>
      </c>
      <c r="U5762">
        <v>-2.0505680000000002</v>
      </c>
      <c r="V5762">
        <v>0.34841499999999997</v>
      </c>
      <c r="W5762">
        <v>-4.269034E-2</v>
      </c>
      <c r="X5762">
        <v>0.93636779999999997</v>
      </c>
      <c r="Y5762">
        <v>0.65308920000000004</v>
      </c>
      <c r="Z5762">
        <v>-2.9830099999999998E-2</v>
      </c>
      <c r="AA5762">
        <v>0.75669330000000001</v>
      </c>
      <c r="AB5762">
        <v>18</v>
      </c>
      <c r="AC5762">
        <v>14.2271</v>
      </c>
      <c r="AD5762">
        <v>-1.1256839999999999</v>
      </c>
      <c r="AE5762">
        <v>-11.9241989999999</v>
      </c>
      <c r="AF5762">
        <v>12.157019027677601</v>
      </c>
      <c r="AG5762">
        <v>-1.1256839999999999</v>
      </c>
      <c r="AH5762">
        <v>13.9385568260775</v>
      </c>
      <c r="AI5762">
        <v>93.482908952628904</v>
      </c>
      <c r="AJ5762">
        <v>48.905507120474901</v>
      </c>
      <c r="AK5762">
        <v>18.529534330386301</v>
      </c>
      <c r="AL5762">
        <v>92.4467197047166</v>
      </c>
      <c r="AM5762">
        <v>69.590166914207899</v>
      </c>
      <c r="AN5762">
        <v>1.00000006711557</v>
      </c>
    </row>
    <row r="5763" spans="1:40" x14ac:dyDescent="0.25">
      <c r="A5763" t="str">
        <f>"20190303154634184"</f>
        <v>20190303154634184</v>
      </c>
      <c r="B5763" t="str">
        <f>"1551599194176691"</f>
        <v>1551599194176691</v>
      </c>
      <c r="C5763" t="s">
        <v>40</v>
      </c>
      <c r="D5763">
        <v>4.647017</v>
      </c>
      <c r="E5763">
        <v>0.64252679999999995</v>
      </c>
      <c r="F5763" t="s">
        <v>43</v>
      </c>
      <c r="G5763">
        <v>-300.60359999999997</v>
      </c>
      <c r="H5763">
        <v>-0.05</v>
      </c>
      <c r="I5763">
        <v>5.493042</v>
      </c>
      <c r="J5763">
        <v>-315.2482</v>
      </c>
      <c r="K5763">
        <v>1.0751660000000001</v>
      </c>
      <c r="L5763">
        <v>17.91827</v>
      </c>
      <c r="M5763">
        <v>0.9996718</v>
      </c>
      <c r="N5763">
        <v>-1.7298089999999999E-2</v>
      </c>
      <c r="O5763">
        <v>1.8903449999999999E-2</v>
      </c>
      <c r="P5763">
        <v>0.93955010000000005</v>
      </c>
      <c r="Q5763">
        <v>-5.5486170000000001E-2</v>
      </c>
      <c r="R5763">
        <v>-0.33788689999999999</v>
      </c>
      <c r="S5763">
        <v>2.4493710000000002</v>
      </c>
      <c r="T5763">
        <v>-0.18705730000000001</v>
      </c>
      <c r="U5763">
        <v>-2.0645449999999999</v>
      </c>
      <c r="V5763">
        <v>0.35549750000000002</v>
      </c>
      <c r="W5763">
        <v>-4.0164190000000002E-2</v>
      </c>
      <c r="X5763">
        <v>0.93381389999999997</v>
      </c>
      <c r="Y5763">
        <v>0.65729309999999996</v>
      </c>
      <c r="Z5763">
        <v>-2.914949E-2</v>
      </c>
      <c r="AA5763">
        <v>0.75307109999999899</v>
      </c>
      <c r="AB5763">
        <v>18</v>
      </c>
      <c r="AC5763">
        <v>14.644600000000001</v>
      </c>
      <c r="AD5763">
        <v>-1.1251659999999899</v>
      </c>
      <c r="AE5763">
        <v>-12.425228000000001</v>
      </c>
      <c r="AF5763">
        <v>12.656441521856999</v>
      </c>
      <c r="AG5763">
        <v>-1.1251659999999899</v>
      </c>
      <c r="AH5763">
        <v>14.3577876897224</v>
      </c>
      <c r="AI5763">
        <v>93.364360388990505</v>
      </c>
      <c r="AJ5763">
        <v>48.6037074167943</v>
      </c>
      <c r="AK5763">
        <v>19.172834372280199</v>
      </c>
      <c r="AL5763">
        <v>92.301857696235501</v>
      </c>
      <c r="AM5763">
        <v>69.158462941306198</v>
      </c>
      <c r="AN5763">
        <v>1.0000000172489001</v>
      </c>
    </row>
    <row r="5764" spans="1:40" x14ac:dyDescent="0.25">
      <c r="A5764" t="str">
        <f>"20190303154634195"</f>
        <v>20190303154634195</v>
      </c>
      <c r="B5764" t="str">
        <f>"1551599194187427"</f>
        <v>1551599194187427</v>
      </c>
      <c r="C5764" t="s">
        <v>40</v>
      </c>
      <c r="D5764">
        <v>4.6782719999999998</v>
      </c>
      <c r="E5764">
        <v>0.62767099999999998</v>
      </c>
      <c r="F5764" t="s">
        <v>43</v>
      </c>
      <c r="G5764">
        <v>-299.80290000000002</v>
      </c>
      <c r="H5764">
        <v>-0.05</v>
      </c>
      <c r="I5764">
        <v>4.6802219999999997</v>
      </c>
      <c r="J5764">
        <v>-315.15839999999997</v>
      </c>
      <c r="K5764">
        <v>1.0747119999999999</v>
      </c>
      <c r="L5764">
        <v>17.919070000000001</v>
      </c>
      <c r="M5764">
        <v>0.99969079999999999</v>
      </c>
      <c r="N5764">
        <v>-1.7064639999999999E-2</v>
      </c>
      <c r="O5764">
        <v>1.8090100000000001E-2</v>
      </c>
      <c r="P5764">
        <v>0.9367685</v>
      </c>
      <c r="Q5764">
        <v>-5.3300689999999998E-2</v>
      </c>
      <c r="R5764">
        <v>-0.34586719999999999</v>
      </c>
      <c r="S5764">
        <v>2.4327390000000002</v>
      </c>
      <c r="T5764">
        <v>-0.1772213</v>
      </c>
      <c r="U5764">
        <v>-2.085083</v>
      </c>
      <c r="V5764">
        <v>0.36266320000000002</v>
      </c>
      <c r="W5764">
        <v>-3.8335229999999998E-2</v>
      </c>
      <c r="X5764">
        <v>0.9311315</v>
      </c>
      <c r="Y5764">
        <v>0.66299710000000001</v>
      </c>
      <c r="Z5764">
        <v>-2.8136769999999998E-2</v>
      </c>
      <c r="AA5764">
        <v>0.74809300000000001</v>
      </c>
      <c r="AB5764">
        <v>18</v>
      </c>
      <c r="AC5764">
        <v>15.3554999999999</v>
      </c>
      <c r="AD5764">
        <v>-1.1247119999999999</v>
      </c>
      <c r="AE5764">
        <v>-13.238848000000001</v>
      </c>
      <c r="AF5764">
        <v>13.473042465087101</v>
      </c>
      <c r="AG5764">
        <v>-1.1247119999999999</v>
      </c>
      <c r="AH5764">
        <v>15.067092614046301</v>
      </c>
      <c r="AI5764">
        <v>93.184923076083905</v>
      </c>
      <c r="AJ5764">
        <v>48.19681567904</v>
      </c>
      <c r="AK5764">
        <v>20.243644192418401</v>
      </c>
      <c r="AL5764">
        <v>92.196985158684498</v>
      </c>
      <c r="AM5764">
        <v>68.719755272084797</v>
      </c>
      <c r="AN5764">
        <v>1.0000000283928201</v>
      </c>
    </row>
    <row r="5765" spans="1:40" x14ac:dyDescent="0.25">
      <c r="A5765" t="str">
        <f>"20190303154634215"</f>
        <v>20190303154634215</v>
      </c>
      <c r="B5765" t="str">
        <f>"1551599194206948"</f>
        <v>1551599194206948</v>
      </c>
      <c r="C5765" t="s">
        <v>40</v>
      </c>
      <c r="D5765">
        <v>4.6265029999999996</v>
      </c>
      <c r="E5765">
        <v>0.62820669999999901</v>
      </c>
      <c r="F5765" t="s">
        <v>43</v>
      </c>
      <c r="G5765">
        <v>-305.46230000000003</v>
      </c>
      <c r="H5765">
        <v>-0.05</v>
      </c>
      <c r="I5765">
        <v>10.00731</v>
      </c>
      <c r="J5765">
        <v>-314.99329999999998</v>
      </c>
      <c r="K5765">
        <v>1.073942</v>
      </c>
      <c r="L5765">
        <v>17.920200000000001</v>
      </c>
      <c r="M5765">
        <v>0.99972609999999995</v>
      </c>
      <c r="N5765">
        <v>-1.6668079999999998E-2</v>
      </c>
      <c r="O5765">
        <v>1.6428910000000001E-2</v>
      </c>
      <c r="P5765">
        <v>0.93064809999999998</v>
      </c>
      <c r="Q5765">
        <v>-5.0625280000000002E-2</v>
      </c>
      <c r="R5765">
        <v>-0.36239680000000002</v>
      </c>
      <c r="S5765">
        <v>2.448639</v>
      </c>
      <c r="T5765">
        <v>-0.28403220000000001</v>
      </c>
      <c r="U5765">
        <v>-1.998016</v>
      </c>
      <c r="V5765">
        <v>0.37753569999999997</v>
      </c>
      <c r="W5765">
        <v>-3.6302439999999998E-2</v>
      </c>
      <c r="X5765">
        <v>0.92528310000000002</v>
      </c>
      <c r="Y5765">
        <v>0.64165819999999996</v>
      </c>
      <c r="Z5765">
        <v>-3.9883080000000001E-2</v>
      </c>
      <c r="AA5765">
        <v>0.76595309999999905</v>
      </c>
      <c r="AB5765">
        <v>18</v>
      </c>
      <c r="AC5765">
        <v>9.5309999999999402</v>
      </c>
      <c r="AD5765">
        <v>-1.123942</v>
      </c>
      <c r="AE5765">
        <v>-7.91289</v>
      </c>
      <c r="AF5765">
        <v>8.0025497263352996</v>
      </c>
      <c r="AG5765">
        <v>-1.123942</v>
      </c>
      <c r="AH5765">
        <v>9.3229477266122895</v>
      </c>
      <c r="AI5765">
        <v>95.226743561240497</v>
      </c>
      <c r="AJ5765">
        <v>49.358158986173201</v>
      </c>
      <c r="AK5765">
        <v>12.3378037776169</v>
      </c>
      <c r="AL5765">
        <v>92.080433842168404</v>
      </c>
      <c r="AM5765">
        <v>67.803468405363802</v>
      </c>
      <c r="AN5765">
        <v>0.99999994353502497</v>
      </c>
    </row>
    <row r="5766" spans="1:40" x14ac:dyDescent="0.25">
      <c r="A5766" t="str">
        <f>"20190303154634228"</f>
        <v>20190303154634228</v>
      </c>
      <c r="B5766" t="str">
        <f>"1551599194216708"</f>
        <v>1551599194216708</v>
      </c>
      <c r="C5766" t="s">
        <v>40</v>
      </c>
      <c r="D5766">
        <v>4.6864949999999999</v>
      </c>
      <c r="E5766">
        <v>0.62681430000000005</v>
      </c>
      <c r="F5766" t="s">
        <v>43</v>
      </c>
      <c r="G5766">
        <v>-303.12049999999999</v>
      </c>
      <c r="H5766">
        <v>-0.05</v>
      </c>
      <c r="I5766">
        <v>7.8730770000000003</v>
      </c>
      <c r="J5766">
        <v>-314.8965</v>
      </c>
      <c r="K5766">
        <v>1.0735380000000001</v>
      </c>
      <c r="L5766">
        <v>17.920590000000001</v>
      </c>
      <c r="M5766">
        <v>0.99974689999999999</v>
      </c>
      <c r="N5766">
        <v>-1.645628E-2</v>
      </c>
      <c r="O5766">
        <v>1.5349170000000001E-2</v>
      </c>
      <c r="P5766">
        <v>0.92748370000000002</v>
      </c>
      <c r="Q5766">
        <v>-4.9347530000000001E-2</v>
      </c>
      <c r="R5766">
        <v>-0.3705929</v>
      </c>
      <c r="S5766">
        <v>2.4152830000000001</v>
      </c>
      <c r="T5766">
        <v>-0.22864319999999999</v>
      </c>
      <c r="U5766">
        <v>-2.0438839999999998</v>
      </c>
      <c r="V5766">
        <v>0.38467960000000001</v>
      </c>
      <c r="W5766">
        <v>-3.5365510000000003E-2</v>
      </c>
      <c r="X5766">
        <v>0.92237250000000004</v>
      </c>
      <c r="Y5766">
        <v>0.65542140000000004</v>
      </c>
      <c r="Z5766">
        <v>-3.3985769999999998E-2</v>
      </c>
      <c r="AA5766">
        <v>0.75449829999999996</v>
      </c>
      <c r="AB5766">
        <v>18</v>
      </c>
      <c r="AC5766">
        <v>11.776</v>
      </c>
      <c r="AD5766">
        <v>-1.1235379999999999</v>
      </c>
      <c r="AE5766">
        <v>-10.047513</v>
      </c>
      <c r="AF5766">
        <v>10.173511918302999</v>
      </c>
      <c r="AG5766">
        <v>-1.1235379999999999</v>
      </c>
      <c r="AH5766">
        <v>11.559475939018</v>
      </c>
      <c r="AI5766">
        <v>94.173070624425193</v>
      </c>
      <c r="AJ5766">
        <v>48.648946031413502</v>
      </c>
      <c r="AK5766">
        <v>15.4396945039088</v>
      </c>
      <c r="AL5766">
        <v>92.026716944155794</v>
      </c>
      <c r="AM5766">
        <v>67.361203703229293</v>
      </c>
      <c r="AN5766">
        <v>1.0000000713549799</v>
      </c>
    </row>
    <row r="5767" spans="1:40" x14ac:dyDescent="0.25">
      <c r="A5767" t="str">
        <f>"20190303154634240"</f>
        <v>20190303154634240</v>
      </c>
      <c r="B5767" t="str">
        <f>"1551599194237205"</f>
        <v>1551599194237205</v>
      </c>
      <c r="C5767" t="s">
        <v>40</v>
      </c>
      <c r="D5767">
        <v>4.7304810000000002</v>
      </c>
      <c r="E5767">
        <v>0.62446389999999996</v>
      </c>
      <c r="F5767" t="s">
        <v>43</v>
      </c>
      <c r="G5767">
        <v>-303.38060000000002</v>
      </c>
      <c r="H5767">
        <v>-0.05</v>
      </c>
      <c r="I5767">
        <v>8.0628050000000009</v>
      </c>
      <c r="J5767">
        <v>-314.79410000000001</v>
      </c>
      <c r="K5767">
        <v>1.073134</v>
      </c>
      <c r="L5767">
        <v>17.920870000000001</v>
      </c>
      <c r="M5767">
        <v>0.99976810000000005</v>
      </c>
      <c r="N5767">
        <v>-1.6243440000000001E-2</v>
      </c>
      <c r="O5767">
        <v>1.414759E-2</v>
      </c>
      <c r="P5767">
        <v>0.92396900000000004</v>
      </c>
      <c r="Q5767">
        <v>-4.8465609999999999E-2</v>
      </c>
      <c r="R5767">
        <v>-0.37938480000000002</v>
      </c>
      <c r="S5767">
        <v>2.400909</v>
      </c>
      <c r="T5767">
        <v>-0.23424139999999999</v>
      </c>
      <c r="U5767">
        <v>-2.0552060000000001</v>
      </c>
      <c r="V5767">
        <v>0.39230749999999998</v>
      </c>
      <c r="W5767">
        <v>-3.4833749999999997E-2</v>
      </c>
      <c r="X5767">
        <v>0.9191743</v>
      </c>
      <c r="Y5767">
        <v>0.65867719999999996</v>
      </c>
      <c r="Z5767">
        <v>-3.478361E-2</v>
      </c>
      <c r="AA5767">
        <v>0.75162119999999999</v>
      </c>
      <c r="AB5767">
        <v>18</v>
      </c>
      <c r="AC5767">
        <v>11.413500000000001</v>
      </c>
      <c r="AD5767">
        <v>-1.1231340000000001</v>
      </c>
      <c r="AE5767">
        <v>-9.8580649999999999</v>
      </c>
      <c r="AF5767">
        <v>9.96331657300966</v>
      </c>
      <c r="AG5767">
        <v>-1.1231340000000001</v>
      </c>
      <c r="AH5767">
        <v>11.2106968635222</v>
      </c>
      <c r="AI5767">
        <v>94.282564275558897</v>
      </c>
      <c r="AJ5767">
        <v>48.371449617882099</v>
      </c>
      <c r="AK5767">
        <v>15.040240399732699</v>
      </c>
      <c r="AL5767">
        <v>91.996230741060799</v>
      </c>
      <c r="AM5767">
        <v>66.8870044463944</v>
      </c>
      <c r="AN5767">
        <v>0.99999997923790096</v>
      </c>
    </row>
    <row r="5768" spans="1:40" x14ac:dyDescent="0.25">
      <c r="A5768" t="str">
        <f>"20190303154634252"</f>
        <v>20190303154634252</v>
      </c>
      <c r="B5768" t="str">
        <f>"1551599194246964"</f>
        <v>1551599194246964</v>
      </c>
      <c r="C5768" t="s">
        <v>40</v>
      </c>
      <c r="D5768">
        <v>4.7423149999999996</v>
      </c>
      <c r="E5768">
        <v>0.62335479999999999</v>
      </c>
      <c r="F5768" t="s">
        <v>43</v>
      </c>
      <c r="G5768">
        <v>-304.00740000000002</v>
      </c>
      <c r="H5768">
        <v>-0.05</v>
      </c>
      <c r="I5768">
        <v>8.6089479999999998</v>
      </c>
      <c r="J5768">
        <v>-314.69209999999998</v>
      </c>
      <c r="K5768">
        <v>1.0727819999999999</v>
      </c>
      <c r="L5768">
        <v>17.920780000000001</v>
      </c>
      <c r="M5768">
        <v>0.99978880000000003</v>
      </c>
      <c r="N5768">
        <v>-1.6052799999999999E-2</v>
      </c>
      <c r="O5768">
        <v>1.2833799999999999E-2</v>
      </c>
      <c r="P5768">
        <v>0.92036890000000005</v>
      </c>
      <c r="Q5768">
        <v>-4.7452939999999999E-2</v>
      </c>
      <c r="R5768">
        <v>-0.3881616</v>
      </c>
      <c r="S5768">
        <v>2.387543</v>
      </c>
      <c r="T5768">
        <v>-0.24859429999999999</v>
      </c>
      <c r="U5768">
        <v>-2.061096</v>
      </c>
      <c r="V5768">
        <v>0.39982669999999998</v>
      </c>
      <c r="W5768">
        <v>-3.4142619999999999E-2</v>
      </c>
      <c r="X5768">
        <v>0.91595459999999995</v>
      </c>
      <c r="Y5768">
        <v>0.66055240000000004</v>
      </c>
      <c r="Z5768">
        <v>-3.6599279999999998E-2</v>
      </c>
      <c r="AA5768">
        <v>0.74988730000000003</v>
      </c>
      <c r="AB5768">
        <v>18</v>
      </c>
      <c r="AC5768">
        <v>10.6846999999999</v>
      </c>
      <c r="AD5768">
        <v>-1.1227819999999999</v>
      </c>
      <c r="AE5768">
        <v>-9.3118320000000008</v>
      </c>
      <c r="AF5768">
        <v>9.38928260151547</v>
      </c>
      <c r="AG5768">
        <v>-1.1227819999999999</v>
      </c>
      <c r="AH5768">
        <v>10.4984122699142</v>
      </c>
      <c r="AI5768">
        <v>94.557816726458597</v>
      </c>
      <c r="AJ5768">
        <v>48.192058611952298</v>
      </c>
      <c r="AK5768">
        <v>14.1292578495733</v>
      </c>
      <c r="AL5768">
        <v>91.956608356444505</v>
      </c>
      <c r="AM5768">
        <v>66.418073136349904</v>
      </c>
      <c r="AN5768">
        <v>0.99999996889725595</v>
      </c>
    </row>
    <row r="5769" spans="1:40" x14ac:dyDescent="0.25">
      <c r="A5769" t="str">
        <f>"20190303154634264"</f>
        <v>20190303154634264</v>
      </c>
      <c r="B5769" t="str">
        <f>"1551599194256723"</f>
        <v>1551599194256723</v>
      </c>
      <c r="C5769" t="s">
        <v>40</v>
      </c>
      <c r="D5769">
        <v>4.7768790000000001</v>
      </c>
      <c r="E5769">
        <v>0.621986699999999</v>
      </c>
      <c r="F5769" t="s">
        <v>43</v>
      </c>
      <c r="G5769">
        <v>-304.16820000000001</v>
      </c>
      <c r="H5769">
        <v>-0.05</v>
      </c>
      <c r="I5769">
        <v>8.7072450000000003</v>
      </c>
      <c r="J5769">
        <v>-314.59840000000003</v>
      </c>
      <c r="K5769">
        <v>1.0724670000000001</v>
      </c>
      <c r="L5769">
        <v>17.92062</v>
      </c>
      <c r="M5769">
        <v>0.9998068</v>
      </c>
      <c r="N5769">
        <v>-1.5884229999999999E-2</v>
      </c>
      <c r="O5769">
        <v>1.1588670000000001E-2</v>
      </c>
      <c r="P5769">
        <v>0.91663030000000001</v>
      </c>
      <c r="Q5769">
        <v>-4.6816190000000001E-2</v>
      </c>
      <c r="R5769">
        <v>-0.39698529999999999</v>
      </c>
      <c r="S5769">
        <v>2.3710629999999999</v>
      </c>
      <c r="T5769">
        <v>-0.25296619999999997</v>
      </c>
      <c r="U5769">
        <v>-2.0758359999999998</v>
      </c>
      <c r="V5769">
        <v>0.40746260000000001</v>
      </c>
      <c r="W5769">
        <v>-3.3802480000000003E-2</v>
      </c>
      <c r="X5769">
        <v>0.91259610000000002</v>
      </c>
      <c r="Y5769">
        <v>0.66472109999999995</v>
      </c>
      <c r="Z5769">
        <v>-3.7332610000000002E-2</v>
      </c>
      <c r="AA5769">
        <v>0.74615819999999999</v>
      </c>
      <c r="AB5769">
        <v>18</v>
      </c>
      <c r="AC5769">
        <v>10.430199999999999</v>
      </c>
      <c r="AD5769">
        <v>-1.1224670000000001</v>
      </c>
      <c r="AE5769">
        <v>-9.2133749999999992</v>
      </c>
      <c r="AF5769">
        <v>9.2733170691196598</v>
      </c>
      <c r="AG5769">
        <v>-1.1224670000000001</v>
      </c>
      <c r="AH5769">
        <v>10.255996031307999</v>
      </c>
      <c r="AI5769">
        <v>94.641130822425893</v>
      </c>
      <c r="AJ5769">
        <v>47.880588295721601</v>
      </c>
      <c r="AK5769">
        <v>13.8722671623899</v>
      </c>
      <c r="AL5769">
        <v>91.937108433888099</v>
      </c>
      <c r="AM5769">
        <v>65.939843248787</v>
      </c>
      <c r="AN5769">
        <v>1.00000000989406</v>
      </c>
    </row>
    <row r="5770" spans="1:40" x14ac:dyDescent="0.25">
      <c r="A5770" t="str">
        <f>"20190303154634275"</f>
        <v>20190303154634275</v>
      </c>
      <c r="B5770" t="str">
        <f>"1551599194267460"</f>
        <v>1551599194267460</v>
      </c>
      <c r="C5770" t="s">
        <v>40</v>
      </c>
      <c r="D5770">
        <v>4.7421389999999999</v>
      </c>
      <c r="E5770">
        <v>0.6210639</v>
      </c>
      <c r="F5770" t="s">
        <v>43</v>
      </c>
      <c r="G5770">
        <v>-304.43400000000003</v>
      </c>
      <c r="H5770">
        <v>-0.05</v>
      </c>
      <c r="I5770">
        <v>8.9040219999999994</v>
      </c>
      <c r="J5770">
        <v>-314.50479999999999</v>
      </c>
      <c r="K5770">
        <v>1.0721849999999999</v>
      </c>
      <c r="L5770">
        <v>17.920200000000001</v>
      </c>
      <c r="M5770">
        <v>0.99982369999999998</v>
      </c>
      <c r="N5770">
        <v>-1.572929E-2</v>
      </c>
      <c r="O5770">
        <v>1.026499E-2</v>
      </c>
      <c r="P5770">
        <v>0.91275669999999998</v>
      </c>
      <c r="Q5770">
        <v>-4.6521680000000003E-2</v>
      </c>
      <c r="R5770">
        <v>-0.40584609999999999</v>
      </c>
      <c r="S5770">
        <v>2.3548580000000001</v>
      </c>
      <c r="T5770">
        <v>-0.26004829999999901</v>
      </c>
      <c r="U5770">
        <v>-2.0889280000000001</v>
      </c>
      <c r="V5770">
        <v>0.41507090000000002</v>
      </c>
      <c r="W5770">
        <v>-3.3788239999999997E-2</v>
      </c>
      <c r="X5770">
        <v>0.90916140000000001</v>
      </c>
      <c r="Y5770">
        <v>0.6684312</v>
      </c>
      <c r="Z5770">
        <v>-3.8384830000000002E-2</v>
      </c>
      <c r="AA5770">
        <v>0.74278290000000002</v>
      </c>
      <c r="AB5770">
        <v>18</v>
      </c>
      <c r="AC5770">
        <v>10.070799999999901</v>
      </c>
      <c r="AD5770">
        <v>-1.122185</v>
      </c>
      <c r="AE5770">
        <v>-9.016178</v>
      </c>
      <c r="AF5770">
        <v>9.0566714943028792</v>
      </c>
      <c r="AG5770">
        <v>-1.122185</v>
      </c>
      <c r="AH5770">
        <v>9.9094087826376906</v>
      </c>
      <c r="AI5770">
        <v>94.778344722438604</v>
      </c>
      <c r="AJ5770">
        <v>47.574351915608297</v>
      </c>
      <c r="AK5770">
        <v>13.4714134429673</v>
      </c>
      <c r="AL5770">
        <v>91.936292144773205</v>
      </c>
      <c r="AM5770">
        <v>65.461282920678798</v>
      </c>
      <c r="AN5770">
        <v>0.99999997421953302</v>
      </c>
    </row>
    <row r="5771" spans="1:40" x14ac:dyDescent="0.25">
      <c r="A5771" t="str">
        <f>"20190303154634287"</f>
        <v>20190303154634287</v>
      </c>
      <c r="B5771" t="str">
        <f>"1551599194277220"</f>
        <v>1551599194277220</v>
      </c>
      <c r="C5771" t="s">
        <v>40</v>
      </c>
      <c r="D5771">
        <v>4.79406</v>
      </c>
      <c r="E5771">
        <v>0.6199713</v>
      </c>
      <c r="F5771" t="s">
        <v>43</v>
      </c>
      <c r="G5771">
        <v>-304.51069999999999</v>
      </c>
      <c r="H5771">
        <v>-0.05</v>
      </c>
      <c r="I5771">
        <v>8.9204249999999998</v>
      </c>
      <c r="J5771">
        <v>-314.40899999999999</v>
      </c>
      <c r="K5771">
        <v>1.071922</v>
      </c>
      <c r="L5771">
        <v>17.919560000000001</v>
      </c>
      <c r="M5771">
        <v>0.99983940000000004</v>
      </c>
      <c r="N5771">
        <v>-1.558009E-2</v>
      </c>
      <c r="O5771">
        <v>8.8573200000000001E-3</v>
      </c>
      <c r="P5771">
        <v>0.9086881</v>
      </c>
      <c r="Q5771">
        <v>-4.6837820000000002E-2</v>
      </c>
      <c r="R5771">
        <v>-0.41484019999999999</v>
      </c>
      <c r="S5771">
        <v>2.3374329999999999</v>
      </c>
      <c r="T5771">
        <v>-0.26245930000000001</v>
      </c>
      <c r="U5771">
        <v>-2.104889</v>
      </c>
      <c r="V5771">
        <v>0.42274279999999997</v>
      </c>
      <c r="W5771">
        <v>-3.4378100000000002E-2</v>
      </c>
      <c r="X5771">
        <v>0.9055974</v>
      </c>
      <c r="Y5771">
        <v>0.67285109999999904</v>
      </c>
      <c r="Z5771">
        <v>-3.8899490000000002E-2</v>
      </c>
      <c r="AA5771">
        <v>0.73875449999999998</v>
      </c>
      <c r="AB5771">
        <v>18</v>
      </c>
      <c r="AC5771">
        <v>9.8983000000000008</v>
      </c>
      <c r="AD5771">
        <v>-1.1219219999999901</v>
      </c>
      <c r="AE5771">
        <v>-8.9991350000000008</v>
      </c>
      <c r="AF5771">
        <v>9.0230022591271304</v>
      </c>
      <c r="AG5771">
        <v>-1.1219219999999901</v>
      </c>
      <c r="AH5771">
        <v>9.7496204114468394</v>
      </c>
      <c r="AI5771">
        <v>94.827484331728201</v>
      </c>
      <c r="AJ5771">
        <v>47.216599251596499</v>
      </c>
      <c r="AK5771">
        <v>13.3314806720633</v>
      </c>
      <c r="AL5771">
        <v>91.970108251111995</v>
      </c>
      <c r="AM5771">
        <v>64.976317541898396</v>
      </c>
      <c r="AN5771">
        <v>0.99999998979910498</v>
      </c>
    </row>
    <row r="5772" spans="1:40" x14ac:dyDescent="0.25">
      <c r="A5772" t="str">
        <f>"20190303154634305"</f>
        <v>20190303154634305</v>
      </c>
      <c r="B5772" t="str">
        <f>"1551599194297515"</f>
        <v>1551599194297515</v>
      </c>
      <c r="C5772" t="s">
        <v>40</v>
      </c>
      <c r="D5772">
        <v>4.5434939999999999</v>
      </c>
      <c r="E5772">
        <v>0.61889209999999995</v>
      </c>
      <c r="F5772" t="s">
        <v>43</v>
      </c>
      <c r="G5772">
        <v>-304.82409999999999</v>
      </c>
      <c r="H5772">
        <v>-0.05</v>
      </c>
      <c r="I5772">
        <v>9.1584009999999996</v>
      </c>
      <c r="J5772">
        <v>-314.2629</v>
      </c>
      <c r="K5772">
        <v>1.071564</v>
      </c>
      <c r="L5772">
        <v>17.918240000000001</v>
      </c>
      <c r="M5772">
        <v>0.99986010000000003</v>
      </c>
      <c r="N5772">
        <v>-1.5370139999999999E-2</v>
      </c>
      <c r="O5772">
        <v>6.6138799999999999E-3</v>
      </c>
      <c r="P5772">
        <v>0.900672899999999</v>
      </c>
      <c r="Q5772">
        <v>-4.7103350000000002E-2</v>
      </c>
      <c r="R5772">
        <v>-0.43193779999999998</v>
      </c>
      <c r="S5772">
        <v>2.3195190000000001</v>
      </c>
      <c r="T5772">
        <v>-0.27150249999999998</v>
      </c>
      <c r="U5772">
        <v>-2.1201780000000001</v>
      </c>
      <c r="V5772">
        <v>0.437747</v>
      </c>
      <c r="W5772">
        <v>-3.5075799999999997E-2</v>
      </c>
      <c r="X5772">
        <v>0.89841380000000004</v>
      </c>
      <c r="Y5772">
        <v>0.6764734</v>
      </c>
      <c r="Z5772">
        <v>-4.011837E-2</v>
      </c>
      <c r="AA5772">
        <v>0.73537359999999996</v>
      </c>
      <c r="AB5772">
        <v>18</v>
      </c>
      <c r="AC5772">
        <v>9.4388000000000094</v>
      </c>
      <c r="AD5772">
        <v>-1.121564</v>
      </c>
      <c r="AE5772">
        <v>-8.7598389999999995</v>
      </c>
      <c r="AF5772">
        <v>8.7556638950618098</v>
      </c>
      <c r="AG5772">
        <v>-1.121564</v>
      </c>
      <c r="AH5772">
        <v>9.31002698176483</v>
      </c>
      <c r="AI5772">
        <v>95.015238331201601</v>
      </c>
      <c r="AJ5772">
        <v>46.757624521017</v>
      </c>
      <c r="AK5772">
        <v>12.829503437412299</v>
      </c>
      <c r="AL5772">
        <v>92.010107518966507</v>
      </c>
      <c r="AM5772">
        <v>64.022605085842599</v>
      </c>
      <c r="AN5772">
        <v>1.0000000518925301</v>
      </c>
    </row>
    <row r="5773" spans="1:40" x14ac:dyDescent="0.25">
      <c r="A5773" t="str">
        <f>"20190303154634317"</f>
        <v>20190303154634317</v>
      </c>
      <c r="B5773" t="str">
        <f>"1551599194306783"</f>
        <v>1551599194306783</v>
      </c>
      <c r="C5773" t="s">
        <v>40</v>
      </c>
      <c r="D5773">
        <v>4.7239269999999998</v>
      </c>
      <c r="E5773">
        <v>0.61817789999999995</v>
      </c>
      <c r="F5773" t="s">
        <v>43</v>
      </c>
      <c r="G5773">
        <v>-303.65069999999997</v>
      </c>
      <c r="H5773">
        <v>-0.05</v>
      </c>
      <c r="I5773">
        <v>7.909897</v>
      </c>
      <c r="J5773">
        <v>-314.16399999999999</v>
      </c>
      <c r="K5773">
        <v>1.07135</v>
      </c>
      <c r="L5773">
        <v>17.917110000000001</v>
      </c>
      <c r="M5773">
        <v>0.99987139999999997</v>
      </c>
      <c r="N5773">
        <v>-1.524002E-2</v>
      </c>
      <c r="O5773">
        <v>5.0314409999999898E-3</v>
      </c>
      <c r="P5773">
        <v>0.89648430000000001</v>
      </c>
      <c r="Q5773">
        <v>-4.8021380000000002E-2</v>
      </c>
      <c r="R5773">
        <v>-0.44046629999999998</v>
      </c>
      <c r="S5773">
        <v>2.284821</v>
      </c>
      <c r="T5773">
        <v>-0.241475</v>
      </c>
      <c r="U5773">
        <v>-2.1548159999999998</v>
      </c>
      <c r="V5773">
        <v>0.44482480000000002</v>
      </c>
      <c r="W5773">
        <v>-3.62361E-2</v>
      </c>
      <c r="X5773">
        <v>0.89488419999999902</v>
      </c>
      <c r="Y5773">
        <v>0.6872376</v>
      </c>
      <c r="Z5773">
        <v>-3.6990879999999997E-2</v>
      </c>
      <c r="AA5773">
        <v>0.72549039999999998</v>
      </c>
      <c r="AB5773">
        <v>18</v>
      </c>
      <c r="AC5773">
        <v>10.513299999999999</v>
      </c>
      <c r="AD5773">
        <v>-1.1213500000000001</v>
      </c>
      <c r="AE5773">
        <v>-10.007213</v>
      </c>
      <c r="AF5773">
        <v>10.0003017659685</v>
      </c>
      <c r="AG5773">
        <v>-1.1213500000000001</v>
      </c>
      <c r="AH5773">
        <v>10.400732627778201</v>
      </c>
      <c r="AI5773">
        <v>94.443967571892799</v>
      </c>
      <c r="AJ5773">
        <v>46.124455372631601</v>
      </c>
      <c r="AK5773">
        <v>14.471997112612501</v>
      </c>
      <c r="AL5773">
        <v>92.076630335383101</v>
      </c>
      <c r="AM5773">
        <v>63.569165618552603</v>
      </c>
      <c r="AN5773">
        <v>0.99999994452394303</v>
      </c>
    </row>
    <row r="5774" spans="1:40" x14ac:dyDescent="0.25">
      <c r="A5774" t="str">
        <f>"20190303154634331"</f>
        <v>20190303154634331</v>
      </c>
      <c r="B5774" t="str">
        <f>"1551599194326805"</f>
        <v>1551599194326805</v>
      </c>
      <c r="C5774" t="s">
        <v>40</v>
      </c>
      <c r="D5774">
        <v>4.8184519999999997</v>
      </c>
      <c r="E5774">
        <v>0.61618819999999996</v>
      </c>
      <c r="F5774" t="s">
        <v>43</v>
      </c>
      <c r="G5774">
        <v>-303.55450000000002</v>
      </c>
      <c r="H5774">
        <v>-0.05</v>
      </c>
      <c r="I5774">
        <v>7.7573699999999999</v>
      </c>
      <c r="J5774">
        <v>-314.05889999999999</v>
      </c>
      <c r="K5774">
        <v>1.0711469999999901</v>
      </c>
      <c r="L5774">
        <v>17.915649999999999</v>
      </c>
      <c r="M5774">
        <v>0.9998804</v>
      </c>
      <c r="N5774">
        <v>-1.511237E-2</v>
      </c>
      <c r="O5774">
        <v>3.2940170000000002E-3</v>
      </c>
      <c r="P5774">
        <v>0.89190939999999996</v>
      </c>
      <c r="Q5774">
        <v>-4.9260659999999998E-2</v>
      </c>
      <c r="R5774">
        <v>-0.44952330000000001</v>
      </c>
      <c r="S5774">
        <v>2.2669679999999999</v>
      </c>
      <c r="T5774">
        <v>-0.23960290000000001</v>
      </c>
      <c r="U5774">
        <v>-2.170868</v>
      </c>
      <c r="V5774">
        <v>0.45230320000000002</v>
      </c>
      <c r="W5774">
        <v>-3.771617E-2</v>
      </c>
      <c r="X5774">
        <v>0.89106640000000004</v>
      </c>
      <c r="Y5774">
        <v>0.69151090000000004</v>
      </c>
      <c r="Z5774">
        <v>-3.6926390000000003E-2</v>
      </c>
      <c r="AA5774">
        <v>0.7214216</v>
      </c>
      <c r="AB5774">
        <v>18</v>
      </c>
      <c r="AC5774">
        <v>10.504399999999899</v>
      </c>
      <c r="AD5774">
        <v>-1.1211469999999999</v>
      </c>
      <c r="AE5774">
        <v>-10.15828</v>
      </c>
      <c r="AF5774">
        <v>10.133181140667199</v>
      </c>
      <c r="AG5774">
        <v>-1.1211469999999999</v>
      </c>
      <c r="AH5774">
        <v>10.409601114558701</v>
      </c>
      <c r="AI5774">
        <v>94.413078015777401</v>
      </c>
      <c r="AJ5774">
        <v>45.770915153125102</v>
      </c>
      <c r="AK5774">
        <v>14.5704538703983</v>
      </c>
      <c r="AL5774">
        <v>92.161489998444907</v>
      </c>
      <c r="AM5774">
        <v>63.087758140693602</v>
      </c>
      <c r="AN5774">
        <v>1.00000001170933</v>
      </c>
    </row>
    <row r="5775" spans="1:40" x14ac:dyDescent="0.25">
      <c r="A5775" t="str">
        <f>"20190303154634346"</f>
        <v>20190303154634346</v>
      </c>
      <c r="B5775" t="str">
        <f>"1551599194337541"</f>
        <v>1551599194337541</v>
      </c>
      <c r="C5775" t="s">
        <v>40</v>
      </c>
      <c r="D5775">
        <v>4.8397930000000002</v>
      </c>
      <c r="E5775">
        <v>0.61502809999999997</v>
      </c>
      <c r="F5775" t="s">
        <v>43</v>
      </c>
      <c r="G5775">
        <v>-303.91469999999998</v>
      </c>
      <c r="H5775">
        <v>-0.05</v>
      </c>
      <c r="I5775">
        <v>8.0960850000000004</v>
      </c>
      <c r="J5775">
        <v>-313.9402</v>
      </c>
      <c r="K5775">
        <v>1.0709360000000001</v>
      </c>
      <c r="L5775">
        <v>17.913699999999999</v>
      </c>
      <c r="M5775">
        <v>0.99988699999999997</v>
      </c>
      <c r="N5775">
        <v>-1.497685E-2</v>
      </c>
      <c r="O5775">
        <v>1.2899700000000001E-3</v>
      </c>
      <c r="P5775">
        <v>0.8871658</v>
      </c>
      <c r="Q5775">
        <v>-5.0905600000000002E-2</v>
      </c>
      <c r="R5775">
        <v>-0.45863429999999999</v>
      </c>
      <c r="S5775">
        <v>2.2514340000000002</v>
      </c>
      <c r="T5775">
        <v>-0.2488302</v>
      </c>
      <c r="U5775">
        <v>-2.1793819999999999</v>
      </c>
      <c r="V5775">
        <v>0.45961170000000001</v>
      </c>
      <c r="W5775">
        <v>-3.9607450000000002E-2</v>
      </c>
      <c r="X5775">
        <v>0.88723629999999998</v>
      </c>
      <c r="Y5775">
        <v>0.69376119999999997</v>
      </c>
      <c r="Z5775">
        <v>-3.8158709999999998E-2</v>
      </c>
      <c r="AA5775">
        <v>0.71919350000000004</v>
      </c>
      <c r="AB5775">
        <v>18</v>
      </c>
      <c r="AC5775">
        <v>10.025499999999999</v>
      </c>
      <c r="AD5775">
        <v>-1.1209359999999999</v>
      </c>
      <c r="AE5775">
        <v>-9.8176149999999893</v>
      </c>
      <c r="AF5775">
        <v>9.7682048610270904</v>
      </c>
      <c r="AG5775">
        <v>-1.1209359999999999</v>
      </c>
      <c r="AH5775">
        <v>9.9493339144514703</v>
      </c>
      <c r="AI5775">
        <v>94.596363659629503</v>
      </c>
      <c r="AJ5775">
        <v>45.526315100669301</v>
      </c>
      <c r="AK5775">
        <v>13.9879794489534</v>
      </c>
      <c r="AL5775">
        <v>92.269933573697699</v>
      </c>
      <c r="AM5775">
        <v>62.614657212201102</v>
      </c>
      <c r="AN5775">
        <v>0.99999995845503997</v>
      </c>
    </row>
    <row r="5776" spans="1:40" x14ac:dyDescent="0.25">
      <c r="A5776" t="str">
        <f>"20190303154634363"</f>
        <v>20190303154634363</v>
      </c>
      <c r="B5776" t="str">
        <f>"1551599194357062"</f>
        <v>1551599194357062</v>
      </c>
      <c r="C5776" t="s">
        <v>40</v>
      </c>
      <c r="D5776">
        <v>4.8015639999999999</v>
      </c>
      <c r="E5776">
        <v>0.61335439999999997</v>
      </c>
      <c r="F5776" t="s">
        <v>43</v>
      </c>
      <c r="G5776">
        <v>-304.40499999999997</v>
      </c>
      <c r="H5776">
        <v>-0.05</v>
      </c>
      <c r="I5776">
        <v>8.5402679999999993</v>
      </c>
      <c r="J5776">
        <v>-313.79129999999998</v>
      </c>
      <c r="K5776">
        <v>1.070692</v>
      </c>
      <c r="L5776">
        <v>17.910829999999901</v>
      </c>
      <c r="M5776">
        <v>0.99988929999999998</v>
      </c>
      <c r="N5776">
        <v>-1.4822729999999999E-2</v>
      </c>
      <c r="O5776">
        <v>-1.2995529999999999E-3</v>
      </c>
      <c r="P5776">
        <v>0.87858239999999999</v>
      </c>
      <c r="Q5776">
        <v>-5.4081499999999998E-2</v>
      </c>
      <c r="R5776">
        <v>-0.47451910000000003</v>
      </c>
      <c r="S5776">
        <v>2.2321170000000001</v>
      </c>
      <c r="T5776">
        <v>-0.26240170000000002</v>
      </c>
      <c r="U5776">
        <v>-2.1942439999999999</v>
      </c>
      <c r="V5776">
        <v>0.47319149999999999</v>
      </c>
      <c r="W5776">
        <v>-4.3126129999999999E-2</v>
      </c>
      <c r="X5776">
        <v>0.8799034</v>
      </c>
      <c r="Y5776">
        <v>0.69714309999999902</v>
      </c>
      <c r="Z5776">
        <v>-3.9978119999999999E-2</v>
      </c>
      <c r="AA5776">
        <v>0.71581660000000003</v>
      </c>
      <c r="AB5776">
        <v>18</v>
      </c>
      <c r="AC5776">
        <v>9.3863000000000003</v>
      </c>
      <c r="AD5776">
        <v>-1.120692</v>
      </c>
      <c r="AE5776">
        <v>-9.3705619999999907</v>
      </c>
      <c r="AF5776">
        <v>9.2920122802613196</v>
      </c>
      <c r="AG5776">
        <v>-1.120692</v>
      </c>
      <c r="AH5776">
        <v>9.3318440928932507</v>
      </c>
      <c r="AI5776">
        <v>94.864163638684005</v>
      </c>
      <c r="AJ5776">
        <v>45.1225412840747</v>
      </c>
      <c r="AK5776">
        <v>13.2166847942083</v>
      </c>
      <c r="AL5776">
        <v>92.471711749705605</v>
      </c>
      <c r="AM5776">
        <v>61.729674015420798</v>
      </c>
      <c r="AN5776">
        <v>1.00000002604629</v>
      </c>
    </row>
    <row r="5777" spans="1:40" x14ac:dyDescent="0.25">
      <c r="A5777" t="str">
        <f>"20190303154634376"</f>
        <v>20190303154634376</v>
      </c>
      <c r="B5777" t="str">
        <f>"1551599194367798"</f>
        <v>1551599194367798</v>
      </c>
      <c r="C5777" t="s">
        <v>40</v>
      </c>
      <c r="D5777">
        <v>4.8219699999999897</v>
      </c>
      <c r="E5777">
        <v>0.61249709999999902</v>
      </c>
      <c r="F5777" t="s">
        <v>43</v>
      </c>
      <c r="G5777">
        <v>-304.5514</v>
      </c>
      <c r="H5777">
        <v>-0.05</v>
      </c>
      <c r="I5777">
        <v>8.5712740000000007</v>
      </c>
      <c r="J5777">
        <v>-313.68880000000001</v>
      </c>
      <c r="K5777">
        <v>1.0705499999999999</v>
      </c>
      <c r="L5777">
        <v>17.908570000000001</v>
      </c>
      <c r="M5777">
        <v>0.99988659999999996</v>
      </c>
      <c r="N5777">
        <v>-1.472653E-2</v>
      </c>
      <c r="O5777">
        <v>-3.1290469999999998E-3</v>
      </c>
      <c r="P5777">
        <v>0.87387999999999899</v>
      </c>
      <c r="Q5777">
        <v>-5.517764E-2</v>
      </c>
      <c r="R5777">
        <v>-0.48299999999999998</v>
      </c>
      <c r="S5777">
        <v>2.1981199999999999</v>
      </c>
      <c r="T5777">
        <v>-0.26660699999999998</v>
      </c>
      <c r="U5777">
        <v>-2.221832</v>
      </c>
      <c r="V5777">
        <v>0.48007040000000001</v>
      </c>
      <c r="W5777">
        <v>-4.4413500000000002E-2</v>
      </c>
      <c r="X5777">
        <v>0.87610499999999902</v>
      </c>
      <c r="Y5777">
        <v>0.70559930000000004</v>
      </c>
      <c r="Z5777">
        <v>-4.1099410000000003E-2</v>
      </c>
      <c r="AA5777">
        <v>0.70741809999999905</v>
      </c>
      <c r="AB5777">
        <v>18</v>
      </c>
      <c r="AC5777">
        <v>9.1374000000000102</v>
      </c>
      <c r="AD5777">
        <v>-1.1205499999999999</v>
      </c>
      <c r="AE5777">
        <v>-9.3372960000000003</v>
      </c>
      <c r="AF5777">
        <v>9.2406743299596403</v>
      </c>
      <c r="AG5777">
        <v>-1.1205499999999999</v>
      </c>
      <c r="AH5777">
        <v>9.0996313940455398</v>
      </c>
      <c r="AI5777">
        <v>94.938240180755798</v>
      </c>
      <c r="AJ5777">
        <v>44.559385444519897</v>
      </c>
      <c r="AK5777">
        <v>13.017257233471801</v>
      </c>
      <c r="AL5777">
        <v>92.545543292518005</v>
      </c>
      <c r="AM5777">
        <v>61.279026098005097</v>
      </c>
      <c r="AN5777">
        <v>1.0000000594817</v>
      </c>
    </row>
    <row r="5778" spans="1:40" x14ac:dyDescent="0.25">
      <c r="A5778" t="str">
        <f>"20190303154634388"</f>
        <v>20190303154634388</v>
      </c>
      <c r="B5778" t="str">
        <f>"1551599194377557"</f>
        <v>1551599194377557</v>
      </c>
      <c r="C5778" t="s">
        <v>40</v>
      </c>
      <c r="D5778">
        <v>4.8644319999999999</v>
      </c>
      <c r="E5778">
        <v>0.61154710000000001</v>
      </c>
      <c r="F5778" t="s">
        <v>43</v>
      </c>
      <c r="G5778">
        <v>-304.52730000000003</v>
      </c>
      <c r="H5778">
        <v>-0.05</v>
      </c>
      <c r="I5778">
        <v>8.5073849999999993</v>
      </c>
      <c r="J5778">
        <v>-313.59460000000001</v>
      </c>
      <c r="K5778">
        <v>1.0704279999999999</v>
      </c>
      <c r="L5778">
        <v>17.90625</v>
      </c>
      <c r="M5778">
        <v>0.99988109999999997</v>
      </c>
      <c r="N5778">
        <v>-1.464381E-2</v>
      </c>
      <c r="O5778">
        <v>-4.8343600000000002E-3</v>
      </c>
      <c r="P5778">
        <v>0.86923280000000003</v>
      </c>
      <c r="Q5778">
        <v>-5.6792559999999999E-2</v>
      </c>
      <c r="R5778">
        <v>-0.49113030000000002</v>
      </c>
      <c r="S5778">
        <v>2.1798099999999998</v>
      </c>
      <c r="T5778">
        <v>-0.26661499999999999</v>
      </c>
      <c r="U5778">
        <v>-2.236847</v>
      </c>
      <c r="V5778">
        <v>0.48672009999999999</v>
      </c>
      <c r="W5778">
        <v>-4.6201100000000002E-2</v>
      </c>
      <c r="X5778">
        <v>0.87233539999999998</v>
      </c>
      <c r="Y5778">
        <v>0.70969490000000002</v>
      </c>
      <c r="Z5778">
        <v>-4.1309680000000001E-2</v>
      </c>
      <c r="AA5778">
        <v>0.70329699999999995</v>
      </c>
      <c r="AB5778">
        <v>18</v>
      </c>
      <c r="AC5778">
        <v>9.0672999999999799</v>
      </c>
      <c r="AD5778">
        <v>-1.120428</v>
      </c>
      <c r="AE5778">
        <v>-9.3988650000000007</v>
      </c>
      <c r="AF5778">
        <v>9.2865625540870198</v>
      </c>
      <c r="AG5778">
        <v>-1.120428</v>
      </c>
      <c r="AH5778">
        <v>9.0460533475340608</v>
      </c>
      <c r="AI5778">
        <v>94.939488509876895</v>
      </c>
      <c r="AJ5778">
        <v>44.248368479335397</v>
      </c>
      <c r="AK5778">
        <v>13.012558708439601</v>
      </c>
      <c r="AL5778">
        <v>92.6480706158533</v>
      </c>
      <c r="AM5778">
        <v>60.840639186318697</v>
      </c>
      <c r="AN5778">
        <v>1.00000002373918</v>
      </c>
    </row>
    <row r="5779" spans="1:40" x14ac:dyDescent="0.25">
      <c r="A5779" t="str">
        <f>"20190303154634400"</f>
        <v>20190303154634400</v>
      </c>
      <c r="B5779" t="str">
        <f>"1551599194397077"</f>
        <v>1551599194397077</v>
      </c>
      <c r="C5779" t="s">
        <v>40</v>
      </c>
      <c r="D5779">
        <v>4.9253210000000003</v>
      </c>
      <c r="E5779">
        <v>0.60904130000000001</v>
      </c>
      <c r="F5779" t="s">
        <v>43</v>
      </c>
      <c r="G5779">
        <v>-304.62</v>
      </c>
      <c r="H5779">
        <v>-0.05</v>
      </c>
      <c r="I5779">
        <v>8.5662079999999996</v>
      </c>
      <c r="J5779">
        <v>-313.4932</v>
      </c>
      <c r="K5779">
        <v>1.070306</v>
      </c>
      <c r="L5779">
        <v>17.903659999999999</v>
      </c>
      <c r="M5779">
        <v>0.99987170000000003</v>
      </c>
      <c r="N5779">
        <v>-1.455891E-2</v>
      </c>
      <c r="O5779">
        <v>-6.6880359999999996E-3</v>
      </c>
      <c r="P5779">
        <v>0.86456480000000002</v>
      </c>
      <c r="Q5779">
        <v>-5.8030940000000003E-2</v>
      </c>
      <c r="R5779">
        <v>-0.49915949999999998</v>
      </c>
      <c r="S5779">
        <v>2.1622309999999998</v>
      </c>
      <c r="T5779">
        <v>-0.26994200000000002</v>
      </c>
      <c r="U5779">
        <v>-2.2502749999999998</v>
      </c>
      <c r="V5779">
        <v>0.49315619999999999</v>
      </c>
      <c r="W5779">
        <v>-4.7610310000000003E-2</v>
      </c>
      <c r="X5779">
        <v>0.86863699999999999</v>
      </c>
      <c r="Y5779">
        <v>0.71323740000000002</v>
      </c>
      <c r="Z5779">
        <v>-4.1908019999999997E-2</v>
      </c>
      <c r="AA5779">
        <v>0.69966859999999997</v>
      </c>
      <c r="AB5779">
        <v>18</v>
      </c>
      <c r="AC5779">
        <v>8.87319999999999</v>
      </c>
      <c r="AD5779">
        <v>-1.120306</v>
      </c>
      <c r="AE5779">
        <v>-9.3374520000000008</v>
      </c>
      <c r="AF5779">
        <v>9.20823844782905</v>
      </c>
      <c r="AG5779">
        <v>-1.120306</v>
      </c>
      <c r="AH5779">
        <v>8.8683740769885109</v>
      </c>
      <c r="AI5779">
        <v>95.008094347134801</v>
      </c>
      <c r="AJ5779">
        <v>43.922890002966298</v>
      </c>
      <c r="AK5779">
        <v>12.833347171144201</v>
      </c>
      <c r="AL5779">
        <v>92.728901416421607</v>
      </c>
      <c r="AM5779">
        <v>60.414877437526698</v>
      </c>
      <c r="AN5779">
        <v>1.00000000849286</v>
      </c>
    </row>
    <row r="5780" spans="1:40" x14ac:dyDescent="0.25">
      <c r="A5780" t="str">
        <f>"20190303154634413"</f>
        <v>20190303154634413</v>
      </c>
      <c r="B5780" t="str">
        <f>"1551599194407813"</f>
        <v>1551599194407813</v>
      </c>
      <c r="C5780" t="s">
        <v>40</v>
      </c>
      <c r="D5780">
        <v>4.9523429999999999</v>
      </c>
      <c r="E5780">
        <v>0.60904130000000001</v>
      </c>
      <c r="F5780" t="s">
        <v>43</v>
      </c>
      <c r="G5780">
        <v>-305.06330000000003</v>
      </c>
      <c r="H5780">
        <v>-0.05</v>
      </c>
      <c r="I5780">
        <v>9.0702510000000007</v>
      </c>
      <c r="J5780">
        <v>-313.39429999999999</v>
      </c>
      <c r="K5780">
        <v>1.070198</v>
      </c>
      <c r="L5780">
        <v>17.900790000000001</v>
      </c>
      <c r="M5780">
        <v>0.99985869999999999</v>
      </c>
      <c r="N5780">
        <v>-1.44846E-2</v>
      </c>
      <c r="O5780">
        <v>-8.5402450000000001E-3</v>
      </c>
      <c r="P5780">
        <v>0.85980129999999999</v>
      </c>
      <c r="Q5780">
        <v>-5.9142729999999998E-2</v>
      </c>
      <c r="R5780">
        <v>-0.50719259999999999</v>
      </c>
      <c r="S5780">
        <v>2.1500240000000002</v>
      </c>
      <c r="T5780">
        <v>-0.28573019999999999</v>
      </c>
      <c r="U5780">
        <v>-2.2529300000000001</v>
      </c>
      <c r="V5780">
        <v>0.4996139</v>
      </c>
      <c r="W5780">
        <v>-4.8883549999999998E-2</v>
      </c>
      <c r="X5780">
        <v>0.86486779999999996</v>
      </c>
      <c r="Y5780">
        <v>0.71397270000000002</v>
      </c>
      <c r="Z5780">
        <v>-4.3964879999999998E-2</v>
      </c>
      <c r="AA5780">
        <v>0.69879179999999996</v>
      </c>
      <c r="AB5780">
        <v>18</v>
      </c>
      <c r="AC5780">
        <v>8.3309999999999498</v>
      </c>
      <c r="AD5780">
        <v>-1.120198</v>
      </c>
      <c r="AE5780">
        <v>-8.8305389999999999</v>
      </c>
      <c r="AF5780">
        <v>8.6851146256262606</v>
      </c>
      <c r="AG5780">
        <v>-1.120198</v>
      </c>
      <c r="AH5780">
        <v>8.3351525758121596</v>
      </c>
      <c r="AI5780">
        <v>95.316493933611198</v>
      </c>
      <c r="AJ5780">
        <v>43.822079395814498</v>
      </c>
      <c r="AK5780">
        <v>12.0896992552147</v>
      </c>
      <c r="AL5780">
        <v>92.801937831448896</v>
      </c>
      <c r="AM5780">
        <v>59.985978458814301</v>
      </c>
      <c r="AN5780">
        <v>0.99999998100532606</v>
      </c>
    </row>
    <row r="5781" spans="1:40" x14ac:dyDescent="0.25">
      <c r="A5781" t="str">
        <f>"20190303154634425"</f>
        <v>20190303154634425</v>
      </c>
      <c r="B5781" t="str">
        <f>"1551599194417573"</f>
        <v>1551599194417573</v>
      </c>
      <c r="C5781" t="s">
        <v>40</v>
      </c>
      <c r="D5781">
        <v>4.9986550000000003</v>
      </c>
      <c r="E5781">
        <v>0.57698199999999999</v>
      </c>
      <c r="F5781" t="s">
        <v>43</v>
      </c>
      <c r="G5781">
        <v>-305.17869999999999</v>
      </c>
      <c r="H5781">
        <v>-0.05</v>
      </c>
      <c r="I5781">
        <v>9.128876</v>
      </c>
      <c r="J5781">
        <v>-313.29719999999998</v>
      </c>
      <c r="K5781">
        <v>1.070103</v>
      </c>
      <c r="L5781">
        <v>17.897829999999999</v>
      </c>
      <c r="M5781">
        <v>0.99984229999999996</v>
      </c>
      <c r="N5781">
        <v>-1.441459E-2</v>
      </c>
      <c r="O5781">
        <v>-1.037511E-2</v>
      </c>
      <c r="P5781">
        <v>0.85517169999999898</v>
      </c>
      <c r="Q5781">
        <v>-6.1235089999999999E-2</v>
      </c>
      <c r="R5781">
        <v>-0.51471520000000004</v>
      </c>
      <c r="S5781">
        <v>2.1285400000000001</v>
      </c>
      <c r="T5781">
        <v>-0.290226599999999</v>
      </c>
      <c r="U5781">
        <v>-2.272675</v>
      </c>
      <c r="V5781">
        <v>0.50558639999999999</v>
      </c>
      <c r="W5781">
        <v>-5.1129800000000003E-2</v>
      </c>
      <c r="X5781">
        <v>0.86125959999999901</v>
      </c>
      <c r="Y5781">
        <v>0.71907909999999997</v>
      </c>
      <c r="Z5781">
        <v>-4.4854640000000001E-2</v>
      </c>
      <c r="AA5781">
        <v>0.69347910000000001</v>
      </c>
      <c r="AB5781">
        <v>18</v>
      </c>
      <c r="AC5781">
        <v>8.1184999999999796</v>
      </c>
      <c r="AD5781">
        <v>-1.1201030000000001</v>
      </c>
      <c r="AE5781">
        <v>-8.7689539999999901</v>
      </c>
      <c r="AF5781">
        <v>8.6086106392356392</v>
      </c>
      <c r="AG5781">
        <v>-1.1201030000000001</v>
      </c>
      <c r="AH5781">
        <v>8.1375575557985798</v>
      </c>
      <c r="AI5781">
        <v>95.401558478645796</v>
      </c>
      <c r="AJ5781">
        <v>43.388751485747498</v>
      </c>
      <c r="AK5781">
        <v>11.8988508202475</v>
      </c>
      <c r="AL5781">
        <v>92.930799725881698</v>
      </c>
      <c r="AM5781">
        <v>59.585729370116603</v>
      </c>
      <c r="AN5781">
        <v>0.99999998145257896</v>
      </c>
    </row>
    <row r="5782" spans="1:40" x14ac:dyDescent="0.25">
      <c r="A5782" t="str">
        <f>"20190303154634440"</f>
        <v>20190303154634440</v>
      </c>
      <c r="B5782" t="str">
        <f>"1551599194437094"</f>
        <v>1551599194437094</v>
      </c>
      <c r="C5782" t="s">
        <v>40</v>
      </c>
      <c r="D5782">
        <v>4.9797969999999996</v>
      </c>
      <c r="E5782">
        <v>0.60192789999999996</v>
      </c>
      <c r="F5782" t="s">
        <v>43</v>
      </c>
      <c r="G5782">
        <v>-307.59500000000003</v>
      </c>
      <c r="H5782">
        <v>-0.05</v>
      </c>
      <c r="I5782">
        <v>12.59599</v>
      </c>
      <c r="J5782">
        <v>-313.17149999999998</v>
      </c>
      <c r="K5782">
        <v>1.0699730000000001</v>
      </c>
      <c r="L5782">
        <v>17.89368</v>
      </c>
      <c r="M5782">
        <v>0.99981540000000002</v>
      </c>
      <c r="N5782">
        <v>-1.433126E-2</v>
      </c>
      <c r="O5782">
        <v>-1.2793850000000001E-2</v>
      </c>
      <c r="P5782">
        <v>0.84701700000000002</v>
      </c>
      <c r="Q5782">
        <v>-6.4501000000000003E-2</v>
      </c>
      <c r="R5782">
        <v>-0.52763749999999998</v>
      </c>
      <c r="S5782">
        <v>2.229187</v>
      </c>
      <c r="T5782">
        <v>-0.4378842</v>
      </c>
      <c r="U5782">
        <v>-2.0726619999999998</v>
      </c>
      <c r="V5782">
        <v>0.51651099999999905</v>
      </c>
      <c r="W5782">
        <v>-5.4635780000000002E-2</v>
      </c>
      <c r="X5782">
        <v>0.85453579999999996</v>
      </c>
      <c r="Y5782">
        <v>0.6639948</v>
      </c>
      <c r="Z5782">
        <v>-5.8378760000000002E-2</v>
      </c>
      <c r="AA5782">
        <v>0.74545479999999997</v>
      </c>
      <c r="AB5782">
        <v>18</v>
      </c>
      <c r="AC5782">
        <v>5.5764999999999496</v>
      </c>
      <c r="AD5782">
        <v>-1.1199729999999899</v>
      </c>
      <c r="AE5782">
        <v>-5.2976900000000002</v>
      </c>
      <c r="AF5782">
        <v>5.1174075530710796</v>
      </c>
      <c r="AG5782">
        <v>-1.1199729999999899</v>
      </c>
      <c r="AH5782">
        <v>5.5266551328837696</v>
      </c>
      <c r="AI5782">
        <v>98.457587483632395</v>
      </c>
      <c r="AJ5782">
        <v>47.201848645104398</v>
      </c>
      <c r="AK5782">
        <v>7.6148615576902401</v>
      </c>
      <c r="AL5782">
        <v>93.131958929327894</v>
      </c>
      <c r="AM5782">
        <v>58.8497827757745</v>
      </c>
      <c r="AN5782">
        <v>1.0000000575294199</v>
      </c>
    </row>
    <row r="5783" spans="1:40" x14ac:dyDescent="0.25">
      <c r="A5783" t="str">
        <f>"20190303154634451"</f>
        <v>20190303154634451</v>
      </c>
      <c r="B5783" t="str">
        <f>"1551599194446854"</f>
        <v>1551599194446854</v>
      </c>
      <c r="C5783" t="s">
        <v>40</v>
      </c>
      <c r="D5783">
        <v>4.9683469999999996</v>
      </c>
      <c r="E5783">
        <v>0.60389209999999904</v>
      </c>
      <c r="F5783" t="s">
        <v>43</v>
      </c>
      <c r="G5783">
        <v>-300.55500000000001</v>
      </c>
      <c r="H5783">
        <v>-0.05</v>
      </c>
      <c r="I5783">
        <v>4.3076780000000001</v>
      </c>
      <c r="J5783">
        <v>-313.08640000000003</v>
      </c>
      <c r="K5783">
        <v>1.06989</v>
      </c>
      <c r="L5783">
        <v>17.89059</v>
      </c>
      <c r="M5783">
        <v>0.9997935</v>
      </c>
      <c r="N5783">
        <v>-1.4280869999999999E-2</v>
      </c>
      <c r="O5783">
        <v>-1.44697E-2</v>
      </c>
      <c r="P5783">
        <v>0.84284309999999996</v>
      </c>
      <c r="Q5783">
        <v>-6.643404E-2</v>
      </c>
      <c r="R5783">
        <v>-0.53404359999999995</v>
      </c>
      <c r="S5783">
        <v>2.1113279999999999</v>
      </c>
      <c r="T5783">
        <v>-0.1874228</v>
      </c>
      <c r="U5783">
        <v>-2.2735599999999998</v>
      </c>
      <c r="V5783">
        <v>0.52153349999999998</v>
      </c>
      <c r="W5783">
        <v>-5.6698039999999998E-2</v>
      </c>
      <c r="X5783">
        <v>0.85134489999999996</v>
      </c>
      <c r="Y5783">
        <v>0.72116759999999902</v>
      </c>
      <c r="Z5783">
        <v>-3.116004E-2</v>
      </c>
      <c r="AA5783">
        <v>0.69205950000000005</v>
      </c>
      <c r="AB5783">
        <v>18</v>
      </c>
      <c r="AC5783">
        <v>12.5314</v>
      </c>
      <c r="AD5783">
        <v>-1.1198900000000001</v>
      </c>
      <c r="AE5783">
        <v>-13.582912</v>
      </c>
      <c r="AF5783">
        <v>13.351118373460899</v>
      </c>
      <c r="AG5783">
        <v>-1.1198900000000001</v>
      </c>
      <c r="AH5783">
        <v>12.680085342071701</v>
      </c>
      <c r="AI5783">
        <v>93.480485634647295</v>
      </c>
      <c r="AJ5783">
        <v>43.523354960782903</v>
      </c>
      <c r="AK5783">
        <v>18.446980232994399</v>
      </c>
      <c r="AL5783">
        <v>93.250301430351598</v>
      </c>
      <c r="AM5783">
        <v>58.508383205529299</v>
      </c>
      <c r="AN5783">
        <v>0.99999999905905002</v>
      </c>
    </row>
    <row r="5784" spans="1:40" x14ac:dyDescent="0.25">
      <c r="A5784" t="str">
        <f>"20190303154634462"</f>
        <v>20190303154634462</v>
      </c>
      <c r="B5784" t="str">
        <f>"1551599194457589"</f>
        <v>1551599194457589</v>
      </c>
      <c r="C5784" t="s">
        <v>40</v>
      </c>
      <c r="D5784">
        <v>4.9609880000000004</v>
      </c>
      <c r="E5784">
        <v>0.604361699999999</v>
      </c>
      <c r="F5784" t="s">
        <v>43</v>
      </c>
      <c r="G5784">
        <v>-300.91460000000001</v>
      </c>
      <c r="H5784">
        <v>-0.05</v>
      </c>
      <c r="I5784">
        <v>4.4486689999999998</v>
      </c>
      <c r="J5784">
        <v>-312.99599999999998</v>
      </c>
      <c r="K5784">
        <v>1.069814</v>
      </c>
      <c r="L5784">
        <v>17.887270000000001</v>
      </c>
      <c r="M5784">
        <v>0.99976670000000001</v>
      </c>
      <c r="N5784">
        <v>-1.42284E-2</v>
      </c>
      <c r="O5784">
        <v>-1.6255220000000001E-2</v>
      </c>
      <c r="P5784">
        <v>0.83895599999999904</v>
      </c>
      <c r="Q5784">
        <v>-6.78951E-2</v>
      </c>
      <c r="R5784">
        <v>-0.53994759999999997</v>
      </c>
      <c r="S5784">
        <v>2.085175</v>
      </c>
      <c r="T5784">
        <v>-0.19185070000000001</v>
      </c>
      <c r="U5784">
        <v>-2.302765</v>
      </c>
      <c r="V5784">
        <v>0.52597090000000002</v>
      </c>
      <c r="W5784">
        <v>-5.828411E-2</v>
      </c>
      <c r="X5784">
        <v>0.84850319999999901</v>
      </c>
      <c r="Y5784">
        <v>0.7284931</v>
      </c>
      <c r="Z5784">
        <v>-3.2086770000000001E-2</v>
      </c>
      <c r="AA5784">
        <v>0.6843013</v>
      </c>
      <c r="AB5784">
        <v>18</v>
      </c>
      <c r="AC5784">
        <v>12.081399999999901</v>
      </c>
      <c r="AD5784">
        <v>-1.1198139999999901</v>
      </c>
      <c r="AE5784">
        <v>-13.438601</v>
      </c>
      <c r="AF5784">
        <v>13.189770363233499</v>
      </c>
      <c r="AG5784">
        <v>-1.1198139999999901</v>
      </c>
      <c r="AH5784">
        <v>12.2512279440811</v>
      </c>
      <c r="AI5784">
        <v>93.5595476370151</v>
      </c>
      <c r="AJ5784">
        <v>42.887262751994399</v>
      </c>
      <c r="AK5784">
        <v>18.036535470185601</v>
      </c>
      <c r="AL5784">
        <v>93.341326932066593</v>
      </c>
      <c r="AM5784">
        <v>58.206017927560801</v>
      </c>
      <c r="AN5784">
        <v>1.0000000527677599</v>
      </c>
    </row>
    <row r="5785" spans="1:40" x14ac:dyDescent="0.25">
      <c r="A5785" t="str">
        <f>"20190303154634473"</f>
        <v>20190303154634473</v>
      </c>
      <c r="B5785" t="str">
        <f>"1551599194467349"</f>
        <v>1551599194467349</v>
      </c>
      <c r="C5785" t="s">
        <v>40</v>
      </c>
      <c r="D5785">
        <v>5.0350409999999997</v>
      </c>
      <c r="E5785">
        <v>0.60252459999999997</v>
      </c>
      <c r="F5785" t="s">
        <v>43</v>
      </c>
      <c r="G5785">
        <v>-301.2396</v>
      </c>
      <c r="H5785">
        <v>-0.05</v>
      </c>
      <c r="I5785">
        <v>4.6869050000000003</v>
      </c>
      <c r="J5785">
        <v>-312.90249999999997</v>
      </c>
      <c r="K5785">
        <v>1.0697410000000001</v>
      </c>
      <c r="L5785">
        <v>17.883479999999999</v>
      </c>
      <c r="M5785">
        <v>0.99973469999999998</v>
      </c>
      <c r="N5785">
        <v>-1.4179819999999999E-2</v>
      </c>
      <c r="O5785">
        <v>-1.8148770000000002E-2</v>
      </c>
      <c r="P5785">
        <v>0.83502160000000003</v>
      </c>
      <c r="Q5785">
        <v>-6.8743020000000002E-2</v>
      </c>
      <c r="R5785">
        <v>-0.5459058</v>
      </c>
      <c r="S5785">
        <v>2.0665589999999998</v>
      </c>
      <c r="T5785">
        <v>-0.19684180000000001</v>
      </c>
      <c r="U5785">
        <v>-2.3203740000000002</v>
      </c>
      <c r="V5785">
        <v>0.53038629999999998</v>
      </c>
      <c r="W5785">
        <v>-5.925888E-2</v>
      </c>
      <c r="X5785">
        <v>0.84568239999999995</v>
      </c>
      <c r="Y5785">
        <v>0.73272910000000002</v>
      </c>
      <c r="Z5785">
        <v>-3.292047E-2</v>
      </c>
      <c r="AA5785">
        <v>0.67972369999999904</v>
      </c>
      <c r="AB5785">
        <v>18</v>
      </c>
      <c r="AC5785">
        <v>11.662899999999899</v>
      </c>
      <c r="AD5785">
        <v>-1.1197409999999901</v>
      </c>
      <c r="AE5785">
        <v>-13.196574999999999</v>
      </c>
      <c r="AF5785">
        <v>12.930443395766799</v>
      </c>
      <c r="AG5785">
        <v>-1.1197409999999901</v>
      </c>
      <c r="AH5785">
        <v>11.852592350402199</v>
      </c>
      <c r="AI5785">
        <v>93.652594586856793</v>
      </c>
      <c r="AJ5785">
        <v>42.509690779737802</v>
      </c>
      <c r="AK5785">
        <v>17.576522174282001</v>
      </c>
      <c r="AL5785">
        <v>93.397274085838902</v>
      </c>
      <c r="AM5785">
        <v>57.905312894929402</v>
      </c>
      <c r="AN5785">
        <v>0.99999998187815198</v>
      </c>
    </row>
    <row r="5786" spans="1:40" x14ac:dyDescent="0.25">
      <c r="A5786" t="str">
        <f>"20190303154634485"</f>
        <v>20190303154634485</v>
      </c>
      <c r="B5786" t="str">
        <f>"1551599194477109"</f>
        <v>1551599194477109</v>
      </c>
      <c r="C5786" t="s">
        <v>40</v>
      </c>
      <c r="D5786">
        <v>5.0399219999999998</v>
      </c>
      <c r="E5786">
        <v>0.60132439999999998</v>
      </c>
      <c r="F5786" t="s">
        <v>43</v>
      </c>
      <c r="G5786">
        <v>-303.20620000000002</v>
      </c>
      <c r="H5786">
        <v>-0.05</v>
      </c>
      <c r="I5786">
        <v>6.9237060000000001</v>
      </c>
      <c r="J5786">
        <v>-312.80770000000001</v>
      </c>
      <c r="K5786">
        <v>1.0696730000000001</v>
      </c>
      <c r="L5786">
        <v>17.879519999999999</v>
      </c>
      <c r="M5786">
        <v>0.99969850000000005</v>
      </c>
      <c r="N5786">
        <v>-1.4132840000000001E-2</v>
      </c>
      <c r="O5786">
        <v>-2.008658E-2</v>
      </c>
      <c r="P5786">
        <v>0.83119750000000003</v>
      </c>
      <c r="Q5786">
        <v>-7.0061219999999994E-2</v>
      </c>
      <c r="R5786">
        <v>-0.55154569999999903</v>
      </c>
      <c r="S5786">
        <v>2.0547789999999999</v>
      </c>
      <c r="T5786">
        <v>-0.23728969999999999</v>
      </c>
      <c r="U5786">
        <v>-2.32254</v>
      </c>
      <c r="V5786">
        <v>0.53445350000000003</v>
      </c>
      <c r="W5786">
        <v>-6.0700400000000002E-2</v>
      </c>
      <c r="X5786">
        <v>0.84301539999999997</v>
      </c>
      <c r="Y5786">
        <v>0.73292119999999905</v>
      </c>
      <c r="Z5786">
        <v>-3.829772E-2</v>
      </c>
      <c r="AA5786">
        <v>0.67923469999999997</v>
      </c>
      <c r="AB5786">
        <v>18</v>
      </c>
      <c r="AC5786">
        <v>9.6014999999999802</v>
      </c>
      <c r="AD5786">
        <v>-1.1196729999999999</v>
      </c>
      <c r="AE5786">
        <v>-10.955814</v>
      </c>
      <c r="AF5786">
        <v>10.6975276954136</v>
      </c>
      <c r="AG5786">
        <v>-1.1196729999999999</v>
      </c>
      <c r="AH5786">
        <v>9.7619809854951605</v>
      </c>
      <c r="AI5786">
        <v>94.420964013024204</v>
      </c>
      <c r="AJ5786">
        <v>42.381874335035498</v>
      </c>
      <c r="AK5786">
        <v>14.525392909737</v>
      </c>
      <c r="AL5786">
        <v>93.480015930522995</v>
      </c>
      <c r="AM5786">
        <v>57.626188055422602</v>
      </c>
      <c r="AN5786">
        <v>1.0000000234297799</v>
      </c>
    </row>
    <row r="5787" spans="1:40" x14ac:dyDescent="0.25">
      <c r="A5787" t="str">
        <f>"20190303154634498"</f>
        <v>20190303154634498</v>
      </c>
      <c r="B5787" t="str">
        <f>"1551599194486870"</f>
        <v>1551599194486870</v>
      </c>
      <c r="C5787" t="s">
        <v>40</v>
      </c>
      <c r="D5787">
        <v>5.0520449999999997</v>
      </c>
      <c r="E5787">
        <v>0.59998569999999996</v>
      </c>
      <c r="F5787" t="s">
        <v>43</v>
      </c>
      <c r="G5787">
        <v>-304.2364</v>
      </c>
      <c r="H5787">
        <v>-0.05</v>
      </c>
      <c r="I5787">
        <v>8.1053619999999995</v>
      </c>
      <c r="J5787">
        <v>-312.70420000000001</v>
      </c>
      <c r="K5787">
        <v>1.0695969999999999</v>
      </c>
      <c r="L5787">
        <v>17.874939999999999</v>
      </c>
      <c r="M5787">
        <v>0.99965349999999997</v>
      </c>
      <c r="N5787">
        <v>-1.408537E-2</v>
      </c>
      <c r="O5787">
        <v>-2.223845E-2</v>
      </c>
      <c r="P5787">
        <v>0.82737349999999998</v>
      </c>
      <c r="Q5787">
        <v>-7.077609E-2</v>
      </c>
      <c r="R5787">
        <v>-0.55717490000000003</v>
      </c>
      <c r="S5787">
        <v>2.0418090000000002</v>
      </c>
      <c r="T5787">
        <v>-0.2667216</v>
      </c>
      <c r="U5787">
        <v>-2.3283390000000002</v>
      </c>
      <c r="V5787">
        <v>0.53834530000000003</v>
      </c>
      <c r="W5787">
        <v>-6.154101E-2</v>
      </c>
      <c r="X5787">
        <v>0.84047430000000001</v>
      </c>
      <c r="Y5787">
        <v>0.73381799999999997</v>
      </c>
      <c r="Z5787">
        <v>-4.2197129999999999E-2</v>
      </c>
      <c r="AA5787">
        <v>0.67803440000000004</v>
      </c>
      <c r="AB5787">
        <v>18</v>
      </c>
      <c r="AC5787">
        <v>8.4678000000000093</v>
      </c>
      <c r="AD5787">
        <v>-1.119597</v>
      </c>
      <c r="AE5787">
        <v>-9.7695779999999992</v>
      </c>
      <c r="AF5787">
        <v>9.5075320684776905</v>
      </c>
      <c r="AG5787">
        <v>-1.119597</v>
      </c>
      <c r="AH5787">
        <v>8.6183555255999806</v>
      </c>
      <c r="AI5787">
        <v>94.986315843749097</v>
      </c>
      <c r="AJ5787">
        <v>42.191571703752302</v>
      </c>
      <c r="AK5787">
        <v>12.881099155009201</v>
      </c>
      <c r="AL5787">
        <v>93.528269622462005</v>
      </c>
      <c r="AM5787">
        <v>57.359398305836798</v>
      </c>
      <c r="AN5787">
        <v>1.0000000034521901</v>
      </c>
    </row>
    <row r="5788" spans="1:40" x14ac:dyDescent="0.25">
      <c r="A5788" t="str">
        <f>"20190303154634512"</f>
        <v>20190303154634512</v>
      </c>
      <c r="B5788" t="str">
        <f>"1551599194507366"</f>
        <v>1551599194507366</v>
      </c>
      <c r="C5788" t="s">
        <v>40</v>
      </c>
      <c r="D5788">
        <v>5.024858</v>
      </c>
      <c r="E5788">
        <v>0.59815469999999904</v>
      </c>
      <c r="F5788" t="s">
        <v>43</v>
      </c>
      <c r="G5788">
        <v>-304.72539999999998</v>
      </c>
      <c r="H5788">
        <v>-0.05</v>
      </c>
      <c r="I5788">
        <v>8.7066499999999998</v>
      </c>
      <c r="J5788">
        <v>-312.60160000000002</v>
      </c>
      <c r="K5788">
        <v>1.0695269999999999</v>
      </c>
      <c r="L5788">
        <v>17.870059999999999</v>
      </c>
      <c r="M5788">
        <v>0.99960320000000003</v>
      </c>
      <c r="N5788">
        <v>-1.4042860000000001E-2</v>
      </c>
      <c r="O5788">
        <v>-2.4419610000000001E-2</v>
      </c>
      <c r="P5788">
        <v>0.82375869999999995</v>
      </c>
      <c r="Q5788">
        <v>-7.1932049999999997E-2</v>
      </c>
      <c r="R5788">
        <v>-0.56235889999999999</v>
      </c>
      <c r="S5788">
        <v>2.0303960000000001</v>
      </c>
      <c r="T5788">
        <v>-0.28490969999999999</v>
      </c>
      <c r="U5788">
        <v>-2.3330989999999998</v>
      </c>
      <c r="V5788">
        <v>0.54177299999999995</v>
      </c>
      <c r="W5788">
        <v>-6.2815709999999997E-2</v>
      </c>
      <c r="X5788">
        <v>0.83817430000000004</v>
      </c>
      <c r="Y5788">
        <v>0.73449569999999997</v>
      </c>
      <c r="Z5788">
        <v>-4.455282E-2</v>
      </c>
      <c r="AA5788">
        <v>0.67714919999999901</v>
      </c>
      <c r="AB5788">
        <v>18</v>
      </c>
      <c r="AC5788">
        <v>7.8762000000000398</v>
      </c>
      <c r="AD5788">
        <v>-1.1195269999999999</v>
      </c>
      <c r="AE5788">
        <v>-9.1634100000000007</v>
      </c>
      <c r="AF5788">
        <v>8.8919920444433806</v>
      </c>
      <c r="AG5788">
        <v>-1.1195269999999999</v>
      </c>
      <c r="AH5788">
        <v>8.0287182820460892</v>
      </c>
      <c r="AI5788">
        <v>95.3386290563366</v>
      </c>
      <c r="AJ5788">
        <v>42.0793723180171</v>
      </c>
      <c r="AK5788">
        <v>12.0325051620447</v>
      </c>
      <c r="AL5788">
        <v>93.601446245175694</v>
      </c>
      <c r="AM5788">
        <v>57.1224751968725</v>
      </c>
      <c r="AN5788">
        <v>0.99999997706614596</v>
      </c>
    </row>
    <row r="5789" spans="1:40" x14ac:dyDescent="0.25">
      <c r="A5789" t="str">
        <f>"20190303154634525"</f>
        <v>20190303154634525</v>
      </c>
      <c r="B5789" t="str">
        <f>"1551599194517126"</f>
        <v>1551599194517126</v>
      </c>
      <c r="C5789" t="s">
        <v>40</v>
      </c>
      <c r="D5789">
        <v>5.0394119999999996</v>
      </c>
      <c r="E5789">
        <v>0.59741610000000001</v>
      </c>
      <c r="F5789" t="s">
        <v>43</v>
      </c>
      <c r="G5789">
        <v>-305.1311</v>
      </c>
      <c r="H5789">
        <v>-0.05</v>
      </c>
      <c r="I5789">
        <v>9.2512969999999992</v>
      </c>
      <c r="J5789">
        <v>-312.49299999999999</v>
      </c>
      <c r="K5789">
        <v>1.0694570000000001</v>
      </c>
      <c r="L5789">
        <v>17.86469</v>
      </c>
      <c r="M5789">
        <v>0.99954379999999998</v>
      </c>
      <c r="N5789">
        <v>-1.4000520000000001E-2</v>
      </c>
      <c r="O5789">
        <v>-2.6763800000000001E-2</v>
      </c>
      <c r="P5789">
        <v>0.82026769999999904</v>
      </c>
      <c r="Q5789">
        <v>-7.2608069999999997E-2</v>
      </c>
      <c r="R5789">
        <v>-0.56735309999999906</v>
      </c>
      <c r="S5789">
        <v>2.022491</v>
      </c>
      <c r="T5789">
        <v>-0.30308780000000002</v>
      </c>
      <c r="U5789">
        <v>-2.3333439999999999</v>
      </c>
      <c r="V5789">
        <v>0.54488519999999996</v>
      </c>
      <c r="W5789">
        <v>-6.3610620000000007E-2</v>
      </c>
      <c r="X5789">
        <v>0.83609439999999902</v>
      </c>
      <c r="Y5789">
        <v>0.73382569999999903</v>
      </c>
      <c r="Z5789">
        <v>-4.6760370000000002E-2</v>
      </c>
      <c r="AA5789">
        <v>0.67772659999999996</v>
      </c>
      <c r="AB5789">
        <v>18</v>
      </c>
      <c r="AC5789">
        <v>7.3618999999999897</v>
      </c>
      <c r="AD5789">
        <v>-1.1194569999999999</v>
      </c>
      <c r="AE5789">
        <v>-8.6133929999999896</v>
      </c>
      <c r="AF5789">
        <v>8.3319280841891992</v>
      </c>
      <c r="AG5789">
        <v>-1.1194569999999999</v>
      </c>
      <c r="AH5789">
        <v>7.5164447597728801</v>
      </c>
      <c r="AI5789">
        <v>95.697070806542499</v>
      </c>
      <c r="AJ5789">
        <v>42.0544242916801</v>
      </c>
      <c r="AK5789">
        <v>11.277018728443499</v>
      </c>
      <c r="AL5789">
        <v>93.647082352966706</v>
      </c>
      <c r="AM5789">
        <v>56.907593374187599</v>
      </c>
      <c r="AN5789">
        <v>1.00000001893359</v>
      </c>
    </row>
    <row r="5790" spans="1:40" x14ac:dyDescent="0.25">
      <c r="A5790" t="str">
        <f>"20190303154634542"</f>
        <v>20190303154634542</v>
      </c>
      <c r="B5790" t="str">
        <f>"1551599194537621"</f>
        <v>1551599194537621</v>
      </c>
      <c r="C5790" t="s">
        <v>40</v>
      </c>
      <c r="D5790">
        <v>5.0485579999999999</v>
      </c>
      <c r="E5790">
        <v>0.59548630000000002</v>
      </c>
      <c r="F5790" t="s">
        <v>43</v>
      </c>
      <c r="G5790">
        <v>-305.22879999999998</v>
      </c>
      <c r="H5790">
        <v>-0.05</v>
      </c>
      <c r="I5790">
        <v>9.410202</v>
      </c>
      <c r="J5790">
        <v>-312.35700000000003</v>
      </c>
      <c r="K5790">
        <v>1.0693649999999999</v>
      </c>
      <c r="L5790">
        <v>17.85754</v>
      </c>
      <c r="M5790">
        <v>0.99945930000000005</v>
      </c>
      <c r="N5790">
        <v>-1.395278E-2</v>
      </c>
      <c r="O5790">
        <v>-2.977519E-2</v>
      </c>
      <c r="P5790">
        <v>0.81459579999999998</v>
      </c>
      <c r="Q5790">
        <v>-7.4440809999999996E-2</v>
      </c>
      <c r="R5790">
        <v>-0.57523250000000004</v>
      </c>
      <c r="S5790">
        <v>2.0110169999999998</v>
      </c>
      <c r="T5790">
        <v>-0.3099073</v>
      </c>
      <c r="U5790">
        <v>-2.3405149999999999</v>
      </c>
      <c r="V5790">
        <v>0.55039539999999998</v>
      </c>
      <c r="W5790">
        <v>-6.5619549999999999E-2</v>
      </c>
      <c r="X5790">
        <v>0.83232150000000005</v>
      </c>
      <c r="Y5790">
        <v>0.73455550000000003</v>
      </c>
      <c r="Z5790">
        <v>-4.7480229999999998E-2</v>
      </c>
      <c r="AA5790">
        <v>0.67688539999999997</v>
      </c>
      <c r="AB5790">
        <v>18</v>
      </c>
      <c r="AC5790">
        <v>7.1282000000000396</v>
      </c>
      <c r="AD5790">
        <v>-1.1193649999999999</v>
      </c>
      <c r="AE5790">
        <v>-8.4473380000000002</v>
      </c>
      <c r="AF5790">
        <v>8.1477632611328907</v>
      </c>
      <c r="AG5790">
        <v>-1.1193649999999999</v>
      </c>
      <c r="AH5790">
        <v>7.3016973328105603</v>
      </c>
      <c r="AI5790">
        <v>95.841673326461006</v>
      </c>
      <c r="AJ5790">
        <v>41.865415904812203</v>
      </c>
      <c r="AK5790">
        <v>10.997900167880401</v>
      </c>
      <c r="AL5790">
        <v>93.762426501083894</v>
      </c>
      <c r="AM5790">
        <v>56.524236723741303</v>
      </c>
      <c r="AN5790">
        <v>1.0000000505227999</v>
      </c>
    </row>
    <row r="5791" spans="1:40" x14ac:dyDescent="0.25">
      <c r="A5791" t="str">
        <f>"20190303154634565"</f>
        <v>20190303154634565</v>
      </c>
      <c r="B5791" t="str">
        <f>"1551599194557142"</f>
        <v>1551599194557142</v>
      </c>
      <c r="C5791" t="s">
        <v>40</v>
      </c>
      <c r="D5791">
        <v>5.0767179999999996</v>
      </c>
      <c r="E5791">
        <v>0.59402159999999904</v>
      </c>
      <c r="F5791" t="s">
        <v>43</v>
      </c>
      <c r="G5791">
        <v>-305.51209999999998</v>
      </c>
      <c r="H5791">
        <v>-0.05</v>
      </c>
      <c r="I5791">
        <v>9.8079219999999996</v>
      </c>
      <c r="J5791">
        <v>-312.1746</v>
      </c>
      <c r="K5791">
        <v>1.0692410000000001</v>
      </c>
      <c r="L5791">
        <v>17.847079999999998</v>
      </c>
      <c r="M5791">
        <v>0.99932650000000001</v>
      </c>
      <c r="N5791">
        <v>-1.389817E-2</v>
      </c>
      <c r="O5791">
        <v>-3.3962979999999997E-2</v>
      </c>
      <c r="P5791">
        <v>0.80944989999999895</v>
      </c>
      <c r="Q5791">
        <v>-7.568482E-2</v>
      </c>
      <c r="R5791">
        <v>-0.58229140000000001</v>
      </c>
      <c r="S5791">
        <v>1.9956970000000001</v>
      </c>
      <c r="T5791">
        <v>-0.32635920000000002</v>
      </c>
      <c r="U5791">
        <v>-2.346924</v>
      </c>
      <c r="V5791">
        <v>0.55411899999999903</v>
      </c>
      <c r="W5791">
        <v>-6.7049880000000006E-2</v>
      </c>
      <c r="X5791">
        <v>0.82973269999999899</v>
      </c>
      <c r="Y5791">
        <v>0.73478049999999995</v>
      </c>
      <c r="Z5791">
        <v>-4.9330480000000003E-2</v>
      </c>
      <c r="AA5791">
        <v>0.67650880000000002</v>
      </c>
      <c r="AB5791">
        <v>18</v>
      </c>
      <c r="AC5791">
        <v>6.6625000000000201</v>
      </c>
      <c r="AD5791">
        <v>-1.1192409999999999</v>
      </c>
      <c r="AE5791">
        <v>-8.0391579999999898</v>
      </c>
      <c r="AF5791">
        <v>7.71951505847509</v>
      </c>
      <c r="AG5791">
        <v>-1.1192409999999999</v>
      </c>
      <c r="AH5791">
        <v>6.8529691119610998</v>
      </c>
      <c r="AI5791">
        <v>96.188249971950498</v>
      </c>
      <c r="AJ5791">
        <v>41.596940636403502</v>
      </c>
      <c r="AK5791">
        <v>10.383005287661</v>
      </c>
      <c r="AL5791">
        <v>93.844559655236793</v>
      </c>
      <c r="AM5791">
        <v>56.2638784411606</v>
      </c>
      <c r="AN5791">
        <v>0.99999995300915001</v>
      </c>
    </row>
    <row r="5792" spans="1:40" x14ac:dyDescent="0.25">
      <c r="A5792" t="str">
        <f>"20190303154634577"</f>
        <v>20190303154634577</v>
      </c>
      <c r="B5792" t="str">
        <f>"1551599194567877"</f>
        <v>1551599194567877</v>
      </c>
      <c r="C5792" t="s">
        <v>40</v>
      </c>
      <c r="D5792">
        <v>5.0555370000000002</v>
      </c>
      <c r="E5792">
        <v>0.59320280000000003</v>
      </c>
      <c r="F5792" t="s">
        <v>43</v>
      </c>
      <c r="G5792">
        <v>-305.5376</v>
      </c>
      <c r="H5792">
        <v>-0.05</v>
      </c>
      <c r="I5792">
        <v>9.9605259999999998</v>
      </c>
      <c r="J5792">
        <v>-312.07369999999997</v>
      </c>
      <c r="K5792">
        <v>1.0691790000000001</v>
      </c>
      <c r="L5792">
        <v>17.840910000000001</v>
      </c>
      <c r="M5792">
        <v>0.9992432</v>
      </c>
      <c r="N5792">
        <v>-1.387159E-2</v>
      </c>
      <c r="O5792">
        <v>-3.6340879999999999E-2</v>
      </c>
      <c r="P5792">
        <v>0.80672559999999904</v>
      </c>
      <c r="Q5792">
        <v>-7.6580540000000002E-2</v>
      </c>
      <c r="R5792">
        <v>-0.58594360000000001</v>
      </c>
      <c r="S5792">
        <v>1.9813540000000001</v>
      </c>
      <c r="T5792">
        <v>-0.33412709999999901</v>
      </c>
      <c r="U5792">
        <v>-2.3543699999999999</v>
      </c>
      <c r="V5792">
        <v>0.55588329999999997</v>
      </c>
      <c r="W5792">
        <v>-6.8044129999999994E-2</v>
      </c>
      <c r="X5792">
        <v>0.82847079999999995</v>
      </c>
      <c r="Y5792">
        <v>0.73641239999999997</v>
      </c>
      <c r="Z5792">
        <v>-5.0333570000000001E-2</v>
      </c>
      <c r="AA5792">
        <v>0.67465790000000003</v>
      </c>
      <c r="AB5792">
        <v>18</v>
      </c>
      <c r="AC5792">
        <v>6.53609999999997</v>
      </c>
      <c r="AD5792">
        <v>-1.1191789999999999</v>
      </c>
      <c r="AE5792">
        <v>-7.8803840000000003</v>
      </c>
      <c r="AF5792">
        <v>7.5474388553898804</v>
      </c>
      <c r="AG5792">
        <v>-1.1191789999999999</v>
      </c>
      <c r="AH5792">
        <v>6.7376773678267599</v>
      </c>
      <c r="AI5792">
        <v>96.312401800664801</v>
      </c>
      <c r="AJ5792">
        <v>41.755621979208897</v>
      </c>
      <c r="AK5792">
        <v>10.1790319393749</v>
      </c>
      <c r="AL5792">
        <v>93.901655987742899</v>
      </c>
      <c r="AM5792">
        <v>56.139371436208897</v>
      </c>
      <c r="AN5792">
        <v>1.00000005664949</v>
      </c>
    </row>
    <row r="5793" spans="1:40" x14ac:dyDescent="0.25">
      <c r="A5793" t="str">
        <f>"20190303154634589"</f>
        <v>20190303154634589</v>
      </c>
      <c r="B5793" t="str">
        <f>"1551599194577638"</f>
        <v>1551599194577638</v>
      </c>
      <c r="C5793" t="s">
        <v>40</v>
      </c>
      <c r="D5793">
        <v>5.0430769999999896</v>
      </c>
      <c r="E5793">
        <v>0.59254549999999995</v>
      </c>
      <c r="F5793" t="s">
        <v>43</v>
      </c>
      <c r="G5793">
        <v>-305.57</v>
      </c>
      <c r="H5793">
        <v>-0.05</v>
      </c>
      <c r="I5793">
        <v>10.07306</v>
      </c>
      <c r="J5793">
        <v>-311.9803</v>
      </c>
      <c r="K5793">
        <v>1.0691200000000001</v>
      </c>
      <c r="L5793">
        <v>17.834900000000001</v>
      </c>
      <c r="M5793">
        <v>0.99915920000000003</v>
      </c>
      <c r="N5793">
        <v>-1.384936E-2</v>
      </c>
      <c r="O5793">
        <v>-3.8589459999999999E-2</v>
      </c>
      <c r="P5793">
        <v>0.80449340000000003</v>
      </c>
      <c r="Q5793">
        <v>-7.713979E-2</v>
      </c>
      <c r="R5793">
        <v>-0.58893099999999998</v>
      </c>
      <c r="S5793">
        <v>1.97403</v>
      </c>
      <c r="T5793">
        <v>-0.33969719999999998</v>
      </c>
      <c r="U5793">
        <v>-2.3577270000000001</v>
      </c>
      <c r="V5793">
        <v>0.55708219999999997</v>
      </c>
      <c r="W5793">
        <v>-6.8687739999999997E-2</v>
      </c>
      <c r="X5793">
        <v>0.82761189999999996</v>
      </c>
      <c r="Y5793">
        <v>0.73645669999999996</v>
      </c>
      <c r="Z5793">
        <v>-5.0865519999999997E-2</v>
      </c>
      <c r="AA5793">
        <v>0.67456969999999905</v>
      </c>
      <c r="AB5793">
        <v>18</v>
      </c>
      <c r="AC5793">
        <v>6.4103000000000003</v>
      </c>
      <c r="AD5793">
        <v>-1.1191199999999999</v>
      </c>
      <c r="AE5793">
        <v>-7.7618400000000003</v>
      </c>
      <c r="AF5793">
        <v>7.4169976618498001</v>
      </c>
      <c r="AG5793">
        <v>-1.1191199999999999</v>
      </c>
      <c r="AH5793">
        <v>6.6232224250843403</v>
      </c>
      <c r="AI5793">
        <v>96.421311887471006</v>
      </c>
      <c r="AJ5793">
        <v>41.764181221035003</v>
      </c>
      <c r="AK5793">
        <v>10.0065658036324</v>
      </c>
      <c r="AL5793">
        <v>93.938618748092097</v>
      </c>
      <c r="AM5793">
        <v>56.0547107007432</v>
      </c>
      <c r="AN5793">
        <v>1.00000002010237</v>
      </c>
    </row>
    <row r="5794" spans="1:40" x14ac:dyDescent="0.25">
      <c r="A5794" t="str">
        <f>"20190303154634602"</f>
        <v>20190303154634602</v>
      </c>
      <c r="B5794" t="str">
        <f>"1551599194597157"</f>
        <v>1551599194597157</v>
      </c>
      <c r="C5794" t="s">
        <v>40</v>
      </c>
      <c r="D5794">
        <v>5.0230139999999999</v>
      </c>
      <c r="E5794">
        <v>0.59226389999999995</v>
      </c>
      <c r="F5794" t="s">
        <v>43</v>
      </c>
      <c r="G5794">
        <v>-305.51909999999998</v>
      </c>
      <c r="H5794">
        <v>-0.05</v>
      </c>
      <c r="I5794">
        <v>10.08484</v>
      </c>
      <c r="J5794">
        <v>-311.88389999999998</v>
      </c>
      <c r="K5794">
        <v>1.0690649999999999</v>
      </c>
      <c r="L5794">
        <v>17.82855</v>
      </c>
      <c r="M5794">
        <v>0.99906620000000002</v>
      </c>
      <c r="N5794">
        <v>-1.382748E-2</v>
      </c>
      <c r="O5794">
        <v>-4.0932969999999999E-2</v>
      </c>
      <c r="P5794">
        <v>0.80214430000000003</v>
      </c>
      <c r="Q5794">
        <v>-7.8225169999999997E-2</v>
      </c>
      <c r="R5794">
        <v>-0.59198439999999997</v>
      </c>
      <c r="S5794">
        <v>1.96817</v>
      </c>
      <c r="T5794">
        <v>-0.34089950000000002</v>
      </c>
      <c r="U5794">
        <v>-2.360779</v>
      </c>
      <c r="V5794">
        <v>0.55827640000000001</v>
      </c>
      <c r="W5794">
        <v>-6.9860270000000002E-2</v>
      </c>
      <c r="X5794">
        <v>0.82670859999999902</v>
      </c>
      <c r="Y5794">
        <v>0.73627189999999998</v>
      </c>
      <c r="Z5794">
        <v>-5.0778610000000002E-2</v>
      </c>
      <c r="AA5794">
        <v>0.67477790000000004</v>
      </c>
      <c r="AB5794">
        <v>18</v>
      </c>
      <c r="AC5794">
        <v>6.3647999999999998</v>
      </c>
      <c r="AD5794">
        <v>-1.119065</v>
      </c>
      <c r="AE5794">
        <v>-7.7437100000000001</v>
      </c>
      <c r="AF5794">
        <v>7.3846233746953196</v>
      </c>
      <c r="AG5794">
        <v>-1.119065</v>
      </c>
      <c r="AH5794">
        <v>6.5942783865170496</v>
      </c>
      <c r="AI5794">
        <v>96.448926890264204</v>
      </c>
      <c r="AJ5794">
        <v>41.764032368859702</v>
      </c>
      <c r="AK5794">
        <v>9.9634068620731995</v>
      </c>
      <c r="AL5794">
        <v>94.005961419741098</v>
      </c>
      <c r="AM5794">
        <v>55.9688392393181</v>
      </c>
      <c r="AN5794">
        <v>1.00000005271769</v>
      </c>
    </row>
    <row r="5795" spans="1:40" x14ac:dyDescent="0.25">
      <c r="A5795" t="str">
        <f>"20190303154634612"</f>
        <v>20190303154634612</v>
      </c>
      <c r="B5795" t="str">
        <f>"1551599194606917"</f>
        <v>1551599194606917</v>
      </c>
      <c r="C5795" t="s">
        <v>40</v>
      </c>
      <c r="D5795">
        <v>5.0219870000000002</v>
      </c>
      <c r="E5795">
        <v>0.59162579999999998</v>
      </c>
      <c r="F5795" t="s">
        <v>43</v>
      </c>
      <c r="G5795">
        <v>-304.99919999999997</v>
      </c>
      <c r="H5795">
        <v>-0.05</v>
      </c>
      <c r="I5795">
        <v>9.5251459999999994</v>
      </c>
      <c r="J5795">
        <v>-311.78930000000003</v>
      </c>
      <c r="K5795">
        <v>1.069002</v>
      </c>
      <c r="L5795">
        <v>17.821870000000001</v>
      </c>
      <c r="M5795">
        <v>0.9989654</v>
      </c>
      <c r="N5795">
        <v>-1.380954E-2</v>
      </c>
      <c r="O5795">
        <v>-4.3328709999999999E-2</v>
      </c>
      <c r="P5795">
        <v>0.7996936</v>
      </c>
      <c r="Q5795">
        <v>-7.8700790000000007E-2</v>
      </c>
      <c r="R5795">
        <v>-0.59522790000000003</v>
      </c>
      <c r="S5795">
        <v>1.96228</v>
      </c>
      <c r="T5795">
        <v>-0.31895649999999998</v>
      </c>
      <c r="U5795">
        <v>-2.366638</v>
      </c>
      <c r="V5795">
        <v>0.55963090000000004</v>
      </c>
      <c r="W5795">
        <v>-7.0434410000000003E-2</v>
      </c>
      <c r="X5795">
        <v>0.82574360000000002</v>
      </c>
      <c r="Y5795">
        <v>0.73705050000000005</v>
      </c>
      <c r="Z5795">
        <v>-4.7779700000000001E-2</v>
      </c>
      <c r="AA5795">
        <v>0.67414659999999904</v>
      </c>
      <c r="AB5795">
        <v>18</v>
      </c>
      <c r="AC5795">
        <v>6.7901000000000504</v>
      </c>
      <c r="AD5795">
        <v>-1.1190020000000001</v>
      </c>
      <c r="AE5795">
        <v>-8.2967239999999993</v>
      </c>
      <c r="AF5795">
        <v>7.9085410178895801</v>
      </c>
      <c r="AG5795">
        <v>-1.1190020000000001</v>
      </c>
      <c r="AH5795">
        <v>7.0662629380691202</v>
      </c>
      <c r="AI5795">
        <v>96.023065177366902</v>
      </c>
      <c r="AJ5795">
        <v>41.780713514694703</v>
      </c>
      <c r="AK5795">
        <v>10.6643920791377</v>
      </c>
      <c r="AL5795">
        <v>94.038938172717096</v>
      </c>
      <c r="AM5795">
        <v>55.8733434776412</v>
      </c>
      <c r="AN5795">
        <v>1.0000001216439001</v>
      </c>
    </row>
    <row r="5796" spans="1:40" x14ac:dyDescent="0.25">
      <c r="A5796" t="str">
        <f>"20190303154634624"</f>
        <v>20190303154634624</v>
      </c>
      <c r="B5796" t="str">
        <f>"1551599194617654"</f>
        <v>1551599194617654</v>
      </c>
      <c r="C5796" t="s">
        <v>40</v>
      </c>
      <c r="D5796">
        <v>5.0237569999999998</v>
      </c>
      <c r="E5796">
        <v>0.59105319999999995</v>
      </c>
      <c r="F5796" t="s">
        <v>43</v>
      </c>
      <c r="G5796">
        <v>-304.99270000000001</v>
      </c>
      <c r="H5796">
        <v>-0.05</v>
      </c>
      <c r="I5796">
        <v>9.5830990000000007</v>
      </c>
      <c r="J5796">
        <v>-311.70139999999998</v>
      </c>
      <c r="K5796">
        <v>1.0689519999999999</v>
      </c>
      <c r="L5796">
        <v>17.815519999999999</v>
      </c>
      <c r="M5796">
        <v>0.99886549999999996</v>
      </c>
      <c r="N5796">
        <v>-1.3793649999999999E-2</v>
      </c>
      <c r="O5796">
        <v>-4.5578550000000002E-2</v>
      </c>
      <c r="P5796">
        <v>0.79717329999999997</v>
      </c>
      <c r="Q5796">
        <v>-7.879543E-2</v>
      </c>
      <c r="R5796">
        <v>-0.59858710000000004</v>
      </c>
      <c r="S5796">
        <v>1.955444</v>
      </c>
      <c r="T5796">
        <v>-0.32194630000000002</v>
      </c>
      <c r="U5796">
        <v>-2.3703609999999999</v>
      </c>
      <c r="V5796">
        <v>0.5612338</v>
      </c>
      <c r="W5796">
        <v>-7.0627800000000004E-2</v>
      </c>
      <c r="X5796">
        <v>0.82463829999999905</v>
      </c>
      <c r="Y5796">
        <v>0.73714029999999997</v>
      </c>
      <c r="Z5796">
        <v>-4.7976640000000001E-2</v>
      </c>
      <c r="AA5796">
        <v>0.67403440000000003</v>
      </c>
      <c r="AB5796">
        <v>18</v>
      </c>
      <c r="AC5796">
        <v>6.7086999999999604</v>
      </c>
      <c r="AD5796">
        <v>-1.1189519999999999</v>
      </c>
      <c r="AE5796">
        <v>-8.2324210000000004</v>
      </c>
      <c r="AF5796">
        <v>7.8311224800265702</v>
      </c>
      <c r="AG5796">
        <v>-1.1189519999999999</v>
      </c>
      <c r="AH5796">
        <v>6.9992796818647598</v>
      </c>
      <c r="AI5796">
        <v>96.081056679805002</v>
      </c>
      <c r="AJ5796">
        <v>41.789622255694702</v>
      </c>
      <c r="AK5796">
        <v>10.5625966949631</v>
      </c>
      <c r="AL5796">
        <v>94.050046779311003</v>
      </c>
      <c r="AM5796">
        <v>55.761510409893098</v>
      </c>
      <c r="AN5796">
        <v>0.99999999511108495</v>
      </c>
    </row>
    <row r="5797" spans="1:40" x14ac:dyDescent="0.25">
      <c r="A5797" t="str">
        <f>"20190303154634635"</f>
        <v>20190303154634635</v>
      </c>
      <c r="B5797" t="str">
        <f>"1551599194627413"</f>
        <v>1551599194627413</v>
      </c>
      <c r="C5797" t="s">
        <v>40</v>
      </c>
      <c r="D5797">
        <v>5.0229549999999996</v>
      </c>
      <c r="E5797">
        <v>0.59065599999999996</v>
      </c>
      <c r="F5797" t="s">
        <v>43</v>
      </c>
      <c r="G5797">
        <v>-304.9692</v>
      </c>
      <c r="H5797">
        <v>-0.05</v>
      </c>
      <c r="I5797">
        <v>9.6074219999999997</v>
      </c>
      <c r="J5797">
        <v>-311.60860000000002</v>
      </c>
      <c r="K5797">
        <v>1.0688879999999901</v>
      </c>
      <c r="L5797">
        <v>17.80847</v>
      </c>
      <c r="M5797">
        <v>0.9987511</v>
      </c>
      <c r="N5797">
        <v>-1.377953E-2</v>
      </c>
      <c r="O5797">
        <v>-4.8026260000000001E-2</v>
      </c>
      <c r="P5797">
        <v>0.79415329999999995</v>
      </c>
      <c r="Q5797">
        <v>-7.8088179999999993E-2</v>
      </c>
      <c r="R5797">
        <v>-0.60268009999999905</v>
      </c>
      <c r="S5797">
        <v>1.947937</v>
      </c>
      <c r="T5797">
        <v>-0.32376709999999997</v>
      </c>
      <c r="U5797">
        <v>-2.375</v>
      </c>
      <c r="V5797">
        <v>0.56344169999999905</v>
      </c>
      <c r="W5797">
        <v>-7.0038160000000002E-2</v>
      </c>
      <c r="X5797">
        <v>0.82318169999999902</v>
      </c>
      <c r="Y5797">
        <v>0.73736919999999995</v>
      </c>
      <c r="Z5797">
        <v>-4.8012890000000003E-2</v>
      </c>
      <c r="AA5797">
        <v>0.67378149999999903</v>
      </c>
      <c r="AB5797">
        <v>18</v>
      </c>
      <c r="AC5797">
        <v>6.6394000000000197</v>
      </c>
      <c r="AD5797">
        <v>-1.1188880000000001</v>
      </c>
      <c r="AE5797">
        <v>-8.2010480000000001</v>
      </c>
      <c r="AF5797">
        <v>7.7851496066173498</v>
      </c>
      <c r="AG5797">
        <v>-1.1188880000000001</v>
      </c>
      <c r="AH5797">
        <v>6.9475212276993297</v>
      </c>
      <c r="AI5797">
        <v>96.120482063048598</v>
      </c>
      <c r="AJ5797">
        <v>41.745942445110202</v>
      </c>
      <c r="AK5797">
        <v>10.4942134513879</v>
      </c>
      <c r="AL5797">
        <v>94.016178995618702</v>
      </c>
      <c r="AM5797">
        <v>55.609600345018798</v>
      </c>
      <c r="AN5797">
        <v>1.00000000218498</v>
      </c>
    </row>
    <row r="5798" spans="1:40" x14ac:dyDescent="0.25">
      <c r="A5798" t="str">
        <f>"20190303154634646"</f>
        <v>20190303154634646</v>
      </c>
      <c r="B5798" t="str">
        <f>"1551599194637174"</f>
        <v>1551599194637174</v>
      </c>
      <c r="C5798" t="s">
        <v>40</v>
      </c>
      <c r="D5798">
        <v>4.9815829999999997</v>
      </c>
      <c r="E5798">
        <v>0.59035409999999999</v>
      </c>
      <c r="F5798" t="s">
        <v>43</v>
      </c>
      <c r="G5798">
        <v>-304.82299999999998</v>
      </c>
      <c r="H5798">
        <v>-0.05</v>
      </c>
      <c r="I5798">
        <v>9.4683069999999994</v>
      </c>
      <c r="J5798">
        <v>-311.52229999999997</v>
      </c>
      <c r="K5798">
        <v>1.068832</v>
      </c>
      <c r="L5798">
        <v>17.8017</v>
      </c>
      <c r="M5798">
        <v>0.99863679999999999</v>
      </c>
      <c r="N5798">
        <v>-1.376807E-2</v>
      </c>
      <c r="O5798">
        <v>-5.0347280000000001E-2</v>
      </c>
      <c r="P5798">
        <v>0.79053589999999996</v>
      </c>
      <c r="Q5798">
        <v>-7.7521329999999999E-2</v>
      </c>
      <c r="R5798">
        <v>-0.60748970000000002</v>
      </c>
      <c r="S5798">
        <v>1.9382630000000001</v>
      </c>
      <c r="T5798">
        <v>-0.31960450000000001</v>
      </c>
      <c r="U5798">
        <v>-2.3823240000000001</v>
      </c>
      <c r="V5798">
        <v>0.56650909999999999</v>
      </c>
      <c r="W5798">
        <v>-6.9600809999999999E-2</v>
      </c>
      <c r="X5798">
        <v>0.82111100000000004</v>
      </c>
      <c r="Y5798">
        <v>0.73856630000000001</v>
      </c>
      <c r="Z5798">
        <v>-4.7392179999999999E-2</v>
      </c>
      <c r="AA5798">
        <v>0.67251309999999997</v>
      </c>
      <c r="AB5798">
        <v>18</v>
      </c>
      <c r="AC5798">
        <v>6.6992999999999903</v>
      </c>
      <c r="AD5798">
        <v>-1.118832</v>
      </c>
      <c r="AE5798">
        <v>-8.3333929999999992</v>
      </c>
      <c r="AF5798">
        <v>7.8990105470909198</v>
      </c>
      <c r="AG5798">
        <v>-1.118832</v>
      </c>
      <c r="AH5798">
        <v>7.0333951851158503</v>
      </c>
      <c r="AI5798">
        <v>96.038541913038401</v>
      </c>
      <c r="AJ5798">
        <v>41.682338708079499</v>
      </c>
      <c r="AK5798">
        <v>10.635544203156099</v>
      </c>
      <c r="AL5798">
        <v>93.991059179415004</v>
      </c>
      <c r="AM5798">
        <v>55.397042210876201</v>
      </c>
      <c r="AN5798">
        <v>1.0000000537282301</v>
      </c>
    </row>
    <row r="5799" spans="1:40" x14ac:dyDescent="0.25">
      <c r="A5799" t="str">
        <f>"20190303154634664"</f>
        <v>20190303154634664</v>
      </c>
      <c r="B5799" t="str">
        <f>"1551599194657673"</f>
        <v>1551599194657673</v>
      </c>
      <c r="C5799" t="s">
        <v>40</v>
      </c>
      <c r="D5799">
        <v>5.3662390000000002</v>
      </c>
      <c r="E5799">
        <v>0.58997299999999997</v>
      </c>
      <c r="F5799" t="s">
        <v>43</v>
      </c>
      <c r="G5799">
        <v>-304.68020000000001</v>
      </c>
      <c r="H5799">
        <v>-0.05</v>
      </c>
      <c r="I5799">
        <v>9.3027189999999997</v>
      </c>
      <c r="J5799">
        <v>-311.38510000000002</v>
      </c>
      <c r="K5799">
        <v>1.0687329999999999</v>
      </c>
      <c r="L5799">
        <v>17.790369999999999</v>
      </c>
      <c r="M5799">
        <v>0.99843850000000001</v>
      </c>
      <c r="N5799">
        <v>-1.3753140000000001E-2</v>
      </c>
      <c r="O5799">
        <v>-5.4142370000000002E-2</v>
      </c>
      <c r="P5799">
        <v>0.78254749999999995</v>
      </c>
      <c r="Q5799">
        <v>-7.6482789999999995E-2</v>
      </c>
      <c r="R5799">
        <v>-0.61787539999999996</v>
      </c>
      <c r="S5799">
        <v>1.925781</v>
      </c>
      <c r="T5799">
        <v>-0.31490659999999998</v>
      </c>
      <c r="U5799">
        <v>-2.3921199999999998</v>
      </c>
      <c r="V5799">
        <v>0.57418119999999995</v>
      </c>
      <c r="W5799">
        <v>-6.8822149999999999E-2</v>
      </c>
      <c r="X5799">
        <v>0.81583050000000001</v>
      </c>
      <c r="Y5799">
        <v>0.73960969999999904</v>
      </c>
      <c r="Z5799">
        <v>-4.6551429999999998E-2</v>
      </c>
      <c r="AA5799">
        <v>0.67142419999999903</v>
      </c>
      <c r="AB5799">
        <v>18</v>
      </c>
      <c r="AC5799">
        <v>6.7049000000000003</v>
      </c>
      <c r="AD5799">
        <v>-1.118733</v>
      </c>
      <c r="AE5799">
        <v>-8.4876509999999996</v>
      </c>
      <c r="AF5799">
        <v>8.0262844937270508</v>
      </c>
      <c r="AG5799">
        <v>-1.118733</v>
      </c>
      <c r="AH5799">
        <v>7.0789218208725</v>
      </c>
      <c r="AI5799">
        <v>95.9677476992876</v>
      </c>
      <c r="AJ5799">
        <v>41.411245287974197</v>
      </c>
      <c r="AK5799">
        <v>10.760294626336</v>
      </c>
      <c r="AL5799">
        <v>93.946338332130395</v>
      </c>
      <c r="AM5799">
        <v>54.862131418786902</v>
      </c>
      <c r="AN5799">
        <v>0.99999997174715505</v>
      </c>
    </row>
    <row r="5800" spans="1:40" x14ac:dyDescent="0.25">
      <c r="A5800" t="str">
        <f>"20190303154634675"</f>
        <v>20190303154634675</v>
      </c>
      <c r="B5800" t="str">
        <f>"1551599194667430"</f>
        <v>1551599194667430</v>
      </c>
      <c r="C5800" t="s">
        <v>40</v>
      </c>
      <c r="D5800">
        <v>5.093845</v>
      </c>
      <c r="E5800">
        <v>0.63005889999999998</v>
      </c>
      <c r="F5800" t="s">
        <v>43</v>
      </c>
      <c r="G5800">
        <v>-304.62810000000002</v>
      </c>
      <c r="H5800">
        <v>-0.05</v>
      </c>
      <c r="I5800">
        <v>9.1849519999999991</v>
      </c>
      <c r="J5800">
        <v>-311.29169999999999</v>
      </c>
      <c r="K5800">
        <v>1.068659</v>
      </c>
      <c r="L5800">
        <v>17.782229999999998</v>
      </c>
      <c r="M5800">
        <v>0.99828969999999995</v>
      </c>
      <c r="N5800">
        <v>-1.3745780000000001E-2</v>
      </c>
      <c r="O5800">
        <v>-5.6821459999999997E-2</v>
      </c>
      <c r="P5800">
        <v>0.77718599999999904</v>
      </c>
      <c r="Q5800">
        <v>-7.6280329999999993E-2</v>
      </c>
      <c r="R5800">
        <v>-0.62463059999999904</v>
      </c>
      <c r="S5800">
        <v>1.89621</v>
      </c>
      <c r="T5800">
        <v>-0.31394699999999998</v>
      </c>
      <c r="U5800">
        <v>-2.414917</v>
      </c>
      <c r="V5800">
        <v>0.57903079999999996</v>
      </c>
      <c r="W5800">
        <v>-6.8799890000000002E-2</v>
      </c>
      <c r="X5800">
        <v>0.8123977</v>
      </c>
      <c r="Y5800">
        <v>0.74590590000000001</v>
      </c>
      <c r="Z5800">
        <v>-4.684526E-2</v>
      </c>
      <c r="AA5800">
        <v>0.66440189999999999</v>
      </c>
      <c r="AB5800">
        <v>18</v>
      </c>
      <c r="AC5800">
        <v>6.6635999999999704</v>
      </c>
      <c r="AD5800">
        <v>-1.1186590000000001</v>
      </c>
      <c r="AE5800">
        <v>-8.5972779999999904</v>
      </c>
      <c r="AF5800">
        <v>8.1188435854153695</v>
      </c>
      <c r="AG5800">
        <v>-1.1186590000000001</v>
      </c>
      <c r="AH5800">
        <v>7.0666463852716896</v>
      </c>
      <c r="AI5800">
        <v>95.933488177842605</v>
      </c>
      <c r="AJ5800">
        <v>41.036330975077497</v>
      </c>
      <c r="AK5800">
        <v>10.821483736401101</v>
      </c>
      <c r="AL5800">
        <v>93.945059558598103</v>
      </c>
      <c r="AM5800">
        <v>54.520892891577198</v>
      </c>
      <c r="AN5800">
        <v>1.00000005758896</v>
      </c>
    </row>
    <row r="5801" spans="1:40" x14ac:dyDescent="0.25">
      <c r="A5801" t="str">
        <f>"20190303154634687"</f>
        <v>20190303154634687</v>
      </c>
      <c r="B5801" t="str">
        <f>"1551599194677190"</f>
        <v>1551599194677190</v>
      </c>
      <c r="C5801" t="s">
        <v>40</v>
      </c>
      <c r="D5801">
        <v>4.8160429999999996</v>
      </c>
      <c r="E5801">
        <v>0.63005889999999998</v>
      </c>
      <c r="F5801" t="s">
        <v>43</v>
      </c>
      <c r="G5801">
        <v>-302.08949999999999</v>
      </c>
      <c r="H5801">
        <v>-0.05</v>
      </c>
      <c r="I5801">
        <v>3.1147459999999998</v>
      </c>
      <c r="J5801">
        <v>-311.19920000000002</v>
      </c>
      <c r="K5801">
        <v>1.0685819999999999</v>
      </c>
      <c r="L5801">
        <v>17.773900000000001</v>
      </c>
      <c r="M5801">
        <v>0.99813189999999996</v>
      </c>
      <c r="N5801">
        <v>-1.3739629999999999E-2</v>
      </c>
      <c r="O5801">
        <v>-5.9531180000000003E-2</v>
      </c>
      <c r="P5801">
        <v>0.7713894</v>
      </c>
      <c r="Q5801">
        <v>-7.701363E-2</v>
      </c>
      <c r="R5801">
        <v>-0.63168619999999898</v>
      </c>
      <c r="S5801">
        <v>1.683441</v>
      </c>
      <c r="T5801">
        <v>-0.20464669999999999</v>
      </c>
      <c r="U5801">
        <v>-2.6832579999999999</v>
      </c>
      <c r="V5801">
        <v>0.58419739999999998</v>
      </c>
      <c r="W5801">
        <v>-6.971948E-2</v>
      </c>
      <c r="X5801">
        <v>0.80861159999999999</v>
      </c>
      <c r="Y5801">
        <v>0.81189389999999995</v>
      </c>
      <c r="Z5801">
        <v>-3.7098859999999997E-2</v>
      </c>
      <c r="AA5801">
        <v>0.58262499999999995</v>
      </c>
      <c r="AB5801">
        <v>18</v>
      </c>
      <c r="AC5801">
        <v>9.1097000000000303</v>
      </c>
      <c r="AD5801">
        <v>-1.118582</v>
      </c>
      <c r="AE5801">
        <v>-14.659153999999999</v>
      </c>
      <c r="AF5801">
        <v>14.031847539113</v>
      </c>
      <c r="AG5801">
        <v>-1.118582</v>
      </c>
      <c r="AH5801">
        <v>9.9246114640514307</v>
      </c>
      <c r="AI5801">
        <v>93.723745604736607</v>
      </c>
      <c r="AJ5801">
        <v>35.271458335110097</v>
      </c>
      <c r="AK5801">
        <v>17.223294799892901</v>
      </c>
      <c r="AL5801">
        <v>93.997874985831103</v>
      </c>
      <c r="AM5801">
        <v>54.153028478015599</v>
      </c>
      <c r="AN5801">
        <v>1.00000006385639</v>
      </c>
    </row>
    <row r="5802" spans="1:40" x14ac:dyDescent="0.25">
      <c r="A5802" t="str">
        <f>"20190303154634698"</f>
        <v>20190303154634698</v>
      </c>
      <c r="B5802" t="str">
        <f>"1551599194686950"</f>
        <v>1551599194686950</v>
      </c>
      <c r="C5802" t="s">
        <v>40</v>
      </c>
      <c r="D5802">
        <v>4.9320069999999996</v>
      </c>
      <c r="E5802">
        <v>0.68941439999999998</v>
      </c>
      <c r="F5802" t="s">
        <v>42</v>
      </c>
      <c r="G5802">
        <v>-310.3904</v>
      </c>
      <c r="H5802">
        <v>0.96810989999999997</v>
      </c>
      <c r="I5802">
        <v>16.457909999999998</v>
      </c>
      <c r="J5802">
        <v>-311.10559999999998</v>
      </c>
      <c r="K5802">
        <v>1.068506</v>
      </c>
      <c r="L5802">
        <v>17.76511</v>
      </c>
      <c r="M5802">
        <v>0.99796130000000005</v>
      </c>
      <c r="N5802">
        <v>-1.3734379999999999E-2</v>
      </c>
      <c r="O5802">
        <v>-6.2326529999999998E-2</v>
      </c>
      <c r="P5802">
        <v>0.76599810000000002</v>
      </c>
      <c r="Q5802">
        <v>-7.7938439999999998E-2</v>
      </c>
      <c r="R5802">
        <v>-0.63810119999999904</v>
      </c>
      <c r="S5802">
        <v>1.6586609999999999</v>
      </c>
      <c r="T5802">
        <v>-0.206039</v>
      </c>
      <c r="U5802">
        <v>-2.6986080000000001</v>
      </c>
      <c r="V5802">
        <v>0.58865330000000005</v>
      </c>
      <c r="W5802">
        <v>-7.082128E-2</v>
      </c>
      <c r="X5802">
        <v>0.80527729999999997</v>
      </c>
      <c r="Y5802">
        <v>0.81556669999999998</v>
      </c>
      <c r="Z5802">
        <v>-3.7460729999999998E-2</v>
      </c>
      <c r="AA5802">
        <v>0.577449199999999</v>
      </c>
      <c r="AB5802">
        <v>18</v>
      </c>
      <c r="AC5802">
        <v>0.71519999999998096</v>
      </c>
      <c r="AD5802">
        <v>-0.1003961</v>
      </c>
      <c r="AE5802">
        <v>-1.3071999999999899</v>
      </c>
      <c r="AF5802">
        <v>1.2543834367409901</v>
      </c>
      <c r="AG5802">
        <v>-0.1003961</v>
      </c>
      <c r="AH5802">
        <v>0.79169613180600595</v>
      </c>
      <c r="AI5802">
        <v>93.872046488883697</v>
      </c>
      <c r="AJ5802">
        <v>32.2578116200308</v>
      </c>
      <c r="AK5802">
        <v>1.48672120734922</v>
      </c>
      <c r="AL5802">
        <v>94.061160397499293</v>
      </c>
      <c r="AM5802">
        <v>53.833400604153198</v>
      </c>
      <c r="AN5802">
        <v>0.99999994559850702</v>
      </c>
    </row>
    <row r="5803" spans="1:40" x14ac:dyDescent="0.25">
      <c r="A5803" t="str">
        <f>"20190303154634710"</f>
        <v>20190303154634710</v>
      </c>
      <c r="B5803" t="str">
        <f>"1551599194707446"</f>
        <v>1551599194707446</v>
      </c>
      <c r="C5803" t="s">
        <v>40</v>
      </c>
      <c r="D5803">
        <v>4.9919399999999996</v>
      </c>
      <c r="E5803">
        <v>0.69808040000000005</v>
      </c>
      <c r="F5803" t="s">
        <v>42</v>
      </c>
      <c r="G5803">
        <v>-310.48250000000002</v>
      </c>
      <c r="H5803">
        <v>0.9778</v>
      </c>
      <c r="I5803">
        <v>16.328209999999999</v>
      </c>
      <c r="J5803">
        <v>-311.02190000000002</v>
      </c>
      <c r="K5803">
        <v>1.0684309999999999</v>
      </c>
      <c r="L5803">
        <v>17.756869999999999</v>
      </c>
      <c r="M5803">
        <v>0.99779629999999997</v>
      </c>
      <c r="N5803">
        <v>-1.3731419999999999E-2</v>
      </c>
      <c r="O5803">
        <v>-6.4916139999999997E-2</v>
      </c>
      <c r="P5803">
        <v>0.76061199999999995</v>
      </c>
      <c r="Q5803">
        <v>-7.8820730000000006E-2</v>
      </c>
      <c r="R5803">
        <v>-0.64440469999999905</v>
      </c>
      <c r="S5803">
        <v>1.3339840000000001</v>
      </c>
      <c r="T5803">
        <v>-0.19420560000000001</v>
      </c>
      <c r="U5803">
        <v>-3.076355</v>
      </c>
      <c r="V5803">
        <v>0.59318669999999996</v>
      </c>
      <c r="W5803">
        <v>-7.1873549999999994E-2</v>
      </c>
      <c r="X5803">
        <v>0.80185019999999996</v>
      </c>
      <c r="Y5803">
        <v>0.88780559999999997</v>
      </c>
      <c r="Z5803">
        <v>-4.0676400000000001E-2</v>
      </c>
      <c r="AA5803">
        <v>0.45841759999999898</v>
      </c>
      <c r="AB5803">
        <v>18</v>
      </c>
      <c r="AC5803">
        <v>0.53939999999999999</v>
      </c>
      <c r="AD5803">
        <v>-9.0630999999999906E-2</v>
      </c>
      <c r="AE5803">
        <v>-1.42866</v>
      </c>
      <c r="AF5803">
        <v>1.3857459736317399</v>
      </c>
      <c r="AG5803">
        <v>-9.0630999999999906E-2</v>
      </c>
      <c r="AH5803">
        <v>0.62879908175495003</v>
      </c>
      <c r="AI5803">
        <v>93.408375263296804</v>
      </c>
      <c r="AJ5803">
        <v>24.406749023961499</v>
      </c>
      <c r="AK5803">
        <v>1.5244324080829099</v>
      </c>
      <c r="AL5803">
        <v>94.121604826921697</v>
      </c>
      <c r="AM5803">
        <v>53.506983629567102</v>
      </c>
      <c r="AN5803">
        <v>1.0000000057432601</v>
      </c>
    </row>
    <row r="5804" spans="1:40" x14ac:dyDescent="0.25">
      <c r="A5804" t="str">
        <f>"20190303154634720"</f>
        <v>20190303154634720</v>
      </c>
      <c r="B5804" t="str">
        <f>"1551599194717206"</f>
        <v>1551599194717206</v>
      </c>
      <c r="C5804" t="s">
        <v>40</v>
      </c>
      <c r="D5804">
        <v>4.9500279999999997</v>
      </c>
      <c r="E5804">
        <v>0.69941390000000003</v>
      </c>
      <c r="F5804" t="s">
        <v>43</v>
      </c>
      <c r="G5804">
        <v>-303.78969999999998</v>
      </c>
      <c r="H5804">
        <v>-0.05</v>
      </c>
      <c r="I5804">
        <v>-0.21948239999999999</v>
      </c>
      <c r="J5804">
        <v>-310.93630000000002</v>
      </c>
      <c r="K5804">
        <v>1.06836</v>
      </c>
      <c r="L5804">
        <v>17.748349999999999</v>
      </c>
      <c r="M5804">
        <v>0.99761920000000004</v>
      </c>
      <c r="N5804">
        <v>-1.372848E-2</v>
      </c>
      <c r="O5804">
        <v>-6.7583770000000001E-2</v>
      </c>
      <c r="P5804">
        <v>0.75532929999999998</v>
      </c>
      <c r="Q5804">
        <v>-7.9656299999999999E-2</v>
      </c>
      <c r="R5804">
        <v>-0.65048680000000003</v>
      </c>
      <c r="S5804">
        <v>1.2633970000000001</v>
      </c>
      <c r="T5804">
        <v>-0.19538059999999999</v>
      </c>
      <c r="U5804">
        <v>-3.14032</v>
      </c>
      <c r="V5804">
        <v>0.59745119999999996</v>
      </c>
      <c r="W5804">
        <v>-7.2878780000000004E-2</v>
      </c>
      <c r="X5804">
        <v>0.79858669999999998</v>
      </c>
      <c r="Y5804">
        <v>0.89848249999999996</v>
      </c>
      <c r="Z5804">
        <v>-4.1620890000000001E-2</v>
      </c>
      <c r="AA5804">
        <v>0.43703180000000003</v>
      </c>
      <c r="AB5804">
        <v>18</v>
      </c>
      <c r="AC5804">
        <v>7.1466000000000296</v>
      </c>
      <c r="AD5804">
        <v>-1.11836</v>
      </c>
      <c r="AE5804">
        <v>-17.967832399999999</v>
      </c>
      <c r="AF5804">
        <v>17.385549791563399</v>
      </c>
      <c r="AG5804">
        <v>-1.11836</v>
      </c>
      <c r="AH5804">
        <v>8.3168857196797905</v>
      </c>
      <c r="AI5804">
        <v>93.321086709053702</v>
      </c>
      <c r="AJ5804">
        <v>25.5654835149777</v>
      </c>
      <c r="AK5804">
        <v>19.304886912871101</v>
      </c>
      <c r="AL5804">
        <v>94.179351798186005</v>
      </c>
      <c r="AM5804">
        <v>53.198527037042702</v>
      </c>
      <c r="AN5804">
        <v>0.99999998518630895</v>
      </c>
    </row>
    <row r="5805" spans="1:40" x14ac:dyDescent="0.25">
      <c r="A5805" t="str">
        <f>"20190303154634732"</f>
        <v>20190303154634732</v>
      </c>
      <c r="B5805" t="str">
        <f>"1551599194726965"</f>
        <v>1551599194726965</v>
      </c>
      <c r="C5805" t="s">
        <v>40</v>
      </c>
      <c r="D5805">
        <v>5.0508600000000001</v>
      </c>
      <c r="E5805">
        <v>0.69866759999999895</v>
      </c>
      <c r="F5805" t="s">
        <v>43</v>
      </c>
      <c r="G5805">
        <v>-303.79719999999998</v>
      </c>
      <c r="H5805">
        <v>-0.05</v>
      </c>
      <c r="I5805">
        <v>-0.56173709999999999</v>
      </c>
      <c r="J5805">
        <v>-310.84699999999998</v>
      </c>
      <c r="K5805">
        <v>1.068282</v>
      </c>
      <c r="L5805">
        <v>17.73892</v>
      </c>
      <c r="M5805">
        <v>0.99741760000000002</v>
      </c>
      <c r="N5805">
        <v>-1.3728280000000001E-2</v>
      </c>
      <c r="O5805">
        <v>-7.0496000000000003E-2</v>
      </c>
      <c r="P5805">
        <v>0.74973900000000004</v>
      </c>
      <c r="Q5805">
        <v>-8.05926E-2</v>
      </c>
      <c r="R5805">
        <v>-0.65680799999999995</v>
      </c>
      <c r="S5805">
        <v>1.2314449999999999</v>
      </c>
      <c r="T5805">
        <v>-0.19291079999999999</v>
      </c>
      <c r="U5805">
        <v>-3.1583860000000001</v>
      </c>
      <c r="V5805">
        <v>0.6018</v>
      </c>
      <c r="W5805">
        <v>-7.3997080000000007E-2</v>
      </c>
      <c r="X5805">
        <v>0.79521140000000001</v>
      </c>
      <c r="Y5805">
        <v>0.90189569999999997</v>
      </c>
      <c r="Z5805">
        <v>-4.1419610000000003E-2</v>
      </c>
      <c r="AA5805">
        <v>0.4299636</v>
      </c>
      <c r="AB5805">
        <v>18</v>
      </c>
      <c r="AC5805">
        <v>7.0498000000000003</v>
      </c>
      <c r="AD5805">
        <v>-1.118282</v>
      </c>
      <c r="AE5805">
        <v>-18.300657099999999</v>
      </c>
      <c r="AF5805">
        <v>17.700535561287399</v>
      </c>
      <c r="AG5805">
        <v>-1.118282</v>
      </c>
      <c r="AH5805">
        <v>8.2955293751108599</v>
      </c>
      <c r="AI5805">
        <v>93.274147811460793</v>
      </c>
      <c r="AJ5805">
        <v>25.1105974442312</v>
      </c>
      <c r="AK5805">
        <v>19.579972456600899</v>
      </c>
      <c r="AL5805">
        <v>94.243599136798693</v>
      </c>
      <c r="AM5805">
        <v>52.882296346104901</v>
      </c>
      <c r="AN5805">
        <v>0.99999998926924305</v>
      </c>
    </row>
    <row r="5806" spans="1:40" x14ac:dyDescent="0.25">
      <c r="A5806" t="str">
        <f>"20190303154634747"</f>
        <v>20190303154634747</v>
      </c>
      <c r="B5806" t="str">
        <f>"1551599194737701"</f>
        <v>1551599194737701</v>
      </c>
      <c r="C5806" t="s">
        <v>40</v>
      </c>
      <c r="D5806">
        <v>5.0256499999999997</v>
      </c>
      <c r="E5806">
        <v>0.69807649999999999</v>
      </c>
      <c r="F5806" t="s">
        <v>43</v>
      </c>
      <c r="G5806">
        <v>-304.37540000000001</v>
      </c>
      <c r="H5806">
        <v>-0.05</v>
      </c>
      <c r="I5806">
        <v>0.77972410000000003</v>
      </c>
      <c r="J5806">
        <v>-310.7346</v>
      </c>
      <c r="K5806">
        <v>1.0681799999999999</v>
      </c>
      <c r="L5806">
        <v>17.72672</v>
      </c>
      <c r="M5806">
        <v>0.99714669999999905</v>
      </c>
      <c r="N5806">
        <v>-1.372923E-2</v>
      </c>
      <c r="O5806">
        <v>-7.4230980000000002E-2</v>
      </c>
      <c r="P5806">
        <v>0.74389559999999999</v>
      </c>
      <c r="Q5806">
        <v>-8.1217860000000003E-2</v>
      </c>
      <c r="R5806">
        <v>-0.66334280000000001</v>
      </c>
      <c r="S5806">
        <v>1.207306</v>
      </c>
      <c r="T5806">
        <v>-0.20862069999999999</v>
      </c>
      <c r="U5806">
        <v>-3.163818</v>
      </c>
      <c r="V5806">
        <v>0.60575029999999996</v>
      </c>
      <c r="W5806">
        <v>-7.4829590000000001E-2</v>
      </c>
      <c r="X5806">
        <v>0.79212830000000001</v>
      </c>
      <c r="Y5806">
        <v>0.90311710000000001</v>
      </c>
      <c r="Z5806">
        <v>-4.4016550000000002E-2</v>
      </c>
      <c r="AA5806">
        <v>0.42713240000000002</v>
      </c>
      <c r="AB5806">
        <v>18</v>
      </c>
      <c r="AC5806">
        <v>6.35919999999998</v>
      </c>
      <c r="AD5806">
        <v>-1.11818</v>
      </c>
      <c r="AE5806">
        <v>-16.946995899999902</v>
      </c>
      <c r="AF5806">
        <v>16.3656834746117</v>
      </c>
      <c r="AG5806">
        <v>-1.11818</v>
      </c>
      <c r="AH5806">
        <v>7.5708710134540302</v>
      </c>
      <c r="AI5806">
        <v>93.548413875314097</v>
      </c>
      <c r="AJ5806">
        <v>24.8255663253431</v>
      </c>
      <c r="AK5806">
        <v>18.066654643456701</v>
      </c>
      <c r="AL5806">
        <v>94.291430721912803</v>
      </c>
      <c r="AM5806">
        <v>52.594409255513703</v>
      </c>
      <c r="AN5806">
        <v>1.0000000685752699</v>
      </c>
    </row>
    <row r="5807" spans="1:40" x14ac:dyDescent="0.25">
      <c r="A5807" t="str">
        <f>"20190303154634761"</f>
        <v>20190303154634761</v>
      </c>
      <c r="B5807" t="str">
        <f>"1551599194757222"</f>
        <v>1551599194757222</v>
      </c>
      <c r="C5807" t="s">
        <v>40</v>
      </c>
      <c r="D5807">
        <v>4.9770409999999998</v>
      </c>
      <c r="E5807">
        <v>0.69656770000000001</v>
      </c>
      <c r="F5807" t="s">
        <v>43</v>
      </c>
      <c r="G5807">
        <v>-304.7706</v>
      </c>
      <c r="H5807">
        <v>-0.05</v>
      </c>
      <c r="I5807">
        <v>1.728729</v>
      </c>
      <c r="J5807">
        <v>-310.61700000000002</v>
      </c>
      <c r="K5807">
        <v>1.0680719999999999</v>
      </c>
      <c r="L5807">
        <v>17.71341</v>
      </c>
      <c r="M5807">
        <v>0.99683849999999996</v>
      </c>
      <c r="N5807">
        <v>-1.3732579999999999E-2</v>
      </c>
      <c r="O5807">
        <v>-7.8261189999999994E-2</v>
      </c>
      <c r="P5807">
        <v>0.73762240000000001</v>
      </c>
      <c r="Q5807">
        <v>-8.2008209999999998E-2</v>
      </c>
      <c r="R5807">
        <v>-0.67021500000000001</v>
      </c>
      <c r="S5807">
        <v>1.181824</v>
      </c>
      <c r="T5807">
        <v>-0.22157669999999999</v>
      </c>
      <c r="U5807">
        <v>-3.1701350000000001</v>
      </c>
      <c r="V5807">
        <v>0.60986439999999997</v>
      </c>
      <c r="W5807">
        <v>-7.5844709999999996E-2</v>
      </c>
      <c r="X5807">
        <v>0.78886809999999996</v>
      </c>
      <c r="Y5807">
        <v>0.90443890000000005</v>
      </c>
      <c r="Z5807">
        <v>-4.6141960000000003E-2</v>
      </c>
      <c r="AA5807">
        <v>0.4241007</v>
      </c>
      <c r="AB5807">
        <v>18</v>
      </c>
      <c r="AC5807">
        <v>5.8464000000000098</v>
      </c>
      <c r="AD5807">
        <v>-1.118072</v>
      </c>
      <c r="AE5807">
        <v>-15.984681</v>
      </c>
      <c r="AF5807">
        <v>15.4115510827374</v>
      </c>
      <c r="AG5807">
        <v>-1.118072</v>
      </c>
      <c r="AH5807">
        <v>7.0491441690142604</v>
      </c>
      <c r="AI5807">
        <v>93.774561266634393</v>
      </c>
      <c r="AJ5807">
        <v>24.579051325506299</v>
      </c>
      <c r="AK5807">
        <v>16.984004983765001</v>
      </c>
      <c r="AL5807">
        <v>94.349759121082698</v>
      </c>
      <c r="AM5807">
        <v>52.292823606997104</v>
      </c>
      <c r="AN5807">
        <v>0.99999994280997495</v>
      </c>
    </row>
    <row r="5808" spans="1:40" x14ac:dyDescent="0.25">
      <c r="A5808" t="str">
        <f>"20190303154634775"</f>
        <v>20190303154634775</v>
      </c>
      <c r="B5808" t="str">
        <f>"1551599194766981"</f>
        <v>1551599194766981</v>
      </c>
      <c r="C5808" t="s">
        <v>40</v>
      </c>
      <c r="D5808">
        <v>4.9764030000000004</v>
      </c>
      <c r="E5808">
        <v>0.69607289999999999</v>
      </c>
      <c r="F5808" t="s">
        <v>43</v>
      </c>
      <c r="G5808">
        <v>-305.23219999999998</v>
      </c>
      <c r="H5808">
        <v>-0.05</v>
      </c>
      <c r="I5808">
        <v>2.972855</v>
      </c>
      <c r="J5808">
        <v>-310.50119999999998</v>
      </c>
      <c r="K5808">
        <v>1.0679650000000001</v>
      </c>
      <c r="L5808">
        <v>17.699459999999998</v>
      </c>
      <c r="M5808">
        <v>0.99650419999999995</v>
      </c>
      <c r="N5808">
        <v>-1.373979E-2</v>
      </c>
      <c r="O5808">
        <v>-8.2405179999999995E-2</v>
      </c>
      <c r="P5808">
        <v>0.72820819999999997</v>
      </c>
      <c r="Q5808">
        <v>-8.3721489999999996E-2</v>
      </c>
      <c r="R5808">
        <v>-0.68022329999999998</v>
      </c>
      <c r="S5808">
        <v>1.1586000000000001</v>
      </c>
      <c r="T5808">
        <v>-0.2405659</v>
      </c>
      <c r="U5808">
        <v>-3.1716000000000002</v>
      </c>
      <c r="V5808">
        <v>0.61730050000000003</v>
      </c>
      <c r="W5808">
        <v>-7.7845020000000001E-2</v>
      </c>
      <c r="X5808">
        <v>0.78286669999999903</v>
      </c>
      <c r="Y5808">
        <v>0.90510849999999998</v>
      </c>
      <c r="Z5808">
        <v>-4.9195580000000003E-2</v>
      </c>
      <c r="AA5808">
        <v>0.42232530000000001</v>
      </c>
      <c r="AB5808">
        <v>18</v>
      </c>
      <c r="AC5808">
        <v>5.2690000000000001</v>
      </c>
      <c r="AD5808">
        <v>-1.1179649999999901</v>
      </c>
      <c r="AE5808">
        <v>-14.726604999999999</v>
      </c>
      <c r="AF5808">
        <v>14.1698809644852</v>
      </c>
      <c r="AG5808">
        <v>-1.1179649999999901</v>
      </c>
      <c r="AH5808">
        <v>6.4318787753150799</v>
      </c>
      <c r="AI5808">
        <v>94.109215988919999</v>
      </c>
      <c r="AJ5808">
        <v>24.413867322919302</v>
      </c>
      <c r="AK5808">
        <v>15.601424193619399</v>
      </c>
      <c r="AL5808">
        <v>94.464708055338406</v>
      </c>
      <c r="AM5808">
        <v>51.743764658270599</v>
      </c>
      <c r="AN5808">
        <v>1.0000000122039701</v>
      </c>
    </row>
    <row r="5809" spans="1:40" x14ac:dyDescent="0.25">
      <c r="A5809" t="str">
        <f>"20190303154634788"</f>
        <v>20190303154634788</v>
      </c>
      <c r="B5809" t="str">
        <f>"1551599194777717"</f>
        <v>1551599194777717</v>
      </c>
      <c r="C5809" t="s">
        <v>40</v>
      </c>
      <c r="D5809">
        <v>4.9639749999999996</v>
      </c>
      <c r="E5809">
        <v>0.69531509999999996</v>
      </c>
      <c r="F5809" t="s">
        <v>43</v>
      </c>
      <c r="G5809">
        <v>-305.53489999999999</v>
      </c>
      <c r="H5809">
        <v>-0.05</v>
      </c>
      <c r="I5809">
        <v>3.5431819999999998</v>
      </c>
      <c r="J5809">
        <v>-310.40089999999998</v>
      </c>
      <c r="K5809">
        <v>1.0678780000000001</v>
      </c>
      <c r="L5809">
        <v>17.68695</v>
      </c>
      <c r="M5809">
        <v>0.99619250000000004</v>
      </c>
      <c r="N5809">
        <v>-1.374736E-2</v>
      </c>
      <c r="O5809">
        <v>-8.6091059999999997E-2</v>
      </c>
      <c r="P5809">
        <v>0.72253319999999999</v>
      </c>
      <c r="Q5809">
        <v>-8.4535990000000005E-2</v>
      </c>
      <c r="R5809">
        <v>-0.6861486</v>
      </c>
      <c r="S5809">
        <v>1.1169129999999901</v>
      </c>
      <c r="T5809">
        <v>-0.25142560000000003</v>
      </c>
      <c r="U5809">
        <v>-3.1836850000000001</v>
      </c>
      <c r="V5809">
        <v>0.62077159999999998</v>
      </c>
      <c r="W5809">
        <v>-7.8858479999999995E-2</v>
      </c>
      <c r="X5809">
        <v>0.78001529999999997</v>
      </c>
      <c r="Y5809">
        <v>0.90868059999999995</v>
      </c>
      <c r="Z5809">
        <v>-5.1310710000000002E-2</v>
      </c>
      <c r="AA5809">
        <v>0.4143271</v>
      </c>
      <c r="AB5809">
        <v>17</v>
      </c>
      <c r="AC5809">
        <v>4.8659999999999801</v>
      </c>
      <c r="AD5809">
        <v>-1.1178779999999999</v>
      </c>
      <c r="AE5809">
        <v>-14.143768</v>
      </c>
      <c r="AF5809">
        <v>13.596342642526199</v>
      </c>
      <c r="AG5809">
        <v>-1.1178779999999999</v>
      </c>
      <c r="AH5809">
        <v>6.0320045687850996</v>
      </c>
      <c r="AI5809">
        <v>94.297976477572803</v>
      </c>
      <c r="AJ5809">
        <v>23.924422405334401</v>
      </c>
      <c r="AK5809">
        <v>14.916275124631699</v>
      </c>
      <c r="AL5809">
        <v>94.5229543642577</v>
      </c>
      <c r="AM5809">
        <v>51.485632649600902</v>
      </c>
      <c r="AN5809">
        <v>0.99999995373427897</v>
      </c>
    </row>
    <row r="5810" spans="1:40" x14ac:dyDescent="0.25">
      <c r="A5810" t="str">
        <f>"20190303154634800"</f>
        <v>20190303154634800</v>
      </c>
      <c r="B5810" t="str">
        <f>"1551599194797237"</f>
        <v>1551599194797237</v>
      </c>
      <c r="C5810" t="s">
        <v>40</v>
      </c>
      <c r="D5810">
        <v>4.9710229999999997</v>
      </c>
      <c r="E5810">
        <v>0.69407769999999902</v>
      </c>
      <c r="F5810" t="s">
        <v>43</v>
      </c>
      <c r="G5810">
        <v>-305.61689999999999</v>
      </c>
      <c r="H5810">
        <v>-0.05</v>
      </c>
      <c r="I5810">
        <v>3.7491759999999998</v>
      </c>
      <c r="J5810">
        <v>-310.30770000000001</v>
      </c>
      <c r="K5810">
        <v>1.0677890000000001</v>
      </c>
      <c r="L5810">
        <v>17.675049999999999</v>
      </c>
      <c r="M5810">
        <v>0.99588500000000002</v>
      </c>
      <c r="N5810">
        <v>-1.375505E-2</v>
      </c>
      <c r="O5810">
        <v>-8.9575630000000003E-2</v>
      </c>
      <c r="P5810">
        <v>0.71752199999999999</v>
      </c>
      <c r="Q5810">
        <v>-8.5021739999999998E-2</v>
      </c>
      <c r="R5810">
        <v>-0.69132759999999904</v>
      </c>
      <c r="S5810">
        <v>1.09436</v>
      </c>
      <c r="T5810">
        <v>-0.25572159999999999</v>
      </c>
      <c r="U5810">
        <v>-3.1883539999999999</v>
      </c>
      <c r="V5810">
        <v>0.62362890000000004</v>
      </c>
      <c r="W5810">
        <v>-7.9525869999999999E-2</v>
      </c>
      <c r="X5810">
        <v>0.77766499999999905</v>
      </c>
      <c r="Y5810">
        <v>0.90993610000000003</v>
      </c>
      <c r="Z5810">
        <v>-5.2022319999999997E-2</v>
      </c>
      <c r="AA5810">
        <v>0.41147309999999998</v>
      </c>
      <c r="AB5810">
        <v>17</v>
      </c>
      <c r="AC5810">
        <v>4.6908000000000198</v>
      </c>
      <c r="AD5810">
        <v>-1.1177889999999999</v>
      </c>
      <c r="AE5810">
        <v>-13.925874</v>
      </c>
      <c r="AF5810">
        <v>13.372284761478401</v>
      </c>
      <c r="AG5810">
        <v>-1.1177889999999999</v>
      </c>
      <c r="AH5810">
        <v>5.8854218182730502</v>
      </c>
      <c r="AI5810">
        <v>94.375048355121507</v>
      </c>
      <c r="AJ5810">
        <v>23.755297068362101</v>
      </c>
      <c r="AK5810">
        <v>14.6528373351236</v>
      </c>
      <c r="AL5810">
        <v>94.561312751998599</v>
      </c>
      <c r="AM5810">
        <v>51.273006915190301</v>
      </c>
      <c r="AN5810">
        <v>1.00000011056972</v>
      </c>
    </row>
    <row r="5811" spans="1:40" x14ac:dyDescent="0.25">
      <c r="A5811" t="str">
        <f>"20190303154634812"</f>
        <v>20190303154634812</v>
      </c>
      <c r="B5811" t="str">
        <f>"1551599194806998"</f>
        <v>1551599194806998</v>
      </c>
      <c r="C5811" t="s">
        <v>40</v>
      </c>
      <c r="D5811">
        <v>4.9828340000000004</v>
      </c>
      <c r="E5811">
        <v>0.69359550000000003</v>
      </c>
      <c r="F5811" t="s">
        <v>43</v>
      </c>
      <c r="G5811">
        <v>-305.7174</v>
      </c>
      <c r="H5811">
        <v>-0.05</v>
      </c>
      <c r="I5811">
        <v>4.0915369999999998</v>
      </c>
      <c r="J5811">
        <v>-310.21730000000002</v>
      </c>
      <c r="K5811">
        <v>1.067701</v>
      </c>
      <c r="L5811">
        <v>17.662779999999898</v>
      </c>
      <c r="M5811">
        <v>0.99556169999999999</v>
      </c>
      <c r="N5811">
        <v>-1.376458E-2</v>
      </c>
      <c r="O5811">
        <v>-9.3100390000000005E-2</v>
      </c>
      <c r="P5811">
        <v>0.71227130000000005</v>
      </c>
      <c r="Q5811">
        <v>-8.5320229999999997E-2</v>
      </c>
      <c r="R5811">
        <v>-0.69669969999999903</v>
      </c>
      <c r="S5811">
        <v>1.0776059999999901</v>
      </c>
      <c r="T5811">
        <v>-0.26240550000000001</v>
      </c>
      <c r="U5811">
        <v>-3.1887819999999998</v>
      </c>
      <c r="V5811">
        <v>0.62669430000000004</v>
      </c>
      <c r="W5811">
        <v>-8.0007679999999998E-2</v>
      </c>
      <c r="X5811">
        <v>0.77514709999999998</v>
      </c>
      <c r="Y5811">
        <v>0.91029409999999999</v>
      </c>
      <c r="Z5811">
        <v>-5.3007270000000002E-2</v>
      </c>
      <c r="AA5811">
        <v>0.41055449999999999</v>
      </c>
      <c r="AB5811">
        <v>17</v>
      </c>
      <c r="AC5811">
        <v>4.4999000000000198</v>
      </c>
      <c r="AD5811">
        <v>-1.1177010000000001</v>
      </c>
      <c r="AE5811">
        <v>-13.5712429999999</v>
      </c>
      <c r="AF5811">
        <v>13.0137790633585</v>
      </c>
      <c r="AG5811">
        <v>-1.1177010000000001</v>
      </c>
      <c r="AH5811">
        <v>5.7090714987446498</v>
      </c>
      <c r="AI5811">
        <v>94.497085493714806</v>
      </c>
      <c r="AJ5811">
        <v>23.686790437971599</v>
      </c>
      <c r="AK5811">
        <v>14.2548657802551</v>
      </c>
      <c r="AL5811">
        <v>94.589007179761097</v>
      </c>
      <c r="AM5811">
        <v>51.045002959595898</v>
      </c>
      <c r="AN5811">
        <v>1.0000000005749401</v>
      </c>
    </row>
    <row r="5812" spans="1:40" x14ac:dyDescent="0.25">
      <c r="A5812" t="str">
        <f>"20190303154634831"</f>
        <v>20190303154634831</v>
      </c>
      <c r="B5812" t="str">
        <f>"1551599194827493"</f>
        <v>1551599194827493</v>
      </c>
      <c r="C5812" t="s">
        <v>40</v>
      </c>
      <c r="D5812">
        <v>5.0087250000000001</v>
      </c>
      <c r="E5812">
        <v>0.69196340000000001</v>
      </c>
      <c r="F5812" t="s">
        <v>43</v>
      </c>
      <c r="G5812">
        <v>-305.7192</v>
      </c>
      <c r="H5812">
        <v>-0.05</v>
      </c>
      <c r="I5812">
        <v>4.0582580000000004</v>
      </c>
      <c r="J5812">
        <v>-310.07119999999998</v>
      </c>
      <c r="K5812">
        <v>1.0675460000000001</v>
      </c>
      <c r="L5812">
        <v>17.642299999999999</v>
      </c>
      <c r="M5812">
        <v>0.9949983</v>
      </c>
      <c r="N5812">
        <v>-1.3781399999999999E-2</v>
      </c>
      <c r="O5812">
        <v>-9.8936979999999994E-2</v>
      </c>
      <c r="P5812">
        <v>0.70388600000000001</v>
      </c>
      <c r="Q5812">
        <v>-8.5950879999999993E-2</v>
      </c>
      <c r="R5812">
        <v>-0.705094</v>
      </c>
      <c r="S5812">
        <v>1.0560909999999999</v>
      </c>
      <c r="T5812">
        <v>-0.26242110000000002</v>
      </c>
      <c r="U5812">
        <v>-3.194153</v>
      </c>
      <c r="V5812">
        <v>0.63129399999999902</v>
      </c>
      <c r="W5812">
        <v>-8.0931790000000003E-2</v>
      </c>
      <c r="X5812">
        <v>0.77130940000000003</v>
      </c>
      <c r="Y5812">
        <v>0.91059769999999896</v>
      </c>
      <c r="Z5812">
        <v>-5.2682119999999999E-2</v>
      </c>
      <c r="AA5812">
        <v>0.40992250000000002</v>
      </c>
      <c r="AB5812">
        <v>17</v>
      </c>
      <c r="AC5812">
        <v>4.3519999999999701</v>
      </c>
      <c r="AD5812">
        <v>-1.1175459999999999</v>
      </c>
      <c r="AE5812">
        <v>-13.584041999999901</v>
      </c>
      <c r="AF5812">
        <v>13.0069286163254</v>
      </c>
      <c r="AG5812">
        <v>-1.1175459999999999</v>
      </c>
      <c r="AH5812">
        <v>5.6401154381690697</v>
      </c>
      <c r="AI5812">
        <v>94.507155207557901</v>
      </c>
      <c r="AJ5812">
        <v>23.4427088210813</v>
      </c>
      <c r="AK5812">
        <v>14.221111181907499</v>
      </c>
      <c r="AL5812">
        <v>94.642126448229007</v>
      </c>
      <c r="AM5812">
        <v>50.700686333070401</v>
      </c>
      <c r="AN5812">
        <v>1.00000012979847</v>
      </c>
    </row>
    <row r="5813" spans="1:40" x14ac:dyDescent="0.25">
      <c r="A5813" t="str">
        <f>"20190303154634843"</f>
        <v>20190303154634843</v>
      </c>
      <c r="B5813" t="str">
        <f>"1551599194837254"</f>
        <v>1551599194837254</v>
      </c>
      <c r="C5813" t="s">
        <v>40</v>
      </c>
      <c r="D5813">
        <v>5.0027489999999997</v>
      </c>
      <c r="E5813">
        <v>0.69120190000000004</v>
      </c>
      <c r="F5813" t="s">
        <v>43</v>
      </c>
      <c r="G5813">
        <v>-305.78590000000003</v>
      </c>
      <c r="H5813">
        <v>-0.05</v>
      </c>
      <c r="I5813">
        <v>4.3018799999999997</v>
      </c>
      <c r="J5813">
        <v>-309.97890000000001</v>
      </c>
      <c r="K5813">
        <v>1.0674539999999999</v>
      </c>
      <c r="L5813">
        <v>17.628879999999999</v>
      </c>
      <c r="M5813">
        <v>0.99461449999999996</v>
      </c>
      <c r="N5813">
        <v>-1.379299E-2</v>
      </c>
      <c r="O5813">
        <v>-0.1027219</v>
      </c>
      <c r="P5813">
        <v>0.69912890000000005</v>
      </c>
      <c r="Q5813">
        <v>-8.5681019999999997E-2</v>
      </c>
      <c r="R5813">
        <v>-0.70984369999999997</v>
      </c>
      <c r="S5813">
        <v>1.0269469999999901</v>
      </c>
      <c r="T5813">
        <v>-0.26781650000000001</v>
      </c>
      <c r="U5813">
        <v>-3.1969910000000001</v>
      </c>
      <c r="V5813">
        <v>0.63355680000000003</v>
      </c>
      <c r="W5813">
        <v>-8.0834810000000007E-2</v>
      </c>
      <c r="X5813">
        <v>0.76946179999999997</v>
      </c>
      <c r="Y5813">
        <v>0.91238140000000001</v>
      </c>
      <c r="Z5813">
        <v>-5.3668830000000001E-2</v>
      </c>
      <c r="AA5813">
        <v>0.4058078</v>
      </c>
      <c r="AB5813">
        <v>17</v>
      </c>
      <c r="AC5813">
        <v>4.1929999999999801</v>
      </c>
      <c r="AD5813">
        <v>-1.1174539999999999</v>
      </c>
      <c r="AE5813">
        <v>-13.3269999999999</v>
      </c>
      <c r="AF5813">
        <v>12.744204977259299</v>
      </c>
      <c r="AG5813">
        <v>-1.1174539999999999</v>
      </c>
      <c r="AH5813">
        <v>5.5047046299874101</v>
      </c>
      <c r="AI5813">
        <v>94.602114517247799</v>
      </c>
      <c r="AJ5813">
        <v>23.361344014993801</v>
      </c>
      <c r="AK5813">
        <v>13.927140302586199</v>
      </c>
      <c r="AL5813">
        <v>94.636552365117595</v>
      </c>
      <c r="AM5813">
        <v>50.532759526131102</v>
      </c>
      <c r="AN5813">
        <v>0.99999997349660696</v>
      </c>
    </row>
    <row r="5814" spans="1:40" x14ac:dyDescent="0.25">
      <c r="A5814" t="str">
        <f>"20190303154634854"</f>
        <v>20190303154634854</v>
      </c>
      <c r="B5814" t="str">
        <f>"1551599194847014"</f>
        <v>1551599194847014</v>
      </c>
      <c r="C5814" t="s">
        <v>40</v>
      </c>
      <c r="D5814">
        <v>5.0235640000000004</v>
      </c>
      <c r="E5814">
        <v>0.69049490000000002</v>
      </c>
      <c r="F5814" t="s">
        <v>43</v>
      </c>
      <c r="G5814">
        <v>-305.81760000000003</v>
      </c>
      <c r="H5814">
        <v>-0.05</v>
      </c>
      <c r="I5814">
        <v>4.4370269999999996</v>
      </c>
      <c r="J5814">
        <v>-309.88630000000001</v>
      </c>
      <c r="K5814">
        <v>1.067367</v>
      </c>
      <c r="L5814">
        <v>17.614750000000001</v>
      </c>
      <c r="M5814">
        <v>0.99420059999999999</v>
      </c>
      <c r="N5814">
        <v>-1.3806560000000001E-2</v>
      </c>
      <c r="O5814">
        <v>-0.1066521</v>
      </c>
      <c r="P5814">
        <v>0.693988099999999</v>
      </c>
      <c r="Q5814">
        <v>-8.5103090000000006E-2</v>
      </c>
      <c r="R5814">
        <v>-0.71493890000000004</v>
      </c>
      <c r="S5814">
        <v>1.009277</v>
      </c>
      <c r="T5814">
        <v>-0.27102759999999998</v>
      </c>
      <c r="U5814">
        <v>-3.199554</v>
      </c>
      <c r="V5814">
        <v>0.63611839999999997</v>
      </c>
      <c r="W5814">
        <v>-8.0429520000000004E-2</v>
      </c>
      <c r="X5814">
        <v>0.76738809999999902</v>
      </c>
      <c r="Y5814">
        <v>0.91284200000000004</v>
      </c>
      <c r="Z5814">
        <v>-5.4026980000000002E-2</v>
      </c>
      <c r="AA5814">
        <v>0.40472279999999999</v>
      </c>
      <c r="AB5814">
        <v>17</v>
      </c>
      <c r="AC5814">
        <v>4.0686999999999696</v>
      </c>
      <c r="AD5814">
        <v>-1.117367</v>
      </c>
      <c r="AE5814">
        <v>-13.177723</v>
      </c>
      <c r="AF5814">
        <v>12.5859577196352</v>
      </c>
      <c r="AG5814">
        <v>-1.117367</v>
      </c>
      <c r="AH5814">
        <v>5.4155078686931297</v>
      </c>
      <c r="AI5814">
        <v>94.662157678228098</v>
      </c>
      <c r="AJ5814">
        <v>23.2813272536056</v>
      </c>
      <c r="AK5814">
        <v>13.747093009397</v>
      </c>
      <c r="AL5814">
        <v>94.613254925629903</v>
      </c>
      <c r="AM5814">
        <v>50.343318896421302</v>
      </c>
      <c r="AN5814">
        <v>1.0000000112637999</v>
      </c>
    </row>
    <row r="5815" spans="1:40" x14ac:dyDescent="0.25">
      <c r="A5815" t="str">
        <f>"20190303154634866"</f>
        <v>20190303154634866</v>
      </c>
      <c r="B5815" t="str">
        <f>"1551599194857750"</f>
        <v>1551599194857750</v>
      </c>
      <c r="C5815" t="s">
        <v>40</v>
      </c>
      <c r="D5815">
        <v>5.0424939999999996</v>
      </c>
      <c r="E5815">
        <v>0.69049490000000002</v>
      </c>
      <c r="F5815" t="s">
        <v>43</v>
      </c>
      <c r="G5815">
        <v>-305.82319999999999</v>
      </c>
      <c r="H5815">
        <v>-0.05</v>
      </c>
      <c r="I5815">
        <v>4.470688</v>
      </c>
      <c r="J5815">
        <v>-309.7928</v>
      </c>
      <c r="K5815">
        <v>1.0672839999999999</v>
      </c>
      <c r="L5815">
        <v>17.600100000000001</v>
      </c>
      <c r="M5815">
        <v>0.99375930000000001</v>
      </c>
      <c r="N5815">
        <v>-1.382067E-2</v>
      </c>
      <c r="O5815">
        <v>-0.1106866</v>
      </c>
      <c r="P5815">
        <v>0.68907609999999997</v>
      </c>
      <c r="Q5815">
        <v>-8.4594849999999999E-2</v>
      </c>
      <c r="R5815">
        <v>-0.71973509999999996</v>
      </c>
      <c r="S5815">
        <v>0.99002080000000003</v>
      </c>
      <c r="T5815">
        <v>-0.2722617</v>
      </c>
      <c r="U5815">
        <v>-3.202728</v>
      </c>
      <c r="V5815">
        <v>0.63830129999999996</v>
      </c>
      <c r="W5815">
        <v>-8.0083979999999999E-2</v>
      </c>
      <c r="X5815">
        <v>0.7656096</v>
      </c>
      <c r="Y5815">
        <v>0.91350600000000004</v>
      </c>
      <c r="Z5815">
        <v>-5.4083880000000001E-2</v>
      </c>
      <c r="AA5815">
        <v>0.40321420000000002</v>
      </c>
      <c r="AB5815">
        <v>17</v>
      </c>
      <c r="AC5815">
        <v>3.96960000000001</v>
      </c>
      <c r="AD5815">
        <v>-1.1172839999999999</v>
      </c>
      <c r="AE5815">
        <v>-13.129412</v>
      </c>
      <c r="AF5815">
        <v>12.5261849842581</v>
      </c>
      <c r="AG5815">
        <v>-1.1172839999999999</v>
      </c>
      <c r="AH5815">
        <v>5.3630081626444497</v>
      </c>
      <c r="AI5815">
        <v>94.687574273679203</v>
      </c>
      <c r="AJ5815">
        <v>23.1778868576287</v>
      </c>
      <c r="AK5815">
        <v>13.671704003126299</v>
      </c>
      <c r="AL5815">
        <v>94.593392801324299</v>
      </c>
      <c r="AM5815">
        <v>50.181477464479997</v>
      </c>
      <c r="AN5815">
        <v>1.00000002652324</v>
      </c>
    </row>
    <row r="5816" spans="1:40" x14ac:dyDescent="0.25">
      <c r="A5816" t="str">
        <f>"20190303154634878"</f>
        <v>20190303154634878</v>
      </c>
      <c r="B5816" t="str">
        <f>"1551599194867510"</f>
        <v>1551599194867510</v>
      </c>
      <c r="C5816" t="s">
        <v>40</v>
      </c>
      <c r="D5816">
        <v>5.0513839999999997</v>
      </c>
      <c r="E5816">
        <v>0.67527700000000002</v>
      </c>
      <c r="F5816" t="s">
        <v>43</v>
      </c>
      <c r="G5816">
        <v>-305.81830000000002</v>
      </c>
      <c r="H5816">
        <v>-0.05</v>
      </c>
      <c r="I5816">
        <v>4.4207460000000003</v>
      </c>
      <c r="J5816">
        <v>-309.69600000000003</v>
      </c>
      <c r="K5816">
        <v>1.067202</v>
      </c>
      <c r="L5816">
        <v>17.584440000000001</v>
      </c>
      <c r="M5816">
        <v>0.99327480000000001</v>
      </c>
      <c r="N5816">
        <v>-1.38361E-2</v>
      </c>
      <c r="O5816">
        <v>-0.1149515</v>
      </c>
      <c r="P5816">
        <v>0.68421929999999997</v>
      </c>
      <c r="Q5816">
        <v>-8.3578860000000005E-2</v>
      </c>
      <c r="R5816">
        <v>-0.72447169999999905</v>
      </c>
      <c r="S5816">
        <v>0.96789550000000002</v>
      </c>
      <c r="T5816">
        <v>-0.272092</v>
      </c>
      <c r="U5816">
        <v>-3.2095639999999999</v>
      </c>
      <c r="V5816">
        <v>0.64027080000000003</v>
      </c>
      <c r="W5816">
        <v>-7.9224199999999995E-2</v>
      </c>
      <c r="X5816">
        <v>0.76405299999999998</v>
      </c>
      <c r="Y5816">
        <v>0.91456300000000001</v>
      </c>
      <c r="Z5816">
        <v>-5.392661E-2</v>
      </c>
      <c r="AA5816">
        <v>0.40083220000000003</v>
      </c>
      <c r="AB5816">
        <v>17</v>
      </c>
      <c r="AC5816">
        <v>3.87769999999994</v>
      </c>
      <c r="AD5816">
        <v>-1.117202</v>
      </c>
      <c r="AE5816">
        <v>-13.163694</v>
      </c>
      <c r="AF5816">
        <v>12.547464538248001</v>
      </c>
      <c r="AG5816">
        <v>-1.117202</v>
      </c>
      <c r="AH5816">
        <v>5.3299952874963097</v>
      </c>
      <c r="AI5816">
        <v>94.684964560969306</v>
      </c>
      <c r="AJ5816">
        <v>23.0151367887619</v>
      </c>
      <c r="AK5816">
        <v>13.678298739687101</v>
      </c>
      <c r="AL5816">
        <v>94.543973771804104</v>
      </c>
      <c r="AM5816">
        <v>50.0372397375749</v>
      </c>
      <c r="AN5816">
        <v>1.0000000790036301</v>
      </c>
    </row>
    <row r="5817" spans="1:40" x14ac:dyDescent="0.25">
      <c r="A5817" t="str">
        <f>"20190303154634891"</f>
        <v>20190303154634891</v>
      </c>
      <c r="B5817" t="str">
        <f>"1551599194887030"</f>
        <v>1551599194887030</v>
      </c>
      <c r="C5817" t="s">
        <v>40</v>
      </c>
      <c r="D5817">
        <v>4.713921</v>
      </c>
      <c r="E5817">
        <v>0.67556629999999995</v>
      </c>
      <c r="F5817" t="s">
        <v>43</v>
      </c>
      <c r="G5817">
        <v>-306.20639999999997</v>
      </c>
      <c r="H5817">
        <v>-0.05</v>
      </c>
      <c r="I5817">
        <v>6.9776920000000002</v>
      </c>
      <c r="J5817">
        <v>-309.60359999999997</v>
      </c>
      <c r="K5817">
        <v>1.0671280000000001</v>
      </c>
      <c r="L5817">
        <v>17.568850000000001</v>
      </c>
      <c r="M5817">
        <v>0.99278040000000001</v>
      </c>
      <c r="N5817">
        <v>-1.3851820000000001E-2</v>
      </c>
      <c r="O5817">
        <v>-0.1191434</v>
      </c>
      <c r="P5817">
        <v>0.67957650000000003</v>
      </c>
      <c r="Q5817">
        <v>-8.2780350000000003E-2</v>
      </c>
      <c r="R5817">
        <v>-0.72891980000000001</v>
      </c>
      <c r="S5817">
        <v>1.02984599999999</v>
      </c>
      <c r="T5817">
        <v>-0.32971009999999901</v>
      </c>
      <c r="U5817">
        <v>-3.13028</v>
      </c>
      <c r="V5817">
        <v>0.64200690000000005</v>
      </c>
      <c r="W5817">
        <v>-7.8567230000000002E-2</v>
      </c>
      <c r="X5817">
        <v>0.76266259999999997</v>
      </c>
      <c r="Y5817">
        <v>0.90123810000000004</v>
      </c>
      <c r="Z5817">
        <v>-6.1118270000000002E-2</v>
      </c>
      <c r="AA5817">
        <v>0.4289924</v>
      </c>
      <c r="AB5817">
        <v>17</v>
      </c>
      <c r="AC5817">
        <v>3.39719999999999</v>
      </c>
      <c r="AD5817">
        <v>-1.1171279999999999</v>
      </c>
      <c r="AE5817">
        <v>-10.591158</v>
      </c>
      <c r="AF5817">
        <v>10.009934096395</v>
      </c>
      <c r="AG5817">
        <v>-1.1171279999999999</v>
      </c>
      <c r="AH5817">
        <v>4.5886959685276798</v>
      </c>
      <c r="AI5817">
        <v>95.792853709534</v>
      </c>
      <c r="AJ5817">
        <v>24.627393816344998</v>
      </c>
      <c r="AK5817">
        <v>11.068102198396</v>
      </c>
      <c r="AL5817">
        <v>94.506215023676702</v>
      </c>
      <c r="AM5817">
        <v>49.909436268541299</v>
      </c>
      <c r="AN5817">
        <v>0.99999995535812003</v>
      </c>
    </row>
    <row r="5818" spans="1:40" x14ac:dyDescent="0.25">
      <c r="A5818" t="str">
        <f>"20190303154634903"</f>
        <v>20190303154634903</v>
      </c>
      <c r="B5818" t="str">
        <f>"1551599194897765"</f>
        <v>1551599194897765</v>
      </c>
      <c r="C5818" t="s">
        <v>40</v>
      </c>
      <c r="D5818">
        <v>5.097874</v>
      </c>
      <c r="E5818">
        <v>0.67487399999999997</v>
      </c>
      <c r="F5818" t="s">
        <v>43</v>
      </c>
      <c r="G5818">
        <v>-304.65320000000003</v>
      </c>
      <c r="H5818">
        <v>-0.05</v>
      </c>
      <c r="I5818">
        <v>2.2528229999999998</v>
      </c>
      <c r="J5818">
        <v>-309.50479999999999</v>
      </c>
      <c r="K5818">
        <v>1.067053</v>
      </c>
      <c r="L5818">
        <v>17.551850000000002</v>
      </c>
      <c r="M5818">
        <v>0.99222469999999996</v>
      </c>
      <c r="N5818">
        <v>-1.386868E-2</v>
      </c>
      <c r="O5818">
        <v>-0.1236863</v>
      </c>
      <c r="P5818">
        <v>0.67525179999999996</v>
      </c>
      <c r="Q5818">
        <v>-8.2663920000000002E-2</v>
      </c>
      <c r="R5818">
        <v>-0.73294099999999995</v>
      </c>
      <c r="S5818">
        <v>1.015747</v>
      </c>
      <c r="T5818">
        <v>-0.22921929999999999</v>
      </c>
      <c r="U5818">
        <v>-3.142639</v>
      </c>
      <c r="V5818">
        <v>0.64302559999999997</v>
      </c>
      <c r="W5818">
        <v>-7.858424E-2</v>
      </c>
      <c r="X5818">
        <v>0.76180219999999998</v>
      </c>
      <c r="Y5818">
        <v>0.90371120000000005</v>
      </c>
      <c r="Z5818">
        <v>-4.5542869999999999E-2</v>
      </c>
      <c r="AA5818">
        <v>0.42571360000000003</v>
      </c>
      <c r="AB5818">
        <v>17</v>
      </c>
      <c r="AC5818">
        <v>4.8515999999999604</v>
      </c>
      <c r="AD5818">
        <v>-1.1170530000000001</v>
      </c>
      <c r="AE5818">
        <v>-15.299027000000001</v>
      </c>
      <c r="AF5818">
        <v>14.5111028992134</v>
      </c>
      <c r="AG5818">
        <v>-1.1170530000000001</v>
      </c>
      <c r="AH5818">
        <v>6.6744695889024497</v>
      </c>
      <c r="AI5818">
        <v>94.000525549116105</v>
      </c>
      <c r="AJ5818">
        <v>24.7003518854807</v>
      </c>
      <c r="AK5818">
        <v>16.0115102051478</v>
      </c>
      <c r="AL5818">
        <v>94.507192452846496</v>
      </c>
      <c r="AM5818">
        <v>49.832799386905599</v>
      </c>
      <c r="AN5818">
        <v>0.99999999847828802</v>
      </c>
    </row>
    <row r="5819" spans="1:40" x14ac:dyDescent="0.25">
      <c r="A5819" t="str">
        <f>"20190303154634915"</f>
        <v>20190303154634915</v>
      </c>
      <c r="B5819" t="str">
        <f>"1551599194907526"</f>
        <v>1551599194907526</v>
      </c>
      <c r="C5819" t="s">
        <v>40</v>
      </c>
      <c r="D5819">
        <v>5.0919670000000004</v>
      </c>
      <c r="E5819">
        <v>0.67450359999999998</v>
      </c>
      <c r="F5819" t="s">
        <v>43</v>
      </c>
      <c r="G5819">
        <v>-305.04570000000001</v>
      </c>
      <c r="H5819">
        <v>-0.05</v>
      </c>
      <c r="I5819">
        <v>3.5274049999999999</v>
      </c>
      <c r="J5819">
        <v>-309.41340000000002</v>
      </c>
      <c r="K5819">
        <v>1.06697999999999</v>
      </c>
      <c r="L5819">
        <v>17.535429999999899</v>
      </c>
      <c r="M5819">
        <v>0.99167559999999999</v>
      </c>
      <c r="N5819">
        <v>-1.388531E-2</v>
      </c>
      <c r="O5819">
        <v>-0.12801170000000001</v>
      </c>
      <c r="P5819">
        <v>0.67204109999999995</v>
      </c>
      <c r="Q5819">
        <v>-8.2224320000000004E-2</v>
      </c>
      <c r="R5819">
        <v>-0.73593509999999995</v>
      </c>
      <c r="S5819">
        <v>0.99960329999999997</v>
      </c>
      <c r="T5819">
        <v>-0.25041429999999998</v>
      </c>
      <c r="U5819">
        <v>-3.1439210000000002</v>
      </c>
      <c r="V5819">
        <v>0.64307380000000003</v>
      </c>
      <c r="W5819">
        <v>-7.824586E-2</v>
      </c>
      <c r="X5819">
        <v>0.76179640000000004</v>
      </c>
      <c r="Y5819">
        <v>0.9034951</v>
      </c>
      <c r="Z5819">
        <v>-4.852861E-2</v>
      </c>
      <c r="AA5819">
        <v>0.42584230000000001</v>
      </c>
      <c r="AB5819">
        <v>17</v>
      </c>
      <c r="AC5819">
        <v>4.3677000000000099</v>
      </c>
      <c r="AD5819">
        <v>-1.1169800000000001</v>
      </c>
      <c r="AE5819">
        <v>-14.0080249999999</v>
      </c>
      <c r="AF5819">
        <v>13.2567621774625</v>
      </c>
      <c r="AG5819">
        <v>-1.1169800000000001</v>
      </c>
      <c r="AH5819">
        <v>6.0898324315707999</v>
      </c>
      <c r="AI5819">
        <v>94.378318521277507</v>
      </c>
      <c r="AJ5819">
        <v>24.672893445409599</v>
      </c>
      <c r="AK5819">
        <v>14.6313173294413</v>
      </c>
      <c r="AL5819">
        <v>94.487744632688106</v>
      </c>
      <c r="AM5819">
        <v>49.830467525057202</v>
      </c>
      <c r="AN5819">
        <v>1.0000000409532599</v>
      </c>
    </row>
    <row r="5820" spans="1:40" x14ac:dyDescent="0.25">
      <c r="A5820" t="str">
        <f>"20190303154634927"</f>
        <v>20190303154634927</v>
      </c>
      <c r="B5820" t="str">
        <f>"1551599194917286"</f>
        <v>1551599194917286</v>
      </c>
      <c r="C5820" t="s">
        <v>40</v>
      </c>
      <c r="D5820">
        <v>5.1443529999999997</v>
      </c>
      <c r="E5820">
        <v>0.67393409999999998</v>
      </c>
      <c r="F5820" t="s">
        <v>43</v>
      </c>
      <c r="G5820">
        <v>-305.25020000000001</v>
      </c>
      <c r="H5820">
        <v>-0.05</v>
      </c>
      <c r="I5820">
        <v>4.2650300000000003</v>
      </c>
      <c r="J5820">
        <v>-309.32729999999998</v>
      </c>
      <c r="K5820">
        <v>1.06691</v>
      </c>
      <c r="L5820">
        <v>17.51953</v>
      </c>
      <c r="M5820">
        <v>0.99113209999999996</v>
      </c>
      <c r="N5820">
        <v>-1.390134E-2</v>
      </c>
      <c r="O5820">
        <v>-0.1321505</v>
      </c>
      <c r="P5820">
        <v>0.66945869999999996</v>
      </c>
      <c r="Q5820">
        <v>-8.2054139999999998E-2</v>
      </c>
      <c r="R5820">
        <v>-0.73830379999999995</v>
      </c>
      <c r="S5820">
        <v>0.98687740000000002</v>
      </c>
      <c r="T5820">
        <v>-0.26477289999999998</v>
      </c>
      <c r="U5820">
        <v>-3.1456599999999999</v>
      </c>
      <c r="V5820">
        <v>0.64257119999999901</v>
      </c>
      <c r="W5820">
        <v>-7.8155440000000007E-2</v>
      </c>
      <c r="X5820">
        <v>0.76222970000000001</v>
      </c>
      <c r="Y5820">
        <v>0.90307910000000002</v>
      </c>
      <c r="Z5820">
        <v>-5.0386760000000003E-2</v>
      </c>
      <c r="AA5820">
        <v>0.42650830000000001</v>
      </c>
      <c r="AB5820">
        <v>17</v>
      </c>
      <c r="AC5820">
        <v>4.0770999999999704</v>
      </c>
      <c r="AD5820">
        <v>-1.1169100000000001</v>
      </c>
      <c r="AE5820">
        <v>-13.2545</v>
      </c>
      <c r="AF5820">
        <v>12.5181820671616</v>
      </c>
      <c r="AG5820">
        <v>-1.1169100000000001</v>
      </c>
      <c r="AH5820">
        <v>5.7557558782890696</v>
      </c>
      <c r="AI5820">
        <v>94.634529378685798</v>
      </c>
      <c r="AJ5820">
        <v>24.6925778098969</v>
      </c>
      <c r="AK5820">
        <v>13.8232085980486</v>
      </c>
      <c r="AL5820">
        <v>94.482547914449896</v>
      </c>
      <c r="AM5820">
        <v>49.868603197982502</v>
      </c>
      <c r="AN5820">
        <v>1.0000000677165499</v>
      </c>
    </row>
    <row r="5821" spans="1:40" x14ac:dyDescent="0.25">
      <c r="A5821" t="str">
        <f>"20190303154634942"</f>
        <v>20190303154634942</v>
      </c>
      <c r="B5821" t="str">
        <f>"1551599194937782"</f>
        <v>1551599194937782</v>
      </c>
      <c r="C5821" t="s">
        <v>40</v>
      </c>
      <c r="D5821">
        <v>4.7945190000000002</v>
      </c>
      <c r="E5821">
        <v>0.67329729999999999</v>
      </c>
      <c r="F5821" t="s">
        <v>43</v>
      </c>
      <c r="G5821">
        <v>-305.43049999999999</v>
      </c>
      <c r="H5821">
        <v>-0.05</v>
      </c>
      <c r="I5821">
        <v>4.987228</v>
      </c>
      <c r="J5821">
        <v>-309.20370000000003</v>
      </c>
      <c r="K5821">
        <v>1.0668139999999999</v>
      </c>
      <c r="L5821">
        <v>17.496029999999902</v>
      </c>
      <c r="M5821">
        <v>0.99030640000000003</v>
      </c>
      <c r="N5821">
        <v>-1.392506E-2</v>
      </c>
      <c r="O5821">
        <v>-0.13820009999999999</v>
      </c>
      <c r="P5821">
        <v>0.66637579999999996</v>
      </c>
      <c r="Q5821">
        <v>-8.2269739999999994E-2</v>
      </c>
      <c r="R5821">
        <v>-0.74106380000000005</v>
      </c>
      <c r="S5821">
        <v>0.97802730000000004</v>
      </c>
      <c r="T5821">
        <v>-0.28032430000000003</v>
      </c>
      <c r="U5821">
        <v>-3.1453859999999998</v>
      </c>
      <c r="V5821">
        <v>0.64105179999999995</v>
      </c>
      <c r="W5821">
        <v>-7.8460500000000002E-2</v>
      </c>
      <c r="X5821">
        <v>0.76347670000000001</v>
      </c>
      <c r="Y5821">
        <v>0.90126870000000003</v>
      </c>
      <c r="Z5821">
        <v>-5.2017769999999998E-2</v>
      </c>
      <c r="AA5821">
        <v>0.43012669999999997</v>
      </c>
      <c r="AB5821">
        <v>17</v>
      </c>
      <c r="AC5821">
        <v>3.7732000000000299</v>
      </c>
      <c r="AD5821">
        <v>-1.116814</v>
      </c>
      <c r="AE5821">
        <v>-12.5088019999999</v>
      </c>
      <c r="AF5821">
        <v>11.7811618689938</v>
      </c>
      <c r="AG5821">
        <v>-1.116814</v>
      </c>
      <c r="AH5821">
        <v>5.4262251543479003</v>
      </c>
      <c r="AI5821">
        <v>94.9211821510265</v>
      </c>
      <c r="AJ5821">
        <v>24.730083197888899</v>
      </c>
      <c r="AK5821">
        <v>13.0187160626425</v>
      </c>
      <c r="AL5821">
        <v>94.500080410531098</v>
      </c>
      <c r="AM5821">
        <v>49.981562326265703</v>
      </c>
      <c r="AN5821">
        <v>1.00000006589318</v>
      </c>
    </row>
    <row r="5822" spans="1:40" x14ac:dyDescent="0.25">
      <c r="A5822" t="str">
        <f>"20190303154634956"</f>
        <v>20190303154634956</v>
      </c>
      <c r="B5822" t="str">
        <f>"1551599194947542"</f>
        <v>1551599194947542</v>
      </c>
      <c r="C5822" t="s">
        <v>40</v>
      </c>
      <c r="D5822">
        <v>5.1671829999999996</v>
      </c>
      <c r="E5822">
        <v>0.67268240000000001</v>
      </c>
      <c r="F5822" t="s">
        <v>43</v>
      </c>
      <c r="G5822">
        <v>-305.58429999999998</v>
      </c>
      <c r="H5822">
        <v>-0.05</v>
      </c>
      <c r="I5822">
        <v>5.7374879999999999</v>
      </c>
      <c r="J5822">
        <v>-309.09949999999998</v>
      </c>
      <c r="K5822">
        <v>1.066754</v>
      </c>
      <c r="L5822">
        <v>17.47531</v>
      </c>
      <c r="M5822">
        <v>0.98956169999999999</v>
      </c>
      <c r="N5822">
        <v>-1.3945819999999999E-2</v>
      </c>
      <c r="O5822">
        <v>-0.14343449999999999</v>
      </c>
      <c r="P5822">
        <v>0.66213610000000001</v>
      </c>
      <c r="Q5822">
        <v>-8.2717780000000005E-2</v>
      </c>
      <c r="R5822">
        <v>-0.74480480000000004</v>
      </c>
      <c r="S5822">
        <v>0.9679565</v>
      </c>
      <c r="T5822">
        <v>-0.29867579999999999</v>
      </c>
      <c r="U5822">
        <v>-3.1446529999999999</v>
      </c>
      <c r="V5822">
        <v>0.64130399999999999</v>
      </c>
      <c r="W5822">
        <v>-7.9008200000000001E-2</v>
      </c>
      <c r="X5822">
        <v>0.76320829999999995</v>
      </c>
      <c r="Y5822">
        <v>0.89985559999999998</v>
      </c>
      <c r="Z5822">
        <v>-5.4117819999999997E-2</v>
      </c>
      <c r="AA5822">
        <v>0.43281770000000003</v>
      </c>
      <c r="AB5822">
        <v>17</v>
      </c>
      <c r="AC5822">
        <v>3.5151999999999899</v>
      </c>
      <c r="AD5822">
        <v>-1.116754</v>
      </c>
      <c r="AE5822">
        <v>-11.737822</v>
      </c>
      <c r="AF5822">
        <v>11.0206299174466</v>
      </c>
      <c r="AG5822">
        <v>-1.116754</v>
      </c>
      <c r="AH5822">
        <v>5.1200851986034399</v>
      </c>
      <c r="AI5822">
        <v>95.250691566551296</v>
      </c>
      <c r="AJ5822">
        <v>24.919155670375499</v>
      </c>
      <c r="AK5822">
        <v>12.203142862180799</v>
      </c>
      <c r="AL5822">
        <v>94.531559270332096</v>
      </c>
      <c r="AM5822">
        <v>49.960541566555399</v>
      </c>
      <c r="AN5822">
        <v>1.00000001263606</v>
      </c>
    </row>
    <row r="5823" spans="1:40" x14ac:dyDescent="0.25">
      <c r="A5823" t="str">
        <f>"20190303154634976"</f>
        <v>20190303154634976</v>
      </c>
      <c r="B5823" t="str">
        <f>"1551599194967062"</f>
        <v>1551599194967062</v>
      </c>
      <c r="C5823" t="s">
        <v>40</v>
      </c>
      <c r="D5823">
        <v>5.2241499999999998</v>
      </c>
      <c r="E5823">
        <v>0.67180189999999995</v>
      </c>
      <c r="F5823" t="s">
        <v>43</v>
      </c>
      <c r="G5823">
        <v>-305.68740000000003</v>
      </c>
      <c r="H5823">
        <v>-0.05</v>
      </c>
      <c r="I5823">
        <v>6.2109990000000002</v>
      </c>
      <c r="J5823">
        <v>-308.94260000000003</v>
      </c>
      <c r="K5823">
        <v>1.066665</v>
      </c>
      <c r="L5823">
        <v>17.44293</v>
      </c>
      <c r="M5823">
        <v>0.98836400000000002</v>
      </c>
      <c r="N5823">
        <v>-1.3975960000000001E-2</v>
      </c>
      <c r="O5823">
        <v>-0.15146509999999999</v>
      </c>
      <c r="P5823">
        <v>0.65361219999999998</v>
      </c>
      <c r="Q5823">
        <v>-8.1988640000000002E-2</v>
      </c>
      <c r="R5823">
        <v>-0.75237619999999905</v>
      </c>
      <c r="S5823">
        <v>0.95297240000000005</v>
      </c>
      <c r="T5823">
        <v>-0.31190000000000001</v>
      </c>
      <c r="U5823">
        <v>-3.1460270000000001</v>
      </c>
      <c r="V5823">
        <v>0.64385939999999997</v>
      </c>
      <c r="W5823">
        <v>-7.8456269999999995E-2</v>
      </c>
      <c r="X5823">
        <v>0.76111079999999998</v>
      </c>
      <c r="Y5823">
        <v>0.89803739999999999</v>
      </c>
      <c r="Z5823">
        <v>-5.5067079999999997E-2</v>
      </c>
      <c r="AA5823">
        <v>0.43645889999999998</v>
      </c>
      <c r="AB5823">
        <v>17</v>
      </c>
      <c r="AC5823">
        <v>3.2551999999999999</v>
      </c>
      <c r="AD5823">
        <v>-1.116665</v>
      </c>
      <c r="AE5823">
        <v>-11.231930999999999</v>
      </c>
      <c r="AF5823">
        <v>10.513357976215101</v>
      </c>
      <c r="AG5823">
        <v>-1.116665</v>
      </c>
      <c r="AH5823">
        <v>4.8745998073813004</v>
      </c>
      <c r="AI5823">
        <v>95.504032451821004</v>
      </c>
      <c r="AJ5823">
        <v>24.875162023112999</v>
      </c>
      <c r="AK5823">
        <v>11.642137258269701</v>
      </c>
      <c r="AL5823">
        <v>94.499837680191007</v>
      </c>
      <c r="AM5823">
        <v>49.770548816562297</v>
      </c>
      <c r="AN5823">
        <v>0.99999998157365599</v>
      </c>
    </row>
    <row r="5824" spans="1:40" x14ac:dyDescent="0.25">
      <c r="A5824" t="str">
        <f>"20190303154634998"</f>
        <v>20190303154634998</v>
      </c>
      <c r="B5824" t="str">
        <f>"1551599194987558"</f>
        <v>1551599194987558</v>
      </c>
      <c r="C5824" t="s">
        <v>40</v>
      </c>
      <c r="D5824">
        <v>5.2265430000000004</v>
      </c>
      <c r="E5824">
        <v>0.67126180000000002</v>
      </c>
      <c r="F5824" t="s">
        <v>43</v>
      </c>
      <c r="G5824">
        <v>-305.78530000000001</v>
      </c>
      <c r="H5824">
        <v>-0.05</v>
      </c>
      <c r="I5824">
        <v>6.645187</v>
      </c>
      <c r="J5824">
        <v>-308.78019999999998</v>
      </c>
      <c r="K5824">
        <v>1.066594</v>
      </c>
      <c r="L5824">
        <v>17.407710000000002</v>
      </c>
      <c r="M5824">
        <v>0.98702080000000003</v>
      </c>
      <c r="N5824">
        <v>-1.4005460000000001E-2</v>
      </c>
      <c r="O5824">
        <v>-0.1599807</v>
      </c>
      <c r="P5824">
        <v>0.64294669999999998</v>
      </c>
      <c r="Q5824">
        <v>-8.200855E-2</v>
      </c>
      <c r="R5824">
        <v>-0.76150819999999997</v>
      </c>
      <c r="S5824">
        <v>0.92144780000000004</v>
      </c>
      <c r="T5824">
        <v>-0.32590010000000003</v>
      </c>
      <c r="U5824">
        <v>-3.1513369999999998</v>
      </c>
      <c r="V5824">
        <v>0.64798750000000005</v>
      </c>
      <c r="W5824">
        <v>-7.8673380000000001E-2</v>
      </c>
      <c r="X5824">
        <v>0.7575769</v>
      </c>
      <c r="Y5824">
        <v>0.89820059999999902</v>
      </c>
      <c r="Z5824">
        <v>-5.6350860000000003E-2</v>
      </c>
      <c r="AA5824">
        <v>0.43595919999999999</v>
      </c>
      <c r="AB5824">
        <v>17</v>
      </c>
      <c r="AC5824">
        <v>2.9948999999999701</v>
      </c>
      <c r="AD5824">
        <v>-1.1165940000000001</v>
      </c>
      <c r="AE5824">
        <v>-10.762523</v>
      </c>
      <c r="AF5824">
        <v>10.044358182591299</v>
      </c>
      <c r="AG5824">
        <v>-1.1165940000000001</v>
      </c>
      <c r="AH5824">
        <v>4.6320089263671296</v>
      </c>
      <c r="AI5824">
        <v>95.764433932749</v>
      </c>
      <c r="AJ5824">
        <v>24.757039249031699</v>
      </c>
      <c r="AK5824">
        <v>11.117167811766199</v>
      </c>
      <c r="AL5824">
        <v>94.512315517097306</v>
      </c>
      <c r="AM5824">
        <v>49.458232463774301</v>
      </c>
      <c r="AN5824">
        <v>1.0000000301452401</v>
      </c>
    </row>
    <row r="5825" spans="1:40" x14ac:dyDescent="0.25">
      <c r="A5825" t="str">
        <f>"20190303154635010"</f>
        <v>20190303154635010</v>
      </c>
      <c r="B5825" t="str">
        <f>"1551599195007078"</f>
        <v>1551599195007078</v>
      </c>
      <c r="C5825" t="s">
        <v>40</v>
      </c>
      <c r="D5825">
        <v>5.2594969999999996</v>
      </c>
      <c r="E5825">
        <v>0.67060129999999996</v>
      </c>
      <c r="F5825" t="s">
        <v>43</v>
      </c>
      <c r="G5825">
        <v>-305.80689999999998</v>
      </c>
      <c r="H5825">
        <v>-0.05</v>
      </c>
      <c r="I5825">
        <v>6.7272949999999998</v>
      </c>
      <c r="J5825">
        <v>-308.68400000000003</v>
      </c>
      <c r="K5825">
        <v>1.066554</v>
      </c>
      <c r="L5825">
        <v>17.386019999999998</v>
      </c>
      <c r="M5825">
        <v>0.9861723</v>
      </c>
      <c r="N5825">
        <v>-1.4022410000000001E-2</v>
      </c>
      <c r="O5825">
        <v>-0.16512950000000001</v>
      </c>
      <c r="P5825">
        <v>0.63683190000000001</v>
      </c>
      <c r="Q5825">
        <v>-8.223113E-2</v>
      </c>
      <c r="R5825">
        <v>-0.76660530000000005</v>
      </c>
      <c r="S5825">
        <v>0.87997440000000005</v>
      </c>
      <c r="T5825">
        <v>-0.3304704</v>
      </c>
      <c r="U5825">
        <v>-3.1610109999999998</v>
      </c>
      <c r="V5825">
        <v>0.65005729999999995</v>
      </c>
      <c r="W5825">
        <v>-7.8995789999999996E-2</v>
      </c>
      <c r="X5825">
        <v>0.75576790000000005</v>
      </c>
      <c r="Y5825">
        <v>0.90140900000000002</v>
      </c>
      <c r="Z5825">
        <v>-5.7116680000000003E-2</v>
      </c>
      <c r="AA5825">
        <v>0.42918489999999998</v>
      </c>
      <c r="AB5825">
        <v>17</v>
      </c>
      <c r="AC5825">
        <v>2.87710000000004</v>
      </c>
      <c r="AD5825">
        <v>-1.116554</v>
      </c>
      <c r="AE5825">
        <v>-10.658725</v>
      </c>
      <c r="AF5825">
        <v>9.9356064130335202</v>
      </c>
      <c r="AG5825">
        <v>-1.116554</v>
      </c>
      <c r="AH5825">
        <v>4.5512857796575901</v>
      </c>
      <c r="AI5825">
        <v>95.833650728567093</v>
      </c>
      <c r="AJ5825">
        <v>24.611488406805499</v>
      </c>
      <c r="AK5825">
        <v>10.9853161027683</v>
      </c>
      <c r="AL5825">
        <v>94.530846178525593</v>
      </c>
      <c r="AM5825">
        <v>49.300246088391297</v>
      </c>
      <c r="AN5825">
        <v>0.99999997339571101</v>
      </c>
    </row>
    <row r="5826" spans="1:40" x14ac:dyDescent="0.25">
      <c r="A5826" t="str">
        <f>"20190303154635022"</f>
        <v>20190303154635022</v>
      </c>
      <c r="B5826" t="str">
        <f>"1551599195016838"</f>
        <v>1551599195016838</v>
      </c>
      <c r="C5826" t="s">
        <v>40</v>
      </c>
      <c r="D5826">
        <v>5.487743</v>
      </c>
      <c r="E5826">
        <v>0.67087649999999999</v>
      </c>
      <c r="F5826" t="s">
        <v>43</v>
      </c>
      <c r="G5826">
        <v>-305.84780000000001</v>
      </c>
      <c r="H5826">
        <v>-0.05</v>
      </c>
      <c r="I5826">
        <v>6.9345399999999904</v>
      </c>
      <c r="J5826">
        <v>-308.59859999999998</v>
      </c>
      <c r="K5826">
        <v>1.066514</v>
      </c>
      <c r="L5826">
        <v>17.366420000000002</v>
      </c>
      <c r="M5826">
        <v>0.98539109999999996</v>
      </c>
      <c r="N5826">
        <v>-1.403714E-2</v>
      </c>
      <c r="O5826">
        <v>-0.1697284</v>
      </c>
      <c r="P5826">
        <v>0.63105789999999995</v>
      </c>
      <c r="Q5826">
        <v>-8.3132960000000006E-2</v>
      </c>
      <c r="R5826">
        <v>-0.77126879999999998</v>
      </c>
      <c r="S5826">
        <v>0.85855099999999995</v>
      </c>
      <c r="T5826">
        <v>-0.33800390000000002</v>
      </c>
      <c r="U5826">
        <v>-3.1638790000000001</v>
      </c>
      <c r="V5826">
        <v>0.65208809999999995</v>
      </c>
      <c r="W5826">
        <v>-7.9990210000000006E-2</v>
      </c>
      <c r="X5826">
        <v>0.75391160000000002</v>
      </c>
      <c r="Y5826">
        <v>0.90203789999999995</v>
      </c>
      <c r="Z5826">
        <v>-5.7877999999999999E-2</v>
      </c>
      <c r="AA5826">
        <v>0.4277591</v>
      </c>
      <c r="AB5826">
        <v>17</v>
      </c>
      <c r="AC5826">
        <v>2.7507999999999599</v>
      </c>
      <c r="AD5826">
        <v>-1.116514</v>
      </c>
      <c r="AE5826">
        <v>-10.43188</v>
      </c>
      <c r="AF5826">
        <v>9.7095637202328398</v>
      </c>
      <c r="AG5826">
        <v>-1.116514</v>
      </c>
      <c r="AH5826">
        <v>4.4341489623510899</v>
      </c>
      <c r="AI5826">
        <v>95.971417034052095</v>
      </c>
      <c r="AJ5826">
        <v>24.545160551477299</v>
      </c>
      <c r="AK5826">
        <v>10.732376631938299</v>
      </c>
      <c r="AL5826">
        <v>94.588002950442799</v>
      </c>
      <c r="AM5826">
        <v>49.142169712482001</v>
      </c>
      <c r="AN5826">
        <v>1.000000012236</v>
      </c>
    </row>
    <row r="5827" spans="1:40" x14ac:dyDescent="0.25">
      <c r="A5827" t="str">
        <f>"20190303154635034"</f>
        <v>20190303154635034</v>
      </c>
      <c r="B5827" t="str">
        <f>"1551599195027573"</f>
        <v>1551599195027573</v>
      </c>
      <c r="C5827" t="s">
        <v>40</v>
      </c>
      <c r="D5827">
        <v>5.2764639999999998</v>
      </c>
      <c r="E5827">
        <v>0.67103429999999997</v>
      </c>
      <c r="F5827" t="s">
        <v>43</v>
      </c>
      <c r="G5827">
        <v>-305.86189999999999</v>
      </c>
      <c r="H5827">
        <v>-0.05</v>
      </c>
      <c r="I5827">
        <v>6.9448699999999999</v>
      </c>
      <c r="J5827">
        <v>-308.50069999999999</v>
      </c>
      <c r="K5827">
        <v>1.0664769999999999</v>
      </c>
      <c r="L5827">
        <v>17.343019999999999</v>
      </c>
      <c r="M5827">
        <v>0.98444739999999997</v>
      </c>
      <c r="N5827">
        <v>-1.40546E-2</v>
      </c>
      <c r="O5827">
        <v>-0.17511650000000001</v>
      </c>
      <c r="P5827">
        <v>0.6248013</v>
      </c>
      <c r="Q5827">
        <v>-8.455037E-2</v>
      </c>
      <c r="R5827">
        <v>-0.77619249999999995</v>
      </c>
      <c r="S5827">
        <v>0.83285520000000002</v>
      </c>
      <c r="T5827">
        <v>-0.33979280000000001</v>
      </c>
      <c r="U5827">
        <v>-3.1716310000000001</v>
      </c>
      <c r="V5827">
        <v>0.65387980000000001</v>
      </c>
      <c r="W5827">
        <v>-8.1497799999999995E-2</v>
      </c>
      <c r="X5827">
        <v>0.75219639999999999</v>
      </c>
      <c r="Y5827">
        <v>0.9031671</v>
      </c>
      <c r="Z5827">
        <v>-5.7789010000000002E-2</v>
      </c>
      <c r="AA5827">
        <v>0.42538160000000003</v>
      </c>
      <c r="AB5827">
        <v>17</v>
      </c>
      <c r="AC5827">
        <v>2.6387999999999998</v>
      </c>
      <c r="AD5827">
        <v>-1.1164769999999999</v>
      </c>
      <c r="AE5827">
        <v>-10.398149999999999</v>
      </c>
      <c r="AF5827">
        <v>9.6705548732051305</v>
      </c>
      <c r="AG5827">
        <v>-1.1164769999999999</v>
      </c>
      <c r="AH5827">
        <v>4.37173224359492</v>
      </c>
      <c r="AI5827">
        <v>96.005478672204305</v>
      </c>
      <c r="AJ5827">
        <v>24.3261239899212</v>
      </c>
      <c r="AK5827">
        <v>10.671372697872</v>
      </c>
      <c r="AL5827">
        <v>94.674664266251497</v>
      </c>
      <c r="AM5827">
        <v>48.999763752551502</v>
      </c>
      <c r="AN5827">
        <v>1.0000000542129099</v>
      </c>
    </row>
    <row r="5828" spans="1:40" x14ac:dyDescent="0.25">
      <c r="A5828" t="str">
        <f>"20190303154635047"</f>
        <v>20190303154635047</v>
      </c>
      <c r="B5828" t="str">
        <f>"1551599195037334"</f>
        <v>1551599195037334</v>
      </c>
      <c r="C5828" t="s">
        <v>40</v>
      </c>
      <c r="D5828">
        <v>5.2704719999999998</v>
      </c>
      <c r="E5828">
        <v>0.67123859999999902</v>
      </c>
      <c r="F5828" t="s">
        <v>43</v>
      </c>
      <c r="G5828">
        <v>-305.87729999999999</v>
      </c>
      <c r="H5828">
        <v>-0.05</v>
      </c>
      <c r="I5828">
        <v>7.004257</v>
      </c>
      <c r="J5828">
        <v>-308.4083</v>
      </c>
      <c r="K5828">
        <v>1.0664419999999999</v>
      </c>
      <c r="L5828">
        <v>17.32056</v>
      </c>
      <c r="M5828">
        <v>0.98352269999999997</v>
      </c>
      <c r="N5828">
        <v>-1.407096E-2</v>
      </c>
      <c r="O5828">
        <v>-0.18023649999999999</v>
      </c>
      <c r="P5828">
        <v>0.61837299999999995</v>
      </c>
      <c r="Q5828">
        <v>-8.6038799999999999E-2</v>
      </c>
      <c r="R5828">
        <v>-0.78116109999999905</v>
      </c>
      <c r="S5828">
        <v>0.80651859999999997</v>
      </c>
      <c r="T5828">
        <v>-0.34323779999999998</v>
      </c>
      <c r="U5828">
        <v>-3.178436</v>
      </c>
      <c r="V5828">
        <v>0.65598429999999996</v>
      </c>
      <c r="W5828">
        <v>-8.3079959999999994E-2</v>
      </c>
      <c r="X5828">
        <v>0.75018809999999903</v>
      </c>
      <c r="Y5828">
        <v>0.90440549999999997</v>
      </c>
      <c r="Z5828">
        <v>-5.7982239999999997E-2</v>
      </c>
      <c r="AA5828">
        <v>0.42271589999999998</v>
      </c>
      <c r="AB5828">
        <v>17</v>
      </c>
      <c r="AC5828">
        <v>2.5310000000000001</v>
      </c>
      <c r="AD5828">
        <v>-1.1164419999999999</v>
      </c>
      <c r="AE5828">
        <v>-10.316303</v>
      </c>
      <c r="AF5828">
        <v>9.5852118727835496</v>
      </c>
      <c r="AG5828">
        <v>-1.1164419999999999</v>
      </c>
      <c r="AH5828">
        <v>4.3015815982885899</v>
      </c>
      <c r="AI5828">
        <v>96.065785308114798</v>
      </c>
      <c r="AJ5828">
        <v>24.169241963649799</v>
      </c>
      <c r="AK5828">
        <v>10.5653364183186</v>
      </c>
      <c r="AL5828">
        <v>94.765624425872105</v>
      </c>
      <c r="AM5828">
        <v>48.8326929691505</v>
      </c>
      <c r="AN5828">
        <v>0.99999993349084804</v>
      </c>
    </row>
    <row r="5829" spans="1:40" x14ac:dyDescent="0.25">
      <c r="A5829" t="str">
        <f>"20190303154635056"</f>
        <v>20190303154635056</v>
      </c>
      <c r="B5829" t="str">
        <f>"1551599195047095"</f>
        <v>1551599195047095</v>
      </c>
      <c r="C5829" t="s">
        <v>40</v>
      </c>
      <c r="D5829">
        <v>5.3030200000000001</v>
      </c>
      <c r="E5829">
        <v>0.67129799999999995</v>
      </c>
      <c r="F5829" t="s">
        <v>43</v>
      </c>
      <c r="G5829">
        <v>-305.89159999999998</v>
      </c>
      <c r="H5829">
        <v>-0.05</v>
      </c>
      <c r="I5829">
        <v>7.0285029999999997</v>
      </c>
      <c r="J5829">
        <v>-308.32560000000001</v>
      </c>
      <c r="K5829">
        <v>1.066411</v>
      </c>
      <c r="L5829">
        <v>17.29993</v>
      </c>
      <c r="M5829">
        <v>0.98266149999999997</v>
      </c>
      <c r="N5829">
        <v>-1.40857E-2</v>
      </c>
      <c r="O5829">
        <v>-0.18487300000000001</v>
      </c>
      <c r="P5829">
        <v>0.61265349999999996</v>
      </c>
      <c r="Q5829">
        <v>-8.7377730000000001E-2</v>
      </c>
      <c r="R5829">
        <v>-0.785506699999999</v>
      </c>
      <c r="S5829">
        <v>0.77899169999999995</v>
      </c>
      <c r="T5829">
        <v>-0.34557179999999998</v>
      </c>
      <c r="U5829">
        <v>-3.1856990000000001</v>
      </c>
      <c r="V5829">
        <v>0.65775109999999903</v>
      </c>
      <c r="W5829">
        <v>-8.4498089999999998E-2</v>
      </c>
      <c r="X5829">
        <v>0.74848079999999995</v>
      </c>
      <c r="Y5829">
        <v>0.90601860000000001</v>
      </c>
      <c r="Z5829">
        <v>-5.8135729999999997E-2</v>
      </c>
      <c r="AA5829">
        <v>0.4192263</v>
      </c>
      <c r="AB5829">
        <v>17</v>
      </c>
      <c r="AC5829">
        <v>2.4340000000000201</v>
      </c>
      <c r="AD5829">
        <v>-1.116411</v>
      </c>
      <c r="AE5829">
        <v>-10.271426999999999</v>
      </c>
      <c r="AF5829">
        <v>9.5376273772193692</v>
      </c>
      <c r="AG5829">
        <v>-1.116411</v>
      </c>
      <c r="AH5829">
        <v>4.2436652487729596</v>
      </c>
      <c r="AI5829">
        <v>96.1042973149125</v>
      </c>
      <c r="AJ5829">
        <v>23.9861609542093</v>
      </c>
      <c r="AK5829">
        <v>10.498638209370201</v>
      </c>
      <c r="AL5829">
        <v>94.847163845892098</v>
      </c>
      <c r="AM5829">
        <v>48.691591349787203</v>
      </c>
      <c r="AN5829">
        <v>0.99999997236674798</v>
      </c>
    </row>
    <row r="5830" spans="1:40" x14ac:dyDescent="0.25">
      <c r="A5830" t="str">
        <f>"20190303154635069"</f>
        <v>20190303154635069</v>
      </c>
      <c r="B5830" t="str">
        <f>"1551599195056855"</f>
        <v>1551599195056855</v>
      </c>
      <c r="C5830" t="s">
        <v>40</v>
      </c>
      <c r="D5830">
        <v>5.3010900000000003</v>
      </c>
      <c r="E5830">
        <v>0.67131949999999996</v>
      </c>
      <c r="F5830" t="s">
        <v>43</v>
      </c>
      <c r="G5830">
        <v>-305.90480000000002</v>
      </c>
      <c r="H5830">
        <v>-0.05</v>
      </c>
      <c r="I5830">
        <v>7.0702970000000001</v>
      </c>
      <c r="J5830">
        <v>-308.2362</v>
      </c>
      <c r="K5830">
        <v>1.0663800000000001</v>
      </c>
      <c r="L5830">
        <v>17.27704</v>
      </c>
      <c r="M5830">
        <v>0.98169390000000001</v>
      </c>
      <c r="N5830">
        <v>-1.4101799999999999E-2</v>
      </c>
      <c r="O5830">
        <v>-0.189943</v>
      </c>
      <c r="P5830">
        <v>0.6070468</v>
      </c>
      <c r="Q5830">
        <v>-8.9086009999999993E-2</v>
      </c>
      <c r="R5830">
        <v>-0.78965699999999905</v>
      </c>
      <c r="S5830">
        <v>0.75521850000000001</v>
      </c>
      <c r="T5830">
        <v>-0.3482944</v>
      </c>
      <c r="U5830">
        <v>-3.1914060000000002</v>
      </c>
      <c r="V5830">
        <v>0.65899779999999997</v>
      </c>
      <c r="W5830">
        <v>-8.6277889999999996E-2</v>
      </c>
      <c r="X5830">
        <v>0.74717999999999996</v>
      </c>
      <c r="Y5830">
        <v>0.90692899999999999</v>
      </c>
      <c r="Z5830">
        <v>-5.8157439999999998E-2</v>
      </c>
      <c r="AA5830">
        <v>0.41725020000000002</v>
      </c>
      <c r="AB5830">
        <v>17</v>
      </c>
      <c r="AC5830">
        <v>2.3313999999999702</v>
      </c>
      <c r="AD5830">
        <v>-1.1163799999999999</v>
      </c>
      <c r="AE5830">
        <v>-10.206742999999999</v>
      </c>
      <c r="AF5830">
        <v>9.4703379602665692</v>
      </c>
      <c r="AG5830">
        <v>-1.1163799999999999</v>
      </c>
      <c r="AH5830">
        <v>4.18031040452742</v>
      </c>
      <c r="AI5830">
        <v>96.155147651857405</v>
      </c>
      <c r="AJ5830">
        <v>23.817185987746502</v>
      </c>
      <c r="AK5830">
        <v>10.411945085538299</v>
      </c>
      <c r="AL5830">
        <v>94.949512735583298</v>
      </c>
      <c r="AM5830">
        <v>48.588351583897101</v>
      </c>
      <c r="AN5830">
        <v>0.99999996355384502</v>
      </c>
    </row>
    <row r="5831" spans="1:40" x14ac:dyDescent="0.25">
      <c r="A5831" t="str">
        <f>"20190303154635081"</f>
        <v>20190303154635081</v>
      </c>
      <c r="B5831" t="str">
        <f>"1551599195077350"</f>
        <v>1551599195077350</v>
      </c>
      <c r="C5831" t="s">
        <v>40</v>
      </c>
      <c r="D5831">
        <v>5.3264279999999999</v>
      </c>
      <c r="E5831">
        <v>0.67132380000000003</v>
      </c>
      <c r="F5831" t="s">
        <v>43</v>
      </c>
      <c r="G5831">
        <v>-305.90629999999999</v>
      </c>
      <c r="H5831">
        <v>-0.05</v>
      </c>
      <c r="I5831">
        <v>7.1095889999999997</v>
      </c>
      <c r="J5831">
        <v>-308.14499999999998</v>
      </c>
      <c r="K5831">
        <v>1.066349</v>
      </c>
      <c r="L5831">
        <v>17.253329999999998</v>
      </c>
      <c r="M5831">
        <v>0.98067289999999996</v>
      </c>
      <c r="N5831">
        <v>-1.41181E-2</v>
      </c>
      <c r="O5831">
        <v>-0.1951445</v>
      </c>
      <c r="P5831">
        <v>0.60155990000000004</v>
      </c>
      <c r="Q5831">
        <v>-9.0599949999999999E-2</v>
      </c>
      <c r="R5831">
        <v>-0.79367379999999998</v>
      </c>
      <c r="S5831">
        <v>0.73248290000000005</v>
      </c>
      <c r="T5831">
        <v>-0.35096759999999999</v>
      </c>
      <c r="U5831">
        <v>-3.1964419999999998</v>
      </c>
      <c r="V5831">
        <v>0.66001919999999903</v>
      </c>
      <c r="W5831">
        <v>-8.7859409999999999E-2</v>
      </c>
      <c r="X5831">
        <v>0.74609349999999997</v>
      </c>
      <c r="Y5831">
        <v>0.90763570000000005</v>
      </c>
      <c r="Z5831">
        <v>-5.8112009999999999E-2</v>
      </c>
      <c r="AA5831">
        <v>0.41571669999999999</v>
      </c>
      <c r="AB5831">
        <v>17</v>
      </c>
      <c r="AC5831">
        <v>2.2386999999999899</v>
      </c>
      <c r="AD5831">
        <v>-1.116349</v>
      </c>
      <c r="AE5831">
        <v>-10.143741</v>
      </c>
      <c r="AF5831">
        <v>9.4031712874007507</v>
      </c>
      <c r="AG5831">
        <v>-1.116349</v>
      </c>
      <c r="AH5831">
        <v>4.1276727204231296</v>
      </c>
      <c r="AI5831">
        <v>96.204148996913503</v>
      </c>
      <c r="AJ5831">
        <v>23.699842188696898</v>
      </c>
      <c r="AK5831">
        <v>10.3297409181897</v>
      </c>
      <c r="AL5831">
        <v>95.040472091622306</v>
      </c>
      <c r="AM5831">
        <v>48.502953863127203</v>
      </c>
      <c r="AN5831">
        <v>1.00000006551821</v>
      </c>
    </row>
    <row r="5832" spans="1:40" x14ac:dyDescent="0.25">
      <c r="A5832" t="str">
        <f>"20190303154635091"</f>
        <v>20190303154635091</v>
      </c>
      <c r="B5832" t="str">
        <f>"1551599195087110"</f>
        <v>1551599195087110</v>
      </c>
      <c r="C5832" t="s">
        <v>40</v>
      </c>
      <c r="D5832">
        <v>5.337968</v>
      </c>
      <c r="E5832">
        <v>0.67134150000000004</v>
      </c>
      <c r="F5832" t="s">
        <v>43</v>
      </c>
      <c r="G5832">
        <v>-305.89400000000001</v>
      </c>
      <c r="H5832">
        <v>-0.05</v>
      </c>
      <c r="I5832">
        <v>7.1059570000000001</v>
      </c>
      <c r="J5832">
        <v>-308.05889999999999</v>
      </c>
      <c r="K5832">
        <v>1.066317</v>
      </c>
      <c r="L5832">
        <v>17.230070000000001</v>
      </c>
      <c r="M5832">
        <v>0.97966180000000003</v>
      </c>
      <c r="N5832">
        <v>-1.413417E-2</v>
      </c>
      <c r="O5832">
        <v>-0.20015749999999999</v>
      </c>
      <c r="P5832">
        <v>0.59693509999999905</v>
      </c>
      <c r="Q5832">
        <v>-9.1861449999999997E-2</v>
      </c>
      <c r="R5832">
        <v>-0.79701330000000004</v>
      </c>
      <c r="S5832">
        <v>0.71017459999999999</v>
      </c>
      <c r="T5832">
        <v>-0.35219909999999999</v>
      </c>
      <c r="U5832">
        <v>-3.201416</v>
      </c>
      <c r="V5832">
        <v>0.66037599999999996</v>
      </c>
      <c r="W5832">
        <v>-8.9178820000000006E-2</v>
      </c>
      <c r="X5832">
        <v>0.74562099999999998</v>
      </c>
      <c r="Y5832">
        <v>0.90839639999999999</v>
      </c>
      <c r="Z5832">
        <v>-5.7895429999999998E-2</v>
      </c>
      <c r="AA5832">
        <v>0.41408230000000001</v>
      </c>
      <c r="AB5832">
        <v>17</v>
      </c>
      <c r="AC5832">
        <v>2.1648999999999798</v>
      </c>
      <c r="AD5832">
        <v>-1.116317</v>
      </c>
      <c r="AE5832">
        <v>-10.124112999999999</v>
      </c>
      <c r="AF5832">
        <v>9.3768150540640907</v>
      </c>
      <c r="AG5832">
        <v>-1.116317</v>
      </c>
      <c r="AH5832">
        <v>4.1000328124528096</v>
      </c>
      <c r="AI5832">
        <v>96.225163537851301</v>
      </c>
      <c r="AJ5832">
        <v>23.617458704904799</v>
      </c>
      <c r="AK5832">
        <v>10.2947119078584</v>
      </c>
      <c r="AL5832">
        <v>95.116366981236098</v>
      </c>
      <c r="AM5832">
        <v>48.469571579192603</v>
      </c>
      <c r="AN5832">
        <v>0.99999999947679596</v>
      </c>
    </row>
    <row r="5833" spans="1:40" x14ac:dyDescent="0.25">
      <c r="A5833" t="str">
        <f>"20190303154635103"</f>
        <v>20190303154635103</v>
      </c>
      <c r="B5833" t="str">
        <f>"1551599195096870"</f>
        <v>1551599195096870</v>
      </c>
      <c r="C5833" t="s">
        <v>40</v>
      </c>
      <c r="D5833">
        <v>5.3296320000000001</v>
      </c>
      <c r="E5833">
        <v>0.67127499999999996</v>
      </c>
      <c r="F5833" t="s">
        <v>43</v>
      </c>
      <c r="G5833">
        <v>-305.87380000000002</v>
      </c>
      <c r="H5833">
        <v>-0.05</v>
      </c>
      <c r="I5833">
        <v>7.1009219999999997</v>
      </c>
      <c r="J5833">
        <v>-307.97989999999999</v>
      </c>
      <c r="K5833">
        <v>1.066284</v>
      </c>
      <c r="L5833">
        <v>17.20853</v>
      </c>
      <c r="M5833">
        <v>0.97870650000000003</v>
      </c>
      <c r="N5833">
        <v>-1.4148849999999999E-2</v>
      </c>
      <c r="O5833">
        <v>-0.20477629999999999</v>
      </c>
      <c r="P5833">
        <v>0.59302500000000002</v>
      </c>
      <c r="Q5833">
        <v>-9.2674049999999994E-2</v>
      </c>
      <c r="R5833">
        <v>-0.79983309999999996</v>
      </c>
      <c r="S5833">
        <v>0.69149780000000005</v>
      </c>
      <c r="T5833">
        <v>-0.353267</v>
      </c>
      <c r="U5833">
        <v>-3.205444</v>
      </c>
      <c r="V5833">
        <v>0.66040109999999996</v>
      </c>
      <c r="W5833">
        <v>-9.0038080000000006E-2</v>
      </c>
      <c r="X5833">
        <v>0.74549540000000003</v>
      </c>
      <c r="Y5833">
        <v>0.90885380000000004</v>
      </c>
      <c r="Z5833">
        <v>-5.763248E-2</v>
      </c>
      <c r="AA5833">
        <v>0.41311409999999998</v>
      </c>
      <c r="AB5833">
        <v>17</v>
      </c>
      <c r="AC5833">
        <v>2.1060999999999601</v>
      </c>
      <c r="AD5833">
        <v>-1.1162840000000001</v>
      </c>
      <c r="AE5833">
        <v>-10.107608000000001</v>
      </c>
      <c r="AF5833">
        <v>9.3527214225542394</v>
      </c>
      <c r="AG5833">
        <v>-1.1162840000000001</v>
      </c>
      <c r="AH5833">
        <v>4.0837294054238402</v>
      </c>
      <c r="AI5833">
        <v>96.242292057837602</v>
      </c>
      <c r="AJ5833">
        <v>23.587785905695199</v>
      </c>
      <c r="AK5833">
        <v>10.2662716617711</v>
      </c>
      <c r="AL5833">
        <v>95.165798170539702</v>
      </c>
      <c r="AM5833">
        <v>48.463699837221597</v>
      </c>
      <c r="AN5833">
        <v>0.99999993007622501</v>
      </c>
    </row>
    <row r="5834" spans="1:40" x14ac:dyDescent="0.25">
      <c r="A5834" t="str">
        <f>"20190303154635115"</f>
        <v>20190303154635115</v>
      </c>
      <c r="B5834" t="str">
        <f>"1551599195107606"</f>
        <v>1551599195107606</v>
      </c>
      <c r="C5834" t="s">
        <v>40</v>
      </c>
      <c r="D5834">
        <v>5.3353199999999896</v>
      </c>
      <c r="E5834">
        <v>0.67122519999999997</v>
      </c>
      <c r="F5834" t="s">
        <v>43</v>
      </c>
      <c r="G5834">
        <v>-305.8372</v>
      </c>
      <c r="H5834">
        <v>-0.05</v>
      </c>
      <c r="I5834">
        <v>7.0439759999999998</v>
      </c>
      <c r="J5834">
        <v>-307.88780000000003</v>
      </c>
      <c r="K5834">
        <v>1.066244</v>
      </c>
      <c r="L5834">
        <v>17.18262</v>
      </c>
      <c r="M5834">
        <v>0.97754580000000002</v>
      </c>
      <c r="N5834">
        <v>-1.4166929999999999E-2</v>
      </c>
      <c r="O5834">
        <v>-0.21024689999999999</v>
      </c>
      <c r="P5834">
        <v>0.58872049999999998</v>
      </c>
      <c r="Q5834">
        <v>-9.3328839999999996E-2</v>
      </c>
      <c r="R5834">
        <v>-0.80293119999999996</v>
      </c>
      <c r="S5834">
        <v>0.67636109999999905</v>
      </c>
      <c r="T5834">
        <v>-0.35236129999999999</v>
      </c>
      <c r="U5834">
        <v>-3.2084959999999998</v>
      </c>
      <c r="V5834">
        <v>0.66014459999999997</v>
      </c>
      <c r="W5834">
        <v>-9.0745300000000001E-2</v>
      </c>
      <c r="X5834">
        <v>0.74563690000000005</v>
      </c>
      <c r="Y5834">
        <v>0.90855580000000002</v>
      </c>
      <c r="Z5834">
        <v>-5.6863490000000003E-2</v>
      </c>
      <c r="AA5834">
        <v>0.41387570000000001</v>
      </c>
      <c r="AB5834">
        <v>17</v>
      </c>
      <c r="AC5834">
        <v>2.05060000000003</v>
      </c>
      <c r="AD5834">
        <v>-1.116244</v>
      </c>
      <c r="AE5834">
        <v>-10.138643999999999</v>
      </c>
      <c r="AF5834">
        <v>9.3716719671424702</v>
      </c>
      <c r="AG5834">
        <v>-1.116244</v>
      </c>
      <c r="AH5834">
        <v>4.0889716643751797</v>
      </c>
      <c r="AI5834">
        <v>96.230280533044294</v>
      </c>
      <c r="AJ5834">
        <v>23.572214296878101</v>
      </c>
      <c r="AK5834">
        <v>10.285617404867899</v>
      </c>
      <c r="AL5834">
        <v>95.206485120921499</v>
      </c>
      <c r="AM5834">
        <v>48.480144382560297</v>
      </c>
      <c r="AN5834">
        <v>0.99999999451142996</v>
      </c>
    </row>
    <row r="5835" spans="1:40" x14ac:dyDescent="0.25">
      <c r="A5835" t="str">
        <f>"20190303154635127"</f>
        <v>20190303154635127</v>
      </c>
      <c r="B5835" t="str">
        <f>"1551599195117366"</f>
        <v>1551599195117366</v>
      </c>
      <c r="C5835" t="s">
        <v>40</v>
      </c>
      <c r="D5835">
        <v>5.3610639999999998</v>
      </c>
      <c r="E5835">
        <v>0.67119249999999997</v>
      </c>
      <c r="F5835" t="s">
        <v>43</v>
      </c>
      <c r="G5835">
        <v>-305.79579999999999</v>
      </c>
      <c r="H5835">
        <v>-0.05</v>
      </c>
      <c r="I5835">
        <v>6.993652</v>
      </c>
      <c r="J5835">
        <v>-307.80180000000001</v>
      </c>
      <c r="K5835">
        <v>1.066195</v>
      </c>
      <c r="L5835">
        <v>17.15793</v>
      </c>
      <c r="M5835">
        <v>0.97642090000000004</v>
      </c>
      <c r="N5835">
        <v>-1.4184540000000001E-2</v>
      </c>
      <c r="O5835">
        <v>-0.21540889999999999</v>
      </c>
      <c r="P5835">
        <v>0.58467590000000003</v>
      </c>
      <c r="Q5835">
        <v>-9.3035179999999995E-2</v>
      </c>
      <c r="R5835">
        <v>-0.80591469999999998</v>
      </c>
      <c r="S5835">
        <v>0.65945430000000005</v>
      </c>
      <c r="T5835">
        <v>-0.35187859999999999</v>
      </c>
      <c r="U5835">
        <v>-3.2119140000000002</v>
      </c>
      <c r="V5835">
        <v>0.65998129999999999</v>
      </c>
      <c r="W5835">
        <v>-9.0505589999999997E-2</v>
      </c>
      <c r="X5835">
        <v>0.74581059999999999</v>
      </c>
      <c r="Y5835">
        <v>0.90859400000000001</v>
      </c>
      <c r="Z5835">
        <v>-5.6251669999999997E-2</v>
      </c>
      <c r="AA5835">
        <v>0.4138754</v>
      </c>
      <c r="AB5835">
        <v>17</v>
      </c>
      <c r="AC5835">
        <v>2.0060000000000202</v>
      </c>
      <c r="AD5835">
        <v>-1.116195</v>
      </c>
      <c r="AE5835">
        <v>-10.164277999999999</v>
      </c>
      <c r="AF5835">
        <v>9.38452912212305</v>
      </c>
      <c r="AG5835">
        <v>-1.116195</v>
      </c>
      <c r="AH5835">
        <v>4.1009921301150696</v>
      </c>
      <c r="AI5835">
        <v>96.219994619765501</v>
      </c>
      <c r="AJ5835">
        <v>23.605086441346501</v>
      </c>
      <c r="AK5835">
        <v>10.302107287990401</v>
      </c>
      <c r="AL5835">
        <v>95.192693894988693</v>
      </c>
      <c r="AM5835">
        <v>48.493802979969402</v>
      </c>
      <c r="AN5835">
        <v>1.0000000146216399</v>
      </c>
    </row>
    <row r="5836" spans="1:40" x14ac:dyDescent="0.25">
      <c r="A5836" t="str">
        <f>"20190303154635143"</f>
        <v>20190303154635143</v>
      </c>
      <c r="B5836" t="str">
        <f>"1551599195136886"</f>
        <v>1551599195136886</v>
      </c>
      <c r="C5836" t="s">
        <v>40</v>
      </c>
      <c r="D5836">
        <v>5.3817789999999999</v>
      </c>
      <c r="E5836">
        <v>0.67146969999999995</v>
      </c>
      <c r="F5836" t="s">
        <v>43</v>
      </c>
      <c r="G5836">
        <v>-305.74160000000001</v>
      </c>
      <c r="H5836">
        <v>-0.05</v>
      </c>
      <c r="I5836">
        <v>6.8620299999999999</v>
      </c>
      <c r="J5836">
        <v>-307.68130000000002</v>
      </c>
      <c r="K5836">
        <v>1.0661259999999999</v>
      </c>
      <c r="L5836">
        <v>17.12247</v>
      </c>
      <c r="M5836">
        <v>0.97477380000000002</v>
      </c>
      <c r="N5836">
        <v>-1.4210540000000001E-2</v>
      </c>
      <c r="O5836">
        <v>-0.22274169999999999</v>
      </c>
      <c r="P5836">
        <v>0.5793064</v>
      </c>
      <c r="Q5836">
        <v>-9.2869809999999997E-2</v>
      </c>
      <c r="R5836">
        <v>-0.80980209999999997</v>
      </c>
      <c r="S5836">
        <v>0.64340209999999998</v>
      </c>
      <c r="T5836">
        <v>-0.34858939999999999</v>
      </c>
      <c r="U5836">
        <v>-3.2154240000000001</v>
      </c>
      <c r="V5836">
        <v>0.65933929999999996</v>
      </c>
      <c r="W5836">
        <v>-9.0415350000000005E-2</v>
      </c>
      <c r="X5836">
        <v>0.74638919999999997</v>
      </c>
      <c r="Y5836">
        <v>0.90770139999999999</v>
      </c>
      <c r="Z5836">
        <v>-5.4862290000000001E-2</v>
      </c>
      <c r="AA5836">
        <v>0.41601470000000002</v>
      </c>
      <c r="AB5836">
        <v>17</v>
      </c>
      <c r="AC5836">
        <v>1.93970000000001</v>
      </c>
      <c r="AD5836">
        <v>-1.116126</v>
      </c>
      <c r="AE5836">
        <v>-10.260439999999999</v>
      </c>
      <c r="AF5836">
        <v>9.4624183440652594</v>
      </c>
      <c r="AG5836">
        <v>-1.116126</v>
      </c>
      <c r="AH5836">
        <v>4.1294412354213597</v>
      </c>
      <c r="AI5836">
        <v>96.170139120873003</v>
      </c>
      <c r="AJ5836">
        <v>23.576669364691799</v>
      </c>
      <c r="AK5836">
        <v>10.38438168996</v>
      </c>
      <c r="AL5836">
        <v>95.187502090971293</v>
      </c>
      <c r="AM5836">
        <v>48.543522925086201</v>
      </c>
      <c r="AN5836">
        <v>1.00000004295837</v>
      </c>
    </row>
    <row r="5837" spans="1:40" x14ac:dyDescent="0.25">
      <c r="A5837" t="str">
        <f>"20190303154635166"</f>
        <v>20190303154635166</v>
      </c>
      <c r="B5837" t="str">
        <f>"1551599195157382"</f>
        <v>1551599195157382</v>
      </c>
      <c r="C5837" t="s">
        <v>40</v>
      </c>
      <c r="D5837">
        <v>5.6128609999999997</v>
      </c>
      <c r="E5837">
        <v>0.67118009999999995</v>
      </c>
      <c r="F5837" t="s">
        <v>43</v>
      </c>
      <c r="G5837">
        <v>-305.577</v>
      </c>
      <c r="H5837">
        <v>-0.05</v>
      </c>
      <c r="I5837">
        <v>6.2123109999999997</v>
      </c>
      <c r="J5837">
        <v>-307.51479999999998</v>
      </c>
      <c r="K5837">
        <v>1.0660099999999999</v>
      </c>
      <c r="L5837">
        <v>17.07132</v>
      </c>
      <c r="M5837">
        <v>0.97233610000000004</v>
      </c>
      <c r="N5837">
        <v>-1.425155E-2</v>
      </c>
      <c r="O5837">
        <v>-0.2331512</v>
      </c>
      <c r="P5837">
        <v>0.5724397</v>
      </c>
      <c r="Q5837">
        <v>-9.3095150000000002E-2</v>
      </c>
      <c r="R5837">
        <v>-0.81464510000000001</v>
      </c>
      <c r="S5837">
        <v>0.62149049999999995</v>
      </c>
      <c r="T5837">
        <v>-0.32963870000000001</v>
      </c>
      <c r="U5837">
        <v>-3.222229</v>
      </c>
      <c r="V5837">
        <v>0.65761740000000002</v>
      </c>
      <c r="W5837">
        <v>-9.0752609999999997E-2</v>
      </c>
      <c r="X5837">
        <v>0.74786580000000002</v>
      </c>
      <c r="Y5837">
        <v>0.90665209999999996</v>
      </c>
      <c r="Z5837">
        <v>-5.1236919999999998E-2</v>
      </c>
      <c r="AA5837">
        <v>0.41875620000000002</v>
      </c>
      <c r="AB5837">
        <v>17</v>
      </c>
      <c r="AC5837">
        <v>1.93779999999998</v>
      </c>
      <c r="AD5837">
        <v>-1.1160099999999999</v>
      </c>
      <c r="AE5837">
        <v>-10.859009</v>
      </c>
      <c r="AF5837">
        <v>10.0054141459159</v>
      </c>
      <c r="AG5837">
        <v>-1.1160099999999999</v>
      </c>
      <c r="AH5837">
        <v>4.3716825307454901</v>
      </c>
      <c r="AI5837">
        <v>95.835939275357006</v>
      </c>
      <c r="AJ5837">
        <v>23.602041588240699</v>
      </c>
      <c r="AK5837">
        <v>10.975673040912801</v>
      </c>
      <c r="AL5837">
        <v>95.206905827326096</v>
      </c>
      <c r="AM5837">
        <v>48.674012786037899</v>
      </c>
      <c r="AN5837">
        <v>0.99999996790710499</v>
      </c>
    </row>
    <row r="5838" spans="1:40" x14ac:dyDescent="0.25">
      <c r="A5838" t="str">
        <f>"20190303154635188"</f>
        <v>20190303154635188</v>
      </c>
      <c r="B5838" t="str">
        <f>"1551599195176902"</f>
        <v>1551599195176902</v>
      </c>
      <c r="C5838" t="s">
        <v>40</v>
      </c>
      <c r="D5838">
        <v>5.4408899999999996</v>
      </c>
      <c r="E5838">
        <v>0.64818480000000001</v>
      </c>
      <c r="F5838" t="s">
        <v>43</v>
      </c>
      <c r="G5838">
        <v>-305.4846</v>
      </c>
      <c r="H5838">
        <v>-0.05</v>
      </c>
      <c r="I5838">
        <v>6.0879519999999996</v>
      </c>
      <c r="J5838">
        <v>-307.34870000000001</v>
      </c>
      <c r="K5838">
        <v>1.0658829999999999</v>
      </c>
      <c r="L5838">
        <v>17.018039999999999</v>
      </c>
      <c r="M5838">
        <v>0.96971459999999998</v>
      </c>
      <c r="N5838">
        <v>-1.42971E-2</v>
      </c>
      <c r="O5838">
        <v>-0.2438225</v>
      </c>
      <c r="P5838">
        <v>0.56526899999999902</v>
      </c>
      <c r="Q5838">
        <v>-9.4420539999999997E-2</v>
      </c>
      <c r="R5838">
        <v>-0.81948539999999903</v>
      </c>
      <c r="S5838">
        <v>0.59634399999999999</v>
      </c>
      <c r="T5838">
        <v>-0.32779920000000001</v>
      </c>
      <c r="U5838">
        <v>-3.2260740000000001</v>
      </c>
      <c r="V5838">
        <v>0.6557714</v>
      </c>
      <c r="W5838">
        <v>-9.2202099999999995E-2</v>
      </c>
      <c r="X5838">
        <v>0.74930810000000003</v>
      </c>
      <c r="Y5838">
        <v>0.90541439999999995</v>
      </c>
      <c r="Z5838">
        <v>-4.9722000000000002E-2</v>
      </c>
      <c r="AA5838">
        <v>0.42160700000000001</v>
      </c>
      <c r="AB5838">
        <v>17</v>
      </c>
      <c r="AC5838">
        <v>1.8641000000000001</v>
      </c>
      <c r="AD5838">
        <v>-1.115883</v>
      </c>
      <c r="AE5838">
        <v>-10.930088</v>
      </c>
      <c r="AF5838">
        <v>10.0438645791087</v>
      </c>
      <c r="AG5838">
        <v>-1.115883</v>
      </c>
      <c r="AH5838">
        <v>4.4282522264130701</v>
      </c>
      <c r="AI5838">
        <v>95.804687363295997</v>
      </c>
      <c r="AJ5838">
        <v>23.7922636963273</v>
      </c>
      <c r="AK5838">
        <v>11.0333054128804</v>
      </c>
      <c r="AL5838">
        <v>95.290305046826802</v>
      </c>
      <c r="AM5838">
        <v>48.808583354679101</v>
      </c>
      <c r="AN5838">
        <v>0.99999999251398997</v>
      </c>
    </row>
    <row r="5839" spans="1:40" x14ac:dyDescent="0.25">
      <c r="A5839" t="str">
        <f>"20190303154635200"</f>
        <v>20190303154635200</v>
      </c>
      <c r="B5839" t="str">
        <f>"1551599195197398"</f>
        <v>1551599195197398</v>
      </c>
      <c r="C5839" t="s">
        <v>40</v>
      </c>
      <c r="D5839">
        <v>5.4364589999999904</v>
      </c>
      <c r="E5839">
        <v>0.65160549999999995</v>
      </c>
      <c r="F5839" t="s">
        <v>43</v>
      </c>
      <c r="G5839">
        <v>-304.92649999999998</v>
      </c>
      <c r="H5839">
        <v>-0.05</v>
      </c>
      <c r="I5839">
        <v>6.4769439999999996</v>
      </c>
      <c r="J5839">
        <v>-307.2604</v>
      </c>
      <c r="K5839">
        <v>1.0658129999999999</v>
      </c>
      <c r="L5839">
        <v>16.98892</v>
      </c>
      <c r="M5839">
        <v>0.96824589999999999</v>
      </c>
      <c r="N5839">
        <v>-1.4322369999999999E-2</v>
      </c>
      <c r="O5839">
        <v>-0.24958920000000001</v>
      </c>
      <c r="P5839">
        <v>0.56146580000000001</v>
      </c>
      <c r="Q5839">
        <v>-9.5198019999999994E-2</v>
      </c>
      <c r="R5839">
        <v>-0.82200589999999996</v>
      </c>
      <c r="S5839">
        <v>0.71853639999999996</v>
      </c>
      <c r="T5839">
        <v>-0.33102989999999999</v>
      </c>
      <c r="U5839">
        <v>-3.1270449999999999</v>
      </c>
      <c r="V5839">
        <v>0.6546729</v>
      </c>
      <c r="W5839">
        <v>-9.3043979999999998E-2</v>
      </c>
      <c r="X5839">
        <v>0.75016419999999995</v>
      </c>
      <c r="Y5839">
        <v>0.8838454</v>
      </c>
      <c r="Z5839">
        <v>-4.6477659999999997E-2</v>
      </c>
      <c r="AA5839">
        <v>0.4654644</v>
      </c>
      <c r="AB5839">
        <v>17</v>
      </c>
      <c r="AC5839">
        <v>2.3339000000000198</v>
      </c>
      <c r="AD5839">
        <v>-1.1158129999999999</v>
      </c>
      <c r="AE5839">
        <v>-10.511975999999899</v>
      </c>
      <c r="AF5839">
        <v>9.4946931795712199</v>
      </c>
      <c r="AG5839">
        <v>-1.1158129999999999</v>
      </c>
      <c r="AH5839">
        <v>4.8320795957480804</v>
      </c>
      <c r="AI5839">
        <v>95.979144548607707</v>
      </c>
      <c r="AJ5839">
        <v>26.9726467246483</v>
      </c>
      <c r="AK5839">
        <v>10.7118266623769</v>
      </c>
      <c r="AL5839">
        <v>95.338749121744101</v>
      </c>
      <c r="AM5839">
        <v>48.888597031387498</v>
      </c>
      <c r="AN5839">
        <v>1.00000005758514</v>
      </c>
    </row>
    <row r="5840" spans="1:40" x14ac:dyDescent="0.25">
      <c r="A5840" t="str">
        <f>"20190303154635212"</f>
        <v>20190303154635212</v>
      </c>
      <c r="B5840" t="str">
        <f>"1551599195207158"</f>
        <v>1551599195207158</v>
      </c>
      <c r="C5840" t="s">
        <v>40</v>
      </c>
      <c r="D5840">
        <v>5.3532419999999998</v>
      </c>
      <c r="E5840">
        <v>0.65412159999999997</v>
      </c>
      <c r="F5840" t="s">
        <v>42</v>
      </c>
      <c r="G5840">
        <v>-306.92829999999998</v>
      </c>
      <c r="H5840">
        <v>0.93181990000000003</v>
      </c>
      <c r="I5840">
        <v>15.464119999999999</v>
      </c>
      <c r="J5840">
        <v>-307.17919999999998</v>
      </c>
      <c r="K5840">
        <v>1.06575</v>
      </c>
      <c r="L5840">
        <v>16.961210000000001</v>
      </c>
      <c r="M5840">
        <v>0.96683010000000003</v>
      </c>
      <c r="N5840">
        <v>-1.4347270000000001E-2</v>
      </c>
      <c r="O5840">
        <v>-0.25501699999999999</v>
      </c>
      <c r="P5840">
        <v>0.55762489999999998</v>
      </c>
      <c r="Q5840">
        <v>-9.4594839999999999E-2</v>
      </c>
      <c r="R5840">
        <v>-0.82468560000000002</v>
      </c>
      <c r="S5840">
        <v>0.68621829999999995</v>
      </c>
      <c r="T5840">
        <v>-0.27674070000000001</v>
      </c>
      <c r="U5840">
        <v>-3.1488339999999999</v>
      </c>
      <c r="V5840">
        <v>0.654026</v>
      </c>
      <c r="W5840">
        <v>-9.2506359999999996E-2</v>
      </c>
      <c r="X5840">
        <v>0.75079459999999998</v>
      </c>
      <c r="Y5840">
        <v>0.887522899999999</v>
      </c>
      <c r="Z5840">
        <v>-4.0738580000000003E-2</v>
      </c>
      <c r="AA5840">
        <v>0.45895920000000001</v>
      </c>
      <c r="AB5840">
        <v>17</v>
      </c>
      <c r="AC5840">
        <v>0.25090000000000101</v>
      </c>
      <c r="AD5840">
        <v>-0.133930099999999</v>
      </c>
      <c r="AE5840">
        <v>-1.49709</v>
      </c>
      <c r="AF5840">
        <v>1.37290298576209</v>
      </c>
      <c r="AG5840">
        <v>-0.133930099999999</v>
      </c>
      <c r="AH5840">
        <v>0.61960206463117695</v>
      </c>
      <c r="AI5840">
        <v>95.081185168410997</v>
      </c>
      <c r="AJ5840">
        <v>24.290036113172899</v>
      </c>
      <c r="AK5840">
        <v>1.51218603303154</v>
      </c>
      <c r="AL5840">
        <v>95.307812733540004</v>
      </c>
      <c r="AM5840">
        <v>48.9404946006808</v>
      </c>
      <c r="AN5840">
        <v>0.99999998335280404</v>
      </c>
    </row>
    <row r="5841" spans="1:40" x14ac:dyDescent="0.25">
      <c r="A5841" t="str">
        <f>"20190303154635223"</f>
        <v>20190303154635223</v>
      </c>
      <c r="B5841" t="str">
        <f>"1551599195216918"</f>
        <v>1551599195216918</v>
      </c>
      <c r="C5841" t="s">
        <v>40</v>
      </c>
      <c r="D5841">
        <v>5.3230820000000003</v>
      </c>
      <c r="E5841">
        <v>0.65592150000000005</v>
      </c>
      <c r="F5841" t="s">
        <v>43</v>
      </c>
      <c r="G5841">
        <v>-304.1336</v>
      </c>
      <c r="H5841">
        <v>-0.05</v>
      </c>
      <c r="I5841">
        <v>2.3034059999999998</v>
      </c>
      <c r="J5841">
        <v>-307.09339999999997</v>
      </c>
      <c r="K5841">
        <v>1.0656859999999999</v>
      </c>
      <c r="L5841">
        <v>16.931609999999999</v>
      </c>
      <c r="M5841">
        <v>0.96528890000000001</v>
      </c>
      <c r="N5841">
        <v>-1.4373459999999999E-2</v>
      </c>
      <c r="O5841">
        <v>-0.26078879999999999</v>
      </c>
      <c r="P5841">
        <v>0.55325409999999997</v>
      </c>
      <c r="Q5841">
        <v>-9.3847280000000005E-2</v>
      </c>
      <c r="R5841">
        <v>-0.82770959999999905</v>
      </c>
      <c r="S5841">
        <v>0.65771480000000004</v>
      </c>
      <c r="T5841">
        <v>-0.24094989999999999</v>
      </c>
      <c r="U5841">
        <v>-3.1654049999999998</v>
      </c>
      <c r="V5841">
        <v>0.65359049999999996</v>
      </c>
      <c r="W5841">
        <v>-9.1835860000000005E-2</v>
      </c>
      <c r="X5841">
        <v>0.75125600000000003</v>
      </c>
      <c r="Y5841">
        <v>0.88983519999999905</v>
      </c>
      <c r="Z5841">
        <v>-3.6832240000000002E-2</v>
      </c>
      <c r="AA5841">
        <v>0.45479310000000001</v>
      </c>
      <c r="AB5841">
        <v>17</v>
      </c>
      <c r="AC5841">
        <v>2.9597999999999698</v>
      </c>
      <c r="AD5841">
        <v>-1.115686</v>
      </c>
      <c r="AE5841">
        <v>-14.628203999999901</v>
      </c>
      <c r="AF5841">
        <v>13.275750665292399</v>
      </c>
      <c r="AG5841">
        <v>-1.115686</v>
      </c>
      <c r="AH5841">
        <v>6.6355418549701204</v>
      </c>
      <c r="AI5841">
        <v>94.298975790606903</v>
      </c>
      <c r="AJ5841">
        <v>26.5569939108249</v>
      </c>
      <c r="AK5841">
        <v>14.883572376505199</v>
      </c>
      <c r="AL5841">
        <v>95.269231738411506</v>
      </c>
      <c r="AM5841">
        <v>48.976827344941498</v>
      </c>
      <c r="AN5841">
        <v>0.99999997220409398</v>
      </c>
    </row>
    <row r="5842" spans="1:40" x14ac:dyDescent="0.25">
      <c r="A5842" t="str">
        <f>"20190303154635244"</f>
        <v>20190303154635244</v>
      </c>
      <c r="B5842" t="str">
        <f>"1551599195237414"</f>
        <v>1551599195237414</v>
      </c>
      <c r="C5842" t="s">
        <v>40</v>
      </c>
      <c r="D5842">
        <v>5.3627399999999996</v>
      </c>
      <c r="E5842">
        <v>0.65770280000000003</v>
      </c>
      <c r="F5842" t="s">
        <v>43</v>
      </c>
      <c r="G5842">
        <v>-303.82549999999998</v>
      </c>
      <c r="H5842">
        <v>-0.05</v>
      </c>
      <c r="I5842">
        <v>0.46432499999999999</v>
      </c>
      <c r="J5842">
        <v>-306.94569999999999</v>
      </c>
      <c r="K5842">
        <v>1.0655730000000001</v>
      </c>
      <c r="L5842">
        <v>16.878810000000001</v>
      </c>
      <c r="M5842">
        <v>0.96247550000000004</v>
      </c>
      <c r="N5842">
        <v>-1.442191E-2</v>
      </c>
      <c r="O5842">
        <v>-0.27098539999999999</v>
      </c>
      <c r="P5842">
        <v>0.54414059999999997</v>
      </c>
      <c r="Q5842">
        <v>-9.1179540000000003E-2</v>
      </c>
      <c r="R5842">
        <v>-0.83402520000000002</v>
      </c>
      <c r="S5842">
        <v>0.63073729999999995</v>
      </c>
      <c r="T5842">
        <v>-0.21534200000000001</v>
      </c>
      <c r="U5842">
        <v>-3.1784059999999998</v>
      </c>
      <c r="V5842">
        <v>0.65417780000000003</v>
      </c>
      <c r="W5842">
        <v>-8.9343389999999995E-2</v>
      </c>
      <c r="X5842">
        <v>0.75104530000000003</v>
      </c>
      <c r="Y5842">
        <v>0.88951930000000001</v>
      </c>
      <c r="Z5842">
        <v>-3.3492760000000003E-2</v>
      </c>
      <c r="AA5842">
        <v>0.45566839999999997</v>
      </c>
      <c r="AB5842">
        <v>17</v>
      </c>
      <c r="AC5842">
        <v>3.1202000000000099</v>
      </c>
      <c r="AD5842">
        <v>-1.1155729999999999</v>
      </c>
      <c r="AE5842">
        <v>-16.414484999999999</v>
      </c>
      <c r="AF5842">
        <v>14.8881956714363</v>
      </c>
      <c r="AG5842">
        <v>-1.1155729999999999</v>
      </c>
      <c r="AH5842">
        <v>7.4189038493793404</v>
      </c>
      <c r="AI5842">
        <v>93.836784258653495</v>
      </c>
      <c r="AJ5842">
        <v>26.487433392579401</v>
      </c>
      <c r="AK5842">
        <v>16.671622830295799</v>
      </c>
      <c r="AL5842">
        <v>95.125834248127802</v>
      </c>
      <c r="AM5842">
        <v>48.9433829147981</v>
      </c>
      <c r="AN5842">
        <v>0.99999993900080897</v>
      </c>
    </row>
    <row r="5843" spans="1:40" x14ac:dyDescent="0.25">
      <c r="A5843" t="str">
        <f>"20190303154635265"</f>
        <v>20190303154635265</v>
      </c>
      <c r="B5843" t="str">
        <f>"1551599195256934"</f>
        <v>1551599195256934</v>
      </c>
      <c r="C5843" t="s">
        <v>40</v>
      </c>
      <c r="D5843">
        <v>5.4272720000000003</v>
      </c>
      <c r="E5843">
        <v>0.65898299999999999</v>
      </c>
      <c r="F5843" t="s">
        <v>41</v>
      </c>
      <c r="G5843">
        <v>-303.4803</v>
      </c>
      <c r="H5843" s="1">
        <v>-4.280571E-6</v>
      </c>
      <c r="I5843">
        <v>-2.0105520000000001</v>
      </c>
      <c r="J5843">
        <v>-306.78680000000003</v>
      </c>
      <c r="K5843">
        <v>1.065439</v>
      </c>
      <c r="L5843">
        <v>16.81955</v>
      </c>
      <c r="M5843">
        <v>0.95922609999999997</v>
      </c>
      <c r="N5843">
        <v>-1.447825E-2</v>
      </c>
      <c r="O5843">
        <v>-0.28226869999999998</v>
      </c>
      <c r="P5843">
        <v>0.53375430000000001</v>
      </c>
      <c r="Q5843">
        <v>-9.0170920000000002E-2</v>
      </c>
      <c r="R5843">
        <v>-0.84081849999999903</v>
      </c>
      <c r="S5843">
        <v>0.58612059999999999</v>
      </c>
      <c r="T5843">
        <v>-0.18023</v>
      </c>
      <c r="U5843">
        <v>-3.1949160000000001</v>
      </c>
      <c r="V5843">
        <v>0.65476230000000002</v>
      </c>
      <c r="W5843">
        <v>-8.8522249999999997E-2</v>
      </c>
      <c r="X5843">
        <v>0.750633199999999</v>
      </c>
      <c r="Y5843">
        <v>0.89122630000000003</v>
      </c>
      <c r="Z5843">
        <v>-2.9620960000000002E-2</v>
      </c>
      <c r="AA5843">
        <v>0.45259080000000002</v>
      </c>
      <c r="AB5843">
        <v>17</v>
      </c>
      <c r="AC5843">
        <v>3.3065000000000202</v>
      </c>
      <c r="AD5843">
        <v>-1.0654432805709999</v>
      </c>
      <c r="AE5843">
        <v>-18.830102</v>
      </c>
      <c r="AF5843">
        <v>17.077760589772101</v>
      </c>
      <c r="AG5843">
        <v>-1.0654432805709999</v>
      </c>
      <c r="AH5843">
        <v>8.4614402485629601</v>
      </c>
      <c r="AI5843">
        <v>93.199637888998197</v>
      </c>
      <c r="AJ5843">
        <v>26.356825712990801</v>
      </c>
      <c r="AK5843">
        <v>19.088767566966901</v>
      </c>
      <c r="AL5843">
        <v>95.078598763382502</v>
      </c>
      <c r="AM5843">
        <v>48.902461027666497</v>
      </c>
      <c r="AN5843">
        <v>1.0000000295942899</v>
      </c>
    </row>
    <row r="5844" spans="1:40" x14ac:dyDescent="0.25">
      <c r="A5844" t="str">
        <f>"20190303154635279"</f>
        <v>20190303154635279</v>
      </c>
      <c r="B5844" t="str">
        <f>"1551599195267670"</f>
        <v>1551599195267670</v>
      </c>
      <c r="C5844" t="s">
        <v>40</v>
      </c>
      <c r="D5844">
        <v>5.3995280000000001</v>
      </c>
      <c r="E5844">
        <v>0.659582</v>
      </c>
      <c r="F5844" t="s">
        <v>41</v>
      </c>
      <c r="G5844">
        <v>-303.19119999999998</v>
      </c>
      <c r="H5844" s="1">
        <v>-3.1618579999999999E-6</v>
      </c>
      <c r="I5844">
        <v>-4.5701090000000004</v>
      </c>
      <c r="J5844">
        <v>-306.6952</v>
      </c>
      <c r="K5844">
        <v>1.065364</v>
      </c>
      <c r="L5844">
        <v>16.78436</v>
      </c>
      <c r="M5844">
        <v>0.95725079999999996</v>
      </c>
      <c r="N5844">
        <v>-1.451187E-2</v>
      </c>
      <c r="O5844">
        <v>-0.2888947</v>
      </c>
      <c r="P5844">
        <v>0.52777479999999999</v>
      </c>
      <c r="Q5844">
        <v>-9.0003420000000001E-2</v>
      </c>
      <c r="R5844">
        <v>-0.84460230000000003</v>
      </c>
      <c r="S5844">
        <v>0.53933719999999996</v>
      </c>
      <c r="T5844">
        <v>-0.1598155</v>
      </c>
      <c r="U5844">
        <v>-3.2084350000000001</v>
      </c>
      <c r="V5844">
        <v>0.65490150000000003</v>
      </c>
      <c r="W5844">
        <v>-8.8449780000000006E-2</v>
      </c>
      <c r="X5844">
        <v>0.75052019999999997</v>
      </c>
      <c r="Y5844">
        <v>0.89503199999999905</v>
      </c>
      <c r="Z5844">
        <v>-2.7745659999999998E-2</v>
      </c>
      <c r="AA5844">
        <v>0.44513799999999998</v>
      </c>
      <c r="AB5844">
        <v>17</v>
      </c>
      <c r="AC5844">
        <v>3.5040000000000102</v>
      </c>
      <c r="AD5844">
        <v>-1.0653671618580001</v>
      </c>
      <c r="AE5844">
        <v>-21.354469000000002</v>
      </c>
      <c r="AF5844">
        <v>19.384361005018398</v>
      </c>
      <c r="AG5844">
        <v>-1.0653671618580001</v>
      </c>
      <c r="AH5844">
        <v>9.5013747715641692</v>
      </c>
      <c r="AI5844">
        <v>92.825289783420203</v>
      </c>
      <c r="AJ5844">
        <v>26.112094333543499</v>
      </c>
      <c r="AK5844">
        <v>21.613990406959999</v>
      </c>
      <c r="AL5844">
        <v>95.074430569119897</v>
      </c>
      <c r="AM5844">
        <v>48.892154391125601</v>
      </c>
      <c r="AN5844">
        <v>0.99999995444616796</v>
      </c>
    </row>
    <row r="5845" spans="1:40" x14ac:dyDescent="0.25">
      <c r="A5845" t="str">
        <f>"20190303154635299"</f>
        <v>20190303154635299</v>
      </c>
      <c r="B5845" t="str">
        <f>"1551599195296950"</f>
        <v>1551599195296950</v>
      </c>
      <c r="C5845" t="s">
        <v>40</v>
      </c>
      <c r="D5845">
        <v>5.0793109999999997</v>
      </c>
      <c r="E5845">
        <v>0.65807369999999898</v>
      </c>
      <c r="F5845" t="s">
        <v>41</v>
      </c>
      <c r="G5845">
        <v>-303.14060000000001</v>
      </c>
      <c r="H5845" s="1">
        <v>-2.7123599999999998E-6</v>
      </c>
      <c r="I5845">
        <v>-5.4925169999999897</v>
      </c>
      <c r="J5845">
        <v>-306.54230000000001</v>
      </c>
      <c r="K5845">
        <v>1.065264</v>
      </c>
      <c r="L5845">
        <v>16.72372</v>
      </c>
      <c r="M5845">
        <v>0.95377559999999995</v>
      </c>
      <c r="N5845">
        <v>-1.4567780000000001E-2</v>
      </c>
      <c r="O5845">
        <v>-0.30016710000000002</v>
      </c>
      <c r="P5845">
        <v>0.51929119999999995</v>
      </c>
      <c r="Q5845">
        <v>-9.0542929999999994E-2</v>
      </c>
      <c r="R5845">
        <v>-0.84978770000000003</v>
      </c>
      <c r="S5845">
        <v>0.51300049999999997</v>
      </c>
      <c r="T5845">
        <v>-0.15375359999999999</v>
      </c>
      <c r="U5845">
        <v>-3.2149960000000002</v>
      </c>
      <c r="V5845">
        <v>0.65347869999999997</v>
      </c>
      <c r="W5845">
        <v>-8.9087199999999894E-2</v>
      </c>
      <c r="X5845">
        <v>0.75168409999999997</v>
      </c>
      <c r="Y5845">
        <v>0.89356059999999904</v>
      </c>
      <c r="Z5845">
        <v>-2.6580429999999999E-2</v>
      </c>
      <c r="AA5845">
        <v>0.44815509999999997</v>
      </c>
      <c r="AB5845">
        <v>17</v>
      </c>
      <c r="AC5845">
        <v>3.4016999999999999</v>
      </c>
      <c r="AD5845">
        <v>-1.0652667123599999</v>
      </c>
      <c r="AE5845">
        <v>-22.216237</v>
      </c>
      <c r="AF5845">
        <v>20.125151027859101</v>
      </c>
      <c r="AG5845">
        <v>-1.0652667123599999</v>
      </c>
      <c r="AH5845">
        <v>9.8918696047349695</v>
      </c>
      <c r="AI5845">
        <v>92.719733953369698</v>
      </c>
      <c r="AJ5845">
        <v>26.174937359997799</v>
      </c>
      <c r="AK5845">
        <v>22.450068626614101</v>
      </c>
      <c r="AL5845">
        <v>95.111096749250194</v>
      </c>
      <c r="AM5845">
        <v>48.997843141095103</v>
      </c>
      <c r="AN5845">
        <v>0.99999996337516905</v>
      </c>
    </row>
    <row r="5846" spans="1:40" x14ac:dyDescent="0.25">
      <c r="A5846" t="str">
        <f>"20190303154635313"</f>
        <v>20190303154635313</v>
      </c>
      <c r="B5846" t="str">
        <f>"1551599195307686"</f>
        <v>1551599195307686</v>
      </c>
      <c r="C5846" t="s">
        <v>40</v>
      </c>
      <c r="D5846">
        <v>5.0674979999999996</v>
      </c>
      <c r="E5846">
        <v>0.65811249999999999</v>
      </c>
      <c r="F5846" t="s">
        <v>42</v>
      </c>
      <c r="G5846">
        <v>-306.3023</v>
      </c>
      <c r="H5846">
        <v>0.99019299999999999</v>
      </c>
      <c r="I5846">
        <v>15.15306</v>
      </c>
      <c r="J5846">
        <v>-306.44589999999999</v>
      </c>
      <c r="K5846">
        <v>1.0651949999999999</v>
      </c>
      <c r="L5846">
        <v>16.683959999999999</v>
      </c>
      <c r="M5846">
        <v>0.95145080000000004</v>
      </c>
      <c r="N5846">
        <v>-1.460351E-2</v>
      </c>
      <c r="O5846">
        <v>-0.30745450000000002</v>
      </c>
      <c r="P5846">
        <v>0.51392780000000005</v>
      </c>
      <c r="Q5846">
        <v>-9.116399E-2</v>
      </c>
      <c r="R5846">
        <v>-0.8529757</v>
      </c>
      <c r="S5846">
        <v>0.49111939999999998</v>
      </c>
      <c r="T5846">
        <v>-0.1536169</v>
      </c>
      <c r="U5846">
        <v>-3.2138059999999999</v>
      </c>
      <c r="V5846">
        <v>0.65237780000000001</v>
      </c>
      <c r="W5846">
        <v>-8.976394E-2</v>
      </c>
      <c r="X5846">
        <v>0.75255939999999999</v>
      </c>
      <c r="Y5846">
        <v>0.89309380000000005</v>
      </c>
      <c r="Z5846">
        <v>-2.6249560000000002E-2</v>
      </c>
      <c r="AA5846">
        <v>0.449104</v>
      </c>
      <c r="AB5846">
        <v>17</v>
      </c>
      <c r="AC5846">
        <v>0.14359999999999201</v>
      </c>
      <c r="AD5846">
        <v>-7.5002000000000096E-2</v>
      </c>
      <c r="AE5846">
        <v>-1.5308999999999899</v>
      </c>
      <c r="AF5846">
        <v>1.4092231335985099</v>
      </c>
      <c r="AG5846">
        <v>-7.5002000000000096E-2</v>
      </c>
      <c r="AH5846">
        <v>0.60593345789557396</v>
      </c>
      <c r="AI5846">
        <v>92.799192565974806</v>
      </c>
      <c r="AJ5846">
        <v>23.266589980376299</v>
      </c>
      <c r="AK5846">
        <v>1.53580288307793</v>
      </c>
      <c r="AL5846">
        <v>95.150026857946301</v>
      </c>
      <c r="AM5846">
        <v>49.078676123732599</v>
      </c>
      <c r="AN5846">
        <v>1.00000000469276</v>
      </c>
    </row>
    <row r="5847" spans="1:40" x14ac:dyDescent="0.25">
      <c r="A5847" t="str">
        <f>"20190303154635326"</f>
        <v>20190303154635326</v>
      </c>
      <c r="B5847" t="str">
        <f>"1551599195317446"</f>
        <v>1551599195317446</v>
      </c>
      <c r="C5847" t="s">
        <v>40</v>
      </c>
      <c r="D5847">
        <v>5.4634450000000001</v>
      </c>
      <c r="E5847">
        <v>0.65755430000000004</v>
      </c>
      <c r="F5847" t="s">
        <v>41</v>
      </c>
      <c r="G5847">
        <v>-302.79919999999998</v>
      </c>
      <c r="H5847" s="1">
        <v>-1.359189E-6</v>
      </c>
      <c r="I5847">
        <v>-8.1629509999999996</v>
      </c>
      <c r="J5847">
        <v>-306.3587</v>
      </c>
      <c r="K5847">
        <v>1.065132</v>
      </c>
      <c r="L5847">
        <v>16.647400000000001</v>
      </c>
      <c r="M5847">
        <v>0.94927280000000003</v>
      </c>
      <c r="N5847">
        <v>-1.4636E-2</v>
      </c>
      <c r="O5847">
        <v>-0.31411349999999999</v>
      </c>
      <c r="P5847">
        <v>0.50918069999999904</v>
      </c>
      <c r="Q5847">
        <v>-9.1806789999999999E-2</v>
      </c>
      <c r="R5847">
        <v>-0.85574969999999995</v>
      </c>
      <c r="S5847">
        <v>0.4722595</v>
      </c>
      <c r="T5847">
        <v>-0.1379484</v>
      </c>
      <c r="U5847">
        <v>-3.2178040000000001</v>
      </c>
      <c r="V5847">
        <v>0.65119919999999998</v>
      </c>
      <c r="W5847">
        <v>-9.0453679999999995E-2</v>
      </c>
      <c r="X5847">
        <v>0.75349709999999903</v>
      </c>
      <c r="Y5847">
        <v>0.89276610000000001</v>
      </c>
      <c r="Z5847">
        <v>-2.4637059999999999E-2</v>
      </c>
      <c r="AA5847">
        <v>0.44984639999999998</v>
      </c>
      <c r="AB5847">
        <v>17</v>
      </c>
      <c r="AC5847">
        <v>3.5595000000000101</v>
      </c>
      <c r="AD5847">
        <v>-1.065133359189</v>
      </c>
      <c r="AE5847">
        <v>-24.810351000000001</v>
      </c>
      <c r="AF5847">
        <v>22.395659257236701</v>
      </c>
      <c r="AG5847">
        <v>-1.065133359189</v>
      </c>
      <c r="AH5847">
        <v>11.1532558898917</v>
      </c>
      <c r="AI5847">
        <v>92.437759881089903</v>
      </c>
      <c r="AJ5847">
        <v>26.473750636437</v>
      </c>
      <c r="AK5847">
        <v>25.041868532210501</v>
      </c>
      <c r="AL5847">
        <v>95.189707117681294</v>
      </c>
      <c r="AM5847">
        <v>49.165248343637899</v>
      </c>
      <c r="AN5847">
        <v>1.00000007300729</v>
      </c>
    </row>
    <row r="5848" spans="1:40" x14ac:dyDescent="0.25">
      <c r="A5848" t="str">
        <f>"20190303154635339"</f>
        <v>20190303154635339</v>
      </c>
      <c r="B5848" t="str">
        <f>"1551599195336965"</f>
        <v>1551599195336965</v>
      </c>
      <c r="C5848" t="s">
        <v>40</v>
      </c>
      <c r="D5848">
        <v>5.4708209999999999</v>
      </c>
      <c r="E5848">
        <v>0.65656179999999997</v>
      </c>
      <c r="F5848" t="s">
        <v>41</v>
      </c>
      <c r="G5848">
        <v>-303.09960000000001</v>
      </c>
      <c r="H5848" s="1">
        <v>-2.3324700000000001E-6</v>
      </c>
      <c r="I5848">
        <v>-6.2730959999999998</v>
      </c>
      <c r="J5848">
        <v>-306.25599999999997</v>
      </c>
      <c r="K5848">
        <v>1.0650520000000001</v>
      </c>
      <c r="L5848">
        <v>16.603300000000001</v>
      </c>
      <c r="M5848">
        <v>0.94659939999999998</v>
      </c>
      <c r="N5848">
        <v>-1.467515E-2</v>
      </c>
      <c r="O5848">
        <v>-0.32207819999999998</v>
      </c>
      <c r="P5848">
        <v>0.50316039999999995</v>
      </c>
      <c r="Q5848">
        <v>-9.2723260000000002E-2</v>
      </c>
      <c r="R5848">
        <v>-0.85920439999999998</v>
      </c>
      <c r="S5848">
        <v>0.45748899999999998</v>
      </c>
      <c r="T5848">
        <v>-0.1495184</v>
      </c>
      <c r="U5848">
        <v>-3.2174680000000002</v>
      </c>
      <c r="V5848">
        <v>0.65003559999999905</v>
      </c>
      <c r="W5848">
        <v>-9.1434520000000005E-2</v>
      </c>
      <c r="X5848">
        <v>0.75438289999999997</v>
      </c>
      <c r="Y5848">
        <v>0.89089879999999999</v>
      </c>
      <c r="Z5848">
        <v>-2.5132350000000001E-2</v>
      </c>
      <c r="AA5848">
        <v>0.45350590000000002</v>
      </c>
      <c r="AB5848">
        <v>17</v>
      </c>
      <c r="AC5848">
        <v>3.1563999999999601</v>
      </c>
      <c r="AD5848">
        <v>-1.0650543324699999</v>
      </c>
      <c r="AE5848">
        <v>-22.876396</v>
      </c>
      <c r="AF5848">
        <v>20.596586200260798</v>
      </c>
      <c r="AG5848">
        <v>-1.0650543324699999</v>
      </c>
      <c r="AH5848">
        <v>10.3349662928246</v>
      </c>
      <c r="AI5848">
        <v>92.646217608757496</v>
      </c>
      <c r="AJ5848">
        <v>26.6466073053145</v>
      </c>
      <c r="AK5848">
        <v>23.0687067715056</v>
      </c>
      <c r="AL5848">
        <v>95.246139049956298</v>
      </c>
      <c r="AM5848">
        <v>49.249228195884101</v>
      </c>
      <c r="AN5848">
        <v>1.0000000562636899</v>
      </c>
    </row>
    <row r="5849" spans="1:40" x14ac:dyDescent="0.25">
      <c r="A5849" t="str">
        <f>"20190303154635352"</f>
        <v>20190303154635352</v>
      </c>
      <c r="B5849" t="str">
        <f>"1551599195347232"</f>
        <v>1551599195347232</v>
      </c>
      <c r="C5849" t="s">
        <v>40</v>
      </c>
      <c r="D5849">
        <v>5.4570339999999904</v>
      </c>
      <c r="E5849">
        <v>0.65617080000000005</v>
      </c>
      <c r="F5849" t="s">
        <v>42</v>
      </c>
      <c r="G5849">
        <v>-306.04329999999999</v>
      </c>
      <c r="H5849">
        <v>0.98367230000000005</v>
      </c>
      <c r="I5849">
        <v>15.049440000000001</v>
      </c>
      <c r="J5849">
        <v>-306.1737</v>
      </c>
      <c r="K5849">
        <v>1.0649879999999901</v>
      </c>
      <c r="L5849">
        <v>16.566770000000002</v>
      </c>
      <c r="M5849">
        <v>0.94435349999999996</v>
      </c>
      <c r="N5849">
        <v>-1.4709099999999999E-2</v>
      </c>
      <c r="O5849">
        <v>-0.32860319999999998</v>
      </c>
      <c r="P5849">
        <v>0.49807980000000002</v>
      </c>
      <c r="Q5849">
        <v>-9.3471349999999995E-2</v>
      </c>
      <c r="R5849">
        <v>-0.86207869999999998</v>
      </c>
      <c r="S5849">
        <v>0.44027709999999998</v>
      </c>
      <c r="T5849">
        <v>-0.16842480000000001</v>
      </c>
      <c r="U5849">
        <v>-3.215576</v>
      </c>
      <c r="V5849">
        <v>0.64918260000000005</v>
      </c>
      <c r="W5849">
        <v>-9.2232590000000003E-2</v>
      </c>
      <c r="X5849">
        <v>0.75502000000000002</v>
      </c>
      <c r="Y5849">
        <v>0.88993040000000001</v>
      </c>
      <c r="Z5849">
        <v>-2.6259419999999999E-2</v>
      </c>
      <c r="AA5849">
        <v>0.45534000000000002</v>
      </c>
      <c r="AB5849">
        <v>17</v>
      </c>
      <c r="AC5849">
        <v>0.13040000000000801</v>
      </c>
      <c r="AD5849">
        <v>-8.1315699999999796E-2</v>
      </c>
      <c r="AE5849">
        <v>-1.5173300000000001</v>
      </c>
      <c r="AF5849">
        <v>1.3862443256333099</v>
      </c>
      <c r="AG5849">
        <v>-8.1315699999999796E-2</v>
      </c>
      <c r="AH5849">
        <v>0.62004275026501998</v>
      </c>
      <c r="AI5849">
        <v>93.065073735957299</v>
      </c>
      <c r="AJ5849">
        <v>24.098129752331001</v>
      </c>
      <c r="AK5849">
        <v>1.5207690770045501</v>
      </c>
      <c r="AL5849">
        <v>95.292059167963302</v>
      </c>
      <c r="AM5849">
        <v>49.310341123652101</v>
      </c>
      <c r="AN5849">
        <v>1.00000004960043</v>
      </c>
    </row>
    <row r="5850" spans="1:40" x14ac:dyDescent="0.25">
      <c r="A5850" t="str">
        <f>"20190303154635366"</f>
        <v>20190303154635366</v>
      </c>
      <c r="B5850" t="str">
        <f>"1551599195356992"</f>
        <v>1551599195356992</v>
      </c>
      <c r="C5850" t="s">
        <v>40</v>
      </c>
      <c r="D5850">
        <v>5.4675890000000003</v>
      </c>
      <c r="E5850">
        <v>0.6557847</v>
      </c>
      <c r="F5850" t="s">
        <v>41</v>
      </c>
      <c r="G5850">
        <v>-303.63440000000003</v>
      </c>
      <c r="H5850" s="1">
        <v>-4.0395040000000001E-6</v>
      </c>
      <c r="I5850">
        <v>-2.7094469999999999</v>
      </c>
      <c r="J5850">
        <v>-306.07130000000001</v>
      </c>
      <c r="K5850">
        <v>1.064908</v>
      </c>
      <c r="L5850">
        <v>16.520569999999999</v>
      </c>
      <c r="M5850">
        <v>0.9414669</v>
      </c>
      <c r="N5850">
        <v>-1.475157E-2</v>
      </c>
      <c r="O5850">
        <v>-0.3367829</v>
      </c>
      <c r="P5850">
        <v>0.49270530000000001</v>
      </c>
      <c r="Q5850">
        <v>-9.329527E-2</v>
      </c>
      <c r="R5850">
        <v>-0.86518090000000003</v>
      </c>
      <c r="S5850">
        <v>0.42364499999999999</v>
      </c>
      <c r="T5850">
        <v>-0.17767759999999999</v>
      </c>
      <c r="U5850">
        <v>-3.2159420000000001</v>
      </c>
      <c r="V5850">
        <v>0.6473373</v>
      </c>
      <c r="W5850">
        <v>-9.2091320000000004E-2</v>
      </c>
      <c r="X5850">
        <v>0.75661990000000001</v>
      </c>
      <c r="Y5850">
        <v>0.88821600000000001</v>
      </c>
      <c r="Z5850">
        <v>-2.6397400000000001E-2</v>
      </c>
      <c r="AA5850">
        <v>0.4586672</v>
      </c>
      <c r="AB5850">
        <v>17</v>
      </c>
      <c r="AC5850">
        <v>2.4368999999999801</v>
      </c>
      <c r="AD5850">
        <v>-1.0649120395039999</v>
      </c>
      <c r="AE5850">
        <v>-19.230017</v>
      </c>
      <c r="AF5850">
        <v>17.233582349853499</v>
      </c>
      <c r="AG5850">
        <v>-1.0649120395039999</v>
      </c>
      <c r="AH5850">
        <v>8.7451601835953401</v>
      </c>
      <c r="AI5850">
        <v>93.154039147491503</v>
      </c>
      <c r="AJ5850">
        <v>26.905459423879499</v>
      </c>
      <c r="AK5850">
        <v>19.354798497990199</v>
      </c>
      <c r="AL5850">
        <v>95.283930490348098</v>
      </c>
      <c r="AM5850">
        <v>49.450870522796002</v>
      </c>
      <c r="AN5850">
        <v>1.00000003213332</v>
      </c>
    </row>
    <row r="5851" spans="1:40" x14ac:dyDescent="0.25">
      <c r="A5851" t="str">
        <f>"20190303154635390"</f>
        <v>20190303154635390</v>
      </c>
      <c r="B5851" t="str">
        <f>"1551599195377489"</f>
        <v>1551599195377489</v>
      </c>
      <c r="C5851" t="s">
        <v>40</v>
      </c>
      <c r="D5851">
        <v>5.4262670000000002</v>
      </c>
      <c r="E5851">
        <v>0.65514609999999995</v>
      </c>
      <c r="F5851" t="s">
        <v>41</v>
      </c>
      <c r="G5851">
        <v>-303.71850000000001</v>
      </c>
      <c r="H5851" s="1">
        <v>-4.2736799999999997E-6</v>
      </c>
      <c r="I5851">
        <v>-2.1384940000000001</v>
      </c>
      <c r="J5851">
        <v>-305.91539999999998</v>
      </c>
      <c r="K5851">
        <v>1.0648070000000001</v>
      </c>
      <c r="L5851">
        <v>16.447659999999999</v>
      </c>
      <c r="M5851">
        <v>0.93682609999999999</v>
      </c>
      <c r="N5851">
        <v>-1.481674E-2</v>
      </c>
      <c r="O5851">
        <v>-0.34948190000000001</v>
      </c>
      <c r="P5851">
        <v>0.48419810000000002</v>
      </c>
      <c r="Q5851">
        <v>-9.0440950000000006E-2</v>
      </c>
      <c r="R5851">
        <v>-0.87027189999999999</v>
      </c>
      <c r="S5851">
        <v>0.4056091</v>
      </c>
      <c r="T5851">
        <v>-0.1835841</v>
      </c>
      <c r="U5851">
        <v>-3.2167050000000001</v>
      </c>
      <c r="V5851">
        <v>0.64483059999999903</v>
      </c>
      <c r="W5851">
        <v>-8.9277399999999896E-2</v>
      </c>
      <c r="X5851">
        <v>0.75909349999999998</v>
      </c>
      <c r="Y5851">
        <v>0.88450529999999905</v>
      </c>
      <c r="Z5851">
        <v>-2.579242E-2</v>
      </c>
      <c r="AA5851">
        <v>0.46581669999999997</v>
      </c>
      <c r="AB5851">
        <v>17</v>
      </c>
      <c r="AC5851">
        <v>2.1968999999999701</v>
      </c>
      <c r="AD5851">
        <v>-1.0648112736799999</v>
      </c>
      <c r="AE5851">
        <v>-18.586154000000001</v>
      </c>
      <c r="AF5851">
        <v>16.592333275081</v>
      </c>
      <c r="AG5851">
        <v>-1.0648112736799999</v>
      </c>
      <c r="AH5851">
        <v>8.5269738878072303</v>
      </c>
      <c r="AI5851">
        <v>93.266821734046601</v>
      </c>
      <c r="AJ5851">
        <v>27.199106387791101</v>
      </c>
      <c r="AK5851">
        <v>18.685519266085699</v>
      </c>
      <c r="AL5851">
        <v>95.122038076648394</v>
      </c>
      <c r="AM5851">
        <v>49.652946491399803</v>
      </c>
      <c r="AN5851">
        <v>0.99999994929468305</v>
      </c>
    </row>
    <row r="5852" spans="1:40" x14ac:dyDescent="0.25">
      <c r="A5852" t="str">
        <f>"20190303154635411"</f>
        <v>20190303154635411</v>
      </c>
      <c r="B5852" t="str">
        <f>"1551599195407744"</f>
        <v>1551599195407744</v>
      </c>
      <c r="C5852" t="s">
        <v>40</v>
      </c>
      <c r="D5852">
        <v>5.4653450000000001</v>
      </c>
      <c r="E5852">
        <v>0.65426269999999997</v>
      </c>
      <c r="F5852" t="s">
        <v>41</v>
      </c>
      <c r="G5852">
        <v>-303.72489999999999</v>
      </c>
      <c r="H5852" s="1">
        <v>-4.2449970000000001E-6</v>
      </c>
      <c r="I5852">
        <v>-2.2161569999999999</v>
      </c>
      <c r="J5852">
        <v>-305.76569999999998</v>
      </c>
      <c r="K5852">
        <v>1.06473</v>
      </c>
      <c r="L5852">
        <v>16.37491</v>
      </c>
      <c r="M5852">
        <v>0.93209439999999999</v>
      </c>
      <c r="N5852">
        <v>-1.487546E-2</v>
      </c>
      <c r="O5852">
        <v>-0.3619098</v>
      </c>
      <c r="P5852">
        <v>0.4762614</v>
      </c>
      <c r="Q5852">
        <v>-8.7121560000000001E-2</v>
      </c>
      <c r="R5852">
        <v>-0.87497749999999996</v>
      </c>
      <c r="S5852">
        <v>0.37768550000000001</v>
      </c>
      <c r="T5852">
        <v>-0.18359490000000001</v>
      </c>
      <c r="U5852">
        <v>-3.2180179999999998</v>
      </c>
      <c r="V5852">
        <v>0.64199019999999996</v>
      </c>
      <c r="W5852">
        <v>-8.5956779999999997E-2</v>
      </c>
      <c r="X5852">
        <v>0.76187930000000004</v>
      </c>
      <c r="Y5852">
        <v>0.88233790000000001</v>
      </c>
      <c r="Z5852">
        <v>-2.4918740000000002E-2</v>
      </c>
      <c r="AA5852">
        <v>0.4699564</v>
      </c>
      <c r="AB5852">
        <v>16</v>
      </c>
      <c r="AC5852">
        <v>2.04079999999998</v>
      </c>
      <c r="AD5852">
        <v>-1.0647342449970001</v>
      </c>
      <c r="AE5852">
        <v>-18.591066999999999</v>
      </c>
      <c r="AF5852">
        <v>16.538280458729702</v>
      </c>
      <c r="AG5852">
        <v>-1.0647342449970001</v>
      </c>
      <c r="AH5852">
        <v>8.6035790939675501</v>
      </c>
      <c r="AI5852">
        <v>93.268829113787206</v>
      </c>
      <c r="AJ5852">
        <v>27.484447836670601</v>
      </c>
      <c r="AK5852">
        <v>18.6727060912505</v>
      </c>
      <c r="AL5852">
        <v>94.931045572341006</v>
      </c>
      <c r="AM5852">
        <v>49.881161151512003</v>
      </c>
      <c r="AN5852">
        <v>1.0000000263462401</v>
      </c>
    </row>
    <row r="5853" spans="1:40" x14ac:dyDescent="0.25">
      <c r="A5853" t="str">
        <f>"20190303154635433"</f>
        <v>20190303154635433</v>
      </c>
      <c r="B5853" t="str">
        <f>"1551599195427264"</f>
        <v>1551599195427264</v>
      </c>
      <c r="C5853" t="s">
        <v>40</v>
      </c>
      <c r="D5853">
        <v>5.445818</v>
      </c>
      <c r="E5853">
        <v>0.6536092</v>
      </c>
      <c r="F5853" t="s">
        <v>41</v>
      </c>
      <c r="G5853">
        <v>-303.70999999999998</v>
      </c>
      <c r="H5853" s="1">
        <v>-4.1993279999999997E-6</v>
      </c>
      <c r="I5853">
        <v>-2.3281830000000001</v>
      </c>
      <c r="J5853">
        <v>-305.61329999999998</v>
      </c>
      <c r="K5853">
        <v>1.06467</v>
      </c>
      <c r="L5853">
        <v>16.297879999999999</v>
      </c>
      <c r="M5853">
        <v>0.92697969999999996</v>
      </c>
      <c r="N5853">
        <v>-1.4931130000000001E-2</v>
      </c>
      <c r="O5853">
        <v>-0.37481429999999999</v>
      </c>
      <c r="P5853">
        <v>0.46682030000000002</v>
      </c>
      <c r="Q5853">
        <v>-8.6857599999999993E-2</v>
      </c>
      <c r="R5853">
        <v>-0.88007639999999998</v>
      </c>
      <c r="S5853">
        <v>0.35369869999999998</v>
      </c>
      <c r="T5853">
        <v>-0.18318899999999999</v>
      </c>
      <c r="U5853">
        <v>-3.2178960000000001</v>
      </c>
      <c r="V5853">
        <v>0.63962629999999998</v>
      </c>
      <c r="W5853">
        <v>-8.5688669999999995E-2</v>
      </c>
      <c r="X5853">
        <v>0.76389499999999999</v>
      </c>
      <c r="Y5853">
        <v>0.87929139999999995</v>
      </c>
      <c r="Z5853">
        <v>-2.3905740000000002E-2</v>
      </c>
      <c r="AA5853">
        <v>0.475684</v>
      </c>
      <c r="AB5853">
        <v>16</v>
      </c>
      <c r="AC5853">
        <v>1.9033</v>
      </c>
      <c r="AD5853">
        <v>-1.064674199328</v>
      </c>
      <c r="AE5853">
        <v>-18.626062999999998</v>
      </c>
      <c r="AF5853">
        <v>16.501085989621298</v>
      </c>
      <c r="AG5853">
        <v>-1.064674199328</v>
      </c>
      <c r="AH5853">
        <v>8.7184185157179304</v>
      </c>
      <c r="AI5853">
        <v>93.265083056451004</v>
      </c>
      <c r="AJ5853">
        <v>27.849922675716702</v>
      </c>
      <c r="AK5853">
        <v>18.6930519552802</v>
      </c>
      <c r="AL5853">
        <v>94.915627433603603</v>
      </c>
      <c r="AM5853">
        <v>50.059811526995198</v>
      </c>
      <c r="AN5853">
        <v>0.99999996142152803</v>
      </c>
    </row>
    <row r="5854" spans="1:40" x14ac:dyDescent="0.25">
      <c r="A5854" t="str">
        <f>"20190303154635456"</f>
        <v>20190303154635456</v>
      </c>
      <c r="B5854" t="str">
        <f>"1551599195447764"</f>
        <v>1551599195447764</v>
      </c>
      <c r="C5854" t="s">
        <v>40</v>
      </c>
      <c r="D5854">
        <v>5.5500980000000002</v>
      </c>
      <c r="E5854">
        <v>0.65326960000000001</v>
      </c>
      <c r="F5854" t="s">
        <v>42</v>
      </c>
      <c r="G5854">
        <v>-305.45339999999999</v>
      </c>
      <c r="H5854">
        <v>0.97215220000000002</v>
      </c>
      <c r="I5854">
        <v>14.704499999999999</v>
      </c>
      <c r="J5854">
        <v>-305.4633</v>
      </c>
      <c r="K5854">
        <v>1.064594</v>
      </c>
      <c r="L5854">
        <v>16.219239999999999</v>
      </c>
      <c r="M5854">
        <v>0.92164049999999997</v>
      </c>
      <c r="N5854">
        <v>-1.4985460000000001E-2</v>
      </c>
      <c r="O5854">
        <v>-0.38775549999999998</v>
      </c>
      <c r="P5854">
        <v>0.45598949999999999</v>
      </c>
      <c r="Q5854">
        <v>-8.7971960000000002E-2</v>
      </c>
      <c r="R5854">
        <v>-0.88562669999999999</v>
      </c>
      <c r="S5854">
        <v>0.3233337</v>
      </c>
      <c r="T5854">
        <v>-0.18693290000000001</v>
      </c>
      <c r="U5854">
        <v>-3.2188720000000002</v>
      </c>
      <c r="V5854">
        <v>0.63817190000000001</v>
      </c>
      <c r="W5854">
        <v>-8.6819199999999999E-2</v>
      </c>
      <c r="X5854">
        <v>0.76498310000000003</v>
      </c>
      <c r="Y5854">
        <v>0.87707000000000002</v>
      </c>
      <c r="Z5854">
        <v>-2.3170759999999999E-2</v>
      </c>
      <c r="AA5854">
        <v>0.47980349999999999</v>
      </c>
      <c r="AB5854">
        <v>16</v>
      </c>
      <c r="AC5854">
        <v>9.9000000000160002E-3</v>
      </c>
      <c r="AD5854">
        <v>-9.2441800000000102E-2</v>
      </c>
      <c r="AE5854">
        <v>-1.51473999999999</v>
      </c>
      <c r="AF5854">
        <v>1.38719691945219</v>
      </c>
      <c r="AG5854">
        <v>-9.2441800000000102E-2</v>
      </c>
      <c r="AH5854">
        <v>0.59432652377664197</v>
      </c>
      <c r="AI5854">
        <v>93.505224175270797</v>
      </c>
      <c r="AJ5854">
        <v>23.1920844726349</v>
      </c>
      <c r="AK5854">
        <v>1.5119804220258</v>
      </c>
      <c r="AL5854">
        <v>94.980643924163303</v>
      </c>
      <c r="AM5854">
        <v>50.164120334473601</v>
      </c>
      <c r="AN5854">
        <v>1.00000004536192</v>
      </c>
    </row>
    <row r="5855" spans="1:40" x14ac:dyDescent="0.25">
      <c r="A5855" t="str">
        <f>"20190303154635469"</f>
        <v>20190303154635469</v>
      </c>
      <c r="B5855" t="str">
        <f>"1551599195457520"</f>
        <v>1551599195457520</v>
      </c>
      <c r="C5855" t="s">
        <v>40</v>
      </c>
      <c r="D5855">
        <v>5.7045180000000002</v>
      </c>
      <c r="E5855">
        <v>0.65075709999999998</v>
      </c>
      <c r="F5855" t="s">
        <v>42</v>
      </c>
      <c r="G5855">
        <v>-305.32429999999999</v>
      </c>
      <c r="H5855">
        <v>0.97136849999999997</v>
      </c>
      <c r="I5855">
        <v>14.652799999999999</v>
      </c>
      <c r="J5855">
        <v>-305.3725</v>
      </c>
      <c r="K5855">
        <v>1.064548</v>
      </c>
      <c r="L5855">
        <v>16.170069999999999</v>
      </c>
      <c r="M5855">
        <v>0.91824499999999998</v>
      </c>
      <c r="N5855">
        <v>-1.502035E-2</v>
      </c>
      <c r="O5855">
        <v>-0.39572839999999998</v>
      </c>
      <c r="P5855">
        <v>0.44858029999999999</v>
      </c>
      <c r="Q5855">
        <v>-8.8741529999999999E-2</v>
      </c>
      <c r="R5855">
        <v>-0.88932630000000001</v>
      </c>
      <c r="S5855">
        <v>0.28594969999999997</v>
      </c>
      <c r="T5855">
        <v>-0.19172420000000001</v>
      </c>
      <c r="U5855">
        <v>-3.2211609999999999</v>
      </c>
      <c r="V5855">
        <v>0.63783749999999995</v>
      </c>
      <c r="W5855">
        <v>-8.7618749999999995E-2</v>
      </c>
      <c r="X5855">
        <v>0.76517080000000004</v>
      </c>
      <c r="Y5855">
        <v>0.87841899999999995</v>
      </c>
      <c r="Z5855">
        <v>-2.3069409999999999E-2</v>
      </c>
      <c r="AA5855">
        <v>0.47733429999999999</v>
      </c>
      <c r="AB5855">
        <v>16</v>
      </c>
      <c r="AC5855">
        <v>4.8200000000008403E-2</v>
      </c>
      <c r="AD5855">
        <v>-9.3179499999999998E-2</v>
      </c>
      <c r="AE5855">
        <v>-1.5172699999999999</v>
      </c>
      <c r="AF5855">
        <v>1.36914766066547</v>
      </c>
      <c r="AG5855">
        <v>-9.3179499999999998E-2</v>
      </c>
      <c r="AH5855">
        <v>0.64233868438113695</v>
      </c>
      <c r="AI5855">
        <v>93.525702625119905</v>
      </c>
      <c r="AJ5855">
        <v>25.133726642642198</v>
      </c>
      <c r="AK5855">
        <v>1.51520517468047</v>
      </c>
      <c r="AL5855">
        <v>95.026630049063002</v>
      </c>
      <c r="AM5855">
        <v>50.185805318208402</v>
      </c>
      <c r="AN5855">
        <v>1.00000003746522</v>
      </c>
    </row>
    <row r="5856" spans="1:40" x14ac:dyDescent="0.25">
      <c r="A5856" t="str">
        <f>"20190303154635484"</f>
        <v>20190303154635484</v>
      </c>
      <c r="B5856" t="str">
        <f>"1551599195477507"</f>
        <v>1551599195477507</v>
      </c>
      <c r="C5856" t="s">
        <v>40</v>
      </c>
      <c r="D5856">
        <v>5.6295769999999896</v>
      </c>
      <c r="E5856">
        <v>0.64762459999999999</v>
      </c>
      <c r="F5856" t="s">
        <v>42</v>
      </c>
      <c r="G5856">
        <v>-305.23329999999999</v>
      </c>
      <c r="H5856">
        <v>0.96063180000000004</v>
      </c>
      <c r="I5856">
        <v>14.5481</v>
      </c>
      <c r="J5856">
        <v>-305.27699999999999</v>
      </c>
      <c r="K5856">
        <v>1.064497</v>
      </c>
      <c r="L5856">
        <v>16.11731</v>
      </c>
      <c r="M5856">
        <v>0.91454480000000005</v>
      </c>
      <c r="N5856">
        <v>-1.50587E-2</v>
      </c>
      <c r="O5856">
        <v>-0.40420430000000002</v>
      </c>
      <c r="P5856">
        <v>0.44030340000000001</v>
      </c>
      <c r="Q5856">
        <v>-8.9322810000000002E-2</v>
      </c>
      <c r="R5856">
        <v>-0.8933953</v>
      </c>
      <c r="S5856">
        <v>0.27609250000000002</v>
      </c>
      <c r="T5856">
        <v>-0.2059067</v>
      </c>
      <c r="U5856">
        <v>-3.2135310000000001</v>
      </c>
      <c r="V5856">
        <v>0.63779269999999999</v>
      </c>
      <c r="W5856">
        <v>-8.8245669999999998E-2</v>
      </c>
      <c r="X5856">
        <v>0.76513609999999999</v>
      </c>
      <c r="Y5856">
        <v>0.8752219</v>
      </c>
      <c r="Z5856">
        <v>-2.2878249999999999E-2</v>
      </c>
      <c r="AA5856">
        <v>0.48318040000000001</v>
      </c>
      <c r="AB5856">
        <v>16</v>
      </c>
      <c r="AC5856">
        <v>4.3700000000001099E-2</v>
      </c>
      <c r="AD5856">
        <v>-0.10386519999999901</v>
      </c>
      <c r="AE5856">
        <v>-1.56921</v>
      </c>
      <c r="AF5856">
        <v>1.4114310526293501</v>
      </c>
      <c r="AG5856">
        <v>-0.10386519999999901</v>
      </c>
      <c r="AH5856">
        <v>0.67138438607447903</v>
      </c>
      <c r="AI5856">
        <v>93.801913727847705</v>
      </c>
      <c r="AJ5856">
        <v>25.439328460477999</v>
      </c>
      <c r="AK5856">
        <v>1.5664235027482301</v>
      </c>
      <c r="AL5856">
        <v>95.062689588751596</v>
      </c>
      <c r="AM5856">
        <v>50.1865066954309</v>
      </c>
      <c r="AN5856">
        <v>1.00000003898512</v>
      </c>
    </row>
    <row r="5857" spans="1:40" x14ac:dyDescent="0.25">
      <c r="A5857" t="str">
        <f>"20190303154635501"</f>
        <v>20190303154635501</v>
      </c>
      <c r="B5857" t="str">
        <f>"1551599195497028"</f>
        <v>1551599195497028</v>
      </c>
      <c r="C5857" t="s">
        <v>40</v>
      </c>
      <c r="D5857">
        <v>5.558427</v>
      </c>
      <c r="E5857">
        <v>0.64425189999999999</v>
      </c>
      <c r="F5857" t="s">
        <v>43</v>
      </c>
      <c r="G5857">
        <v>-303.88889999999998</v>
      </c>
      <c r="H5857">
        <v>-0.05</v>
      </c>
      <c r="I5857">
        <v>-0.4883575</v>
      </c>
      <c r="J5857">
        <v>-305.15940000000001</v>
      </c>
      <c r="K5857">
        <v>1.064433</v>
      </c>
      <c r="L5857">
        <v>16.05048</v>
      </c>
      <c r="M5857">
        <v>0.9097826</v>
      </c>
      <c r="N5857">
        <v>-1.5109539999999999E-2</v>
      </c>
      <c r="O5857">
        <v>-0.41481020000000002</v>
      </c>
      <c r="P5857">
        <v>0.43441809999999997</v>
      </c>
      <c r="Q5857">
        <v>-8.8232690000000003E-2</v>
      </c>
      <c r="R5857">
        <v>-0.8963795</v>
      </c>
      <c r="S5857">
        <v>0.2678528</v>
      </c>
      <c r="T5857">
        <v>-0.21506939999999999</v>
      </c>
      <c r="U5857">
        <v>-3.2044679999999999</v>
      </c>
      <c r="V5857">
        <v>0.63402979999999998</v>
      </c>
      <c r="W5857">
        <v>-8.711373E-2</v>
      </c>
      <c r="X5857">
        <v>0.76838619999999902</v>
      </c>
      <c r="Y5857">
        <v>0.87062999999999902</v>
      </c>
      <c r="Z5857">
        <v>-2.2085E-2</v>
      </c>
      <c r="AA5857">
        <v>0.4914425</v>
      </c>
      <c r="AB5857">
        <v>16</v>
      </c>
      <c r="AC5857">
        <v>1.2705000000000199</v>
      </c>
      <c r="AD5857">
        <v>-1.114433</v>
      </c>
      <c r="AE5857">
        <v>-16.5388375</v>
      </c>
      <c r="AF5857">
        <v>14.4561344671217</v>
      </c>
      <c r="AG5857">
        <v>-1.114433</v>
      </c>
      <c r="AH5857">
        <v>7.9812460055074803</v>
      </c>
      <c r="AI5857">
        <v>93.8609289534743</v>
      </c>
      <c r="AJ5857">
        <v>28.903131922688502</v>
      </c>
      <c r="AK5857">
        <v>16.550591301927</v>
      </c>
      <c r="AL5857">
        <v>94.9975838027148</v>
      </c>
      <c r="AM5857">
        <v>50.472435995831098</v>
      </c>
      <c r="AN5857">
        <v>0.99999997079649605</v>
      </c>
    </row>
    <row r="5858" spans="1:40" x14ac:dyDescent="0.25">
      <c r="A5858" t="str">
        <f>"20190303154635535"</f>
        <v>20190303154635535</v>
      </c>
      <c r="B5858" t="str">
        <f>"1551599195527283"</f>
        <v>1551599195527283</v>
      </c>
      <c r="C5858" t="s">
        <v>40</v>
      </c>
      <c r="D5858">
        <v>5.5695880000000004</v>
      </c>
      <c r="E5858">
        <v>0.64003929999999998</v>
      </c>
      <c r="F5858" t="s">
        <v>42</v>
      </c>
      <c r="G5858">
        <v>-305.01909999999998</v>
      </c>
      <c r="H5858">
        <v>0.94269250000000004</v>
      </c>
      <c r="I5858">
        <v>14.387259999999999</v>
      </c>
      <c r="J5858">
        <v>-304.94619999999998</v>
      </c>
      <c r="K5858">
        <v>1.0643210000000001</v>
      </c>
      <c r="L5858">
        <v>15.92352</v>
      </c>
      <c r="M5858">
        <v>0.90053890000000003</v>
      </c>
      <c r="N5858">
        <v>-1.5206799999999901E-2</v>
      </c>
      <c r="O5858">
        <v>-0.43451010000000001</v>
      </c>
      <c r="P5858">
        <v>0.42374980000000001</v>
      </c>
      <c r="Q5858">
        <v>-8.4774639999999998E-2</v>
      </c>
      <c r="R5858">
        <v>-0.90180389999999999</v>
      </c>
      <c r="S5858">
        <v>0.26953129999999997</v>
      </c>
      <c r="T5858">
        <v>-0.2337592</v>
      </c>
      <c r="U5858">
        <v>-3.1931759999999998</v>
      </c>
      <c r="V5858">
        <v>0.62673880000000004</v>
      </c>
      <c r="W5858">
        <v>-8.3574460000000003E-2</v>
      </c>
      <c r="X5858">
        <v>0.77473459999999905</v>
      </c>
      <c r="Y5858">
        <v>0.85922279999999995</v>
      </c>
      <c r="Z5858">
        <v>-2.006262E-2</v>
      </c>
      <c r="AA5858">
        <v>0.5112082</v>
      </c>
      <c r="AB5858">
        <v>16</v>
      </c>
      <c r="AC5858">
        <v>-7.29000000000041E-2</v>
      </c>
      <c r="AD5858">
        <v>-0.121628499999999</v>
      </c>
      <c r="AE5858">
        <v>-1.53626</v>
      </c>
      <c r="AF5858">
        <v>1.40650450300587</v>
      </c>
      <c r="AG5858">
        <v>-0.121628499999999</v>
      </c>
      <c r="AH5858">
        <v>0.59819943139843201</v>
      </c>
      <c r="AI5858">
        <v>94.549862540781206</v>
      </c>
      <c r="AJ5858">
        <v>23.040500188140101</v>
      </c>
      <c r="AK5858">
        <v>1.53326154608842</v>
      </c>
      <c r="AL5858">
        <v>94.794055955937395</v>
      </c>
      <c r="AM5858">
        <v>51.028101864208502</v>
      </c>
      <c r="AN5858">
        <v>0.99999995711344403</v>
      </c>
    </row>
    <row r="5859" spans="1:40" x14ac:dyDescent="0.25">
      <c r="A5859" t="str">
        <f>"20190303154635556"</f>
        <v>20190303154635556</v>
      </c>
      <c r="B5859" t="str">
        <f>"1551599195546802"</f>
        <v>1551599195546802</v>
      </c>
      <c r="C5859" t="s">
        <v>40</v>
      </c>
      <c r="D5859">
        <v>5.5626239999999996</v>
      </c>
      <c r="E5859">
        <v>0.6387079</v>
      </c>
      <c r="F5859" t="s">
        <v>42</v>
      </c>
      <c r="G5859">
        <v>-304.82319999999999</v>
      </c>
      <c r="H5859">
        <v>0.94956750000000001</v>
      </c>
      <c r="I5859">
        <v>14.42118</v>
      </c>
      <c r="J5859">
        <v>-304.8073</v>
      </c>
      <c r="K5859">
        <v>1.064265</v>
      </c>
      <c r="L5859">
        <v>15.837129999999901</v>
      </c>
      <c r="M5859">
        <v>0.89409159999999899</v>
      </c>
      <c r="N5859">
        <v>-1.5268810000000001E-2</v>
      </c>
      <c r="O5859">
        <v>-0.44762420000000003</v>
      </c>
      <c r="P5859">
        <v>0.41484890000000002</v>
      </c>
      <c r="Q5859">
        <v>-8.0596370000000001E-2</v>
      </c>
      <c r="R5859">
        <v>-0.90631410000000001</v>
      </c>
      <c r="S5859">
        <v>0.26074219999999998</v>
      </c>
      <c r="T5859">
        <v>-0.24302209999999999</v>
      </c>
      <c r="U5859">
        <v>-3.181305</v>
      </c>
      <c r="V5859">
        <v>0.62344109999999997</v>
      </c>
      <c r="W5859">
        <v>-7.9371800000000006E-2</v>
      </c>
      <c r="X5859">
        <v>0.77783119999999994</v>
      </c>
      <c r="Y5859">
        <v>0.85289760000000003</v>
      </c>
      <c r="Z5859">
        <v>-1.8573200000000002E-2</v>
      </c>
      <c r="AA5859">
        <v>0.52174779999999998</v>
      </c>
      <c r="AB5859">
        <v>16</v>
      </c>
      <c r="AC5859">
        <v>-1.5899999999987799E-2</v>
      </c>
      <c r="AD5859">
        <v>-0.11469749999999999</v>
      </c>
      <c r="AE5859">
        <v>-1.41594999999999</v>
      </c>
      <c r="AF5859">
        <v>1.2649553040622901</v>
      </c>
      <c r="AG5859">
        <v>-0.11469749999999999</v>
      </c>
      <c r="AH5859">
        <v>0.615630525567611</v>
      </c>
      <c r="AI5859">
        <v>94.661028798384606</v>
      </c>
      <c r="AJ5859">
        <v>25.951336534062399</v>
      </c>
      <c r="AK5859">
        <v>1.4114773755863801</v>
      </c>
      <c r="AL5859">
        <v>94.552457558920096</v>
      </c>
      <c r="AM5859">
        <v>51.287404122982899</v>
      </c>
      <c r="AN5859">
        <v>1.0000000317489399</v>
      </c>
    </row>
    <row r="5860" spans="1:40" x14ac:dyDescent="0.25">
      <c r="A5860" t="str">
        <f>"20190303154635580"</f>
        <v>20190303154635580</v>
      </c>
      <c r="B5860" t="str">
        <f>"1551599195577565"</f>
        <v>1551599195577565</v>
      </c>
      <c r="C5860" t="s">
        <v>40</v>
      </c>
      <c r="D5860">
        <v>5.6224759999999998</v>
      </c>
      <c r="E5860">
        <v>0.58629690000000001</v>
      </c>
      <c r="F5860" t="s">
        <v>42</v>
      </c>
      <c r="G5860">
        <v>-304.6968</v>
      </c>
      <c r="H5860">
        <v>0.95553589999999999</v>
      </c>
      <c r="I5860">
        <v>14.363049999999999</v>
      </c>
      <c r="J5860">
        <v>-304.65929999999997</v>
      </c>
      <c r="K5860">
        <v>1.064209</v>
      </c>
      <c r="L5860">
        <v>15.741580000000001</v>
      </c>
      <c r="M5860">
        <v>0.88681529999999997</v>
      </c>
      <c r="N5860">
        <v>-1.5334739999999999E-2</v>
      </c>
      <c r="O5860">
        <v>-0.46187</v>
      </c>
      <c r="P5860">
        <v>0.40279330000000002</v>
      </c>
      <c r="Q5860">
        <v>-7.6598020000000003E-2</v>
      </c>
      <c r="R5860">
        <v>-0.91208049999999996</v>
      </c>
      <c r="S5860">
        <v>0.23880000000000001</v>
      </c>
      <c r="T5860">
        <v>-0.23459569999999999</v>
      </c>
      <c r="U5860">
        <v>-3.179932</v>
      </c>
      <c r="V5860">
        <v>0.62167269999999997</v>
      </c>
      <c r="W5860">
        <v>-7.5394039999999996E-2</v>
      </c>
      <c r="X5860">
        <v>0.77964009999999995</v>
      </c>
      <c r="Y5860">
        <v>0.84822809999999904</v>
      </c>
      <c r="Z5860">
        <v>-1.6844560000000001E-2</v>
      </c>
      <c r="AA5860">
        <v>0.52936319999999903</v>
      </c>
      <c r="AB5860">
        <v>16</v>
      </c>
      <c r="AC5860">
        <v>-3.7500000000022703E-2</v>
      </c>
      <c r="AD5860">
        <v>-0.108673099999999</v>
      </c>
      <c r="AE5860">
        <v>-1.37852999999999</v>
      </c>
      <c r="AF5860">
        <v>1.2323145037007299</v>
      </c>
      <c r="AG5860">
        <v>-0.108673099999999</v>
      </c>
      <c r="AH5860">
        <v>0.59979221286236095</v>
      </c>
      <c r="AI5860">
        <v>94.533657862480496</v>
      </c>
      <c r="AJ5860">
        <v>25.953117016578599</v>
      </c>
      <c r="AK5860">
        <v>1.37483074496649</v>
      </c>
      <c r="AL5860">
        <v>94.323863469514393</v>
      </c>
      <c r="AM5860">
        <v>51.4316950793202</v>
      </c>
      <c r="AN5860">
        <v>0.99999994636040901</v>
      </c>
    </row>
    <row r="5861" spans="1:40" x14ac:dyDescent="0.25">
      <c r="A5861" t="str">
        <f>"20190303154635601"</f>
        <v>20190303154635601</v>
      </c>
      <c r="B5861" t="str">
        <f>"1551599195597085"</f>
        <v>1551599195597085</v>
      </c>
      <c r="C5861" t="s">
        <v>40</v>
      </c>
      <c r="D5861">
        <v>5.6412329999999997</v>
      </c>
      <c r="E5861">
        <v>0.58559469999999902</v>
      </c>
      <c r="F5861" t="s">
        <v>43</v>
      </c>
      <c r="G5861">
        <v>-302.79140000000001</v>
      </c>
      <c r="H5861">
        <v>-0.05</v>
      </c>
      <c r="I5861">
        <v>5.9281309999999996</v>
      </c>
      <c r="J5861">
        <v>-304.52229999999997</v>
      </c>
      <c r="K5861">
        <v>1.0641419999999999</v>
      </c>
      <c r="L5861">
        <v>15.649660000000001</v>
      </c>
      <c r="M5861">
        <v>0.87965759999999904</v>
      </c>
      <c r="N5861">
        <v>-1.5399029999999999E-2</v>
      </c>
      <c r="O5861">
        <v>-0.47535870000000002</v>
      </c>
      <c r="P5861">
        <v>0.39102779999999998</v>
      </c>
      <c r="Q5861">
        <v>-7.6445360000000004E-2</v>
      </c>
      <c r="R5861">
        <v>-0.91719930000000005</v>
      </c>
      <c r="S5861">
        <v>0.57247919999999997</v>
      </c>
      <c r="T5861">
        <v>-0.34149049999999997</v>
      </c>
      <c r="U5861">
        <v>-3.0076900000000002</v>
      </c>
      <c r="V5861">
        <v>0.61979629999999997</v>
      </c>
      <c r="W5861">
        <v>-7.5258720000000001E-2</v>
      </c>
      <c r="X5861">
        <v>0.7811458</v>
      </c>
      <c r="Y5861">
        <v>0.77266990000000002</v>
      </c>
      <c r="Z5861">
        <v>-7.1000159999999998E-3</v>
      </c>
      <c r="AA5861">
        <v>0.63476829999999995</v>
      </c>
      <c r="AB5861">
        <v>16</v>
      </c>
      <c r="AC5861">
        <v>1.7308999999999599</v>
      </c>
      <c r="AD5861">
        <v>-1.114142</v>
      </c>
      <c r="AE5861">
        <v>-9.7215289999999897</v>
      </c>
      <c r="AF5861">
        <v>7.6325638599510199</v>
      </c>
      <c r="AG5861">
        <v>-1.114142</v>
      </c>
      <c r="AH5861">
        <v>6.0672977399011598</v>
      </c>
      <c r="AI5861">
        <v>96.518776632951798</v>
      </c>
      <c r="AJ5861">
        <v>38.481983117015901</v>
      </c>
      <c r="AK5861">
        <v>9.8137375824404494</v>
      </c>
      <c r="AL5861">
        <v>94.316087688892097</v>
      </c>
      <c r="AM5861">
        <v>51.569930384696299</v>
      </c>
      <c r="AN5861">
        <v>1.0000000446436801</v>
      </c>
    </row>
    <row r="5862" spans="1:40" x14ac:dyDescent="0.25">
      <c r="A5862" t="str">
        <f>"20190303154635624"</f>
        <v>20190303154635624</v>
      </c>
      <c r="B5862" t="str">
        <f>"1551599195617585"</f>
        <v>1551599195617585</v>
      </c>
      <c r="C5862" t="s">
        <v>40</v>
      </c>
      <c r="D5862">
        <v>5.6977789999999997</v>
      </c>
      <c r="E5862">
        <v>0.58524759999999998</v>
      </c>
      <c r="F5862" t="s">
        <v>43</v>
      </c>
      <c r="G5862">
        <v>-302.77460000000002</v>
      </c>
      <c r="H5862">
        <v>-0.05</v>
      </c>
      <c r="I5862">
        <v>5.8791349999999998</v>
      </c>
      <c r="J5862">
        <v>-304.38499999999999</v>
      </c>
      <c r="K5862">
        <v>1.0640540000000001</v>
      </c>
      <c r="L5862">
        <v>15.553800000000001</v>
      </c>
      <c r="M5862">
        <v>0.87204009999999998</v>
      </c>
      <c r="N5862">
        <v>-1.5469429999999999E-2</v>
      </c>
      <c r="O5862">
        <v>-0.48919020000000002</v>
      </c>
      <c r="P5862">
        <v>0.37878390000000001</v>
      </c>
      <c r="Q5862">
        <v>-7.9287479999999994E-2</v>
      </c>
      <c r="R5862">
        <v>-0.92208270000000003</v>
      </c>
      <c r="S5862">
        <v>0.53884889999999996</v>
      </c>
      <c r="T5862">
        <v>-0.34351300000000001</v>
      </c>
      <c r="U5862">
        <v>-3.012451</v>
      </c>
      <c r="V5862">
        <v>0.61758610000000003</v>
      </c>
      <c r="W5862">
        <v>-7.8112280000000006E-2</v>
      </c>
      <c r="X5862">
        <v>0.78261480000000005</v>
      </c>
      <c r="Y5862">
        <v>0.76974330000000002</v>
      </c>
      <c r="Z5862">
        <v>-5.0121020000000001E-3</v>
      </c>
      <c r="AA5862">
        <v>0.63833399999999996</v>
      </c>
      <c r="AB5862">
        <v>16</v>
      </c>
      <c r="AC5862">
        <v>1.6103999999999601</v>
      </c>
      <c r="AD5862">
        <v>-1.1140540000000001</v>
      </c>
      <c r="AE5862">
        <v>-9.6746649999999992</v>
      </c>
      <c r="AF5862">
        <v>7.55237429498235</v>
      </c>
      <c r="AG5862">
        <v>-1.1140540000000001</v>
      </c>
      <c r="AH5862">
        <v>6.0596342948423203</v>
      </c>
      <c r="AI5862">
        <v>96.563271728090498</v>
      </c>
      <c r="AJ5862">
        <v>38.741753832510099</v>
      </c>
      <c r="AK5862">
        <v>9.7467246597847108</v>
      </c>
      <c r="AL5862">
        <v>94.480067650057094</v>
      </c>
      <c r="AM5862">
        <v>51.721911823379003</v>
      </c>
      <c r="AN5862">
        <v>1.00000002218952</v>
      </c>
    </row>
    <row r="5863" spans="1:40" x14ac:dyDescent="0.25">
      <c r="A5863" t="str">
        <f>"20190303154635644"</f>
        <v>20190303154635644</v>
      </c>
      <c r="B5863" t="str">
        <f>"1551599195637102"</f>
        <v>1551599195637102</v>
      </c>
      <c r="C5863" t="s">
        <v>40</v>
      </c>
      <c r="D5863">
        <v>5.6634609999999999</v>
      </c>
      <c r="E5863">
        <v>0.58472570000000001</v>
      </c>
      <c r="F5863" t="s">
        <v>43</v>
      </c>
      <c r="G5863">
        <v>-302.78230000000002</v>
      </c>
      <c r="H5863">
        <v>-0.05</v>
      </c>
      <c r="I5863">
        <v>5.905411</v>
      </c>
      <c r="J5863">
        <v>-304.25540000000001</v>
      </c>
      <c r="K5863">
        <v>1.063982</v>
      </c>
      <c r="L5863">
        <v>15.460050000000001</v>
      </c>
      <c r="M5863">
        <v>0.86445859999999997</v>
      </c>
      <c r="N5863">
        <v>-1.5536380000000001E-2</v>
      </c>
      <c r="O5863">
        <v>-0.50246400000000002</v>
      </c>
      <c r="P5863">
        <v>0.366979</v>
      </c>
      <c r="Q5863">
        <v>-8.1409280000000001E-2</v>
      </c>
      <c r="R5863">
        <v>-0.92666040000000005</v>
      </c>
      <c r="S5863">
        <v>0.50125120000000001</v>
      </c>
      <c r="T5863">
        <v>-0.34843560000000001</v>
      </c>
      <c r="U5863">
        <v>-3.0176699999999999</v>
      </c>
      <c r="V5863">
        <v>0.61540740000000005</v>
      </c>
      <c r="W5863">
        <v>-8.0222730000000006E-2</v>
      </c>
      <c r="X5863">
        <v>0.78411609999999998</v>
      </c>
      <c r="Y5863">
        <v>0.76791759999999998</v>
      </c>
      <c r="Z5863">
        <v>-2.9832980000000001E-3</v>
      </c>
      <c r="AA5863">
        <v>0.64054169999999999</v>
      </c>
      <c r="AB5863">
        <v>16</v>
      </c>
      <c r="AC5863">
        <v>1.4730999999999801</v>
      </c>
      <c r="AD5863">
        <v>-1.113982</v>
      </c>
      <c r="AE5863">
        <v>-9.5546389999999999</v>
      </c>
      <c r="AF5863">
        <v>7.42177274583665</v>
      </c>
      <c r="AG5863">
        <v>-1.113982</v>
      </c>
      <c r="AH5863">
        <v>5.9954230973034504</v>
      </c>
      <c r="AI5863">
        <v>96.659655846360195</v>
      </c>
      <c r="AJ5863">
        <v>38.931815192699801</v>
      </c>
      <c r="AK5863">
        <v>9.6056631578901097</v>
      </c>
      <c r="AL5863">
        <v>94.601368344297299</v>
      </c>
      <c r="AM5863">
        <v>51.873681047218597</v>
      </c>
      <c r="AN5863">
        <v>1.0000000063313099</v>
      </c>
    </row>
    <row r="5864" spans="1:40" x14ac:dyDescent="0.25">
      <c r="A5864" t="str">
        <f>"20190303154635668"</f>
        <v>20190303154635668</v>
      </c>
      <c r="B5864" t="str">
        <f>"1551599195657597"</f>
        <v>1551599195657597</v>
      </c>
      <c r="C5864" t="s">
        <v>40</v>
      </c>
      <c r="D5864">
        <v>5.7154959999999999</v>
      </c>
      <c r="E5864">
        <v>0.58335550000000003</v>
      </c>
      <c r="F5864" t="s">
        <v>43</v>
      </c>
      <c r="G5864">
        <v>-302.80110000000002</v>
      </c>
      <c r="H5864">
        <v>-0.05</v>
      </c>
      <c r="I5864">
        <v>6.0341189999999996</v>
      </c>
      <c r="J5864">
        <v>-304.11959999999999</v>
      </c>
      <c r="K5864">
        <v>1.0639270000000001</v>
      </c>
      <c r="L5864">
        <v>15.358090000000001</v>
      </c>
      <c r="M5864">
        <v>0.85608329999999999</v>
      </c>
      <c r="N5864">
        <v>-1.560224E-2</v>
      </c>
      <c r="O5864">
        <v>-0.51660209999999995</v>
      </c>
      <c r="P5864">
        <v>0.35430460000000003</v>
      </c>
      <c r="Q5864">
        <v>-8.2022059999999994E-2</v>
      </c>
      <c r="R5864">
        <v>-0.93152619999999997</v>
      </c>
      <c r="S5864">
        <v>0.4661865</v>
      </c>
      <c r="T5864">
        <v>-0.35707929999999999</v>
      </c>
      <c r="U5864">
        <v>-3.021423</v>
      </c>
      <c r="V5864">
        <v>0.61315129999999995</v>
      </c>
      <c r="W5864">
        <v>-8.0801079999999997E-2</v>
      </c>
      <c r="X5864">
        <v>0.78582229999999997</v>
      </c>
      <c r="Y5864">
        <v>0.76475439999999995</v>
      </c>
      <c r="Z5864">
        <v>-4.7690789999999997E-4</v>
      </c>
      <c r="AA5864">
        <v>0.6443217</v>
      </c>
      <c r="AB5864">
        <v>16</v>
      </c>
      <c r="AC5864">
        <v>1.31849999999997</v>
      </c>
      <c r="AD5864">
        <v>-1.1139269999999999</v>
      </c>
      <c r="AE5864">
        <v>-9.3239709999999896</v>
      </c>
      <c r="AF5864">
        <v>7.2010804197083198</v>
      </c>
      <c r="AG5864">
        <v>-1.1139269999999999</v>
      </c>
      <c r="AH5864">
        <v>5.8641952201897896</v>
      </c>
      <c r="AI5864">
        <v>96.8398114445461</v>
      </c>
      <c r="AJ5864">
        <v>39.157626724024801</v>
      </c>
      <c r="AK5864">
        <v>9.3533511723302905</v>
      </c>
      <c r="AL5864">
        <v>94.634613270123594</v>
      </c>
      <c r="AM5864">
        <v>52.036254913111499</v>
      </c>
      <c r="AN5864">
        <v>1.00000000919907</v>
      </c>
    </row>
    <row r="5865" spans="1:40" x14ac:dyDescent="0.25">
      <c r="A5865" t="str">
        <f>"20190303154635690"</f>
        <v>20190303154635690</v>
      </c>
      <c r="B5865" t="str">
        <f>"1551599195686879"</f>
        <v>1551599195686879</v>
      </c>
      <c r="C5865" t="s">
        <v>40</v>
      </c>
      <c r="D5865">
        <v>5.7010420000000002</v>
      </c>
      <c r="E5865">
        <v>0.58161070000000004</v>
      </c>
      <c r="F5865" t="s">
        <v>43</v>
      </c>
      <c r="G5865">
        <v>-302.7987</v>
      </c>
      <c r="H5865">
        <v>-0.05</v>
      </c>
      <c r="I5865">
        <v>6.1659389999999998</v>
      </c>
      <c r="J5865">
        <v>-303.98770000000002</v>
      </c>
      <c r="K5865">
        <v>1.0638799999999999</v>
      </c>
      <c r="L5865">
        <v>15.2554</v>
      </c>
      <c r="M5865">
        <v>0.84751109999999896</v>
      </c>
      <c r="N5865">
        <v>-1.5660170000000001E-2</v>
      </c>
      <c r="O5865">
        <v>-0.53054650000000003</v>
      </c>
      <c r="P5865">
        <v>0.34198820000000002</v>
      </c>
      <c r="Q5865">
        <v>-8.2432839999999993E-2</v>
      </c>
      <c r="R5865">
        <v>-0.93608179999999996</v>
      </c>
      <c r="S5865">
        <v>0.43438719999999997</v>
      </c>
      <c r="T5865">
        <v>-0.36633969999999999</v>
      </c>
      <c r="U5865">
        <v>-3.0230410000000001</v>
      </c>
      <c r="V5865">
        <v>0.61060760000000003</v>
      </c>
      <c r="W5865">
        <v>-8.1150760000000002E-2</v>
      </c>
      <c r="X5865">
        <v>0.78776449999999998</v>
      </c>
      <c r="Y5865">
        <v>0.76087299999999902</v>
      </c>
      <c r="Z5865">
        <v>2.2481160000000001E-3</v>
      </c>
      <c r="AA5865">
        <v>0.6488969</v>
      </c>
      <c r="AB5865">
        <v>16</v>
      </c>
      <c r="AC5865">
        <v>1.18900000000002</v>
      </c>
      <c r="AD5865">
        <v>-1.11388</v>
      </c>
      <c r="AE5865">
        <v>-9.089461</v>
      </c>
      <c r="AF5865">
        <v>6.9705472950046801</v>
      </c>
      <c r="AG5865">
        <v>-1.11388</v>
      </c>
      <c r="AH5865">
        <v>5.7459490902767403</v>
      </c>
      <c r="AI5865">
        <v>97.029386567624499</v>
      </c>
      <c r="AJ5865">
        <v>39.499380046066399</v>
      </c>
      <c r="AK5865">
        <v>9.1019332668587101</v>
      </c>
      <c r="AL5865">
        <v>94.654714525167904</v>
      </c>
      <c r="AM5865">
        <v>52.220221224780602</v>
      </c>
      <c r="AN5865">
        <v>0.99999999724329303</v>
      </c>
    </row>
    <row r="5866" spans="1:40" x14ac:dyDescent="0.25">
      <c r="A5866" t="str">
        <f>"20190303154635713"</f>
        <v>20190303154635713</v>
      </c>
      <c r="B5866" t="str">
        <f>"1551599195707374"</f>
        <v>1551599195707374</v>
      </c>
      <c r="C5866" t="s">
        <v>40</v>
      </c>
      <c r="D5866">
        <v>5.7191479999999997</v>
      </c>
      <c r="E5866">
        <v>0.580654</v>
      </c>
      <c r="F5866" t="s">
        <v>43</v>
      </c>
      <c r="G5866">
        <v>-302.77940000000001</v>
      </c>
      <c r="H5866">
        <v>-0.05</v>
      </c>
      <c r="I5866">
        <v>6.278473</v>
      </c>
      <c r="J5866">
        <v>-303.85610000000003</v>
      </c>
      <c r="K5866">
        <v>1.0638459999999901</v>
      </c>
      <c r="L5866">
        <v>15.149229999999999</v>
      </c>
      <c r="M5866">
        <v>0.83850550000000001</v>
      </c>
      <c r="N5866">
        <v>-1.5714760000000001E-2</v>
      </c>
      <c r="O5866">
        <v>-0.54466649999999905</v>
      </c>
      <c r="P5866">
        <v>0.32924439999999999</v>
      </c>
      <c r="Q5866">
        <v>-8.338806E-2</v>
      </c>
      <c r="R5866">
        <v>-0.94055540000000004</v>
      </c>
      <c r="S5866">
        <v>0.40692139999999999</v>
      </c>
      <c r="T5866">
        <v>-0.37512180000000001</v>
      </c>
      <c r="U5866">
        <v>-3.0231629999999998</v>
      </c>
      <c r="V5866">
        <v>0.6080198</v>
      </c>
      <c r="W5866">
        <v>-8.2030759999999994E-2</v>
      </c>
      <c r="X5866">
        <v>0.78967259999999995</v>
      </c>
      <c r="Y5866">
        <v>0.75578669999999903</v>
      </c>
      <c r="Z5866">
        <v>5.2479390000000001E-3</v>
      </c>
      <c r="AA5866">
        <v>0.65479679999999996</v>
      </c>
      <c r="AB5866">
        <v>16</v>
      </c>
      <c r="AC5866">
        <v>1.07670000000001</v>
      </c>
      <c r="AD5866">
        <v>-1.1138459999999999</v>
      </c>
      <c r="AE5866">
        <v>-8.8707569999999993</v>
      </c>
      <c r="AF5866">
        <v>6.7477400912312699</v>
      </c>
      <c r="AG5866">
        <v>-1.1138459999999999</v>
      </c>
      <c r="AH5866">
        <v>5.6473856558659197</v>
      </c>
      <c r="AI5866">
        <v>97.214455054587305</v>
      </c>
      <c r="AJ5866">
        <v>39.926971213452198</v>
      </c>
      <c r="AK5866">
        <v>8.8693637875896094</v>
      </c>
      <c r="AL5866">
        <v>94.705303614049498</v>
      </c>
      <c r="AM5866">
        <v>52.4050089169871</v>
      </c>
      <c r="AN5866">
        <v>0.99999996898448795</v>
      </c>
    </row>
    <row r="5867" spans="1:40" x14ac:dyDescent="0.25">
      <c r="A5867" t="str">
        <f>"20190303154635734"</f>
        <v>20190303154635734</v>
      </c>
      <c r="B5867" t="str">
        <f>"1551599195726894"</f>
        <v>1551599195726894</v>
      </c>
      <c r="C5867" t="s">
        <v>40</v>
      </c>
      <c r="D5867">
        <v>5.546011</v>
      </c>
      <c r="E5867">
        <v>0.5804049</v>
      </c>
      <c r="F5867" t="s">
        <v>43</v>
      </c>
      <c r="G5867">
        <v>-302.77010000000001</v>
      </c>
      <c r="H5867">
        <v>-0.05</v>
      </c>
      <c r="I5867">
        <v>6.34375</v>
      </c>
      <c r="J5867">
        <v>-303.73270000000002</v>
      </c>
      <c r="K5867">
        <v>1.0638259999999999</v>
      </c>
      <c r="L5867">
        <v>15.04599</v>
      </c>
      <c r="M5867">
        <v>0.82962279999999999</v>
      </c>
      <c r="N5867">
        <v>-1.5765700000000001E-2</v>
      </c>
      <c r="O5867">
        <v>-0.55810199999999999</v>
      </c>
      <c r="P5867">
        <v>0.3169014</v>
      </c>
      <c r="Q5867">
        <v>-8.3971199999999996E-2</v>
      </c>
      <c r="R5867">
        <v>-0.94473410000000002</v>
      </c>
      <c r="S5867">
        <v>0.3730774</v>
      </c>
      <c r="T5867">
        <v>-0.38265650000000001</v>
      </c>
      <c r="U5867">
        <v>-3.0250849999999998</v>
      </c>
      <c r="V5867">
        <v>0.605583599999999</v>
      </c>
      <c r="W5867">
        <v>-8.2533919999999997E-2</v>
      </c>
      <c r="X5867">
        <v>0.79149009999999997</v>
      </c>
      <c r="Y5867">
        <v>0.75250609999999996</v>
      </c>
      <c r="Z5867">
        <v>8.0055630000000003E-3</v>
      </c>
      <c r="AA5867">
        <v>0.65853660000000003</v>
      </c>
      <c r="AB5867">
        <v>16</v>
      </c>
      <c r="AC5867">
        <v>0.962600000000009</v>
      </c>
      <c r="AD5867">
        <v>-1.113826</v>
      </c>
      <c r="AE5867">
        <v>-8.7022399999999998</v>
      </c>
      <c r="AF5867">
        <v>6.5767378882080303</v>
      </c>
      <c r="AG5867">
        <v>-1.113826</v>
      </c>
      <c r="AH5867">
        <v>5.5659538736577998</v>
      </c>
      <c r="AI5867">
        <v>97.366115483411406</v>
      </c>
      <c r="AJ5867">
        <v>40.241545587636097</v>
      </c>
      <c r="AK5867">
        <v>8.6875734317560394</v>
      </c>
      <c r="AL5867">
        <v>94.734230685214399</v>
      </c>
      <c r="AM5867">
        <v>52.579733998061798</v>
      </c>
      <c r="AN5867">
        <v>0.99999996146876702</v>
      </c>
    </row>
    <row r="5868" spans="1:40" x14ac:dyDescent="0.25">
      <c r="A5868" t="str">
        <f>"20190303154635757"</f>
        <v>20190303154635757</v>
      </c>
      <c r="B5868" t="str">
        <f>"1551599195747390"</f>
        <v>1551599195747390</v>
      </c>
      <c r="C5868" t="s">
        <v>40</v>
      </c>
      <c r="D5868">
        <v>5.5800190000000001</v>
      </c>
      <c r="E5868">
        <v>0.58039030000000003</v>
      </c>
      <c r="F5868" t="s">
        <v>43</v>
      </c>
      <c r="G5868">
        <v>-302.75189999999998</v>
      </c>
      <c r="H5868">
        <v>-0.05</v>
      </c>
      <c r="I5868">
        <v>6.2002259999999998</v>
      </c>
      <c r="J5868">
        <v>-303.6071</v>
      </c>
      <c r="K5868">
        <v>1.063801</v>
      </c>
      <c r="L5868">
        <v>14.9371299999999</v>
      </c>
      <c r="M5868">
        <v>0.82012489999999905</v>
      </c>
      <c r="N5868">
        <v>-1.581741E-2</v>
      </c>
      <c r="O5868">
        <v>-0.57196579999999997</v>
      </c>
      <c r="P5868">
        <v>0.30367650000000002</v>
      </c>
      <c r="Q5868">
        <v>-8.4930889999999995E-2</v>
      </c>
      <c r="R5868">
        <v>-0.9489824</v>
      </c>
      <c r="S5868">
        <v>0.33584589999999998</v>
      </c>
      <c r="T5868">
        <v>-0.38139580000000001</v>
      </c>
      <c r="U5868">
        <v>-3.0289609999999998</v>
      </c>
      <c r="V5868">
        <v>0.60324560000000005</v>
      </c>
      <c r="W5868">
        <v>-8.3414660000000002E-2</v>
      </c>
      <c r="X5868">
        <v>0.79318149999999998</v>
      </c>
      <c r="Y5868">
        <v>0.7496273</v>
      </c>
      <c r="Z5868">
        <v>1.0303929999999999E-2</v>
      </c>
      <c r="AA5868">
        <v>0.66178000000000003</v>
      </c>
      <c r="AB5868">
        <v>16</v>
      </c>
      <c r="AC5868">
        <v>0.85520000000002405</v>
      </c>
      <c r="AD5868">
        <v>-1.113801</v>
      </c>
      <c r="AE5868">
        <v>-8.7369039999999991</v>
      </c>
      <c r="AF5868">
        <v>6.5712619739498699</v>
      </c>
      <c r="AG5868">
        <v>-1.113801</v>
      </c>
      <c r="AH5868">
        <v>5.6090033204397303</v>
      </c>
      <c r="AI5868">
        <v>97.345960721535903</v>
      </c>
      <c r="AJ5868">
        <v>40.4829319437819</v>
      </c>
      <c r="AK5868">
        <v>8.7110823005287106</v>
      </c>
      <c r="AL5868">
        <v>94.784867439132995</v>
      </c>
      <c r="AM5868">
        <v>52.745589341069497</v>
      </c>
      <c r="AN5868">
        <v>1.00000007568226</v>
      </c>
    </row>
    <row r="5869" spans="1:40" x14ac:dyDescent="0.25">
      <c r="A5869" t="str">
        <f>"20190303154635781"</f>
        <v>20190303154635781</v>
      </c>
      <c r="B5869" t="str">
        <f>"1551599195777646"</f>
        <v>1551599195777646</v>
      </c>
      <c r="C5869" t="s">
        <v>40</v>
      </c>
      <c r="D5869">
        <v>5.493779</v>
      </c>
      <c r="E5869">
        <v>0.58062250000000004</v>
      </c>
      <c r="F5869" t="s">
        <v>43</v>
      </c>
      <c r="G5869">
        <v>-302.73919999999998</v>
      </c>
      <c r="H5869">
        <v>-0.05</v>
      </c>
      <c r="I5869">
        <v>5.9856870000000004</v>
      </c>
      <c r="J5869">
        <v>-303.47820000000002</v>
      </c>
      <c r="K5869">
        <v>1.063771</v>
      </c>
      <c r="L5869">
        <v>14.821260000000001</v>
      </c>
      <c r="M5869">
        <v>0.80987790000000004</v>
      </c>
      <c r="N5869">
        <v>-1.586924E-2</v>
      </c>
      <c r="O5869">
        <v>-0.58638400000000002</v>
      </c>
      <c r="P5869">
        <v>0.28879870000000002</v>
      </c>
      <c r="Q5869">
        <v>-8.7431729999999999E-2</v>
      </c>
      <c r="R5869">
        <v>-0.95338979999999995</v>
      </c>
      <c r="S5869">
        <v>0.29409790000000002</v>
      </c>
      <c r="T5869">
        <v>-0.37743470000000001</v>
      </c>
      <c r="U5869">
        <v>-3.0333860000000001</v>
      </c>
      <c r="V5869">
        <v>0.60138740000000002</v>
      </c>
      <c r="W5869">
        <v>-8.5856230000000006E-2</v>
      </c>
      <c r="X5869">
        <v>0.79433100000000001</v>
      </c>
      <c r="Y5869">
        <v>0.74716130000000003</v>
      </c>
      <c r="Z5869">
        <v>1.2440120000000001E-2</v>
      </c>
      <c r="AA5869">
        <v>0.66452639999999996</v>
      </c>
      <c r="AB5869">
        <v>16</v>
      </c>
      <c r="AC5869">
        <v>0.73900000000003196</v>
      </c>
      <c r="AD5869">
        <v>-1.1137709999999901</v>
      </c>
      <c r="AE5869">
        <v>-8.8355730000000001</v>
      </c>
      <c r="AF5869">
        <v>6.61880157532112</v>
      </c>
      <c r="AG5869">
        <v>-1.1137709999999901</v>
      </c>
      <c r="AH5869">
        <v>5.6904724442979502</v>
      </c>
      <c r="AI5869">
        <v>97.271583579528098</v>
      </c>
      <c r="AJ5869">
        <v>40.687085880155003</v>
      </c>
      <c r="AK5869">
        <v>8.7994600273669494</v>
      </c>
      <c r="AL5869">
        <v>94.925263643491306</v>
      </c>
      <c r="AM5869">
        <v>52.870663886304598</v>
      </c>
      <c r="AN5869">
        <v>0.999999917334783</v>
      </c>
    </row>
    <row r="5870" spans="1:40" x14ac:dyDescent="0.25">
      <c r="A5870" t="str">
        <f>"20190303154635803"</f>
        <v>20190303154635803</v>
      </c>
      <c r="B5870" t="str">
        <f>"1551599195797166"</f>
        <v>1551599195797166</v>
      </c>
      <c r="C5870" t="s">
        <v>40</v>
      </c>
      <c r="D5870">
        <v>5.496988</v>
      </c>
      <c r="E5870">
        <v>0.58901239999999999</v>
      </c>
      <c r="F5870" t="s">
        <v>43</v>
      </c>
      <c r="G5870">
        <v>-302.74270000000001</v>
      </c>
      <c r="H5870">
        <v>-0.05</v>
      </c>
      <c r="I5870">
        <v>5.7189480000000001</v>
      </c>
      <c r="J5870">
        <v>-303.35860000000002</v>
      </c>
      <c r="K5870">
        <v>1.0637350000000001</v>
      </c>
      <c r="L5870">
        <v>14.70947</v>
      </c>
      <c r="M5870">
        <v>0.79986769999999996</v>
      </c>
      <c r="N5870">
        <v>-1.5914930000000001E-2</v>
      </c>
      <c r="O5870">
        <v>-0.59996530000000003</v>
      </c>
      <c r="P5870">
        <v>0.27524670000000001</v>
      </c>
      <c r="Q5870">
        <v>-9.0128860000000005E-2</v>
      </c>
      <c r="R5870">
        <v>-0.95713990000000004</v>
      </c>
      <c r="S5870">
        <v>0.24548339999999999</v>
      </c>
      <c r="T5870">
        <v>-0.37175930000000001</v>
      </c>
      <c r="U5870">
        <v>-3.038208</v>
      </c>
      <c r="V5870">
        <v>0.59899969999999902</v>
      </c>
      <c r="W5870">
        <v>-8.8481219999999999E-2</v>
      </c>
      <c r="X5870">
        <v>0.79584569999999999</v>
      </c>
      <c r="Y5870">
        <v>0.74671759999999998</v>
      </c>
      <c r="Z5870">
        <v>1.4076709999999999E-2</v>
      </c>
      <c r="AA5870">
        <v>0.66499229999999998</v>
      </c>
      <c r="AB5870">
        <v>16</v>
      </c>
      <c r="AC5870">
        <v>0.61590000000001</v>
      </c>
      <c r="AD5870">
        <v>-1.1137349999999999</v>
      </c>
      <c r="AE5870">
        <v>-8.9905220000000003</v>
      </c>
      <c r="AF5870">
        <v>6.7199315953317296</v>
      </c>
      <c r="AG5870">
        <v>-1.1137349999999999</v>
      </c>
      <c r="AH5870">
        <v>5.7988127852756799</v>
      </c>
      <c r="AI5870">
        <v>97.151916667241395</v>
      </c>
      <c r="AJ5870">
        <v>40.791807452318203</v>
      </c>
      <c r="AK5870">
        <v>8.9456199346294198</v>
      </c>
      <c r="AL5870">
        <v>95.076238946940805</v>
      </c>
      <c r="AM5870">
        <v>53.0327565600494</v>
      </c>
      <c r="AN5870">
        <v>0.999999972550633</v>
      </c>
    </row>
    <row r="5871" spans="1:40" x14ac:dyDescent="0.25">
      <c r="A5871" t="str">
        <f>"20190303154635824"</f>
        <v>20190303154635824</v>
      </c>
      <c r="B5871" t="str">
        <f>"1551599195817662"</f>
        <v>1551599195817662</v>
      </c>
      <c r="C5871" t="s">
        <v>40</v>
      </c>
      <c r="D5871">
        <v>5.4857849999999999</v>
      </c>
      <c r="E5871">
        <v>0.58745069999999999</v>
      </c>
      <c r="F5871" t="s">
        <v>41</v>
      </c>
      <c r="G5871">
        <v>-302.63709999999998</v>
      </c>
      <c r="H5871" s="1">
        <v>-4.7284399999999997E-6</v>
      </c>
      <c r="I5871">
        <v>-0.45477679999999998</v>
      </c>
      <c r="J5871">
        <v>-303.2414</v>
      </c>
      <c r="K5871">
        <v>1.063701</v>
      </c>
      <c r="L5871">
        <v>14.595890000000001</v>
      </c>
      <c r="M5871">
        <v>0.78957679999999997</v>
      </c>
      <c r="N5871">
        <v>-1.5957969999999998E-2</v>
      </c>
      <c r="O5871">
        <v>-0.6134444</v>
      </c>
      <c r="P5871">
        <v>0.26168710000000001</v>
      </c>
      <c r="Q5871">
        <v>-9.2087719999999998E-2</v>
      </c>
      <c r="R5871">
        <v>-0.96074990000000005</v>
      </c>
      <c r="S5871">
        <v>0.14614869999999999</v>
      </c>
      <c r="T5871">
        <v>-0.21549570000000001</v>
      </c>
      <c r="U5871">
        <v>-3.0720209999999999</v>
      </c>
      <c r="V5871">
        <v>0.59656960000000003</v>
      </c>
      <c r="W5871">
        <v>-9.0363810000000003E-2</v>
      </c>
      <c r="X5871">
        <v>0.79745790000000005</v>
      </c>
      <c r="Y5871">
        <v>0.75856610000000002</v>
      </c>
      <c r="Z5871">
        <v>1.9786449999999998E-3</v>
      </c>
      <c r="AA5871">
        <v>0.65159309999999904</v>
      </c>
      <c r="AB5871">
        <v>16</v>
      </c>
      <c r="AC5871">
        <v>0.60430000000002304</v>
      </c>
      <c r="AD5871">
        <v>-1.06370572844</v>
      </c>
      <c r="AE5871">
        <v>-15.050666799999901</v>
      </c>
      <c r="AF5871">
        <v>11.457281379084</v>
      </c>
      <c r="AG5871">
        <v>-1.06370572844</v>
      </c>
      <c r="AH5871">
        <v>9.6629358393411398</v>
      </c>
      <c r="AI5871">
        <v>94.059489778158905</v>
      </c>
      <c r="AJ5871">
        <v>40.1438882054047</v>
      </c>
      <c r="AK5871">
        <v>15.0257477521568</v>
      </c>
      <c r="AL5871">
        <v>95.184537131023106</v>
      </c>
      <c r="AM5871">
        <v>53.200236294718302</v>
      </c>
      <c r="AN5871">
        <v>1.00000000403714</v>
      </c>
    </row>
    <row r="5872" spans="1:40" x14ac:dyDescent="0.25">
      <c r="A5872" t="str">
        <f>"20190303154635846"</f>
        <v>20190303154635846</v>
      </c>
      <c r="B5872" t="str">
        <f>"1551599195837182"</f>
        <v>1551599195837182</v>
      </c>
      <c r="C5872" t="s">
        <v>40</v>
      </c>
      <c r="D5872">
        <v>5.5366910000000003</v>
      </c>
      <c r="E5872">
        <v>0.58551390000000003</v>
      </c>
      <c r="F5872" t="s">
        <v>43</v>
      </c>
      <c r="G5872">
        <v>-302.67759999999998</v>
      </c>
      <c r="H5872">
        <v>-0.05</v>
      </c>
      <c r="I5872">
        <v>-0.51983639999999998</v>
      </c>
      <c r="J5872">
        <v>-303.1293</v>
      </c>
      <c r="K5872">
        <v>1.063685</v>
      </c>
      <c r="L5872">
        <v>14.48334</v>
      </c>
      <c r="M5872">
        <v>0.77926989999999996</v>
      </c>
      <c r="N5872">
        <v>-1.59965E-2</v>
      </c>
      <c r="O5872">
        <v>-0.62648459999999995</v>
      </c>
      <c r="P5872">
        <v>0.2477134</v>
      </c>
      <c r="Q5872">
        <v>-9.292533E-2</v>
      </c>
      <c r="R5872">
        <v>-0.96436690000000003</v>
      </c>
      <c r="S5872">
        <v>0.11450200000000001</v>
      </c>
      <c r="T5872">
        <v>-0.22617039999999999</v>
      </c>
      <c r="U5872">
        <v>-3.0697019999999999</v>
      </c>
      <c r="V5872">
        <v>0.59481189999999995</v>
      </c>
      <c r="W5872">
        <v>-9.1131039999999996E-2</v>
      </c>
      <c r="X5872">
        <v>0.79868260000000002</v>
      </c>
      <c r="Y5872">
        <v>0.75436579999999998</v>
      </c>
      <c r="Z5872">
        <v>4.2763130000000003E-3</v>
      </c>
      <c r="AA5872">
        <v>0.65644040000000003</v>
      </c>
      <c r="AB5872">
        <v>16</v>
      </c>
      <c r="AC5872">
        <v>0.45170000000001598</v>
      </c>
      <c r="AD5872">
        <v>-1.113685</v>
      </c>
      <c r="AE5872">
        <v>-15.003176399999999</v>
      </c>
      <c r="AF5872">
        <v>11.3475289951456</v>
      </c>
      <c r="AG5872">
        <v>-1.113685</v>
      </c>
      <c r="AH5872">
        <v>9.6991064853192093</v>
      </c>
      <c r="AI5872">
        <v>94.266635252555005</v>
      </c>
      <c r="AJ5872">
        <v>40.521600871042402</v>
      </c>
      <c r="AK5872">
        <v>14.969281051154599</v>
      </c>
      <c r="AL5872">
        <v>95.228678432273696</v>
      </c>
      <c r="AM5872">
        <v>53.323423260271802</v>
      </c>
      <c r="AN5872">
        <v>0.99999997918792505</v>
      </c>
    </row>
    <row r="5873" spans="1:40" x14ac:dyDescent="0.25">
      <c r="A5873" t="str">
        <f>"20190303154635869"</f>
        <v>20190303154635869</v>
      </c>
      <c r="B5873" t="str">
        <f>"1551599195857678"</f>
        <v>1551599195857678</v>
      </c>
      <c r="C5873" t="s">
        <v>40</v>
      </c>
      <c r="D5873">
        <v>5.5601960000000004</v>
      </c>
      <c r="E5873">
        <v>0.58367939999999996</v>
      </c>
      <c r="F5873" t="s">
        <v>43</v>
      </c>
      <c r="G5873">
        <v>-302.7097</v>
      </c>
      <c r="H5873">
        <v>-0.05</v>
      </c>
      <c r="I5873">
        <v>-0.64028929999999995</v>
      </c>
      <c r="J5873">
        <v>-303.01319999999998</v>
      </c>
      <c r="K5873">
        <v>1.0636829999999999</v>
      </c>
      <c r="L5873">
        <v>14.362399999999999</v>
      </c>
      <c r="M5873">
        <v>0.76808089999999996</v>
      </c>
      <c r="N5873">
        <v>-1.603305E-2</v>
      </c>
      <c r="O5873">
        <v>-0.6401521</v>
      </c>
      <c r="P5873">
        <v>0.2333703</v>
      </c>
      <c r="Q5873">
        <v>-9.350841E-2</v>
      </c>
      <c r="R5873">
        <v>-0.9678814</v>
      </c>
      <c r="S5873">
        <v>8.5113530000000007E-2</v>
      </c>
      <c r="T5873">
        <v>-0.22586700000000001</v>
      </c>
      <c r="U5873">
        <v>-3.0672299999999999</v>
      </c>
      <c r="V5873">
        <v>0.59250859999999905</v>
      </c>
      <c r="W5873">
        <v>-9.1613799999999995E-2</v>
      </c>
      <c r="X5873">
        <v>0.80033769999999904</v>
      </c>
      <c r="Y5873">
        <v>0.74904939999999998</v>
      </c>
      <c r="Z5873">
        <v>5.8122E-3</v>
      </c>
      <c r="AA5873">
        <v>0.66248859999999998</v>
      </c>
      <c r="AB5873">
        <v>16</v>
      </c>
      <c r="AC5873">
        <v>0.303499999999985</v>
      </c>
      <c r="AD5873">
        <v>-1.113683</v>
      </c>
      <c r="AE5873">
        <v>-15.002689299999901</v>
      </c>
      <c r="AF5873">
        <v>11.268380960254801</v>
      </c>
      <c r="AG5873">
        <v>-1.113683</v>
      </c>
      <c r="AH5873">
        <v>9.7844854261277892</v>
      </c>
      <c r="AI5873">
        <v>94.267834842360401</v>
      </c>
      <c r="AJ5873">
        <v>40.9682177025242</v>
      </c>
      <c r="AK5873">
        <v>14.9650544383918</v>
      </c>
      <c r="AL5873">
        <v>95.256454724330993</v>
      </c>
      <c r="AM5873">
        <v>53.486593587628903</v>
      </c>
      <c r="AN5873">
        <v>0.99999998173284399</v>
      </c>
    </row>
    <row r="5874" spans="1:40" x14ac:dyDescent="0.25">
      <c r="A5874" t="str">
        <f>"20190303154635891"</f>
        <v>20190303154635891</v>
      </c>
      <c r="B5874" t="str">
        <f>"1551599195886957"</f>
        <v>1551599195886957</v>
      </c>
      <c r="C5874" t="s">
        <v>40</v>
      </c>
      <c r="D5874">
        <v>5.5783579999999997</v>
      </c>
      <c r="E5874">
        <v>0.57458480000000001</v>
      </c>
      <c r="F5874" t="s">
        <v>43</v>
      </c>
      <c r="G5874">
        <v>-302.74849999999998</v>
      </c>
      <c r="H5874">
        <v>-0.05</v>
      </c>
      <c r="I5874">
        <v>-0.76019289999999995</v>
      </c>
      <c r="J5874">
        <v>-302.9024</v>
      </c>
      <c r="K5874">
        <v>1.063688</v>
      </c>
      <c r="L5874">
        <v>14.24283</v>
      </c>
      <c r="M5874">
        <v>0.75689849999999903</v>
      </c>
      <c r="N5874">
        <v>-1.606482E-2</v>
      </c>
      <c r="O5874">
        <v>-0.6533352</v>
      </c>
      <c r="P5874">
        <v>0.21977169999999999</v>
      </c>
      <c r="Q5874">
        <v>-9.4654349999999998E-2</v>
      </c>
      <c r="R5874">
        <v>-0.97094879999999995</v>
      </c>
      <c r="S5874">
        <v>5.36499E-2</v>
      </c>
      <c r="T5874">
        <v>-0.22570460000000001</v>
      </c>
      <c r="U5874">
        <v>-3.064819</v>
      </c>
      <c r="V5874">
        <v>0.58979649999999995</v>
      </c>
      <c r="W5874">
        <v>-9.2643649999999994E-2</v>
      </c>
      <c r="X5874">
        <v>0.80222019999999905</v>
      </c>
      <c r="Y5874">
        <v>0.74439599999999995</v>
      </c>
      <c r="Z5874">
        <v>7.2813969999999898E-3</v>
      </c>
      <c r="AA5874">
        <v>0.66769869999999898</v>
      </c>
      <c r="AB5874">
        <v>16</v>
      </c>
      <c r="AC5874">
        <v>0.15390000000002099</v>
      </c>
      <c r="AD5874">
        <v>-1.113688</v>
      </c>
      <c r="AE5874">
        <v>-15.003022899999999</v>
      </c>
      <c r="AF5874">
        <v>11.1949877506657</v>
      </c>
      <c r="AG5874">
        <v>-1.113688</v>
      </c>
      <c r="AH5874">
        <v>9.8654133202400001</v>
      </c>
      <c r="AI5874">
        <v>94.268411858338794</v>
      </c>
      <c r="AJ5874">
        <v>41.3876263071542</v>
      </c>
      <c r="AK5874">
        <v>14.9631023413618</v>
      </c>
      <c r="AL5874">
        <v>95.315712690078399</v>
      </c>
      <c r="AM5874">
        <v>53.676479227547198</v>
      </c>
      <c r="AN5874">
        <v>1.0000000032928</v>
      </c>
    </row>
    <row r="5875" spans="1:40" x14ac:dyDescent="0.25">
      <c r="A5875" t="str">
        <f>"20190303154635914"</f>
        <v>20190303154635914</v>
      </c>
      <c r="B5875" t="str">
        <f>"1551599195907454"</f>
        <v>1551599195907454</v>
      </c>
      <c r="C5875" t="s">
        <v>40</v>
      </c>
      <c r="D5875">
        <v>5.5787779999999998</v>
      </c>
      <c r="E5875">
        <v>0.57335970000000003</v>
      </c>
      <c r="F5875" t="s">
        <v>43</v>
      </c>
      <c r="G5875">
        <v>-302.50310000000002</v>
      </c>
      <c r="H5875">
        <v>-0.05</v>
      </c>
      <c r="I5875">
        <v>-0.68792719999999996</v>
      </c>
      <c r="J5875">
        <v>-302.79349999999999</v>
      </c>
      <c r="K5875">
        <v>1.0636909999999999</v>
      </c>
      <c r="L5875">
        <v>14.12097</v>
      </c>
      <c r="M5875">
        <v>0.74538850000000001</v>
      </c>
      <c r="N5875">
        <v>-1.6094529999999999E-2</v>
      </c>
      <c r="O5875">
        <v>-0.66643609999999998</v>
      </c>
      <c r="P5875">
        <v>0.20575009999999999</v>
      </c>
      <c r="Q5875">
        <v>-9.6447179999999993E-2</v>
      </c>
      <c r="R5875">
        <v>-0.9738405</v>
      </c>
      <c r="S5875">
        <v>8.1542970000000006E-2</v>
      </c>
      <c r="T5875">
        <v>-0.22743559999999999</v>
      </c>
      <c r="U5875">
        <v>-3.0491329999999999</v>
      </c>
      <c r="V5875">
        <v>0.58721210000000001</v>
      </c>
      <c r="W5875">
        <v>-9.4326560000000004E-2</v>
      </c>
      <c r="X5875">
        <v>0.80391820000000003</v>
      </c>
      <c r="Y5875">
        <v>0.72638599999999998</v>
      </c>
      <c r="Z5875">
        <v>9.8435250000000005E-3</v>
      </c>
      <c r="AA5875">
        <v>0.68721659999999996</v>
      </c>
      <c r="AB5875">
        <v>16</v>
      </c>
      <c r="AC5875">
        <v>0.29039999999997601</v>
      </c>
      <c r="AD5875">
        <v>-1.113691</v>
      </c>
      <c r="AE5875">
        <v>-14.808897200000001</v>
      </c>
      <c r="AF5875">
        <v>10.785278296036401</v>
      </c>
      <c r="AG5875">
        <v>-1.113691</v>
      </c>
      <c r="AH5875">
        <v>10.030244463195199</v>
      </c>
      <c r="AI5875">
        <v>94.324180765486105</v>
      </c>
      <c r="AJ5875">
        <v>42.922641919049298</v>
      </c>
      <c r="AK5875">
        <v>14.7705226568965</v>
      </c>
      <c r="AL5875">
        <v>95.412560425952293</v>
      </c>
      <c r="AM5875">
        <v>53.8542020239653</v>
      </c>
      <c r="AN5875">
        <v>1.00000001129954</v>
      </c>
    </row>
    <row r="5876" spans="1:40" x14ac:dyDescent="0.25">
      <c r="A5876" t="str">
        <f>"20190303154635935"</f>
        <v>20190303154635935</v>
      </c>
      <c r="B5876" t="str">
        <f>"1551599195926973"</f>
        <v>1551599195926973</v>
      </c>
      <c r="C5876" t="s">
        <v>40</v>
      </c>
      <c r="D5876">
        <v>5.6056819999999998</v>
      </c>
      <c r="E5876">
        <v>0.57218119999999995</v>
      </c>
      <c r="F5876" t="s">
        <v>43</v>
      </c>
      <c r="G5876">
        <v>-302.5693</v>
      </c>
      <c r="H5876">
        <v>-0.05</v>
      </c>
      <c r="I5876">
        <v>-0.40835569999999999</v>
      </c>
      <c r="J5876">
        <v>-302.68990000000002</v>
      </c>
      <c r="K5876">
        <v>1.063696</v>
      </c>
      <c r="L5876">
        <v>14.0007</v>
      </c>
      <c r="M5876">
        <v>0.73391169999999994</v>
      </c>
      <c r="N5876">
        <v>-1.6122839999999999E-2</v>
      </c>
      <c r="O5876">
        <v>-0.67905349999999998</v>
      </c>
      <c r="P5876">
        <v>0.19091749999999999</v>
      </c>
      <c r="Q5876">
        <v>-9.7378530000000005E-2</v>
      </c>
      <c r="R5876">
        <v>-0.97676399999999997</v>
      </c>
      <c r="S5876">
        <v>4.7027590000000001E-2</v>
      </c>
      <c r="T5876">
        <v>-0.233596</v>
      </c>
      <c r="U5876">
        <v>-3.0475159999999999</v>
      </c>
      <c r="V5876">
        <v>0.58564240000000001</v>
      </c>
      <c r="W5876">
        <v>-9.5183030000000002E-2</v>
      </c>
      <c r="X5876">
        <v>0.80496159999999894</v>
      </c>
      <c r="Y5876">
        <v>0.72241540000000004</v>
      </c>
      <c r="Z5876">
        <v>1.1982410000000001E-2</v>
      </c>
      <c r="AA5876">
        <v>0.69135550000000001</v>
      </c>
      <c r="AB5876">
        <v>16</v>
      </c>
      <c r="AC5876">
        <v>0.12060000000002399</v>
      </c>
      <c r="AD5876">
        <v>-1.113696</v>
      </c>
      <c r="AE5876">
        <v>-14.4090557</v>
      </c>
      <c r="AF5876">
        <v>10.432128126335</v>
      </c>
      <c r="AG5876">
        <v>-1.113696</v>
      </c>
      <c r="AH5876">
        <v>9.8156786461573091</v>
      </c>
      <c r="AI5876">
        <v>94.4458241656734</v>
      </c>
      <c r="AJ5876">
        <v>43.256154500242097</v>
      </c>
      <c r="AK5876">
        <v>14.3672253169954</v>
      </c>
      <c r="AL5876">
        <v>95.461854375916701</v>
      </c>
      <c r="AM5876">
        <v>53.962582293964999</v>
      </c>
      <c r="AN5876">
        <v>1.0000000036761501</v>
      </c>
    </row>
    <row r="5877" spans="1:40" x14ac:dyDescent="0.25">
      <c r="A5877" t="str">
        <f>"20190303154635958"</f>
        <v>20190303154635958</v>
      </c>
      <c r="B5877" t="str">
        <f>"1551599195947470"</f>
        <v>1551599195947470</v>
      </c>
      <c r="C5877" t="s">
        <v>40</v>
      </c>
      <c r="D5877">
        <v>5.6251340000000001</v>
      </c>
      <c r="E5877">
        <v>0.56462290000000004</v>
      </c>
      <c r="F5877" t="s">
        <v>43</v>
      </c>
      <c r="G5877">
        <v>-302.64440000000002</v>
      </c>
      <c r="H5877">
        <v>-0.05</v>
      </c>
      <c r="I5877">
        <v>-0.17675779999999999</v>
      </c>
      <c r="J5877">
        <v>-302.5847</v>
      </c>
      <c r="K5877">
        <v>1.0637019999999999</v>
      </c>
      <c r="L5877">
        <v>13.87421</v>
      </c>
      <c r="M5877">
        <v>0.72172349999999996</v>
      </c>
      <c r="N5877">
        <v>-1.6152050000000001E-2</v>
      </c>
      <c r="O5877">
        <v>-0.69199309999999903</v>
      </c>
      <c r="P5877">
        <v>0.17597309999999999</v>
      </c>
      <c r="Q5877">
        <v>-9.7837270000000004E-2</v>
      </c>
      <c r="R5877">
        <v>-0.97952099999999998</v>
      </c>
      <c r="S5877">
        <v>9.765625E-3</v>
      </c>
      <c r="T5877">
        <v>-0.2392436</v>
      </c>
      <c r="U5877">
        <v>-3.0455930000000002</v>
      </c>
      <c r="V5877">
        <v>0.58359099999999997</v>
      </c>
      <c r="W5877">
        <v>-9.5557450000000002E-2</v>
      </c>
      <c r="X5877">
        <v>0.80640579999999995</v>
      </c>
      <c r="Y5877">
        <v>0.71856140000000002</v>
      </c>
      <c r="Z5877">
        <v>1.417092E-2</v>
      </c>
      <c r="AA5877">
        <v>0.69531919999999903</v>
      </c>
      <c r="AB5877">
        <v>16</v>
      </c>
      <c r="AC5877">
        <v>-5.9700000000020702E-2</v>
      </c>
      <c r="AD5877">
        <v>-1.113702</v>
      </c>
      <c r="AE5877">
        <v>-14.0509678</v>
      </c>
      <c r="AF5877">
        <v>10.1199767736535</v>
      </c>
      <c r="AG5877">
        <v>-1.113702</v>
      </c>
      <c r="AH5877">
        <v>9.6209068230193608</v>
      </c>
      <c r="AI5877">
        <v>94.560189738540601</v>
      </c>
      <c r="AJ5877">
        <v>43.551811921063198</v>
      </c>
      <c r="AK5877">
        <v>14.007716092972201</v>
      </c>
      <c r="AL5877">
        <v>95.483405325364402</v>
      </c>
      <c r="AM5877">
        <v>54.106968024092502</v>
      </c>
      <c r="AN5877">
        <v>0.99999999790257099</v>
      </c>
    </row>
    <row r="5878" spans="1:40" x14ac:dyDescent="0.25">
      <c r="A5878" t="str">
        <f>"20190303154635982"</f>
        <v>20190303154635982</v>
      </c>
      <c r="B5878" t="str">
        <f>"1551599195977726"</f>
        <v>1551599195977726</v>
      </c>
      <c r="C5878" t="s">
        <v>40</v>
      </c>
      <c r="D5878">
        <v>5.6428739999999999</v>
      </c>
      <c r="E5878">
        <v>0.56196619999999997</v>
      </c>
      <c r="F5878" t="s">
        <v>43</v>
      </c>
      <c r="G5878">
        <v>-302.48480000000001</v>
      </c>
      <c r="H5878">
        <v>-0.05</v>
      </c>
      <c r="I5878">
        <v>0.22795099999999999</v>
      </c>
      <c r="J5878">
        <v>-302.47770000000003</v>
      </c>
      <c r="K5878">
        <v>1.0637030000000001</v>
      </c>
      <c r="L5878">
        <v>13.740449999999999</v>
      </c>
      <c r="M5878">
        <v>0.708708</v>
      </c>
      <c r="N5878">
        <v>-1.618174E-2</v>
      </c>
      <c r="O5878">
        <v>-0.70531630000000001</v>
      </c>
      <c r="P5878">
        <v>0.1608021</v>
      </c>
      <c r="Q5878">
        <v>-9.6799919999999998E-2</v>
      </c>
      <c r="R5878">
        <v>-0.9822284</v>
      </c>
      <c r="S5878">
        <v>2.2216799999999998E-2</v>
      </c>
      <c r="T5878">
        <v>-0.24761140000000001</v>
      </c>
      <c r="U5878">
        <v>-3.0339969999999998</v>
      </c>
      <c r="V5878">
        <v>0.58113590000000004</v>
      </c>
      <c r="W5878">
        <v>-9.4426899999999994E-2</v>
      </c>
      <c r="X5878">
        <v>0.80830970000000002</v>
      </c>
      <c r="Y5878">
        <v>0.70258129999999996</v>
      </c>
      <c r="Z5878">
        <v>1.7645290000000001E-2</v>
      </c>
      <c r="AA5878">
        <v>0.71138469999999998</v>
      </c>
      <c r="AB5878">
        <v>15</v>
      </c>
      <c r="AC5878">
        <v>-7.0999999999799002E-3</v>
      </c>
      <c r="AD5878">
        <v>-1.1137030000000001</v>
      </c>
      <c r="AE5878">
        <v>-13.512498999999901</v>
      </c>
      <c r="AF5878">
        <v>9.5180219907658294</v>
      </c>
      <c r="AG5878">
        <v>-1.1137030000000001</v>
      </c>
      <c r="AH5878">
        <v>9.4625217760213296</v>
      </c>
      <c r="AI5878">
        <v>94.743541105104697</v>
      </c>
      <c r="AJ5878">
        <v>44.832464283261302</v>
      </c>
      <c r="AK5878">
        <v>13.467456899897201</v>
      </c>
      <c r="AL5878">
        <v>95.418335471387905</v>
      </c>
      <c r="AM5878">
        <v>54.285676812138597</v>
      </c>
      <c r="AN5878">
        <v>0.999999972413254</v>
      </c>
    </row>
    <row r="5879" spans="1:40" x14ac:dyDescent="0.25">
      <c r="A5879" t="str">
        <f>"20190303154636007"</f>
        <v>20190303154636007</v>
      </c>
      <c r="B5879" t="str">
        <f>"1551599195997246"</f>
        <v>1551599195997246</v>
      </c>
      <c r="C5879" t="s">
        <v>40</v>
      </c>
      <c r="D5879">
        <v>5.6283820000000002</v>
      </c>
      <c r="E5879">
        <v>0.56113329999999995</v>
      </c>
      <c r="F5879" t="s">
        <v>43</v>
      </c>
      <c r="G5879">
        <v>-302.4957</v>
      </c>
      <c r="H5879">
        <v>-0.05</v>
      </c>
      <c r="I5879">
        <v>9.5214839999999995E-2</v>
      </c>
      <c r="J5879">
        <v>-302.37020000000001</v>
      </c>
      <c r="K5879">
        <v>1.0637000000000001</v>
      </c>
      <c r="L5879">
        <v>13.59985</v>
      </c>
      <c r="M5879">
        <v>0.69490769999999902</v>
      </c>
      <c r="N5879">
        <v>-1.6210949999999998E-2</v>
      </c>
      <c r="O5879">
        <v>-0.71891640000000001</v>
      </c>
      <c r="P5879">
        <v>0.1463835</v>
      </c>
      <c r="Q5879">
        <v>-9.6412929999999994E-2</v>
      </c>
      <c r="R5879">
        <v>-0.98451849999999996</v>
      </c>
      <c r="S5879">
        <v>-3.9978030000000003E-3</v>
      </c>
      <c r="T5879">
        <v>-0.2473487</v>
      </c>
      <c r="U5879">
        <v>-3.030548</v>
      </c>
      <c r="V5879">
        <v>0.57735819999999904</v>
      </c>
      <c r="W5879">
        <v>-9.3911729999999999E-2</v>
      </c>
      <c r="X5879">
        <v>0.81107220000000002</v>
      </c>
      <c r="Y5879">
        <v>0.69494319999999998</v>
      </c>
      <c r="Z5879">
        <v>1.9481769999999999E-2</v>
      </c>
      <c r="AA5879">
        <v>0.71880069999999996</v>
      </c>
      <c r="AB5879">
        <v>15</v>
      </c>
      <c r="AC5879">
        <v>-0.12549999999998801</v>
      </c>
      <c r="AD5879">
        <v>-1.1136999999999999</v>
      </c>
      <c r="AE5879">
        <v>-13.504635159999999</v>
      </c>
      <c r="AF5879">
        <v>9.4119379965799297</v>
      </c>
      <c r="AG5879">
        <v>-1.1136999999999999</v>
      </c>
      <c r="AH5879">
        <v>9.55775943526214</v>
      </c>
      <c r="AI5879">
        <v>94.746108827639105</v>
      </c>
      <c r="AJ5879">
        <v>45.440428133718399</v>
      </c>
      <c r="AK5879">
        <v>13.4601511865137</v>
      </c>
      <c r="AL5879">
        <v>95.388686452889004</v>
      </c>
      <c r="AM5879">
        <v>54.555003740947001</v>
      </c>
      <c r="AN5879">
        <v>1.0000000088758301</v>
      </c>
    </row>
    <row r="5880" spans="1:40" x14ac:dyDescent="0.25">
      <c r="A5880" t="str">
        <f>"20190303154636026"</f>
        <v>20190303154636026</v>
      </c>
      <c r="B5880" t="str">
        <f>"1551599196017742"</f>
        <v>1551599196017742</v>
      </c>
      <c r="C5880" t="s">
        <v>40</v>
      </c>
      <c r="D5880">
        <v>5.6583100000000002</v>
      </c>
      <c r="E5880">
        <v>0.55507830000000002</v>
      </c>
      <c r="F5880" t="s">
        <v>43</v>
      </c>
      <c r="G5880">
        <v>-302.55709999999999</v>
      </c>
      <c r="H5880">
        <v>-0.05</v>
      </c>
      <c r="I5880">
        <v>-1.356506E-2</v>
      </c>
      <c r="J5880">
        <v>-302.28579999999999</v>
      </c>
      <c r="K5880">
        <v>1.0636969999999999</v>
      </c>
      <c r="L5880">
        <v>13.485569999999999</v>
      </c>
      <c r="M5880">
        <v>0.68358759999999996</v>
      </c>
      <c r="N5880">
        <v>-1.6232380000000001E-2</v>
      </c>
      <c r="O5880">
        <v>-0.72968820000000001</v>
      </c>
      <c r="P5880">
        <v>0.1354609</v>
      </c>
      <c r="Q5880">
        <v>-9.6400920000000001E-2</v>
      </c>
      <c r="R5880">
        <v>-0.98608189999999996</v>
      </c>
      <c r="S5880">
        <v>-4.1595460000000001E-2</v>
      </c>
      <c r="T5880">
        <v>-0.24780630000000001</v>
      </c>
      <c r="U5880">
        <v>-3.029083</v>
      </c>
      <c r="V5880">
        <v>0.57367690000000005</v>
      </c>
      <c r="W5880">
        <v>-9.3772549999999996E-2</v>
      </c>
      <c r="X5880">
        <v>0.81369630000000004</v>
      </c>
      <c r="Y5880">
        <v>0.69264320000000001</v>
      </c>
      <c r="Z5880">
        <v>2.0815989999999999E-2</v>
      </c>
      <c r="AA5880">
        <v>0.72097999999999995</v>
      </c>
      <c r="AB5880">
        <v>15</v>
      </c>
      <c r="AC5880">
        <v>-0.27129999999999599</v>
      </c>
      <c r="AD5880">
        <v>-1.1136969999999999</v>
      </c>
      <c r="AE5880">
        <v>-13.49913506</v>
      </c>
      <c r="AF5880">
        <v>9.3633404630753994</v>
      </c>
      <c r="AG5880">
        <v>-1.1136969999999999</v>
      </c>
      <c r="AH5880">
        <v>9.6006537852911809</v>
      </c>
      <c r="AI5880">
        <v>94.747286538891998</v>
      </c>
      <c r="AJ5880">
        <v>45.716955611744297</v>
      </c>
      <c r="AK5880">
        <v>13.456783372719499</v>
      </c>
      <c r="AL5880">
        <v>95.380676335625495</v>
      </c>
      <c r="AM5880">
        <v>54.815175233013697</v>
      </c>
      <c r="AN5880">
        <v>1.0000000726803899</v>
      </c>
    </row>
    <row r="5881" spans="1:40" x14ac:dyDescent="0.25">
      <c r="A5881" t="str">
        <f>"20190303154636047"</f>
        <v>20190303154636047</v>
      </c>
      <c r="B5881" t="str">
        <f>"1551599196037262"</f>
        <v>1551599196037262</v>
      </c>
      <c r="C5881" t="s">
        <v>40</v>
      </c>
      <c r="D5881">
        <v>5.6685860000000003</v>
      </c>
      <c r="E5881">
        <v>0.54971769999999998</v>
      </c>
      <c r="F5881" t="s">
        <v>43</v>
      </c>
      <c r="G5881">
        <v>-302.4067</v>
      </c>
      <c r="H5881">
        <v>-0.05</v>
      </c>
      <c r="I5881">
        <v>0.40771479999999999</v>
      </c>
      <c r="J5881">
        <v>-302.1977</v>
      </c>
      <c r="K5881">
        <v>1.0637080000000001</v>
      </c>
      <c r="L5881">
        <v>13.36182</v>
      </c>
      <c r="M5881">
        <v>0.67124079999999997</v>
      </c>
      <c r="N5881">
        <v>-1.6253170000000001E-2</v>
      </c>
      <c r="O5881">
        <v>-0.74106099999999997</v>
      </c>
      <c r="P5881">
        <v>0.1233235</v>
      </c>
      <c r="Q5881">
        <v>-9.6731380000000006E-2</v>
      </c>
      <c r="R5881">
        <v>-0.98764090000000004</v>
      </c>
      <c r="S5881">
        <v>-2.792358E-2</v>
      </c>
      <c r="T5881">
        <v>-0.25726769999999999</v>
      </c>
      <c r="U5881">
        <v>-3.0210270000000001</v>
      </c>
      <c r="V5881">
        <v>0.56999900000000003</v>
      </c>
      <c r="W5881">
        <v>-9.3969499999999997E-2</v>
      </c>
      <c r="X5881">
        <v>0.81625419999999904</v>
      </c>
      <c r="Y5881">
        <v>0.67715429999999999</v>
      </c>
      <c r="Z5881">
        <v>2.4429099999999999E-2</v>
      </c>
      <c r="AA5881">
        <v>0.73543549999999902</v>
      </c>
      <c r="AB5881">
        <v>15</v>
      </c>
      <c r="AC5881">
        <v>-0.20900000000000299</v>
      </c>
      <c r="AD5881">
        <v>-1.1137079999999999</v>
      </c>
      <c r="AE5881">
        <v>-12.9541051999999</v>
      </c>
      <c r="AF5881">
        <v>8.7864484157635996</v>
      </c>
      <c r="AG5881">
        <v>-1.1137079999999999</v>
      </c>
      <c r="AH5881">
        <v>9.3913462241000101</v>
      </c>
      <c r="AI5881">
        <v>94.949317993933207</v>
      </c>
      <c r="AJ5881">
        <v>46.905913662844497</v>
      </c>
      <c r="AK5881">
        <v>12.9088886110716</v>
      </c>
      <c r="AL5881">
        <v>95.392011056186803</v>
      </c>
      <c r="AM5881">
        <v>55.072992910470496</v>
      </c>
      <c r="AN5881">
        <v>1.0000000229744399</v>
      </c>
    </row>
    <row r="5882" spans="1:40" x14ac:dyDescent="0.25">
      <c r="A5882" t="str">
        <f>"20190303154636073"</f>
        <v>20190303154636073</v>
      </c>
      <c r="B5882" t="str">
        <f>"1551599196067518"</f>
        <v>1551599196067518</v>
      </c>
      <c r="C5882" t="s">
        <v>40</v>
      </c>
      <c r="D5882">
        <v>5.681921</v>
      </c>
      <c r="E5882">
        <v>0.5484696</v>
      </c>
      <c r="F5882" t="s">
        <v>43</v>
      </c>
      <c r="G5882">
        <v>-302.2901</v>
      </c>
      <c r="H5882">
        <v>-0.05</v>
      </c>
      <c r="I5882">
        <v>1.344727</v>
      </c>
      <c r="J5882">
        <v>-302.09269999999998</v>
      </c>
      <c r="K5882">
        <v>1.0637219999999901</v>
      </c>
      <c r="L5882">
        <v>13.208069999999999</v>
      </c>
      <c r="M5882">
        <v>0.65577010000000002</v>
      </c>
      <c r="N5882">
        <v>-1.6275930000000001E-2</v>
      </c>
      <c r="O5882">
        <v>-0.75478540000000005</v>
      </c>
      <c r="P5882">
        <v>0.1068911</v>
      </c>
      <c r="Q5882">
        <v>-9.7023700000000004E-2</v>
      </c>
      <c r="R5882">
        <v>-0.98952580000000001</v>
      </c>
      <c r="S5882">
        <v>-2.3162840000000001E-2</v>
      </c>
      <c r="T5882">
        <v>-0.2792444</v>
      </c>
      <c r="U5882">
        <v>-3.0130919999999999</v>
      </c>
      <c r="V5882">
        <v>0.56666479999999997</v>
      </c>
      <c r="W5882">
        <v>-9.4127409999999995E-2</v>
      </c>
      <c r="X5882">
        <v>0.81855429999999996</v>
      </c>
      <c r="Y5882">
        <v>0.66058409999999901</v>
      </c>
      <c r="Z5882">
        <v>3.059363E-2</v>
      </c>
      <c r="AA5882">
        <v>0.75012840000000003</v>
      </c>
      <c r="AB5882">
        <v>15</v>
      </c>
      <c r="AC5882">
        <v>-0.19740000000001601</v>
      </c>
      <c r="AD5882">
        <v>-1.1137220000000001</v>
      </c>
      <c r="AE5882">
        <v>-11.863342999999899</v>
      </c>
      <c r="AF5882">
        <v>7.8604121983719297</v>
      </c>
      <c r="AG5882">
        <v>-1.1137220000000001</v>
      </c>
      <c r="AH5882">
        <v>8.7489111341133903</v>
      </c>
      <c r="AI5882">
        <v>95.409397825211997</v>
      </c>
      <c r="AJ5882">
        <v>48.0620611371831</v>
      </c>
      <c r="AK5882">
        <v>11.813970655719899</v>
      </c>
      <c r="AL5882">
        <v>95.401098748209193</v>
      </c>
      <c r="AM5882">
        <v>55.306106953492801</v>
      </c>
      <c r="AN5882">
        <v>1.0000000534604101</v>
      </c>
    </row>
    <row r="5883" spans="1:40" x14ac:dyDescent="0.25">
      <c r="A5883" t="str">
        <f>"20190303154636092"</f>
        <v>20190303154636092</v>
      </c>
      <c r="B5883" t="str">
        <f>"1551599196087038"</f>
        <v>1551599196087038</v>
      </c>
      <c r="C5883" t="s">
        <v>40</v>
      </c>
      <c r="D5883">
        <v>5.6664019999999997</v>
      </c>
      <c r="E5883">
        <v>0.54262390000000005</v>
      </c>
      <c r="F5883" t="s">
        <v>43</v>
      </c>
      <c r="G5883">
        <v>-302.34120000000001</v>
      </c>
      <c r="H5883">
        <v>-0.05</v>
      </c>
      <c r="I5883">
        <v>1.4373320000000001</v>
      </c>
      <c r="J5883">
        <v>-302.01240000000001</v>
      </c>
      <c r="K5883">
        <v>1.063736</v>
      </c>
      <c r="L5883">
        <v>13.08569</v>
      </c>
      <c r="M5883">
        <v>0.64335159999999902</v>
      </c>
      <c r="N5883">
        <v>-1.629243E-2</v>
      </c>
      <c r="O5883">
        <v>-0.76539740000000001</v>
      </c>
      <c r="P5883">
        <v>9.5348569999999994E-2</v>
      </c>
      <c r="Q5883">
        <v>-9.6924419999999997E-2</v>
      </c>
      <c r="R5883">
        <v>-0.9907144</v>
      </c>
      <c r="S5883">
        <v>-6.3568120000000006E-2</v>
      </c>
      <c r="T5883">
        <v>-0.28486430000000001</v>
      </c>
      <c r="U5883">
        <v>-3.0106809999999999</v>
      </c>
      <c r="V5883">
        <v>0.5628474</v>
      </c>
      <c r="W5883">
        <v>-9.3884129999999996E-2</v>
      </c>
      <c r="X5883">
        <v>0.82121169999999999</v>
      </c>
      <c r="Y5883">
        <v>0.65838019999999997</v>
      </c>
      <c r="Z5883">
        <v>3.3008320000000001E-2</v>
      </c>
      <c r="AA5883">
        <v>0.75196149999999995</v>
      </c>
      <c r="AB5883">
        <v>15</v>
      </c>
      <c r="AC5883">
        <v>-0.32880000000000098</v>
      </c>
      <c r="AD5883">
        <v>-1.1137360000000001</v>
      </c>
      <c r="AE5883">
        <v>-11.648358</v>
      </c>
      <c r="AF5883">
        <v>7.6765587726842801</v>
      </c>
      <c r="AG5883">
        <v>-1.1137360000000001</v>
      </c>
      <c r="AH5883">
        <v>8.6264457180804897</v>
      </c>
      <c r="AI5883">
        <v>95.509029364701505</v>
      </c>
      <c r="AJ5883">
        <v>48.334541935345499</v>
      </c>
      <c r="AK5883">
        <v>11.601100301055901</v>
      </c>
      <c r="AL5883">
        <v>95.387097898703999</v>
      </c>
      <c r="AM5883">
        <v>55.573787491691498</v>
      </c>
      <c r="AN5883">
        <v>1.00000004088475</v>
      </c>
    </row>
    <row r="5884" spans="1:40" x14ac:dyDescent="0.25">
      <c r="A5884" t="str">
        <f>"20190303154636115"</f>
        <v>20190303154636115</v>
      </c>
      <c r="B5884" t="str">
        <f>"1551599196107533"</f>
        <v>1551599196107533</v>
      </c>
      <c r="C5884" t="s">
        <v>40</v>
      </c>
      <c r="D5884">
        <v>5.6923170000000001</v>
      </c>
      <c r="E5884">
        <v>0.5413462</v>
      </c>
      <c r="F5884" t="s">
        <v>43</v>
      </c>
      <c r="G5884">
        <v>-302.21140000000003</v>
      </c>
      <c r="H5884">
        <v>-0.05</v>
      </c>
      <c r="I5884">
        <v>1.7151179999999999</v>
      </c>
      <c r="J5884">
        <v>-301.92910000000001</v>
      </c>
      <c r="K5884">
        <v>1.0637570000000001</v>
      </c>
      <c r="L5884">
        <v>12.9537</v>
      </c>
      <c r="M5884">
        <v>0.62986419999999999</v>
      </c>
      <c r="N5884">
        <v>-1.630879E-2</v>
      </c>
      <c r="O5884">
        <v>-0.77653409999999901</v>
      </c>
      <c r="P5884">
        <v>8.1731810000000002E-2</v>
      </c>
      <c r="Q5884">
        <v>-9.4485749999999993E-2</v>
      </c>
      <c r="R5884">
        <v>-0.99216559999999998</v>
      </c>
      <c r="S5884">
        <v>-5.2581790000000003E-2</v>
      </c>
      <c r="T5884">
        <v>-0.29427680000000001</v>
      </c>
      <c r="U5884">
        <v>-3.0043950000000001</v>
      </c>
      <c r="V5884">
        <v>0.55996049999999997</v>
      </c>
      <c r="W5884">
        <v>-9.1320960000000007E-2</v>
      </c>
      <c r="X5884">
        <v>0.82347109999999901</v>
      </c>
      <c r="Y5884">
        <v>0.64237270000000002</v>
      </c>
      <c r="Z5884">
        <v>3.706301E-2</v>
      </c>
      <c r="AA5884">
        <v>0.765495699999999</v>
      </c>
      <c r="AB5884">
        <v>15</v>
      </c>
      <c r="AC5884">
        <v>-0.28230000000001998</v>
      </c>
      <c r="AD5884">
        <v>-1.1137569999999899</v>
      </c>
      <c r="AE5884">
        <v>-11.238581999999999</v>
      </c>
      <c r="AF5884">
        <v>7.2280244130113704</v>
      </c>
      <c r="AG5884">
        <v>-1.1137569999999899</v>
      </c>
      <c r="AH5884">
        <v>8.4673623344603204</v>
      </c>
      <c r="AI5884">
        <v>95.712993378590994</v>
      </c>
      <c r="AJ5884">
        <v>49.514817213607202</v>
      </c>
      <c r="AK5884">
        <v>11.1884322616341</v>
      </c>
      <c r="AL5884">
        <v>95.2396056806882</v>
      </c>
      <c r="AM5884">
        <v>55.784290635675397</v>
      </c>
      <c r="AN5884">
        <v>0.99999996591538998</v>
      </c>
    </row>
    <row r="5885" spans="1:40" x14ac:dyDescent="0.25">
      <c r="A5885" t="str">
        <f>"20190303154636137"</f>
        <v>20190303154636137</v>
      </c>
      <c r="B5885" t="str">
        <f>"1551599196127054"</f>
        <v>1551599196127054</v>
      </c>
      <c r="C5885" t="s">
        <v>40</v>
      </c>
      <c r="D5885">
        <v>5.6282740000000002</v>
      </c>
      <c r="E5885">
        <v>0.54066409999999998</v>
      </c>
      <c r="F5885" t="s">
        <v>43</v>
      </c>
      <c r="G5885">
        <v>-302.25310000000002</v>
      </c>
      <c r="H5885">
        <v>-0.05</v>
      </c>
      <c r="I5885">
        <v>1.3295589999999999</v>
      </c>
      <c r="J5885">
        <v>-301.84730000000002</v>
      </c>
      <c r="K5885">
        <v>1.0637909999999999</v>
      </c>
      <c r="L5885">
        <v>12.81879</v>
      </c>
      <c r="M5885">
        <v>0.61598710000000001</v>
      </c>
      <c r="N5885">
        <v>-1.632337E-2</v>
      </c>
      <c r="O5885">
        <v>-0.78758700000000004</v>
      </c>
      <c r="P5885">
        <v>6.7040349999999999E-2</v>
      </c>
      <c r="Q5885">
        <v>-9.1761280000000001E-2</v>
      </c>
      <c r="R5885">
        <v>-0.99352169999999895</v>
      </c>
      <c r="S5885">
        <v>-8.3709720000000001E-2</v>
      </c>
      <c r="T5885">
        <v>-0.28774629999999901</v>
      </c>
      <c r="U5885">
        <v>-3.003174</v>
      </c>
      <c r="V5885">
        <v>0.55774950000000001</v>
      </c>
      <c r="W5885">
        <v>-8.8490199999999894E-2</v>
      </c>
      <c r="X5885">
        <v>0.82527870000000003</v>
      </c>
      <c r="Y5885">
        <v>0.63675719999999902</v>
      </c>
      <c r="Z5885">
        <v>3.7599680000000003E-2</v>
      </c>
      <c r="AA5885">
        <v>0.77014709999999997</v>
      </c>
      <c r="AB5885">
        <v>15</v>
      </c>
      <c r="AC5885">
        <v>-0.40579999999999899</v>
      </c>
      <c r="AD5885">
        <v>-1.113791</v>
      </c>
      <c r="AE5885">
        <v>-11.489231</v>
      </c>
      <c r="AF5885">
        <v>7.3290164193911096</v>
      </c>
      <c r="AG5885">
        <v>-1.113791</v>
      </c>
      <c r="AH5885">
        <v>8.7181453993665201</v>
      </c>
      <c r="AI5885">
        <v>95.585258323047199</v>
      </c>
      <c r="AJ5885">
        <v>49.947498524673001</v>
      </c>
      <c r="AK5885">
        <v>11.4438224065161</v>
      </c>
      <c r="AL5885">
        <v>95.076755469320901</v>
      </c>
      <c r="AM5885">
        <v>55.947925886964903</v>
      </c>
      <c r="AN5885">
        <v>0.99999997645998895</v>
      </c>
    </row>
    <row r="5886" spans="1:40" x14ac:dyDescent="0.25">
      <c r="A5886" t="str">
        <f>"20190303154636160"</f>
        <v>20190303154636160</v>
      </c>
      <c r="B5886" t="str">
        <f>"1551599196147550"</f>
        <v>1551599196147550</v>
      </c>
      <c r="C5886" t="s">
        <v>40</v>
      </c>
      <c r="D5886">
        <v>5.7274919999999998</v>
      </c>
      <c r="E5886">
        <v>0.53949219999999998</v>
      </c>
      <c r="F5886" t="s">
        <v>43</v>
      </c>
      <c r="G5886">
        <v>-302.33350000000002</v>
      </c>
      <c r="H5886">
        <v>-0.05</v>
      </c>
      <c r="I5886">
        <v>0.91862489999999997</v>
      </c>
      <c r="J5886">
        <v>-301.76670000000001</v>
      </c>
      <c r="K5886">
        <v>1.063842</v>
      </c>
      <c r="L5886">
        <v>12.68033</v>
      </c>
      <c r="M5886">
        <v>0.60165659999999999</v>
      </c>
      <c r="N5886">
        <v>-1.6331109999999999E-2</v>
      </c>
      <c r="O5886">
        <v>-0.79858799999999996</v>
      </c>
      <c r="P5886">
        <v>5.2526059999999999E-2</v>
      </c>
      <c r="Q5886">
        <v>-8.9828909999999998E-2</v>
      </c>
      <c r="R5886">
        <v>-0.99457130000000005</v>
      </c>
      <c r="S5886">
        <v>-0.1226501</v>
      </c>
      <c r="T5886">
        <v>-0.28096090000000001</v>
      </c>
      <c r="U5886">
        <v>-3.0018919999999998</v>
      </c>
      <c r="V5886">
        <v>0.55503919999999995</v>
      </c>
      <c r="W5886">
        <v>-8.6426970000000006E-2</v>
      </c>
      <c r="X5886">
        <v>0.82732209999999995</v>
      </c>
      <c r="Y5886">
        <v>0.63286239999999905</v>
      </c>
      <c r="Z5886">
        <v>3.7919670000000003E-2</v>
      </c>
      <c r="AA5886">
        <v>0.7733352</v>
      </c>
      <c r="AB5886">
        <v>15</v>
      </c>
      <c r="AC5886">
        <v>-0.56679999999999997</v>
      </c>
      <c r="AD5886">
        <v>-1.113842</v>
      </c>
      <c r="AE5886">
        <v>-11.761705099999901</v>
      </c>
      <c r="AF5886">
        <v>7.4633726531170099</v>
      </c>
      <c r="AG5886">
        <v>-1.113842</v>
      </c>
      <c r="AH5886">
        <v>8.9726617367160095</v>
      </c>
      <c r="AI5886">
        <v>95.451642923650894</v>
      </c>
      <c r="AJ5886">
        <v>50.246645797871501</v>
      </c>
      <c r="AK5886">
        <v>11.7239598260053</v>
      </c>
      <c r="AL5886">
        <v>94.958086255544899</v>
      </c>
      <c r="AM5886">
        <v>56.142874442519599</v>
      </c>
      <c r="AN5886">
        <v>0.99999999591421496</v>
      </c>
    </row>
    <row r="5887" spans="1:40" x14ac:dyDescent="0.25">
      <c r="A5887" t="str">
        <f>"20190303154636184"</f>
        <v>20190303154636184</v>
      </c>
      <c r="B5887" t="str">
        <f>"1551599196176830"</f>
        <v>1551599196176830</v>
      </c>
      <c r="C5887" t="s">
        <v>40</v>
      </c>
      <c r="D5887">
        <v>5.7420799999999996</v>
      </c>
      <c r="E5887">
        <v>0.53612919999999997</v>
      </c>
      <c r="F5887" t="s">
        <v>43</v>
      </c>
      <c r="G5887">
        <v>-302.40750000000003</v>
      </c>
      <c r="H5887">
        <v>-0.05</v>
      </c>
      <c r="I5887">
        <v>0.43550109999999997</v>
      </c>
      <c r="J5887">
        <v>-301.6832</v>
      </c>
      <c r="K5887">
        <v>1.0637460000000001</v>
      </c>
      <c r="L5887">
        <v>12.53021</v>
      </c>
      <c r="M5887">
        <v>0.58593470000000003</v>
      </c>
      <c r="N5887">
        <v>-1.612253E-2</v>
      </c>
      <c r="O5887">
        <v>-0.81019790000000003</v>
      </c>
      <c r="P5887">
        <v>3.904403E-2</v>
      </c>
      <c r="Q5887">
        <v>-8.8265689999999994E-2</v>
      </c>
      <c r="R5887">
        <v>-0.99533179999999999</v>
      </c>
      <c r="S5887">
        <v>-0.15701289999999901</v>
      </c>
      <c r="T5887">
        <v>-0.27289550000000001</v>
      </c>
      <c r="U5887">
        <v>-3.0000309999999999</v>
      </c>
      <c r="V5887">
        <v>0.55017539999999998</v>
      </c>
      <c r="W5887">
        <v>-8.4961709999999996E-2</v>
      </c>
      <c r="X5887">
        <v>0.83071569999999995</v>
      </c>
      <c r="Y5887">
        <v>0.62664180000000003</v>
      </c>
      <c r="Z5887">
        <v>3.8323080000000002E-2</v>
      </c>
      <c r="AA5887">
        <v>0.77836459999999996</v>
      </c>
      <c r="AB5887">
        <v>15</v>
      </c>
      <c r="AC5887">
        <v>-0.72430000000002703</v>
      </c>
      <c r="AD5887">
        <v>-1.1137459999999999</v>
      </c>
      <c r="AE5887">
        <v>-12.094708900000001</v>
      </c>
      <c r="AF5887">
        <v>7.6102312838157102</v>
      </c>
      <c r="AG5887">
        <v>-1.1137459999999999</v>
      </c>
      <c r="AH5887">
        <v>9.2973762737838506</v>
      </c>
      <c r="AI5887">
        <v>95.296034423927296</v>
      </c>
      <c r="AJ5887">
        <v>50.698461244238501</v>
      </c>
      <c r="AK5887">
        <v>12.0663687960381</v>
      </c>
      <c r="AL5887">
        <v>94.873822958546697</v>
      </c>
      <c r="AM5887">
        <v>56.483856031666598</v>
      </c>
      <c r="AN5887">
        <v>1.00000001857888</v>
      </c>
    </row>
    <row r="5888" spans="1:40" x14ac:dyDescent="0.25">
      <c r="A5888" t="str">
        <f>"20190303154636216"</f>
        <v>20190303154636216</v>
      </c>
      <c r="B5888" t="str">
        <f>"1551599196207086"</f>
        <v>1551599196207086</v>
      </c>
      <c r="C5888" t="s">
        <v>40</v>
      </c>
      <c r="D5888">
        <v>5.7618619999999998</v>
      </c>
      <c r="E5888">
        <v>0.53364549999999999</v>
      </c>
      <c r="F5888" t="s">
        <v>43</v>
      </c>
      <c r="G5888">
        <v>-302.37060000000002</v>
      </c>
      <c r="H5888">
        <v>-0.05</v>
      </c>
      <c r="I5888">
        <v>0.50950620000000002</v>
      </c>
      <c r="J5888">
        <v>-301.57510000000002</v>
      </c>
      <c r="K5888">
        <v>1.0636300000000001</v>
      </c>
      <c r="L5888">
        <v>12.32391</v>
      </c>
      <c r="M5888">
        <v>0.56420079999999995</v>
      </c>
      <c r="N5888">
        <v>-1.5781940000000001E-2</v>
      </c>
      <c r="O5888">
        <v>-0.82548670000000002</v>
      </c>
      <c r="P5888">
        <v>2.058838E-2</v>
      </c>
      <c r="Q5888">
        <v>-8.7941999999999895E-2</v>
      </c>
      <c r="R5888">
        <v>-0.99591300000000005</v>
      </c>
      <c r="S5888">
        <v>-0.1713257</v>
      </c>
      <c r="T5888">
        <v>-0.2776033</v>
      </c>
      <c r="U5888">
        <v>-2.9961850000000001</v>
      </c>
      <c r="V5888">
        <v>0.54349630000000004</v>
      </c>
      <c r="W5888">
        <v>-8.4805030000000003E-2</v>
      </c>
      <c r="X5888">
        <v>0.83511669999999905</v>
      </c>
      <c r="Y5888">
        <v>0.60959359999999996</v>
      </c>
      <c r="Z5888">
        <v>4.2394210000000002E-2</v>
      </c>
      <c r="AA5888">
        <v>0.7915797</v>
      </c>
      <c r="AB5888">
        <v>15</v>
      </c>
      <c r="AC5888">
        <v>-0.79550000000000398</v>
      </c>
      <c r="AD5888">
        <v>-1.1136299999999999</v>
      </c>
      <c r="AE5888">
        <v>-11.814403799999999</v>
      </c>
      <c r="AF5888">
        <v>7.2590772309889697</v>
      </c>
      <c r="AG5888">
        <v>-1.1136299999999999</v>
      </c>
      <c r="AH5888">
        <v>9.2233906673689106</v>
      </c>
      <c r="AI5888">
        <v>95.419956004515797</v>
      </c>
      <c r="AJ5888">
        <v>51.796223392764702</v>
      </c>
      <c r="AK5888">
        <v>11.790051290188201</v>
      </c>
      <c r="AL5888">
        <v>94.864813371757506</v>
      </c>
      <c r="AM5888">
        <v>56.943808301784799</v>
      </c>
      <c r="AN5888">
        <v>1.00000001192294</v>
      </c>
    </row>
    <row r="5889" spans="1:40" x14ac:dyDescent="0.25">
      <c r="A5889" t="str">
        <f>"20190303154636240"</f>
        <v>20190303154636240</v>
      </c>
      <c r="B5889" t="str">
        <f>"1551599196237342"</f>
        <v>1551599196237342</v>
      </c>
      <c r="C5889" t="s">
        <v>40</v>
      </c>
      <c r="D5889">
        <v>5.6123479999999999</v>
      </c>
      <c r="E5889">
        <v>0.53380719999999904</v>
      </c>
      <c r="F5889" t="s">
        <v>43</v>
      </c>
      <c r="G5889">
        <v>-302.38929999999999</v>
      </c>
      <c r="H5889">
        <v>-0.05</v>
      </c>
      <c r="I5889">
        <v>0.56628420000000002</v>
      </c>
      <c r="J5889">
        <v>-301.49930000000001</v>
      </c>
      <c r="K5889">
        <v>1.0637239999999999</v>
      </c>
      <c r="L5889">
        <v>12.1713</v>
      </c>
      <c r="M5889">
        <v>0.54807260000000002</v>
      </c>
      <c r="N5889">
        <v>-1.5685709999999999E-2</v>
      </c>
      <c r="O5889">
        <v>-0.83628369999999996</v>
      </c>
      <c r="P5889">
        <v>1.015805E-2</v>
      </c>
      <c r="Q5889">
        <v>-8.6746889999999993E-2</v>
      </c>
      <c r="R5889">
        <v>-0.99617900000000004</v>
      </c>
      <c r="S5889">
        <v>-0.20715330000000001</v>
      </c>
      <c r="T5889">
        <v>-0.28334900000000002</v>
      </c>
      <c r="U5889">
        <v>-2.9915769999999999</v>
      </c>
      <c r="V5889">
        <v>0.53611739999999997</v>
      </c>
      <c r="W5889">
        <v>-8.3374920000000005E-2</v>
      </c>
      <c r="X5889">
        <v>0.84001589999999904</v>
      </c>
      <c r="Y5889">
        <v>0.60370389999999996</v>
      </c>
      <c r="Z5889">
        <v>4.5435839999999998E-2</v>
      </c>
      <c r="AA5889">
        <v>0.79591290000000003</v>
      </c>
      <c r="AB5889">
        <v>15</v>
      </c>
      <c r="AC5889">
        <v>-0.88999999999998602</v>
      </c>
      <c r="AD5889">
        <v>-1.1137239999999999</v>
      </c>
      <c r="AE5889">
        <v>-11.6050158</v>
      </c>
      <c r="AF5889">
        <v>7.0410878617863899</v>
      </c>
      <c r="AG5889">
        <v>-1.1137239999999999</v>
      </c>
      <c r="AH5889">
        <v>9.1347945545872804</v>
      </c>
      <c r="AI5889">
        <v>95.515628525374495</v>
      </c>
      <c r="AJ5889">
        <v>52.375010750472399</v>
      </c>
      <c r="AK5889">
        <v>11.5871381704064</v>
      </c>
      <c r="AL5889">
        <v>94.782583013774897</v>
      </c>
      <c r="AM5889">
        <v>57.453047923270297</v>
      </c>
      <c r="AN5889">
        <v>0.99999997806028695</v>
      </c>
    </row>
    <row r="5890" spans="1:40" x14ac:dyDescent="0.25">
      <c r="A5890" t="str">
        <f>"20190303154636261"</f>
        <v>20190303154636261</v>
      </c>
      <c r="B5890" t="str">
        <f>"1551599196256862"</f>
        <v>1551599196256862</v>
      </c>
      <c r="C5890" t="s">
        <v>40</v>
      </c>
      <c r="D5890">
        <v>5.6487059999999998</v>
      </c>
      <c r="E5890">
        <v>0.53325800000000001</v>
      </c>
      <c r="F5890" t="s">
        <v>43</v>
      </c>
      <c r="G5890">
        <v>-302.51839999999999</v>
      </c>
      <c r="H5890">
        <v>-0.05</v>
      </c>
      <c r="I5890">
        <v>-0.58088680000000004</v>
      </c>
      <c r="J5890">
        <v>-301.43439999999998</v>
      </c>
      <c r="K5890">
        <v>1.063866</v>
      </c>
      <c r="L5890">
        <v>12.034520000000001</v>
      </c>
      <c r="M5890">
        <v>0.53355839999999999</v>
      </c>
      <c r="N5890">
        <v>-1.5651979999999999E-2</v>
      </c>
      <c r="O5890">
        <v>-0.84561839999999999</v>
      </c>
      <c r="P5890">
        <v>2.9442259999999999E-3</v>
      </c>
      <c r="Q5890">
        <v>-8.371866E-2</v>
      </c>
      <c r="R5890">
        <v>-0.99648530000000002</v>
      </c>
      <c r="S5890">
        <v>-0.23904420000000001</v>
      </c>
      <c r="T5890">
        <v>-0.26124049999999999</v>
      </c>
      <c r="U5890">
        <v>-2.9912109999999998</v>
      </c>
      <c r="V5890">
        <v>0.52790680000000001</v>
      </c>
      <c r="W5890">
        <v>-7.9986180000000004E-2</v>
      </c>
      <c r="X5890">
        <v>0.84552739999999904</v>
      </c>
      <c r="Y5890">
        <v>0.59849490000000005</v>
      </c>
      <c r="Z5890">
        <v>4.2027349999999998E-2</v>
      </c>
      <c r="AA5890">
        <v>0.8000235</v>
      </c>
      <c r="AB5890">
        <v>15</v>
      </c>
      <c r="AC5890">
        <v>-1.0840000000000001</v>
      </c>
      <c r="AD5890">
        <v>-1.113866</v>
      </c>
      <c r="AE5890">
        <v>-12.615406800000001</v>
      </c>
      <c r="AF5890">
        <v>7.5899073644285302</v>
      </c>
      <c r="AG5890">
        <v>-1.113866</v>
      </c>
      <c r="AH5890">
        <v>10.0131895932579</v>
      </c>
      <c r="AI5890">
        <v>95.066068115230294</v>
      </c>
      <c r="AJ5890">
        <v>52.838200995913503</v>
      </c>
      <c r="AK5890">
        <v>12.613935036184801</v>
      </c>
      <c r="AL5890">
        <v>94.587771448389404</v>
      </c>
      <c r="AM5890">
        <v>58.021319371171103</v>
      </c>
      <c r="AN5890">
        <v>0.99999998131399503</v>
      </c>
    </row>
    <row r="5891" spans="1:40" x14ac:dyDescent="0.25">
      <c r="A5891" t="str">
        <f>"20190303154636281"</f>
        <v>20190303154636281</v>
      </c>
      <c r="B5891" t="str">
        <f>"1551599196277359"</f>
        <v>1551599196277359</v>
      </c>
      <c r="C5891" t="s">
        <v>40</v>
      </c>
      <c r="D5891">
        <v>5.6031139999999997</v>
      </c>
      <c r="E5891">
        <v>0.53235969999999999</v>
      </c>
      <c r="F5891" t="s">
        <v>41</v>
      </c>
      <c r="G5891">
        <v>-302.53440000000001</v>
      </c>
      <c r="H5891" s="1">
        <v>-4.5799169999999998E-6</v>
      </c>
      <c r="I5891">
        <v>-0.79408069999999997</v>
      </c>
      <c r="J5891">
        <v>-301.37540000000001</v>
      </c>
      <c r="K5891">
        <v>1.0639749999999999</v>
      </c>
      <c r="L5891">
        <v>11.9046</v>
      </c>
      <c r="M5891">
        <v>0.51971250000000002</v>
      </c>
      <c r="N5891">
        <v>-1.55923E-2</v>
      </c>
      <c r="O5891">
        <v>-0.85419889999999998</v>
      </c>
      <c r="P5891">
        <v>-2.8825650000000001E-3</v>
      </c>
      <c r="Q5891">
        <v>-8.054965E-2</v>
      </c>
      <c r="R5891">
        <v>-0.99674669999999999</v>
      </c>
      <c r="S5891">
        <v>-0.25640869999999999</v>
      </c>
      <c r="T5891">
        <v>-0.24800179999999999</v>
      </c>
      <c r="U5891">
        <v>-2.9905089999999999</v>
      </c>
      <c r="V5891">
        <v>0.5192717</v>
      </c>
      <c r="W5891">
        <v>-7.6509060000000004E-2</v>
      </c>
      <c r="X5891">
        <v>0.85117759999999998</v>
      </c>
      <c r="Y5891">
        <v>0.59011910000000001</v>
      </c>
      <c r="Z5891">
        <v>4.0466160000000001E-2</v>
      </c>
      <c r="AA5891">
        <v>0.80630139999999995</v>
      </c>
      <c r="AB5891">
        <v>15</v>
      </c>
      <c r="AC5891">
        <v>-1.15899999999999</v>
      </c>
      <c r="AD5891">
        <v>-1.063979579917</v>
      </c>
      <c r="AE5891">
        <v>-12.698680699999899</v>
      </c>
      <c r="AF5891">
        <v>7.53812060469728</v>
      </c>
      <c r="AG5891">
        <v>-1.063979579917</v>
      </c>
      <c r="AH5891">
        <v>10.1752558845306</v>
      </c>
      <c r="AI5891">
        <v>94.802753259954201</v>
      </c>
      <c r="AJ5891">
        <v>53.4678941972074</v>
      </c>
      <c r="AK5891">
        <v>12.7079167101896</v>
      </c>
      <c r="AL5891">
        <v>94.387934158059394</v>
      </c>
      <c r="AM5891">
        <v>58.614191044246397</v>
      </c>
      <c r="AN5891">
        <v>1.00000002071236</v>
      </c>
    </row>
    <row r="5892" spans="1:40" x14ac:dyDescent="0.25">
      <c r="A5892" t="str">
        <f>"20190303154636302"</f>
        <v>20190303154636302</v>
      </c>
      <c r="B5892" t="str">
        <f>"1551599196297855"</f>
        <v>1551599196297855</v>
      </c>
      <c r="C5892" t="s">
        <v>40</v>
      </c>
      <c r="D5892">
        <v>5.5979429999999999</v>
      </c>
      <c r="E5892">
        <v>0.53146090000000001</v>
      </c>
      <c r="F5892" t="s">
        <v>41</v>
      </c>
      <c r="G5892">
        <v>-302.57040000000001</v>
      </c>
      <c r="H5892" s="1">
        <v>-4.3205030000000003E-6</v>
      </c>
      <c r="I5892">
        <v>-1.4862500000000001</v>
      </c>
      <c r="J5892">
        <v>-301.3152</v>
      </c>
      <c r="K5892">
        <v>1.0640430000000001</v>
      </c>
      <c r="L5892">
        <v>11.766109999999999</v>
      </c>
      <c r="M5892">
        <v>0.50496359999999996</v>
      </c>
      <c r="N5892">
        <v>-1.5502129999999999E-2</v>
      </c>
      <c r="O5892">
        <v>-0.86300159999999904</v>
      </c>
      <c r="P5892">
        <v>-8.6878389999999993E-3</v>
      </c>
      <c r="Q5892">
        <v>-7.7145389999999994E-2</v>
      </c>
      <c r="R5892">
        <v>-0.99698220000000004</v>
      </c>
      <c r="S5892">
        <v>-0.26681519999999997</v>
      </c>
      <c r="T5892">
        <v>-0.23755960000000001</v>
      </c>
      <c r="U5892">
        <v>-2.9898380000000002</v>
      </c>
      <c r="V5892">
        <v>0.50979439999999998</v>
      </c>
      <c r="W5892">
        <v>-7.2856459999999998E-2</v>
      </c>
      <c r="X5892">
        <v>0.85720569999999896</v>
      </c>
      <c r="Y5892">
        <v>0.57906539999999995</v>
      </c>
      <c r="Z5892">
        <v>3.95603E-2</v>
      </c>
      <c r="AA5892">
        <v>0.81432069999999901</v>
      </c>
      <c r="AB5892">
        <v>15</v>
      </c>
      <c r="AC5892">
        <v>-1.2552000000000001</v>
      </c>
      <c r="AD5892">
        <v>-1.0640473205030001</v>
      </c>
      <c r="AE5892">
        <v>-13.252359999999999</v>
      </c>
      <c r="AF5892">
        <v>7.72676321423888</v>
      </c>
      <c r="AG5892">
        <v>-1.0640473205030001</v>
      </c>
      <c r="AH5892">
        <v>10.735680138229901</v>
      </c>
      <c r="AI5892">
        <v>94.599205902417793</v>
      </c>
      <c r="AJ5892">
        <v>54.256400233868199</v>
      </c>
      <c r="AK5892">
        <v>13.269886755340799</v>
      </c>
      <c r="AL5892">
        <v>94.178069472793098</v>
      </c>
      <c r="AM5892">
        <v>59.259350990792903</v>
      </c>
      <c r="AN5892">
        <v>1.0000000030737899</v>
      </c>
    </row>
    <row r="5893" spans="1:40" x14ac:dyDescent="0.25">
      <c r="A5893" t="str">
        <f>"20190303154636323"</f>
        <v>20190303154636323</v>
      </c>
      <c r="B5893" t="str">
        <f>"1551599196317375"</f>
        <v>1551599196317375</v>
      </c>
      <c r="C5893" t="s">
        <v>40</v>
      </c>
      <c r="D5893">
        <v>5.5547490000000002</v>
      </c>
      <c r="E5893">
        <v>0.53042599999999995</v>
      </c>
      <c r="F5893" t="s">
        <v>41</v>
      </c>
      <c r="G5893">
        <v>-302.61340000000001</v>
      </c>
      <c r="H5893" s="1">
        <v>-4.0348249999999999E-6</v>
      </c>
      <c r="I5893">
        <v>-2.250051</v>
      </c>
      <c r="J5893">
        <v>-301.25810000000001</v>
      </c>
      <c r="K5893">
        <v>1.064073</v>
      </c>
      <c r="L5893">
        <v>11.62814</v>
      </c>
      <c r="M5893">
        <v>0.49032480000000001</v>
      </c>
      <c r="N5893">
        <v>-1.5420329999999999E-2</v>
      </c>
      <c r="O5893">
        <v>-0.8714035</v>
      </c>
      <c r="P5893">
        <v>-1.5919550000000001E-2</v>
      </c>
      <c r="Q5893">
        <v>-7.5435009999999997E-2</v>
      </c>
      <c r="R5893">
        <v>-0.99702369999999996</v>
      </c>
      <c r="S5893">
        <v>-0.27685549999999998</v>
      </c>
      <c r="T5893">
        <v>-0.22692000000000001</v>
      </c>
      <c r="U5893">
        <v>-2.9891049999999999</v>
      </c>
      <c r="V5893">
        <v>0.50162890000000004</v>
      </c>
      <c r="W5893">
        <v>-7.0966180000000004E-2</v>
      </c>
      <c r="X5893">
        <v>0.86216719999999902</v>
      </c>
      <c r="Y5893">
        <v>0.56804560000000004</v>
      </c>
      <c r="Z5893">
        <v>3.8425710000000002E-2</v>
      </c>
      <c r="AA5893">
        <v>0.82209949999999998</v>
      </c>
      <c r="AB5893">
        <v>15</v>
      </c>
      <c r="AC5893">
        <v>-1.35529999999999</v>
      </c>
      <c r="AD5893">
        <v>-1.0640770348249999</v>
      </c>
      <c r="AE5893">
        <v>-13.878190999999999</v>
      </c>
      <c r="AF5893">
        <v>7.9405439924459804</v>
      </c>
      <c r="AG5893">
        <v>-1.0640770348249999</v>
      </c>
      <c r="AH5893">
        <v>11.364149429640101</v>
      </c>
      <c r="AI5893">
        <v>94.389072121581407</v>
      </c>
      <c r="AJ5893">
        <v>55.056601493264701</v>
      </c>
      <c r="AK5893">
        <v>13.904258020160601</v>
      </c>
      <c r="AL5893">
        <v>94.069483209822295</v>
      </c>
      <c r="AM5893">
        <v>59.808161202650297</v>
      </c>
      <c r="AN5893">
        <v>1.0000000163874201</v>
      </c>
    </row>
    <row r="5894" spans="1:40" x14ac:dyDescent="0.25">
      <c r="A5894" t="str">
        <f>"20190303154636345"</f>
        <v>20190303154636345</v>
      </c>
      <c r="B5894" t="str">
        <f>"1551599196336894"</f>
        <v>1551599196336894</v>
      </c>
      <c r="C5894" t="s">
        <v>40</v>
      </c>
      <c r="D5894">
        <v>5.5767850000000001</v>
      </c>
      <c r="E5894">
        <v>0.52983910000000001</v>
      </c>
      <c r="F5894" t="s">
        <v>41</v>
      </c>
      <c r="G5894">
        <v>-302.64940000000001</v>
      </c>
      <c r="H5894" s="1">
        <v>-3.8712359999999996E-6</v>
      </c>
      <c r="I5894">
        <v>-2.6926570000000001</v>
      </c>
      <c r="J5894">
        <v>-301.20190000000002</v>
      </c>
      <c r="K5894">
        <v>1.064082</v>
      </c>
      <c r="L5894">
        <v>11.485810000000001</v>
      </c>
      <c r="M5894">
        <v>0.47527370000000002</v>
      </c>
      <c r="N5894">
        <v>-1.5359680000000001E-2</v>
      </c>
      <c r="O5894">
        <v>-0.87970389999999998</v>
      </c>
      <c r="P5894">
        <v>-2.5579500000000002E-2</v>
      </c>
      <c r="Q5894">
        <v>-7.5476550000000003E-2</v>
      </c>
      <c r="R5894">
        <v>-0.99681969999999998</v>
      </c>
      <c r="S5894">
        <v>-0.29025269999999997</v>
      </c>
      <c r="T5894">
        <v>-0.22198129999999999</v>
      </c>
      <c r="U5894">
        <v>-2.9875180000000001</v>
      </c>
      <c r="V5894">
        <v>0.49515799999999999</v>
      </c>
      <c r="W5894">
        <v>-7.086518E-2</v>
      </c>
      <c r="X5894">
        <v>0.86590800000000001</v>
      </c>
      <c r="Y5894">
        <v>0.55758529999999995</v>
      </c>
      <c r="Z5894">
        <v>3.8513989999999998E-2</v>
      </c>
      <c r="AA5894">
        <v>0.82922569999999995</v>
      </c>
      <c r="AB5894">
        <v>15</v>
      </c>
      <c r="AC5894">
        <v>-1.44749999999999</v>
      </c>
      <c r="AD5894">
        <v>-1.064085871236</v>
      </c>
      <c r="AE5894">
        <v>-14.178466999999999</v>
      </c>
      <c r="AF5894">
        <v>7.9685500560168601</v>
      </c>
      <c r="AG5894">
        <v>-1.064085871236</v>
      </c>
      <c r="AH5894">
        <v>11.720948362972401</v>
      </c>
      <c r="AI5894">
        <v>94.293571169866794</v>
      </c>
      <c r="AJ5894">
        <v>55.789963511147398</v>
      </c>
      <c r="AK5894">
        <v>14.2130467973646</v>
      </c>
      <c r="AL5894">
        <v>94.063681830847997</v>
      </c>
      <c r="AM5894">
        <v>60.237492494955497</v>
      </c>
      <c r="AN5894">
        <v>0.99999999158221597</v>
      </c>
    </row>
    <row r="5895" spans="1:40" x14ac:dyDescent="0.25">
      <c r="A5895" t="str">
        <f>"20190303154636366"</f>
        <v>20190303154636366</v>
      </c>
      <c r="B5895" t="str">
        <f>"1551599196357391"</f>
        <v>1551599196357391</v>
      </c>
      <c r="C5895" t="s">
        <v>40</v>
      </c>
      <c r="D5895">
        <v>5.592873</v>
      </c>
      <c r="E5895">
        <v>0.52924709999999997</v>
      </c>
      <c r="F5895" t="s">
        <v>41</v>
      </c>
      <c r="G5895">
        <v>-302.69869999999997</v>
      </c>
      <c r="H5895" s="1">
        <v>-3.8709319999999997E-6</v>
      </c>
      <c r="I5895">
        <v>-2.716205</v>
      </c>
      <c r="J5895">
        <v>-301.149</v>
      </c>
      <c r="K5895">
        <v>1.0641050000000001</v>
      </c>
      <c r="L5895">
        <v>11.34488</v>
      </c>
      <c r="M5895">
        <v>0.46038230000000002</v>
      </c>
      <c r="N5895">
        <v>-1.5311E-2</v>
      </c>
      <c r="O5895">
        <v>-0.88758890000000001</v>
      </c>
      <c r="P5895">
        <v>-3.5987289999999998E-2</v>
      </c>
      <c r="Q5895">
        <v>-7.8081440000000002E-2</v>
      </c>
      <c r="R5895">
        <v>-0.99629730000000005</v>
      </c>
      <c r="S5895">
        <v>-0.31454470000000001</v>
      </c>
      <c r="T5895">
        <v>-0.22361800000000001</v>
      </c>
      <c r="U5895">
        <v>-2.9845579999999998</v>
      </c>
      <c r="V5895">
        <v>0.4894734</v>
      </c>
      <c r="W5895">
        <v>-7.3326639999999998E-2</v>
      </c>
      <c r="X5895">
        <v>0.86892979999999997</v>
      </c>
      <c r="Y5895">
        <v>0.55034380000000005</v>
      </c>
      <c r="Z5895">
        <v>4.003835E-2</v>
      </c>
      <c r="AA5895">
        <v>0.83397759999999999</v>
      </c>
      <c r="AB5895">
        <v>15</v>
      </c>
      <c r="AC5895">
        <v>-1.5496999999999701</v>
      </c>
      <c r="AD5895">
        <v>-1.0641088709319999</v>
      </c>
      <c r="AE5895">
        <v>-14.061085</v>
      </c>
      <c r="AF5895">
        <v>7.8057223547123602</v>
      </c>
      <c r="AG5895">
        <v>-1.0641088709319999</v>
      </c>
      <c r="AH5895">
        <v>11.7021708236334</v>
      </c>
      <c r="AI5895">
        <v>94.326056870371801</v>
      </c>
      <c r="AJ5895">
        <v>56.295443675922698</v>
      </c>
      <c r="AK5895">
        <v>14.1068221493555</v>
      </c>
      <c r="AL5895">
        <v>94.205081059304902</v>
      </c>
      <c r="AM5895">
        <v>60.607176374973299</v>
      </c>
      <c r="AN5895">
        <v>1.00000000138464</v>
      </c>
    </row>
    <row r="5896" spans="1:40" x14ac:dyDescent="0.25">
      <c r="A5896" t="str">
        <f>"20190303154636407"</f>
        <v>20190303154636407</v>
      </c>
      <c r="B5896" t="str">
        <f>"1551599196397406"</f>
        <v>1551599196397406</v>
      </c>
      <c r="C5896" t="s">
        <v>40</v>
      </c>
      <c r="D5896">
        <v>5.5019239999999998</v>
      </c>
      <c r="E5896">
        <v>0.52809110000000004</v>
      </c>
      <c r="F5896" t="s">
        <v>41</v>
      </c>
      <c r="G5896">
        <v>-302.70049999999998</v>
      </c>
      <c r="H5896" s="1">
        <v>-4.0668730000000003E-6</v>
      </c>
      <c r="I5896">
        <v>-2.2068129999999999</v>
      </c>
      <c r="J5896">
        <v>-301.05459999999999</v>
      </c>
      <c r="K5896">
        <v>1.0642229999999999</v>
      </c>
      <c r="L5896">
        <v>11.07391</v>
      </c>
      <c r="M5896">
        <v>0.43177840000000001</v>
      </c>
      <c r="N5896">
        <v>-1.5207429999999999E-2</v>
      </c>
      <c r="O5896">
        <v>-0.90185159999999998</v>
      </c>
      <c r="P5896">
        <v>-5.1688949999999997E-2</v>
      </c>
      <c r="Q5896">
        <v>-8.0831479999999997E-2</v>
      </c>
      <c r="R5896">
        <v>-0.99538700000000002</v>
      </c>
      <c r="S5896">
        <v>-0.34121699999999999</v>
      </c>
      <c r="T5896">
        <v>-0.23403299999999999</v>
      </c>
      <c r="U5896">
        <v>-2.9804689999999998</v>
      </c>
      <c r="V5896">
        <v>0.47523310000000002</v>
      </c>
      <c r="W5896">
        <v>-7.5647099999999995E-2</v>
      </c>
      <c r="X5896">
        <v>0.87660199999999999</v>
      </c>
      <c r="Y5896">
        <v>0.53099770000000002</v>
      </c>
      <c r="Z5896">
        <v>4.494128E-2</v>
      </c>
      <c r="AA5896">
        <v>0.84618069999999901</v>
      </c>
      <c r="AB5896">
        <v>15</v>
      </c>
      <c r="AC5896">
        <v>-1.6458999999999799</v>
      </c>
      <c r="AD5896">
        <v>-1.0642270668729901</v>
      </c>
      <c r="AE5896">
        <v>-13.280723</v>
      </c>
      <c r="AF5896">
        <v>7.1741504022741296</v>
      </c>
      <c r="AG5896">
        <v>-1.0642270668729901</v>
      </c>
      <c r="AH5896">
        <v>11.1970668443939</v>
      </c>
      <c r="AI5896">
        <v>94.575501900748193</v>
      </c>
      <c r="AJ5896">
        <v>57.351625083503002</v>
      </c>
      <c r="AK5896">
        <v>13.3407390785571</v>
      </c>
      <c r="AL5896">
        <v>94.338403924573896</v>
      </c>
      <c r="AM5896">
        <v>61.536507066676698</v>
      </c>
      <c r="AN5896">
        <v>1.000000024739</v>
      </c>
    </row>
    <row r="5897" spans="1:40" x14ac:dyDescent="0.25">
      <c r="A5897" t="str">
        <f>"20190303154636434"</f>
        <v>20190303154636434</v>
      </c>
      <c r="B5897" t="str">
        <f>"1551599196427663"</f>
        <v>1551599196427663</v>
      </c>
      <c r="C5897" t="s">
        <v>40</v>
      </c>
      <c r="D5897">
        <v>5.4312120000000004</v>
      </c>
      <c r="E5897">
        <v>0.51573179999999996</v>
      </c>
      <c r="F5897" t="s">
        <v>41</v>
      </c>
      <c r="G5897">
        <v>-302.68990000000002</v>
      </c>
      <c r="H5897" s="1">
        <v>-4.2368370000000002E-6</v>
      </c>
      <c r="I5897">
        <v>-1.7593319999999999</v>
      </c>
      <c r="J5897">
        <v>-300.99509999999998</v>
      </c>
      <c r="K5897">
        <v>1.0643450000000001</v>
      </c>
      <c r="L5897">
        <v>10.88809</v>
      </c>
      <c r="M5897">
        <v>0.4122672</v>
      </c>
      <c r="N5897">
        <v>-1.5128620000000001E-2</v>
      </c>
      <c r="O5897">
        <v>-0.91093740000000001</v>
      </c>
      <c r="P5897">
        <v>-6.2660049999999995E-2</v>
      </c>
      <c r="Q5897">
        <v>-8.3394010000000005E-2</v>
      </c>
      <c r="R5897">
        <v>-0.99454489999999995</v>
      </c>
      <c r="S5897">
        <v>-0.3789978</v>
      </c>
      <c r="T5897">
        <v>-0.2466412</v>
      </c>
      <c r="U5897">
        <v>-2.9741819999999999</v>
      </c>
      <c r="V5897">
        <v>0.46590989999999999</v>
      </c>
      <c r="W5897">
        <v>-7.7894489999999997E-2</v>
      </c>
      <c r="X5897">
        <v>0.88139690000000004</v>
      </c>
      <c r="Y5897">
        <v>0.52349749999999995</v>
      </c>
      <c r="Z5897">
        <v>4.964462E-2</v>
      </c>
      <c r="AA5897">
        <v>0.85057969999999905</v>
      </c>
      <c r="AB5897">
        <v>15</v>
      </c>
      <c r="AC5897">
        <v>-1.6948000000000401</v>
      </c>
      <c r="AD5897">
        <v>-1.064349236837</v>
      </c>
      <c r="AE5897">
        <v>-12.647422000000001</v>
      </c>
      <c r="AF5897">
        <v>6.7120501202251504</v>
      </c>
      <c r="AG5897">
        <v>-1.064349236837</v>
      </c>
      <c r="AH5897">
        <v>10.748756282696499</v>
      </c>
      <c r="AI5897">
        <v>94.801013952791195</v>
      </c>
      <c r="AJ5897">
        <v>58.017324386552801</v>
      </c>
      <c r="AK5897">
        <v>12.716926426585101</v>
      </c>
      <c r="AL5897">
        <v>94.467550981831394</v>
      </c>
      <c r="AM5897">
        <v>62.138892021873502</v>
      </c>
      <c r="AN5897">
        <v>1.0000000409099801</v>
      </c>
    </row>
    <row r="5898" spans="1:40" x14ac:dyDescent="0.25">
      <c r="A5898" t="str">
        <f>"20190303154636473"</f>
        <v>20190303154636473</v>
      </c>
      <c r="B5898" t="str">
        <f>"1551599196467678"</f>
        <v>1551599196467678</v>
      </c>
      <c r="C5898" t="s">
        <v>40</v>
      </c>
      <c r="D5898">
        <v>5.3839600000000001</v>
      </c>
      <c r="E5898">
        <v>0.5155708</v>
      </c>
      <c r="F5898" t="s">
        <v>43</v>
      </c>
      <c r="G5898">
        <v>-302.16930000000002</v>
      </c>
      <c r="H5898">
        <v>-0.05</v>
      </c>
      <c r="I5898">
        <v>-0.19844059999999999</v>
      </c>
      <c r="J5898">
        <v>-300.91739999999999</v>
      </c>
      <c r="K5898">
        <v>1.0645450000000001</v>
      </c>
      <c r="L5898">
        <v>10.62402</v>
      </c>
      <c r="M5898">
        <v>0.38480249999999999</v>
      </c>
      <c r="N5898">
        <v>-1.501428E-2</v>
      </c>
      <c r="O5898">
        <v>-0.92287680000000005</v>
      </c>
      <c r="P5898">
        <v>-6.9343950000000001E-2</v>
      </c>
      <c r="Q5898">
        <v>-8.3827170000000006E-2</v>
      </c>
      <c r="R5898">
        <v>-0.99406459999999996</v>
      </c>
      <c r="S5898">
        <v>-0.3147278</v>
      </c>
      <c r="T5898">
        <v>-0.29868410000000001</v>
      </c>
      <c r="U5898">
        <v>-2.9715880000000001</v>
      </c>
      <c r="V5898">
        <v>0.44535960000000002</v>
      </c>
      <c r="W5898">
        <v>-7.7698859999999995E-2</v>
      </c>
      <c r="X5898">
        <v>0.89197399999999905</v>
      </c>
      <c r="Y5898">
        <v>0.47911870000000001</v>
      </c>
      <c r="Z5898">
        <v>6.6780919999999994E-2</v>
      </c>
      <c r="AA5898">
        <v>0.87520609999999999</v>
      </c>
      <c r="AB5898">
        <v>15</v>
      </c>
      <c r="AC5898">
        <v>-1.25190000000003</v>
      </c>
      <c r="AD5898">
        <v>-1.1145449999999999</v>
      </c>
      <c r="AE5898">
        <v>-10.822460599999999</v>
      </c>
      <c r="AF5898">
        <v>5.2653532556406999</v>
      </c>
      <c r="AG5898">
        <v>-1.1145449999999999</v>
      </c>
      <c r="AH5898">
        <v>9.4086665269887106</v>
      </c>
      <c r="AI5898">
        <v>95.901869749392006</v>
      </c>
      <c r="AJ5898">
        <v>60.767401785394497</v>
      </c>
      <c r="AK5898">
        <v>10.839241729926901</v>
      </c>
      <c r="AL5898">
        <v>94.456308534239199</v>
      </c>
      <c r="AM5898">
        <v>63.4671986284403</v>
      </c>
      <c r="AN5898">
        <v>0.99999995141672804</v>
      </c>
    </row>
    <row r="5899" spans="1:40" x14ac:dyDescent="0.25">
      <c r="A5899" t="str">
        <f>"20190303154636501"</f>
        <v>20190303154636501</v>
      </c>
      <c r="B5899" t="str">
        <f>"1551599196497116"</f>
        <v>1551599196497116</v>
      </c>
      <c r="C5899" t="s">
        <v>40</v>
      </c>
      <c r="D5899">
        <v>5.3571169999999997</v>
      </c>
      <c r="E5899">
        <v>0.51551970000000003</v>
      </c>
      <c r="F5899" t="s">
        <v>43</v>
      </c>
      <c r="G5899">
        <v>-302.18579999999997</v>
      </c>
      <c r="H5899">
        <v>-0.05</v>
      </c>
      <c r="I5899">
        <v>-0.68833919999999904</v>
      </c>
      <c r="J5899">
        <v>-300.86610000000002</v>
      </c>
      <c r="K5899">
        <v>1.0655699999999999</v>
      </c>
      <c r="L5899">
        <v>10.435269999999999</v>
      </c>
      <c r="M5899">
        <v>0.36622549999999998</v>
      </c>
      <c r="N5899">
        <v>-1.581436E-2</v>
      </c>
      <c r="O5899">
        <v>-0.93039179999999999</v>
      </c>
      <c r="P5899">
        <v>-7.7134709999999995E-2</v>
      </c>
      <c r="Q5899">
        <v>-8.3495130000000001E-2</v>
      </c>
      <c r="R5899">
        <v>-0.99351880000000004</v>
      </c>
      <c r="S5899">
        <v>-0.33300780000000002</v>
      </c>
      <c r="T5899">
        <v>-0.29261819999999999</v>
      </c>
      <c r="U5899">
        <v>-2.9700009999999999</v>
      </c>
      <c r="V5899">
        <v>0.43463099999999999</v>
      </c>
      <c r="W5899">
        <v>-7.5562980000000002E-2</v>
      </c>
      <c r="X5899">
        <v>0.89743300000000004</v>
      </c>
      <c r="Y5899">
        <v>0.46688210000000002</v>
      </c>
      <c r="Z5899">
        <v>6.5758250000000004E-2</v>
      </c>
      <c r="AA5899">
        <v>0.88187119999999997</v>
      </c>
      <c r="AB5899">
        <v>15</v>
      </c>
      <c r="AC5899">
        <v>-1.3196999999999499</v>
      </c>
      <c r="AD5899">
        <v>-1.11557</v>
      </c>
      <c r="AE5899">
        <v>-11.123609200000001</v>
      </c>
      <c r="AF5899">
        <v>5.2501779635833099</v>
      </c>
      <c r="AG5899">
        <v>-1.11557</v>
      </c>
      <c r="AH5899">
        <v>9.77033643010612</v>
      </c>
      <c r="AI5899">
        <v>95.743369651696796</v>
      </c>
      <c r="AJ5899">
        <v>61.748239768439802</v>
      </c>
      <c r="AK5899">
        <v>11.147570992447401</v>
      </c>
      <c r="AL5899">
        <v>94.333570781544594</v>
      </c>
      <c r="AM5899">
        <v>64.158876019347701</v>
      </c>
      <c r="AN5899">
        <v>0.99999992979823704</v>
      </c>
    </row>
    <row r="5900" spans="1:40" x14ac:dyDescent="0.25">
      <c r="A5900" t="str">
        <f>"20190303154636532"</f>
        <v>20190303154636532</v>
      </c>
      <c r="B5900" t="str">
        <f>"1551599196527372"</f>
        <v>1551599196527372</v>
      </c>
      <c r="C5900" t="s">
        <v>40</v>
      </c>
      <c r="D5900">
        <v>5.3796809999999997</v>
      </c>
      <c r="E5900">
        <v>0.51531400000000005</v>
      </c>
      <c r="F5900" t="s">
        <v>41</v>
      </c>
      <c r="G5900">
        <v>-302.18270000000001</v>
      </c>
      <c r="H5900" s="1">
        <v>-4.6136220000000004E-6</v>
      </c>
      <c r="I5900">
        <v>-0.54384900000000003</v>
      </c>
      <c r="J5900">
        <v>-300.81619999999998</v>
      </c>
      <c r="K5900">
        <v>1.0675760000000001</v>
      </c>
      <c r="L5900">
        <v>10.242520000000001</v>
      </c>
      <c r="M5900">
        <v>0.34899160000000001</v>
      </c>
      <c r="N5900">
        <v>-1.7799510000000001E-2</v>
      </c>
      <c r="O5900">
        <v>-0.93695680000000003</v>
      </c>
      <c r="P5900">
        <v>-8.3522379999999993E-2</v>
      </c>
      <c r="Q5900">
        <v>-8.6421709999999999E-2</v>
      </c>
      <c r="R5900">
        <v>-0.99275139999999995</v>
      </c>
      <c r="S5900">
        <v>-0.3558655</v>
      </c>
      <c r="T5900">
        <v>-0.28803339999999999</v>
      </c>
      <c r="U5900">
        <v>-2.967743</v>
      </c>
      <c r="V5900">
        <v>0.42401070000000002</v>
      </c>
      <c r="W5900">
        <v>-7.4897829999999999E-2</v>
      </c>
      <c r="X5900">
        <v>0.90255490000000005</v>
      </c>
      <c r="Y5900">
        <v>0.45731319999999998</v>
      </c>
      <c r="Z5900">
        <v>6.3680340000000002E-2</v>
      </c>
      <c r="AA5900">
        <v>0.8870228</v>
      </c>
      <c r="AB5900">
        <v>15</v>
      </c>
      <c r="AC5900">
        <v>-1.36650000000003</v>
      </c>
      <c r="AD5900">
        <v>-1.0675806136220001</v>
      </c>
      <c r="AE5900">
        <v>-10.786369000000001</v>
      </c>
      <c r="AF5900">
        <v>4.9973222503149</v>
      </c>
      <c r="AG5900">
        <v>-1.0675806136220001</v>
      </c>
      <c r="AH5900">
        <v>9.5390218959039803</v>
      </c>
      <c r="AI5900">
        <v>95.661622590198903</v>
      </c>
      <c r="AJ5900">
        <v>62.350764416544997</v>
      </c>
      <c r="AK5900">
        <v>10.821547799211</v>
      </c>
      <c r="AL5900">
        <v>94.295351655138802</v>
      </c>
      <c r="AM5900">
        <v>64.836360849177893</v>
      </c>
      <c r="AN5900">
        <v>1.0000000530836</v>
      </c>
    </row>
    <row r="5901" spans="1:40" x14ac:dyDescent="0.25">
      <c r="A5901" t="str">
        <f>"20190303154636563"</f>
        <v>20190303154636563</v>
      </c>
      <c r="B5901" t="str">
        <f>"1551599196557627"</f>
        <v>1551599196557627</v>
      </c>
      <c r="C5901" t="s">
        <v>40</v>
      </c>
      <c r="D5901">
        <v>5.3722019999999997</v>
      </c>
      <c r="E5901">
        <v>0.48516280000000001</v>
      </c>
      <c r="F5901" t="s">
        <v>41</v>
      </c>
      <c r="G5901">
        <v>-302.16230000000002</v>
      </c>
      <c r="H5901" s="1">
        <v>-4.6408179999999998E-6</v>
      </c>
      <c r="I5901">
        <v>-0.46360489999999999</v>
      </c>
      <c r="J5901">
        <v>-300.76760000000002</v>
      </c>
      <c r="K5901">
        <v>1.069294</v>
      </c>
      <c r="L5901">
        <v>10.05045</v>
      </c>
      <c r="M5901">
        <v>0.33327830000000003</v>
      </c>
      <c r="N5901">
        <v>-2.0092100000000002E-2</v>
      </c>
      <c r="O5901">
        <v>-0.94261439999999996</v>
      </c>
      <c r="P5901">
        <v>-7.6799870000000006E-2</v>
      </c>
      <c r="Q5901">
        <v>-9.0441149999999998E-2</v>
      </c>
      <c r="R5901">
        <v>-0.99293629999999999</v>
      </c>
      <c r="S5901">
        <v>-0.3727722</v>
      </c>
      <c r="T5901">
        <v>-0.29564170000000001</v>
      </c>
      <c r="U5901">
        <v>-2.9648129999999999</v>
      </c>
      <c r="V5901">
        <v>0.40283780000000002</v>
      </c>
      <c r="W5901">
        <v>-7.5194689999999995E-2</v>
      </c>
      <c r="X5901">
        <v>0.91217729999999997</v>
      </c>
      <c r="Y5901">
        <v>0.44745010000000002</v>
      </c>
      <c r="Z5901">
        <v>6.4641030000000002E-2</v>
      </c>
      <c r="AA5901">
        <v>0.89196969999999998</v>
      </c>
      <c r="AB5901">
        <v>14</v>
      </c>
      <c r="AC5901">
        <v>-1.3947000000000001</v>
      </c>
      <c r="AD5901">
        <v>-1.0692986408180001</v>
      </c>
      <c r="AE5901">
        <v>-10.5140549</v>
      </c>
      <c r="AF5901">
        <v>4.7712466410360097</v>
      </c>
      <c r="AG5901">
        <v>-1.0692986408180001</v>
      </c>
      <c r="AH5901">
        <v>9.3527185458804407</v>
      </c>
      <c r="AI5901">
        <v>95.815149761984102</v>
      </c>
      <c r="AJ5901">
        <v>62.971806126041997</v>
      </c>
      <c r="AK5901">
        <v>10.553745225809999</v>
      </c>
      <c r="AL5901">
        <v>94.312408892297896</v>
      </c>
      <c r="AM5901">
        <v>66.172679606041896</v>
      </c>
      <c r="AN5901">
        <v>0.99999998057416195</v>
      </c>
    </row>
    <row r="5902" spans="1:40" x14ac:dyDescent="0.25">
      <c r="A5902" t="str">
        <f>"20190303154636607"</f>
        <v>20190303154636607</v>
      </c>
      <c r="B5902" t="str">
        <f>"1551599196597642"</f>
        <v>1551599196597642</v>
      </c>
      <c r="C5902" t="s">
        <v>40</v>
      </c>
      <c r="D5902">
        <v>5.3290670000000002</v>
      </c>
      <c r="E5902">
        <v>0.48332409999999998</v>
      </c>
      <c r="F5902" t="s">
        <v>43</v>
      </c>
      <c r="G5902">
        <v>-301.14920000000001</v>
      </c>
      <c r="H5902">
        <v>-0.05</v>
      </c>
      <c r="I5902">
        <v>2.9754640000000001E-3</v>
      </c>
      <c r="J5902">
        <v>-300.70510000000002</v>
      </c>
      <c r="K5902">
        <v>1.0702119999999999</v>
      </c>
      <c r="L5902">
        <v>9.7901000000000007</v>
      </c>
      <c r="M5902">
        <v>0.31230350000000001</v>
      </c>
      <c r="N5902">
        <v>-2.3009620000000001E-2</v>
      </c>
      <c r="O5902">
        <v>-0.94970390000000005</v>
      </c>
      <c r="P5902">
        <v>-7.8952149999999999E-2</v>
      </c>
      <c r="Q5902">
        <v>-9.1238250000000007E-2</v>
      </c>
      <c r="R5902">
        <v>-0.99269450000000004</v>
      </c>
      <c r="S5902">
        <v>-0.1132507</v>
      </c>
      <c r="T5902">
        <v>-0.33223380000000002</v>
      </c>
      <c r="U5902">
        <v>-2.9823300000000001</v>
      </c>
      <c r="V5902">
        <v>0.38465060000000001</v>
      </c>
      <c r="W5902">
        <v>-7.2535710000000003E-2</v>
      </c>
      <c r="X5902">
        <v>0.92020789999999997</v>
      </c>
      <c r="Y5902">
        <v>0.34748519999999999</v>
      </c>
      <c r="Z5902">
        <v>7.5884030000000005E-2</v>
      </c>
      <c r="AA5902">
        <v>0.93460989999999999</v>
      </c>
      <c r="AB5902">
        <v>14</v>
      </c>
      <c r="AC5902">
        <v>-0.444099999999991</v>
      </c>
      <c r="AD5902">
        <v>-1.120212</v>
      </c>
      <c r="AE5902">
        <v>-9.7871245360000003</v>
      </c>
      <c r="AF5902">
        <v>3.4343378364455601</v>
      </c>
      <c r="AG5902">
        <v>-1.120212</v>
      </c>
      <c r="AH5902">
        <v>9.0404080954700099</v>
      </c>
      <c r="AI5902">
        <v>96.607404648254402</v>
      </c>
      <c r="AJ5902">
        <v>69.198842721203505</v>
      </c>
      <c r="AK5902">
        <v>9.7354265357212402</v>
      </c>
      <c r="AL5902">
        <v>94.159642917897699</v>
      </c>
      <c r="AM5902">
        <v>67.314876454439201</v>
      </c>
      <c r="AN5902">
        <v>1.00000004626398</v>
      </c>
    </row>
    <row r="5903" spans="1:40" x14ac:dyDescent="0.25">
      <c r="A5903" t="str">
        <f>"20190303154636640"</f>
        <v>20190303154636640</v>
      </c>
      <c r="B5903" t="str">
        <f>"1551599196637660"</f>
        <v>1551599196637660</v>
      </c>
      <c r="C5903" t="s">
        <v>40</v>
      </c>
      <c r="D5903">
        <v>5.3368080000000004</v>
      </c>
      <c r="E5903">
        <v>0.48343750000000002</v>
      </c>
      <c r="F5903" t="s">
        <v>43</v>
      </c>
      <c r="G5903">
        <v>-301.07220000000001</v>
      </c>
      <c r="H5903">
        <v>-0.05</v>
      </c>
      <c r="I5903">
        <v>-0.65109249999999996</v>
      </c>
      <c r="J5903">
        <v>-300.66329999999999</v>
      </c>
      <c r="K5903">
        <v>1.068727</v>
      </c>
      <c r="L5903">
        <v>9.5955200000000005</v>
      </c>
      <c r="M5903">
        <v>0.29364889999999999</v>
      </c>
      <c r="N5903">
        <v>-2.3424299999999999E-2</v>
      </c>
      <c r="O5903">
        <v>-0.95562650000000005</v>
      </c>
      <c r="P5903">
        <v>-9.0185970000000004E-2</v>
      </c>
      <c r="Q5903">
        <v>-8.9963089999999996E-2</v>
      </c>
      <c r="R5903">
        <v>-0.9918536</v>
      </c>
      <c r="S5903">
        <v>-0.1049194</v>
      </c>
      <c r="T5903">
        <v>-0.32018020000000003</v>
      </c>
      <c r="U5903">
        <v>-2.9843139999999999</v>
      </c>
      <c r="V5903">
        <v>0.37687880000000001</v>
      </c>
      <c r="W5903">
        <v>-7.1929580000000007E-2</v>
      </c>
      <c r="X5903">
        <v>0.92346550000000005</v>
      </c>
      <c r="Y5903">
        <v>0.3264802</v>
      </c>
      <c r="Z5903">
        <v>7.3223720000000006E-2</v>
      </c>
      <c r="AA5903">
        <v>0.94236350000000002</v>
      </c>
      <c r="AB5903">
        <v>13</v>
      </c>
      <c r="AC5903">
        <v>-0.40890000000001597</v>
      </c>
      <c r="AD5903">
        <v>-1.118727</v>
      </c>
      <c r="AE5903">
        <v>-10.246612499999999</v>
      </c>
      <c r="AF5903">
        <v>3.3605988989830902</v>
      </c>
      <c r="AG5903">
        <v>-1.118727</v>
      </c>
      <c r="AH5903">
        <v>9.5607284516481297</v>
      </c>
      <c r="AI5903">
        <v>96.299472531847996</v>
      </c>
      <c r="AJ5903">
        <v>70.633409911273205</v>
      </c>
      <c r="AK5903">
        <v>10.195719866028501</v>
      </c>
      <c r="AL5903">
        <v>94.124823414086407</v>
      </c>
      <c r="AM5903">
        <v>67.798962330426505</v>
      </c>
      <c r="AN5903">
        <v>1.00000001202933</v>
      </c>
    </row>
    <row r="5904" spans="1:40" x14ac:dyDescent="0.25">
      <c r="A5904" t="str">
        <f>"20190303154636663"</f>
        <v>20190303154636663</v>
      </c>
      <c r="B5904" t="str">
        <f>"1551599196657179"</f>
        <v>1551599196657179</v>
      </c>
      <c r="C5904" t="s">
        <v>40</v>
      </c>
      <c r="D5904">
        <v>5.3734909999999996</v>
      </c>
      <c r="E5904">
        <v>0.48392249999999998</v>
      </c>
      <c r="F5904" t="s">
        <v>41</v>
      </c>
      <c r="G5904">
        <v>-301.13420000000002</v>
      </c>
      <c r="H5904" s="1">
        <v>-4.4566739999999997E-6</v>
      </c>
      <c r="I5904">
        <v>-0.46825600000000001</v>
      </c>
      <c r="J5904">
        <v>-300.63929999999999</v>
      </c>
      <c r="K5904">
        <v>1.0670409999999999</v>
      </c>
      <c r="L5904">
        <v>9.4635309999999997</v>
      </c>
      <c r="M5904">
        <v>0.28052860000000002</v>
      </c>
      <c r="N5904">
        <v>-2.2650770000000001E-2</v>
      </c>
      <c r="O5904">
        <v>-0.9595785</v>
      </c>
      <c r="P5904">
        <v>-9.1340089999999999E-2</v>
      </c>
      <c r="Q5904">
        <v>-8.8306449999999995E-2</v>
      </c>
      <c r="R5904">
        <v>-0.99189669999999996</v>
      </c>
      <c r="S5904">
        <v>-0.1395874</v>
      </c>
      <c r="T5904">
        <v>-0.31680520000000001</v>
      </c>
      <c r="U5904">
        <v>-2.983215</v>
      </c>
      <c r="V5904">
        <v>0.36511130000000003</v>
      </c>
      <c r="W5904">
        <v>-7.1951280000000006E-2</v>
      </c>
      <c r="X5904">
        <v>0.92817930000000004</v>
      </c>
      <c r="Y5904">
        <v>0.32450069999999998</v>
      </c>
      <c r="Z5904">
        <v>7.3624519999999999E-2</v>
      </c>
      <c r="AA5904">
        <v>0.94301579999999996</v>
      </c>
      <c r="AB5904">
        <v>13</v>
      </c>
      <c r="AC5904">
        <v>-0.49490000000002898</v>
      </c>
      <c r="AD5904">
        <v>-1.067045456674</v>
      </c>
      <c r="AE5904">
        <v>-9.9317869999999999</v>
      </c>
      <c r="AF5904">
        <v>3.2247517095189502</v>
      </c>
      <c r="AG5904">
        <v>-1.067045456674</v>
      </c>
      <c r="AH5904">
        <v>9.2869724849879294</v>
      </c>
      <c r="AI5904">
        <v>96.194622087631203</v>
      </c>
      <c r="AJ5904">
        <v>70.851265255871894</v>
      </c>
      <c r="AK5904">
        <v>9.8886534741377599</v>
      </c>
      <c r="AL5904">
        <v>94.126069885975198</v>
      </c>
      <c r="AM5904">
        <v>68.527164680539897</v>
      </c>
      <c r="AN5904">
        <v>1.0000000305148999</v>
      </c>
    </row>
    <row r="5905" spans="1:40" x14ac:dyDescent="0.25">
      <c r="A5905" t="str">
        <f>"20190303154636695"</f>
        <v>20190303154636695</v>
      </c>
      <c r="B5905" t="str">
        <f>"1551599196687435"</f>
        <v>1551599196687435</v>
      </c>
      <c r="C5905" t="s">
        <v>40</v>
      </c>
      <c r="D5905">
        <v>5.4046289999999999</v>
      </c>
      <c r="E5905">
        <v>0.48488369999999997</v>
      </c>
      <c r="F5905" t="s">
        <v>41</v>
      </c>
      <c r="G5905">
        <v>-301.1404</v>
      </c>
      <c r="H5905" s="1">
        <v>-4.3716499999999999E-6</v>
      </c>
      <c r="I5905">
        <v>-0.69254209999999905</v>
      </c>
      <c r="J5905">
        <v>-300.61</v>
      </c>
      <c r="K5905">
        <v>1.06576</v>
      </c>
      <c r="L5905">
        <v>9.2654110000000003</v>
      </c>
      <c r="M5905">
        <v>0.26132339999999998</v>
      </c>
      <c r="N5905">
        <v>-2.1552089999999999E-2</v>
      </c>
      <c r="O5905">
        <v>-0.9650109</v>
      </c>
      <c r="P5905">
        <v>-9.8143380000000002E-2</v>
      </c>
      <c r="Q5905">
        <v>-8.7403800000000004E-2</v>
      </c>
      <c r="R5905">
        <v>-0.99132679999999995</v>
      </c>
      <c r="S5905">
        <v>-0.14718629999999999</v>
      </c>
      <c r="T5905">
        <v>-0.31341479999999999</v>
      </c>
      <c r="U5905">
        <v>-2.983063</v>
      </c>
      <c r="V5905">
        <v>0.35280209999999901</v>
      </c>
      <c r="W5905">
        <v>-7.2598380000000004E-2</v>
      </c>
      <c r="X5905">
        <v>0.93287739999999997</v>
      </c>
      <c r="Y5905">
        <v>0.30803049999999998</v>
      </c>
      <c r="Z5905">
        <v>7.4841320000000003E-2</v>
      </c>
      <c r="AA5905">
        <v>0.94842820000000005</v>
      </c>
      <c r="AB5905">
        <v>13</v>
      </c>
      <c r="AC5905">
        <v>-0.53039999999998599</v>
      </c>
      <c r="AD5905">
        <v>-1.06576437165</v>
      </c>
      <c r="AE5905">
        <v>-9.9579530999999992</v>
      </c>
      <c r="AF5905">
        <v>3.0796343595469202</v>
      </c>
      <c r="AG5905">
        <v>-1.06576437165</v>
      </c>
      <c r="AH5905">
        <v>9.3661430981038407</v>
      </c>
      <c r="AI5905">
        <v>96.169472706355805</v>
      </c>
      <c r="AJ5905">
        <v>71.798878258448696</v>
      </c>
      <c r="AK5905">
        <v>9.9168865083018201</v>
      </c>
      <c r="AL5905">
        <v>94.163243141403299</v>
      </c>
      <c r="AM5905">
        <v>69.284033924621298</v>
      </c>
      <c r="AN5905">
        <v>1.00000004498689</v>
      </c>
    </row>
    <row r="5906" spans="1:40" x14ac:dyDescent="0.25">
      <c r="A5906" t="str">
        <f>"20190303154636726"</f>
        <v>20190303154636726</v>
      </c>
      <c r="B5906" t="str">
        <f>"1551599196717691"</f>
        <v>1551599196717691</v>
      </c>
      <c r="C5906" t="s">
        <v>40</v>
      </c>
      <c r="D5906">
        <v>5.384137</v>
      </c>
      <c r="E5906">
        <v>0.48568</v>
      </c>
      <c r="F5906" t="s">
        <v>41</v>
      </c>
      <c r="G5906">
        <v>-301.20359999999999</v>
      </c>
      <c r="H5906" s="1">
        <v>-4.3297350000000001E-6</v>
      </c>
      <c r="I5906">
        <v>-0.830848699999999</v>
      </c>
      <c r="J5906">
        <v>-300.58760000000001</v>
      </c>
      <c r="K5906">
        <v>1.066041</v>
      </c>
      <c r="L5906">
        <v>9.0873720000000002</v>
      </c>
      <c r="M5906">
        <v>0.24378130000000001</v>
      </c>
      <c r="N5906">
        <v>-2.06994E-2</v>
      </c>
      <c r="O5906">
        <v>-0.96960939999999995</v>
      </c>
      <c r="P5906">
        <v>-0.1106945</v>
      </c>
      <c r="Q5906">
        <v>-8.6829249999999997E-2</v>
      </c>
      <c r="R5906">
        <v>-0.9900544</v>
      </c>
      <c r="S5906">
        <v>-0.17526249999999999</v>
      </c>
      <c r="T5906">
        <v>-0.31469000000000003</v>
      </c>
      <c r="U5906">
        <v>-2.9811399999999999</v>
      </c>
      <c r="V5906">
        <v>0.34779569999999999</v>
      </c>
      <c r="W5906">
        <v>-7.2308150000000002E-2</v>
      </c>
      <c r="X5906">
        <v>0.93477790000000005</v>
      </c>
      <c r="Y5906">
        <v>0.29972510000000002</v>
      </c>
      <c r="Z5906">
        <v>7.6967140000000003E-2</v>
      </c>
      <c r="AA5906">
        <v>0.95091579999999998</v>
      </c>
      <c r="AB5906">
        <v>13</v>
      </c>
      <c r="AC5906">
        <v>-0.615999999999985</v>
      </c>
      <c r="AD5906">
        <v>-1.0660453297349901</v>
      </c>
      <c r="AE5906">
        <v>-9.9182206999999991</v>
      </c>
      <c r="AF5906">
        <v>2.9814900825877602</v>
      </c>
      <c r="AG5906">
        <v>-1.0660453297349901</v>
      </c>
      <c r="AH5906">
        <v>9.3609300771829798</v>
      </c>
      <c r="AI5906">
        <v>96.193013867725298</v>
      </c>
      <c r="AJ5906">
        <v>72.333134677784898</v>
      </c>
      <c r="AK5906">
        <v>9.8819404808735793</v>
      </c>
      <c r="AL5906">
        <v>94.146570472926498</v>
      </c>
      <c r="AM5906">
        <v>69.591658862315001</v>
      </c>
      <c r="AN5906">
        <v>1.0000000199116601</v>
      </c>
    </row>
    <row r="5907" spans="1:40" x14ac:dyDescent="0.25">
      <c r="A5907" t="str">
        <f>"20190303154636748"</f>
        <v>20190303154636748</v>
      </c>
      <c r="B5907" t="str">
        <f>"1551599196737212"</f>
        <v>1551599196737212</v>
      </c>
      <c r="C5907" t="s">
        <v>40</v>
      </c>
      <c r="D5907">
        <v>5.4202709999999996</v>
      </c>
      <c r="E5907">
        <v>0.48617660000000001</v>
      </c>
      <c r="F5907" t="s">
        <v>41</v>
      </c>
      <c r="G5907">
        <v>-301.33499999999998</v>
      </c>
      <c r="H5907" s="1">
        <v>-4.27004E-6</v>
      </c>
      <c r="I5907">
        <v>-1.0469839999999999</v>
      </c>
      <c r="J5907">
        <v>-300.57159999999999</v>
      </c>
      <c r="K5907">
        <v>1.0667759999999999</v>
      </c>
      <c r="L5907">
        <v>8.9506529999999902</v>
      </c>
      <c r="M5907">
        <v>0.2298248</v>
      </c>
      <c r="N5907">
        <v>-2.0001330000000001E-2</v>
      </c>
      <c r="O5907">
        <v>-0.97302650000000002</v>
      </c>
      <c r="P5907">
        <v>-0.12011819999999999</v>
      </c>
      <c r="Q5907">
        <v>-8.733668E-2</v>
      </c>
      <c r="R5907">
        <v>-0.98891030000000002</v>
      </c>
      <c r="S5907">
        <v>-0.219635</v>
      </c>
      <c r="T5907">
        <v>-0.31327189999999999</v>
      </c>
      <c r="U5907">
        <v>-2.978119</v>
      </c>
      <c r="V5907">
        <v>0.34339340000000002</v>
      </c>
      <c r="W5907">
        <v>-7.2660069999999993E-2</v>
      </c>
      <c r="X5907">
        <v>0.93637680000000001</v>
      </c>
      <c r="Y5907">
        <v>0.30019230000000002</v>
      </c>
      <c r="Z5907">
        <v>7.7779269999999998E-2</v>
      </c>
      <c r="AA5907">
        <v>0.95070239999999995</v>
      </c>
      <c r="AB5907">
        <v>13</v>
      </c>
      <c r="AC5907">
        <v>-0.76339999999998998</v>
      </c>
      <c r="AD5907">
        <v>-1.06678027004</v>
      </c>
      <c r="AE5907">
        <v>-9.9976369999999992</v>
      </c>
      <c r="AF5907">
        <v>3.00708270649841</v>
      </c>
      <c r="AG5907">
        <v>-1.06678027004</v>
      </c>
      <c r="AH5907">
        <v>9.4474869176760308</v>
      </c>
      <c r="AI5907">
        <v>96.141275943591694</v>
      </c>
      <c r="AJ5907">
        <v>72.344015615037307</v>
      </c>
      <c r="AK5907">
        <v>9.9717388457544391</v>
      </c>
      <c r="AL5907">
        <v>94.1667872139992</v>
      </c>
      <c r="AM5907">
        <v>69.860717135185098</v>
      </c>
      <c r="AN5907">
        <v>1.0000000122571</v>
      </c>
    </row>
    <row r="5908" spans="1:40" x14ac:dyDescent="0.25">
      <c r="A5908" t="str">
        <f>"20190303154636772"</f>
        <v>20190303154636772</v>
      </c>
      <c r="B5908" t="str">
        <f>"1551599196767467"</f>
        <v>1551599196767467</v>
      </c>
      <c r="C5908" t="s">
        <v>40</v>
      </c>
      <c r="D5908">
        <v>5.4112359999999997</v>
      </c>
      <c r="E5908">
        <v>0.48674479999999998</v>
      </c>
      <c r="F5908" t="s">
        <v>41</v>
      </c>
      <c r="G5908">
        <v>-301.42349999999999</v>
      </c>
      <c r="H5908" s="1">
        <v>-4.2595749999999998E-6</v>
      </c>
      <c r="I5908">
        <v>-1.1151310000000001</v>
      </c>
      <c r="J5908">
        <v>-300.55610000000001</v>
      </c>
      <c r="K5908">
        <v>1.067469</v>
      </c>
      <c r="L5908">
        <v>8.8115229999999993</v>
      </c>
      <c r="M5908">
        <v>0.215672</v>
      </c>
      <c r="N5908">
        <v>-1.930838E-2</v>
      </c>
      <c r="O5908">
        <v>-0.97627509999999995</v>
      </c>
      <c r="P5908">
        <v>-0.12917609999999999</v>
      </c>
      <c r="Q5908">
        <v>-8.9561379999999996E-2</v>
      </c>
      <c r="R5908">
        <v>-0.98756909999999998</v>
      </c>
      <c r="S5908">
        <v>-0.25180049999999998</v>
      </c>
      <c r="T5908">
        <v>-0.31531629999999999</v>
      </c>
      <c r="U5908">
        <v>-2.9752200000000002</v>
      </c>
      <c r="V5908">
        <v>0.33844659999999999</v>
      </c>
      <c r="W5908">
        <v>-7.4794200000000005E-2</v>
      </c>
      <c r="X5908">
        <v>0.93800839999999996</v>
      </c>
      <c r="Y5908">
        <v>0.29662759999999999</v>
      </c>
      <c r="Z5908">
        <v>7.9718319999999995E-2</v>
      </c>
      <c r="AA5908">
        <v>0.95166019999999896</v>
      </c>
      <c r="AB5908">
        <v>13</v>
      </c>
      <c r="AC5908">
        <v>-0.86739999999997497</v>
      </c>
      <c r="AD5908">
        <v>-1.0674732595750001</v>
      </c>
      <c r="AE5908">
        <v>-9.9266539999999992</v>
      </c>
      <c r="AF5908">
        <v>2.9543734837444098</v>
      </c>
      <c r="AG5908">
        <v>-1.0674732595750001</v>
      </c>
      <c r="AH5908">
        <v>9.3979871001568203</v>
      </c>
      <c r="AI5908">
        <v>96.184287089601995</v>
      </c>
      <c r="AJ5908">
        <v>72.548814522324406</v>
      </c>
      <c r="AK5908">
        <v>9.9090859001258895</v>
      </c>
      <c r="AL5908">
        <v>94.289397552362203</v>
      </c>
      <c r="AM5908">
        <v>70.1598444941027</v>
      </c>
      <c r="AN5908">
        <v>1.0000000159378699</v>
      </c>
    </row>
    <row r="5909" spans="1:40" x14ac:dyDescent="0.25">
      <c r="A5909" t="str">
        <f>"20190303154636809"</f>
        <v>20190303154636809</v>
      </c>
      <c r="B5909" t="str">
        <f>"1551599196797723"</f>
        <v>1551599196797723</v>
      </c>
      <c r="C5909" t="s">
        <v>40</v>
      </c>
      <c r="D5909">
        <v>5.465058</v>
      </c>
      <c r="E5909">
        <v>0.48716609999999999</v>
      </c>
      <c r="F5909" t="s">
        <v>41</v>
      </c>
      <c r="G5909">
        <v>-301.49029999999999</v>
      </c>
      <c r="H5909" s="1">
        <v>-4.3218230000000003E-6</v>
      </c>
      <c r="I5909">
        <v>-0.9838829</v>
      </c>
      <c r="J5909">
        <v>-300.53399999999999</v>
      </c>
      <c r="K5909">
        <v>1.06792</v>
      </c>
      <c r="L5909">
        <v>8.5940550000000009</v>
      </c>
      <c r="M5909">
        <v>0.19467860000000001</v>
      </c>
      <c r="N5909">
        <v>-1.8378869999999999E-2</v>
      </c>
      <c r="O5909">
        <v>-0.98069499999999998</v>
      </c>
      <c r="P5909">
        <v>-0.13813149999999999</v>
      </c>
      <c r="Q5909">
        <v>-9.0471300000000004E-2</v>
      </c>
      <c r="R5909">
        <v>-0.98627310000000001</v>
      </c>
      <c r="S5909">
        <v>-0.28338619999999998</v>
      </c>
      <c r="T5909">
        <v>-0.32380799999999998</v>
      </c>
      <c r="U5909">
        <v>-2.9713440000000002</v>
      </c>
      <c r="V5909">
        <v>0.3268894</v>
      </c>
      <c r="W5909">
        <v>-7.5966210000000006E-2</v>
      </c>
      <c r="X5909">
        <v>0.94200450000000002</v>
      </c>
      <c r="Y5909">
        <v>0.2862538</v>
      </c>
      <c r="Z5909">
        <v>8.4262770000000001E-2</v>
      </c>
      <c r="AA5909">
        <v>0.95444150000000005</v>
      </c>
      <c r="AB5909">
        <v>13</v>
      </c>
      <c r="AC5909">
        <v>-0.95629999999999804</v>
      </c>
      <c r="AD5909">
        <v>-1.0679243218229999</v>
      </c>
      <c r="AE5909">
        <v>-9.5779379000000002</v>
      </c>
      <c r="AF5909">
        <v>2.7688490402944201</v>
      </c>
      <c r="AG5909">
        <v>-1.0679243218229999</v>
      </c>
      <c r="AH5909">
        <v>9.0964492041962792</v>
      </c>
      <c r="AI5909">
        <v>96.408171285269603</v>
      </c>
      <c r="AJ5909">
        <v>73.070385717828202</v>
      </c>
      <c r="AK5909">
        <v>9.5683005538916603</v>
      </c>
      <c r="AL5909">
        <v>94.3567404007661</v>
      </c>
      <c r="AM5909">
        <v>70.862474577724598</v>
      </c>
      <c r="AN5909">
        <v>1.0000000114571801</v>
      </c>
    </row>
    <row r="5910" spans="1:40" x14ac:dyDescent="0.25">
      <c r="A5910" t="str">
        <f>"20190303154636853"</f>
        <v>20190303154636853</v>
      </c>
      <c r="B5910" t="str">
        <f>"1551599196847499"</f>
        <v>1551599196847499</v>
      </c>
      <c r="C5910" t="s">
        <v>40</v>
      </c>
      <c r="D5910">
        <v>5.4876180000000003</v>
      </c>
      <c r="E5910">
        <v>0.48776639999999999</v>
      </c>
      <c r="F5910" t="s">
        <v>41</v>
      </c>
      <c r="G5910">
        <v>-301.55439999999999</v>
      </c>
      <c r="H5910" s="1">
        <v>-4.2982060000000004E-6</v>
      </c>
      <c r="I5910">
        <v>-1.0749850000000001</v>
      </c>
      <c r="J5910">
        <v>-300.51310000000001</v>
      </c>
      <c r="K5910">
        <v>1.067672</v>
      </c>
      <c r="L5910">
        <v>8.3369450000000001</v>
      </c>
      <c r="M5910">
        <v>0.17138629999999999</v>
      </c>
      <c r="N5910">
        <v>-1.7487539999999999E-2</v>
      </c>
      <c r="O5910">
        <v>-0.98504899999999995</v>
      </c>
      <c r="P5910">
        <v>-0.14704739999999999</v>
      </c>
      <c r="Q5910">
        <v>-8.6273260000000004E-2</v>
      </c>
      <c r="R5910">
        <v>-0.98536009999999996</v>
      </c>
      <c r="S5910">
        <v>-0.31320189999999998</v>
      </c>
      <c r="T5910">
        <v>-0.32779069999999999</v>
      </c>
      <c r="U5910">
        <v>-2.9678339999999999</v>
      </c>
      <c r="V5910">
        <v>0.31312620000000002</v>
      </c>
      <c r="W5910">
        <v>-7.2578420000000005E-2</v>
      </c>
      <c r="X5910">
        <v>0.94693419999999895</v>
      </c>
      <c r="Y5910">
        <v>0.27312989999999998</v>
      </c>
      <c r="Z5910">
        <v>8.7406719999999993E-2</v>
      </c>
      <c r="AA5910">
        <v>0.95799800000000002</v>
      </c>
      <c r="AB5910">
        <v>13</v>
      </c>
      <c r="AC5910">
        <v>-1.0412999999999699</v>
      </c>
      <c r="AD5910">
        <v>-1.067676298206</v>
      </c>
      <c r="AE5910">
        <v>-9.4119299999999999</v>
      </c>
      <c r="AF5910">
        <v>2.60607982176847</v>
      </c>
      <c r="AG5910">
        <v>-1.067676298206</v>
      </c>
      <c r="AH5910">
        <v>8.9799757320615203</v>
      </c>
      <c r="AI5910">
        <v>96.514050446750602</v>
      </c>
      <c r="AJ5910">
        <v>73.816736631052606</v>
      </c>
      <c r="AK5910">
        <v>9.4112458720189398</v>
      </c>
      <c r="AL5910">
        <v>94.162096631800793</v>
      </c>
      <c r="AM5910">
        <v>71.702309558925506</v>
      </c>
      <c r="AN5910">
        <v>1.00000001165288</v>
      </c>
    </row>
    <row r="5911" spans="1:40" x14ac:dyDescent="0.25">
      <c r="A5911" t="str">
        <f>"20190303154636897"</f>
        <v>20190303154636897</v>
      </c>
      <c r="B5911" t="str">
        <f>"1551599196887244"</f>
        <v>1551599196887244</v>
      </c>
      <c r="C5911" t="s">
        <v>40</v>
      </c>
      <c r="D5911">
        <v>5.5170130000000004</v>
      </c>
      <c r="E5911">
        <v>0.48798269999999999</v>
      </c>
      <c r="F5911" t="s">
        <v>41</v>
      </c>
      <c r="G5911">
        <v>-301.67009999999999</v>
      </c>
      <c r="H5911" s="1">
        <v>-4.1148330000000002E-6</v>
      </c>
      <c r="I5911">
        <v>-1.605952</v>
      </c>
      <c r="J5911">
        <v>-300.49900000000002</v>
      </c>
      <c r="K5911">
        <v>1.067374</v>
      </c>
      <c r="L5911">
        <v>8.0800479999999997</v>
      </c>
      <c r="M5911">
        <v>0.14815880000000001</v>
      </c>
      <c r="N5911">
        <v>-1.679218E-2</v>
      </c>
      <c r="O5911">
        <v>-0.98882110000000001</v>
      </c>
      <c r="P5911">
        <v>-0.15378349999999999</v>
      </c>
      <c r="Q5911">
        <v>-8.3043690000000003E-2</v>
      </c>
      <c r="R5911">
        <v>-0.98460879999999995</v>
      </c>
      <c r="S5911">
        <v>-0.3450317</v>
      </c>
      <c r="T5911">
        <v>-0.31840659999999998</v>
      </c>
      <c r="U5911">
        <v>-2.9652099999999999</v>
      </c>
      <c r="V5911">
        <v>0.29730859999999998</v>
      </c>
      <c r="W5911">
        <v>-7.0000419999999994E-2</v>
      </c>
      <c r="X5911">
        <v>0.9522119</v>
      </c>
      <c r="Y5911">
        <v>0.26077349999999999</v>
      </c>
      <c r="Z5911">
        <v>8.5949739999999997E-2</v>
      </c>
      <c r="AA5911">
        <v>0.96156629999999998</v>
      </c>
      <c r="AB5911">
        <v>13</v>
      </c>
      <c r="AC5911">
        <v>-1.1710999999999601</v>
      </c>
      <c r="AD5911">
        <v>-1.0673781148329999</v>
      </c>
      <c r="AE5911">
        <v>-9.6859999999999999</v>
      </c>
      <c r="AF5911">
        <v>2.5627671248329902</v>
      </c>
      <c r="AG5911">
        <v>-1.0673781148329999</v>
      </c>
      <c r="AH5911">
        <v>9.2942976118403902</v>
      </c>
      <c r="AI5911">
        <v>96.317527613149295</v>
      </c>
      <c r="AJ5911">
        <v>74.584581791369601</v>
      </c>
      <c r="AK5911">
        <v>9.7000535809659905</v>
      </c>
      <c r="AL5911">
        <v>94.014011411948502</v>
      </c>
      <c r="AM5911">
        <v>72.660098579227096</v>
      </c>
      <c r="AN5911">
        <v>0.99999998246787303</v>
      </c>
    </row>
    <row r="5912" spans="1:40" x14ac:dyDescent="0.25">
      <c r="A5912" t="str">
        <f>"20190303154636925"</f>
        <v>20190303154636925</v>
      </c>
      <c r="B5912" t="str">
        <f>"1551599196917499"</f>
        <v>1551599196917499</v>
      </c>
      <c r="C5912" t="s">
        <v>40</v>
      </c>
      <c r="D5912">
        <v>5.5690470000000003</v>
      </c>
      <c r="E5912">
        <v>0.48821769999999998</v>
      </c>
      <c r="F5912" t="s">
        <v>41</v>
      </c>
      <c r="G5912">
        <v>-301.75810000000001</v>
      </c>
      <c r="H5912" s="1">
        <v>-3.9477759999999999E-6</v>
      </c>
      <c r="I5912">
        <v>-2.0816599999999998</v>
      </c>
      <c r="J5912">
        <v>-300.49329999999998</v>
      </c>
      <c r="K5912">
        <v>1.0673159999999999</v>
      </c>
      <c r="L5912">
        <v>7.9136959999999998</v>
      </c>
      <c r="M5912">
        <v>0.132828</v>
      </c>
      <c r="N5912">
        <v>-1.6467349999999999E-2</v>
      </c>
      <c r="O5912">
        <v>-0.99100239999999995</v>
      </c>
      <c r="P5912">
        <v>-0.16043370000000001</v>
      </c>
      <c r="Q5912">
        <v>-8.3580390000000004E-2</v>
      </c>
      <c r="R5912">
        <v>-0.98350159999999998</v>
      </c>
      <c r="S5912">
        <v>-0.3671875</v>
      </c>
      <c r="T5912">
        <v>-0.31126150000000002</v>
      </c>
      <c r="U5912">
        <v>-2.9632869999999998</v>
      </c>
      <c r="V5912">
        <v>0.2889697</v>
      </c>
      <c r="W5912">
        <v>-7.0774030000000002E-2</v>
      </c>
      <c r="X5912">
        <v>0.95471859999999997</v>
      </c>
      <c r="Y5912">
        <v>0.2530133</v>
      </c>
      <c r="Z5912">
        <v>8.4464699999999907E-2</v>
      </c>
      <c r="AA5912">
        <v>0.96376870000000003</v>
      </c>
      <c r="AB5912">
        <v>13</v>
      </c>
      <c r="AC5912">
        <v>-1.2648000000000299</v>
      </c>
      <c r="AD5912">
        <v>-1.067319947776</v>
      </c>
      <c r="AE5912">
        <v>-9.9953559999999992</v>
      </c>
      <c r="AF5912">
        <v>2.5527838491350701</v>
      </c>
      <c r="AG5912">
        <v>-1.067319947776</v>
      </c>
      <c r="AH5912">
        <v>9.6306593217155996</v>
      </c>
      <c r="AI5912">
        <v>96.114532062819706</v>
      </c>
      <c r="AJ5912">
        <v>75.154108950219893</v>
      </c>
      <c r="AK5912">
        <v>10.020253301302899</v>
      </c>
      <c r="AL5912">
        <v>94.058446026395799</v>
      </c>
      <c r="AM5912">
        <v>73.160234672670001</v>
      </c>
      <c r="AN5912">
        <v>1.0000000280132399</v>
      </c>
    </row>
    <row r="5913" spans="1:40" x14ac:dyDescent="0.25">
      <c r="A5913" t="str">
        <f>"20190303154636949"</f>
        <v>20190303154636949</v>
      </c>
      <c r="B5913" t="str">
        <f>"1551599196937996"</f>
        <v>1551599196937996</v>
      </c>
      <c r="C5913" t="s">
        <v>40</v>
      </c>
      <c r="D5913">
        <v>5.623405</v>
      </c>
      <c r="E5913">
        <v>0.48837269999999999</v>
      </c>
      <c r="F5913" t="s">
        <v>41</v>
      </c>
      <c r="G5913">
        <v>-301.81130000000002</v>
      </c>
      <c r="H5913" s="1">
        <v>-3.9454980000000001E-6</v>
      </c>
      <c r="I5913">
        <v>-2.112161</v>
      </c>
      <c r="J5913">
        <v>-300.4907</v>
      </c>
      <c r="K5913">
        <v>1.0673440000000001</v>
      </c>
      <c r="L5913">
        <v>7.7673030000000001</v>
      </c>
      <c r="M5913">
        <v>0.119183</v>
      </c>
      <c r="N5913">
        <v>-1.6241760000000001E-2</v>
      </c>
      <c r="O5913">
        <v>-0.99273960000000006</v>
      </c>
      <c r="P5913">
        <v>-0.1655239</v>
      </c>
      <c r="Q5913">
        <v>-8.355783E-2</v>
      </c>
      <c r="R5913">
        <v>-0.98265990000000003</v>
      </c>
      <c r="S5913">
        <v>-0.38912960000000002</v>
      </c>
      <c r="T5913">
        <v>-0.31512069999999998</v>
      </c>
      <c r="U5913">
        <v>-2.960083</v>
      </c>
      <c r="V5913">
        <v>0.28077770000000002</v>
      </c>
      <c r="W5913">
        <v>-7.0846549999999994E-2</v>
      </c>
      <c r="X5913">
        <v>0.95715450000000002</v>
      </c>
      <c r="Y5913">
        <v>0.24684600000000001</v>
      </c>
      <c r="Z5913">
        <v>8.635814E-2</v>
      </c>
      <c r="AA5913">
        <v>0.96519909999999998</v>
      </c>
      <c r="AB5913">
        <v>13</v>
      </c>
      <c r="AC5913">
        <v>-1.32060000000001</v>
      </c>
      <c r="AD5913">
        <v>-1.0673479454979999</v>
      </c>
      <c r="AE5913">
        <v>-9.8794640000000005</v>
      </c>
      <c r="AF5913">
        <v>2.4605881697046401</v>
      </c>
      <c r="AG5913">
        <v>-1.0673479454979999</v>
      </c>
      <c r="AH5913">
        <v>9.5421924211836302</v>
      </c>
      <c r="AI5913">
        <v>96.181751609578498</v>
      </c>
      <c r="AJ5913">
        <v>75.540476323472205</v>
      </c>
      <c r="AK5913">
        <v>9.9119706406215506</v>
      </c>
      <c r="AL5913">
        <v>94.0626115088576</v>
      </c>
      <c r="AM5913">
        <v>73.651146094918204</v>
      </c>
      <c r="AN5913">
        <v>1.0000000436672201</v>
      </c>
    </row>
    <row r="5914" spans="1:40" x14ac:dyDescent="0.25">
      <c r="A5914" t="str">
        <f>"20190303154636987"</f>
        <v>20190303154636987</v>
      </c>
      <c r="B5914" t="str">
        <f>"1551599196977335"</f>
        <v>1551599196977335</v>
      </c>
      <c r="C5914" t="s">
        <v>40</v>
      </c>
      <c r="D5914">
        <v>5.6057449999999998</v>
      </c>
      <c r="E5914">
        <v>0.48869829999999997</v>
      </c>
      <c r="F5914" t="s">
        <v>41</v>
      </c>
      <c r="G5914">
        <v>-301.85730000000001</v>
      </c>
      <c r="H5914" s="1">
        <v>-3.9201510000000003E-6</v>
      </c>
      <c r="I5914">
        <v>-2.1994030000000002</v>
      </c>
      <c r="J5914">
        <v>-300.49040000000002</v>
      </c>
      <c r="K5914">
        <v>1.06745</v>
      </c>
      <c r="L5914">
        <v>7.5570369999999896</v>
      </c>
      <c r="M5914">
        <v>9.9423869999999998E-2</v>
      </c>
      <c r="N5914">
        <v>-1.596887E-2</v>
      </c>
      <c r="O5914">
        <v>-0.99491700000000005</v>
      </c>
      <c r="P5914">
        <v>-0.16962530000000001</v>
      </c>
      <c r="Q5914">
        <v>-7.8454499999999996E-2</v>
      </c>
      <c r="R5914">
        <v>-0.98238080000000005</v>
      </c>
      <c r="S5914">
        <v>-0.40554810000000002</v>
      </c>
      <c r="T5914">
        <v>-0.31674429999999998</v>
      </c>
      <c r="U5914">
        <v>-2.957703</v>
      </c>
      <c r="V5914">
        <v>0.26582670000000003</v>
      </c>
      <c r="W5914">
        <v>-6.5758300000000006E-2</v>
      </c>
      <c r="X5914">
        <v>0.96177539999999995</v>
      </c>
      <c r="Y5914">
        <v>0.23292579999999999</v>
      </c>
      <c r="Z5914">
        <v>8.7744790000000003E-2</v>
      </c>
      <c r="AA5914">
        <v>0.96852800000000006</v>
      </c>
      <c r="AB5914">
        <v>12</v>
      </c>
      <c r="AC5914">
        <v>-1.36689999999998</v>
      </c>
      <c r="AD5914">
        <v>-1.067453920151</v>
      </c>
      <c r="AE5914">
        <v>-9.7564399999999996</v>
      </c>
      <c r="AF5914">
        <v>2.3032319860718702</v>
      </c>
      <c r="AG5914">
        <v>-1.067453920151</v>
      </c>
      <c r="AH5914">
        <v>9.4610917363085001</v>
      </c>
      <c r="AI5914">
        <v>96.256013090444696</v>
      </c>
      <c r="AJ5914">
        <v>76.317913622463706</v>
      </c>
      <c r="AK5914">
        <v>9.7957435805637196</v>
      </c>
      <c r="AL5914">
        <v>93.770393861128198</v>
      </c>
      <c r="AM5914">
        <v>74.549644970972494</v>
      </c>
      <c r="AN5914">
        <v>0.99999995424846799</v>
      </c>
    </row>
    <row r="5915" spans="1:40" x14ac:dyDescent="0.25">
      <c r="A5915" t="str">
        <f>"20190303154637032"</f>
        <v>20190303154637032</v>
      </c>
      <c r="B5915" t="str">
        <f>"1551599197027112"</f>
        <v>1551599197027112</v>
      </c>
      <c r="C5915" t="s">
        <v>40</v>
      </c>
      <c r="D5915">
        <v>5.6437460000000002</v>
      </c>
      <c r="E5915">
        <v>0.49249169999999998</v>
      </c>
      <c r="F5915" t="s">
        <v>41</v>
      </c>
      <c r="G5915">
        <v>-301.96170000000001</v>
      </c>
      <c r="H5915" s="1">
        <v>-3.6807939999999998E-6</v>
      </c>
      <c r="I5915">
        <v>-2.7802570000000002</v>
      </c>
      <c r="J5915">
        <v>-300.49599999999998</v>
      </c>
      <c r="K5915">
        <v>1.067523</v>
      </c>
      <c r="L5915">
        <v>7.2948000000000004</v>
      </c>
      <c r="M5915">
        <v>7.4610899999999994E-2</v>
      </c>
      <c r="N5915">
        <v>-1.5698030000000002E-2</v>
      </c>
      <c r="O5915">
        <v>-0.99708929999999996</v>
      </c>
      <c r="P5915">
        <v>-0.17766219999999999</v>
      </c>
      <c r="Q5915">
        <v>-7.7930169999999993E-2</v>
      </c>
      <c r="R5915">
        <v>-0.98100129999999996</v>
      </c>
      <c r="S5915">
        <v>-0.42083739999999997</v>
      </c>
      <c r="T5915">
        <v>-0.30532179999999998</v>
      </c>
      <c r="U5915">
        <v>-2.9567570000000001</v>
      </c>
      <c r="V5915">
        <v>0.24973880000000001</v>
      </c>
      <c r="W5915">
        <v>-6.5234940000000005E-2</v>
      </c>
      <c r="X5915">
        <v>0.96611329999999995</v>
      </c>
      <c r="Y5915">
        <v>0.2136817</v>
      </c>
      <c r="Z5915">
        <v>8.4887210000000005E-2</v>
      </c>
      <c r="AA5915">
        <v>0.97320819999999997</v>
      </c>
      <c r="AB5915">
        <v>12</v>
      </c>
      <c r="AC5915">
        <v>-1.46570000000002</v>
      </c>
      <c r="AD5915">
        <v>-1.067526680794</v>
      </c>
      <c r="AE5915">
        <v>-10.075056999999999</v>
      </c>
      <c r="AF5915">
        <v>2.1893449967306302</v>
      </c>
      <c r="AG5915">
        <v>-1.067526680794</v>
      </c>
      <c r="AH5915">
        <v>9.8295287920157399</v>
      </c>
      <c r="AI5915">
        <v>96.051122307768395</v>
      </c>
      <c r="AJ5915">
        <v>77.443392837580504</v>
      </c>
      <c r="AK5915">
        <v>10.1268198859258</v>
      </c>
      <c r="AL5915">
        <v>93.740342892005501</v>
      </c>
      <c r="AM5915">
        <v>75.506397640147995</v>
      </c>
      <c r="AN5915">
        <v>0.99999998702956605</v>
      </c>
    </row>
    <row r="5916" spans="1:40" x14ac:dyDescent="0.25">
      <c r="A5916" t="str">
        <f>"20190303154637061"</f>
        <v>20190303154637061</v>
      </c>
      <c r="B5916" t="str">
        <f>"1551599197057367"</f>
        <v>1551599197057367</v>
      </c>
      <c r="C5916" t="s">
        <v>40</v>
      </c>
      <c r="D5916">
        <v>5.6739100000000002</v>
      </c>
      <c r="E5916">
        <v>0.49287710000000001</v>
      </c>
      <c r="F5916" t="s">
        <v>42</v>
      </c>
      <c r="G5916">
        <v>-300.62329999999997</v>
      </c>
      <c r="H5916">
        <v>0.97146549999999998</v>
      </c>
      <c r="I5916">
        <v>6.5055360000000002</v>
      </c>
      <c r="J5916">
        <v>-300.5027</v>
      </c>
      <c r="K5916">
        <v>1.067561</v>
      </c>
      <c r="L5916">
        <v>7.128082</v>
      </c>
      <c r="M5916">
        <v>5.8815729999999997E-2</v>
      </c>
      <c r="N5916">
        <v>-1.555601E-2</v>
      </c>
      <c r="O5916">
        <v>-0.99814769999999997</v>
      </c>
      <c r="P5916">
        <v>-0.18402930000000001</v>
      </c>
      <c r="Q5916">
        <v>-7.8259229999999999E-2</v>
      </c>
      <c r="R5916">
        <v>-0.97980029999999996</v>
      </c>
      <c r="S5916">
        <v>-0.47534179999999998</v>
      </c>
      <c r="T5916">
        <v>-0.35737550000000001</v>
      </c>
      <c r="U5916">
        <v>-2.9436339999999999</v>
      </c>
      <c r="V5916">
        <v>0.24071690000000001</v>
      </c>
      <c r="W5916">
        <v>-6.5555160000000001E-2</v>
      </c>
      <c r="X5916">
        <v>0.96837899999999999</v>
      </c>
      <c r="Y5916">
        <v>0.2161381</v>
      </c>
      <c r="Z5916">
        <v>0.1024984</v>
      </c>
      <c r="AA5916">
        <v>0.97096780000000005</v>
      </c>
      <c r="AB5916">
        <v>12</v>
      </c>
      <c r="AC5916">
        <v>-0.120599999999967</v>
      </c>
      <c r="AD5916">
        <v>-9.6095499999999806E-2</v>
      </c>
      <c r="AE5916">
        <v>-0.62254600000000004</v>
      </c>
      <c r="AF5916">
        <v>0.15348631074150201</v>
      </c>
      <c r="AG5916">
        <v>-9.6095499999999806E-2</v>
      </c>
      <c r="AH5916">
        <v>0.60058172150278999</v>
      </c>
      <c r="AI5916">
        <v>98.811946563141802</v>
      </c>
      <c r="AJ5916">
        <v>75.664178142398995</v>
      </c>
      <c r="AK5916">
        <v>0.62728844793168503</v>
      </c>
      <c r="AL5916">
        <v>93.7587294693774</v>
      </c>
      <c r="AM5916">
        <v>76.040509544844895</v>
      </c>
      <c r="AN5916">
        <v>0.999999996294617</v>
      </c>
    </row>
    <row r="5917" spans="1:40" x14ac:dyDescent="0.25">
      <c r="A5917" t="str">
        <f>"20190303154637097"</f>
        <v>20190303154637097</v>
      </c>
      <c r="B5917" t="str">
        <f>"1551599197087154"</f>
        <v>1551599197087154</v>
      </c>
      <c r="C5917" t="s">
        <v>40</v>
      </c>
      <c r="D5917">
        <v>5.7132170000000002</v>
      </c>
      <c r="E5917">
        <v>0.49323240000000002</v>
      </c>
      <c r="F5917" t="s">
        <v>42</v>
      </c>
      <c r="G5917">
        <v>-300.62729999999999</v>
      </c>
      <c r="H5917">
        <v>0.97624730000000004</v>
      </c>
      <c r="I5917">
        <v>6.3912370000000003</v>
      </c>
      <c r="J5917">
        <v>-300.51519999999999</v>
      </c>
      <c r="K5917">
        <v>1.067661</v>
      </c>
      <c r="L5917">
        <v>6.9162290000000004</v>
      </c>
      <c r="M5917">
        <v>3.8899169999999997E-2</v>
      </c>
      <c r="N5917">
        <v>-1.538892E-2</v>
      </c>
      <c r="O5917">
        <v>-0.99912460000000003</v>
      </c>
      <c r="P5917">
        <v>-0.1881777</v>
      </c>
      <c r="Q5917">
        <v>-7.620934E-2</v>
      </c>
      <c r="R5917">
        <v>-0.97917379999999998</v>
      </c>
      <c r="S5917">
        <v>-0.49703979999999998</v>
      </c>
      <c r="T5917">
        <v>-0.36353869999999999</v>
      </c>
      <c r="U5917">
        <v>-2.9394529999999999</v>
      </c>
      <c r="V5917">
        <v>0.22553580000000001</v>
      </c>
      <c r="W5917">
        <v>-6.34044E-2</v>
      </c>
      <c r="X5917">
        <v>0.97216950000000002</v>
      </c>
      <c r="Y5917">
        <v>0.203817</v>
      </c>
      <c r="Z5917">
        <v>0.105132</v>
      </c>
      <c r="AA5917">
        <v>0.97334779999999999</v>
      </c>
      <c r="AB5917">
        <v>12</v>
      </c>
      <c r="AC5917">
        <v>-0.11209999999999801</v>
      </c>
      <c r="AD5917">
        <v>-9.1413699999999903E-2</v>
      </c>
      <c r="AE5917">
        <v>-0.52499199999999902</v>
      </c>
      <c r="AF5917">
        <v>0.128707176566312</v>
      </c>
      <c r="AG5917">
        <v>-9.1413699999999903E-2</v>
      </c>
      <c r="AH5917">
        <v>0.50557330005575296</v>
      </c>
      <c r="AI5917">
        <v>99.938645239710993</v>
      </c>
      <c r="AJ5917">
        <v>75.717223594870504</v>
      </c>
      <c r="AK5917">
        <v>0.52964739551575901</v>
      </c>
      <c r="AL5917">
        <v>93.635242892699395</v>
      </c>
      <c r="AM5917">
        <v>76.938869703447395</v>
      </c>
      <c r="AN5917">
        <v>1.0000000258756201</v>
      </c>
    </row>
    <row r="5918" spans="1:40" x14ac:dyDescent="0.25">
      <c r="A5918" t="str">
        <f>"20190303154637126"</f>
        <v>20190303154637126</v>
      </c>
      <c r="B5918" t="str">
        <f>"1551599197117410"</f>
        <v>1551599197117410</v>
      </c>
      <c r="C5918" t="s">
        <v>40</v>
      </c>
      <c r="D5918">
        <v>5.7266969999999997</v>
      </c>
      <c r="E5918">
        <v>0.49375950000000002</v>
      </c>
      <c r="F5918" t="s">
        <v>42</v>
      </c>
      <c r="G5918">
        <v>-300.64600000000002</v>
      </c>
      <c r="H5918">
        <v>0.97579499999999997</v>
      </c>
      <c r="I5918">
        <v>6.167084</v>
      </c>
      <c r="J5918">
        <v>-300.52730000000003</v>
      </c>
      <c r="K5918">
        <v>1.067779</v>
      </c>
      <c r="L5918">
        <v>6.7554930000000004</v>
      </c>
      <c r="M5918">
        <v>2.401151E-2</v>
      </c>
      <c r="N5918">
        <v>-1.5261429999999999E-2</v>
      </c>
      <c r="O5918">
        <v>-0.99959520000000002</v>
      </c>
      <c r="P5918">
        <v>-0.1941136</v>
      </c>
      <c r="Q5918">
        <v>-7.6514059999999995E-2</v>
      </c>
      <c r="R5918">
        <v>-0.97799060000000004</v>
      </c>
      <c r="S5918">
        <v>-0.5129089</v>
      </c>
      <c r="T5918">
        <v>-0.36013289999999998</v>
      </c>
      <c r="U5918">
        <v>-2.937195</v>
      </c>
      <c r="V5918">
        <v>0.21696760000000001</v>
      </c>
      <c r="W5918">
        <v>-6.3651760000000002E-2</v>
      </c>
      <c r="X5918">
        <v>0.97410140000000001</v>
      </c>
      <c r="Y5918">
        <v>0.1944863</v>
      </c>
      <c r="Z5918">
        <v>0.10439859999999999</v>
      </c>
      <c r="AA5918">
        <v>0.97533380000000003</v>
      </c>
      <c r="AB5918">
        <v>12</v>
      </c>
      <c r="AC5918">
        <v>-0.118699999999932</v>
      </c>
      <c r="AD5918">
        <v>-9.1983999999999899E-2</v>
      </c>
      <c r="AE5918">
        <v>-0.58840899999999896</v>
      </c>
      <c r="AF5918">
        <v>0.12974918091294199</v>
      </c>
      <c r="AG5918">
        <v>-9.1983999999999899E-2</v>
      </c>
      <c r="AH5918">
        <v>0.57195787149657895</v>
      </c>
      <c r="AI5918">
        <v>98.913549228150202</v>
      </c>
      <c r="AJ5918">
        <v>77.218715680995302</v>
      </c>
      <c r="AK5918">
        <v>0.59365959351338404</v>
      </c>
      <c r="AL5918">
        <v>93.649444314076604</v>
      </c>
      <c r="AM5918">
        <v>77.443134893405201</v>
      </c>
      <c r="AN5918">
        <v>1.0000000117414001</v>
      </c>
    </row>
    <row r="5919" spans="1:40" x14ac:dyDescent="0.25">
      <c r="A5919" t="str">
        <f>"20190303154637149"</f>
        <v>20190303154637149</v>
      </c>
      <c r="B5919" t="str">
        <f>"1551599197147666"</f>
        <v>1551599197147666</v>
      </c>
      <c r="C5919" t="s">
        <v>40</v>
      </c>
      <c r="D5919">
        <v>5.7471909999999999</v>
      </c>
      <c r="E5919">
        <v>0.49527939999999998</v>
      </c>
      <c r="F5919" t="s">
        <v>42</v>
      </c>
      <c r="G5919">
        <v>-300.6746</v>
      </c>
      <c r="H5919">
        <v>0.96781280000000003</v>
      </c>
      <c r="I5919">
        <v>5.9472800000000001</v>
      </c>
      <c r="J5919">
        <v>-300.53910000000002</v>
      </c>
      <c r="K5919">
        <v>1.0679149999999999</v>
      </c>
      <c r="L5919">
        <v>6.6205439999999998</v>
      </c>
      <c r="M5919">
        <v>1.1722440000000001E-2</v>
      </c>
      <c r="N5919">
        <v>-1.515175E-2</v>
      </c>
      <c r="O5919">
        <v>-0.99981660000000006</v>
      </c>
      <c r="P5919">
        <v>-0.19704650000000001</v>
      </c>
      <c r="Q5919">
        <v>-7.7332659999999998E-2</v>
      </c>
      <c r="R5919">
        <v>-0.97733979999999998</v>
      </c>
      <c r="S5919">
        <v>-0.53448490000000004</v>
      </c>
      <c r="T5919">
        <v>-0.36237799999999998</v>
      </c>
      <c r="U5919">
        <v>-2.9330750000000001</v>
      </c>
      <c r="V5919">
        <v>0.2079308</v>
      </c>
      <c r="W5919">
        <v>-6.4389180000000004E-2</v>
      </c>
      <c r="X5919">
        <v>0.9760219</v>
      </c>
      <c r="Y5919">
        <v>0.18960050000000001</v>
      </c>
      <c r="Z5919">
        <v>0.1054457</v>
      </c>
      <c r="AA5919">
        <v>0.97618280000000002</v>
      </c>
      <c r="AB5919">
        <v>12</v>
      </c>
      <c r="AC5919">
        <v>-0.135499999999979</v>
      </c>
      <c r="AD5919">
        <v>-0.100102199999999</v>
      </c>
      <c r="AE5919">
        <v>-0.67326399999999997</v>
      </c>
      <c r="AF5919">
        <v>0.14040096416908801</v>
      </c>
      <c r="AG5919">
        <v>-0.100102199999999</v>
      </c>
      <c r="AH5919">
        <v>0.65765673774264599</v>
      </c>
      <c r="AI5919">
        <v>98.466652432443396</v>
      </c>
      <c r="AJ5919">
        <v>77.949020575789604</v>
      </c>
      <c r="AK5919">
        <v>0.67988621539397998</v>
      </c>
      <c r="AL5919">
        <v>93.691782387443794</v>
      </c>
      <c r="AM5919">
        <v>77.973551834739595</v>
      </c>
      <c r="AN5919">
        <v>0.99999996668465996</v>
      </c>
    </row>
    <row r="5920" spans="1:40" x14ac:dyDescent="0.25">
      <c r="A5920" t="str">
        <f>"20190303154637187"</f>
        <v>20190303154637187</v>
      </c>
      <c r="B5920" t="str">
        <f>"1551599197177926"</f>
        <v>1551599197177926</v>
      </c>
      <c r="C5920" t="s">
        <v>40</v>
      </c>
      <c r="D5920">
        <v>5.7197329999999997</v>
      </c>
      <c r="E5920">
        <v>0.49614629999999998</v>
      </c>
      <c r="F5920" t="s">
        <v>42</v>
      </c>
      <c r="G5920">
        <v>-300.68759999999997</v>
      </c>
      <c r="H5920">
        <v>0.9642404</v>
      </c>
      <c r="I5920">
        <v>5.8378350000000001</v>
      </c>
      <c r="J5920">
        <v>-300.56009999999998</v>
      </c>
      <c r="K5920">
        <v>1.0681700000000001</v>
      </c>
      <c r="L5920">
        <v>6.4094540000000002</v>
      </c>
      <c r="M5920">
        <v>-7.0432410000000004E-3</v>
      </c>
      <c r="N5920">
        <v>-1.497914E-2</v>
      </c>
      <c r="O5920">
        <v>-0.99986299999999995</v>
      </c>
      <c r="P5920">
        <v>-0.1970201</v>
      </c>
      <c r="Q5920">
        <v>-8.0391859999999996E-2</v>
      </c>
      <c r="R5920">
        <v>-0.97709800000000002</v>
      </c>
      <c r="S5920">
        <v>-0.5556335</v>
      </c>
      <c r="T5920">
        <v>-0.38730189999999998</v>
      </c>
      <c r="U5920">
        <v>-2.9269099999999999</v>
      </c>
      <c r="V5920">
        <v>0.1895887</v>
      </c>
      <c r="W5920">
        <v>-6.7279019999999995E-2</v>
      </c>
      <c r="X5920">
        <v>0.97955579999999998</v>
      </c>
      <c r="Y5920">
        <v>0.17816940000000001</v>
      </c>
      <c r="Z5920">
        <v>0.114139</v>
      </c>
      <c r="AA5920">
        <v>0.97735760000000005</v>
      </c>
      <c r="AB5920">
        <v>12</v>
      </c>
      <c r="AC5920">
        <v>-0.127499999999997</v>
      </c>
      <c r="AD5920">
        <v>-0.1039296</v>
      </c>
      <c r="AE5920">
        <v>-0.57161899999999999</v>
      </c>
      <c r="AF5920">
        <v>0.11970090126272501</v>
      </c>
      <c r="AG5920">
        <v>-0.1039296</v>
      </c>
      <c r="AH5920">
        <v>0.55502495535235796</v>
      </c>
      <c r="AI5920">
        <v>100.37279592472299</v>
      </c>
      <c r="AJ5920">
        <v>77.829564084413306</v>
      </c>
      <c r="AK5920">
        <v>0.57721951507477298</v>
      </c>
      <c r="AL5920">
        <v>93.857718121770304</v>
      </c>
      <c r="AM5920">
        <v>79.046092127667904</v>
      </c>
      <c r="AN5920">
        <v>0.99999995350674398</v>
      </c>
    </row>
    <row r="5921" spans="1:40" x14ac:dyDescent="0.25">
      <c r="A5921" t="str">
        <f>"20190303154637219"</f>
        <v>20190303154637219</v>
      </c>
      <c r="B5921" t="str">
        <f>"1551599197208178"</f>
        <v>1551599197208178</v>
      </c>
      <c r="C5921" t="s">
        <v>40</v>
      </c>
      <c r="D5921">
        <v>5.7353319999999997</v>
      </c>
      <c r="E5921">
        <v>0.49878270000000002</v>
      </c>
      <c r="F5921" t="s">
        <v>42</v>
      </c>
      <c r="G5921">
        <v>-300.71210000000002</v>
      </c>
      <c r="H5921">
        <v>0.95966359999999995</v>
      </c>
      <c r="I5921">
        <v>5.6184890000000003</v>
      </c>
      <c r="J5921">
        <v>-300.5806</v>
      </c>
      <c r="K5921">
        <v>1.0683910000000001</v>
      </c>
      <c r="L5921">
        <v>6.2282099999999998</v>
      </c>
      <c r="M5921">
        <v>-2.2594220000000002E-2</v>
      </c>
      <c r="N5921">
        <v>-1.482906E-2</v>
      </c>
      <c r="O5921">
        <v>-0.99963489999999999</v>
      </c>
      <c r="P5921">
        <v>-0.2029889</v>
      </c>
      <c r="Q5921">
        <v>-7.97683E-2</v>
      </c>
      <c r="R5921">
        <v>-0.97592659999999998</v>
      </c>
      <c r="S5921">
        <v>-0.56243900000000002</v>
      </c>
      <c r="T5921">
        <v>-0.40012510000000001</v>
      </c>
      <c r="U5921">
        <v>-2.9239809999999999</v>
      </c>
      <c r="V5921">
        <v>0.1803843</v>
      </c>
      <c r="W5921">
        <v>-6.6593529999999998E-2</v>
      </c>
      <c r="X5921">
        <v>0.98133930000000003</v>
      </c>
      <c r="Y5921">
        <v>0.16513620000000001</v>
      </c>
      <c r="Z5921">
        <v>0.11872050000000001</v>
      </c>
      <c r="AA5921">
        <v>0.97909930000000001</v>
      </c>
      <c r="AB5921">
        <v>12</v>
      </c>
      <c r="AC5921">
        <v>-0.13150000000001599</v>
      </c>
      <c r="AD5921">
        <v>-0.1087274</v>
      </c>
      <c r="AE5921">
        <v>-0.60972099999999896</v>
      </c>
      <c r="AF5921">
        <v>0.114218132748601</v>
      </c>
      <c r="AG5921">
        <v>-0.1087274</v>
      </c>
      <c r="AH5921">
        <v>0.594473246961576</v>
      </c>
      <c r="AI5921">
        <v>100.182432615555</v>
      </c>
      <c r="AJ5921">
        <v>79.124106432882797</v>
      </c>
      <c r="AK5921">
        <v>0.61503322732383803</v>
      </c>
      <c r="AL5921">
        <v>93.818353944101204</v>
      </c>
      <c r="AM5921">
        <v>79.584477368914094</v>
      </c>
      <c r="AN5921">
        <v>1.00000000782442</v>
      </c>
    </row>
    <row r="5922" spans="1:40" x14ac:dyDescent="0.25">
      <c r="A5922" t="str">
        <f>"20190303154637255"</f>
        <v>20190303154637255</v>
      </c>
      <c r="B5922" t="str">
        <f>"1551599197247218"</f>
        <v>1551599197247218</v>
      </c>
      <c r="C5922" t="s">
        <v>40</v>
      </c>
      <c r="D5922">
        <v>5.7416660000000004</v>
      </c>
      <c r="E5922">
        <v>0.4993533</v>
      </c>
      <c r="F5922" t="s">
        <v>42</v>
      </c>
      <c r="G5922">
        <v>-300.72989999999999</v>
      </c>
      <c r="H5922">
        <v>0.970472</v>
      </c>
      <c r="I5922">
        <v>5.5029089999999998</v>
      </c>
      <c r="J5922">
        <v>-300.60500000000002</v>
      </c>
      <c r="K5922">
        <v>1.0686420000000001</v>
      </c>
      <c r="L5922">
        <v>6.0328670000000004</v>
      </c>
      <c r="M5922">
        <v>-3.860616E-2</v>
      </c>
      <c r="N5922">
        <v>-1.4663880000000001E-2</v>
      </c>
      <c r="O5922">
        <v>-0.99914709999999995</v>
      </c>
      <c r="P5922">
        <v>-0.20057839999999999</v>
      </c>
      <c r="Q5922">
        <v>-7.5377319999999998E-2</v>
      </c>
      <c r="R5922">
        <v>-0.97677360000000002</v>
      </c>
      <c r="S5922">
        <v>-0.600769</v>
      </c>
      <c r="T5922">
        <v>-0.39400669999999999</v>
      </c>
      <c r="U5922">
        <v>-2.9168400000000001</v>
      </c>
      <c r="V5922">
        <v>0.162290299999999</v>
      </c>
      <c r="W5922">
        <v>-6.206598E-2</v>
      </c>
      <c r="X5922">
        <v>0.98478909999999997</v>
      </c>
      <c r="Y5922">
        <v>0.1622065</v>
      </c>
      <c r="Z5922">
        <v>0.11698450000000001</v>
      </c>
      <c r="AA5922">
        <v>0.97979780000000005</v>
      </c>
      <c r="AB5922">
        <v>12</v>
      </c>
      <c r="AC5922">
        <v>-0.12489999999996799</v>
      </c>
      <c r="AD5922">
        <v>-9.8170000000000202E-2</v>
      </c>
      <c r="AE5922">
        <v>-0.52995799999999904</v>
      </c>
      <c r="AF5922">
        <v>0.101059719597085</v>
      </c>
      <c r="AG5922">
        <v>-9.8170000000000202E-2</v>
      </c>
      <c r="AH5922">
        <v>0.51756011316283501</v>
      </c>
      <c r="AI5922">
        <v>100.545619021647</v>
      </c>
      <c r="AJ5922">
        <v>78.9513411236926</v>
      </c>
      <c r="AK5922">
        <v>0.53639433867460595</v>
      </c>
      <c r="AL5922">
        <v>93.558405990839205</v>
      </c>
      <c r="AM5922">
        <v>80.641937447768001</v>
      </c>
      <c r="AN5922">
        <v>0.99999994941312798</v>
      </c>
    </row>
    <row r="5923" spans="1:40" x14ac:dyDescent="0.25">
      <c r="A5923" t="str">
        <f>"20190303154637299"</f>
        <v>20190303154637299</v>
      </c>
      <c r="B5923" t="str">
        <f>"1551599197287741"</f>
        <v>1551599197287741</v>
      </c>
      <c r="C5923" t="s">
        <v>40</v>
      </c>
      <c r="D5923">
        <v>5.7497800000000003</v>
      </c>
      <c r="E5923">
        <v>0.50025189999999997</v>
      </c>
      <c r="F5923" t="s">
        <v>42</v>
      </c>
      <c r="G5923">
        <v>-300.7586</v>
      </c>
      <c r="H5923">
        <v>0.96890799999999999</v>
      </c>
      <c r="I5923">
        <v>5.2839510000000001</v>
      </c>
      <c r="J5923">
        <v>-300.6386</v>
      </c>
      <c r="K5923">
        <v>1.068991</v>
      </c>
      <c r="L5923">
        <v>5.7869869999999999</v>
      </c>
      <c r="M5923">
        <v>-5.7506649999999999E-2</v>
      </c>
      <c r="N5923">
        <v>-1.445097E-2</v>
      </c>
      <c r="O5923">
        <v>-0.99824060000000003</v>
      </c>
      <c r="P5923">
        <v>-0.20090849999999999</v>
      </c>
      <c r="Q5923">
        <v>-7.4666389999999999E-2</v>
      </c>
      <c r="R5923">
        <v>-0.97676059999999998</v>
      </c>
      <c r="S5923">
        <v>-0.59826659999999998</v>
      </c>
      <c r="T5923">
        <v>-0.38880969999999998</v>
      </c>
      <c r="U5923">
        <v>-2.918488</v>
      </c>
      <c r="V5923">
        <v>0.14403850000000001</v>
      </c>
      <c r="W5923">
        <v>-6.1256709999999999E-2</v>
      </c>
      <c r="X5923">
        <v>0.98767430000000001</v>
      </c>
      <c r="Y5923">
        <v>0.14265059999999999</v>
      </c>
      <c r="Z5923">
        <v>0.11547540000000001</v>
      </c>
      <c r="AA5923">
        <v>0.9830139</v>
      </c>
      <c r="AB5923">
        <v>12</v>
      </c>
      <c r="AC5923">
        <v>-0.12000000000000401</v>
      </c>
      <c r="AD5923">
        <v>-0.10008300000000001</v>
      </c>
      <c r="AE5923">
        <v>-0.50303599999999904</v>
      </c>
      <c r="AF5923">
        <v>8.7589939338804199E-2</v>
      </c>
      <c r="AG5923">
        <v>-0.10008300000000001</v>
      </c>
      <c r="AH5923">
        <v>0.49072576422152903</v>
      </c>
      <c r="AI5923">
        <v>101.352664840956</v>
      </c>
      <c r="AJ5923">
        <v>79.879816062942496</v>
      </c>
      <c r="AK5923">
        <v>0.50842932648813599</v>
      </c>
      <c r="AL5923">
        <v>93.511949659225607</v>
      </c>
      <c r="AM5923">
        <v>81.702703674537801</v>
      </c>
      <c r="AN5923">
        <v>0.99999999844138199</v>
      </c>
    </row>
    <row r="5924" spans="1:40" x14ac:dyDescent="0.25">
      <c r="A5924" t="str">
        <f>"20190303154637344"</f>
        <v>20190303154637344</v>
      </c>
      <c r="B5924" t="str">
        <f>"1551599197337518"</f>
        <v>1551599197337518</v>
      </c>
      <c r="C5924" t="s">
        <v>40</v>
      </c>
      <c r="D5924">
        <v>5.7281829999999996</v>
      </c>
      <c r="E5924">
        <v>0.50116959999999999</v>
      </c>
      <c r="F5924" t="s">
        <v>42</v>
      </c>
      <c r="G5924">
        <v>-300.78899999999999</v>
      </c>
      <c r="H5924">
        <v>0.97291669999999997</v>
      </c>
      <c r="I5924">
        <v>5.063428</v>
      </c>
      <c r="J5924">
        <v>-300.67500000000001</v>
      </c>
      <c r="K5924">
        <v>1.0693239999999999</v>
      </c>
      <c r="L5924">
        <v>5.5408629999999999</v>
      </c>
      <c r="M5924">
        <v>-7.4978630000000004E-2</v>
      </c>
      <c r="N5924">
        <v>-1.4251130000000001E-2</v>
      </c>
      <c r="O5924">
        <v>-0.99708330000000001</v>
      </c>
      <c r="P5924">
        <v>-0.20071079999999999</v>
      </c>
      <c r="Q5924">
        <v>-7.7575409999999997E-2</v>
      </c>
      <c r="R5924">
        <v>-0.97657419999999995</v>
      </c>
      <c r="S5924">
        <v>-0.60623169999999904</v>
      </c>
      <c r="T5924">
        <v>-0.38713130000000001</v>
      </c>
      <c r="U5924">
        <v>-2.917084</v>
      </c>
      <c r="V5924">
        <v>0.1265927</v>
      </c>
      <c r="W5924">
        <v>-6.4117499999999994E-2</v>
      </c>
      <c r="X5924">
        <v>0.98988039999999999</v>
      </c>
      <c r="Y5924">
        <v>0.1279989</v>
      </c>
      <c r="Z5924">
        <v>0.11507870000000001</v>
      </c>
      <c r="AA5924">
        <v>0.98507520000000004</v>
      </c>
      <c r="AB5924">
        <v>12</v>
      </c>
      <c r="AC5924">
        <v>-0.113999999999975</v>
      </c>
      <c r="AD5924">
        <v>-9.6407299999999904E-2</v>
      </c>
      <c r="AE5924">
        <v>-0.477434999999999</v>
      </c>
      <c r="AF5924">
        <v>7.4985390239774602E-2</v>
      </c>
      <c r="AG5924">
        <v>-9.6407299999999904E-2</v>
      </c>
      <c r="AH5924">
        <v>0.46663847332540398</v>
      </c>
      <c r="AI5924">
        <v>101.529178966495</v>
      </c>
      <c r="AJ5924">
        <v>80.871029865511701</v>
      </c>
      <c r="AK5924">
        <v>0.48235737895274799</v>
      </c>
      <c r="AL5924">
        <v>93.676183966621906</v>
      </c>
      <c r="AM5924">
        <v>82.712181510192096</v>
      </c>
      <c r="AN5924">
        <v>0.99999998590184902</v>
      </c>
    </row>
    <row r="5925" spans="1:40" x14ac:dyDescent="0.25">
      <c r="A5925" t="str">
        <f>"20190303154637371"</f>
        <v>20190303154637371</v>
      </c>
      <c r="B5925" t="str">
        <f>"1551599197367774"</f>
        <v>1551599197367774</v>
      </c>
      <c r="C5925" t="s">
        <v>40</v>
      </c>
      <c r="D5925">
        <v>5.8861189999999999</v>
      </c>
      <c r="E5925">
        <v>0.50158199999999997</v>
      </c>
      <c r="F5925" t="s">
        <v>42</v>
      </c>
      <c r="G5925">
        <v>-300.8426</v>
      </c>
      <c r="H5925">
        <v>0.96158679999999996</v>
      </c>
      <c r="I5925">
        <v>4.7437569999999996</v>
      </c>
      <c r="J5925">
        <v>-300.69830000000002</v>
      </c>
      <c r="K5925">
        <v>1.0694760000000001</v>
      </c>
      <c r="L5925">
        <v>5.3921199999999896</v>
      </c>
      <c r="M5925">
        <v>-8.4849690000000005E-2</v>
      </c>
      <c r="N5925">
        <v>-1.4144759999999999E-2</v>
      </c>
      <c r="O5925">
        <v>-0.99629350000000005</v>
      </c>
      <c r="P5925">
        <v>-0.2036857</v>
      </c>
      <c r="Q5925">
        <v>-8.0942470000000002E-2</v>
      </c>
      <c r="R5925">
        <v>-0.97568469999999996</v>
      </c>
      <c r="S5925">
        <v>-0.61242680000000005</v>
      </c>
      <c r="T5925">
        <v>-0.39327200000000001</v>
      </c>
      <c r="U5925">
        <v>-2.9148559999999999</v>
      </c>
      <c r="V5925">
        <v>0.1198409</v>
      </c>
      <c r="W5925">
        <v>-6.7501790000000006E-2</v>
      </c>
      <c r="X5925">
        <v>0.99049569999999998</v>
      </c>
      <c r="Y5925">
        <v>0.1202857</v>
      </c>
      <c r="Z5925">
        <v>0.1171924</v>
      </c>
      <c r="AA5925">
        <v>0.98579779999999995</v>
      </c>
      <c r="AB5925">
        <v>12</v>
      </c>
      <c r="AC5925">
        <v>-0.14429999999998699</v>
      </c>
      <c r="AD5925">
        <v>-0.1078892</v>
      </c>
      <c r="AE5925">
        <v>-0.64836299999999902</v>
      </c>
      <c r="AF5925">
        <v>8.6479047525853794E-2</v>
      </c>
      <c r="AG5925">
        <v>-0.1078892</v>
      </c>
      <c r="AH5925">
        <v>0.64134874381922102</v>
      </c>
      <c r="AI5925">
        <v>99.464939912620295</v>
      </c>
      <c r="AJ5925">
        <v>82.320592257677205</v>
      </c>
      <c r="AK5925">
        <v>0.65608453444362802</v>
      </c>
      <c r="AL5925">
        <v>93.870510679835405</v>
      </c>
      <c r="AM5925">
        <v>83.101268496176203</v>
      </c>
      <c r="AN5925">
        <v>1.00000003234225</v>
      </c>
    </row>
    <row r="5926" spans="1:40" x14ac:dyDescent="0.25">
      <c r="A5926" t="str">
        <f>"20190303154637394"</f>
        <v>20190303154637394</v>
      </c>
      <c r="B5926" t="str">
        <f>"1551599197387800"</f>
        <v>1551599197387800</v>
      </c>
      <c r="C5926" t="s">
        <v>40</v>
      </c>
      <c r="D5926">
        <v>5.7505090000000001</v>
      </c>
      <c r="E5926">
        <v>0.50884499999999999</v>
      </c>
      <c r="F5926" t="s">
        <v>42</v>
      </c>
      <c r="G5926">
        <v>-300.86070000000001</v>
      </c>
      <c r="H5926">
        <v>0.96449419999999997</v>
      </c>
      <c r="I5926">
        <v>4.6346999999999996</v>
      </c>
      <c r="J5926">
        <v>-300.71870000000001</v>
      </c>
      <c r="K5926">
        <v>1.0695730000000001</v>
      </c>
      <c r="L5926">
        <v>5.2665709999999999</v>
      </c>
      <c r="M5926">
        <v>-9.2861750000000007E-2</v>
      </c>
      <c r="N5926">
        <v>-1.406544E-2</v>
      </c>
      <c r="O5926">
        <v>-0.99557969999999896</v>
      </c>
      <c r="P5926">
        <v>-0.2048867</v>
      </c>
      <c r="Q5926">
        <v>-8.1935170000000002E-2</v>
      </c>
      <c r="R5926">
        <v>-0.9753503</v>
      </c>
      <c r="S5926">
        <v>-0.62423709999999999</v>
      </c>
      <c r="T5926">
        <v>-0.4029546</v>
      </c>
      <c r="U5926">
        <v>-2.9110109999999998</v>
      </c>
      <c r="V5926">
        <v>0.1131144</v>
      </c>
      <c r="W5926">
        <v>-6.8506310000000001E-2</v>
      </c>
      <c r="X5926">
        <v>0.99121740000000003</v>
      </c>
      <c r="Y5926">
        <v>0.1163076</v>
      </c>
      <c r="Z5926">
        <v>0.1204641</v>
      </c>
      <c r="AA5926">
        <v>0.9858808</v>
      </c>
      <c r="AB5926">
        <v>12</v>
      </c>
      <c r="AC5926">
        <v>-0.14199999999999499</v>
      </c>
      <c r="AD5926">
        <v>-0.1050788</v>
      </c>
      <c r="AE5926">
        <v>-0.63187099999999996</v>
      </c>
      <c r="AF5926">
        <v>8.0582477932128693E-2</v>
      </c>
      <c r="AG5926">
        <v>-0.1050788</v>
      </c>
      <c r="AH5926">
        <v>0.62585198429468303</v>
      </c>
      <c r="AI5926">
        <v>99.454288282771003</v>
      </c>
      <c r="AJ5926">
        <v>82.663165188732407</v>
      </c>
      <c r="AK5926">
        <v>0.63970758648363202</v>
      </c>
      <c r="AL5926">
        <v>93.928199275058702</v>
      </c>
      <c r="AM5926">
        <v>83.489760731892005</v>
      </c>
      <c r="AN5926">
        <v>0.999999958029967</v>
      </c>
    </row>
    <row r="5927" spans="1:40" x14ac:dyDescent="0.25">
      <c r="A5927" t="str">
        <f>"20190303154637435"</f>
        <v>20190303154637435</v>
      </c>
      <c r="B5927" t="str">
        <f>"1551599197427815"</f>
        <v>1551599197427815</v>
      </c>
      <c r="C5927" t="s">
        <v>40</v>
      </c>
      <c r="D5927">
        <v>5.733428</v>
      </c>
      <c r="E5927">
        <v>0.50586109999999995</v>
      </c>
      <c r="F5927" t="s">
        <v>42</v>
      </c>
      <c r="G5927">
        <v>-300.89359999999999</v>
      </c>
      <c r="H5927">
        <v>0.96755749999999996</v>
      </c>
      <c r="I5927">
        <v>4.5269380000000004</v>
      </c>
      <c r="J5927">
        <v>-300.7552</v>
      </c>
      <c r="K5927">
        <v>1.069828</v>
      </c>
      <c r="L5927">
        <v>5.0502320000000003</v>
      </c>
      <c r="M5927">
        <v>-0.1056411</v>
      </c>
      <c r="N5927">
        <v>-1.393404E-2</v>
      </c>
      <c r="O5927">
        <v>-0.99430669999999999</v>
      </c>
      <c r="P5927">
        <v>-0.1962516</v>
      </c>
      <c r="Q5927">
        <v>-7.6267080000000001E-2</v>
      </c>
      <c r="R5927">
        <v>-0.97758319999999999</v>
      </c>
      <c r="S5927">
        <v>-0.68481449999999999</v>
      </c>
      <c r="T5927">
        <v>-0.39846340000000002</v>
      </c>
      <c r="U5927">
        <v>-2.8984990000000002</v>
      </c>
      <c r="V5927">
        <v>9.1627630000000002E-2</v>
      </c>
      <c r="W5927">
        <v>-6.2780799999999998E-2</v>
      </c>
      <c r="X5927">
        <v>0.99381229999999998</v>
      </c>
      <c r="Y5927">
        <v>0.12405770000000001</v>
      </c>
      <c r="Z5927">
        <v>0.119092</v>
      </c>
      <c r="AA5927">
        <v>0.98510240000000004</v>
      </c>
      <c r="AB5927">
        <v>12</v>
      </c>
      <c r="AC5927">
        <v>-0.13839999999999</v>
      </c>
      <c r="AD5927">
        <v>-0.102270499999999</v>
      </c>
      <c r="AE5927">
        <v>-0.52329400000000004</v>
      </c>
      <c r="AF5927">
        <v>7.9500656932806293E-2</v>
      </c>
      <c r="AG5927">
        <v>-0.102270499999999</v>
      </c>
      <c r="AH5927">
        <v>0.51654757857641997</v>
      </c>
      <c r="AI5927">
        <v>101.071984048017</v>
      </c>
      <c r="AJ5927">
        <v>81.250392190923705</v>
      </c>
      <c r="AK5927">
        <v>0.53254202703275999</v>
      </c>
      <c r="AL5927">
        <v>93.599442120919093</v>
      </c>
      <c r="AM5927">
        <v>84.732328848282705</v>
      </c>
      <c r="AN5927">
        <v>0.99999996952967296</v>
      </c>
    </row>
    <row r="5928" spans="1:40" x14ac:dyDescent="0.25">
      <c r="A5928" t="str">
        <f>"20190303154637490"</f>
        <v>20190303154637490</v>
      </c>
      <c r="B5928" t="str">
        <f>"1551599197477591"</f>
        <v>1551599197477591</v>
      </c>
      <c r="C5928" t="s">
        <v>40</v>
      </c>
      <c r="D5928">
        <v>5.79101</v>
      </c>
      <c r="E5928">
        <v>0.50682669999999996</v>
      </c>
      <c r="F5928" t="s">
        <v>42</v>
      </c>
      <c r="G5928">
        <v>-300.9178</v>
      </c>
      <c r="H5928">
        <v>0.97642309999999999</v>
      </c>
      <c r="I5928">
        <v>4.3075619999999999</v>
      </c>
      <c r="J5928">
        <v>-300.80590000000001</v>
      </c>
      <c r="K5928">
        <v>1.070255</v>
      </c>
      <c r="L5928">
        <v>4.7584839999999904</v>
      </c>
      <c r="M5928">
        <v>-0.1205986</v>
      </c>
      <c r="N5928">
        <v>-1.3756819999999999E-2</v>
      </c>
      <c r="O5928">
        <v>-0.99260599999999999</v>
      </c>
      <c r="P5928">
        <v>-0.19119050000000001</v>
      </c>
      <c r="Q5928">
        <v>-9.6162730000000002E-2</v>
      </c>
      <c r="R5928">
        <v>-0.97683120000000001</v>
      </c>
      <c r="S5928">
        <v>-0.63717650000000003</v>
      </c>
      <c r="T5928">
        <v>-0.36525010000000002</v>
      </c>
      <c r="U5928">
        <v>-2.9123839999999999</v>
      </c>
      <c r="V5928">
        <v>7.1770410000000007E-2</v>
      </c>
      <c r="W5928">
        <v>-8.2678130000000002E-2</v>
      </c>
      <c r="X5928">
        <v>0.9939886</v>
      </c>
      <c r="Y5928">
        <v>9.300021E-2</v>
      </c>
      <c r="Z5928">
        <v>0.1079201</v>
      </c>
      <c r="AA5928">
        <v>0.98980009999999996</v>
      </c>
      <c r="AB5928">
        <v>12</v>
      </c>
      <c r="AC5928">
        <v>-0.11189999999999101</v>
      </c>
      <c r="AD5928">
        <v>-9.3831899999999899E-2</v>
      </c>
      <c r="AE5928">
        <v>-0.45092199999999899</v>
      </c>
      <c r="AF5928">
        <v>5.4475411795335903E-2</v>
      </c>
      <c r="AG5928">
        <v>-9.3831899999999899E-2</v>
      </c>
      <c r="AH5928">
        <v>0.44305470037956002</v>
      </c>
      <c r="AI5928">
        <v>101.87081346823599</v>
      </c>
      <c r="AJ5928">
        <v>82.990428063437903</v>
      </c>
      <c r="AK5928">
        <v>0.45614631805628197</v>
      </c>
      <c r="AL5928">
        <v>94.742521458494096</v>
      </c>
      <c r="AM5928">
        <v>85.870156193812605</v>
      </c>
      <c r="AN5928">
        <v>1.00000000093091</v>
      </c>
    </row>
    <row r="5929" spans="1:40" x14ac:dyDescent="0.25">
      <c r="A5929" t="str">
        <f>"20190303154637523"</f>
        <v>20190303154637523</v>
      </c>
      <c r="B5929" t="str">
        <f>"1551599197517608"</f>
        <v>1551599197517608</v>
      </c>
      <c r="C5929" t="s">
        <v>40</v>
      </c>
      <c r="D5929">
        <v>5.7020629999999999</v>
      </c>
      <c r="E5929">
        <v>0.50751619999999997</v>
      </c>
      <c r="F5929" t="s">
        <v>42</v>
      </c>
      <c r="G5929">
        <v>-300.97070000000002</v>
      </c>
      <c r="H5929">
        <v>0.95566479999999998</v>
      </c>
      <c r="I5929">
        <v>3.998532</v>
      </c>
      <c r="J5929">
        <v>-300.83760000000001</v>
      </c>
      <c r="K5929">
        <v>1.0705229999999999</v>
      </c>
      <c r="L5929">
        <v>4.57843</v>
      </c>
      <c r="M5929">
        <v>-0.1285492</v>
      </c>
      <c r="N5929">
        <v>-1.3661670000000001E-2</v>
      </c>
      <c r="O5929">
        <v>-0.99160899999999996</v>
      </c>
      <c r="P5929">
        <v>-0.19036410000000001</v>
      </c>
      <c r="Q5929">
        <v>-0.1048941</v>
      </c>
      <c r="R5929">
        <v>-0.97609349999999995</v>
      </c>
      <c r="S5929">
        <v>-0.62942500000000001</v>
      </c>
      <c r="T5929">
        <v>-0.43744040000000001</v>
      </c>
      <c r="U5929">
        <v>-2.9049070000000001</v>
      </c>
      <c r="V5929">
        <v>6.3132610000000006E-2</v>
      </c>
      <c r="W5929">
        <v>-9.1439060000000003E-2</v>
      </c>
      <c r="X5929">
        <v>0.99380740000000001</v>
      </c>
      <c r="Y5929">
        <v>8.2406530000000006E-2</v>
      </c>
      <c r="Z5929">
        <v>0.1318375</v>
      </c>
      <c r="AA5929">
        <v>0.9878401</v>
      </c>
      <c r="AB5929">
        <v>12</v>
      </c>
      <c r="AC5929">
        <v>-0.13310000000001301</v>
      </c>
      <c r="AD5929">
        <v>-0.11485819999999899</v>
      </c>
      <c r="AE5929">
        <v>-0.57989799999999903</v>
      </c>
      <c r="AF5929">
        <v>5.5379278511426301E-2</v>
      </c>
      <c r="AG5929">
        <v>-0.11485819999999899</v>
      </c>
      <c r="AH5929">
        <v>0.57092077074792003</v>
      </c>
      <c r="AI5929">
        <v>101.323198218318</v>
      </c>
      <c r="AJ5929">
        <v>84.459646014560704</v>
      </c>
      <c r="AK5929">
        <v>0.58498700589593</v>
      </c>
      <c r="AL5929">
        <v>95.246400625051393</v>
      </c>
      <c r="AM5929">
        <v>86.365112589343596</v>
      </c>
      <c r="AN5929">
        <v>0.99999998821692704</v>
      </c>
    </row>
    <row r="5930" spans="1:40" x14ac:dyDescent="0.25">
      <c r="A5930" t="str">
        <f>"20190303154637556"</f>
        <v>20190303154637556</v>
      </c>
      <c r="B5930" t="str">
        <f>"1551599197547864"</f>
        <v>1551599197547864</v>
      </c>
      <c r="C5930" t="s">
        <v>40</v>
      </c>
      <c r="D5930">
        <v>5.68147</v>
      </c>
      <c r="E5930">
        <v>0.50853879999999996</v>
      </c>
      <c r="F5930" t="s">
        <v>42</v>
      </c>
      <c r="G5930">
        <v>-301.00880000000001</v>
      </c>
      <c r="H5930">
        <v>0.94434510000000005</v>
      </c>
      <c r="I5930">
        <v>3.793056</v>
      </c>
      <c r="J5930">
        <v>-300.86799999999999</v>
      </c>
      <c r="K5930">
        <v>1.070832</v>
      </c>
      <c r="L5930">
        <v>4.4059140000000001</v>
      </c>
      <c r="M5930">
        <v>-0.135017</v>
      </c>
      <c r="N5930">
        <v>-1.3581269999999999E-2</v>
      </c>
      <c r="O5930">
        <v>-0.99075040000000003</v>
      </c>
      <c r="P5930">
        <v>-0.18876570000000001</v>
      </c>
      <c r="Q5930">
        <v>-9.8736400000000002E-2</v>
      </c>
      <c r="R5930">
        <v>-0.97704599999999997</v>
      </c>
      <c r="S5930">
        <v>-0.63156129999999999</v>
      </c>
      <c r="T5930">
        <v>-0.46554109999999999</v>
      </c>
      <c r="U5930">
        <v>-2.9002690000000002</v>
      </c>
      <c r="V5930">
        <v>5.5005320000000003E-2</v>
      </c>
      <c r="W5930">
        <v>-8.5298780000000005E-2</v>
      </c>
      <c r="X5930">
        <v>0.9948359</v>
      </c>
      <c r="Y5930">
        <v>7.6650570000000001E-2</v>
      </c>
      <c r="Z5930">
        <v>0.14111209999999999</v>
      </c>
      <c r="AA5930">
        <v>0.98702179999999995</v>
      </c>
      <c r="AB5930">
        <v>12</v>
      </c>
      <c r="AC5930">
        <v>-0.140800000000012</v>
      </c>
      <c r="AD5930">
        <v>-0.12648690000000001</v>
      </c>
      <c r="AE5930">
        <v>-0.61285800000000001</v>
      </c>
      <c r="AF5930">
        <v>5.45495216024268E-2</v>
      </c>
      <c r="AG5930">
        <v>-0.12648690000000001</v>
      </c>
      <c r="AH5930">
        <v>0.60190390950383998</v>
      </c>
      <c r="AI5930">
        <v>101.82064394137301</v>
      </c>
      <c r="AJ5930">
        <v>84.821528371638706</v>
      </c>
      <c r="AK5930">
        <v>0.61746489977542096</v>
      </c>
      <c r="AL5930">
        <v>94.893206260905302</v>
      </c>
      <c r="AM5930">
        <v>86.835290091192604</v>
      </c>
      <c r="AN5930">
        <v>0.999999967513299</v>
      </c>
    </row>
    <row r="5931" spans="1:40" x14ac:dyDescent="0.25">
      <c r="A5931" t="str">
        <f>"20190303154637589"</f>
        <v>20190303154637589</v>
      </c>
      <c r="B5931" t="str">
        <f>"1551599197577144"</f>
        <v>1551599197577144</v>
      </c>
      <c r="C5931" t="s">
        <v>40</v>
      </c>
      <c r="D5931">
        <v>5.6252849999999999</v>
      </c>
      <c r="E5931">
        <v>0.50924539999999996</v>
      </c>
      <c r="F5931" t="s">
        <v>42</v>
      </c>
      <c r="G5931">
        <v>-301.02670000000001</v>
      </c>
      <c r="H5931">
        <v>0.95973180000000002</v>
      </c>
      <c r="I5931">
        <v>3.6802809999999999</v>
      </c>
      <c r="J5931">
        <v>-300.89859999999999</v>
      </c>
      <c r="K5931">
        <v>1.0711999999999999</v>
      </c>
      <c r="L5931">
        <v>4.2314449999999999</v>
      </c>
      <c r="M5931">
        <v>-0.14037230000000001</v>
      </c>
      <c r="N5931">
        <v>-1.350957E-2</v>
      </c>
      <c r="O5931">
        <v>-0.99000670000000002</v>
      </c>
      <c r="P5931">
        <v>-0.1827656</v>
      </c>
      <c r="Q5931">
        <v>-8.3675410000000006E-2</v>
      </c>
      <c r="R5931">
        <v>-0.9795895</v>
      </c>
      <c r="S5931">
        <v>-0.6337585</v>
      </c>
      <c r="T5931">
        <v>-0.44371959999999999</v>
      </c>
      <c r="U5931">
        <v>-2.9031980000000002</v>
      </c>
      <c r="V5931">
        <v>4.3399649999999998E-2</v>
      </c>
      <c r="W5931">
        <v>-7.0240810000000001E-2</v>
      </c>
      <c r="X5931">
        <v>0.99658550000000001</v>
      </c>
      <c r="Y5931">
        <v>7.1991230000000003E-2</v>
      </c>
      <c r="Z5931">
        <v>0.13381270000000001</v>
      </c>
      <c r="AA5931">
        <v>0.9883883</v>
      </c>
      <c r="AB5931">
        <v>12</v>
      </c>
      <c r="AC5931">
        <v>-0.12810000000001701</v>
      </c>
      <c r="AD5931">
        <v>-0.111468199999999</v>
      </c>
      <c r="AE5931">
        <v>-0.55116399999999999</v>
      </c>
      <c r="AF5931">
        <v>4.7608732574937002E-2</v>
      </c>
      <c r="AG5931">
        <v>-0.111468199999999</v>
      </c>
      <c r="AH5931">
        <v>0.54263207717752104</v>
      </c>
      <c r="AI5931">
        <v>101.565067438745</v>
      </c>
      <c r="AJ5931">
        <v>84.985898404471101</v>
      </c>
      <c r="AK5931">
        <v>0.55600478614003201</v>
      </c>
      <c r="AL5931">
        <v>94.027818741418798</v>
      </c>
      <c r="AM5931">
        <v>87.506439094490403</v>
      </c>
      <c r="AN5931">
        <v>0.99999997990991396</v>
      </c>
    </row>
    <row r="5932" spans="1:40" x14ac:dyDescent="0.25">
      <c r="A5932" t="str">
        <f>"20190303154637623"</f>
        <v>20190303154637623</v>
      </c>
      <c r="B5932" t="str">
        <f>"1551599197617160"</f>
        <v>1551599197617160</v>
      </c>
      <c r="C5932" t="s">
        <v>40</v>
      </c>
      <c r="D5932">
        <v>5.6586879999999997</v>
      </c>
      <c r="E5932">
        <v>0.51027489999999998</v>
      </c>
      <c r="F5932" t="s">
        <v>42</v>
      </c>
      <c r="G5932">
        <v>-301.06189999999998</v>
      </c>
      <c r="H5932">
        <v>0.96673070000000005</v>
      </c>
      <c r="I5932">
        <v>3.4675769999999901</v>
      </c>
      <c r="J5932">
        <v>-300.92950000000002</v>
      </c>
      <c r="K5932">
        <v>1.071558</v>
      </c>
      <c r="L5932">
        <v>4.0523989999999896</v>
      </c>
      <c r="M5932">
        <v>-0.1446779</v>
      </c>
      <c r="N5932">
        <v>-1.344851E-2</v>
      </c>
      <c r="O5932">
        <v>-0.98938760000000003</v>
      </c>
      <c r="P5932">
        <v>-0.17561379999999999</v>
      </c>
      <c r="Q5932">
        <v>-7.7049309999999996E-2</v>
      </c>
      <c r="R5932">
        <v>-0.98143979999999997</v>
      </c>
      <c r="S5932">
        <v>-0.62188719999999997</v>
      </c>
      <c r="T5932">
        <v>-0.39799620000000002</v>
      </c>
      <c r="U5932">
        <v>-2.912506</v>
      </c>
      <c r="V5932">
        <v>3.1778470000000003E-2</v>
      </c>
      <c r="W5932">
        <v>-6.3631560000000004E-2</v>
      </c>
      <c r="X5932">
        <v>0.9974674</v>
      </c>
      <c r="Y5932">
        <v>6.3566639999999994E-2</v>
      </c>
      <c r="Z5932">
        <v>0.1185499</v>
      </c>
      <c r="AA5932">
        <v>0.99091130000000005</v>
      </c>
      <c r="AB5932">
        <v>12</v>
      </c>
      <c r="AC5932">
        <v>-0.13239999999996099</v>
      </c>
      <c r="AD5932">
        <v>-0.1048273</v>
      </c>
      <c r="AE5932">
        <v>-0.58482199999999995</v>
      </c>
      <c r="AF5932">
        <v>4.5012573675129897E-2</v>
      </c>
      <c r="AG5932">
        <v>-0.1048273</v>
      </c>
      <c r="AH5932">
        <v>0.58009557210819995</v>
      </c>
      <c r="AI5932">
        <v>100.21315129905101</v>
      </c>
      <c r="AJ5932">
        <v>85.563019051020206</v>
      </c>
      <c r="AK5932">
        <v>0.59120704274703095</v>
      </c>
      <c r="AL5932">
        <v>93.648284520481994</v>
      </c>
      <c r="AM5932">
        <v>88.175222013478106</v>
      </c>
      <c r="AN5932">
        <v>1.00000003032316</v>
      </c>
    </row>
    <row r="5933" spans="1:40" x14ac:dyDescent="0.25">
      <c r="A5933" t="str">
        <f>"20190303154637657"</f>
        <v>20190303154637657</v>
      </c>
      <c r="B5933" t="str">
        <f>"1551599197647416"</f>
        <v>1551599197647416</v>
      </c>
      <c r="C5933" t="s">
        <v>40</v>
      </c>
      <c r="D5933">
        <v>5.6115159999999999</v>
      </c>
      <c r="E5933">
        <v>0.51064969999999998</v>
      </c>
      <c r="F5933" t="s">
        <v>42</v>
      </c>
      <c r="G5933">
        <v>-301.09559999999999</v>
      </c>
      <c r="H5933">
        <v>0.96952769999999999</v>
      </c>
      <c r="I5933">
        <v>3.2581220000000002</v>
      </c>
      <c r="J5933">
        <v>-300.95859999999999</v>
      </c>
      <c r="K5933">
        <v>1.0717749999999999</v>
      </c>
      <c r="L5933">
        <v>3.8797609999999998</v>
      </c>
      <c r="M5933">
        <v>-0.14779870000000001</v>
      </c>
      <c r="N5933">
        <v>-1.338664E-2</v>
      </c>
      <c r="O5933">
        <v>-0.98892709999999995</v>
      </c>
      <c r="P5933">
        <v>-0.16909449999999901</v>
      </c>
      <c r="Q5933">
        <v>-7.5705090000000003E-2</v>
      </c>
      <c r="R5933">
        <v>-0.98268840000000002</v>
      </c>
      <c r="S5933">
        <v>-0.60900880000000002</v>
      </c>
      <c r="T5933">
        <v>-0.37442300000000001</v>
      </c>
      <c r="U5933">
        <v>-2.9183650000000001</v>
      </c>
      <c r="V5933">
        <v>2.2037899999999999E-2</v>
      </c>
      <c r="W5933">
        <v>-6.233433E-2</v>
      </c>
      <c r="X5933">
        <v>0.99781200000000003</v>
      </c>
      <c r="Y5933">
        <v>5.6021000000000001E-2</v>
      </c>
      <c r="Z5933">
        <v>0.1106808</v>
      </c>
      <c r="AA5933">
        <v>0.99227589999999999</v>
      </c>
      <c r="AB5933">
        <v>12</v>
      </c>
      <c r="AC5933">
        <v>-0.13700000000000001</v>
      </c>
      <c r="AD5933">
        <v>-0.102247299999999</v>
      </c>
      <c r="AE5933">
        <v>-0.62163900000000005</v>
      </c>
      <c r="AF5933">
        <v>4.25126226092764E-2</v>
      </c>
      <c r="AG5933">
        <v>-0.102247299999999</v>
      </c>
      <c r="AH5933">
        <v>0.61908798597436498</v>
      </c>
      <c r="AI5933">
        <v>99.356551028410294</v>
      </c>
      <c r="AJ5933">
        <v>86.071679612782006</v>
      </c>
      <c r="AK5933">
        <v>0.62891316397115204</v>
      </c>
      <c r="AL5933">
        <v>93.573810917270393</v>
      </c>
      <c r="AM5933">
        <v>88.734758243741396</v>
      </c>
      <c r="AN5933">
        <v>1.00000001253847</v>
      </c>
    </row>
    <row r="5934" spans="1:40" x14ac:dyDescent="0.25">
      <c r="A5934" t="str">
        <f>"20190303154637691"</f>
        <v>20190303154637691</v>
      </c>
      <c r="B5934" t="str">
        <f>"1551599197687432"</f>
        <v>1551599197687432</v>
      </c>
      <c r="C5934" t="s">
        <v>40</v>
      </c>
      <c r="D5934">
        <v>5.5926799999999997</v>
      </c>
      <c r="E5934">
        <v>0.489371</v>
      </c>
      <c r="F5934" t="s">
        <v>42</v>
      </c>
      <c r="G5934">
        <v>-301.10719999999998</v>
      </c>
      <c r="H5934">
        <v>0.97988759999999997</v>
      </c>
      <c r="I5934">
        <v>3.1484920000000001</v>
      </c>
      <c r="J5934">
        <v>-300.98750000000001</v>
      </c>
      <c r="K5934">
        <v>1.071787</v>
      </c>
      <c r="L5934">
        <v>3.7052610000000001</v>
      </c>
      <c r="M5934">
        <v>-0.15008659999999999</v>
      </c>
      <c r="N5934">
        <v>-1.317889E-2</v>
      </c>
      <c r="O5934">
        <v>-0.98858539999999995</v>
      </c>
      <c r="P5934">
        <v>-0.1630955</v>
      </c>
      <c r="Q5934">
        <v>-7.6724459999999994E-2</v>
      </c>
      <c r="R5934">
        <v>-0.98362300000000003</v>
      </c>
      <c r="S5934">
        <v>-0.59344479999999999</v>
      </c>
      <c r="T5934">
        <v>-0.36711339999999998</v>
      </c>
      <c r="U5934">
        <v>-2.9224549999999998</v>
      </c>
      <c r="V5934">
        <v>1.36767E-2</v>
      </c>
      <c r="W5934">
        <v>-6.3563910000000001E-2</v>
      </c>
      <c r="X5934">
        <v>0.99788399999999999</v>
      </c>
      <c r="Y5934">
        <v>4.8421609999999997E-2</v>
      </c>
      <c r="Z5934">
        <v>0.1083591</v>
      </c>
      <c r="AA5934">
        <v>0.99293180000000003</v>
      </c>
      <c r="AB5934">
        <v>12</v>
      </c>
      <c r="AC5934">
        <v>-0.119699999999966</v>
      </c>
      <c r="AD5934">
        <v>-9.1899400000000006E-2</v>
      </c>
      <c r="AE5934">
        <v>-0.55676899999999996</v>
      </c>
      <c r="AF5934">
        <v>3.3890579944428602E-2</v>
      </c>
      <c r="AG5934">
        <v>-9.1899400000000006E-2</v>
      </c>
      <c r="AH5934">
        <v>0.55400165384621602</v>
      </c>
      <c r="AI5934">
        <v>99.401363532325803</v>
      </c>
      <c r="AJ5934">
        <v>86.499341884613798</v>
      </c>
      <c r="AK5934">
        <v>0.56259390646688701</v>
      </c>
      <c r="AL5934">
        <v>93.644400891261199</v>
      </c>
      <c r="AM5934">
        <v>89.214770327332502</v>
      </c>
      <c r="AN5934">
        <v>0.99999995011668696</v>
      </c>
    </row>
    <row r="5935" spans="1:40" x14ac:dyDescent="0.25">
      <c r="A5935" t="str">
        <f>"20190303154637723"</f>
        <v>20190303154637723</v>
      </c>
      <c r="B5935" t="str">
        <f>"1551599197717706"</f>
        <v>1551599197717706</v>
      </c>
      <c r="C5935" t="s">
        <v>40</v>
      </c>
      <c r="D5935">
        <v>5.5658949999999896</v>
      </c>
      <c r="E5935">
        <v>0.48883199999999999</v>
      </c>
      <c r="F5935" t="s">
        <v>42</v>
      </c>
      <c r="G5935">
        <v>-301.09370000000001</v>
      </c>
      <c r="H5935">
        <v>0.96560119999999905</v>
      </c>
      <c r="I5935">
        <v>2.9402780000000002</v>
      </c>
      <c r="J5935">
        <v>-301.01549999999997</v>
      </c>
      <c r="K5935">
        <v>1.0716490000000001</v>
      </c>
      <c r="L5935">
        <v>3.5329589999999902</v>
      </c>
      <c r="M5935">
        <v>-0.1516236</v>
      </c>
      <c r="N5935">
        <v>-1.275396E-2</v>
      </c>
      <c r="O5935">
        <v>-0.98835609999999996</v>
      </c>
      <c r="P5935">
        <v>-0.158908299999999</v>
      </c>
      <c r="Q5935">
        <v>-8.2226889999999997E-2</v>
      </c>
      <c r="R5935">
        <v>-0.9838635</v>
      </c>
      <c r="S5935">
        <v>-0.40878300000000001</v>
      </c>
      <c r="T5935">
        <v>-0.409354</v>
      </c>
      <c r="U5935">
        <v>-2.950256</v>
      </c>
      <c r="V5935">
        <v>7.9614230000000005E-3</v>
      </c>
      <c r="W5935">
        <v>-6.9500740000000005E-2</v>
      </c>
      <c r="X5935">
        <v>0.9975501</v>
      </c>
      <c r="Y5935">
        <v>-1.556278E-2</v>
      </c>
      <c r="Z5935">
        <v>0.1219213</v>
      </c>
      <c r="AA5935">
        <v>0.99241780000000002</v>
      </c>
      <c r="AB5935">
        <v>12</v>
      </c>
      <c r="AC5935">
        <v>-7.8200000000038003E-2</v>
      </c>
      <c r="AD5935">
        <v>-0.1060478</v>
      </c>
      <c r="AE5935">
        <v>-0.59268099999999901</v>
      </c>
      <c r="AF5935">
        <v>-1.21923362466013E-2</v>
      </c>
      <c r="AG5935">
        <v>-0.1060478</v>
      </c>
      <c r="AH5935">
        <v>0.57945137731649499</v>
      </c>
      <c r="AI5935">
        <v>100.368918253121</v>
      </c>
      <c r="AJ5935">
        <v>91.205392499340704</v>
      </c>
      <c r="AK5935">
        <v>0.58920173762640404</v>
      </c>
      <c r="AL5935">
        <v>93.985312008943495</v>
      </c>
      <c r="AM5935">
        <v>89.542733490688803</v>
      </c>
      <c r="AN5935">
        <v>0.99999996956337001</v>
      </c>
    </row>
    <row r="5936" spans="1:40" x14ac:dyDescent="0.25">
      <c r="A5936" t="str">
        <f>"20190303154637756"</f>
        <v>20190303154637756</v>
      </c>
      <c r="B5936" t="str">
        <f>"1551599197746967"</f>
        <v>1551599197746967</v>
      </c>
      <c r="C5936" t="s">
        <v>40</v>
      </c>
      <c r="D5936">
        <v>5.5462160000000003</v>
      </c>
      <c r="E5936">
        <v>0.48907349999999999</v>
      </c>
      <c r="F5936" t="s">
        <v>42</v>
      </c>
      <c r="G5936">
        <v>-301.12130000000002</v>
      </c>
      <c r="H5936">
        <v>0.95719829999999995</v>
      </c>
      <c r="I5936">
        <v>2.7347070000000002</v>
      </c>
      <c r="J5936">
        <v>-301.04300000000001</v>
      </c>
      <c r="K5936">
        <v>1.071496</v>
      </c>
      <c r="L5936">
        <v>3.3619690000000002</v>
      </c>
      <c r="M5936">
        <v>-0.15264510000000001</v>
      </c>
      <c r="N5936">
        <v>-1.22568E-2</v>
      </c>
      <c r="O5936">
        <v>-0.98820520000000001</v>
      </c>
      <c r="P5936">
        <v>-0.1551844</v>
      </c>
      <c r="Q5936">
        <v>-9.2576619999999998E-2</v>
      </c>
      <c r="R5936">
        <v>-0.98353829999999998</v>
      </c>
      <c r="S5936">
        <v>-0.39053339999999998</v>
      </c>
      <c r="T5936">
        <v>-0.42300840000000001</v>
      </c>
      <c r="U5936">
        <v>-2.9507750000000001</v>
      </c>
      <c r="V5936">
        <v>3.3124970000000002E-3</v>
      </c>
      <c r="W5936">
        <v>-8.0361879999999997E-2</v>
      </c>
      <c r="X5936">
        <v>0.99676019999999999</v>
      </c>
      <c r="Y5936">
        <v>-2.2720460000000001E-2</v>
      </c>
      <c r="Z5936">
        <v>0.1267983</v>
      </c>
      <c r="AA5936">
        <v>0.99166829999999995</v>
      </c>
      <c r="AB5936">
        <v>12</v>
      </c>
      <c r="AC5936">
        <v>-7.8300000000012901E-2</v>
      </c>
      <c r="AD5936">
        <v>-0.114297699999999</v>
      </c>
      <c r="AE5936">
        <v>-0.62726199999999999</v>
      </c>
      <c r="AF5936">
        <v>-1.77917072534058E-2</v>
      </c>
      <c r="AG5936">
        <v>-0.114297699999999</v>
      </c>
      <c r="AH5936">
        <v>0.611859213332133</v>
      </c>
      <c r="AI5936">
        <v>100.576752882354</v>
      </c>
      <c r="AJ5936">
        <v>91.665583436658196</v>
      </c>
      <c r="AK5936">
        <v>0.622697523691638</v>
      </c>
      <c r="AL5936">
        <v>94.6093671349484</v>
      </c>
      <c r="AM5936">
        <v>89.809591716180805</v>
      </c>
      <c r="AN5936">
        <v>0.99999995034877298</v>
      </c>
    </row>
    <row r="5937" spans="1:40" x14ac:dyDescent="0.25">
      <c r="A5937" t="str">
        <f>"20190303154637790"</f>
        <v>20190303154637790</v>
      </c>
      <c r="B5937" t="str">
        <f>"1551599197786984"</f>
        <v>1551599197786984</v>
      </c>
      <c r="C5937" t="s">
        <v>40</v>
      </c>
      <c r="D5937">
        <v>5.4491310000000004</v>
      </c>
      <c r="E5937">
        <v>0.4897282</v>
      </c>
      <c r="F5937" t="s">
        <v>42</v>
      </c>
      <c r="G5937">
        <v>-301.13780000000003</v>
      </c>
      <c r="H5937">
        <v>0.95786550000000004</v>
      </c>
      <c r="I5937">
        <v>2.6295329999999999</v>
      </c>
      <c r="J5937">
        <v>-301.07150000000001</v>
      </c>
      <c r="K5937">
        <v>1.07138</v>
      </c>
      <c r="L5937">
        <v>3.1821290000000002</v>
      </c>
      <c r="M5937">
        <v>-0.15329479999999901</v>
      </c>
      <c r="N5937">
        <v>-1.1701400000000001E-2</v>
      </c>
      <c r="O5937">
        <v>-0.98811130000000003</v>
      </c>
      <c r="P5937">
        <v>-0.1503912</v>
      </c>
      <c r="Q5937">
        <v>-9.9970799999999999E-2</v>
      </c>
      <c r="R5937">
        <v>-0.98355910000000002</v>
      </c>
      <c r="S5937">
        <v>-0.38006590000000001</v>
      </c>
      <c r="T5937">
        <v>-0.45713019999999999</v>
      </c>
      <c r="U5937">
        <v>-2.947235</v>
      </c>
      <c r="V5937">
        <v>-2.069759E-3</v>
      </c>
      <c r="W5937">
        <v>-8.8323639999999995E-2</v>
      </c>
      <c r="X5937">
        <v>0.99608969999999997</v>
      </c>
      <c r="Y5937">
        <v>-2.6882670000000001E-2</v>
      </c>
      <c r="Z5937">
        <v>0.13848629999999901</v>
      </c>
      <c r="AA5937">
        <v>0.98999939999999997</v>
      </c>
      <c r="AB5937">
        <v>12</v>
      </c>
      <c r="AC5937">
        <v>-6.6300000000012405E-2</v>
      </c>
      <c r="AD5937">
        <v>-0.11351449999999901</v>
      </c>
      <c r="AE5937">
        <v>-0.55259599999999898</v>
      </c>
      <c r="AF5937">
        <v>-1.8432844086964401E-2</v>
      </c>
      <c r="AG5937">
        <v>-0.11351449999999901</v>
      </c>
      <c r="AH5937">
        <v>0.53401354696674697</v>
      </c>
      <c r="AI5937">
        <v>101.993722806107</v>
      </c>
      <c r="AJ5937">
        <v>91.9769255523628</v>
      </c>
      <c r="AK5937">
        <v>0.54625614851952997</v>
      </c>
      <c r="AL5937">
        <v>95.067174549749794</v>
      </c>
      <c r="AM5937">
        <v>90.119053820792502</v>
      </c>
      <c r="AN5937">
        <v>1.00000001986562</v>
      </c>
    </row>
    <row r="5938" spans="1:40" x14ac:dyDescent="0.25">
      <c r="A5938" t="str">
        <f>"20190303154637826"</f>
        <v>20190303154637826</v>
      </c>
      <c r="B5938" t="str">
        <f>"1551599197817240"</f>
        <v>1551599197817240</v>
      </c>
      <c r="C5938" t="s">
        <v>40</v>
      </c>
      <c r="D5938">
        <v>5.5722300000000002</v>
      </c>
      <c r="E5938">
        <v>0.49039440000000001</v>
      </c>
      <c r="F5938" t="s">
        <v>42</v>
      </c>
      <c r="G5938">
        <v>-301.16759999999999</v>
      </c>
      <c r="H5938">
        <v>0.94770909999999997</v>
      </c>
      <c r="I5938">
        <v>2.4229370000000001</v>
      </c>
      <c r="J5938">
        <v>-301.10019999999997</v>
      </c>
      <c r="K5938">
        <v>1.0713280000000001</v>
      </c>
      <c r="L5938">
        <v>2.9981689999999999</v>
      </c>
      <c r="M5938">
        <v>-0.1534295</v>
      </c>
      <c r="N5938">
        <v>-1.0998819999999999E-2</v>
      </c>
      <c r="O5938">
        <v>-0.98809840000000004</v>
      </c>
      <c r="P5938">
        <v>-0.14888760000000001</v>
      </c>
      <c r="Q5938">
        <v>-9.6945840000000005E-2</v>
      </c>
      <c r="R5938">
        <v>-0.98409040000000003</v>
      </c>
      <c r="S5938">
        <v>-0.37179570000000001</v>
      </c>
      <c r="T5938">
        <v>-0.47963060000000002</v>
      </c>
      <c r="U5938">
        <v>-2.94455</v>
      </c>
      <c r="V5938">
        <v>-3.7619020000000001E-3</v>
      </c>
      <c r="W5938">
        <v>-8.5997989999999996E-2</v>
      </c>
      <c r="X5938">
        <v>0.99628819999999996</v>
      </c>
      <c r="Y5938">
        <v>-2.978387E-2</v>
      </c>
      <c r="Z5938">
        <v>0.1465371</v>
      </c>
      <c r="AA5938">
        <v>0.98875670000000004</v>
      </c>
      <c r="AB5938">
        <v>12</v>
      </c>
      <c r="AC5938">
        <v>-6.7400000000020499E-2</v>
      </c>
      <c r="AD5938">
        <v>-0.123618899999999</v>
      </c>
      <c r="AE5938">
        <v>-0.57523199999999897</v>
      </c>
      <c r="AF5938">
        <v>-2.0717207371953299E-2</v>
      </c>
      <c r="AG5938">
        <v>-0.123618899999999</v>
      </c>
      <c r="AH5938">
        <v>0.55354377976051095</v>
      </c>
      <c r="AI5938">
        <v>102.58035288881</v>
      </c>
      <c r="AJ5938">
        <v>92.143380204246</v>
      </c>
      <c r="AK5938">
        <v>0.56755753120723795</v>
      </c>
      <c r="AL5938">
        <v>94.933415677739703</v>
      </c>
      <c r="AM5938">
        <v>90.216343105526704</v>
      </c>
      <c r="AN5938">
        <v>0.99999999182496802</v>
      </c>
    </row>
    <row r="5939" spans="1:40" x14ac:dyDescent="0.25">
      <c r="A5939" t="str">
        <f>"20190303154637858"</f>
        <v>20190303154637858</v>
      </c>
      <c r="B5939" t="str">
        <f>"1551599197847496"</f>
        <v>1551599197847496</v>
      </c>
      <c r="C5939" t="s">
        <v>40</v>
      </c>
      <c r="D5939">
        <v>5.5518260000000001</v>
      </c>
      <c r="E5939">
        <v>0.49118109999999998</v>
      </c>
      <c r="F5939" t="s">
        <v>42</v>
      </c>
      <c r="G5939">
        <v>-301.20030000000003</v>
      </c>
      <c r="H5939">
        <v>0.94671689999999997</v>
      </c>
      <c r="I5939">
        <v>2.2095690000000001</v>
      </c>
      <c r="J5939">
        <v>-301.12709999999998</v>
      </c>
      <c r="K5939">
        <v>1.0713459999999999</v>
      </c>
      <c r="L5939">
        <v>2.8216860000000001</v>
      </c>
      <c r="M5939">
        <v>-0.1530532</v>
      </c>
      <c r="N5939">
        <v>-1.0218919999999999E-2</v>
      </c>
      <c r="O5939">
        <v>-0.98816530000000002</v>
      </c>
      <c r="P5939">
        <v>-0.14547850000000001</v>
      </c>
      <c r="Q5939">
        <v>-8.6905949999999996E-2</v>
      </c>
      <c r="R5939">
        <v>-0.98553749999999996</v>
      </c>
      <c r="S5939">
        <v>-0.37329099999999998</v>
      </c>
      <c r="T5939">
        <v>-0.46556069999999999</v>
      </c>
      <c r="U5939">
        <v>-2.946167</v>
      </c>
      <c r="V5939">
        <v>-6.9681669999999999E-3</v>
      </c>
      <c r="W5939">
        <v>-7.6731939999999998E-2</v>
      </c>
      <c r="X5939">
        <v>0.99702740000000001</v>
      </c>
      <c r="Y5939">
        <v>-2.890773E-2</v>
      </c>
      <c r="Z5939">
        <v>0.14272119999999999</v>
      </c>
      <c r="AA5939">
        <v>0.98934069999999996</v>
      </c>
      <c r="AB5939">
        <v>12</v>
      </c>
      <c r="AC5939">
        <v>-7.3200000000042495E-2</v>
      </c>
      <c r="AD5939">
        <v>-0.12462909999999899</v>
      </c>
      <c r="AE5939">
        <v>-0.61211700000000002</v>
      </c>
      <c r="AF5939">
        <v>-2.0515414188183301E-2</v>
      </c>
      <c r="AG5939">
        <v>-0.12462909999999899</v>
      </c>
      <c r="AH5939">
        <v>0.59191676218783096</v>
      </c>
      <c r="AI5939">
        <v>101.883120301913</v>
      </c>
      <c r="AJ5939">
        <v>91.985036388785204</v>
      </c>
      <c r="AK5939">
        <v>0.60524271837424704</v>
      </c>
      <c r="AL5939">
        <v>94.400742021998298</v>
      </c>
      <c r="AM5939">
        <v>90.400430379136495</v>
      </c>
      <c r="AN5939">
        <v>0.99999999115913096</v>
      </c>
    </row>
    <row r="5940" spans="1:40" x14ac:dyDescent="0.25">
      <c r="A5940" t="str">
        <f>"20190303154637891"</f>
        <v>20190303154637891</v>
      </c>
      <c r="B5940" t="str">
        <f>"1551599197887512"</f>
        <v>1551599197887512</v>
      </c>
      <c r="C5940" t="s">
        <v>40</v>
      </c>
      <c r="D5940">
        <v>5.5567989999999998</v>
      </c>
      <c r="E5940">
        <v>0.49226629999999899</v>
      </c>
      <c r="F5940" t="s">
        <v>42</v>
      </c>
      <c r="G5940">
        <v>-301.21839999999997</v>
      </c>
      <c r="H5940">
        <v>0.96588339999999995</v>
      </c>
      <c r="I5940">
        <v>2.0922689999999999</v>
      </c>
      <c r="J5940">
        <v>-301.15379999999999</v>
      </c>
      <c r="K5940">
        <v>1.0713520000000001</v>
      </c>
      <c r="L5940">
        <v>2.6416930000000001</v>
      </c>
      <c r="M5940">
        <v>-0.15214079999999999</v>
      </c>
      <c r="N5940">
        <v>-9.3877040000000002E-3</v>
      </c>
      <c r="O5940">
        <v>-0.98831429999999998</v>
      </c>
      <c r="P5940">
        <v>-0.1391049</v>
      </c>
      <c r="Q5940">
        <v>-8.2952230000000002E-2</v>
      </c>
      <c r="R5940">
        <v>-0.98679729999999999</v>
      </c>
      <c r="S5940">
        <v>-0.36993409999999999</v>
      </c>
      <c r="T5940">
        <v>-0.4267726</v>
      </c>
      <c r="U5940">
        <v>-2.9517820000000001</v>
      </c>
      <c r="V5940">
        <v>-1.252341E-2</v>
      </c>
      <c r="W5940">
        <v>-7.3616219999999996E-2</v>
      </c>
      <c r="X5940">
        <v>0.99720799999999998</v>
      </c>
      <c r="Y5940">
        <v>-2.9122729999999999E-2</v>
      </c>
      <c r="Z5940">
        <v>0.13084009999999999</v>
      </c>
      <c r="AA5940">
        <v>0.99097570000000001</v>
      </c>
      <c r="AB5940">
        <v>12</v>
      </c>
      <c r="AC5940">
        <v>-6.4599999999984406E-2</v>
      </c>
      <c r="AD5940">
        <v>-0.1054686</v>
      </c>
      <c r="AE5940">
        <v>-0.54942400000000002</v>
      </c>
      <c r="AF5940">
        <v>-1.9053051295252199E-2</v>
      </c>
      <c r="AG5940">
        <v>-0.1054686</v>
      </c>
      <c r="AH5940">
        <v>0.53346633401027999</v>
      </c>
      <c r="AI5940">
        <v>101.17645660393799</v>
      </c>
      <c r="AJ5940">
        <v>92.045481668254197</v>
      </c>
      <c r="AK5940">
        <v>0.54412588053867394</v>
      </c>
      <c r="AL5940">
        <v>94.221717785201704</v>
      </c>
      <c r="AM5940">
        <v>90.719509690480194</v>
      </c>
      <c r="AN5940">
        <v>0.99999998945455804</v>
      </c>
    </row>
    <row r="5941" spans="1:40" x14ac:dyDescent="0.25">
      <c r="A5941" t="str">
        <f>"20190303154637924"</f>
        <v>20190303154637924</v>
      </c>
      <c r="B5941" t="str">
        <f>"1551599197917771"</f>
        <v>1551599197917771</v>
      </c>
      <c r="C5941" t="s">
        <v>40</v>
      </c>
      <c r="D5941">
        <v>5.5869780000000002</v>
      </c>
      <c r="E5941">
        <v>0.49265799999999998</v>
      </c>
      <c r="F5941" t="s">
        <v>42</v>
      </c>
      <c r="G5941">
        <v>-301.24759999999998</v>
      </c>
      <c r="H5941">
        <v>0.96612260000000005</v>
      </c>
      <c r="I5941">
        <v>1.8720049999999999</v>
      </c>
      <c r="J5941">
        <v>-301.18099999999998</v>
      </c>
      <c r="K5941">
        <v>1.0713859999999999</v>
      </c>
      <c r="L5941">
        <v>2.4529109999999998</v>
      </c>
      <c r="M5941">
        <v>-0.15057390000000001</v>
      </c>
      <c r="N5941">
        <v>-8.5022229999999997E-3</v>
      </c>
      <c r="O5941">
        <v>-0.9885623</v>
      </c>
      <c r="P5941">
        <v>-0.1347217</v>
      </c>
      <c r="Q5941">
        <v>-8.3152939999999995E-2</v>
      </c>
      <c r="R5941">
        <v>-0.98738840000000005</v>
      </c>
      <c r="S5941">
        <v>-0.35989379999999999</v>
      </c>
      <c r="T5941">
        <v>-0.40407510000000002</v>
      </c>
      <c r="U5941">
        <v>-2.955444</v>
      </c>
      <c r="V5941">
        <v>-1.5337099999999999E-2</v>
      </c>
      <c r="W5941">
        <v>-7.4710689999999996E-2</v>
      </c>
      <c r="X5941">
        <v>0.99708730000000001</v>
      </c>
      <c r="Y5941">
        <v>-3.090294E-2</v>
      </c>
      <c r="Z5941">
        <v>0.12429850000000001</v>
      </c>
      <c r="AA5941">
        <v>0.99176350000000002</v>
      </c>
      <c r="AB5941">
        <v>12</v>
      </c>
      <c r="AC5941">
        <v>-6.6599999999993997E-2</v>
      </c>
      <c r="AD5941">
        <v>-0.10526339999999899</v>
      </c>
      <c r="AE5941">
        <v>-0.58090599999999903</v>
      </c>
      <c r="AF5941">
        <v>-2.0952745278271699E-2</v>
      </c>
      <c r="AG5941">
        <v>-0.10526339999999899</v>
      </c>
      <c r="AH5941">
        <v>0.56596832541785402</v>
      </c>
      <c r="AI5941">
        <v>100.528900194513</v>
      </c>
      <c r="AJ5941">
        <v>92.120182025560098</v>
      </c>
      <c r="AK5941">
        <v>0.57605515906946403</v>
      </c>
      <c r="AL5941">
        <v>94.284599430566701</v>
      </c>
      <c r="AM5941">
        <v>90.881248617625602</v>
      </c>
      <c r="AN5941">
        <v>0.99999999882898805</v>
      </c>
    </row>
    <row r="5942" spans="1:40" x14ac:dyDescent="0.25">
      <c r="A5942" t="str">
        <f>"20190303154637957"</f>
        <v>20190303154637957</v>
      </c>
      <c r="B5942" t="str">
        <f>"1551599197947048"</f>
        <v>1551599197947048</v>
      </c>
      <c r="C5942" t="s">
        <v>40</v>
      </c>
      <c r="D5942">
        <v>5.5501750000000003</v>
      </c>
      <c r="E5942">
        <v>0.49308160000000001</v>
      </c>
      <c r="F5942" t="s">
        <v>42</v>
      </c>
      <c r="G5942">
        <v>-301.27620000000002</v>
      </c>
      <c r="H5942">
        <v>0.96173189999999997</v>
      </c>
      <c r="I5942">
        <v>1.649359</v>
      </c>
      <c r="J5942">
        <v>-301.20740000000001</v>
      </c>
      <c r="K5942">
        <v>1.071388</v>
      </c>
      <c r="L5942">
        <v>2.2635800000000001</v>
      </c>
      <c r="M5942">
        <v>-0.14843990000000001</v>
      </c>
      <c r="N5942">
        <v>-7.6175729999999999E-3</v>
      </c>
      <c r="O5942">
        <v>-0.9888922</v>
      </c>
      <c r="P5942">
        <v>-0.13143450000000001</v>
      </c>
      <c r="Q5942">
        <v>-8.4167190000000003E-2</v>
      </c>
      <c r="R5942">
        <v>-0.98774550000000005</v>
      </c>
      <c r="S5942">
        <v>-0.34994509999999901</v>
      </c>
      <c r="T5942">
        <v>-0.40350079999999999</v>
      </c>
      <c r="U5942">
        <v>-2.9565730000000001</v>
      </c>
      <c r="V5942">
        <v>-1.6462460000000002E-2</v>
      </c>
      <c r="W5942">
        <v>-7.6615150000000007E-2</v>
      </c>
      <c r="X5942">
        <v>0.99692480000000006</v>
      </c>
      <c r="Y5942">
        <v>-3.2091509999999997E-2</v>
      </c>
      <c r="Z5942">
        <v>0.1250184</v>
      </c>
      <c r="AA5942">
        <v>0.9916353</v>
      </c>
      <c r="AB5942">
        <v>13</v>
      </c>
      <c r="AC5942">
        <v>-6.8800000000010103E-2</v>
      </c>
      <c r="AD5942">
        <v>-0.10965610000000001</v>
      </c>
      <c r="AE5942">
        <v>-0.61422100000000002</v>
      </c>
      <c r="AF5942">
        <v>-2.24336330473363E-2</v>
      </c>
      <c r="AG5942">
        <v>-0.10965610000000001</v>
      </c>
      <c r="AH5942">
        <v>0.59878071158657897</v>
      </c>
      <c r="AI5942">
        <v>100.370596802855</v>
      </c>
      <c r="AJ5942">
        <v>92.145612863355495</v>
      </c>
      <c r="AK5942">
        <v>0.60915192581739597</v>
      </c>
      <c r="AL5942">
        <v>94.394030761076195</v>
      </c>
      <c r="AM5942">
        <v>90.946053059277403</v>
      </c>
      <c r="AN5942">
        <v>0.99999997532690599</v>
      </c>
    </row>
    <row r="5943" spans="1:40" x14ac:dyDescent="0.25">
      <c r="A5943" t="str">
        <f>"20190303154637991"</f>
        <v>20190303154637991</v>
      </c>
      <c r="B5943" t="str">
        <f>"1551599197988040"</f>
        <v>1551599197988040</v>
      </c>
      <c r="C5943" t="s">
        <v>40</v>
      </c>
      <c r="D5943">
        <v>5.5967969999999996</v>
      </c>
      <c r="E5943">
        <v>0.49367499999999997</v>
      </c>
      <c r="F5943" t="s">
        <v>42</v>
      </c>
      <c r="G5943">
        <v>-301.29259999999999</v>
      </c>
      <c r="H5943">
        <v>0.97071269999999998</v>
      </c>
      <c r="I5943">
        <v>1.5310220000000001</v>
      </c>
      <c r="J5943">
        <v>-301.23329999999999</v>
      </c>
      <c r="K5943">
        <v>1.0713440000000001</v>
      </c>
      <c r="L5943">
        <v>2.0700379999999998</v>
      </c>
      <c r="M5943">
        <v>-0.14581949999999999</v>
      </c>
      <c r="N5943">
        <v>-6.6895949999999996E-3</v>
      </c>
      <c r="O5943">
        <v>-0.98928870000000002</v>
      </c>
      <c r="P5943">
        <v>-0.12755430000000001</v>
      </c>
      <c r="Q5943">
        <v>-8.5226750000000004E-2</v>
      </c>
      <c r="R5943">
        <v>-0.98816320000000002</v>
      </c>
      <c r="S5943">
        <v>-0.34368900000000002</v>
      </c>
      <c r="T5943">
        <v>-0.40645690000000001</v>
      </c>
      <c r="U5943">
        <v>-2.9568479999999999</v>
      </c>
      <c r="V5943">
        <v>-1.7701370000000001E-2</v>
      </c>
      <c r="W5943">
        <v>-7.8606919999999997E-2</v>
      </c>
      <c r="X5943">
        <v>0.99674850000000004</v>
      </c>
      <c r="Y5943">
        <v>-3.155372E-2</v>
      </c>
      <c r="Z5943">
        <v>0.12696640000000001</v>
      </c>
      <c r="AA5943">
        <v>0.99140499999999998</v>
      </c>
      <c r="AB5943">
        <v>13</v>
      </c>
      <c r="AC5943">
        <v>-5.9300000000007402E-2</v>
      </c>
      <c r="AD5943">
        <v>-0.10063129999999899</v>
      </c>
      <c r="AE5943">
        <v>-0.53901600000000005</v>
      </c>
      <c r="AF5943">
        <v>-1.92710124441853E-2</v>
      </c>
      <c r="AG5943">
        <v>-0.10063129999999899</v>
      </c>
      <c r="AH5943">
        <v>0.52386087937960202</v>
      </c>
      <c r="AI5943">
        <v>100.866625640138</v>
      </c>
      <c r="AJ5943">
        <v>92.106761672559401</v>
      </c>
      <c r="AK5943">
        <v>0.53378670965534902</v>
      </c>
      <c r="AL5943">
        <v>94.508496039988898</v>
      </c>
      <c r="AM5943">
        <v>91.017415315685497</v>
      </c>
      <c r="AN5943">
        <v>0.99999997931200602</v>
      </c>
    </row>
    <row r="5944" spans="1:40" x14ac:dyDescent="0.25">
      <c r="A5944" t="str">
        <f>"20190303154638027"</f>
        <v>20190303154638027</v>
      </c>
      <c r="B5944" t="str">
        <f>"1551599198017320"</f>
        <v>1551599198017320</v>
      </c>
      <c r="C5944" t="s">
        <v>40</v>
      </c>
      <c r="D5944">
        <v>5.5985529999999999</v>
      </c>
      <c r="E5944">
        <v>0.49405480000000002</v>
      </c>
      <c r="F5944" t="s">
        <v>42</v>
      </c>
      <c r="G5944">
        <v>-301.32139999999998</v>
      </c>
      <c r="H5944">
        <v>0.96489000000000003</v>
      </c>
      <c r="I5944">
        <v>1.3006279999999999</v>
      </c>
      <c r="J5944">
        <v>-301.26010000000002</v>
      </c>
      <c r="K5944">
        <v>1.071197</v>
      </c>
      <c r="L5944">
        <v>1.863251</v>
      </c>
      <c r="M5944">
        <v>-0.1426685</v>
      </c>
      <c r="N5944">
        <v>-5.6255039999999999E-3</v>
      </c>
      <c r="O5944">
        <v>-0.98975489999999999</v>
      </c>
      <c r="P5944">
        <v>-0.1232507</v>
      </c>
      <c r="Q5944">
        <v>-8.9251120000000003E-2</v>
      </c>
      <c r="R5944">
        <v>-0.98835419999999996</v>
      </c>
      <c r="S5944">
        <v>-0.33746340000000002</v>
      </c>
      <c r="T5944">
        <v>-0.40948489999999999</v>
      </c>
      <c r="U5944">
        <v>-2.9570620000000001</v>
      </c>
      <c r="V5944">
        <v>-1.8795719999999998E-2</v>
      </c>
      <c r="W5944">
        <v>-8.3698239999999993E-2</v>
      </c>
      <c r="X5944">
        <v>0.99631389999999997</v>
      </c>
      <c r="Y5944">
        <v>-3.0471789999999999E-2</v>
      </c>
      <c r="Z5944">
        <v>0.12909010000000001</v>
      </c>
      <c r="AA5944">
        <v>0.99116459999999995</v>
      </c>
      <c r="AB5944">
        <v>13</v>
      </c>
      <c r="AC5944">
        <v>-6.1299999999960102E-2</v>
      </c>
      <c r="AD5944">
        <v>-0.106307</v>
      </c>
      <c r="AE5944">
        <v>-0.56262299999999899</v>
      </c>
      <c r="AF5944">
        <v>-1.8929036921079001E-2</v>
      </c>
      <c r="AG5944">
        <v>-0.106307</v>
      </c>
      <c r="AH5944">
        <v>0.546336878675862</v>
      </c>
      <c r="AI5944">
        <v>101.004660463305</v>
      </c>
      <c r="AJ5944">
        <v>91.984343917206203</v>
      </c>
      <c r="AK5944">
        <v>0.55690526275933405</v>
      </c>
      <c r="AL5944">
        <v>94.801172608291907</v>
      </c>
      <c r="AM5944">
        <v>91.080771530772196</v>
      </c>
      <c r="AN5944">
        <v>1.00000003090131</v>
      </c>
    </row>
    <row r="5945" spans="1:40" x14ac:dyDescent="0.25">
      <c r="A5945" t="str">
        <f>"20190303154638059"</f>
        <v>20190303154638059</v>
      </c>
      <c r="B5945" t="str">
        <f>"1551599198047576"</f>
        <v>1551599198047576</v>
      </c>
      <c r="C5945" t="s">
        <v>40</v>
      </c>
      <c r="D5945">
        <v>5.5974890000000004</v>
      </c>
      <c r="E5945">
        <v>0.4941412</v>
      </c>
      <c r="F5945" t="s">
        <v>42</v>
      </c>
      <c r="G5945">
        <v>-301.34890000000001</v>
      </c>
      <c r="H5945">
        <v>0.95719929999999998</v>
      </c>
      <c r="I5945">
        <v>1.063642</v>
      </c>
      <c r="J5945">
        <v>-301.28559999999999</v>
      </c>
      <c r="K5945">
        <v>1.0710309999999901</v>
      </c>
      <c r="L5945">
        <v>1.660034</v>
      </c>
      <c r="M5945">
        <v>-0.13938789999999901</v>
      </c>
      <c r="N5945">
        <v>-4.5531840000000001E-3</v>
      </c>
      <c r="O5945">
        <v>-0.99022730000000003</v>
      </c>
      <c r="P5945">
        <v>-0.1157044</v>
      </c>
      <c r="Q5945">
        <v>-8.9045089999999993E-2</v>
      </c>
      <c r="R5945">
        <v>-0.98928430000000001</v>
      </c>
      <c r="S5945">
        <v>-0.32705689999999998</v>
      </c>
      <c r="T5945">
        <v>-0.42186679999999999</v>
      </c>
      <c r="U5945">
        <v>-2.9564819999999998</v>
      </c>
      <c r="V5945">
        <v>-2.3097090000000001E-2</v>
      </c>
      <c r="W5945">
        <v>-8.4571759999999996E-2</v>
      </c>
      <c r="X5945">
        <v>0.99614970000000003</v>
      </c>
      <c r="Y5945">
        <v>-3.0660360000000001E-2</v>
      </c>
      <c r="Z5945">
        <v>0.1342872</v>
      </c>
      <c r="AA5945">
        <v>0.99046800000000002</v>
      </c>
      <c r="AB5945">
        <v>14</v>
      </c>
      <c r="AC5945">
        <v>-6.3300000000026502E-2</v>
      </c>
      <c r="AD5945">
        <v>-0.11383169999999899</v>
      </c>
      <c r="AE5945">
        <v>-0.59639200000000003</v>
      </c>
      <c r="AF5945">
        <v>-1.9737616774286398E-2</v>
      </c>
      <c r="AG5945">
        <v>-0.11383169999999899</v>
      </c>
      <c r="AH5945">
        <v>0.57855115600720697</v>
      </c>
      <c r="AI5945">
        <v>101.124629199979</v>
      </c>
      <c r="AJ5945">
        <v>91.953921789803999</v>
      </c>
      <c r="AK5945">
        <v>0.58997344818058906</v>
      </c>
      <c r="AL5945">
        <v>94.851399653176799</v>
      </c>
      <c r="AM5945">
        <v>91.328242835435901</v>
      </c>
      <c r="AN5945">
        <v>1.0000000414830199</v>
      </c>
    </row>
    <row r="5946" spans="1:40" x14ac:dyDescent="0.25">
      <c r="A5946" t="str">
        <f>"20190303154638092"</f>
        <v>20190303154638092</v>
      </c>
      <c r="B5946" t="str">
        <f>"1551599198087592"</f>
        <v>1551599198087592</v>
      </c>
      <c r="C5946" t="s">
        <v>40</v>
      </c>
      <c r="D5946">
        <v>5.63659</v>
      </c>
      <c r="E5946">
        <v>0.4549917</v>
      </c>
      <c r="F5946" t="s">
        <v>42</v>
      </c>
      <c r="G5946">
        <v>-301.36070000000001</v>
      </c>
      <c r="H5946">
        <v>0.967862</v>
      </c>
      <c r="I5946">
        <v>0.93486290000000005</v>
      </c>
      <c r="J5946">
        <v>-301.31060000000002</v>
      </c>
      <c r="K5946">
        <v>1.0708770000000001</v>
      </c>
      <c r="L5946">
        <v>1.4550780000000001</v>
      </c>
      <c r="M5946">
        <v>-0.13605880000000001</v>
      </c>
      <c r="N5946">
        <v>-3.5046719999999999E-3</v>
      </c>
      <c r="O5946">
        <v>-0.99069479999999999</v>
      </c>
      <c r="P5946">
        <v>-0.1073771</v>
      </c>
      <c r="Q5946">
        <v>-8.4225649999999999E-2</v>
      </c>
      <c r="R5946">
        <v>-0.99064470000000004</v>
      </c>
      <c r="S5946">
        <v>-0.30514530000000001</v>
      </c>
      <c r="T5946">
        <v>-0.42128549999999998</v>
      </c>
      <c r="U5946">
        <v>-2.9588930000000002</v>
      </c>
      <c r="V5946">
        <v>-2.8198569999999999E-2</v>
      </c>
      <c r="W5946">
        <v>-8.0807680000000007E-2</v>
      </c>
      <c r="X5946">
        <v>0.99633070000000001</v>
      </c>
      <c r="Y5946">
        <v>-3.4652929999999998E-2</v>
      </c>
      <c r="Z5946">
        <v>0.13515820000000001</v>
      </c>
      <c r="AA5946">
        <v>0.99021789999999998</v>
      </c>
      <c r="AB5946">
        <v>14</v>
      </c>
      <c r="AC5946">
        <v>-5.0099999999986197E-2</v>
      </c>
      <c r="AD5946">
        <v>-0.103014999999999</v>
      </c>
      <c r="AE5946">
        <v>-0.52021509999999904</v>
      </c>
      <c r="AF5946">
        <v>-2.0355291745361902E-2</v>
      </c>
      <c r="AG5946">
        <v>-0.103014999999999</v>
      </c>
      <c r="AH5946">
        <v>0.50266397739489099</v>
      </c>
      <c r="AI5946">
        <v>101.572494135331</v>
      </c>
      <c r="AJ5946">
        <v>92.318915796884397</v>
      </c>
      <c r="AK5946">
        <v>0.51351485109730799</v>
      </c>
      <c r="AL5946">
        <v>94.634992927981301</v>
      </c>
      <c r="AM5946">
        <v>91.621176443748993</v>
      </c>
      <c r="AN5946">
        <v>0.99999995212975701</v>
      </c>
    </row>
    <row r="5947" spans="1:40" x14ac:dyDescent="0.25">
      <c r="A5947" t="str">
        <f>"20190303154638125"</f>
        <v>20190303154638125</v>
      </c>
      <c r="B5947" t="str">
        <f>"1551599198117852"</f>
        <v>1551599198117852</v>
      </c>
      <c r="C5947" t="s">
        <v>40</v>
      </c>
      <c r="D5947">
        <v>5.6269200000000001</v>
      </c>
      <c r="E5947">
        <v>0.450853</v>
      </c>
      <c r="F5947" t="s">
        <v>41</v>
      </c>
      <c r="G5947">
        <v>-301.209</v>
      </c>
      <c r="H5947" s="1">
        <v>-9.940837000000001E-7</v>
      </c>
      <c r="I5947">
        <v>-8.0402459999999998</v>
      </c>
      <c r="J5947">
        <v>-301.33629999999999</v>
      </c>
      <c r="K5947">
        <v>1.0707120000000001</v>
      </c>
      <c r="L5947">
        <v>1.238739</v>
      </c>
      <c r="M5947">
        <v>-0.13260999999999901</v>
      </c>
      <c r="N5947">
        <v>-2.46993E-3</v>
      </c>
      <c r="O5947">
        <v>-0.99116519999999997</v>
      </c>
      <c r="P5947">
        <v>-0.1012796</v>
      </c>
      <c r="Q5947">
        <v>-8.416477E-2</v>
      </c>
      <c r="R5947">
        <v>-0.99129160000000005</v>
      </c>
      <c r="S5947">
        <v>3.2135009999999999E-2</v>
      </c>
      <c r="T5947">
        <v>-0.33867910000000001</v>
      </c>
      <c r="U5947">
        <v>-3.0030209999999999</v>
      </c>
      <c r="V5947">
        <v>-3.0862199999999999E-2</v>
      </c>
      <c r="W5947">
        <v>-8.1783460000000002E-2</v>
      </c>
      <c r="X5947">
        <v>0.99617219999999995</v>
      </c>
      <c r="Y5947">
        <v>-0.1431212</v>
      </c>
      <c r="Z5947">
        <v>0.1075504</v>
      </c>
      <c r="AA5947">
        <v>0.9838441</v>
      </c>
      <c r="AB5947">
        <v>14</v>
      </c>
      <c r="AC5947">
        <v>0.127299999999991</v>
      </c>
      <c r="AD5947">
        <v>-1.0707129940836999</v>
      </c>
      <c r="AE5947">
        <v>-9.2789850000000005</v>
      </c>
      <c r="AF5947">
        <v>-1.33884219721744</v>
      </c>
      <c r="AG5947">
        <v>-1.0707129940836999</v>
      </c>
      <c r="AH5947">
        <v>9.0595476306696803</v>
      </c>
      <c r="AI5947">
        <v>96.668537361599206</v>
      </c>
      <c r="AJ5947">
        <v>98.4064652960746</v>
      </c>
      <c r="AK5947">
        <v>9.2203214703784795</v>
      </c>
      <c r="AL5947">
        <v>94.691086306628804</v>
      </c>
      <c r="AM5947">
        <v>91.774500831165497</v>
      </c>
      <c r="AN5947">
        <v>1.0000000308856201</v>
      </c>
    </row>
    <row r="5948" spans="1:40" x14ac:dyDescent="0.25">
      <c r="A5948" t="str">
        <f>"20190303154638158"</f>
        <v>20190303154638158</v>
      </c>
      <c r="B5948" t="str">
        <f>"1551599198147128"</f>
        <v>1551599198147128</v>
      </c>
      <c r="C5948" t="s">
        <v>40</v>
      </c>
      <c r="D5948">
        <v>5.6488930000000002</v>
      </c>
      <c r="E5948">
        <v>0.44911990000000002</v>
      </c>
      <c r="F5948" t="s">
        <v>41</v>
      </c>
      <c r="G5948">
        <v>-301.08859999999999</v>
      </c>
      <c r="H5948" s="1">
        <v>-1.1147089999999999E-6</v>
      </c>
      <c r="I5948">
        <v>-7.7172710000000002</v>
      </c>
      <c r="J5948">
        <v>-301.3623</v>
      </c>
      <c r="K5948">
        <v>1.070578</v>
      </c>
      <c r="L5948">
        <v>1.0137020000000001</v>
      </c>
      <c r="M5948">
        <v>-0.12912399999999999</v>
      </c>
      <c r="N5948">
        <v>-1.508988E-3</v>
      </c>
      <c r="O5948">
        <v>-0.99162760000000005</v>
      </c>
      <c r="P5948">
        <v>-9.8275409999999994E-2</v>
      </c>
      <c r="Q5948">
        <v>-8.8726979999999997E-2</v>
      </c>
      <c r="R5948">
        <v>-0.99119619999999997</v>
      </c>
      <c r="S5948">
        <v>8.3099370000000006E-2</v>
      </c>
      <c r="T5948">
        <v>-0.35917900000000003</v>
      </c>
      <c r="U5948">
        <v>-3.0043639999999998</v>
      </c>
      <c r="V5948">
        <v>-3.031356E-2</v>
      </c>
      <c r="W5948">
        <v>-8.7301569999999995E-2</v>
      </c>
      <c r="X5948">
        <v>0.99572059999999996</v>
      </c>
      <c r="Y5948">
        <v>-0.15628739999999999</v>
      </c>
      <c r="Z5948">
        <v>0.114965899999999</v>
      </c>
      <c r="AA5948">
        <v>0.98099800000000004</v>
      </c>
      <c r="AB5948">
        <v>15</v>
      </c>
      <c r="AC5948">
        <v>0.27370000000001898</v>
      </c>
      <c r="AD5948">
        <v>-1.070579114709</v>
      </c>
      <c r="AE5948">
        <v>-8.7309729999999899</v>
      </c>
      <c r="AF5948">
        <v>-1.3780881831310701</v>
      </c>
      <c r="AG5948">
        <v>-1.070579114709</v>
      </c>
      <c r="AH5948">
        <v>8.4949412323735807</v>
      </c>
      <c r="AI5948">
        <v>97.091121411037804</v>
      </c>
      <c r="AJ5948">
        <v>99.214510556746106</v>
      </c>
      <c r="AK5948">
        <v>8.6723291694225502</v>
      </c>
      <c r="AL5948">
        <v>95.008387282512103</v>
      </c>
      <c r="AM5948">
        <v>91.743765032907802</v>
      </c>
      <c r="AN5948">
        <v>0.99999999465434897</v>
      </c>
    </row>
    <row r="5949" spans="1:40" x14ac:dyDescent="0.25">
      <c r="A5949" t="str">
        <f>"20190303154638193"</f>
        <v>20190303154638193</v>
      </c>
      <c r="B5949" t="str">
        <f>"1551599198187145"</f>
        <v>1551599198187145</v>
      </c>
      <c r="C5949" t="s">
        <v>40</v>
      </c>
      <c r="D5949">
        <v>5.6826109999999996</v>
      </c>
      <c r="E5949">
        <v>0.44846269999999999</v>
      </c>
      <c r="F5949" t="s">
        <v>41</v>
      </c>
      <c r="G5949">
        <v>-301.06720000000001</v>
      </c>
      <c r="H5949" s="1">
        <v>-1.2871769999999999E-6</v>
      </c>
      <c r="I5949">
        <v>-7.3403700000000001</v>
      </c>
      <c r="J5949">
        <v>-301.38830000000002</v>
      </c>
      <c r="K5949">
        <v>1.07081</v>
      </c>
      <c r="L5949">
        <v>0.78439329999999996</v>
      </c>
      <c r="M5949">
        <v>-0.1248514</v>
      </c>
      <c r="N5949">
        <v>-1.324722E-3</v>
      </c>
      <c r="O5949">
        <v>-0.99217460000000002</v>
      </c>
      <c r="P5949">
        <v>-9.4826149999999998E-2</v>
      </c>
      <c r="Q5949">
        <v>-8.9441820000000005E-2</v>
      </c>
      <c r="R5949">
        <v>-0.99146800000000002</v>
      </c>
      <c r="S5949">
        <v>0.1060791</v>
      </c>
      <c r="T5949">
        <v>-0.38479999999999998</v>
      </c>
      <c r="U5949">
        <v>-3.0027159999999999</v>
      </c>
      <c r="V5949">
        <v>-2.9465109999999999E-2</v>
      </c>
      <c r="W5949">
        <v>-8.8202509999999998E-2</v>
      </c>
      <c r="X5949">
        <v>0.99566670000000002</v>
      </c>
      <c r="Y5949">
        <v>-0.15951070000000001</v>
      </c>
      <c r="Z5949">
        <v>0.1234521</v>
      </c>
      <c r="AA5949">
        <v>0.97944679999999995</v>
      </c>
      <c r="AB5949">
        <v>15</v>
      </c>
      <c r="AC5949">
        <v>0.321100000000001</v>
      </c>
      <c r="AD5949">
        <v>-1.0708112871769999</v>
      </c>
      <c r="AE5949">
        <v>-8.1247632999999997</v>
      </c>
      <c r="AF5949">
        <v>-1.3102526260285099</v>
      </c>
      <c r="AG5949">
        <v>-1.0708112871769999</v>
      </c>
      <c r="AH5949">
        <v>7.8843615316636102</v>
      </c>
      <c r="AI5949">
        <v>97.630884436644493</v>
      </c>
      <c r="AJ5949">
        <v>99.435397840287706</v>
      </c>
      <c r="AK5949">
        <v>8.0639044834830003</v>
      </c>
      <c r="AL5949">
        <v>95.060207086043803</v>
      </c>
      <c r="AM5949">
        <v>91.695079160675704</v>
      </c>
      <c r="AN5949">
        <v>1.00000002648325</v>
      </c>
    </row>
    <row r="5950" spans="1:40" x14ac:dyDescent="0.25">
      <c r="A5950" t="str">
        <f>"20190303154638226"</f>
        <v>20190303154638226</v>
      </c>
      <c r="B5950" t="str">
        <f>"1551599198217400"</f>
        <v>1551599198217400</v>
      </c>
      <c r="C5950" t="s">
        <v>40</v>
      </c>
      <c r="D5950">
        <v>5.6639480000000004</v>
      </c>
      <c r="E5950">
        <v>0.44853799999999999</v>
      </c>
      <c r="F5950" t="s">
        <v>41</v>
      </c>
      <c r="G5950">
        <v>-301.0575</v>
      </c>
      <c r="H5950" s="1">
        <v>-1.2756130000000001E-6</v>
      </c>
      <c r="I5950">
        <v>-7.3593999999999999</v>
      </c>
      <c r="J5950">
        <v>-301.41309999999999</v>
      </c>
      <c r="K5950">
        <v>1.072092</v>
      </c>
      <c r="L5950">
        <v>0.55822749999999999</v>
      </c>
      <c r="M5950">
        <v>-0.1224614</v>
      </c>
      <c r="N5950">
        <v>-7.6288460000000001E-4</v>
      </c>
      <c r="O5950">
        <v>-0.9924731</v>
      </c>
      <c r="P5950">
        <v>-9.5680559999999998E-2</v>
      </c>
      <c r="Q5950">
        <v>-8.7273809999999993E-2</v>
      </c>
      <c r="R5950">
        <v>-0.99157890000000004</v>
      </c>
      <c r="S5950">
        <v>0.1219177</v>
      </c>
      <c r="T5950">
        <v>-0.39470880000000003</v>
      </c>
      <c r="U5950">
        <v>-3.001862</v>
      </c>
      <c r="V5950">
        <v>-2.6120029999999999E-2</v>
      </c>
      <c r="W5950">
        <v>-8.6620290000000003E-2</v>
      </c>
      <c r="X5950">
        <v>0.99589890000000003</v>
      </c>
      <c r="Y5950">
        <v>-0.16228819999999999</v>
      </c>
      <c r="Z5950">
        <v>0.12722139999999901</v>
      </c>
      <c r="AA5950">
        <v>0.97850769999999998</v>
      </c>
      <c r="AB5950">
        <v>15</v>
      </c>
      <c r="AC5950">
        <v>0.35559999999998099</v>
      </c>
      <c r="AD5950">
        <v>-1.0720932756129999</v>
      </c>
      <c r="AE5950">
        <v>-7.9176274999999903</v>
      </c>
      <c r="AF5950">
        <v>-1.2987628577171999</v>
      </c>
      <c r="AG5950">
        <v>-1.0720932756129999</v>
      </c>
      <c r="AH5950">
        <v>7.6740675348250997</v>
      </c>
      <c r="AI5950">
        <v>97.842833677006595</v>
      </c>
      <c r="AJ5950">
        <v>99.605744937522601</v>
      </c>
      <c r="AK5950">
        <v>7.8566838730635604</v>
      </c>
      <c r="AL5950">
        <v>94.969204475988803</v>
      </c>
      <c r="AM5950">
        <v>91.502385899902194</v>
      </c>
      <c r="AN5950">
        <v>0.99999997481404701</v>
      </c>
    </row>
    <row r="5951" spans="1:40" x14ac:dyDescent="0.25">
      <c r="A5951" t="str">
        <f>"20190303154638260"</f>
        <v>20190303154638260</v>
      </c>
      <c r="B5951" t="str">
        <f>"1551599198257416"</f>
        <v>1551599198257416</v>
      </c>
      <c r="C5951" t="s">
        <v>40</v>
      </c>
      <c r="D5951">
        <v>5.6486589999999897</v>
      </c>
      <c r="E5951">
        <v>0.4487564</v>
      </c>
      <c r="F5951" t="s">
        <v>41</v>
      </c>
      <c r="G5951">
        <v>-301.08580000000001</v>
      </c>
      <c r="H5951" s="1">
        <v>-1.1194719999999999E-6</v>
      </c>
      <c r="I5951">
        <v>-7.7056479999999903</v>
      </c>
      <c r="J5951">
        <v>-301.43880000000001</v>
      </c>
      <c r="K5951">
        <v>1.0735709999999901</v>
      </c>
      <c r="L5951">
        <v>0.31542969999999998</v>
      </c>
      <c r="M5951">
        <v>-0.1199836</v>
      </c>
      <c r="N5951">
        <v>1.5340110000000001E-3</v>
      </c>
      <c r="O5951">
        <v>-0.99277490000000002</v>
      </c>
      <c r="P5951">
        <v>-9.7746529999999998E-2</v>
      </c>
      <c r="Q5951">
        <v>-8.6331099999999994E-2</v>
      </c>
      <c r="R5951">
        <v>-0.99146020000000001</v>
      </c>
      <c r="S5951">
        <v>0.118927</v>
      </c>
      <c r="T5951">
        <v>-0.38954169999999999</v>
      </c>
      <c r="U5951">
        <v>-3.0026549999999999</v>
      </c>
      <c r="V5951">
        <v>-2.1524649999999999E-2</v>
      </c>
      <c r="W5951">
        <v>-8.7956309999999996E-2</v>
      </c>
      <c r="X5951">
        <v>0.99589170000000005</v>
      </c>
      <c r="Y5951">
        <v>-0.1588618</v>
      </c>
      <c r="Z5951">
        <v>0.1279208</v>
      </c>
      <c r="AA5951">
        <v>0.97897860000000003</v>
      </c>
      <c r="AB5951">
        <v>16</v>
      </c>
      <c r="AC5951">
        <v>0.35300000000000797</v>
      </c>
      <c r="AD5951">
        <v>-1.07357211947199</v>
      </c>
      <c r="AE5951">
        <v>-8.0210776999999993</v>
      </c>
      <c r="AF5951">
        <v>-1.2897877577646799</v>
      </c>
      <c r="AG5951">
        <v>-1.07357211947199</v>
      </c>
      <c r="AH5951">
        <v>7.7816457059632498</v>
      </c>
      <c r="AI5951">
        <v>97.750628703732104</v>
      </c>
      <c r="AJ5951">
        <v>99.411069532738495</v>
      </c>
      <c r="AK5951">
        <v>7.9605351232767996</v>
      </c>
      <c r="AL5951">
        <v>95.046046211130204</v>
      </c>
      <c r="AM5951">
        <v>91.238166375989607</v>
      </c>
      <c r="AN5951">
        <v>0.999999950577663</v>
      </c>
    </row>
    <row r="5952" spans="1:40" x14ac:dyDescent="0.25">
      <c r="A5952" t="str">
        <f>"20190303154638292"</f>
        <v>20190303154638292</v>
      </c>
      <c r="B5952" t="str">
        <f>"1551599198287673"</f>
        <v>1551599198287673</v>
      </c>
      <c r="C5952" t="s">
        <v>40</v>
      </c>
      <c r="D5952">
        <v>5.6119820000000002</v>
      </c>
      <c r="E5952">
        <v>0.4490015</v>
      </c>
      <c r="F5952" t="s">
        <v>41</v>
      </c>
      <c r="G5952">
        <v>-301.13139999999999</v>
      </c>
      <c r="H5952" s="1">
        <v>-9.9509290000000009E-7</v>
      </c>
      <c r="I5952">
        <v>-7.9944419999999896</v>
      </c>
      <c r="J5952">
        <v>-301.46319999999997</v>
      </c>
      <c r="K5952">
        <v>1.075231</v>
      </c>
      <c r="L5952">
        <v>7.7575679999999994E-2</v>
      </c>
      <c r="M5952">
        <v>-0.11654730000000001</v>
      </c>
      <c r="N5952">
        <v>4.0237950000000001E-3</v>
      </c>
      <c r="O5952">
        <v>-0.99317719999999998</v>
      </c>
      <c r="P5952">
        <v>-9.7863679999999995E-2</v>
      </c>
      <c r="Q5952">
        <v>-8.5681380000000001E-2</v>
      </c>
      <c r="R5952">
        <v>-0.99150470000000002</v>
      </c>
      <c r="S5952">
        <v>0.1110535</v>
      </c>
      <c r="T5952">
        <v>-0.38796750000000002</v>
      </c>
      <c r="U5952">
        <v>-3.0030209999999999</v>
      </c>
      <c r="V5952">
        <v>-1.802082E-2</v>
      </c>
      <c r="W5952">
        <v>-8.9758160000000003E-2</v>
      </c>
      <c r="X5952">
        <v>0.99580060000000004</v>
      </c>
      <c r="Y5952">
        <v>-0.1528891</v>
      </c>
      <c r="Z5952">
        <v>0.1300219</v>
      </c>
      <c r="AA5952">
        <v>0.97965259999999998</v>
      </c>
      <c r="AB5952">
        <v>16</v>
      </c>
      <c r="AC5952">
        <v>0.33179999999998699</v>
      </c>
      <c r="AD5952">
        <v>-1.0752319950928999</v>
      </c>
      <c r="AE5952">
        <v>-8.0720176800000001</v>
      </c>
      <c r="AF5952">
        <v>-1.24820782026687</v>
      </c>
      <c r="AG5952">
        <v>-1.0752319950928999</v>
      </c>
      <c r="AH5952">
        <v>7.8394711560563701</v>
      </c>
      <c r="AI5952">
        <v>97.713768915786801</v>
      </c>
      <c r="AJ5952">
        <v>99.046747926401906</v>
      </c>
      <c r="AK5952">
        <v>8.01070874595292</v>
      </c>
      <c r="AL5952">
        <v>95.149694080653802</v>
      </c>
      <c r="AM5952">
        <v>91.036757998424903</v>
      </c>
      <c r="AN5952">
        <v>1.0000000561002</v>
      </c>
    </row>
    <row r="5953" spans="1:40" x14ac:dyDescent="0.25">
      <c r="A5953" t="str">
        <f>"20190303154638315"</f>
        <v>20190303154638315</v>
      </c>
      <c r="B5953" t="str">
        <f>"1551599198307192"</f>
        <v>1551599198307192</v>
      </c>
      <c r="C5953" t="s">
        <v>40</v>
      </c>
      <c r="D5953">
        <v>5.6044429999999998</v>
      </c>
      <c r="E5953">
        <v>0.44920680000000002</v>
      </c>
      <c r="F5953" t="s">
        <v>41</v>
      </c>
      <c r="G5953">
        <v>-301.15960000000001</v>
      </c>
      <c r="H5953" s="1">
        <v>-8.5161059999999899E-7</v>
      </c>
      <c r="I5953">
        <v>-8.313822</v>
      </c>
      <c r="J5953">
        <v>-301.48009999999999</v>
      </c>
      <c r="K5953">
        <v>1.076578</v>
      </c>
      <c r="L5953">
        <v>-8.9447020000000002E-2</v>
      </c>
      <c r="M5953">
        <v>-0.1138739</v>
      </c>
      <c r="N5953">
        <v>5.7023539999999998E-3</v>
      </c>
      <c r="O5953">
        <v>-0.993479</v>
      </c>
      <c r="P5953">
        <v>-9.8289130000000002E-2</v>
      </c>
      <c r="Q5953">
        <v>-8.4779019999999997E-2</v>
      </c>
      <c r="R5953">
        <v>-0.99154019999999998</v>
      </c>
      <c r="S5953">
        <v>0.10864260000000001</v>
      </c>
      <c r="T5953">
        <v>-0.38481159999999998</v>
      </c>
      <c r="U5953">
        <v>-3.003174</v>
      </c>
      <c r="V5953">
        <v>-1.4963209999999999E-2</v>
      </c>
      <c r="W5953">
        <v>-9.05088E-2</v>
      </c>
      <c r="X5953">
        <v>0.99578319999999998</v>
      </c>
      <c r="Y5953">
        <v>-0.149452799999999</v>
      </c>
      <c r="Z5953">
        <v>0.13076889999999999</v>
      </c>
      <c r="AA5953">
        <v>0.98008329999999999</v>
      </c>
      <c r="AB5953">
        <v>17</v>
      </c>
      <c r="AC5953">
        <v>0.32049999999998102</v>
      </c>
      <c r="AD5953">
        <v>-1.0765788516105901</v>
      </c>
      <c r="AE5953">
        <v>-8.2243749800000003</v>
      </c>
      <c r="AF5953">
        <v>-1.2338616389508601</v>
      </c>
      <c r="AG5953">
        <v>-1.0765788516105901</v>
      </c>
      <c r="AH5953">
        <v>7.9975475151721502</v>
      </c>
      <c r="AI5953">
        <v>97.578107544788793</v>
      </c>
      <c r="AJ5953">
        <v>98.7704435485104</v>
      </c>
      <c r="AK5953">
        <v>8.16346757360167</v>
      </c>
      <c r="AL5953">
        <v>95.192878851780605</v>
      </c>
      <c r="AM5953">
        <v>90.860894481872407</v>
      </c>
      <c r="AN5953">
        <v>0.99999996096659105</v>
      </c>
    </row>
    <row r="5954" spans="1:40" x14ac:dyDescent="0.25">
      <c r="A5954" t="str">
        <f>"20190303154638350"</f>
        <v>20190303154638350</v>
      </c>
      <c r="B5954" t="str">
        <f>"1551599198337449"</f>
        <v>1551599198337449</v>
      </c>
      <c r="C5954" t="s">
        <v>40</v>
      </c>
      <c r="D5954">
        <v>5.603389</v>
      </c>
      <c r="E5954">
        <v>0.44922620000000002</v>
      </c>
      <c r="F5954" t="s">
        <v>41</v>
      </c>
      <c r="G5954">
        <v>-301.18279999999999</v>
      </c>
      <c r="H5954" s="1">
        <v>-7.4466399999999905E-7</v>
      </c>
      <c r="I5954">
        <v>-8.5531240000000004</v>
      </c>
      <c r="J5954">
        <v>-301.5061</v>
      </c>
      <c r="K5954">
        <v>1.078929</v>
      </c>
      <c r="L5954">
        <v>-0.35195920000000003</v>
      </c>
      <c r="M5954">
        <v>-0.10969180000000001</v>
      </c>
      <c r="N5954">
        <v>8.2399869999999903E-3</v>
      </c>
      <c r="O5954">
        <v>-0.99393169999999997</v>
      </c>
      <c r="P5954">
        <v>-9.7809359999999998E-2</v>
      </c>
      <c r="Q5954">
        <v>-7.8707020000000003E-2</v>
      </c>
      <c r="R5954">
        <v>-0.99208859999999999</v>
      </c>
      <c r="S5954">
        <v>0.1054993</v>
      </c>
      <c r="T5954">
        <v>-0.3820306</v>
      </c>
      <c r="U5954">
        <v>-3.003387</v>
      </c>
      <c r="V5954">
        <v>-1.1349980000000001E-2</v>
      </c>
      <c r="W5954">
        <v>-8.6952310000000005E-2</v>
      </c>
      <c r="X5954">
        <v>0.99614780000000003</v>
      </c>
      <c r="Y5954">
        <v>-0.1442756</v>
      </c>
      <c r="Z5954">
        <v>0.13253000000000001</v>
      </c>
      <c r="AA5954">
        <v>0.98062240000000001</v>
      </c>
      <c r="AB5954">
        <v>17</v>
      </c>
      <c r="AC5954">
        <v>0.32330000000001702</v>
      </c>
      <c r="AD5954">
        <v>-1.078929744664</v>
      </c>
      <c r="AE5954">
        <v>-8.2011648000000008</v>
      </c>
      <c r="AF5954">
        <v>-1.20023890069834</v>
      </c>
      <c r="AG5954">
        <v>-1.078929744664</v>
      </c>
      <c r="AH5954">
        <v>7.9783370742003799</v>
      </c>
      <c r="AI5954">
        <v>97.616840607912806</v>
      </c>
      <c r="AJ5954">
        <v>98.555264014815506</v>
      </c>
      <c r="AK5954">
        <v>8.1399339851273105</v>
      </c>
      <c r="AL5954">
        <v>94.988299828926998</v>
      </c>
      <c r="AM5954">
        <v>90.652792500045507</v>
      </c>
      <c r="AN5954">
        <v>0.99999998285258795</v>
      </c>
    </row>
    <row r="5955" spans="1:40" x14ac:dyDescent="0.25">
      <c r="A5955" t="str">
        <f>"20190303154638379"</f>
        <v>20190303154638379</v>
      </c>
      <c r="B5955" t="str">
        <f>"1551599198367705"</f>
        <v>1551599198367705</v>
      </c>
      <c r="C5955" t="s">
        <v>40</v>
      </c>
      <c r="D5955">
        <v>5.6445559999999997</v>
      </c>
      <c r="E5955">
        <v>0.44923809999999897</v>
      </c>
      <c r="F5955" t="s">
        <v>41</v>
      </c>
      <c r="G5955">
        <v>-301.18979999999999</v>
      </c>
      <c r="H5955" s="1">
        <v>-4.0188320000000001E-7</v>
      </c>
      <c r="I5955">
        <v>-9.2821940000000005</v>
      </c>
      <c r="J5955">
        <v>-301.52870000000001</v>
      </c>
      <c r="K5955">
        <v>1.081086</v>
      </c>
      <c r="L5955">
        <v>-0.58886719999999904</v>
      </c>
      <c r="M5955">
        <v>-0.1061163</v>
      </c>
      <c r="N5955">
        <v>1.033358E-2</v>
      </c>
      <c r="O5955">
        <v>-0.99429990000000001</v>
      </c>
      <c r="P5955">
        <v>-9.495489E-2</v>
      </c>
      <c r="Q5955">
        <v>-7.4146050000000005E-2</v>
      </c>
      <c r="R5955">
        <v>-0.99271640000000005</v>
      </c>
      <c r="S5955">
        <v>0.1064758</v>
      </c>
      <c r="T5955">
        <v>-0.36313099999999998</v>
      </c>
      <c r="U5955">
        <v>-3.0056150000000001</v>
      </c>
      <c r="V5955">
        <v>-1.067062E-2</v>
      </c>
      <c r="W5955">
        <v>-8.447984E-2</v>
      </c>
      <c r="X5955">
        <v>0.99636809999999998</v>
      </c>
      <c r="Y5955">
        <v>-0.1410401</v>
      </c>
      <c r="Z5955">
        <v>0.12856609999999999</v>
      </c>
      <c r="AA5955">
        <v>0.9816203</v>
      </c>
      <c r="AB5955">
        <v>17</v>
      </c>
      <c r="AC5955">
        <v>0.33890000000002302</v>
      </c>
      <c r="AD5955">
        <v>-1.0810864018832</v>
      </c>
      <c r="AE5955">
        <v>-8.6933267999999995</v>
      </c>
      <c r="AF5955">
        <v>-1.24038591294897</v>
      </c>
      <c r="AG5955">
        <v>-1.0810864018832</v>
      </c>
      <c r="AH5955">
        <v>8.4773686533588801</v>
      </c>
      <c r="AI5955">
        <v>97.191723383787604</v>
      </c>
      <c r="AJ5955">
        <v>98.324296350743296</v>
      </c>
      <c r="AK5955">
        <v>8.6355708732156593</v>
      </c>
      <c r="AL5955">
        <v>94.846114077789096</v>
      </c>
      <c r="AM5955">
        <v>90.613586603707503</v>
      </c>
      <c r="AN5955">
        <v>1.0000000480975999</v>
      </c>
    </row>
    <row r="5956" spans="1:40" x14ac:dyDescent="0.25">
      <c r="A5956" t="str">
        <f>"20190303154638399"</f>
        <v>20190303154638399</v>
      </c>
      <c r="B5956" t="str">
        <f>"1551599198396985"</f>
        <v>1551599198396985</v>
      </c>
      <c r="C5956" t="s">
        <v>40</v>
      </c>
      <c r="D5956">
        <v>5.587434</v>
      </c>
      <c r="E5956">
        <v>0.4493685</v>
      </c>
      <c r="F5956" t="s">
        <v>41</v>
      </c>
      <c r="G5956">
        <v>-301.1694</v>
      </c>
      <c r="H5956" s="1">
        <v>-7.5606009999999899E-8</v>
      </c>
      <c r="I5956">
        <v>-9.9609660000000009</v>
      </c>
      <c r="J5956">
        <v>-301.54390000000001</v>
      </c>
      <c r="K5956">
        <v>1.082527</v>
      </c>
      <c r="L5956">
        <v>-0.7531738</v>
      </c>
      <c r="M5956">
        <v>-0.1037222</v>
      </c>
      <c r="N5956">
        <v>1.1603779999999999E-2</v>
      </c>
      <c r="O5956">
        <v>-0.99453879999999995</v>
      </c>
      <c r="P5956">
        <v>-9.1966199999999998E-2</v>
      </c>
      <c r="Q5956">
        <v>-7.1212029999999996E-2</v>
      </c>
      <c r="R5956">
        <v>-0.99321289999999995</v>
      </c>
      <c r="S5956">
        <v>0.11529540000000001</v>
      </c>
      <c r="T5956">
        <v>-0.34687839999999998</v>
      </c>
      <c r="U5956">
        <v>-3.0071409999999998</v>
      </c>
      <c r="V5956">
        <v>-1.128556E-2</v>
      </c>
      <c r="W5956">
        <v>-8.2817950000000001E-2</v>
      </c>
      <c r="X5956">
        <v>0.99650079999999996</v>
      </c>
      <c r="Y5956">
        <v>-0.14154029999999901</v>
      </c>
      <c r="Z5956">
        <v>0.1245898</v>
      </c>
      <c r="AA5956">
        <v>0.98206099999999996</v>
      </c>
      <c r="AB5956">
        <v>18</v>
      </c>
      <c r="AC5956">
        <v>0.37450000000001099</v>
      </c>
      <c r="AD5956">
        <v>-1.0825270756060099</v>
      </c>
      <c r="AE5956">
        <v>-9.2077921999999894</v>
      </c>
      <c r="AF5956">
        <v>-1.3095261862274801</v>
      </c>
      <c r="AG5956">
        <v>-1.0825270756060099</v>
      </c>
      <c r="AH5956">
        <v>8.9951505422198998</v>
      </c>
      <c r="AI5956">
        <v>96.791383189926094</v>
      </c>
      <c r="AJ5956">
        <v>98.283007702436393</v>
      </c>
      <c r="AK5956">
        <v>9.1542043334762102</v>
      </c>
      <c r="AL5956">
        <v>94.750560077164494</v>
      </c>
      <c r="AM5956">
        <v>90.648857797850098</v>
      </c>
      <c r="AN5956">
        <v>1.0000000105536699</v>
      </c>
    </row>
    <row r="5957" spans="1:40" x14ac:dyDescent="0.25">
      <c r="A5957" t="str">
        <f>"20190303154638439"</f>
        <v>20190303154638439</v>
      </c>
      <c r="B5957" t="str">
        <f>"1551599198427241"</f>
        <v>1551599198427241</v>
      </c>
      <c r="C5957" t="s">
        <v>40</v>
      </c>
      <c r="D5957">
        <v>5.5699009999999998</v>
      </c>
      <c r="E5957">
        <v>0.44946920000000001</v>
      </c>
      <c r="F5957" t="s">
        <v>41</v>
      </c>
      <c r="G5957">
        <v>-301.14249999999998</v>
      </c>
      <c r="H5957" s="1">
        <v>-4.4550209999999996E-6</v>
      </c>
      <c r="I5957">
        <v>-10.517469999999999</v>
      </c>
      <c r="J5957">
        <v>-301.57170000000002</v>
      </c>
      <c r="K5957">
        <v>1.084956</v>
      </c>
      <c r="L5957">
        <v>-1.071747</v>
      </c>
      <c r="M5957">
        <v>-9.9133399999999997E-2</v>
      </c>
      <c r="N5957">
        <v>1.3636779999999999E-2</v>
      </c>
      <c r="O5957">
        <v>-0.9949808</v>
      </c>
      <c r="P5957">
        <v>-8.5116070000000002E-2</v>
      </c>
      <c r="Q5957">
        <v>-6.8540920000000005E-2</v>
      </c>
      <c r="R5957">
        <v>-0.99401099999999998</v>
      </c>
      <c r="S5957">
        <v>0.12362670000000001</v>
      </c>
      <c r="T5957">
        <v>-0.33348860000000002</v>
      </c>
      <c r="U5957">
        <v>-3.0080260000000001</v>
      </c>
      <c r="V5957">
        <v>-1.356183E-2</v>
      </c>
      <c r="W5957">
        <v>-8.2186399999999896E-2</v>
      </c>
      <c r="X5957">
        <v>0.99652470000000004</v>
      </c>
      <c r="Y5957">
        <v>-0.13970050000000001</v>
      </c>
      <c r="Z5957">
        <v>0.1223626</v>
      </c>
      <c r="AA5957">
        <v>0.98260429999999999</v>
      </c>
      <c r="AB5957">
        <v>18</v>
      </c>
      <c r="AC5957">
        <v>0.429200000000037</v>
      </c>
      <c r="AD5957">
        <v>-1.0849604550209999</v>
      </c>
      <c r="AE5957">
        <v>-9.4457229999999992</v>
      </c>
      <c r="AF5957">
        <v>-1.34583941996487</v>
      </c>
      <c r="AG5957">
        <v>-1.0849604550209999</v>
      </c>
      <c r="AH5957">
        <v>9.23504336682754</v>
      </c>
      <c r="AI5957">
        <v>96.631152374531993</v>
      </c>
      <c r="AJ5957">
        <v>98.291448157519596</v>
      </c>
      <c r="AK5957">
        <v>9.3954483086479694</v>
      </c>
      <c r="AL5957">
        <v>94.714251183413197</v>
      </c>
      <c r="AM5957">
        <v>90.779697337811996</v>
      </c>
      <c r="AN5957">
        <v>1.0000000026439899</v>
      </c>
    </row>
    <row r="5958" spans="1:40" x14ac:dyDescent="0.25">
      <c r="A5958" t="str">
        <f>"20190303154638484"</f>
        <v>20190303154638484</v>
      </c>
      <c r="B5958" t="str">
        <f>"1551599198477017"</f>
        <v>1551599198477017</v>
      </c>
      <c r="C5958" t="s">
        <v>40</v>
      </c>
      <c r="D5958">
        <v>5.5469309999999998</v>
      </c>
      <c r="E5958">
        <v>0.48501670000000002</v>
      </c>
      <c r="F5958" t="s">
        <v>41</v>
      </c>
      <c r="G5958">
        <v>-301.08800000000002</v>
      </c>
      <c r="H5958" s="1">
        <v>-4.2107639999999901E-6</v>
      </c>
      <c r="I5958">
        <v>-11.20678</v>
      </c>
      <c r="J5958">
        <v>-301.60270000000003</v>
      </c>
      <c r="K5958">
        <v>1.087167</v>
      </c>
      <c r="L5958">
        <v>-1.450348</v>
      </c>
      <c r="M5958">
        <v>-9.3717339999999996E-2</v>
      </c>
      <c r="N5958">
        <v>1.549325E-2</v>
      </c>
      <c r="O5958">
        <v>-0.99547850000000004</v>
      </c>
      <c r="P5958">
        <v>-8.1837240000000006E-2</v>
      </c>
      <c r="Q5958">
        <v>-6.7794110000000005E-2</v>
      </c>
      <c r="R5958">
        <v>-0.99433749999999999</v>
      </c>
      <c r="S5958">
        <v>0.1435852</v>
      </c>
      <c r="T5958">
        <v>-0.32202710000000001</v>
      </c>
      <c r="U5958">
        <v>-3.0081790000000002</v>
      </c>
      <c r="V5958">
        <v>-1.1420069999999999E-2</v>
      </c>
      <c r="W5958">
        <v>-8.3284330000000004E-2</v>
      </c>
      <c r="X5958">
        <v>0.99646040000000002</v>
      </c>
      <c r="Y5958">
        <v>-0.1408372</v>
      </c>
      <c r="Z5958">
        <v>0.1205768</v>
      </c>
      <c r="AA5958">
        <v>0.98266279999999995</v>
      </c>
      <c r="AB5958">
        <v>18</v>
      </c>
      <c r="AC5958">
        <v>0.514700000000061</v>
      </c>
      <c r="AD5958">
        <v>-1.0871712107639999</v>
      </c>
      <c r="AE5958">
        <v>-9.7564320000000002</v>
      </c>
      <c r="AF5958">
        <v>-1.4094382925286899</v>
      </c>
      <c r="AG5958">
        <v>-1.0871712107639999</v>
      </c>
      <c r="AH5958">
        <v>9.5470243981159406</v>
      </c>
      <c r="AI5958">
        <v>96.427520636929501</v>
      </c>
      <c r="AJ5958">
        <v>98.397981809115294</v>
      </c>
      <c r="AK5958">
        <v>9.7115463444387409</v>
      </c>
      <c r="AL5958">
        <v>94.777374305649104</v>
      </c>
      <c r="AM5958">
        <v>90.656617330146503</v>
      </c>
      <c r="AN5958">
        <v>1.00000001319525</v>
      </c>
    </row>
    <row r="5959" spans="1:40" x14ac:dyDescent="0.25">
      <c r="A5959" t="str">
        <f>"20190303154638528"</f>
        <v>20190303154638528</v>
      </c>
      <c r="B5959" t="str">
        <f>"1551599198517033"</f>
        <v>1551599198517033</v>
      </c>
      <c r="C5959" t="s">
        <v>40</v>
      </c>
      <c r="D5959">
        <v>5.5147050000000002</v>
      </c>
      <c r="E5959">
        <v>0.4960678</v>
      </c>
      <c r="F5959" t="s">
        <v>42</v>
      </c>
      <c r="G5959">
        <v>-301.6404</v>
      </c>
      <c r="H5959">
        <v>0.99587950000000003</v>
      </c>
      <c r="I5959">
        <v>-2.3211279999999999</v>
      </c>
      <c r="J5959">
        <v>-301.6327</v>
      </c>
      <c r="K5959">
        <v>1.089038</v>
      </c>
      <c r="L5959">
        <v>-1.8362430000000001</v>
      </c>
      <c r="M5959">
        <v>-8.7434029999999996E-2</v>
      </c>
      <c r="N5959">
        <v>1.6317539999999998E-2</v>
      </c>
      <c r="O5959">
        <v>-0.99603660000000005</v>
      </c>
      <c r="P5959">
        <v>-7.8671249999999998E-2</v>
      </c>
      <c r="Q5959">
        <v>-6.8004449999999994E-2</v>
      </c>
      <c r="R5959">
        <v>-0.99457859999999998</v>
      </c>
      <c r="S5959">
        <v>-0.1285095</v>
      </c>
      <c r="T5959">
        <v>-0.31312780000000001</v>
      </c>
      <c r="U5959">
        <v>-2.9851679999999998</v>
      </c>
      <c r="V5959">
        <v>-8.3018459999999999E-3</v>
      </c>
      <c r="W5959">
        <v>-8.430464E-2</v>
      </c>
      <c r="X5959">
        <v>0.9964054</v>
      </c>
      <c r="Y5959">
        <v>-4.4862880000000001E-2</v>
      </c>
      <c r="Z5959">
        <v>0.1198092</v>
      </c>
      <c r="AA5959">
        <v>0.99178279999999996</v>
      </c>
      <c r="AB5959">
        <v>19</v>
      </c>
      <c r="AC5959">
        <v>-7.6999999999998103E-3</v>
      </c>
      <c r="AD5959">
        <v>-9.3158499999999894E-2</v>
      </c>
      <c r="AE5959">
        <v>-0.48488499999999901</v>
      </c>
      <c r="AF5959">
        <v>-3.3494554903184003E-2</v>
      </c>
      <c r="AG5959">
        <v>-9.3158499999999894E-2</v>
      </c>
      <c r="AH5959">
        <v>0.46648628121255697</v>
      </c>
      <c r="AI5959">
        <v>101.26528710493299</v>
      </c>
      <c r="AJ5959">
        <v>94.106892115202697</v>
      </c>
      <c r="AK5959">
        <v>0.47687507996322598</v>
      </c>
      <c r="AL5959">
        <v>94.836040360563004</v>
      </c>
      <c r="AM5959">
        <v>90.4773656704633</v>
      </c>
      <c r="AN5959">
        <v>0.99999995706084699</v>
      </c>
    </row>
    <row r="5960" spans="1:40" x14ac:dyDescent="0.25">
      <c r="A5960" t="str">
        <f>"20190303154638573"</f>
        <v>20190303154638573</v>
      </c>
      <c r="B5960" t="str">
        <f>"1551599198567785"</f>
        <v>1551599198567785</v>
      </c>
      <c r="C5960" t="s">
        <v>40</v>
      </c>
      <c r="D5960">
        <v>5.4398369999999998</v>
      </c>
      <c r="E5960">
        <v>0.50114570000000003</v>
      </c>
      <c r="F5960" t="s">
        <v>42</v>
      </c>
      <c r="G5960">
        <v>-301.69040000000001</v>
      </c>
      <c r="H5960">
        <v>0.99318059999999997</v>
      </c>
      <c r="I5960">
        <v>-2.6633499999999999</v>
      </c>
      <c r="J5960">
        <v>-301.66180000000003</v>
      </c>
      <c r="K5960">
        <v>1.0927129999999901</v>
      </c>
      <c r="L5960">
        <v>-2.2293090000000002</v>
      </c>
      <c r="M5960">
        <v>-8.1448909999999999E-2</v>
      </c>
      <c r="N5960">
        <v>1.469782E-2</v>
      </c>
      <c r="O5960">
        <v>-0.99656909999999999</v>
      </c>
      <c r="P5960">
        <v>-7.5456780000000001E-2</v>
      </c>
      <c r="Q5960">
        <v>-6.8258899999999997E-2</v>
      </c>
      <c r="R5960">
        <v>-0.99481019999999998</v>
      </c>
      <c r="S5960">
        <v>-0.2076721</v>
      </c>
      <c r="T5960">
        <v>-0.3449489</v>
      </c>
      <c r="U5960">
        <v>-2.9763489999999999</v>
      </c>
      <c r="V5960">
        <v>-5.4132099999999999E-3</v>
      </c>
      <c r="W5960">
        <v>-8.2943009999999998E-2</v>
      </c>
      <c r="X5960">
        <v>0.99653959999999997</v>
      </c>
      <c r="Y5960">
        <v>-1.247851E-2</v>
      </c>
      <c r="Z5960">
        <v>0.12896009999999999</v>
      </c>
      <c r="AA5960">
        <v>0.99157119999999999</v>
      </c>
      <c r="AB5960">
        <v>20</v>
      </c>
      <c r="AC5960">
        <v>-2.8599999999983E-2</v>
      </c>
      <c r="AD5960">
        <v>-9.9532399999999702E-2</v>
      </c>
      <c r="AE5960">
        <v>-0.43404099999999901</v>
      </c>
      <c r="AF5960">
        <v>-6.5101687398259004E-3</v>
      </c>
      <c r="AG5960">
        <v>-9.9532399999999702E-2</v>
      </c>
      <c r="AH5960">
        <v>0.41328914958896901</v>
      </c>
      <c r="AI5960">
        <v>103.539069126947</v>
      </c>
      <c r="AJ5960">
        <v>90.902453758130306</v>
      </c>
      <c r="AK5960">
        <v>0.42515526824297301</v>
      </c>
      <c r="AL5960">
        <v>94.7577502273802</v>
      </c>
      <c r="AM5960">
        <v>90.3112280095351</v>
      </c>
      <c r="AN5960">
        <v>1.0000000100592601</v>
      </c>
    </row>
    <row r="5961" spans="1:40" x14ac:dyDescent="0.25">
      <c r="A5961" t="str">
        <f>"20190303154638599"</f>
        <v>20190303154638599</v>
      </c>
      <c r="B5961" t="str">
        <f>"1551599198597065"</f>
        <v>1551599198597065</v>
      </c>
      <c r="C5961" t="s">
        <v>40</v>
      </c>
      <c r="D5961">
        <v>5.5350489999999999</v>
      </c>
      <c r="E5961">
        <v>0.50224979999999997</v>
      </c>
      <c r="F5961" t="s">
        <v>42</v>
      </c>
      <c r="G5961">
        <v>-301.7251</v>
      </c>
      <c r="H5961">
        <v>1.0002629999999999</v>
      </c>
      <c r="I5961">
        <v>-3.0178859999999998</v>
      </c>
      <c r="J5961">
        <v>-301.67849999999999</v>
      </c>
      <c r="K5961">
        <v>1.095297</v>
      </c>
      <c r="L5961">
        <v>-2.4767459999999999</v>
      </c>
      <c r="M5961">
        <v>-7.9150079999999998E-2</v>
      </c>
      <c r="N5961">
        <v>1.399717E-2</v>
      </c>
      <c r="O5961">
        <v>-0.99676450000000005</v>
      </c>
      <c r="P5961">
        <v>-7.358336E-2</v>
      </c>
      <c r="Q5961">
        <v>-6.8253789999999995E-2</v>
      </c>
      <c r="R5961">
        <v>-0.99495069999999997</v>
      </c>
      <c r="S5961">
        <v>-0.2383728</v>
      </c>
      <c r="T5961">
        <v>-0.34871010000000002</v>
      </c>
      <c r="U5961">
        <v>-2.973633</v>
      </c>
      <c r="V5961">
        <v>-4.9425889999999998E-3</v>
      </c>
      <c r="W5961">
        <v>-8.2240599999999997E-2</v>
      </c>
      <c r="X5961">
        <v>0.99660029999999999</v>
      </c>
      <c r="Y5961" s="1">
        <v>7.4995739999999994E-5</v>
      </c>
      <c r="Z5961">
        <v>0.12958810000000001</v>
      </c>
      <c r="AA5961">
        <v>0.99156789999999995</v>
      </c>
      <c r="AB5961">
        <v>20</v>
      </c>
      <c r="AC5961">
        <v>-4.6600000000012097E-2</v>
      </c>
      <c r="AD5961">
        <v>-9.5033999999999993E-2</v>
      </c>
      <c r="AE5961">
        <v>-0.54113999999999995</v>
      </c>
      <c r="AF5961">
        <v>3.5108228587128398E-3</v>
      </c>
      <c r="AG5961">
        <v>-9.5033999999999993E-2</v>
      </c>
      <c r="AH5961">
        <v>0.52699685799904405</v>
      </c>
      <c r="AI5961">
        <v>100.222133980367</v>
      </c>
      <c r="AJ5961">
        <v>89.6183044479465</v>
      </c>
      <c r="AK5961">
        <v>0.535508613725316</v>
      </c>
      <c r="AL5961">
        <v>94.717366931034505</v>
      </c>
      <c r="AM5961">
        <v>90.284153203458303</v>
      </c>
      <c r="AN5961">
        <v>1.0000000517172301</v>
      </c>
    </row>
    <row r="5962" spans="1:40" x14ac:dyDescent="0.25">
      <c r="A5962" t="str">
        <f>"20190303154638626"</f>
        <v>20190303154638626</v>
      </c>
      <c r="B5962" t="str">
        <f>"1551599198617560"</f>
        <v>1551599198617560</v>
      </c>
      <c r="C5962" t="s">
        <v>40</v>
      </c>
      <c r="D5962">
        <v>5.5324</v>
      </c>
      <c r="E5962">
        <v>0.50266809999999995</v>
      </c>
      <c r="F5962" t="s">
        <v>42</v>
      </c>
      <c r="G5962">
        <v>-301.73759999999999</v>
      </c>
      <c r="H5962">
        <v>1.0089129999999999</v>
      </c>
      <c r="I5962">
        <v>-3.203916</v>
      </c>
      <c r="J5962">
        <v>-301.69380000000001</v>
      </c>
      <c r="K5962">
        <v>1.0976030000000001</v>
      </c>
      <c r="L5962">
        <v>-2.718842</v>
      </c>
      <c r="M5962">
        <v>-7.6682169999999994E-2</v>
      </c>
      <c r="N5962">
        <v>1.364601E-2</v>
      </c>
      <c r="O5962">
        <v>-0.99696220000000002</v>
      </c>
      <c r="P5962">
        <v>-7.0790549999999994E-2</v>
      </c>
      <c r="Q5962">
        <v>-6.7614629999999995E-2</v>
      </c>
      <c r="R5962">
        <v>-0.99519709999999995</v>
      </c>
      <c r="S5962">
        <v>-0.24148559999999999</v>
      </c>
      <c r="T5962">
        <v>-0.35327419999999998</v>
      </c>
      <c r="U5962">
        <v>-2.9731450000000001</v>
      </c>
      <c r="V5962">
        <v>-5.300857E-3</v>
      </c>
      <c r="W5962">
        <v>-8.1252690000000002E-2</v>
      </c>
      <c r="X5962">
        <v>0.99667939999999999</v>
      </c>
      <c r="Y5962">
        <v>3.5853740000000001E-3</v>
      </c>
      <c r="Z5962">
        <v>0.13078090000000001</v>
      </c>
      <c r="AA5962">
        <v>0.99140479999999997</v>
      </c>
      <c r="AB5962">
        <v>20</v>
      </c>
      <c r="AC5962">
        <v>-4.3799999999975997E-2</v>
      </c>
      <c r="AD5962">
        <v>-8.8690000000000102E-2</v>
      </c>
      <c r="AE5962">
        <v>-0.48507400000000001</v>
      </c>
      <c r="AF5962">
        <v>6.2633316040566602E-3</v>
      </c>
      <c r="AG5962">
        <v>-8.8690000000000102E-2</v>
      </c>
      <c r="AH5962">
        <v>0.47137398587990198</v>
      </c>
      <c r="AI5962">
        <v>100.654825041263</v>
      </c>
      <c r="AJ5962">
        <v>89.238733235273301</v>
      </c>
      <c r="AK5962">
        <v>0.47968591806210897</v>
      </c>
      <c r="AL5962">
        <v>94.660574195967399</v>
      </c>
      <c r="AM5962">
        <v>90.304725742543994</v>
      </c>
      <c r="AN5962">
        <v>0.99999996255076395</v>
      </c>
    </row>
    <row r="5963" spans="1:40" x14ac:dyDescent="0.25">
      <c r="A5963" t="str">
        <f>"20190303154638663"</f>
        <v>20190303154638663</v>
      </c>
      <c r="B5963" t="str">
        <f>"1551599198657577"</f>
        <v>1551599198657577</v>
      </c>
      <c r="C5963" t="s">
        <v>40</v>
      </c>
      <c r="D5963">
        <v>5.487088</v>
      </c>
      <c r="E5963">
        <v>0.50299079999999996</v>
      </c>
      <c r="F5963" t="s">
        <v>42</v>
      </c>
      <c r="G5963">
        <v>-301.76179999999999</v>
      </c>
      <c r="H5963">
        <v>0.99710739999999998</v>
      </c>
      <c r="I5963">
        <v>-3.57301</v>
      </c>
      <c r="J5963">
        <v>-301.71499999999997</v>
      </c>
      <c r="K5963">
        <v>1.1009739999999999</v>
      </c>
      <c r="L5963">
        <v>-3.0644230000000001</v>
      </c>
      <c r="M5963">
        <v>-7.2495119999999996E-2</v>
      </c>
      <c r="N5963">
        <v>1.236231E-2</v>
      </c>
      <c r="O5963">
        <v>-0.99729250000000003</v>
      </c>
      <c r="P5963">
        <v>-6.6770140000000006E-2</v>
      </c>
      <c r="Q5963">
        <v>-6.9500220000000001E-2</v>
      </c>
      <c r="R5963">
        <v>-0.99534520000000004</v>
      </c>
      <c r="S5963">
        <v>-0.23632810000000001</v>
      </c>
      <c r="T5963">
        <v>-0.34999930000000001</v>
      </c>
      <c r="U5963">
        <v>-2.9738769999999999</v>
      </c>
      <c r="V5963">
        <v>-5.1988970000000001E-3</v>
      </c>
      <c r="W5963">
        <v>-8.1851450000000006E-2</v>
      </c>
      <c r="X5963">
        <v>0.99663100000000004</v>
      </c>
      <c r="Y5963">
        <v>6.0831000000000001E-3</v>
      </c>
      <c r="Z5963">
        <v>0.12847790000000001</v>
      </c>
      <c r="AA5963">
        <v>0.99169370000000001</v>
      </c>
      <c r="AB5963">
        <v>21</v>
      </c>
      <c r="AC5963">
        <v>-4.6800000000018799E-2</v>
      </c>
      <c r="AD5963">
        <v>-0.103866599999999</v>
      </c>
      <c r="AE5963">
        <v>-0.50858699999999901</v>
      </c>
      <c r="AF5963">
        <v>9.4145906635612099E-3</v>
      </c>
      <c r="AG5963">
        <v>-0.103866599999999</v>
      </c>
      <c r="AH5963">
        <v>0.49036126162120403</v>
      </c>
      <c r="AI5963">
        <v>101.95728358274501</v>
      </c>
      <c r="AJ5963">
        <v>88.900096542850306</v>
      </c>
      <c r="AK5963">
        <v>0.50132930495998496</v>
      </c>
      <c r="AL5963">
        <v>94.694995005559903</v>
      </c>
      <c r="AM5963">
        <v>90.298879077999999</v>
      </c>
      <c r="AN5963">
        <v>1.0000000192790499</v>
      </c>
    </row>
    <row r="5964" spans="1:40" x14ac:dyDescent="0.25">
      <c r="A5964" t="str">
        <f>"20190303154638707"</f>
        <v>20190303154638707</v>
      </c>
      <c r="B5964" t="str">
        <f>"1551599198697593"</f>
        <v>1551599198697593</v>
      </c>
      <c r="C5964" t="s">
        <v>40</v>
      </c>
      <c r="D5964">
        <v>5.5041989999999998</v>
      </c>
      <c r="E5964">
        <v>0.50342189999999998</v>
      </c>
      <c r="F5964" t="s">
        <v>42</v>
      </c>
      <c r="G5964">
        <v>-301.78320000000002</v>
      </c>
      <c r="H5964">
        <v>0.99442319999999995</v>
      </c>
      <c r="I5964">
        <v>-3.9542609999999998</v>
      </c>
      <c r="J5964">
        <v>-301.73970000000003</v>
      </c>
      <c r="K5964">
        <v>1.10507</v>
      </c>
      <c r="L5964">
        <v>-3.4915769999999902</v>
      </c>
      <c r="M5964">
        <v>-6.7637760000000005E-2</v>
      </c>
      <c r="N5964">
        <v>1.013731E-2</v>
      </c>
      <c r="O5964">
        <v>-0.99765839999999995</v>
      </c>
      <c r="P5964">
        <v>-6.2591789999999994E-2</v>
      </c>
      <c r="Q5964">
        <v>-7.2050119999999995E-2</v>
      </c>
      <c r="R5964">
        <v>-0.99543519999999996</v>
      </c>
      <c r="S5964">
        <v>-0.22702030000000001</v>
      </c>
      <c r="T5964">
        <v>-0.35630980000000001</v>
      </c>
      <c r="U5964">
        <v>-2.973938</v>
      </c>
      <c r="V5964">
        <v>-4.5790730000000003E-3</v>
      </c>
      <c r="W5964">
        <v>-8.2174839999999999E-2</v>
      </c>
      <c r="X5964">
        <v>0.99660740000000003</v>
      </c>
      <c r="Y5964">
        <v>7.8688290000000008E-3</v>
      </c>
      <c r="Z5964">
        <v>0.1284158</v>
      </c>
      <c r="AA5964">
        <v>0.99168920000000005</v>
      </c>
      <c r="AB5964">
        <v>21</v>
      </c>
      <c r="AC5964">
        <v>-4.3499999999994501E-2</v>
      </c>
      <c r="AD5964">
        <v>-0.1106468</v>
      </c>
      <c r="AE5964">
        <v>-0.46268399999999998</v>
      </c>
      <c r="AF5964">
        <v>1.1454525783258901E-2</v>
      </c>
      <c r="AG5964">
        <v>-0.1106468</v>
      </c>
      <c r="AH5964">
        <v>0.43964439790707499</v>
      </c>
      <c r="AI5964">
        <v>104.121846242979</v>
      </c>
      <c r="AJ5964">
        <v>88.507549405395494</v>
      </c>
      <c r="AK5964">
        <v>0.45349875095994902</v>
      </c>
      <c r="AL5964">
        <v>94.713586651277794</v>
      </c>
      <c r="AM5964">
        <v>90.263252822300302</v>
      </c>
      <c r="AN5964">
        <v>0.99999999098666204</v>
      </c>
    </row>
    <row r="5965" spans="1:40" x14ac:dyDescent="0.25">
      <c r="A5965" t="str">
        <f>"20190303154638735"</f>
        <v>20190303154638735</v>
      </c>
      <c r="B5965" t="str">
        <f>"1551599198727848"</f>
        <v>1551599198727848</v>
      </c>
      <c r="C5965" t="s">
        <v>40</v>
      </c>
      <c r="D5965">
        <v>5.4254290000000003</v>
      </c>
      <c r="E5965">
        <v>0.50438819999999995</v>
      </c>
      <c r="F5965" t="s">
        <v>42</v>
      </c>
      <c r="G5965">
        <v>-301.80279999999999</v>
      </c>
      <c r="H5965">
        <v>0.99981920000000002</v>
      </c>
      <c r="I5965">
        <v>-4.3473680000000003</v>
      </c>
      <c r="J5965">
        <v>-301.75560000000002</v>
      </c>
      <c r="K5965">
        <v>1.1075090000000001</v>
      </c>
      <c r="L5965">
        <v>-3.7798159999999998</v>
      </c>
      <c r="M5965">
        <v>-6.4734360000000005E-2</v>
      </c>
      <c r="N5965">
        <v>8.8124280000000006E-3</v>
      </c>
      <c r="O5965">
        <v>-0.99786359999999996</v>
      </c>
      <c r="P5965">
        <v>-5.8821909999999998E-2</v>
      </c>
      <c r="Q5965">
        <v>-7.4761859999999999E-2</v>
      </c>
      <c r="R5965">
        <v>-0.99546500000000004</v>
      </c>
      <c r="S5965">
        <v>-0.217804</v>
      </c>
      <c r="T5965">
        <v>-0.36596919999999999</v>
      </c>
      <c r="U5965">
        <v>-2.9735719999999999</v>
      </c>
      <c r="V5965">
        <v>-5.4580679999999999E-3</v>
      </c>
      <c r="W5965">
        <v>-8.3565790000000001E-2</v>
      </c>
      <c r="X5965">
        <v>0.99648729999999996</v>
      </c>
      <c r="Y5965">
        <v>7.7135149999999998E-3</v>
      </c>
      <c r="Z5965">
        <v>0.13032930000000001</v>
      </c>
      <c r="AA5965">
        <v>0.99144080000000001</v>
      </c>
      <c r="AB5965">
        <v>22</v>
      </c>
      <c r="AC5965">
        <v>-4.7199999999975199E-2</v>
      </c>
      <c r="AD5965">
        <v>-0.1076898</v>
      </c>
      <c r="AE5965">
        <v>-0.56755199999999995</v>
      </c>
      <c r="AF5965">
        <v>1.0001827241970299E-2</v>
      </c>
      <c r="AG5965">
        <v>-0.1076898</v>
      </c>
      <c r="AH5965">
        <v>0.54976004751251895</v>
      </c>
      <c r="AI5965">
        <v>101.08126713732401</v>
      </c>
      <c r="AJ5965">
        <v>88.957728416400798</v>
      </c>
      <c r="AK5965">
        <v>0.56029745619017801</v>
      </c>
      <c r="AL5965">
        <v>94.793557321737495</v>
      </c>
      <c r="AM5965">
        <v>90.313823501227503</v>
      </c>
      <c r="AN5965">
        <v>0.99999998541295299</v>
      </c>
    </row>
    <row r="5966" spans="1:40" x14ac:dyDescent="0.25">
      <c r="A5966" t="str">
        <f>"20190303154638760"</f>
        <v>20190303154638760</v>
      </c>
      <c r="B5966" t="str">
        <f>"1551599198747369"</f>
        <v>1551599198747369</v>
      </c>
      <c r="C5966" t="s">
        <v>40</v>
      </c>
      <c r="D5966">
        <v>5.4586800000000002</v>
      </c>
      <c r="E5966">
        <v>0.50450859999999997</v>
      </c>
      <c r="F5966" t="s">
        <v>42</v>
      </c>
      <c r="G5966">
        <v>-301.81139999999999</v>
      </c>
      <c r="H5966">
        <v>1.010677</v>
      </c>
      <c r="I5966">
        <v>-4.5508369999999996</v>
      </c>
      <c r="J5966">
        <v>-301.76850000000002</v>
      </c>
      <c r="K5966">
        <v>1.1093759999999999</v>
      </c>
      <c r="L5966">
        <v>-4.0242310000000003</v>
      </c>
      <c r="M5966">
        <v>-6.2358160000000003E-2</v>
      </c>
      <c r="N5966">
        <v>7.7314480000000001E-3</v>
      </c>
      <c r="O5966">
        <v>-0.99802400000000002</v>
      </c>
      <c r="P5966">
        <v>-5.5738059999999999E-2</v>
      </c>
      <c r="Q5966">
        <v>-7.7058199999999993E-2</v>
      </c>
      <c r="R5966">
        <v>-0.99546749999999995</v>
      </c>
      <c r="S5966">
        <v>-0.21423339999999999</v>
      </c>
      <c r="T5966">
        <v>-0.37355949999999999</v>
      </c>
      <c r="U5966">
        <v>-2.9729610000000002</v>
      </c>
      <c r="V5966">
        <v>-6.1701719999999998E-3</v>
      </c>
      <c r="W5966">
        <v>-8.4784899999999996E-2</v>
      </c>
      <c r="X5966">
        <v>0.99638020000000005</v>
      </c>
      <c r="Y5966">
        <v>8.9116990000000004E-3</v>
      </c>
      <c r="Z5966">
        <v>0.1317999</v>
      </c>
      <c r="AA5966">
        <v>0.99123629999999996</v>
      </c>
      <c r="AB5966">
        <v>22</v>
      </c>
      <c r="AC5966">
        <v>-4.2899999999974597E-2</v>
      </c>
      <c r="AD5966">
        <v>-9.8698999999999801E-2</v>
      </c>
      <c r="AE5966">
        <v>-0.52660600000000102</v>
      </c>
      <c r="AF5966">
        <v>9.6409119378133498E-3</v>
      </c>
      <c r="AG5966">
        <v>-9.8698999999999801E-2</v>
      </c>
      <c r="AH5966">
        <v>0.51044365267546499</v>
      </c>
      <c r="AI5966">
        <v>100.941712278233</v>
      </c>
      <c r="AJ5966">
        <v>88.917965005978303</v>
      </c>
      <c r="AK5966">
        <v>0.51998765595027596</v>
      </c>
      <c r="AL5966">
        <v>94.863655767123703</v>
      </c>
      <c r="AM5966">
        <v>90.354804617320497</v>
      </c>
      <c r="AN5966">
        <v>1.0000000266212701</v>
      </c>
    </row>
    <row r="5967" spans="1:40" x14ac:dyDescent="0.25">
      <c r="A5967" t="str">
        <f>"20190303154638784"</f>
        <v>20190303154638784</v>
      </c>
      <c r="B5967" t="str">
        <f>"1551599198777625"</f>
        <v>1551599198777625</v>
      </c>
      <c r="C5967" t="s">
        <v>40</v>
      </c>
      <c r="D5967">
        <v>5.4696610000000003</v>
      </c>
      <c r="E5967">
        <v>0.50447209999999998</v>
      </c>
      <c r="F5967" t="s">
        <v>42</v>
      </c>
      <c r="G5967">
        <v>-301.81920000000002</v>
      </c>
      <c r="H5967">
        <v>1.0157130000000001</v>
      </c>
      <c r="I5967">
        <v>-4.7534109999999998</v>
      </c>
      <c r="J5967">
        <v>-301.78089999999997</v>
      </c>
      <c r="K5967">
        <v>1.1110789999999999</v>
      </c>
      <c r="L5967">
        <v>-4.2695309999999997</v>
      </c>
      <c r="M5967">
        <v>-5.9993440000000002E-2</v>
      </c>
      <c r="N5967">
        <v>6.5406010000000001E-3</v>
      </c>
      <c r="O5967">
        <v>-0.99817739999999999</v>
      </c>
      <c r="P5967">
        <v>-5.3791930000000002E-2</v>
      </c>
      <c r="Q5967">
        <v>-7.9637529999999998E-2</v>
      </c>
      <c r="R5967">
        <v>-0.99537160000000002</v>
      </c>
      <c r="S5967">
        <v>-0.2059021</v>
      </c>
      <c r="T5967">
        <v>-0.38196989999999997</v>
      </c>
      <c r="U5967">
        <v>-2.9725649999999999</v>
      </c>
      <c r="V5967">
        <v>-5.7485359999999899E-3</v>
      </c>
      <c r="W5967">
        <v>-8.6174230000000004E-2</v>
      </c>
      <c r="X5967">
        <v>0.99626349999999997</v>
      </c>
      <c r="Y5967">
        <v>8.5107540000000006E-3</v>
      </c>
      <c r="Z5967">
        <v>0.13342780000000001</v>
      </c>
      <c r="AA5967">
        <v>0.99102199999999996</v>
      </c>
      <c r="AB5967">
        <v>22</v>
      </c>
      <c r="AC5967">
        <v>-3.8300000000049197E-2</v>
      </c>
      <c r="AD5967">
        <v>-9.5366000000000201E-2</v>
      </c>
      <c r="AE5967">
        <v>-0.48387999999999998</v>
      </c>
      <c r="AF5967">
        <v>8.8588055222349801E-3</v>
      </c>
      <c r="AG5967">
        <v>-9.5366000000000201E-2</v>
      </c>
      <c r="AH5967">
        <v>0.46726909208520101</v>
      </c>
      <c r="AI5967">
        <v>101.533187652103</v>
      </c>
      <c r="AJ5967">
        <v>88.913877726622005</v>
      </c>
      <c r="AK5967">
        <v>0.47698381189450101</v>
      </c>
      <c r="AL5967">
        <v>94.943551058847206</v>
      </c>
      <c r="AM5967">
        <v>90.330598477147703</v>
      </c>
      <c r="AN5967">
        <v>1.00000000250724</v>
      </c>
    </row>
    <row r="5968" spans="1:40" x14ac:dyDescent="0.25">
      <c r="A5968" t="str">
        <f>"20190303154638818"</f>
        <v>20190303154638818</v>
      </c>
      <c r="B5968" t="str">
        <f>"1551599198807881"</f>
        <v>1551599198807881</v>
      </c>
      <c r="C5968" t="s">
        <v>40</v>
      </c>
      <c r="D5968">
        <v>5.4059710000000001</v>
      </c>
      <c r="E5968">
        <v>0.48459089999999999</v>
      </c>
      <c r="F5968" t="s">
        <v>42</v>
      </c>
      <c r="G5968">
        <v>-301.83999999999997</v>
      </c>
      <c r="H5968">
        <v>0.9960599</v>
      </c>
      <c r="I5968">
        <v>-5.147532</v>
      </c>
      <c r="J5968">
        <v>-301.7978</v>
      </c>
      <c r="K5968">
        <v>1.113278</v>
      </c>
      <c r="L5968">
        <v>-4.6188960000000003</v>
      </c>
      <c r="M5968">
        <v>-5.6613650000000001E-2</v>
      </c>
      <c r="N5968">
        <v>4.5040879999999998E-3</v>
      </c>
      <c r="O5968">
        <v>-0.99838610000000005</v>
      </c>
      <c r="P5968">
        <v>-5.1956710000000003E-2</v>
      </c>
      <c r="Q5968">
        <v>-8.3133769999999996E-2</v>
      </c>
      <c r="R5968">
        <v>-0.99518309999999999</v>
      </c>
      <c r="S5968">
        <v>-0.19940189999999999</v>
      </c>
      <c r="T5968">
        <v>-0.3894879</v>
      </c>
      <c r="U5968">
        <v>-2.9720149999999999</v>
      </c>
      <c r="V5968">
        <v>-4.1964619999999998E-3</v>
      </c>
      <c r="W5968">
        <v>-8.7634820000000002E-2</v>
      </c>
      <c r="X5968">
        <v>0.99614380000000002</v>
      </c>
      <c r="Y5968">
        <v>9.7468229999999999E-3</v>
      </c>
      <c r="Z5968">
        <v>0.13394029999999901</v>
      </c>
      <c r="AA5968">
        <v>0.99094150000000003</v>
      </c>
      <c r="AB5968">
        <v>23</v>
      </c>
      <c r="AC5968">
        <v>-4.2199999999979802E-2</v>
      </c>
      <c r="AD5968">
        <v>-0.11721810000000001</v>
      </c>
      <c r="AE5968">
        <v>-0.528635999999999</v>
      </c>
      <c r="AF5968">
        <v>1.16355377345901E-2</v>
      </c>
      <c r="AG5968">
        <v>-0.11721810000000001</v>
      </c>
      <c r="AH5968">
        <v>0.5054814971071</v>
      </c>
      <c r="AI5968">
        <v>103.052445860387</v>
      </c>
      <c r="AJ5968">
        <v>88.681357282731</v>
      </c>
      <c r="AK5968">
        <v>0.51902505972603896</v>
      </c>
      <c r="AL5968">
        <v>95.0275546820274</v>
      </c>
      <c r="AM5968">
        <v>90.241368905924801</v>
      </c>
      <c r="AN5968">
        <v>0.999999971124094</v>
      </c>
    </row>
    <row r="5969" spans="1:40" x14ac:dyDescent="0.25">
      <c r="A5969" t="str">
        <f>"20190303154638864"</f>
        <v>20190303154638864</v>
      </c>
      <c r="B5969" t="str">
        <f>"1551599198857657"</f>
        <v>1551599198857657</v>
      </c>
      <c r="C5969" t="s">
        <v>40</v>
      </c>
      <c r="D5969">
        <v>5.3300380000000001</v>
      </c>
      <c r="E5969">
        <v>0.47758539999999999</v>
      </c>
      <c r="F5969" t="s">
        <v>42</v>
      </c>
      <c r="G5969">
        <v>-301.8066</v>
      </c>
      <c r="H5969">
        <v>1.029558</v>
      </c>
      <c r="I5969">
        <v>-5.3818869999999999</v>
      </c>
      <c r="J5969">
        <v>-301.81790000000001</v>
      </c>
      <c r="K5969">
        <v>1.115747</v>
      </c>
      <c r="L5969">
        <v>-5.0729680000000004</v>
      </c>
      <c r="M5969">
        <v>-5.2173360000000002E-2</v>
      </c>
      <c r="N5969">
        <v>1.3768539999999901E-3</v>
      </c>
      <c r="O5969">
        <v>-0.99863710000000006</v>
      </c>
      <c r="P5969">
        <v>-4.7784559999999997E-2</v>
      </c>
      <c r="Q5969">
        <v>-8.543452E-2</v>
      </c>
      <c r="R5969">
        <v>-0.99519760000000002</v>
      </c>
      <c r="S5969">
        <v>-3.4362789999999997E-2</v>
      </c>
      <c r="T5969">
        <v>-0.32763049999999999</v>
      </c>
      <c r="U5969">
        <v>-2.9853519999999998</v>
      </c>
      <c r="V5969">
        <v>-3.93312E-3</v>
      </c>
      <c r="W5969">
        <v>-8.6818909999999999E-2</v>
      </c>
      <c r="X5969">
        <v>0.9962164</v>
      </c>
      <c r="Y5969">
        <v>-4.0749E-2</v>
      </c>
      <c r="Z5969">
        <v>0.11018799999999999</v>
      </c>
      <c r="AA5969">
        <v>0.99307509999999999</v>
      </c>
      <c r="AB5969">
        <v>23</v>
      </c>
      <c r="AC5969">
        <v>1.1300000000005601E-2</v>
      </c>
      <c r="AD5969">
        <v>-8.6189000000000002E-2</v>
      </c>
      <c r="AE5969">
        <v>-0.308918999999999</v>
      </c>
      <c r="AF5969">
        <v>-2.54254425073023E-2</v>
      </c>
      <c r="AG5969">
        <v>-8.6189000000000002E-2</v>
      </c>
      <c r="AH5969">
        <v>0.285699016327842</v>
      </c>
      <c r="AI5969">
        <v>106.72499989517399</v>
      </c>
      <c r="AJ5969">
        <v>95.085571923164395</v>
      </c>
      <c r="AK5969">
        <v>0.29949778760182599</v>
      </c>
      <c r="AL5969">
        <v>94.980627201790895</v>
      </c>
      <c r="AM5969">
        <v>90.226205878027798</v>
      </c>
      <c r="AN5969">
        <v>1.0000000540977301</v>
      </c>
    </row>
    <row r="5970" spans="1:40" x14ac:dyDescent="0.25">
      <c r="A5970" t="str">
        <f>"20190303154638907"</f>
        <v>20190303154638907</v>
      </c>
      <c r="B5970" t="str">
        <f>"1551599198897673"</f>
        <v>1551599198897673</v>
      </c>
      <c r="C5970" t="s">
        <v>40</v>
      </c>
      <c r="D5970">
        <v>5.3533140000000001</v>
      </c>
      <c r="E5970">
        <v>0.48070439999999998</v>
      </c>
      <c r="F5970" t="s">
        <v>41</v>
      </c>
      <c r="G5970">
        <v>-301.69349999999997</v>
      </c>
      <c r="H5970" s="1">
        <v>-2.4006400000000002E-6</v>
      </c>
      <c r="I5970">
        <v>-15.8653</v>
      </c>
      <c r="J5970">
        <v>-301.8356</v>
      </c>
      <c r="K5970">
        <v>1.1176410000000001</v>
      </c>
      <c r="L5970">
        <v>-5.5148320000000002</v>
      </c>
      <c r="M5970">
        <v>-4.7847349999999997E-2</v>
      </c>
      <c r="N5970">
        <v>-1.8743220000000001E-3</v>
      </c>
      <c r="O5970">
        <v>-0.99885310000000005</v>
      </c>
      <c r="P5970">
        <v>-4.468689E-2</v>
      </c>
      <c r="Q5970">
        <v>-8.8369959999999997E-2</v>
      </c>
      <c r="R5970">
        <v>-0.99508540000000001</v>
      </c>
      <c r="S5970">
        <v>3.4454350000000002E-2</v>
      </c>
      <c r="T5970">
        <v>-0.30907479999999998</v>
      </c>
      <c r="U5970">
        <v>-2.9895939999999999</v>
      </c>
      <c r="V5970">
        <v>-2.705229E-3</v>
      </c>
      <c r="W5970">
        <v>-8.6511729999999995E-2</v>
      </c>
      <c r="X5970">
        <v>0.9962472</v>
      </c>
      <c r="Y5970">
        <v>-5.9290330000000002E-2</v>
      </c>
      <c r="Z5970">
        <v>0.1007001</v>
      </c>
      <c r="AA5970">
        <v>0.99314860000000005</v>
      </c>
      <c r="AB5970">
        <v>23</v>
      </c>
      <c r="AC5970">
        <v>0.14210000000002701</v>
      </c>
      <c r="AD5970">
        <v>-1.11764340063999</v>
      </c>
      <c r="AE5970">
        <v>-10.350467999999999</v>
      </c>
      <c r="AF5970">
        <v>-0.62983815724270997</v>
      </c>
      <c r="AG5970">
        <v>-1.11764340063999</v>
      </c>
      <c r="AH5970">
        <v>10.212758997622601</v>
      </c>
      <c r="AI5970">
        <v>96.233617820427995</v>
      </c>
      <c r="AJ5970">
        <v>93.529058225829601</v>
      </c>
      <c r="AK5970">
        <v>10.293020412825101</v>
      </c>
      <c r="AL5970">
        <v>94.962960681448607</v>
      </c>
      <c r="AM5970">
        <v>90.155581690325604</v>
      </c>
      <c r="AN5970">
        <v>1.0000000405996801</v>
      </c>
    </row>
    <row r="5971" spans="1:40" x14ac:dyDescent="0.25">
      <c r="A5971" t="str">
        <f>"20190303154638936"</f>
        <v>20190303154638936</v>
      </c>
      <c r="B5971" t="str">
        <f>"1551599198927929"</f>
        <v>1551599198927929</v>
      </c>
      <c r="C5971" t="s">
        <v>40</v>
      </c>
      <c r="D5971">
        <v>5.3440029999999998</v>
      </c>
      <c r="E5971">
        <v>0.48191929999999999</v>
      </c>
      <c r="F5971" t="s">
        <v>41</v>
      </c>
      <c r="G5971">
        <v>-301.76409999999998</v>
      </c>
      <c r="H5971" s="1">
        <v>-2.08362E-6</v>
      </c>
      <c r="I5971">
        <v>-16.648060000000001</v>
      </c>
      <c r="J5971">
        <v>-301.84640000000002</v>
      </c>
      <c r="K5971">
        <v>1.118633</v>
      </c>
      <c r="L5971">
        <v>-5.8112180000000002</v>
      </c>
      <c r="M5971">
        <v>-4.4957379999999998E-2</v>
      </c>
      <c r="N5971">
        <v>-3.8485379999999999E-3</v>
      </c>
      <c r="O5971">
        <v>-0.99898140000000002</v>
      </c>
      <c r="P5971">
        <v>-4.1609420000000001E-2</v>
      </c>
      <c r="Q5971">
        <v>-9.0551389999999995E-2</v>
      </c>
      <c r="R5971">
        <v>-0.99502230000000003</v>
      </c>
      <c r="S5971">
        <v>1.919556E-2</v>
      </c>
      <c r="T5971">
        <v>-0.30006440000000001</v>
      </c>
      <c r="U5971">
        <v>-2.9890439999999998</v>
      </c>
      <c r="V5971">
        <v>-2.8909180000000001E-3</v>
      </c>
      <c r="W5971">
        <v>-8.6727639999999995E-2</v>
      </c>
      <c r="X5971">
        <v>0.99622790000000006</v>
      </c>
      <c r="Y5971">
        <v>-5.1332120000000002E-2</v>
      </c>
      <c r="Z5971">
        <v>9.5837320000000004E-2</v>
      </c>
      <c r="AA5971">
        <v>0.99407259999999997</v>
      </c>
      <c r="AB5971">
        <v>23</v>
      </c>
      <c r="AC5971">
        <v>8.2300000000032E-2</v>
      </c>
      <c r="AD5971">
        <v>-1.1186350836200001</v>
      </c>
      <c r="AE5971">
        <v>-10.836841999999899</v>
      </c>
      <c r="AF5971">
        <v>-0.56341339127150103</v>
      </c>
      <c r="AG5971">
        <v>-1.1186350836200001</v>
      </c>
      <c r="AH5971">
        <v>10.7080918971877</v>
      </c>
      <c r="AI5971">
        <v>95.955668958782994</v>
      </c>
      <c r="AJ5971">
        <v>93.011878301406398</v>
      </c>
      <c r="AK5971">
        <v>10.781095082522301</v>
      </c>
      <c r="AL5971">
        <v>94.975378112844993</v>
      </c>
      <c r="AM5971">
        <v>90.166264100199101</v>
      </c>
      <c r="AN5971">
        <v>1.0000000348426299</v>
      </c>
    </row>
    <row r="5972" spans="1:40" x14ac:dyDescent="0.25">
      <c r="A5972" t="str">
        <f>"20190303154638974"</f>
        <v>20190303154638974</v>
      </c>
      <c r="B5972" t="str">
        <f>"1551599198967948"</f>
        <v>1551599198967948</v>
      </c>
      <c r="C5972" t="s">
        <v>40</v>
      </c>
      <c r="D5972">
        <v>5.3548030000000004</v>
      </c>
      <c r="E5972">
        <v>0.4831221</v>
      </c>
      <c r="F5972" t="s">
        <v>41</v>
      </c>
      <c r="G5972">
        <v>-301.77530000000002</v>
      </c>
      <c r="H5972" s="1">
        <v>-1.9480779999999998E-6</v>
      </c>
      <c r="I5972">
        <v>-16.970929999999999</v>
      </c>
      <c r="J5972">
        <v>-301.8587</v>
      </c>
      <c r="K5972">
        <v>1.119553</v>
      </c>
      <c r="L5972">
        <v>-6.1868589999999903</v>
      </c>
      <c r="M5972">
        <v>-4.1352609999999998E-2</v>
      </c>
      <c r="N5972">
        <v>-5.989823E-3</v>
      </c>
      <c r="O5972">
        <v>-0.99912690000000004</v>
      </c>
      <c r="P5972">
        <v>-3.7378139999999997E-2</v>
      </c>
      <c r="Q5972">
        <v>-9.3583879999999994E-2</v>
      </c>
      <c r="R5972">
        <v>-0.99490959999999995</v>
      </c>
      <c r="S5972">
        <v>1.9042969999999999E-2</v>
      </c>
      <c r="T5972">
        <v>-0.29956899999999997</v>
      </c>
      <c r="U5972">
        <v>-2.988556</v>
      </c>
      <c r="V5972">
        <v>-3.5162639999999998E-3</v>
      </c>
      <c r="W5972">
        <v>-8.7630429999999995E-2</v>
      </c>
      <c r="X5972">
        <v>0.99614689999999995</v>
      </c>
      <c r="Y5972">
        <v>-4.7675639999999998E-2</v>
      </c>
      <c r="Z5972">
        <v>9.3590859999999998E-2</v>
      </c>
      <c r="AA5972">
        <v>0.99446860000000004</v>
      </c>
      <c r="AB5972">
        <v>23</v>
      </c>
      <c r="AC5972">
        <v>8.3399999999983196E-2</v>
      </c>
      <c r="AD5972">
        <v>-1.119554948078</v>
      </c>
      <c r="AE5972">
        <v>-10.784071000000001</v>
      </c>
      <c r="AF5972">
        <v>-0.52364271703655796</v>
      </c>
      <c r="AG5972">
        <v>-1.119554948078</v>
      </c>
      <c r="AH5972">
        <v>10.656551224282101</v>
      </c>
      <c r="AI5972">
        <v>95.990199650605803</v>
      </c>
      <c r="AJ5972">
        <v>92.813143238617997</v>
      </c>
      <c r="AK5972">
        <v>10.7279862496472</v>
      </c>
      <c r="AL5972">
        <v>95.027301777651502</v>
      </c>
      <c r="AM5972">
        <v>90.202245522325697</v>
      </c>
      <c r="AN5972">
        <v>1.0000000513770499</v>
      </c>
    </row>
    <row r="5973" spans="1:40" x14ac:dyDescent="0.25">
      <c r="A5973" t="str">
        <f>"20190303154639021"</f>
        <v>20190303154639021</v>
      </c>
      <c r="B5973" t="str">
        <f>"1551599199017312"</f>
        <v>1551599199017312</v>
      </c>
      <c r="C5973" t="s">
        <v>40</v>
      </c>
      <c r="D5973">
        <v>5.4272549999999997</v>
      </c>
      <c r="E5973">
        <v>0.48391479999999998</v>
      </c>
      <c r="F5973" t="s">
        <v>41</v>
      </c>
      <c r="G5973">
        <v>-301.77620000000002</v>
      </c>
      <c r="H5973" s="1">
        <v>-1.799658E-6</v>
      </c>
      <c r="I5973">
        <v>-17.317509999999999</v>
      </c>
      <c r="J5973">
        <v>-301.87189999999998</v>
      </c>
      <c r="K5973">
        <v>1.1203099999999999</v>
      </c>
      <c r="L5973">
        <v>-6.645721</v>
      </c>
      <c r="M5973">
        <v>-3.7011229999999999E-2</v>
      </c>
      <c r="N5973">
        <v>-8.1152450000000001E-3</v>
      </c>
      <c r="O5973">
        <v>-0.999282</v>
      </c>
      <c r="P5973">
        <v>-3.3462599999999898E-2</v>
      </c>
      <c r="Q5973">
        <v>-9.8803130000000003E-2</v>
      </c>
      <c r="R5973">
        <v>-0.99454430000000005</v>
      </c>
      <c r="S5973">
        <v>2.2125240000000001E-2</v>
      </c>
      <c r="T5973">
        <v>-0.30053370000000001</v>
      </c>
      <c r="U5973">
        <v>-2.9879150000000001</v>
      </c>
      <c r="V5973">
        <v>-3.0902759999999999E-3</v>
      </c>
      <c r="W5973">
        <v>-9.0734380000000003E-2</v>
      </c>
      <c r="X5973">
        <v>0.99587040000000004</v>
      </c>
      <c r="Y5973">
        <v>-4.4360110000000001E-2</v>
      </c>
      <c r="Z5973">
        <v>9.1845860000000001E-2</v>
      </c>
      <c r="AA5973">
        <v>0.99478469999999997</v>
      </c>
      <c r="AB5973">
        <v>22</v>
      </c>
      <c r="AC5973">
        <v>9.5699999999965202E-2</v>
      </c>
      <c r="AD5973">
        <v>-1.1203117996580001</v>
      </c>
      <c r="AE5973">
        <v>-10.671789</v>
      </c>
      <c r="AF5973">
        <v>-0.48527585250274102</v>
      </c>
      <c r="AG5973">
        <v>-1.1203117996580001</v>
      </c>
      <c r="AH5973">
        <v>10.544735188096301</v>
      </c>
      <c r="AI5973">
        <v>96.0582019546694</v>
      </c>
      <c r="AJ5973">
        <v>92.634931437662402</v>
      </c>
      <c r="AK5973">
        <v>10.615179290457201</v>
      </c>
      <c r="AL5973">
        <v>95.205856488315405</v>
      </c>
      <c r="AM5973">
        <v>90.177793419726996</v>
      </c>
      <c r="AN5973">
        <v>1.00000006555794</v>
      </c>
    </row>
    <row r="5974" spans="1:40" x14ac:dyDescent="0.25">
      <c r="A5974" t="str">
        <f>"20190303154639053"</f>
        <v>20190303154639053</v>
      </c>
      <c r="B5974" t="str">
        <f>"1551599199047567"</f>
        <v>1551599199047567</v>
      </c>
      <c r="C5974" t="s">
        <v>40</v>
      </c>
      <c r="D5974">
        <v>5.4176970000000004</v>
      </c>
      <c r="E5974">
        <v>0.48422340000000003</v>
      </c>
      <c r="F5974" t="s">
        <v>41</v>
      </c>
      <c r="G5974">
        <v>-301.77359999999999</v>
      </c>
      <c r="H5974" s="1">
        <v>-1.8292790000000001E-6</v>
      </c>
      <c r="I5974">
        <v>-17.2468</v>
      </c>
      <c r="J5974">
        <v>-301.8802</v>
      </c>
      <c r="K5974">
        <v>1.1206579999999999</v>
      </c>
      <c r="L5974">
        <v>-6.9698179999999903</v>
      </c>
      <c r="M5974">
        <v>-3.3987940000000001E-2</v>
      </c>
      <c r="N5974">
        <v>-9.3028299999999998E-3</v>
      </c>
      <c r="O5974">
        <v>-0.99937900000000002</v>
      </c>
      <c r="P5974">
        <v>-3.0873520000000002E-2</v>
      </c>
      <c r="Q5974">
        <v>-0.1021719</v>
      </c>
      <c r="R5974">
        <v>-0.9942877</v>
      </c>
      <c r="S5974">
        <v>2.7709959999999999E-2</v>
      </c>
      <c r="T5974">
        <v>-0.31556319999999999</v>
      </c>
      <c r="U5974">
        <v>-2.9860530000000001</v>
      </c>
      <c r="V5974">
        <v>-2.6637800000000001E-3</v>
      </c>
      <c r="W5974">
        <v>-9.2921699999999996E-2</v>
      </c>
      <c r="X5974">
        <v>0.99566980000000005</v>
      </c>
      <c r="Y5974">
        <v>-4.3196209999999999E-2</v>
      </c>
      <c r="Z5974">
        <v>9.5694269999999998E-2</v>
      </c>
      <c r="AA5974">
        <v>0.9944731</v>
      </c>
      <c r="AB5974">
        <v>22</v>
      </c>
      <c r="AC5974">
        <v>0.106600000000014</v>
      </c>
      <c r="AD5974">
        <v>-1.120659829279</v>
      </c>
      <c r="AE5974">
        <v>-10.276982</v>
      </c>
      <c r="AF5974">
        <v>-0.45049076462626803</v>
      </c>
      <c r="AG5974">
        <v>-1.120659829279</v>
      </c>
      <c r="AH5974">
        <v>10.1467787964538</v>
      </c>
      <c r="AI5974">
        <v>96.296330125014805</v>
      </c>
      <c r="AJ5974">
        <v>92.542115184954497</v>
      </c>
      <c r="AK5974">
        <v>10.2184118299341</v>
      </c>
      <c r="AL5974">
        <v>95.331713115114098</v>
      </c>
      <c r="AM5974">
        <v>90.153286749698594</v>
      </c>
      <c r="AN5974">
        <v>0.999999944343407</v>
      </c>
    </row>
    <row r="5975" spans="1:40" x14ac:dyDescent="0.25">
      <c r="A5975" t="str">
        <f>"20190303154639087"</f>
        <v>20190303154639087</v>
      </c>
      <c r="B5975" t="str">
        <f>"1551599199077823"</f>
        <v>1551599199077823</v>
      </c>
      <c r="C5975" t="s">
        <v>40</v>
      </c>
      <c r="D5975">
        <v>5.4747409999999999</v>
      </c>
      <c r="E5975">
        <v>0.4846163</v>
      </c>
      <c r="F5975" t="s">
        <v>41</v>
      </c>
      <c r="G5975">
        <v>-301.76740000000001</v>
      </c>
      <c r="H5975" s="1">
        <v>-1.842647E-6</v>
      </c>
      <c r="I5975">
        <v>-17.21181</v>
      </c>
      <c r="J5975">
        <v>-301.88760000000002</v>
      </c>
      <c r="K5975">
        <v>1.1209340000000001</v>
      </c>
      <c r="L5975">
        <v>-7.2994690000000002</v>
      </c>
      <c r="M5975">
        <v>-3.0977660000000001E-2</v>
      </c>
      <c r="N5975">
        <v>-1.0305689999999999E-2</v>
      </c>
      <c r="O5975">
        <v>-0.99946699999999999</v>
      </c>
      <c r="P5975">
        <v>-2.7239050000000001E-2</v>
      </c>
      <c r="Q5975">
        <v>-0.1031576</v>
      </c>
      <c r="R5975">
        <v>-0.99429230000000002</v>
      </c>
      <c r="S5975">
        <v>3.2867430000000003E-2</v>
      </c>
      <c r="T5975">
        <v>-0.32658150000000002</v>
      </c>
      <c r="U5975">
        <v>-2.9847109999999999</v>
      </c>
      <c r="V5975">
        <v>-3.3108980000000001E-3</v>
      </c>
      <c r="W5975">
        <v>-9.2911320000000006E-2</v>
      </c>
      <c r="X5975">
        <v>0.99566889999999997</v>
      </c>
      <c r="Y5975">
        <v>-4.1904049999999998E-2</v>
      </c>
      <c r="Z5975">
        <v>9.8387680000000005E-2</v>
      </c>
      <c r="AA5975">
        <v>0.99426550000000002</v>
      </c>
      <c r="AB5975">
        <v>22</v>
      </c>
      <c r="AC5975">
        <v>0.12020000000001101</v>
      </c>
      <c r="AD5975">
        <v>-1.120935842647</v>
      </c>
      <c r="AE5975">
        <v>-9.9123409999999996</v>
      </c>
      <c r="AF5975">
        <v>-0.42182612829655602</v>
      </c>
      <c r="AG5975">
        <v>-1.120935842647</v>
      </c>
      <c r="AH5975">
        <v>9.7788245536142497</v>
      </c>
      <c r="AI5975">
        <v>96.533187267531602</v>
      </c>
      <c r="AJ5975">
        <v>92.470019018602798</v>
      </c>
      <c r="AK5975">
        <v>9.8518954570282204</v>
      </c>
      <c r="AL5975">
        <v>95.331115412770401</v>
      </c>
      <c r="AM5975">
        <v>90.190524965267898</v>
      </c>
      <c r="AN5975">
        <v>1.00000001692845</v>
      </c>
    </row>
    <row r="5976" spans="1:40" x14ac:dyDescent="0.25">
      <c r="A5976" t="str">
        <f>"20190303154639119"</f>
        <v>20190303154639119</v>
      </c>
      <c r="B5976" t="str">
        <f>"1551599199117841"</f>
        <v>1551599199117841</v>
      </c>
      <c r="C5976" t="s">
        <v>40</v>
      </c>
      <c r="D5976">
        <v>5.481973</v>
      </c>
      <c r="E5976">
        <v>0.48519420000000002</v>
      </c>
      <c r="F5976" t="s">
        <v>42</v>
      </c>
      <c r="G5976">
        <v>-301.87580000000003</v>
      </c>
      <c r="H5976">
        <v>1.024114</v>
      </c>
      <c r="I5976">
        <v>-8.1742010000000001</v>
      </c>
      <c r="J5976">
        <v>-301.89420000000001</v>
      </c>
      <c r="K5976">
        <v>1.1211660000000001</v>
      </c>
      <c r="L5976">
        <v>-7.6275940000000002</v>
      </c>
      <c r="M5976">
        <v>-2.8043100000000001E-2</v>
      </c>
      <c r="N5976">
        <v>-1.1122770000000001E-2</v>
      </c>
      <c r="O5976">
        <v>-0.99954520000000002</v>
      </c>
      <c r="P5976">
        <v>-2.2930030000000001E-2</v>
      </c>
      <c r="Q5976">
        <v>-0.10124859999999999</v>
      </c>
      <c r="R5976">
        <v>-0.99459730000000002</v>
      </c>
      <c r="S5976">
        <v>4.0771479999999999E-2</v>
      </c>
      <c r="T5976">
        <v>-0.33034039999999998</v>
      </c>
      <c r="U5976">
        <v>-2.98407</v>
      </c>
      <c r="V5976">
        <v>-4.7207280000000004E-3</v>
      </c>
      <c r="W5976">
        <v>-9.0190400000000004E-2</v>
      </c>
      <c r="X5976">
        <v>0.9959133</v>
      </c>
      <c r="Y5976">
        <v>-4.1603439999999998E-2</v>
      </c>
      <c r="Z5976">
        <v>9.8847470000000007E-2</v>
      </c>
      <c r="AA5976">
        <v>0.99423249999999996</v>
      </c>
      <c r="AB5976">
        <v>22</v>
      </c>
      <c r="AC5976">
        <v>1.8399999999985501E-2</v>
      </c>
      <c r="AD5976">
        <v>-9.7051999999999902E-2</v>
      </c>
      <c r="AE5976">
        <v>-0.54660699999999895</v>
      </c>
      <c r="AF5976">
        <v>-3.2692778439984103E-2</v>
      </c>
      <c r="AG5976">
        <v>-9.7051999999999902E-2</v>
      </c>
      <c r="AH5976">
        <v>0.52921133776318996</v>
      </c>
      <c r="AI5976">
        <v>100.37264849459299</v>
      </c>
      <c r="AJ5976">
        <v>93.535035387096102</v>
      </c>
      <c r="AK5976">
        <v>0.53902926495991899</v>
      </c>
      <c r="AL5976">
        <v>95.174561027436397</v>
      </c>
      <c r="AM5976">
        <v>90.271585654001498</v>
      </c>
      <c r="AN5976">
        <v>0.99999994732094799</v>
      </c>
    </row>
    <row r="5977" spans="1:40" x14ac:dyDescent="0.25">
      <c r="A5977" t="str">
        <f>"20190303154639153"</f>
        <v>20190303154639153</v>
      </c>
      <c r="B5977" t="str">
        <f>"1551599199147120"</f>
        <v>1551599199147120</v>
      </c>
      <c r="C5977" t="s">
        <v>40</v>
      </c>
      <c r="D5977">
        <v>5.5390329999999999</v>
      </c>
      <c r="E5977">
        <v>0.48559380000000002</v>
      </c>
      <c r="F5977" t="s">
        <v>41</v>
      </c>
      <c r="G5977">
        <v>-301.72590000000002</v>
      </c>
      <c r="H5977" s="1">
        <v>-1.5345639999999999E-6</v>
      </c>
      <c r="I5977">
        <v>-17.904229999999998</v>
      </c>
      <c r="J5977">
        <v>-301.8997</v>
      </c>
      <c r="K5977">
        <v>1.121356</v>
      </c>
      <c r="L5977">
        <v>-7.95687899999999</v>
      </c>
      <c r="M5977">
        <v>-2.5132100000000001E-2</v>
      </c>
      <c r="N5977">
        <v>-1.1782549999999999E-2</v>
      </c>
      <c r="O5977">
        <v>-0.99961460000000002</v>
      </c>
      <c r="P5977">
        <v>-1.8486300000000001E-2</v>
      </c>
      <c r="Q5977">
        <v>-0.1007985</v>
      </c>
      <c r="R5977">
        <v>-0.99473520000000004</v>
      </c>
      <c r="S5977">
        <v>4.8858640000000002E-2</v>
      </c>
      <c r="T5977">
        <v>-0.32558130000000002</v>
      </c>
      <c r="U5977">
        <v>-2.984283</v>
      </c>
      <c r="V5977">
        <v>-6.2761329999999997E-3</v>
      </c>
      <c r="W5977">
        <v>-8.908684E-2</v>
      </c>
      <c r="X5977">
        <v>0.99600409999999995</v>
      </c>
      <c r="Y5977">
        <v>-4.1388960000000002E-2</v>
      </c>
      <c r="Z5977">
        <v>9.6627149999999995E-2</v>
      </c>
      <c r="AA5977">
        <v>0.99445969999999995</v>
      </c>
      <c r="AB5977">
        <v>22</v>
      </c>
      <c r="AC5977">
        <v>0.17379999999997101</v>
      </c>
      <c r="AD5977">
        <v>-1.1213575345639999</v>
      </c>
      <c r="AE5977">
        <v>-9.9473509999999994</v>
      </c>
      <c r="AF5977">
        <v>-0.41844437524482597</v>
      </c>
      <c r="AG5977">
        <v>-1.1213575345639999</v>
      </c>
      <c r="AH5977">
        <v>9.8151485899549993</v>
      </c>
      <c r="AI5977">
        <v>96.511784085938004</v>
      </c>
      <c r="AJ5977">
        <v>92.441184369826601</v>
      </c>
      <c r="AK5977">
        <v>9.88785518999914</v>
      </c>
      <c r="AL5977">
        <v>95.111075796049207</v>
      </c>
      <c r="AM5977">
        <v>90.361033828314106</v>
      </c>
      <c r="AN5977">
        <v>1.00000001106171</v>
      </c>
    </row>
    <row r="5978" spans="1:40" x14ac:dyDescent="0.25">
      <c r="A5978" t="str">
        <f>"20190303154639289"</f>
        <v>20190303154639289</v>
      </c>
      <c r="B5978" t="str">
        <f>"1551599199277904"</f>
        <v>1551599199277904</v>
      </c>
      <c r="C5978" t="s">
        <v>40</v>
      </c>
      <c r="D5978">
        <v>5.7512379999999999</v>
      </c>
      <c r="E5978">
        <v>0.48602859999999998</v>
      </c>
      <c r="F5978" t="s">
        <v>41</v>
      </c>
      <c r="G5978">
        <v>-301.69670000000002</v>
      </c>
      <c r="H5978" s="1">
        <v>-1.395015E-6</v>
      </c>
      <c r="I5978">
        <v>-18.211410000000001</v>
      </c>
      <c r="J5978">
        <v>-301.91269999999997</v>
      </c>
      <c r="K5978">
        <v>1.121818</v>
      </c>
      <c r="L5978">
        <v>-9.2763369999999998</v>
      </c>
      <c r="M5978">
        <v>-1.3458110000000001E-2</v>
      </c>
      <c r="N5978">
        <v>-1.33828E-2</v>
      </c>
      <c r="O5978">
        <v>-0.99981989999999998</v>
      </c>
      <c r="P5978">
        <v>-1.269253E-2</v>
      </c>
      <c r="Q5978">
        <v>-0.102844699999999</v>
      </c>
      <c r="R5978">
        <v>-0.99461650000000001</v>
      </c>
      <c r="S5978">
        <v>5.9082030000000001E-2</v>
      </c>
      <c r="T5978">
        <v>-0.32629859999999999</v>
      </c>
      <c r="U5978">
        <v>-2.9839169999999999</v>
      </c>
      <c r="V5978">
        <v>-4.529019E-4</v>
      </c>
      <c r="W5978">
        <v>-8.9525220000000003E-2</v>
      </c>
      <c r="X5978">
        <v>0.99598439999999999</v>
      </c>
      <c r="Y5978">
        <v>-3.3133759999999998E-2</v>
      </c>
      <c r="Z5978">
        <v>9.5334279999999993E-2</v>
      </c>
      <c r="AA5978">
        <v>0.99489369999999999</v>
      </c>
      <c r="AB5978">
        <v>22</v>
      </c>
      <c r="AC5978">
        <v>0.21599999999995101</v>
      </c>
      <c r="AD5978">
        <v>-1.1218193950149999</v>
      </c>
      <c r="AE5978">
        <v>-8.9350729999999992</v>
      </c>
      <c r="AF5978">
        <v>-0.33102536153561701</v>
      </c>
      <c r="AG5978">
        <v>-1.1218193950149999</v>
      </c>
      <c r="AH5978">
        <v>8.7928325297230803</v>
      </c>
      <c r="AI5978">
        <v>97.265618012701793</v>
      </c>
      <c r="AJ5978">
        <v>92.156006414545601</v>
      </c>
      <c r="AK5978">
        <v>8.8702852513753996</v>
      </c>
      <c r="AL5978">
        <v>95.136294212284895</v>
      </c>
      <c r="AM5978">
        <v>90.026053988009096</v>
      </c>
      <c r="AN5978">
        <v>0.99999994758976796</v>
      </c>
    </row>
    <row r="5979" spans="1:40" x14ac:dyDescent="0.25">
      <c r="A5979" t="str">
        <f>"20190303154639355"</f>
        <v>20190303154639355</v>
      </c>
      <c r="B5979" t="str">
        <f>"1551599199347200"</f>
        <v>1551599199347200</v>
      </c>
      <c r="C5979" t="s">
        <v>40</v>
      </c>
      <c r="D5979">
        <v>5.6121290000000004</v>
      </c>
      <c r="E5979">
        <v>0.48706640000000001</v>
      </c>
      <c r="F5979" t="s">
        <v>42</v>
      </c>
      <c r="G5979">
        <v>-301.89179999999999</v>
      </c>
      <c r="H5979">
        <v>1.0270349999999999</v>
      </c>
      <c r="I5979">
        <v>-10.129440000000001</v>
      </c>
      <c r="J5979">
        <v>-301.91329999999999</v>
      </c>
      <c r="K5979">
        <v>1.121893</v>
      </c>
      <c r="L5979">
        <v>-9.9083559999999995</v>
      </c>
      <c r="M5979">
        <v>-7.8245799999999994E-3</v>
      </c>
      <c r="N5979">
        <v>-1.377018E-2</v>
      </c>
      <c r="O5979">
        <v>-0.9998745</v>
      </c>
      <c r="P5979">
        <v>-1.1983799999999999E-2</v>
      </c>
      <c r="Q5979">
        <v>-0.10943609999999999</v>
      </c>
      <c r="R5979">
        <v>-0.99392179999999997</v>
      </c>
      <c r="S5979">
        <v>7.3059079999999998E-2</v>
      </c>
      <c r="T5979">
        <v>-0.33143879999999998</v>
      </c>
      <c r="U5979">
        <v>-2.98291</v>
      </c>
      <c r="V5979">
        <v>4.4630319999999996E-3</v>
      </c>
      <c r="W5979">
        <v>-9.5726740000000005E-2</v>
      </c>
      <c r="X5979">
        <v>0.99539759999999999</v>
      </c>
      <c r="Y5979">
        <v>-3.2165029999999997E-2</v>
      </c>
      <c r="Z5979">
        <v>9.6685209999999994E-2</v>
      </c>
      <c r="AA5979">
        <v>0.99479510000000004</v>
      </c>
      <c r="AB5979">
        <v>22</v>
      </c>
      <c r="AC5979">
        <v>2.15000000000031E-2</v>
      </c>
      <c r="AD5979">
        <v>-9.4857999999999804E-2</v>
      </c>
      <c r="AE5979">
        <v>-0.221083999999999</v>
      </c>
      <c r="AF5979">
        <v>-1.9646524648618401E-2</v>
      </c>
      <c r="AG5979">
        <v>-9.4857999999999804E-2</v>
      </c>
      <c r="AH5979">
        <v>0.18683628170764499</v>
      </c>
      <c r="AI5979">
        <v>116.79024482605401</v>
      </c>
      <c r="AJ5979">
        <v>96.002802634256597</v>
      </c>
      <c r="AK5979">
        <v>0.21045622408735501</v>
      </c>
      <c r="AL5979">
        <v>95.493149835523695</v>
      </c>
      <c r="AM5979">
        <v>89.743106489409897</v>
      </c>
      <c r="AN5979">
        <v>0.99999995474570902</v>
      </c>
    </row>
    <row r="5980" spans="1:40" x14ac:dyDescent="0.25">
      <c r="A5980" t="str">
        <f>"20190303154639388"</f>
        <v>20190303154639388</v>
      </c>
      <c r="B5980" t="str">
        <f>"1551599199377456"</f>
        <v>1551599199377456</v>
      </c>
      <c r="C5980" t="s">
        <v>40</v>
      </c>
      <c r="D5980">
        <v>5.6711010000000002</v>
      </c>
      <c r="E5980">
        <v>0.48867260000000001</v>
      </c>
      <c r="F5980" t="s">
        <v>41</v>
      </c>
      <c r="G5980">
        <v>-301.68599999999998</v>
      </c>
      <c r="H5980" s="1">
        <v>-6.3437549999999998E-7</v>
      </c>
      <c r="I5980">
        <v>-19.977869999999999</v>
      </c>
      <c r="J5980">
        <v>-301.91239999999999</v>
      </c>
      <c r="K5980">
        <v>1.1219349999999999</v>
      </c>
      <c r="L5980">
        <v>-10.224</v>
      </c>
      <c r="M5980">
        <v>-5.0079019999999998E-3</v>
      </c>
      <c r="N5980">
        <v>-1.390858E-2</v>
      </c>
      <c r="O5980">
        <v>-0.99989070000000002</v>
      </c>
      <c r="P5980">
        <v>-1.0810989999999999E-2</v>
      </c>
      <c r="Q5980">
        <v>-0.1077968</v>
      </c>
      <c r="R5980">
        <v>-0.99411450000000001</v>
      </c>
      <c r="S5980">
        <v>6.7321779999999998E-2</v>
      </c>
      <c r="T5980">
        <v>-0.33230320000000002</v>
      </c>
      <c r="U5980">
        <v>-2.9825740000000001</v>
      </c>
      <c r="V5980">
        <v>6.0832919999999997E-3</v>
      </c>
      <c r="W5980">
        <v>-9.394313E-2</v>
      </c>
      <c r="X5980">
        <v>0.99555899999999997</v>
      </c>
      <c r="Y5980">
        <v>-2.7442729999999999E-2</v>
      </c>
      <c r="Z5980">
        <v>9.6858319999999998E-2</v>
      </c>
      <c r="AA5980">
        <v>0.99491980000000002</v>
      </c>
      <c r="AB5980">
        <v>22</v>
      </c>
      <c r="AC5980">
        <v>0.22640000000001201</v>
      </c>
      <c r="AD5980">
        <v>-1.1219356343755</v>
      </c>
      <c r="AE5980">
        <v>-9.7538699999999992</v>
      </c>
      <c r="AF5980">
        <v>-0.27165605511995</v>
      </c>
      <c r="AG5980">
        <v>-1.1219356343755</v>
      </c>
      <c r="AH5980">
        <v>9.6253327061864304</v>
      </c>
      <c r="AI5980">
        <v>96.645813129710703</v>
      </c>
      <c r="AJ5980">
        <v>91.616631366625001</v>
      </c>
      <c r="AK5980">
        <v>9.6943058691557198</v>
      </c>
      <c r="AL5980">
        <v>95.390493467595206</v>
      </c>
      <c r="AM5980">
        <v>89.649902598133593</v>
      </c>
      <c r="AN5980">
        <v>1.0000000202983701</v>
      </c>
    </row>
    <row r="5981" spans="1:40" x14ac:dyDescent="0.25">
      <c r="A5981" t="str">
        <f>"20190303154639421"</f>
        <v>20190303154639421</v>
      </c>
      <c r="B5981" t="str">
        <f>"1551599199417472"</f>
        <v>1551599199417472</v>
      </c>
      <c r="C5981" t="s">
        <v>40</v>
      </c>
      <c r="D5981">
        <v>5.5974729999999999</v>
      </c>
      <c r="E5981">
        <v>0.48940050000000002</v>
      </c>
      <c r="F5981" t="s">
        <v>42</v>
      </c>
      <c r="G5981">
        <v>-301.89589999999998</v>
      </c>
      <c r="H5981">
        <v>1.0309539999999999</v>
      </c>
      <c r="I5981">
        <v>-11.083019999999999</v>
      </c>
      <c r="J5981">
        <v>-301.91039999999998</v>
      </c>
      <c r="K5981">
        <v>1.121982</v>
      </c>
      <c r="L5981">
        <v>-10.547359999999999</v>
      </c>
      <c r="M5981">
        <v>-2.1249239999999998E-3</v>
      </c>
      <c r="N5981">
        <v>-1.4022089999999999E-2</v>
      </c>
      <c r="O5981">
        <v>-0.9998996</v>
      </c>
      <c r="P5981">
        <v>-7.756176E-3</v>
      </c>
      <c r="Q5981">
        <v>-0.105837899999999</v>
      </c>
      <c r="R5981">
        <v>-0.9943535</v>
      </c>
      <c r="S5981">
        <v>5.807495E-2</v>
      </c>
      <c r="T5981">
        <v>-0.31622489999999998</v>
      </c>
      <c r="U5981">
        <v>-2.9841000000000002</v>
      </c>
      <c r="V5981">
        <v>5.887148E-3</v>
      </c>
      <c r="W5981">
        <v>-9.1869030000000004E-2</v>
      </c>
      <c r="X5981">
        <v>0.99575369999999996</v>
      </c>
      <c r="Y5981">
        <v>-2.1482910000000001E-2</v>
      </c>
      <c r="Z5981">
        <v>9.1402839999999999E-2</v>
      </c>
      <c r="AA5981">
        <v>0.99558219999999997</v>
      </c>
      <c r="AB5981">
        <v>22</v>
      </c>
      <c r="AC5981">
        <v>1.4499999999998099E-2</v>
      </c>
      <c r="AD5981">
        <v>-9.1027999999999804E-2</v>
      </c>
      <c r="AE5981">
        <v>-0.53565999999999803</v>
      </c>
      <c r="AF5981">
        <v>-1.51996958474166E-2</v>
      </c>
      <c r="AG5981">
        <v>-9.1027999999999804E-2</v>
      </c>
      <c r="AH5981">
        <v>0.52060480449165603</v>
      </c>
      <c r="AI5981">
        <v>99.913792409627007</v>
      </c>
      <c r="AJ5981">
        <v>91.6723454905094</v>
      </c>
      <c r="AK5981">
        <v>0.52872156188077801</v>
      </c>
      <c r="AL5981">
        <v>95.271140138970395</v>
      </c>
      <c r="AM5981">
        <v>89.661256791039904</v>
      </c>
      <c r="AN5981">
        <v>1.0000000041242001</v>
      </c>
    </row>
    <row r="5982" spans="1:40" x14ac:dyDescent="0.25">
      <c r="A5982" t="str">
        <f>"20190303154639457"</f>
        <v>20190303154639457</v>
      </c>
      <c r="B5982" t="str">
        <f>"1551599199447727"</f>
        <v>1551599199447727</v>
      </c>
      <c r="C5982" t="s">
        <v>40</v>
      </c>
      <c r="D5982">
        <v>5.5838720000000004</v>
      </c>
      <c r="E5982">
        <v>0.48986449999999998</v>
      </c>
      <c r="F5982" t="s">
        <v>41</v>
      </c>
      <c r="G5982">
        <v>-301.68490000000003</v>
      </c>
      <c r="H5982" s="1">
        <v>-4.2166079999999998E-6</v>
      </c>
      <c r="I5982">
        <v>-21.50074</v>
      </c>
      <c r="J5982">
        <v>-301.90750000000003</v>
      </c>
      <c r="K5982">
        <v>1.1220220000000001</v>
      </c>
      <c r="L5982">
        <v>-10.87659</v>
      </c>
      <c r="M5982">
        <v>7.9825679999999996E-4</v>
      </c>
      <c r="N5982">
        <v>-1.411164E-2</v>
      </c>
      <c r="O5982">
        <v>-0.99990020000000002</v>
      </c>
      <c r="P5982">
        <v>-4.0752699999999998E-3</v>
      </c>
      <c r="Q5982">
        <v>-0.1046889</v>
      </c>
      <c r="R5982">
        <v>-0.99449659999999995</v>
      </c>
      <c r="S5982">
        <v>6.14624E-2</v>
      </c>
      <c r="T5982">
        <v>-0.3057607</v>
      </c>
      <c r="U5982">
        <v>-2.984985</v>
      </c>
      <c r="V5982">
        <v>5.1072399999999999E-3</v>
      </c>
      <c r="W5982">
        <v>-9.0631429999999999E-2</v>
      </c>
      <c r="X5982">
        <v>0.99587139999999996</v>
      </c>
      <c r="Y5982">
        <v>-1.96922E-2</v>
      </c>
      <c r="Z5982">
        <v>8.7830889999999995E-2</v>
      </c>
      <c r="AA5982">
        <v>0.99594070000000001</v>
      </c>
      <c r="AB5982">
        <v>21</v>
      </c>
      <c r="AC5982">
        <v>0.22259999999999899</v>
      </c>
      <c r="AD5982">
        <v>-1.1220262166079999</v>
      </c>
      <c r="AE5982">
        <v>-10.62415</v>
      </c>
      <c r="AF5982">
        <v>-0.21175744992291801</v>
      </c>
      <c r="AG5982">
        <v>-1.1220262166079999</v>
      </c>
      <c r="AH5982">
        <v>10.507182152539301</v>
      </c>
      <c r="AI5982">
        <v>96.094094045685097</v>
      </c>
      <c r="AJ5982">
        <v>91.154559399033005</v>
      </c>
      <c r="AK5982">
        <v>10.569042569457</v>
      </c>
      <c r="AL5982">
        <v>95.199933864394694</v>
      </c>
      <c r="AM5982">
        <v>89.706166145940699</v>
      </c>
      <c r="AN5982">
        <v>0.99999999267111095</v>
      </c>
    </row>
    <row r="5983" spans="1:40" x14ac:dyDescent="0.25">
      <c r="A5983" t="str">
        <f>"20190303154639492"</f>
        <v>20190303154639492</v>
      </c>
      <c r="B5983" t="str">
        <f>"1551599199487745"</f>
        <v>1551599199487745</v>
      </c>
      <c r="C5983" t="s">
        <v>40</v>
      </c>
      <c r="D5983">
        <v>5.5708679999999999</v>
      </c>
      <c r="E5983">
        <v>0.4903324</v>
      </c>
      <c r="F5983" t="s">
        <v>41</v>
      </c>
      <c r="G5983">
        <v>-301.64859999999999</v>
      </c>
      <c r="H5983" s="1">
        <v>-4.0140979999999998E-6</v>
      </c>
      <c r="I5983">
        <v>-22.076440000000002</v>
      </c>
      <c r="J5983">
        <v>-301.90339999999998</v>
      </c>
      <c r="K5983">
        <v>1.122039</v>
      </c>
      <c r="L5983">
        <v>-11.213990000000001</v>
      </c>
      <c r="M5983">
        <v>3.763415E-3</v>
      </c>
      <c r="N5983">
        <v>-1.418349E-2</v>
      </c>
      <c r="O5983">
        <v>-0.99989240000000001</v>
      </c>
      <c r="P5983">
        <v>-6.3190960000000004E-4</v>
      </c>
      <c r="Q5983">
        <v>-0.10449269999999999</v>
      </c>
      <c r="R5983">
        <v>-0.9945254</v>
      </c>
      <c r="S5983">
        <v>6.9000240000000004E-2</v>
      </c>
      <c r="T5983">
        <v>-0.2990854</v>
      </c>
      <c r="U5983">
        <v>-2.9854129999999999</v>
      </c>
      <c r="V5983">
        <v>4.6075559999999996E-3</v>
      </c>
      <c r="W5983">
        <v>-9.0364920000000001E-2</v>
      </c>
      <c r="X5983">
        <v>0.99589810000000001</v>
      </c>
      <c r="Y5983">
        <v>-1.924302E-2</v>
      </c>
      <c r="Z5983">
        <v>8.5537550000000004E-2</v>
      </c>
      <c r="AA5983">
        <v>0.99614910000000001</v>
      </c>
      <c r="AB5983">
        <v>21</v>
      </c>
      <c r="AC5983">
        <v>0.25479999999998798</v>
      </c>
      <c r="AD5983">
        <v>-1.122043014098</v>
      </c>
      <c r="AE5983">
        <v>-10.862450000000001</v>
      </c>
      <c r="AF5983">
        <v>-0.21165704480570299</v>
      </c>
      <c r="AG5983">
        <v>-1.122043014098</v>
      </c>
      <c r="AH5983">
        <v>10.7487067052933</v>
      </c>
      <c r="AI5983">
        <v>95.958298372240293</v>
      </c>
      <c r="AJ5983">
        <v>91.128088117228302</v>
      </c>
      <c r="AK5983">
        <v>10.8091847549442</v>
      </c>
      <c r="AL5983">
        <v>95.184600819436398</v>
      </c>
      <c r="AM5983">
        <v>89.734921043511207</v>
      </c>
      <c r="AN5983">
        <v>1.0000000369612501</v>
      </c>
    </row>
    <row r="5984" spans="1:40" x14ac:dyDescent="0.25">
      <c r="A5984" t="str">
        <f>"20190303154639524"</f>
        <v>20190303154639524</v>
      </c>
      <c r="B5984" t="str">
        <f>"1551599199518001"</f>
        <v>1551599199518001</v>
      </c>
      <c r="C5984" t="s">
        <v>40</v>
      </c>
      <c r="D5984">
        <v>5.5484470000000004</v>
      </c>
      <c r="E5984">
        <v>0.49068909999999999</v>
      </c>
      <c r="F5984" t="s">
        <v>41</v>
      </c>
      <c r="G5984">
        <v>-301.6157</v>
      </c>
      <c r="H5984" s="1">
        <v>-3.7915750000000002E-6</v>
      </c>
      <c r="I5984">
        <v>-22.57471</v>
      </c>
      <c r="J5984">
        <v>-301.89890000000003</v>
      </c>
      <c r="K5984">
        <v>1.1220490000000001</v>
      </c>
      <c r="L5984">
        <v>-11.526490000000001</v>
      </c>
      <c r="M5984">
        <v>6.4592969999999897E-3</v>
      </c>
      <c r="N5984">
        <v>-1.423514E-2</v>
      </c>
      <c r="O5984">
        <v>-0.99987800000000004</v>
      </c>
      <c r="P5984">
        <v>1.655061E-3</v>
      </c>
      <c r="Q5984">
        <v>-0.10435510000000001</v>
      </c>
      <c r="R5984">
        <v>-0.99453919999999996</v>
      </c>
      <c r="S5984">
        <v>7.5622560000000005E-2</v>
      </c>
      <c r="T5984">
        <v>-0.29487259999999998</v>
      </c>
      <c r="U5984">
        <v>-2.9855960000000001</v>
      </c>
      <c r="V5984">
        <v>4.9948470000000002E-3</v>
      </c>
      <c r="W5984">
        <v>-9.0175140000000001E-2</v>
      </c>
      <c r="X5984">
        <v>0.99591339999999995</v>
      </c>
      <c r="Y5984">
        <v>-1.875781E-2</v>
      </c>
      <c r="Z5984">
        <v>8.4084560000000003E-2</v>
      </c>
      <c r="AA5984">
        <v>0.996282</v>
      </c>
      <c r="AB5984">
        <v>21</v>
      </c>
      <c r="AC5984">
        <v>0.28320000000002199</v>
      </c>
      <c r="AD5984">
        <v>-1.122052791575</v>
      </c>
      <c r="AE5984">
        <v>-11.048220000000001</v>
      </c>
      <c r="AF5984">
        <v>-0.209662030290759</v>
      </c>
      <c r="AG5984">
        <v>-1.122052791575</v>
      </c>
      <c r="AH5984">
        <v>10.9370840658763</v>
      </c>
      <c r="AI5984">
        <v>95.856503326238695</v>
      </c>
      <c r="AJ5984">
        <v>91.098215778604796</v>
      </c>
      <c r="AK5984">
        <v>10.996488916834901</v>
      </c>
      <c r="AL5984">
        <v>95.173682831109602</v>
      </c>
      <c r="AM5984">
        <v>89.712644439840304</v>
      </c>
      <c r="AN5984">
        <v>1.0000000023350599</v>
      </c>
    </row>
    <row r="5985" spans="1:40" x14ac:dyDescent="0.25">
      <c r="A5985" t="str">
        <f>"20190303154639557"</f>
        <v>20190303154639557</v>
      </c>
      <c r="B5985" t="str">
        <f>"1551599199547280"</f>
        <v>1551599199547280</v>
      </c>
      <c r="C5985" t="s">
        <v>40</v>
      </c>
      <c r="D5985">
        <v>5.5978579999999996</v>
      </c>
      <c r="E5985">
        <v>0.49104599999999998</v>
      </c>
      <c r="F5985" t="s">
        <v>42</v>
      </c>
      <c r="G5985">
        <v>-301.87509999999997</v>
      </c>
      <c r="H5985">
        <v>1.03437</v>
      </c>
      <c r="I5985">
        <v>-12.422169999999999</v>
      </c>
      <c r="J5985">
        <v>-301.89370000000002</v>
      </c>
      <c r="K5985">
        <v>1.1220289999999999</v>
      </c>
      <c r="L5985">
        <v>-11.83456</v>
      </c>
      <c r="M5985">
        <v>9.040569E-3</v>
      </c>
      <c r="N5985">
        <v>-1.4273920000000001E-2</v>
      </c>
      <c r="O5985">
        <v>-0.99985749999999995</v>
      </c>
      <c r="P5985">
        <v>2.8788059999999998E-3</v>
      </c>
      <c r="Q5985">
        <v>-0.1033539</v>
      </c>
      <c r="R5985">
        <v>-0.99464079999999999</v>
      </c>
      <c r="S5985">
        <v>7.9650879999999993E-2</v>
      </c>
      <c r="T5985">
        <v>-0.29229060000000001</v>
      </c>
      <c r="U5985">
        <v>-2.985687</v>
      </c>
      <c r="V5985">
        <v>6.3275569999999897E-3</v>
      </c>
      <c r="W5985">
        <v>-8.9131230000000006E-2</v>
      </c>
      <c r="X5985">
        <v>0.99599979999999999</v>
      </c>
      <c r="Y5985">
        <v>-1.752221E-2</v>
      </c>
      <c r="Z5985">
        <v>8.3186659999999996E-2</v>
      </c>
      <c r="AA5985">
        <v>0.99637989999999999</v>
      </c>
      <c r="AB5985">
        <v>21</v>
      </c>
      <c r="AC5985">
        <v>1.8600000000049001E-2</v>
      </c>
      <c r="AD5985">
        <v>-8.7659000000000098E-2</v>
      </c>
      <c r="AE5985">
        <v>-0.58760999999999897</v>
      </c>
      <c r="AF5985">
        <v>-1.2997411768524999E-2</v>
      </c>
      <c r="AG5985">
        <v>-8.7659000000000098E-2</v>
      </c>
      <c r="AH5985">
        <v>0.57497135432677904</v>
      </c>
      <c r="AI5985">
        <v>98.666271063708805</v>
      </c>
      <c r="AJ5985">
        <v>91.294968915200698</v>
      </c>
      <c r="AK5985">
        <v>0.58176033836112595</v>
      </c>
      <c r="AL5985">
        <v>95.1136293302486</v>
      </c>
      <c r="AM5985">
        <v>89.636006519864495</v>
      </c>
      <c r="AN5985">
        <v>1.00000000786947</v>
      </c>
    </row>
    <row r="5986" spans="1:40" x14ac:dyDescent="0.25">
      <c r="A5986" t="str">
        <f>"20190303154639592"</f>
        <v>20190303154639592</v>
      </c>
      <c r="B5986" t="str">
        <f>"1551599199587297"</f>
        <v>1551599199587297</v>
      </c>
      <c r="C5986" t="s">
        <v>40</v>
      </c>
      <c r="D5986">
        <v>5.6216309999999998</v>
      </c>
      <c r="E5986">
        <v>0.4915639</v>
      </c>
      <c r="F5986" t="s">
        <v>41</v>
      </c>
      <c r="G5986">
        <v>-301.5797</v>
      </c>
      <c r="H5986" s="1">
        <v>-3.3827260000000001E-6</v>
      </c>
      <c r="I5986">
        <v>-23.50543</v>
      </c>
      <c r="J5986">
        <v>-301.88760000000002</v>
      </c>
      <c r="K5986">
        <v>1.1219840000000001</v>
      </c>
      <c r="L5986">
        <v>-12.156829999999999</v>
      </c>
      <c r="M5986">
        <v>1.161996E-2</v>
      </c>
      <c r="N5986">
        <v>-1.4304249999999999E-2</v>
      </c>
      <c r="O5986">
        <v>-0.99983040000000001</v>
      </c>
      <c r="P5986">
        <v>4.4403419999999999E-3</v>
      </c>
      <c r="Q5986">
        <v>-0.1021408</v>
      </c>
      <c r="R5986">
        <v>-0.99476050000000005</v>
      </c>
      <c r="S5986">
        <v>8.0352779999999999E-2</v>
      </c>
      <c r="T5986">
        <v>-0.28708400000000001</v>
      </c>
      <c r="U5986">
        <v>-2.9861149999999999</v>
      </c>
      <c r="V5986">
        <v>7.3174540000000001E-3</v>
      </c>
      <c r="W5986">
        <v>-8.7885050000000006E-2</v>
      </c>
      <c r="X5986">
        <v>0.99610379999999998</v>
      </c>
      <c r="Y5986">
        <v>-1.517897E-2</v>
      </c>
      <c r="Z5986">
        <v>8.1419909999999998E-2</v>
      </c>
      <c r="AA5986">
        <v>0.99656429999999996</v>
      </c>
      <c r="AB5986">
        <v>21</v>
      </c>
      <c r="AC5986">
        <v>0.30790000000001699</v>
      </c>
      <c r="AD5986">
        <v>-1.1219873827259901</v>
      </c>
      <c r="AE5986">
        <v>-11.348599999999999</v>
      </c>
      <c r="AF5986">
        <v>-0.174293105192068</v>
      </c>
      <c r="AG5986">
        <v>-1.1219873827259901</v>
      </c>
      <c r="AH5986">
        <v>11.241612293816599</v>
      </c>
      <c r="AI5986">
        <v>95.698942642453403</v>
      </c>
      <c r="AJ5986">
        <v>90.888258641685894</v>
      </c>
      <c r="AK5986">
        <v>11.2988088194288</v>
      </c>
      <c r="AL5986">
        <v>95.0419469195147</v>
      </c>
      <c r="AM5986">
        <v>89.579108432801505</v>
      </c>
      <c r="AN5986">
        <v>1.0000000537604901</v>
      </c>
    </row>
    <row r="5987" spans="1:40" x14ac:dyDescent="0.25">
      <c r="A5987" t="str">
        <f>"20190303154639622"</f>
        <v>20190303154639622</v>
      </c>
      <c r="B5987" t="str">
        <f>"1551599199617552"</f>
        <v>1551599199617552</v>
      </c>
      <c r="C5987" t="s">
        <v>40</v>
      </c>
      <c r="D5987">
        <v>5.6163639999999999</v>
      </c>
      <c r="E5987">
        <v>0.49201299999999998</v>
      </c>
      <c r="F5987" t="s">
        <v>41</v>
      </c>
      <c r="G5987">
        <v>-301.56479999999999</v>
      </c>
      <c r="H5987" s="1">
        <v>-3.1354199999999998E-6</v>
      </c>
      <c r="I5987">
        <v>-24.072659999999999</v>
      </c>
      <c r="J5987">
        <v>-301.88150000000002</v>
      </c>
      <c r="K5987">
        <v>1.121923</v>
      </c>
      <c r="L5987">
        <v>-12.44473</v>
      </c>
      <c r="M5987">
        <v>1.378859E-2</v>
      </c>
      <c r="N5987">
        <v>-1.432459E-2</v>
      </c>
      <c r="O5987">
        <v>-0.99980259999999999</v>
      </c>
      <c r="P5987">
        <v>5.7122939999999997E-3</v>
      </c>
      <c r="Q5987">
        <v>-0.10089330000000001</v>
      </c>
      <c r="R5987">
        <v>-0.99488149999999997</v>
      </c>
      <c r="S5987">
        <v>8.0902100000000005E-2</v>
      </c>
      <c r="T5987">
        <v>-0.28121380000000001</v>
      </c>
      <c r="U5987">
        <v>-2.9865719999999998</v>
      </c>
      <c r="V5987">
        <v>8.1869899999999999E-3</v>
      </c>
      <c r="W5987">
        <v>-8.6615189999999995E-2</v>
      </c>
      <c r="X5987">
        <v>0.99620819999999999</v>
      </c>
      <c r="Y5987">
        <v>-1.319528E-2</v>
      </c>
      <c r="Z5987">
        <v>7.9441819999999996E-2</v>
      </c>
      <c r="AA5987">
        <v>0.99675210000000003</v>
      </c>
      <c r="AB5987">
        <v>21</v>
      </c>
      <c r="AC5987">
        <v>0.31670000000002502</v>
      </c>
      <c r="AD5987">
        <v>-1.1219261354200001</v>
      </c>
      <c r="AE5987">
        <v>-11.627929999999999</v>
      </c>
      <c r="AF5987">
        <v>-0.154879942063918</v>
      </c>
      <c r="AG5987">
        <v>-1.1219261354200001</v>
      </c>
      <c r="AH5987">
        <v>11.5239892319725</v>
      </c>
      <c r="AI5987">
        <v>95.560048535636199</v>
      </c>
      <c r="AJ5987">
        <v>90.769996621450602</v>
      </c>
      <c r="AK5987">
        <v>11.5795092239875</v>
      </c>
      <c r="AL5987">
        <v>94.968911050402795</v>
      </c>
      <c r="AM5987">
        <v>89.529145198664096</v>
      </c>
      <c r="AN5987">
        <v>0.99999999784561799</v>
      </c>
    </row>
    <row r="5988" spans="1:40" x14ac:dyDescent="0.25">
      <c r="A5988" t="str">
        <f>"20190303154639656"</f>
        <v>20190303154639656</v>
      </c>
      <c r="B5988" t="str">
        <f>"1551599199647808"</f>
        <v>1551599199647808</v>
      </c>
      <c r="C5988" t="s">
        <v>40</v>
      </c>
      <c r="D5988">
        <v>5.6564680000000003</v>
      </c>
      <c r="E5988">
        <v>0.49234729999999999</v>
      </c>
      <c r="F5988" t="s">
        <v>42</v>
      </c>
      <c r="G5988">
        <v>-301.85680000000002</v>
      </c>
      <c r="H5988">
        <v>1.0371509999999999</v>
      </c>
      <c r="I5988">
        <v>-13.36266</v>
      </c>
      <c r="J5988">
        <v>-301.87430000000001</v>
      </c>
      <c r="K5988">
        <v>1.121837</v>
      </c>
      <c r="L5988">
        <v>-12.7666</v>
      </c>
      <c r="M5988">
        <v>1.6015649999999999E-2</v>
      </c>
      <c r="N5988">
        <v>-1.4340220000000001E-2</v>
      </c>
      <c r="O5988">
        <v>-0.99976900000000002</v>
      </c>
      <c r="P5988">
        <v>7.778648E-3</v>
      </c>
      <c r="Q5988">
        <v>-0.1019988</v>
      </c>
      <c r="R5988">
        <v>-0.99475420000000003</v>
      </c>
      <c r="S5988">
        <v>8.1298830000000002E-2</v>
      </c>
      <c r="T5988">
        <v>-0.27594550000000001</v>
      </c>
      <c r="U5988">
        <v>-2.9870000000000001</v>
      </c>
      <c r="V5988">
        <v>8.3173780000000003E-3</v>
      </c>
      <c r="W5988">
        <v>-8.7708149999999999E-2</v>
      </c>
      <c r="X5988">
        <v>0.99611150000000004</v>
      </c>
      <c r="Y5988">
        <v>-1.110189E-2</v>
      </c>
      <c r="Z5988">
        <v>7.7667330000000007E-2</v>
      </c>
      <c r="AA5988">
        <v>0.99691750000000001</v>
      </c>
      <c r="AB5988">
        <v>21</v>
      </c>
      <c r="AC5988">
        <v>1.7499999999984001E-2</v>
      </c>
      <c r="AD5988">
        <v>-8.4685999999999997E-2</v>
      </c>
      <c r="AE5988">
        <v>-0.59605999999999904</v>
      </c>
      <c r="AF5988">
        <v>-7.7933081939379504E-3</v>
      </c>
      <c r="AG5988">
        <v>-8.4685999999999997E-2</v>
      </c>
      <c r="AH5988">
        <v>0.58447595606304303</v>
      </c>
      <c r="AI5988">
        <v>98.243614437823894</v>
      </c>
      <c r="AJ5988">
        <v>90.763927418194001</v>
      </c>
      <c r="AK5988">
        <v>0.59063067772036204</v>
      </c>
      <c r="AL5988">
        <v>95.031772229260397</v>
      </c>
      <c r="AM5988">
        <v>89.521600160773701</v>
      </c>
      <c r="AN5988">
        <v>1.0000000093927299</v>
      </c>
    </row>
    <row r="5989" spans="1:40" x14ac:dyDescent="0.25">
      <c r="A5989" t="str">
        <f>"20190303154639697"</f>
        <v>20190303154639697</v>
      </c>
      <c r="B5989" t="str">
        <f>"1551599199687824"</f>
        <v>1551599199687824</v>
      </c>
      <c r="C5989" t="s">
        <v>40</v>
      </c>
      <c r="D5989">
        <v>5.7104509999999999</v>
      </c>
      <c r="E5989">
        <v>0.49269580000000002</v>
      </c>
      <c r="F5989" t="s">
        <v>41</v>
      </c>
      <c r="G5989">
        <v>-301.53230000000002</v>
      </c>
      <c r="H5989" s="1">
        <v>-2.810498E-6</v>
      </c>
      <c r="I5989">
        <v>-24.809909999999999</v>
      </c>
      <c r="J5989">
        <v>-301.86529999999999</v>
      </c>
      <c r="K5989">
        <v>1.121726</v>
      </c>
      <c r="L5989">
        <v>-13.13931</v>
      </c>
      <c r="M5989">
        <v>1.831812E-2</v>
      </c>
      <c r="N5989">
        <v>-1.435169E-2</v>
      </c>
      <c r="O5989">
        <v>-0.99972919999999998</v>
      </c>
      <c r="P5989">
        <v>1.3130370000000001E-2</v>
      </c>
      <c r="Q5989">
        <v>-0.10341789999999899</v>
      </c>
      <c r="R5989">
        <v>-0.99455130000000003</v>
      </c>
      <c r="S5989">
        <v>8.4808350000000005E-2</v>
      </c>
      <c r="T5989">
        <v>-0.27820630000000002</v>
      </c>
      <c r="U5989">
        <v>-2.9866329999999999</v>
      </c>
      <c r="V5989">
        <v>5.2315069999999998E-3</v>
      </c>
      <c r="W5989">
        <v>-8.9124579999999995E-2</v>
      </c>
      <c r="X5989">
        <v>0.99600670000000002</v>
      </c>
      <c r="Y5989">
        <v>-9.9719930000000002E-3</v>
      </c>
      <c r="Z5989">
        <v>7.8409190000000004E-2</v>
      </c>
      <c r="AA5989">
        <v>0.99687139999999996</v>
      </c>
      <c r="AB5989">
        <v>21</v>
      </c>
      <c r="AC5989">
        <v>0.33299999999996999</v>
      </c>
      <c r="AD5989">
        <v>-1.1217288104979899</v>
      </c>
      <c r="AE5989">
        <v>-11.6706</v>
      </c>
      <c r="AF5989">
        <v>-0.1180489647774</v>
      </c>
      <c r="AG5989">
        <v>-1.1217288104979899</v>
      </c>
      <c r="AH5989">
        <v>11.567961237479199</v>
      </c>
      <c r="AI5989">
        <v>95.538287733416297</v>
      </c>
      <c r="AJ5989">
        <v>90.584672834420005</v>
      </c>
      <c r="AK5989">
        <v>11.6228197213158</v>
      </c>
      <c r="AL5989">
        <v>95.113247072523606</v>
      </c>
      <c r="AM5989">
        <v>89.699057732098296</v>
      </c>
      <c r="AN5989">
        <v>0.99999995293527699</v>
      </c>
    </row>
    <row r="5990" spans="1:40" x14ac:dyDescent="0.25">
      <c r="A5990" t="str">
        <f>"20190303154639724"</f>
        <v>20190303154639724</v>
      </c>
      <c r="B5990" t="str">
        <f>"1551599199718081"</f>
        <v>1551599199718081</v>
      </c>
      <c r="C5990" t="s">
        <v>40</v>
      </c>
      <c r="D5990">
        <v>5.660272</v>
      </c>
      <c r="E5990">
        <v>0.49297619999999998</v>
      </c>
      <c r="F5990" t="s">
        <v>41</v>
      </c>
      <c r="G5990">
        <v>-301.47430000000003</v>
      </c>
      <c r="H5990" s="1">
        <v>-2.7024920000000002E-6</v>
      </c>
      <c r="I5990">
        <v>-25.02571</v>
      </c>
      <c r="J5990">
        <v>-301.85879999999997</v>
      </c>
      <c r="K5990">
        <v>1.1216440000000001</v>
      </c>
      <c r="L5990">
        <v>-13.396610000000001</v>
      </c>
      <c r="M5990">
        <v>1.9703419999999999E-2</v>
      </c>
      <c r="N5990">
        <v>-1.4356229999999999E-2</v>
      </c>
      <c r="O5990">
        <v>-0.99970289999999995</v>
      </c>
      <c r="P5990">
        <v>1.8303030000000001E-2</v>
      </c>
      <c r="Q5990">
        <v>-0.104085999999999</v>
      </c>
      <c r="R5990">
        <v>-0.99440030000000001</v>
      </c>
      <c r="S5990">
        <v>9.8205570000000006E-2</v>
      </c>
      <c r="T5990">
        <v>-0.28177609999999997</v>
      </c>
      <c r="U5990">
        <v>-2.98584</v>
      </c>
      <c r="V5990">
        <v>1.4171609999999999E-3</v>
      </c>
      <c r="W5990">
        <v>-8.9795130000000001E-2</v>
      </c>
      <c r="X5990">
        <v>0.99595919999999905</v>
      </c>
      <c r="Y5990">
        <v>-1.3056899999999899E-2</v>
      </c>
      <c r="Z5990">
        <v>7.9599110000000001E-2</v>
      </c>
      <c r="AA5990">
        <v>0.9967414</v>
      </c>
      <c r="AB5990">
        <v>21</v>
      </c>
      <c r="AC5990">
        <v>0.384499999999945</v>
      </c>
      <c r="AD5990">
        <v>-1.121646702492</v>
      </c>
      <c r="AE5990">
        <v>-11.629099999999999</v>
      </c>
      <c r="AF5990">
        <v>-0.15383911588593999</v>
      </c>
      <c r="AG5990">
        <v>-1.121646702492</v>
      </c>
      <c r="AH5990">
        <v>11.5272981151578</v>
      </c>
      <c r="AI5990">
        <v>95.557093742029195</v>
      </c>
      <c r="AJ5990">
        <v>90.764603182555803</v>
      </c>
      <c r="AK5990">
        <v>11.582761313024999</v>
      </c>
      <c r="AL5990">
        <v>95.151821437221002</v>
      </c>
      <c r="AM5990">
        <v>89.918473277428205</v>
      </c>
      <c r="AN5990">
        <v>0.99999995089082705</v>
      </c>
    </row>
    <row r="5991" spans="1:40" x14ac:dyDescent="0.25">
      <c r="A5991" t="str">
        <f>"20190303154639757"</f>
        <v>20190303154639757</v>
      </c>
      <c r="B5991" t="str">
        <f>"1551599199747360"</f>
        <v>1551599199747360</v>
      </c>
      <c r="C5991" t="s">
        <v>40</v>
      </c>
      <c r="D5991">
        <v>5.6858120000000003</v>
      </c>
      <c r="E5991">
        <v>0.4933053</v>
      </c>
      <c r="F5991" t="s">
        <v>41</v>
      </c>
      <c r="G5991">
        <v>-301.4178</v>
      </c>
      <c r="H5991" s="1">
        <v>-2.6104329999999999E-6</v>
      </c>
      <c r="I5991">
        <v>-25.205269999999999</v>
      </c>
      <c r="J5991">
        <v>-301.85129999999998</v>
      </c>
      <c r="K5991">
        <v>1.121561</v>
      </c>
      <c r="L5991">
        <v>-13.688420000000001</v>
      </c>
      <c r="M5991">
        <v>2.1067550000000001E-2</v>
      </c>
      <c r="N5991">
        <v>-1.435881E-2</v>
      </c>
      <c r="O5991">
        <v>-0.99967499999999998</v>
      </c>
      <c r="P5991">
        <v>2.0084399999999999E-2</v>
      </c>
      <c r="Q5991">
        <v>-0.1023609</v>
      </c>
      <c r="R5991">
        <v>-0.9945446</v>
      </c>
      <c r="S5991">
        <v>0.1114807</v>
      </c>
      <c r="T5991">
        <v>-0.28354639999999998</v>
      </c>
      <c r="U5991">
        <v>-2.9851679999999998</v>
      </c>
      <c r="V5991">
        <v>9.726251E-4</v>
      </c>
      <c r="W5991">
        <v>-8.8065969999999993E-2</v>
      </c>
      <c r="X5991">
        <v>0.99611419999999995</v>
      </c>
      <c r="Y5991">
        <v>-1.6122589999999999E-2</v>
      </c>
      <c r="Z5991">
        <v>8.019068E-2</v>
      </c>
      <c r="AA5991">
        <v>0.99664909999999995</v>
      </c>
      <c r="AB5991">
        <v>21</v>
      </c>
      <c r="AC5991">
        <v>0.43349999999998001</v>
      </c>
      <c r="AD5991">
        <v>-1.121563610433</v>
      </c>
      <c r="AE5991">
        <v>-11.51685</v>
      </c>
      <c r="AF5991">
        <v>-0.188957461055001</v>
      </c>
      <c r="AG5991">
        <v>-1.121563610433</v>
      </c>
      <c r="AH5991">
        <v>11.4153201336509</v>
      </c>
      <c r="AI5991">
        <v>95.610579267686603</v>
      </c>
      <c r="AJ5991">
        <v>90.948328758332096</v>
      </c>
      <c r="AK5991">
        <v>11.471841334680001</v>
      </c>
      <c r="AL5991">
        <v>95.052353339452793</v>
      </c>
      <c r="AM5991">
        <v>89.944055314572907</v>
      </c>
      <c r="AN5991">
        <v>1.0000000302566301</v>
      </c>
    </row>
    <row r="5992" spans="1:40" x14ac:dyDescent="0.25">
      <c r="A5992" t="str">
        <f>"20190303154639790"</f>
        <v>20190303154639790</v>
      </c>
      <c r="B5992" t="str">
        <f>"1551599199787376"</f>
        <v>1551599199787376</v>
      </c>
      <c r="C5992" t="s">
        <v>40</v>
      </c>
      <c r="D5992">
        <v>5.6973979999999997</v>
      </c>
      <c r="E5992">
        <v>0.4937182</v>
      </c>
      <c r="F5992" t="s">
        <v>41</v>
      </c>
      <c r="G5992">
        <v>-301.39179999999999</v>
      </c>
      <c r="H5992" s="1">
        <v>-2.3751809999999998E-6</v>
      </c>
      <c r="I5992">
        <v>-25.737500000000001</v>
      </c>
      <c r="J5992">
        <v>-301.84300000000002</v>
      </c>
      <c r="K5992">
        <v>1.1214789999999999</v>
      </c>
      <c r="L5992">
        <v>-14.0015</v>
      </c>
      <c r="M5992">
        <v>2.231959E-2</v>
      </c>
      <c r="N5992">
        <v>-1.4359480000000001E-2</v>
      </c>
      <c r="O5992">
        <v>-0.99964790000000003</v>
      </c>
      <c r="P5992">
        <v>1.8649720000000002E-2</v>
      </c>
      <c r="Q5992">
        <v>-9.9626010000000001E-2</v>
      </c>
      <c r="R5992">
        <v>-0.99485029999999997</v>
      </c>
      <c r="S5992">
        <v>0.11386110000000001</v>
      </c>
      <c r="T5992">
        <v>-0.2779047</v>
      </c>
      <c r="U5992">
        <v>-2.9855649999999998</v>
      </c>
      <c r="V5992">
        <v>3.6371929999999999E-3</v>
      </c>
      <c r="W5992">
        <v>-8.5324620000000004E-2</v>
      </c>
      <c r="X5992">
        <v>0.99634659999999997</v>
      </c>
      <c r="Y5992">
        <v>-1.5665129999999999E-2</v>
      </c>
      <c r="Z5992">
        <v>7.8307379999999996E-2</v>
      </c>
      <c r="AA5992">
        <v>0.99680619999999998</v>
      </c>
      <c r="AB5992">
        <v>21</v>
      </c>
      <c r="AC5992">
        <v>0.45120000000002802</v>
      </c>
      <c r="AD5992">
        <v>-1.121481375181</v>
      </c>
      <c r="AE5992">
        <v>-11.735999999999899</v>
      </c>
      <c r="AF5992">
        <v>-0.187409088603435</v>
      </c>
      <c r="AG5992">
        <v>-1.121481375181</v>
      </c>
      <c r="AH5992">
        <v>11.6370402032366</v>
      </c>
      <c r="AI5992">
        <v>95.503982879375499</v>
      </c>
      <c r="AJ5992">
        <v>90.922641967071499</v>
      </c>
      <c r="AK5992">
        <v>11.6924568561579</v>
      </c>
      <c r="AL5992">
        <v>94.894691876706005</v>
      </c>
      <c r="AM5992">
        <v>89.790840975959398</v>
      </c>
      <c r="AN5992">
        <v>1.00000003364131</v>
      </c>
    </row>
    <row r="5993" spans="1:40" x14ac:dyDescent="0.25">
      <c r="A5993" t="str">
        <f>"20190303154639824"</f>
        <v>20190303154639824</v>
      </c>
      <c r="B5993" t="str">
        <f>"1551599199817633"</f>
        <v>1551599199817633</v>
      </c>
      <c r="C5993" t="s">
        <v>40</v>
      </c>
      <c r="D5993">
        <v>5.6472829999999998</v>
      </c>
      <c r="E5993">
        <v>0.49404999999999999</v>
      </c>
      <c r="F5993" t="s">
        <v>41</v>
      </c>
      <c r="G5993">
        <v>-301.40050000000002</v>
      </c>
      <c r="H5993" s="1">
        <v>-2.071571E-6</v>
      </c>
      <c r="I5993">
        <v>-26.450620000000001</v>
      </c>
      <c r="J5993">
        <v>-301.83460000000002</v>
      </c>
      <c r="K5993">
        <v>1.121421</v>
      </c>
      <c r="L5993">
        <v>-14.318820000000001</v>
      </c>
      <c r="M5993">
        <v>2.3379580000000001E-2</v>
      </c>
      <c r="N5993">
        <v>-1.435838E-2</v>
      </c>
      <c r="O5993">
        <v>-0.9996237</v>
      </c>
      <c r="P5993">
        <v>1.740761E-2</v>
      </c>
      <c r="Q5993">
        <v>-9.7471559999999999E-2</v>
      </c>
      <c r="R5993">
        <v>-0.99508620000000003</v>
      </c>
      <c r="S5993">
        <v>0.10617070000000001</v>
      </c>
      <c r="T5993">
        <v>-0.26904850000000002</v>
      </c>
      <c r="U5993">
        <v>-2.9866030000000001</v>
      </c>
      <c r="V5993">
        <v>5.9220459999999898E-3</v>
      </c>
      <c r="W5993">
        <v>-8.3167660000000004E-2</v>
      </c>
      <c r="X5993">
        <v>0.99651800000000001</v>
      </c>
      <c r="Y5993">
        <v>-1.203948E-2</v>
      </c>
      <c r="Z5993">
        <v>7.5349959999999994E-2</v>
      </c>
      <c r="AA5993">
        <v>0.99708439999999998</v>
      </c>
      <c r="AB5993">
        <v>21</v>
      </c>
      <c r="AC5993">
        <v>0.43409999999999999</v>
      </c>
      <c r="AD5993">
        <v>-1.1214230715710001</v>
      </c>
      <c r="AE5993">
        <v>-12.1318</v>
      </c>
      <c r="AF5993">
        <v>-0.14904384974215801</v>
      </c>
      <c r="AG5993">
        <v>-1.1214230715710001</v>
      </c>
      <c r="AH5993">
        <v>12.035923456685699</v>
      </c>
      <c r="AI5993">
        <v>95.322645799273403</v>
      </c>
      <c r="AJ5993">
        <v>90.709471701362801</v>
      </c>
      <c r="AK5993">
        <v>12.088972546490201</v>
      </c>
      <c r="AL5993">
        <v>94.770666267669299</v>
      </c>
      <c r="AM5993">
        <v>89.659510166786504</v>
      </c>
      <c r="AN5993">
        <v>1.0000000273113501</v>
      </c>
    </row>
    <row r="5994" spans="1:40" x14ac:dyDescent="0.25">
      <c r="A5994" t="str">
        <f>"20190303154639869"</f>
        <v>20190303154639869</v>
      </c>
      <c r="B5994" t="str">
        <f>"1551599199857648"</f>
        <v>1551599199857648</v>
      </c>
      <c r="C5994" t="s">
        <v>40</v>
      </c>
      <c r="D5994">
        <v>5.6180919999999999</v>
      </c>
      <c r="E5994">
        <v>0.49443290000000001</v>
      </c>
      <c r="F5994" t="s">
        <v>41</v>
      </c>
      <c r="G5994">
        <v>-301.40789999999998</v>
      </c>
      <c r="H5994" s="1">
        <v>-1.794105E-6</v>
      </c>
      <c r="I5994">
        <v>-27.101980000000001</v>
      </c>
      <c r="J5994">
        <v>-301.8236</v>
      </c>
      <c r="K5994">
        <v>1.1213660000000001</v>
      </c>
      <c r="L5994">
        <v>-14.726559999999999</v>
      </c>
      <c r="M5994">
        <v>2.4499670000000001E-2</v>
      </c>
      <c r="N5994">
        <v>-1.435487E-2</v>
      </c>
      <c r="O5994">
        <v>-0.99959690000000001</v>
      </c>
      <c r="P5994">
        <v>1.6582030000000001E-2</v>
      </c>
      <c r="Q5994">
        <v>-9.7585920000000007E-2</v>
      </c>
      <c r="R5994">
        <v>-0.995089</v>
      </c>
      <c r="S5994">
        <v>9.9731449999999999E-2</v>
      </c>
      <c r="T5994">
        <v>-0.26207409999999998</v>
      </c>
      <c r="U5994">
        <v>-2.9873959999999999</v>
      </c>
      <c r="V5994">
        <v>7.8491009999999903E-3</v>
      </c>
      <c r="W5994">
        <v>-8.3285810000000002E-2</v>
      </c>
      <c r="X5994">
        <v>0.99649480000000001</v>
      </c>
      <c r="Y5994">
        <v>-8.7713329999999992E-3</v>
      </c>
      <c r="Z5994">
        <v>7.3022770000000001E-2</v>
      </c>
      <c r="AA5994">
        <v>0.9972917</v>
      </c>
      <c r="AB5994">
        <v>21</v>
      </c>
      <c r="AC5994">
        <v>0.415700000000015</v>
      </c>
      <c r="AD5994">
        <v>-1.121367794105</v>
      </c>
      <c r="AE5994">
        <v>-12.375419999999901</v>
      </c>
      <c r="AF5994">
        <v>-0.111436355862765</v>
      </c>
      <c r="AG5994">
        <v>-1.121367794105</v>
      </c>
      <c r="AH5994">
        <v>12.2811677413643</v>
      </c>
      <c r="AI5994">
        <v>95.216878033748898</v>
      </c>
      <c r="AJ5994">
        <v>90.519873825573399</v>
      </c>
      <c r="AK5994">
        <v>12.3327598242482</v>
      </c>
      <c r="AL5994">
        <v>94.777459412036194</v>
      </c>
      <c r="AM5994">
        <v>89.548707067998507</v>
      </c>
      <c r="AN5994">
        <v>1.0000000104804501</v>
      </c>
    </row>
    <row r="5995" spans="1:40" x14ac:dyDescent="0.25">
      <c r="A5995" t="str">
        <f>"20190303154639913"</f>
        <v>20190303154639913</v>
      </c>
      <c r="B5995" t="str">
        <f>"1551599199907424"</f>
        <v>1551599199907424</v>
      </c>
      <c r="C5995" t="s">
        <v>40</v>
      </c>
      <c r="D5995">
        <v>5.6899439999999997</v>
      </c>
      <c r="E5995">
        <v>0.49459639999999999</v>
      </c>
      <c r="F5995" t="s">
        <v>41</v>
      </c>
      <c r="G5995">
        <v>-301.42110000000002</v>
      </c>
      <c r="H5995" s="1">
        <v>-1.633004E-6</v>
      </c>
      <c r="I5995">
        <v>-27.48573</v>
      </c>
      <c r="J5995">
        <v>-301.8125</v>
      </c>
      <c r="K5995">
        <v>1.121337</v>
      </c>
      <c r="L5995">
        <v>-15.129580000000001</v>
      </c>
      <c r="M5995">
        <v>2.5446130000000001E-2</v>
      </c>
      <c r="N5995">
        <v>-1.434995E-2</v>
      </c>
      <c r="O5995">
        <v>-0.9995735</v>
      </c>
      <c r="P5995">
        <v>1.6427029999999999E-2</v>
      </c>
      <c r="Q5995">
        <v>-9.6047880000000002E-2</v>
      </c>
      <c r="R5995">
        <v>-0.99524179999999995</v>
      </c>
      <c r="S5995">
        <v>9.4238279999999994E-2</v>
      </c>
      <c r="T5995">
        <v>-0.26256190000000001</v>
      </c>
      <c r="U5995">
        <v>-2.9874879999999999</v>
      </c>
      <c r="V5995">
        <v>8.9427659999999996E-3</v>
      </c>
      <c r="W5995">
        <v>-8.1750909999999996E-2</v>
      </c>
      <c r="X5995">
        <v>0.99661270000000002</v>
      </c>
      <c r="Y5995">
        <v>-5.993305E-3</v>
      </c>
      <c r="Z5995">
        <v>7.3186769999999998E-2</v>
      </c>
      <c r="AA5995">
        <v>0.99730030000000003</v>
      </c>
      <c r="AB5995">
        <v>21</v>
      </c>
      <c r="AC5995">
        <v>0.39139999999997599</v>
      </c>
      <c r="AD5995">
        <v>-1.1213386330040001</v>
      </c>
      <c r="AE5995">
        <v>-12.35615</v>
      </c>
      <c r="AF5995">
        <v>-7.61978325234344E-2</v>
      </c>
      <c r="AG5995">
        <v>-1.1213386330040001</v>
      </c>
      <c r="AH5995">
        <v>12.2612286931521</v>
      </c>
      <c r="AI5995">
        <v>95.225293161292001</v>
      </c>
      <c r="AJ5995">
        <v>90.356062032522999</v>
      </c>
      <c r="AK5995">
        <v>12.3126331670088</v>
      </c>
      <c r="AL5995">
        <v>94.689215071632304</v>
      </c>
      <c r="AM5995">
        <v>89.485889556001098</v>
      </c>
      <c r="AN5995">
        <v>1.0000000290754201</v>
      </c>
    </row>
    <row r="5996" spans="1:40" x14ac:dyDescent="0.25">
      <c r="A5996" t="str">
        <f>"20190303154639958"</f>
        <v>20190303154639958</v>
      </c>
      <c r="B5996" t="str">
        <f>"1551599199947441"</f>
        <v>1551599199947441</v>
      </c>
      <c r="C5996" t="s">
        <v>40</v>
      </c>
      <c r="D5996">
        <v>5.670331</v>
      </c>
      <c r="E5996">
        <v>0.49408629999999998</v>
      </c>
      <c r="F5996" t="s">
        <v>41</v>
      </c>
      <c r="G5996">
        <v>-301.41329999999999</v>
      </c>
      <c r="H5996" s="1">
        <v>-1.389087E-6</v>
      </c>
      <c r="I5996">
        <v>-28.049440000000001</v>
      </c>
      <c r="J5996">
        <v>-301.80110000000002</v>
      </c>
      <c r="K5996">
        <v>1.1213219999999999</v>
      </c>
      <c r="L5996">
        <v>-15.5311</v>
      </c>
      <c r="M5996">
        <v>2.6285759999999998E-2</v>
      </c>
      <c r="N5996">
        <v>-1.43287999999999E-2</v>
      </c>
      <c r="O5996">
        <v>-0.999552</v>
      </c>
      <c r="P5996">
        <v>1.607515E-2</v>
      </c>
      <c r="Q5996">
        <v>-9.4293619999999995E-2</v>
      </c>
      <c r="R5996">
        <v>-0.99541500000000005</v>
      </c>
      <c r="S5996">
        <v>9.2315670000000002E-2</v>
      </c>
      <c r="T5996">
        <v>-0.25931609999999999</v>
      </c>
      <c r="U5996">
        <v>-2.9877929999999999</v>
      </c>
      <c r="V5996">
        <v>1.0130979999999999E-2</v>
      </c>
      <c r="W5996">
        <v>-8.0015569999999994E-2</v>
      </c>
      <c r="X5996">
        <v>0.99674209999999996</v>
      </c>
      <c r="Y5996">
        <v>-4.5125159999999899E-3</v>
      </c>
      <c r="Z5996">
        <v>7.2122950000000005E-2</v>
      </c>
      <c r="AA5996">
        <v>0.99738559999999998</v>
      </c>
      <c r="AB5996">
        <v>20</v>
      </c>
      <c r="AC5996">
        <v>0.38780000000002701</v>
      </c>
      <c r="AD5996">
        <v>-1.121323389087</v>
      </c>
      <c r="AE5996">
        <v>-12.51834</v>
      </c>
      <c r="AF5996">
        <v>-5.8112362924685301E-2</v>
      </c>
      <c r="AG5996">
        <v>-1.121323389087</v>
      </c>
      <c r="AH5996">
        <v>12.4246139830207</v>
      </c>
      <c r="AI5996">
        <v>95.156926034969302</v>
      </c>
      <c r="AJ5996">
        <v>90.267981673990406</v>
      </c>
      <c r="AK5996">
        <v>12.475246523284</v>
      </c>
      <c r="AL5996">
        <v>94.589460833240196</v>
      </c>
      <c r="AM5996">
        <v>89.417660387162499</v>
      </c>
      <c r="AN5996">
        <v>0.99999997105529703</v>
      </c>
    </row>
    <row r="5997" spans="1:40" x14ac:dyDescent="0.25">
      <c r="A5997" t="str">
        <f>"20190303154639988"</f>
        <v>20190303154639988</v>
      </c>
      <c r="B5997" t="str">
        <f>"1551599199977697"</f>
        <v>1551599199977697</v>
      </c>
      <c r="C5997" t="s">
        <v>40</v>
      </c>
      <c r="D5997">
        <v>5.6041869999999996</v>
      </c>
      <c r="E5997">
        <v>0.49370560000000002</v>
      </c>
      <c r="F5997" t="s">
        <v>41</v>
      </c>
      <c r="G5997">
        <v>-301.3854</v>
      </c>
      <c r="H5997" s="1">
        <v>-1.165832E-6</v>
      </c>
      <c r="I5997">
        <v>-28.55254</v>
      </c>
      <c r="J5997">
        <v>-301.79309999999998</v>
      </c>
      <c r="K5997">
        <v>1.121291</v>
      </c>
      <c r="L5997">
        <v>-15.81094</v>
      </c>
      <c r="M5997">
        <v>2.6825249999999998E-2</v>
      </c>
      <c r="N5997">
        <v>-1.4246139999999999E-2</v>
      </c>
      <c r="O5997">
        <v>-0.9995387</v>
      </c>
      <c r="P5997">
        <v>1.653607E-2</v>
      </c>
      <c r="Q5997">
        <v>-9.5067200000000004E-2</v>
      </c>
      <c r="R5997">
        <v>-0.99533369999999999</v>
      </c>
      <c r="S5997">
        <v>9.5397949999999995E-2</v>
      </c>
      <c r="T5997">
        <v>-0.25729999999999997</v>
      </c>
      <c r="U5997">
        <v>-2.9879150000000001</v>
      </c>
      <c r="V5997">
        <v>1.020393E-2</v>
      </c>
      <c r="W5997">
        <v>-8.0872739999999999E-2</v>
      </c>
      <c r="X5997">
        <v>0.99667220000000001</v>
      </c>
      <c r="Y5997">
        <v>-5.0004769999999997E-3</v>
      </c>
      <c r="Z5997">
        <v>7.1531360000000002E-2</v>
      </c>
      <c r="AA5997">
        <v>0.99742580000000003</v>
      </c>
      <c r="AB5997">
        <v>20</v>
      </c>
      <c r="AC5997">
        <v>0.40769999999997703</v>
      </c>
      <c r="AD5997">
        <v>-1.1212921658319901</v>
      </c>
      <c r="AE5997">
        <v>-12.7416</v>
      </c>
      <c r="AF5997">
        <v>-6.5217431452975205E-2</v>
      </c>
      <c r="AG5997">
        <v>-1.1212921658319901</v>
      </c>
      <c r="AH5997">
        <v>12.650084087637699</v>
      </c>
      <c r="AI5997">
        <v>95.065341365310502</v>
      </c>
      <c r="AJ5997">
        <v>90.295385425240099</v>
      </c>
      <c r="AK5997">
        <v>12.699849481738999</v>
      </c>
      <c r="AL5997">
        <v>94.6387326222101</v>
      </c>
      <c r="AM5997">
        <v>89.413426302058298</v>
      </c>
      <c r="AN5997">
        <v>0.99999999725769595</v>
      </c>
    </row>
    <row r="5998" spans="1:40" x14ac:dyDescent="0.25">
      <c r="A5998" t="str">
        <f>"20190303154640024"</f>
        <v>20190303154640024</v>
      </c>
      <c r="B5998" t="str">
        <f>"1551599200017713"</f>
        <v>1551599200017713</v>
      </c>
      <c r="C5998" t="s">
        <v>40</v>
      </c>
      <c r="D5998">
        <v>5.5500410000000002</v>
      </c>
      <c r="E5998">
        <v>0.4932184</v>
      </c>
      <c r="F5998" t="s">
        <v>41</v>
      </c>
      <c r="G5998">
        <v>-301.36660000000001</v>
      </c>
      <c r="H5998" s="1">
        <v>-1.1477719999999999E-6</v>
      </c>
      <c r="I5998">
        <v>-28.582999999999998</v>
      </c>
      <c r="J5998">
        <v>-301.7835</v>
      </c>
      <c r="K5998">
        <v>1.121232</v>
      </c>
      <c r="L5998">
        <v>-16.14227</v>
      </c>
      <c r="M5998">
        <v>2.7416309999999999E-2</v>
      </c>
      <c r="N5998">
        <v>-1.4028219999999999E-2</v>
      </c>
      <c r="O5998">
        <v>-0.99952580000000002</v>
      </c>
      <c r="P5998">
        <v>1.6261899999999999E-2</v>
      </c>
      <c r="Q5998">
        <v>-9.6230330000000003E-2</v>
      </c>
      <c r="R5998">
        <v>-0.99522639999999996</v>
      </c>
      <c r="S5998">
        <v>9.9761959999999997E-2</v>
      </c>
      <c r="T5998">
        <v>-0.26226850000000002</v>
      </c>
      <c r="U5998">
        <v>-2.9873660000000002</v>
      </c>
      <c r="V5998">
        <v>1.1063150000000001E-2</v>
      </c>
      <c r="W5998">
        <v>-8.2254439999999998E-2</v>
      </c>
      <c r="X5998">
        <v>0.99655000000000005</v>
      </c>
      <c r="Y5998">
        <v>-5.8654279999999998E-3</v>
      </c>
      <c r="Z5998">
        <v>7.3405369999999998E-2</v>
      </c>
      <c r="AA5998">
        <v>0.99728490000000003</v>
      </c>
      <c r="AB5998">
        <v>20</v>
      </c>
      <c r="AC5998">
        <v>0.41689999999999799</v>
      </c>
      <c r="AD5998">
        <v>-1.1212331477719999</v>
      </c>
      <c r="AE5998">
        <v>-12.44073</v>
      </c>
      <c r="AF5998">
        <v>-7.5022129312052599E-2</v>
      </c>
      <c r="AG5998">
        <v>-1.1212331477719999</v>
      </c>
      <c r="AH5998">
        <v>12.3473027530694</v>
      </c>
      <c r="AI5998">
        <v>95.188585680763495</v>
      </c>
      <c r="AJ5998">
        <v>90.348124490870006</v>
      </c>
      <c r="AK5998">
        <v>12.3983336528545</v>
      </c>
      <c r="AL5998">
        <v>94.7181626352303</v>
      </c>
      <c r="AM5998">
        <v>89.363959896514302</v>
      </c>
      <c r="AN5998">
        <v>1.00000004434381</v>
      </c>
    </row>
    <row r="5999" spans="1:40" x14ac:dyDescent="0.25">
      <c r="A5999" t="str">
        <f>"20190303154640057"</f>
        <v>20190303154640057</v>
      </c>
      <c r="B5999" t="str">
        <f>"1551599200047969"</f>
        <v>1551599200047969</v>
      </c>
      <c r="C5999" t="s">
        <v>40</v>
      </c>
      <c r="D5999">
        <v>5.4144399999999999</v>
      </c>
      <c r="E5999">
        <v>0.4928921</v>
      </c>
      <c r="F5999" t="s">
        <v>41</v>
      </c>
      <c r="G5999">
        <v>-301.3537</v>
      </c>
      <c r="H5999" s="1">
        <v>-1.13032999999999E-6</v>
      </c>
      <c r="I5999">
        <v>-28.615670000000001</v>
      </c>
      <c r="J5999">
        <v>-301.7747</v>
      </c>
      <c r="K5999">
        <v>1.121175</v>
      </c>
      <c r="L5999">
        <v>-16.4422</v>
      </c>
      <c r="M5999">
        <v>2.792182E-2</v>
      </c>
      <c r="N5999">
        <v>-1.374707E-2</v>
      </c>
      <c r="O5999">
        <v>-0.99951579999999995</v>
      </c>
      <c r="P5999">
        <v>1.5526420000000001E-2</v>
      </c>
      <c r="Q5999">
        <v>-9.6188449999999995E-2</v>
      </c>
      <c r="R5999">
        <v>-0.99524250000000003</v>
      </c>
      <c r="S5999">
        <v>0.10290530000000001</v>
      </c>
      <c r="T5999">
        <v>-0.26847929999999998</v>
      </c>
      <c r="U5999">
        <v>-2.986755</v>
      </c>
      <c r="V5999">
        <v>1.230065E-2</v>
      </c>
      <c r="W5999">
        <v>-8.2492689999999994E-2</v>
      </c>
      <c r="X5999">
        <v>0.99651579999999995</v>
      </c>
      <c r="Y5999">
        <v>-6.4085050000000001E-3</v>
      </c>
      <c r="Z5999">
        <v>7.5755749999999997E-2</v>
      </c>
      <c r="AA5999">
        <v>0.99710580000000004</v>
      </c>
      <c r="AB5999">
        <v>20</v>
      </c>
      <c r="AC5999">
        <v>0.42099999999999199</v>
      </c>
      <c r="AD5999">
        <v>-1.1211761303299901</v>
      </c>
      <c r="AE5999">
        <v>-12.17347</v>
      </c>
      <c r="AF5999">
        <v>-8.0218705684097905E-2</v>
      </c>
      <c r="AG5999">
        <v>-1.1211761303299901</v>
      </c>
      <c r="AH5999">
        <v>12.0781496380917</v>
      </c>
      <c r="AI5999">
        <v>95.303270350005505</v>
      </c>
      <c r="AJ5999">
        <v>90.380532269574005</v>
      </c>
      <c r="AK5999">
        <v>12.130340870564901</v>
      </c>
      <c r="AL5999">
        <v>94.731859901945299</v>
      </c>
      <c r="AM5999">
        <v>89.292796422327896</v>
      </c>
      <c r="AN5999">
        <v>1.0000000447717401</v>
      </c>
    </row>
    <row r="6000" spans="1:40" x14ac:dyDescent="0.25">
      <c r="A6000" t="str">
        <f>"20190303154640093"</f>
        <v>20190303154640093</v>
      </c>
      <c r="B6000" t="str">
        <f>"1551599200087985"</f>
        <v>1551599200087985</v>
      </c>
      <c r="C6000" t="s">
        <v>40</v>
      </c>
      <c r="D6000">
        <v>5.266222</v>
      </c>
      <c r="E6000">
        <v>0.4925389</v>
      </c>
      <c r="F6000" t="s">
        <v>41</v>
      </c>
      <c r="G6000">
        <v>-301.34679999999997</v>
      </c>
      <c r="H6000" s="1">
        <v>-1.0358669999999901E-6</v>
      </c>
      <c r="I6000">
        <v>-28.83155</v>
      </c>
      <c r="J6000">
        <v>-301.76519999999999</v>
      </c>
      <c r="K6000">
        <v>1.1211089999999999</v>
      </c>
      <c r="L6000">
        <v>-16.755739999999999</v>
      </c>
      <c r="M6000">
        <v>2.844118E-2</v>
      </c>
      <c r="N6000">
        <v>-1.34257E-2</v>
      </c>
      <c r="O6000">
        <v>-0.99950550000000005</v>
      </c>
      <c r="P6000">
        <v>1.4122859999999999E-2</v>
      </c>
      <c r="Q6000">
        <v>-9.5442579999999999E-2</v>
      </c>
      <c r="R6000">
        <v>-0.99533519999999998</v>
      </c>
      <c r="S6000">
        <v>0.1031494</v>
      </c>
      <c r="T6000">
        <v>-0.27027319999999999</v>
      </c>
      <c r="U6000">
        <v>-2.9866030000000001</v>
      </c>
      <c r="V6000">
        <v>1.4221640000000001E-2</v>
      </c>
      <c r="W6000">
        <v>-8.2066100000000003E-2</v>
      </c>
      <c r="X6000">
        <v>0.99652540000000001</v>
      </c>
      <c r="Y6000">
        <v>-5.9701650000000004E-3</v>
      </c>
      <c r="Z6000">
        <v>7.6672299999999999E-2</v>
      </c>
      <c r="AA6000">
        <v>0.99703850000000005</v>
      </c>
      <c r="AB6000">
        <v>20</v>
      </c>
      <c r="AC6000">
        <v>0.41840000000001898</v>
      </c>
      <c r="AD6000">
        <v>-1.1211100358670001</v>
      </c>
      <c r="AE6000">
        <v>-12.075810000000001</v>
      </c>
      <c r="AF6000">
        <v>-7.4111525966786301E-2</v>
      </c>
      <c r="AG6000">
        <v>-1.1211100358670001</v>
      </c>
      <c r="AH6000">
        <v>11.9796940715206</v>
      </c>
      <c r="AI6000">
        <v>95.346306072897704</v>
      </c>
      <c r="AJ6000">
        <v>90.354451746098206</v>
      </c>
      <c r="AK6000">
        <v>12.0322670464891</v>
      </c>
      <c r="AL6000">
        <v>94.7073352152659</v>
      </c>
      <c r="AM6000">
        <v>89.182374440635698</v>
      </c>
      <c r="AN6000">
        <v>0.99999998632932896</v>
      </c>
    </row>
    <row r="6001" spans="1:40" x14ac:dyDescent="0.25">
      <c r="A6001" t="str">
        <f>"20190303154640135"</f>
        <v>20190303154640135</v>
      </c>
      <c r="B6001" t="str">
        <f>"1551599200128004"</f>
        <v>1551599200128004</v>
      </c>
      <c r="C6001" t="s">
        <v>40</v>
      </c>
      <c r="D6001">
        <v>5.1177479999999997</v>
      </c>
      <c r="E6001">
        <v>0.49220459999999999</v>
      </c>
      <c r="F6001" t="s">
        <v>41</v>
      </c>
      <c r="G6001">
        <v>-301.34289999999999</v>
      </c>
      <c r="H6001" s="1">
        <v>-8.9475290000000003E-7</v>
      </c>
      <c r="I6001">
        <v>-29.158059999999999</v>
      </c>
      <c r="J6001">
        <v>-301.75330000000002</v>
      </c>
      <c r="K6001">
        <v>1.1210599999999999</v>
      </c>
      <c r="L6001">
        <v>-17.148989999999898</v>
      </c>
      <c r="M6001">
        <v>2.9078670000000001E-2</v>
      </c>
      <c r="N6001">
        <v>-1.302473E-2</v>
      </c>
      <c r="O6001">
        <v>-0.99949239999999995</v>
      </c>
      <c r="P6001">
        <v>1.3143159999999999E-2</v>
      </c>
      <c r="Q6001">
        <v>-9.5061640000000003E-2</v>
      </c>
      <c r="R6001">
        <v>-0.99538510000000002</v>
      </c>
      <c r="S6001">
        <v>0.1017151</v>
      </c>
      <c r="T6001">
        <v>-0.26998539999999999</v>
      </c>
      <c r="U6001">
        <v>-2.9867249999999999</v>
      </c>
      <c r="V6001">
        <v>1.5837960000000002E-2</v>
      </c>
      <c r="W6001">
        <v>-8.2083929999999999E-2</v>
      </c>
      <c r="X6001">
        <v>0.99649949999999998</v>
      </c>
      <c r="Y6001">
        <v>-4.8529690000000004E-3</v>
      </c>
      <c r="Z6001">
        <v>7.6971650000000003E-2</v>
      </c>
      <c r="AA6001">
        <v>0.9970215</v>
      </c>
      <c r="AB6001">
        <v>20</v>
      </c>
      <c r="AC6001">
        <v>0.41040000000003801</v>
      </c>
      <c r="AD6001">
        <v>-1.1210608947528999</v>
      </c>
      <c r="AE6001">
        <v>-12.009069999999999</v>
      </c>
      <c r="AF6001">
        <v>-6.0462777779246399E-2</v>
      </c>
      <c r="AG6001">
        <v>-1.1210608947528999</v>
      </c>
      <c r="AH6001">
        <v>11.9122382810954</v>
      </c>
      <c r="AI6001">
        <v>95.376203000094193</v>
      </c>
      <c r="AJ6001">
        <v>90.2908128727492</v>
      </c>
      <c r="AK6001">
        <v>11.965026290937899</v>
      </c>
      <c r="AL6001">
        <v>94.708360508924997</v>
      </c>
      <c r="AM6001">
        <v>89.089440720640098</v>
      </c>
      <c r="AN6001">
        <v>0.99999993302072598</v>
      </c>
    </row>
    <row r="6002" spans="1:40" x14ac:dyDescent="0.25">
      <c r="A6002" t="str">
        <f>"20190303154640181"</f>
        <v>20190303154640181</v>
      </c>
      <c r="B6002" t="str">
        <f>"1551599200177777"</f>
        <v>1551599200177777</v>
      </c>
      <c r="C6002" t="s">
        <v>40</v>
      </c>
      <c r="D6002">
        <v>4.9399860000000002</v>
      </c>
      <c r="E6002">
        <v>0.49178749999999999</v>
      </c>
      <c r="F6002" t="s">
        <v>41</v>
      </c>
      <c r="G6002">
        <v>-301.33170000000001</v>
      </c>
      <c r="H6002" s="1">
        <v>-7.2181930000000004E-7</v>
      </c>
      <c r="I6002">
        <v>-29.55425</v>
      </c>
      <c r="J6002">
        <v>-301.7405</v>
      </c>
      <c r="K6002">
        <v>1.1210340000000001</v>
      </c>
      <c r="L6002">
        <v>-17.55725</v>
      </c>
      <c r="M6002">
        <v>2.9733510000000001E-2</v>
      </c>
      <c r="N6002">
        <v>-1.2651529999999999E-2</v>
      </c>
      <c r="O6002">
        <v>-0.99947810000000004</v>
      </c>
      <c r="P6002">
        <v>1.45267E-2</v>
      </c>
      <c r="Q6002">
        <v>-9.5941810000000002E-2</v>
      </c>
      <c r="R6002">
        <v>-0.99528130000000004</v>
      </c>
      <c r="S6002">
        <v>0.10150149999999999</v>
      </c>
      <c r="T6002">
        <v>-0.26991500000000002</v>
      </c>
      <c r="U6002">
        <v>-2.9867859999999999</v>
      </c>
      <c r="V6002">
        <v>1.51071E-2</v>
      </c>
      <c r="W6002">
        <v>-8.3336629999999995E-2</v>
      </c>
      <c r="X6002">
        <v>0.99640689999999998</v>
      </c>
      <c r="Y6002">
        <v>-4.1256979999999997E-3</v>
      </c>
      <c r="Z6002">
        <v>7.7316250000000003E-2</v>
      </c>
      <c r="AA6002">
        <v>0.9969981</v>
      </c>
      <c r="AB6002">
        <v>20</v>
      </c>
      <c r="AC6002">
        <v>0.40879999999998501</v>
      </c>
      <c r="AD6002">
        <v>-1.1210347218193</v>
      </c>
      <c r="AE6002">
        <v>-11.997</v>
      </c>
      <c r="AF6002">
        <v>-5.1429325398614903E-2</v>
      </c>
      <c r="AG6002">
        <v>-1.1210347218193</v>
      </c>
      <c r="AH6002">
        <v>11.900064990334799</v>
      </c>
      <c r="AI6002">
        <v>95.381564412998699</v>
      </c>
      <c r="AJ6002">
        <v>90.247617550442399</v>
      </c>
      <c r="AK6002">
        <v>11.9528620253572</v>
      </c>
      <c r="AL6002">
        <v>94.780381562325204</v>
      </c>
      <c r="AM6002">
        <v>89.131372177623504</v>
      </c>
      <c r="AN6002">
        <v>0.99999996436888705</v>
      </c>
    </row>
    <row r="6003" spans="1:40" x14ac:dyDescent="0.25">
      <c r="A6003" t="str">
        <f>"20190303154640210"</f>
        <v>20190303154640210</v>
      </c>
      <c r="B6003" t="str">
        <f>"1551599200207056"</f>
        <v>1551599200207056</v>
      </c>
      <c r="C6003" t="s">
        <v>40</v>
      </c>
      <c r="D6003">
        <v>4.8762780000000001</v>
      </c>
      <c r="E6003">
        <v>0.49165730000000002</v>
      </c>
      <c r="F6003" t="s">
        <v>41</v>
      </c>
      <c r="G6003">
        <v>-301.29399999999998</v>
      </c>
      <c r="H6003" s="1">
        <v>-6.1217630000000004E-7</v>
      </c>
      <c r="I6003">
        <v>-29.786439999999999</v>
      </c>
      <c r="J6003">
        <v>-301.73200000000003</v>
      </c>
      <c r="K6003">
        <v>1.121016</v>
      </c>
      <c r="L6003">
        <v>-17.824400000000001</v>
      </c>
      <c r="M6003">
        <v>3.0170789999999999E-2</v>
      </c>
      <c r="N6003">
        <v>-1.244553E-2</v>
      </c>
      <c r="O6003">
        <v>-0.99946760000000001</v>
      </c>
      <c r="P6003">
        <v>1.607689E-2</v>
      </c>
      <c r="Q6003">
        <v>-9.5815300000000006E-2</v>
      </c>
      <c r="R6003">
        <v>-0.99526970000000003</v>
      </c>
      <c r="S6003">
        <v>0.10903930000000001</v>
      </c>
      <c r="T6003">
        <v>-0.27374470000000001</v>
      </c>
      <c r="U6003">
        <v>-2.986237</v>
      </c>
      <c r="V6003">
        <v>1.3993780000000001E-2</v>
      </c>
      <c r="W6003">
        <v>-8.3415310000000006E-2</v>
      </c>
      <c r="X6003">
        <v>0.99641659999999999</v>
      </c>
      <c r="Y6003">
        <v>-6.2024030000000004E-3</v>
      </c>
      <c r="Z6003">
        <v>7.8799049999999995E-2</v>
      </c>
      <c r="AA6003">
        <v>0.99687119999999996</v>
      </c>
      <c r="AB6003">
        <v>20</v>
      </c>
      <c r="AC6003">
        <v>0.43799999999998801</v>
      </c>
      <c r="AD6003">
        <v>-1.1210166121762899</v>
      </c>
      <c r="AE6003">
        <v>-11.96204</v>
      </c>
      <c r="AF6003">
        <v>-7.6200214996563903E-2</v>
      </c>
      <c r="AG6003">
        <v>-1.1210166121762899</v>
      </c>
      <c r="AH6003">
        <v>11.8657391328387</v>
      </c>
      <c r="AI6003">
        <v>95.396893506804005</v>
      </c>
      <c r="AJ6003">
        <v>90.36794089707</v>
      </c>
      <c r="AK6003">
        <v>11.9188191481422</v>
      </c>
      <c r="AL6003">
        <v>94.784905221188296</v>
      </c>
      <c r="AM6003">
        <v>89.195384916470502</v>
      </c>
      <c r="AN6003">
        <v>0.99999999028832198</v>
      </c>
    </row>
    <row r="6004" spans="1:40" x14ac:dyDescent="0.25">
      <c r="A6004" t="str">
        <f>"20190303154640235"</f>
        <v>20190303154640235</v>
      </c>
      <c r="B6004" t="str">
        <f>"1551599200227553"</f>
        <v>1551599200227553</v>
      </c>
      <c r="C6004" t="s">
        <v>40</v>
      </c>
      <c r="D6004">
        <v>4.8506660000000004</v>
      </c>
      <c r="E6004">
        <v>0.4915505</v>
      </c>
      <c r="F6004" t="s">
        <v>41</v>
      </c>
      <c r="G6004">
        <v>-301.26150000000001</v>
      </c>
      <c r="H6004" s="1">
        <v>-4.7671970000000002E-7</v>
      </c>
      <c r="I6004">
        <v>-30.082049999999999</v>
      </c>
      <c r="J6004">
        <v>-301.72469999999998</v>
      </c>
      <c r="K6004">
        <v>1.1210180000000001</v>
      </c>
      <c r="L6004">
        <v>-18.050989999999999</v>
      </c>
      <c r="M6004">
        <v>3.0546420000000001E-2</v>
      </c>
      <c r="N6004">
        <v>-1.228681E-2</v>
      </c>
      <c r="O6004">
        <v>-0.99945779999999995</v>
      </c>
      <c r="P6004">
        <v>1.75669E-2</v>
      </c>
      <c r="Q6004">
        <v>-9.603428E-2</v>
      </c>
      <c r="R6004">
        <v>-0.99522310000000003</v>
      </c>
      <c r="S6004">
        <v>0.114624</v>
      </c>
      <c r="T6004">
        <v>-0.27309319999999998</v>
      </c>
      <c r="U6004">
        <v>-2.9861149999999999</v>
      </c>
      <c r="V6004">
        <v>1.287778E-2</v>
      </c>
      <c r="W6004">
        <v>-8.3792870000000005E-2</v>
      </c>
      <c r="X6004">
        <v>0.99639999999999995</v>
      </c>
      <c r="Y6004">
        <v>-7.689169E-3</v>
      </c>
      <c r="Z6004">
        <v>7.8740690000000002E-2</v>
      </c>
      <c r="AA6004">
        <v>0.99686549999999996</v>
      </c>
      <c r="AB6004">
        <v>20</v>
      </c>
      <c r="AC6004">
        <v>0.46319999999997202</v>
      </c>
      <c r="AD6004">
        <v>-1.1210184767197</v>
      </c>
      <c r="AE6004">
        <v>-12.03106</v>
      </c>
      <c r="AF6004">
        <v>-9.4629892086727702E-2</v>
      </c>
      <c r="AG6004">
        <v>-1.1210184767197</v>
      </c>
      <c r="AH6004">
        <v>11.936119491898801</v>
      </c>
      <c r="AI6004">
        <v>95.365208642560802</v>
      </c>
      <c r="AJ6004">
        <v>90.454233039898796</v>
      </c>
      <c r="AK6004">
        <v>11.9890193830234</v>
      </c>
      <c r="AL6004">
        <v>94.806613668115901</v>
      </c>
      <c r="AM6004">
        <v>89.259532953525394</v>
      </c>
      <c r="AN6004">
        <v>1.00000002114028</v>
      </c>
    </row>
    <row r="6005" spans="1:40" x14ac:dyDescent="0.25">
      <c r="A6005" t="str">
        <f>"20190303154640271"</f>
        <v>20190303154640271</v>
      </c>
      <c r="B6005" t="str">
        <f>"1551599200267568"</f>
        <v>1551599200267568</v>
      </c>
      <c r="C6005" t="s">
        <v>40</v>
      </c>
      <c r="D6005">
        <v>4.7929550000000001</v>
      </c>
      <c r="E6005">
        <v>0.49137019999999998</v>
      </c>
      <c r="F6005" t="s">
        <v>41</v>
      </c>
      <c r="G6005">
        <v>-301.23340000000002</v>
      </c>
      <c r="H6005" s="1">
        <v>-3.8604739999999998E-7</v>
      </c>
      <c r="I6005">
        <v>-30.27599</v>
      </c>
      <c r="J6005">
        <v>-301.71409999999997</v>
      </c>
      <c r="K6005">
        <v>1.1210070000000001</v>
      </c>
      <c r="L6005">
        <v>-18.37585</v>
      </c>
      <c r="M6005">
        <v>3.1088999999999999E-2</v>
      </c>
      <c r="N6005">
        <v>-1.208597E-2</v>
      </c>
      <c r="O6005">
        <v>-0.99944350000000004</v>
      </c>
      <c r="P6005">
        <v>1.97588E-2</v>
      </c>
      <c r="Q6005">
        <v>-9.5713820000000005E-2</v>
      </c>
      <c r="R6005">
        <v>-0.99521280000000001</v>
      </c>
      <c r="S6005">
        <v>0.11999509999999999</v>
      </c>
      <c r="T6005">
        <v>-0.27380100000000002</v>
      </c>
      <c r="U6005">
        <v>-2.9858699999999998</v>
      </c>
      <c r="V6005">
        <v>1.12272E-2</v>
      </c>
      <c r="W6005">
        <v>-8.3672570000000002E-2</v>
      </c>
      <c r="X6005">
        <v>0.99643000000000004</v>
      </c>
      <c r="Y6005">
        <v>-8.9378349999999999E-3</v>
      </c>
      <c r="Z6005">
        <v>7.9176750000000004E-2</v>
      </c>
      <c r="AA6005">
        <v>0.9968205</v>
      </c>
      <c r="AB6005">
        <v>20</v>
      </c>
      <c r="AC6005">
        <v>0.480699999999956</v>
      </c>
      <c r="AD6005">
        <v>-1.1210073860473999</v>
      </c>
      <c r="AE6005">
        <v>-11.90014</v>
      </c>
      <c r="AF6005">
        <v>-0.109506945403524</v>
      </c>
      <c r="AG6005">
        <v>-1.1210073860473999</v>
      </c>
      <c r="AH6005">
        <v>11.804749346586901</v>
      </c>
      <c r="AI6005">
        <v>95.424445711584696</v>
      </c>
      <c r="AJ6005">
        <v>90.531489966352197</v>
      </c>
      <c r="AK6005">
        <v>11.858362301195299</v>
      </c>
      <c r="AL6005">
        <v>94.799697052250494</v>
      </c>
      <c r="AM6005">
        <v>89.354451435937506</v>
      </c>
      <c r="AN6005">
        <v>0.99999994694512095</v>
      </c>
    </row>
    <row r="6006" spans="1:40" x14ac:dyDescent="0.25">
      <c r="A6006" t="str">
        <f>"20190303154640315"</f>
        <v>20190303154640315</v>
      </c>
      <c r="B6006" t="str">
        <f>"1551599200307585"</f>
        <v>1551599200307585</v>
      </c>
      <c r="C6006" t="s">
        <v>40</v>
      </c>
      <c r="D6006">
        <v>4.6688960000000002</v>
      </c>
      <c r="E6006">
        <v>0.49121789999999999</v>
      </c>
      <c r="F6006" t="s">
        <v>41</v>
      </c>
      <c r="G6006">
        <v>-301.18549999999999</v>
      </c>
      <c r="H6006" s="1">
        <v>-4.4022549999999996E-6</v>
      </c>
      <c r="I6006">
        <v>-30.694890000000001</v>
      </c>
      <c r="J6006">
        <v>-301.70069999999998</v>
      </c>
      <c r="K6006">
        <v>1.1209979999999999</v>
      </c>
      <c r="L6006">
        <v>-18.776610000000002</v>
      </c>
      <c r="M6006">
        <v>3.1757769999999998E-2</v>
      </c>
      <c r="N6006">
        <v>-1.188373E-2</v>
      </c>
      <c r="O6006">
        <v>-0.99942489999999995</v>
      </c>
      <c r="P6006">
        <v>1.9219030000000002E-2</v>
      </c>
      <c r="Q6006">
        <v>-9.5779959999999997E-2</v>
      </c>
      <c r="R6006">
        <v>-0.99521680000000001</v>
      </c>
      <c r="S6006">
        <v>0.1281128</v>
      </c>
      <c r="T6006">
        <v>-0.271698</v>
      </c>
      <c r="U6006">
        <v>-2.9857480000000001</v>
      </c>
      <c r="V6006">
        <v>1.243326E-2</v>
      </c>
      <c r="W6006">
        <v>-8.3939910000000006E-2</v>
      </c>
      <c r="X6006">
        <v>0.99639330000000004</v>
      </c>
      <c r="Y6006">
        <v>-1.097649E-2</v>
      </c>
      <c r="Z6006">
        <v>7.867826E-2</v>
      </c>
      <c r="AA6006">
        <v>0.99683960000000005</v>
      </c>
      <c r="AB6006">
        <v>20</v>
      </c>
      <c r="AC6006">
        <v>0.515199999999993</v>
      </c>
      <c r="AD6006">
        <v>-1.121002402255</v>
      </c>
      <c r="AE6006">
        <v>-11.918279999999999</v>
      </c>
      <c r="AF6006">
        <v>-0.13522130859866099</v>
      </c>
      <c r="AG6006">
        <v>-1.121002402255</v>
      </c>
      <c r="AH6006">
        <v>11.8242189438014</v>
      </c>
      <c r="AI6006">
        <v>95.415422728558795</v>
      </c>
      <c r="AJ6006">
        <v>90.655203747409004</v>
      </c>
      <c r="AK6006">
        <v>11.878008453403</v>
      </c>
      <c r="AL6006">
        <v>94.815068078816694</v>
      </c>
      <c r="AM6006">
        <v>89.285085163479394</v>
      </c>
      <c r="AN6006">
        <v>1.0000000513649601</v>
      </c>
    </row>
    <row r="6007" spans="1:40" x14ac:dyDescent="0.25">
      <c r="A6007" t="str">
        <f>"20190303154640360"</f>
        <v>20190303154640360</v>
      </c>
      <c r="B6007" t="str">
        <f>"1551599200357361"</f>
        <v>1551599200357361</v>
      </c>
      <c r="C6007" t="s">
        <v>40</v>
      </c>
      <c r="D6007">
        <v>4.6550209999999996</v>
      </c>
      <c r="E6007">
        <v>0.51924559999999997</v>
      </c>
      <c r="F6007" t="s">
        <v>41</v>
      </c>
      <c r="G6007">
        <v>-301.17110000000002</v>
      </c>
      <c r="H6007" s="1">
        <v>-4.246012E-6</v>
      </c>
      <c r="I6007">
        <v>-31.146560000000001</v>
      </c>
      <c r="J6007">
        <v>-301.68669999999997</v>
      </c>
      <c r="K6007">
        <v>1.120984</v>
      </c>
      <c r="L6007">
        <v>-19.19098</v>
      </c>
      <c r="M6007">
        <v>3.2444710000000002E-2</v>
      </c>
      <c r="N6007">
        <v>-1.170593E-2</v>
      </c>
      <c r="O6007">
        <v>-0.99940510000000005</v>
      </c>
      <c r="P6007">
        <v>1.7196630000000001E-2</v>
      </c>
      <c r="Q6007">
        <v>-9.5451499999999995E-2</v>
      </c>
      <c r="R6007">
        <v>-0.99528589999999995</v>
      </c>
      <c r="S6007">
        <v>0.12783810000000001</v>
      </c>
      <c r="T6007">
        <v>-0.27059149999999998</v>
      </c>
      <c r="U6007">
        <v>-2.9859010000000001</v>
      </c>
      <c r="V6007">
        <v>1.514098E-2</v>
      </c>
      <c r="W6007">
        <v>-8.3787559999999997E-2</v>
      </c>
      <c r="X6007">
        <v>0.99636860000000005</v>
      </c>
      <c r="Y6007">
        <v>-1.0196810000000001E-2</v>
      </c>
      <c r="Z6007">
        <v>7.8482579999999996E-2</v>
      </c>
      <c r="AA6007">
        <v>0.99686339999999996</v>
      </c>
      <c r="AB6007">
        <v>20</v>
      </c>
      <c r="AC6007">
        <v>0.51559999999994899</v>
      </c>
      <c r="AD6007">
        <v>-1.120988246012</v>
      </c>
      <c r="AE6007">
        <v>-11.9555799999999</v>
      </c>
      <c r="AF6007">
        <v>-0.126298372320269</v>
      </c>
      <c r="AG6007">
        <v>-1.120988246012</v>
      </c>
      <c r="AH6007">
        <v>11.861924547164</v>
      </c>
      <c r="AI6007">
        <v>95.398289483267007</v>
      </c>
      <c r="AJ6007">
        <v>90.610026663811794</v>
      </c>
      <c r="AK6007">
        <v>11.915444594691399</v>
      </c>
      <c r="AL6007">
        <v>94.806308476065297</v>
      </c>
      <c r="AM6007">
        <v>89.1293909859248</v>
      </c>
      <c r="AN6007">
        <v>0.99999999577603704</v>
      </c>
    </row>
    <row r="6008" spans="1:40" x14ac:dyDescent="0.25">
      <c r="A6008" t="str">
        <f>"20190303154640391"</f>
        <v>20190303154640391</v>
      </c>
      <c r="B6008" t="str">
        <f>"1551599200387617"</f>
        <v>1551599200387617</v>
      </c>
      <c r="C6008" t="s">
        <v>40</v>
      </c>
      <c r="D6008">
        <v>4.6326130000000001</v>
      </c>
      <c r="E6008">
        <v>0.5203624</v>
      </c>
      <c r="F6008" t="s">
        <v>41</v>
      </c>
      <c r="G6008">
        <v>-302.37619999999998</v>
      </c>
      <c r="H6008" s="1">
        <v>-1.0346809999999999E-6</v>
      </c>
      <c r="I6008">
        <v>-39.472799999999999</v>
      </c>
      <c r="J6008">
        <v>-301.67689999999999</v>
      </c>
      <c r="K6008">
        <v>1.120976</v>
      </c>
      <c r="L6008">
        <v>-19.47531</v>
      </c>
      <c r="M6008">
        <v>3.2906449999999997E-2</v>
      </c>
      <c r="N6008">
        <v>-1.160478E-2</v>
      </c>
      <c r="O6008">
        <v>-0.99939129999999998</v>
      </c>
      <c r="P6008">
        <v>1.517078E-2</v>
      </c>
      <c r="Q6008">
        <v>-9.4490930000000001E-2</v>
      </c>
      <c r="R6008">
        <v>-0.99541049999999998</v>
      </c>
      <c r="S6008">
        <v>-0.1019897</v>
      </c>
      <c r="T6008">
        <v>-0.16581479999999901</v>
      </c>
      <c r="U6008">
        <v>-3.0000610000000001</v>
      </c>
      <c r="V6008">
        <v>1.7628609999999999E-2</v>
      </c>
      <c r="W6008">
        <v>-8.2926379999999994E-2</v>
      </c>
      <c r="X6008">
        <v>0.99639979999999995</v>
      </c>
      <c r="Y6008">
        <v>6.6789429999999997E-2</v>
      </c>
      <c r="Z6008">
        <v>4.3466650000000003E-2</v>
      </c>
      <c r="AA6008">
        <v>0.99681989999999998</v>
      </c>
      <c r="AB6008">
        <v>20</v>
      </c>
      <c r="AC6008">
        <v>-0.69929999999999304</v>
      </c>
      <c r="AD6008">
        <v>-1.120977034681</v>
      </c>
      <c r="AE6008">
        <v>-19.997489999999999</v>
      </c>
      <c r="AF6008">
        <v>1.3527662412391499</v>
      </c>
      <c r="AG6008">
        <v>-1.120977034681</v>
      </c>
      <c r="AH6008">
        <v>19.9011872279446</v>
      </c>
      <c r="AI6008">
        <v>93.2164942713963</v>
      </c>
      <c r="AJ6008">
        <v>86.111350005083395</v>
      </c>
      <c r="AK6008">
        <v>19.978584011321299</v>
      </c>
      <c r="AL6008">
        <v>94.756793881321002</v>
      </c>
      <c r="AM6008">
        <v>88.986411293780407</v>
      </c>
      <c r="AN6008">
        <v>1.0000000569152301</v>
      </c>
    </row>
    <row r="6009" spans="1:40" x14ac:dyDescent="0.25">
      <c r="A6009" t="str">
        <f>"20190303154640414"</f>
        <v>20190303154640414</v>
      </c>
      <c r="B6009" t="str">
        <f>"1551599200407138"</f>
        <v>1551599200407138</v>
      </c>
      <c r="C6009" t="s">
        <v>40</v>
      </c>
      <c r="D6009">
        <v>4.8434049999999997</v>
      </c>
      <c r="E6009">
        <v>0.52005420000000002</v>
      </c>
      <c r="F6009" t="s">
        <v>60</v>
      </c>
      <c r="G6009">
        <v>-302.58890000000002</v>
      </c>
      <c r="H6009" s="1">
        <v>-1.9833999999999999E-6</v>
      </c>
      <c r="I6009">
        <v>-42.930160000000001</v>
      </c>
      <c r="J6009">
        <v>-301.66930000000002</v>
      </c>
      <c r="K6009">
        <v>1.1209639999999901</v>
      </c>
      <c r="L6009">
        <v>-19.69275</v>
      </c>
      <c r="M6009">
        <v>3.32439E-2</v>
      </c>
      <c r="N6009">
        <v>-1.1538959999999999E-2</v>
      </c>
      <c r="O6009">
        <v>-0.99938079999999996</v>
      </c>
      <c r="P6009">
        <v>1.2594350000000001E-2</v>
      </c>
      <c r="Q6009">
        <v>-9.306238E-2</v>
      </c>
      <c r="R6009">
        <v>-0.9955811</v>
      </c>
      <c r="S6009">
        <v>-0.11672970000000001</v>
      </c>
      <c r="T6009">
        <v>-0.14347389999999999</v>
      </c>
      <c r="U6009">
        <v>-3.0019840000000002</v>
      </c>
      <c r="V6009">
        <v>2.0543260000000001E-2</v>
      </c>
      <c r="W6009">
        <v>-8.1561789999999995E-2</v>
      </c>
      <c r="X6009">
        <v>0.99645660000000003</v>
      </c>
      <c r="Y6009">
        <v>7.2004369999999998E-2</v>
      </c>
      <c r="Z6009">
        <v>3.6082599999999999E-2</v>
      </c>
      <c r="AA6009">
        <v>0.99675139999999995</v>
      </c>
      <c r="AB6009">
        <v>20</v>
      </c>
      <c r="AC6009">
        <v>-0.91960000000000197</v>
      </c>
      <c r="AD6009">
        <v>-1.1209659834000001</v>
      </c>
      <c r="AE6009">
        <v>-23.237410000000001</v>
      </c>
      <c r="AF6009">
        <v>1.68772378744968</v>
      </c>
      <c r="AG6009">
        <v>-1.1209659834000001</v>
      </c>
      <c r="AH6009">
        <v>23.140226407353001</v>
      </c>
      <c r="AI6009">
        <v>92.766036095541494</v>
      </c>
      <c r="AJ6009">
        <v>85.828539853435899</v>
      </c>
      <c r="AK6009">
        <v>23.2287549064133</v>
      </c>
      <c r="AL6009">
        <v>94.678342873207598</v>
      </c>
      <c r="AM6009">
        <v>88.818939653121106</v>
      </c>
      <c r="AN6009">
        <v>1.0000000534014899</v>
      </c>
    </row>
    <row r="6010" spans="1:40" x14ac:dyDescent="0.25">
      <c r="A6010" t="str">
        <f>"20190303154640438"</f>
        <v>20190303154640438</v>
      </c>
      <c r="B6010" t="str">
        <f>"1551599200427633"</f>
        <v>1551599200427633</v>
      </c>
      <c r="C6010" t="s">
        <v>40</v>
      </c>
      <c r="D6010">
        <v>4.6619840000000003</v>
      </c>
      <c r="E6010">
        <v>0.51978139999999995</v>
      </c>
      <c r="F6010" t="s">
        <v>60</v>
      </c>
      <c r="G6010">
        <v>-302.62950000000001</v>
      </c>
      <c r="H6010" s="1">
        <v>-2.225735E-6</v>
      </c>
      <c r="I6010">
        <v>-43.302509999999998</v>
      </c>
      <c r="J6010">
        <v>-301.6619</v>
      </c>
      <c r="K6010">
        <v>1.1209519999999999</v>
      </c>
      <c r="L6010">
        <v>-19.905090000000001</v>
      </c>
      <c r="M6010">
        <v>3.3551299999999999E-2</v>
      </c>
      <c r="N6010">
        <v>-1.148623E-2</v>
      </c>
      <c r="O6010">
        <v>-0.99937109999999996</v>
      </c>
      <c r="P6010">
        <v>1.058017E-2</v>
      </c>
      <c r="Q6010">
        <v>-9.3010319999999994E-2</v>
      </c>
      <c r="R6010">
        <v>-0.99560899999999997</v>
      </c>
      <c r="S6010">
        <v>-0.12207030000000001</v>
      </c>
      <c r="T6010">
        <v>-0.1425092</v>
      </c>
      <c r="U6010">
        <v>-3.0015260000000001</v>
      </c>
      <c r="V6010">
        <v>2.286067E-2</v>
      </c>
      <c r="W6010">
        <v>-8.1562709999999997E-2</v>
      </c>
      <c r="X6010">
        <v>0.99640600000000001</v>
      </c>
      <c r="Y6010">
        <v>7.4087539999999993E-2</v>
      </c>
      <c r="Z6010">
        <v>3.5816500000000001E-2</v>
      </c>
      <c r="AA6010">
        <v>0.99660839999999995</v>
      </c>
      <c r="AB6010">
        <v>20</v>
      </c>
      <c r="AC6010">
        <v>-0.96760000000000401</v>
      </c>
      <c r="AD6010">
        <v>-1.120954225735</v>
      </c>
      <c r="AE6010">
        <v>-23.39742</v>
      </c>
      <c r="AF6010">
        <v>1.7481151264401</v>
      </c>
      <c r="AG6010">
        <v>-1.120954225735</v>
      </c>
      <c r="AH6010">
        <v>23.2983935172999</v>
      </c>
      <c r="AI6010">
        <v>92.746835042961706</v>
      </c>
      <c r="AJ6010">
        <v>85.709047763995798</v>
      </c>
      <c r="AK6010">
        <v>23.390758546025101</v>
      </c>
      <c r="AL6010">
        <v>94.678396005519204</v>
      </c>
      <c r="AM6010">
        <v>88.685686199905206</v>
      </c>
      <c r="AN6010">
        <v>1.00000000136569</v>
      </c>
    </row>
    <row r="6011" spans="1:40" x14ac:dyDescent="0.25">
      <c r="A6011" t="str">
        <f>"20190303154640473"</f>
        <v>20190303154640473</v>
      </c>
      <c r="B6011" t="str">
        <f>"1551599200467650"</f>
        <v>1551599200467650</v>
      </c>
      <c r="C6011" t="s">
        <v>40</v>
      </c>
      <c r="D6011">
        <v>4.7090750000000003</v>
      </c>
      <c r="E6011">
        <v>0.51990590000000003</v>
      </c>
      <c r="F6011" t="s">
        <v>60</v>
      </c>
      <c r="G6011">
        <v>-302.62430000000001</v>
      </c>
      <c r="H6011" s="1">
        <v>-1.9641520000000001E-6</v>
      </c>
      <c r="I6011">
        <v>-42.892119999999998</v>
      </c>
      <c r="J6011">
        <v>-301.65100000000001</v>
      </c>
      <c r="K6011">
        <v>1.120906</v>
      </c>
      <c r="L6011">
        <v>-20.214230000000001</v>
      </c>
      <c r="M6011">
        <v>3.3915140000000003E-2</v>
      </c>
      <c r="N6011">
        <v>-1.144265E-2</v>
      </c>
      <c r="O6011">
        <v>-0.99935940000000001</v>
      </c>
      <c r="P6011">
        <v>1.1131790000000001E-2</v>
      </c>
      <c r="Q6011">
        <v>-9.4513650000000005E-2</v>
      </c>
      <c r="R6011">
        <v>-0.9954615</v>
      </c>
      <c r="S6011">
        <v>-0.1256409</v>
      </c>
      <c r="T6011">
        <v>-0.14633699999999999</v>
      </c>
      <c r="U6011">
        <v>-3.0008849999999998</v>
      </c>
      <c r="V6011">
        <v>2.265907E-2</v>
      </c>
      <c r="W6011">
        <v>-8.3113270000000003E-2</v>
      </c>
      <c r="X6011">
        <v>0.99628249999999996</v>
      </c>
      <c r="Y6011">
        <v>7.5639929999999994E-2</v>
      </c>
      <c r="Z6011">
        <v>3.7133340000000001E-2</v>
      </c>
      <c r="AA6011">
        <v>0.99644350000000004</v>
      </c>
      <c r="AB6011">
        <v>20</v>
      </c>
      <c r="AC6011">
        <v>-0.97329999999999395</v>
      </c>
      <c r="AD6011">
        <v>-1.1209079641519999</v>
      </c>
      <c r="AE6011">
        <v>-22.677890000000001</v>
      </c>
      <c r="AF6011">
        <v>1.7376765803957801</v>
      </c>
      <c r="AG6011">
        <v>-1.1209079641519999</v>
      </c>
      <c r="AH6011">
        <v>22.576775244386699</v>
      </c>
      <c r="AI6011">
        <v>92.833960081929604</v>
      </c>
      <c r="AJ6011">
        <v>85.598767822731205</v>
      </c>
      <c r="AK6011">
        <v>22.671275548537299</v>
      </c>
      <c r="AL6011">
        <v>94.767539089492999</v>
      </c>
      <c r="AM6011">
        <v>88.697111215646999</v>
      </c>
      <c r="AN6011">
        <v>1.0000000344547999</v>
      </c>
    </row>
    <row r="6012" spans="1:40" x14ac:dyDescent="0.25">
      <c r="A6012" t="str">
        <f>"20190303154640516"</f>
        <v>20190303154640516</v>
      </c>
      <c r="B6012" t="str">
        <f>"1551599200507665"</f>
        <v>1551599200507665</v>
      </c>
      <c r="C6012" t="s">
        <v>40</v>
      </c>
      <c r="D6012">
        <v>4.7011620000000001</v>
      </c>
      <c r="E6012">
        <v>0.51993009999999995</v>
      </c>
      <c r="F6012" t="s">
        <v>60</v>
      </c>
      <c r="G6012">
        <v>-302.5829</v>
      </c>
      <c r="H6012" s="1">
        <v>-1.7884289999999899E-6</v>
      </c>
      <c r="I6012">
        <v>-42.624740000000003</v>
      </c>
      <c r="J6012">
        <v>-301.63670000000002</v>
      </c>
      <c r="K6012">
        <v>1.120846</v>
      </c>
      <c r="L6012">
        <v>-20.619230000000002</v>
      </c>
      <c r="M6012">
        <v>3.4193750000000002E-2</v>
      </c>
      <c r="N6012">
        <v>-1.144598E-2</v>
      </c>
      <c r="O6012">
        <v>-0.99934979999999995</v>
      </c>
      <c r="P6012">
        <v>1.6685709999999999E-2</v>
      </c>
      <c r="Q6012">
        <v>-9.1998090000000005E-2</v>
      </c>
      <c r="R6012">
        <v>-0.9956197</v>
      </c>
      <c r="S6012">
        <v>-0.12478640000000001</v>
      </c>
      <c r="T6012">
        <v>-0.15009239999999999</v>
      </c>
      <c r="U6012">
        <v>-3.0008240000000002</v>
      </c>
      <c r="V6012">
        <v>1.7374420000000002E-2</v>
      </c>
      <c r="W6012">
        <v>-8.0595459999999994E-2</v>
      </c>
      <c r="X6012">
        <v>0.99659540000000002</v>
      </c>
      <c r="Y6012">
        <v>7.5633030000000004E-2</v>
      </c>
      <c r="Z6012">
        <v>3.837467E-2</v>
      </c>
      <c r="AA6012">
        <v>0.99639699999999998</v>
      </c>
      <c r="AB6012">
        <v>20</v>
      </c>
      <c r="AC6012">
        <v>-0.94619999999997595</v>
      </c>
      <c r="AD6012">
        <v>-1.120847788429</v>
      </c>
      <c r="AE6012">
        <v>-22.005510000000001</v>
      </c>
      <c r="AF6012">
        <v>1.6937606036722199</v>
      </c>
      <c r="AG6012">
        <v>-1.120847788429</v>
      </c>
      <c r="AH6012">
        <v>21.903562873169701</v>
      </c>
      <c r="AI6012">
        <v>92.920676895170402</v>
      </c>
      <c r="AJ6012">
        <v>85.578226525468196</v>
      </c>
      <c r="AK6012">
        <v>21.997526935686999</v>
      </c>
      <c r="AL6012">
        <v>94.6227938605074</v>
      </c>
      <c r="AM6012">
        <v>89.001219450199002</v>
      </c>
      <c r="AN6012">
        <v>0.99999994497205202</v>
      </c>
    </row>
    <row r="6013" spans="1:40" x14ac:dyDescent="0.25">
      <c r="A6013" t="str">
        <f>"20190303154640561"</f>
        <v>20190303154640561</v>
      </c>
      <c r="B6013" t="str">
        <f>"1551599200557441"</f>
        <v>1551599200557441</v>
      </c>
      <c r="C6013" t="s">
        <v>40</v>
      </c>
      <c r="D6013">
        <v>4.719214</v>
      </c>
      <c r="E6013">
        <v>0.52032809999999996</v>
      </c>
      <c r="F6013" t="s">
        <v>60</v>
      </c>
      <c r="G6013">
        <v>-302.51519999999999</v>
      </c>
      <c r="H6013" s="1">
        <v>-3.3532400000000002E-6</v>
      </c>
      <c r="I6013">
        <v>-45.101410000000001</v>
      </c>
      <c r="J6013">
        <v>-301.62270000000001</v>
      </c>
      <c r="K6013">
        <v>1.1207780000000001</v>
      </c>
      <c r="L6013">
        <v>-21.026579999999999</v>
      </c>
      <c r="M6013">
        <v>3.4210839999999999E-2</v>
      </c>
      <c r="N6013">
        <v>-1.154414E-2</v>
      </c>
      <c r="O6013">
        <v>-0.99934800000000001</v>
      </c>
      <c r="P6013">
        <v>2.0178580000000002E-2</v>
      </c>
      <c r="Q6013">
        <v>-9.3106560000000005E-2</v>
      </c>
      <c r="R6013">
        <v>-0.99545159999999999</v>
      </c>
      <c r="S6013">
        <v>-0.10772710000000001</v>
      </c>
      <c r="T6013">
        <v>-0.1374515</v>
      </c>
      <c r="U6013">
        <v>-3.0022890000000002</v>
      </c>
      <c r="V6013">
        <v>1.3878069999999999E-2</v>
      </c>
      <c r="W6013">
        <v>-8.1609639999999997E-2</v>
      </c>
      <c r="X6013">
        <v>0.99656769999999995</v>
      </c>
      <c r="Y6013">
        <v>6.9984660000000004E-2</v>
      </c>
      <c r="Z6013">
        <v>3.4081279999999999E-2</v>
      </c>
      <c r="AA6013">
        <v>0.99696569999999995</v>
      </c>
      <c r="AB6013">
        <v>21</v>
      </c>
      <c r="AC6013">
        <v>-0.89249999999998397</v>
      </c>
      <c r="AD6013">
        <v>-1.1207813532399999</v>
      </c>
      <c r="AE6013">
        <v>-24.074829999999899</v>
      </c>
      <c r="AF6013">
        <v>1.7119473279462301</v>
      </c>
      <c r="AG6013">
        <v>-1.1207813532399999</v>
      </c>
      <c r="AH6013">
        <v>23.978304007109401</v>
      </c>
      <c r="AI6013">
        <v>92.669356798573105</v>
      </c>
      <c r="AJ6013">
        <v>85.916258178968306</v>
      </c>
      <c r="AK6013">
        <v>24.065451949896801</v>
      </c>
      <c r="AL6013">
        <v>94.681094096557601</v>
      </c>
      <c r="AM6013">
        <v>89.202158123966001</v>
      </c>
      <c r="AN6013">
        <v>0.99999995742557102</v>
      </c>
    </row>
    <row r="6014" spans="1:40" x14ac:dyDescent="0.25">
      <c r="A6014" t="str">
        <f>"20190303154640606"</f>
        <v>20190303154640606</v>
      </c>
      <c r="B6014" t="str">
        <f>"1551599200597457"</f>
        <v>1551599200597457</v>
      </c>
      <c r="C6014" t="s">
        <v>40</v>
      </c>
      <c r="D6014">
        <v>4.838171</v>
      </c>
      <c r="E6014">
        <v>0.51991069999999995</v>
      </c>
      <c r="F6014" t="s">
        <v>60</v>
      </c>
      <c r="G6014">
        <v>-302.44600000000003</v>
      </c>
      <c r="H6014" s="1">
        <v>-3.65349E-6</v>
      </c>
      <c r="I6014">
        <v>-45.759500000000003</v>
      </c>
      <c r="J6014">
        <v>-301.60899999999998</v>
      </c>
      <c r="K6014">
        <v>1.1207309999999999</v>
      </c>
      <c r="L6014">
        <v>-21.43018</v>
      </c>
      <c r="M6014">
        <v>3.3919650000000003E-2</v>
      </c>
      <c r="N6014">
        <v>-1.183357E-2</v>
      </c>
      <c r="O6014">
        <v>-0.99935479999999999</v>
      </c>
      <c r="P6014">
        <v>2.3224990000000001E-2</v>
      </c>
      <c r="Q6014">
        <v>-9.7005839999999996E-2</v>
      </c>
      <c r="R6014">
        <v>-0.99501340000000005</v>
      </c>
      <c r="S6014">
        <v>-9.9975590000000003E-2</v>
      </c>
      <c r="T6014">
        <v>-0.13608299999999901</v>
      </c>
      <c r="U6014">
        <v>-3.0030209999999999</v>
      </c>
      <c r="V6014">
        <v>1.0508129999999999E-2</v>
      </c>
      <c r="W6014">
        <v>-8.5225999999999996E-2</v>
      </c>
      <c r="X6014">
        <v>0.99630620000000003</v>
      </c>
      <c r="Y6014">
        <v>6.7116099999999998E-2</v>
      </c>
      <c r="Z6014">
        <v>3.3335030000000002E-2</v>
      </c>
      <c r="AA6014">
        <v>0.99718819999999997</v>
      </c>
      <c r="AB6014">
        <v>21</v>
      </c>
      <c r="AC6014">
        <v>-0.83699999999993202</v>
      </c>
      <c r="AD6014">
        <v>-1.12073465349</v>
      </c>
      <c r="AE6014">
        <v>-24.329319999999999</v>
      </c>
      <c r="AF6014">
        <v>1.6583030921031601</v>
      </c>
      <c r="AG6014">
        <v>-1.12073465349</v>
      </c>
      <c r="AH6014">
        <v>24.235558240368199</v>
      </c>
      <c r="AI6014">
        <v>92.641497907175705</v>
      </c>
      <c r="AJ6014">
        <v>86.085672918404995</v>
      </c>
      <c r="AK6014">
        <v>24.318065271133101</v>
      </c>
      <c r="AL6014">
        <v>94.889021031104605</v>
      </c>
      <c r="AM6014">
        <v>89.395718729807896</v>
      </c>
      <c r="AN6014">
        <v>0.99999996801526703</v>
      </c>
    </row>
    <row r="6015" spans="1:40" x14ac:dyDescent="0.25">
      <c r="A6015" t="str">
        <f>"20190303154640650"</f>
        <v>20190303154640650</v>
      </c>
      <c r="B6015" t="str">
        <f>"1551599200637473"</f>
        <v>1551599200637473</v>
      </c>
      <c r="C6015" t="s">
        <v>40</v>
      </c>
      <c r="D6015">
        <v>4.8546769999999997</v>
      </c>
      <c r="E6015">
        <v>0.5195227</v>
      </c>
      <c r="F6015" t="s">
        <v>60</v>
      </c>
      <c r="G6015">
        <v>-302.24310000000003</v>
      </c>
      <c r="H6015" s="1">
        <v>-2.0489029999999999E-6</v>
      </c>
      <c r="I6015">
        <v>-43.108969999999999</v>
      </c>
      <c r="J6015">
        <v>-301.59589999999997</v>
      </c>
      <c r="K6015">
        <v>1.1207119999999999</v>
      </c>
      <c r="L6015">
        <v>-21.836849999999998</v>
      </c>
      <c r="M6015">
        <v>3.3341389999999999E-2</v>
      </c>
      <c r="N6015">
        <v>-1.2311799999999999E-2</v>
      </c>
      <c r="O6015">
        <v>-0.99936829999999999</v>
      </c>
      <c r="P6015">
        <v>2.5476990000000001E-2</v>
      </c>
      <c r="Q6015">
        <v>-9.9160609999999996E-2</v>
      </c>
      <c r="R6015">
        <v>-0.99474560000000001</v>
      </c>
      <c r="S6015">
        <v>-8.7799070000000007E-2</v>
      </c>
      <c r="T6015">
        <v>-0.15519260000000001</v>
      </c>
      <c r="U6015">
        <v>-3.0019529999999999</v>
      </c>
      <c r="V6015">
        <v>7.651606E-3</v>
      </c>
      <c r="W6015">
        <v>-8.6907139999999994E-2</v>
      </c>
      <c r="X6015">
        <v>0.99618700000000004</v>
      </c>
      <c r="Y6015">
        <v>6.2501050000000002E-2</v>
      </c>
      <c r="Z6015">
        <v>3.9218459999999997E-2</v>
      </c>
      <c r="AA6015">
        <v>0.99727399999999999</v>
      </c>
      <c r="AB6015">
        <v>20</v>
      </c>
      <c r="AC6015">
        <v>-0.64720000000005395</v>
      </c>
      <c r="AD6015">
        <v>-1.1207140489030001</v>
      </c>
      <c r="AE6015">
        <v>-21.272120000000001</v>
      </c>
      <c r="AF6015">
        <v>1.3523855374748199</v>
      </c>
      <c r="AG6015">
        <v>-1.1207140489030001</v>
      </c>
      <c r="AH6015">
        <v>21.179976890688099</v>
      </c>
      <c r="AI6015">
        <v>93.022771003252203</v>
      </c>
      <c r="AJ6015">
        <v>86.3465052343293</v>
      </c>
      <c r="AK6015">
        <v>21.2526790713891</v>
      </c>
      <c r="AL6015">
        <v>94.985702015761703</v>
      </c>
      <c r="AM6015">
        <v>89.5599258882024</v>
      </c>
      <c r="AN6015">
        <v>0.99999996851317896</v>
      </c>
    </row>
    <row r="6016" spans="1:40" x14ac:dyDescent="0.25">
      <c r="A6016" t="str">
        <f>"20190303154640851"</f>
        <v>20190303154640851</v>
      </c>
      <c r="B6016" t="str">
        <f>"1551599200847904"</f>
        <v>1551599200847904</v>
      </c>
      <c r="C6016" t="s">
        <v>40</v>
      </c>
      <c r="D6016">
        <v>4.7600790000000002</v>
      </c>
      <c r="E6016">
        <v>0.52240850000000005</v>
      </c>
      <c r="F6016" t="s">
        <v>60</v>
      </c>
      <c r="G6016">
        <v>-302.10829999999999</v>
      </c>
      <c r="H6016" s="1">
        <v>-1.0228650000000001E-6</v>
      </c>
      <c r="I6016">
        <v>-41.524290000000001</v>
      </c>
      <c r="J6016">
        <v>-301.5453</v>
      </c>
      <c r="K6016">
        <v>1.120566</v>
      </c>
      <c r="L6016">
        <v>-23.64987</v>
      </c>
      <c r="M6016">
        <v>2.7985159999999999E-2</v>
      </c>
      <c r="N6016">
        <v>-1.372256E-2</v>
      </c>
      <c r="O6016">
        <v>-0.99951429999999997</v>
      </c>
      <c r="P6016">
        <v>2.0113550000000001E-2</v>
      </c>
      <c r="Q6016">
        <v>-0.1058016</v>
      </c>
      <c r="R6016">
        <v>-0.99418410000000002</v>
      </c>
      <c r="S6016">
        <v>-7.8094479999999994E-2</v>
      </c>
      <c r="T6016">
        <v>-0.1708229</v>
      </c>
      <c r="U6016">
        <v>-3.0008240000000002</v>
      </c>
      <c r="V6016">
        <v>7.6150810000000001E-3</v>
      </c>
      <c r="W6016">
        <v>-9.2155180000000003E-2</v>
      </c>
      <c r="X6016">
        <v>0.99571560000000003</v>
      </c>
      <c r="Y6016">
        <v>5.3933380000000003E-2</v>
      </c>
      <c r="Z6016">
        <v>4.3038270000000003E-2</v>
      </c>
      <c r="AA6016">
        <v>0.99761659999999996</v>
      </c>
      <c r="AB6016">
        <v>20</v>
      </c>
      <c r="AC6016">
        <v>-0.56299999999998795</v>
      </c>
      <c r="AD6016">
        <v>-1.120567022865</v>
      </c>
      <c r="AE6016">
        <v>-17.874420000000001</v>
      </c>
      <c r="AF6016">
        <v>1.05888749543836</v>
      </c>
      <c r="AG6016">
        <v>-1.120567022865</v>
      </c>
      <c r="AH6016">
        <v>17.7818443641033</v>
      </c>
      <c r="AI6016">
        <v>93.599507899228001</v>
      </c>
      <c r="AJ6016">
        <v>86.592129447875294</v>
      </c>
      <c r="AK6016">
        <v>17.8485546241123</v>
      </c>
      <c r="AL6016">
        <v>95.287604869213894</v>
      </c>
      <c r="AM6016">
        <v>89.5618191623375</v>
      </c>
      <c r="AN6016">
        <v>1.00000006137141</v>
      </c>
    </row>
    <row r="6017" spans="1:40" x14ac:dyDescent="0.25">
      <c r="A6017" t="str">
        <f>"20190303154640885"</f>
        <v>20190303154640885</v>
      </c>
      <c r="B6017" t="str">
        <f>"1551599200878160"</f>
        <v>1551599200878160</v>
      </c>
      <c r="C6017" t="s">
        <v>40</v>
      </c>
      <c r="D6017">
        <v>4.8026790000000004</v>
      </c>
      <c r="E6017">
        <v>0.52539440000000004</v>
      </c>
      <c r="F6017" t="s">
        <v>60</v>
      </c>
      <c r="G6017">
        <v>-302.2586</v>
      </c>
      <c r="H6017" s="1">
        <v>-1.274844E-6</v>
      </c>
      <c r="I6017">
        <v>-41.887779999999999</v>
      </c>
      <c r="J6017">
        <v>-301.53840000000002</v>
      </c>
      <c r="K6017">
        <v>1.120539</v>
      </c>
      <c r="L6017">
        <v>-23.951540000000001</v>
      </c>
      <c r="M6017">
        <v>2.6764199999999998E-2</v>
      </c>
      <c r="N6017">
        <v>-1.383499E-2</v>
      </c>
      <c r="O6017">
        <v>-0.9995463</v>
      </c>
      <c r="P6017">
        <v>1.9759410000000002E-2</v>
      </c>
      <c r="Q6017">
        <v>-0.1060422</v>
      </c>
      <c r="R6017">
        <v>-0.99416550000000004</v>
      </c>
      <c r="S6017">
        <v>-0.1173401</v>
      </c>
      <c r="T6017">
        <v>-0.1843437</v>
      </c>
      <c r="U6017">
        <v>-3.000305</v>
      </c>
      <c r="V6017">
        <v>6.7467369999999896E-3</v>
      </c>
      <c r="W6017">
        <v>-9.2283669999999998E-2</v>
      </c>
      <c r="X6017">
        <v>0.99570990000000004</v>
      </c>
      <c r="Y6017">
        <v>6.5733659999999999E-2</v>
      </c>
      <c r="Z6017">
        <v>4.7381380000000001E-2</v>
      </c>
      <c r="AA6017">
        <v>0.99671160000000003</v>
      </c>
      <c r="AB6017">
        <v>20</v>
      </c>
      <c r="AC6017">
        <v>-0.72019999999997697</v>
      </c>
      <c r="AD6017">
        <v>-1.1205402748440001</v>
      </c>
      <c r="AE6017">
        <v>-17.936239999999898</v>
      </c>
      <c r="AF6017">
        <v>1.19537890705834</v>
      </c>
      <c r="AG6017">
        <v>-1.1205402748440001</v>
      </c>
      <c r="AH6017">
        <v>17.841015772677999</v>
      </c>
      <c r="AI6017">
        <v>93.5858353504414</v>
      </c>
      <c r="AJ6017">
        <v>86.166812869120406</v>
      </c>
      <c r="AK6017">
        <v>17.9160929066561</v>
      </c>
      <c r="AL6017">
        <v>95.294998637169797</v>
      </c>
      <c r="AM6017">
        <v>89.6117808611736</v>
      </c>
      <c r="AN6017">
        <v>0.99999999958341301</v>
      </c>
    </row>
    <row r="6018" spans="1:40" x14ac:dyDescent="0.25">
      <c r="A6018" t="str">
        <f>"20190303154640924"</f>
        <v>20190303154640924</v>
      </c>
      <c r="B6018" t="str">
        <f>"1551599200918177"</f>
        <v>1551599200918177</v>
      </c>
      <c r="C6018" t="s">
        <v>40</v>
      </c>
      <c r="D6018">
        <v>4.9339899999999997</v>
      </c>
      <c r="E6018">
        <v>0.5266305</v>
      </c>
      <c r="F6018" t="s">
        <v>60</v>
      </c>
      <c r="G6018">
        <v>-302.41359999999997</v>
      </c>
      <c r="H6018" s="1">
        <v>-1.6200660000000001E-6</v>
      </c>
      <c r="I6018">
        <v>-42.396949999999997</v>
      </c>
      <c r="J6018">
        <v>-301.53109999999998</v>
      </c>
      <c r="K6018">
        <v>1.1205050000000001</v>
      </c>
      <c r="L6018">
        <v>-24.290949999999999</v>
      </c>
      <c r="M6018">
        <v>2.5269409999999999E-2</v>
      </c>
      <c r="N6018">
        <v>-1.3933869999999999E-2</v>
      </c>
      <c r="O6018">
        <v>-0.99958389999999997</v>
      </c>
      <c r="P6018">
        <v>1.903262E-2</v>
      </c>
      <c r="Q6018">
        <v>-0.1047225</v>
      </c>
      <c r="R6018">
        <v>-0.99431999999999998</v>
      </c>
      <c r="S6018">
        <v>-0.14239499999999999</v>
      </c>
      <c r="T6018">
        <v>-0.1823082</v>
      </c>
      <c r="U6018">
        <v>-3.001007</v>
      </c>
      <c r="V6018">
        <v>5.9819720000000003E-3</v>
      </c>
      <c r="W6018">
        <v>-9.0863349999999996E-2</v>
      </c>
      <c r="X6018">
        <v>0.99584539999999999</v>
      </c>
      <c r="Y6018">
        <v>7.2534860000000007E-2</v>
      </c>
      <c r="Z6018">
        <v>4.6571939999999999E-2</v>
      </c>
      <c r="AA6018">
        <v>0.99627790000000005</v>
      </c>
      <c r="AB6018">
        <v>20</v>
      </c>
      <c r="AC6018">
        <v>-0.88249999999999296</v>
      </c>
      <c r="AD6018">
        <v>-1.1205066200660001</v>
      </c>
      <c r="AE6018">
        <v>-18.106000000000002</v>
      </c>
      <c r="AF6018">
        <v>1.33469077451894</v>
      </c>
      <c r="AG6018">
        <v>-1.1205066200660001</v>
      </c>
      <c r="AH6018">
        <v>18.009105781816299</v>
      </c>
      <c r="AI6018">
        <v>93.550577937002203</v>
      </c>
      <c r="AJ6018">
        <v>85.761444301142504</v>
      </c>
      <c r="AK6018">
        <v>18.0932259591773</v>
      </c>
      <c r="AL6018">
        <v>95.213276935877303</v>
      </c>
      <c r="AM6018">
        <v>89.655832495235103</v>
      </c>
      <c r="AN6018">
        <v>0.99999999653169502</v>
      </c>
    </row>
    <row r="6019" spans="1:40" x14ac:dyDescent="0.25">
      <c r="A6019" t="str">
        <f>"20190303154640951"</f>
        <v>20190303154640951</v>
      </c>
      <c r="B6019" t="str">
        <f>"1551599200947457"</f>
        <v>1551599200947457</v>
      </c>
      <c r="C6019" t="s">
        <v>40</v>
      </c>
      <c r="D6019">
        <v>4.9837590000000001</v>
      </c>
      <c r="E6019">
        <v>0.52711830000000004</v>
      </c>
      <c r="F6019" t="s">
        <v>60</v>
      </c>
      <c r="G6019">
        <v>-302.43389999999999</v>
      </c>
      <c r="H6019" s="1">
        <v>-1.255213E-6</v>
      </c>
      <c r="I6019">
        <v>-41.8185</v>
      </c>
      <c r="J6019">
        <v>-301.52629999999999</v>
      </c>
      <c r="K6019">
        <v>1.1204889999999901</v>
      </c>
      <c r="L6019">
        <v>-24.53839</v>
      </c>
      <c r="M6019">
        <v>2.40888E-2</v>
      </c>
      <c r="N6019">
        <v>-1.399039E-2</v>
      </c>
      <c r="O6019">
        <v>-0.9996121</v>
      </c>
      <c r="P6019">
        <v>1.9309860000000002E-2</v>
      </c>
      <c r="Q6019">
        <v>-0.1041285</v>
      </c>
      <c r="R6019">
        <v>-0.9943767</v>
      </c>
      <c r="S6019">
        <v>-0.1545105</v>
      </c>
      <c r="T6019">
        <v>-0.19177910000000001</v>
      </c>
      <c r="U6019">
        <v>-2.999908</v>
      </c>
      <c r="V6019">
        <v>4.5257530000000004E-3</v>
      </c>
      <c r="W6019">
        <v>-9.0210529999999997E-2</v>
      </c>
      <c r="X6019">
        <v>0.99591240000000003</v>
      </c>
      <c r="Y6019">
        <v>7.5376650000000003E-2</v>
      </c>
      <c r="Z6019">
        <v>4.966077E-2</v>
      </c>
      <c r="AA6019">
        <v>0.99591770000000002</v>
      </c>
      <c r="AB6019">
        <v>20</v>
      </c>
      <c r="AC6019">
        <v>-0.90760000000000196</v>
      </c>
      <c r="AD6019">
        <v>-1.1204902552129901</v>
      </c>
      <c r="AE6019">
        <v>-17.280110000000001</v>
      </c>
      <c r="AF6019">
        <v>1.31810751857909</v>
      </c>
      <c r="AG6019">
        <v>-1.1204902552129901</v>
      </c>
      <c r="AH6019">
        <v>17.1811885580519</v>
      </c>
      <c r="AI6019">
        <v>93.720422134551796</v>
      </c>
      <c r="AJ6019">
        <v>85.612972122787198</v>
      </c>
      <c r="AK6019">
        <v>17.268067237241599</v>
      </c>
      <c r="AL6019">
        <v>95.175719018918102</v>
      </c>
      <c r="AM6019">
        <v>89.739630954421401</v>
      </c>
      <c r="AN6019">
        <v>0.99999996531842805</v>
      </c>
    </row>
    <row r="6020" spans="1:40" x14ac:dyDescent="0.25">
      <c r="A6020" t="str">
        <f>"20190303154640984"</f>
        <v>20190303154640984</v>
      </c>
      <c r="B6020" t="str">
        <f>"1551599200977712"</f>
        <v>1551599200977712</v>
      </c>
      <c r="C6020" t="s">
        <v>40</v>
      </c>
      <c r="D6020">
        <v>4.986237</v>
      </c>
      <c r="E6020">
        <v>0.52772269999999999</v>
      </c>
      <c r="F6020" t="s">
        <v>60</v>
      </c>
      <c r="G6020">
        <v>-302.41320000000002</v>
      </c>
      <c r="H6020" s="1">
        <v>-1.023866E-6</v>
      </c>
      <c r="I6020">
        <v>-41.357889999999998</v>
      </c>
      <c r="J6020">
        <v>-301.52109999999999</v>
      </c>
      <c r="K6020">
        <v>1.1204809999999901</v>
      </c>
      <c r="L6020">
        <v>-24.832370000000001</v>
      </c>
      <c r="M6020">
        <v>2.2587800000000002E-2</v>
      </c>
      <c r="N6020">
        <v>-1.4045129999999999E-2</v>
      </c>
      <c r="O6020">
        <v>-0.99964629999999999</v>
      </c>
      <c r="P6020">
        <v>1.9781099999999999E-2</v>
      </c>
      <c r="Q6020">
        <v>-0.1009502</v>
      </c>
      <c r="R6020">
        <v>-0.99469490000000005</v>
      </c>
      <c r="S6020">
        <v>-0.15814210000000001</v>
      </c>
      <c r="T6020">
        <v>-0.19979640000000001</v>
      </c>
      <c r="U6020">
        <v>-2.9991150000000002</v>
      </c>
      <c r="V6020">
        <v>2.5661759999999999E-3</v>
      </c>
      <c r="W6020">
        <v>-8.6970809999999996E-2</v>
      </c>
      <c r="X6020">
        <v>0.99620750000000002</v>
      </c>
      <c r="Y6020">
        <v>7.5087119999999993E-2</v>
      </c>
      <c r="Z6020">
        <v>5.227702E-2</v>
      </c>
      <c r="AA6020">
        <v>0.99580570000000002</v>
      </c>
      <c r="AB6020">
        <v>20</v>
      </c>
      <c r="AC6020">
        <v>-0.89210000000002698</v>
      </c>
      <c r="AD6020">
        <v>-1.1204820238659901</v>
      </c>
      <c r="AE6020">
        <v>-16.52552</v>
      </c>
      <c r="AF6020">
        <v>1.2594112501976999</v>
      </c>
      <c r="AG6020">
        <v>-1.1204820238659901</v>
      </c>
      <c r="AH6020">
        <v>16.425855750600501</v>
      </c>
      <c r="AI6020">
        <v>93.890974407855694</v>
      </c>
      <c r="AJ6020">
        <v>85.615568071699201</v>
      </c>
      <c r="AK6020">
        <v>16.512126870953601</v>
      </c>
      <c r="AL6020">
        <v>94.989364020732296</v>
      </c>
      <c r="AM6020">
        <v>89.852409534076799</v>
      </c>
      <c r="AN6020">
        <v>0.99999994505378298</v>
      </c>
    </row>
    <row r="6021" spans="1:40" x14ac:dyDescent="0.25">
      <c r="A6021" t="str">
        <f>"20190303154641018"</f>
        <v>20190303154641018</v>
      </c>
      <c r="B6021" t="str">
        <f>"1551599201007969"</f>
        <v>1551599201007969</v>
      </c>
      <c r="C6021" t="s">
        <v>40</v>
      </c>
      <c r="D6021">
        <v>5.0048629999999896</v>
      </c>
      <c r="E6021">
        <v>0.52821189999999996</v>
      </c>
      <c r="F6021" t="s">
        <v>60</v>
      </c>
      <c r="G6021">
        <v>-302.43419999999998</v>
      </c>
      <c r="H6021" s="1">
        <v>-1.2163600000000001E-6</v>
      </c>
      <c r="I6021">
        <v>-41.757309999999997</v>
      </c>
      <c r="J6021">
        <v>-301.5163</v>
      </c>
      <c r="K6021">
        <v>1.1204480000000001</v>
      </c>
      <c r="L6021">
        <v>-25.132020000000001</v>
      </c>
      <c r="M6021">
        <v>2.0940190000000001E-2</v>
      </c>
      <c r="N6021">
        <v>-1.40886E-2</v>
      </c>
      <c r="O6021">
        <v>-0.9996815</v>
      </c>
      <c r="P6021">
        <v>2.0050129999999999E-2</v>
      </c>
      <c r="Q6021">
        <v>-0.1011403</v>
      </c>
      <c r="R6021">
        <v>-0.9946701</v>
      </c>
      <c r="S6021">
        <v>-0.16180420000000001</v>
      </c>
      <c r="T6021">
        <v>-0.19854830000000001</v>
      </c>
      <c r="U6021">
        <v>-2.9990839999999999</v>
      </c>
      <c r="V6021">
        <v>6.4975630000000003E-4</v>
      </c>
      <c r="W6021">
        <v>-8.7115049999999999E-2</v>
      </c>
      <c r="X6021">
        <v>0.99619809999999998</v>
      </c>
      <c r="Y6021">
        <v>7.4658249999999995E-2</v>
      </c>
      <c r="Z6021">
        <v>5.1824410000000001E-2</v>
      </c>
      <c r="AA6021">
        <v>0.99586160000000001</v>
      </c>
      <c r="AB6021">
        <v>20</v>
      </c>
      <c r="AC6021">
        <v>-0.91789999999997396</v>
      </c>
      <c r="AD6021">
        <v>-1.1204492163599999</v>
      </c>
      <c r="AE6021">
        <v>-16.6252899999999</v>
      </c>
      <c r="AF6021">
        <v>1.2601637120614799</v>
      </c>
      <c r="AG6021">
        <v>-1.1204492163599999</v>
      </c>
      <c r="AH6021">
        <v>16.527581016837999</v>
      </c>
      <c r="AI6021">
        <v>93.867110889228897</v>
      </c>
      <c r="AJ6021">
        <v>85.639855988180997</v>
      </c>
      <c r="AK6021">
        <v>16.613378744126098</v>
      </c>
      <c r="AL6021">
        <v>94.997659303474407</v>
      </c>
      <c r="AM6021">
        <v>89.962629633179404</v>
      </c>
      <c r="AN6021">
        <v>1.00000005428167</v>
      </c>
    </row>
    <row r="6022" spans="1:40" x14ac:dyDescent="0.25">
      <c r="A6022" t="str">
        <f>"20190303154641051"</f>
        <v>20190303154641051</v>
      </c>
      <c r="B6022" t="str">
        <f>"1551599201047985"</f>
        <v>1551599201047985</v>
      </c>
      <c r="C6022" t="s">
        <v>40</v>
      </c>
      <c r="D6022">
        <v>5.0110190000000001</v>
      </c>
      <c r="E6022">
        <v>0.52882369999999901</v>
      </c>
      <c r="F6022" t="s">
        <v>60</v>
      </c>
      <c r="G6022">
        <v>-302.41250000000002</v>
      </c>
      <c r="H6022" s="1">
        <v>-1.067149E-6</v>
      </c>
      <c r="I6022">
        <v>-41.471719999999998</v>
      </c>
      <c r="J6022">
        <v>-301.51229999999998</v>
      </c>
      <c r="K6022">
        <v>1.1204149999999999</v>
      </c>
      <c r="L6022">
        <v>-25.419429999999998</v>
      </c>
      <c r="M6022">
        <v>1.928581E-2</v>
      </c>
      <c r="N6022">
        <v>-1.412061E-2</v>
      </c>
      <c r="O6022">
        <v>-0.9997144</v>
      </c>
      <c r="P6022">
        <v>1.582391E-2</v>
      </c>
      <c r="Q6022">
        <v>-0.1044331</v>
      </c>
      <c r="R6022">
        <v>-0.99440609999999996</v>
      </c>
      <c r="S6022">
        <v>-0.1644592</v>
      </c>
      <c r="T6022">
        <v>-0.20561189999999999</v>
      </c>
      <c r="U6022">
        <v>-2.9984739999999999</v>
      </c>
      <c r="V6022">
        <v>3.2137189999999999E-3</v>
      </c>
      <c r="W6022">
        <v>-9.0384699999999998E-2</v>
      </c>
      <c r="X6022">
        <v>0.99590179999999995</v>
      </c>
      <c r="Y6022">
        <v>7.3890430000000007E-2</v>
      </c>
      <c r="Z6022">
        <v>5.4146079999999999E-2</v>
      </c>
      <c r="AA6022">
        <v>0.9957954</v>
      </c>
      <c r="AB6022">
        <v>20</v>
      </c>
      <c r="AC6022">
        <v>-0.90020000000003997</v>
      </c>
      <c r="AD6022">
        <v>-1.120416067149</v>
      </c>
      <c r="AE6022">
        <v>-16.052289999999999</v>
      </c>
      <c r="AF6022">
        <v>1.2037985743872901</v>
      </c>
      <c r="AG6022">
        <v>-1.120416067149</v>
      </c>
      <c r="AH6022">
        <v>15.954458646273499</v>
      </c>
      <c r="AI6022">
        <v>94.005703315497897</v>
      </c>
      <c r="AJ6022">
        <v>85.685084850568003</v>
      </c>
      <c r="AK6022">
        <v>16.038990425424998</v>
      </c>
      <c r="AL6022">
        <v>95.185738674084405</v>
      </c>
      <c r="AM6022">
        <v>89.815110389286502</v>
      </c>
      <c r="AN6022">
        <v>1.00000005861356</v>
      </c>
    </row>
    <row r="6023" spans="1:40" x14ac:dyDescent="0.25">
      <c r="A6023" t="str">
        <f>"20190303154641086"</f>
        <v>20190303154641086</v>
      </c>
      <c r="B6023" t="str">
        <f>"1551599201078241"</f>
        <v>1551599201078241</v>
      </c>
      <c r="C6023" t="s">
        <v>40</v>
      </c>
      <c r="D6023">
        <v>5.152317</v>
      </c>
      <c r="E6023">
        <v>0.52879140000000002</v>
      </c>
      <c r="F6023" t="s">
        <v>41</v>
      </c>
      <c r="G6023">
        <v>-302.42099999999999</v>
      </c>
      <c r="H6023" s="1">
        <v>-6.7016710000000004E-7</v>
      </c>
      <c r="I6023">
        <v>-40.350279999999998</v>
      </c>
      <c r="J6023">
        <v>-301.50880000000001</v>
      </c>
      <c r="K6023">
        <v>1.1204130000000001</v>
      </c>
      <c r="L6023">
        <v>-25.715669999999999</v>
      </c>
      <c r="M6023">
        <v>1.7538339999999999E-2</v>
      </c>
      <c r="N6023">
        <v>-1.414585E-2</v>
      </c>
      <c r="O6023">
        <v>-0.99974620000000003</v>
      </c>
      <c r="P6023">
        <v>1.1157129999999999E-2</v>
      </c>
      <c r="Q6023">
        <v>-0.10529669999999999</v>
      </c>
      <c r="R6023">
        <v>-0.99437819999999999</v>
      </c>
      <c r="S6023">
        <v>-0.18234249999999999</v>
      </c>
      <c r="T6023">
        <v>-0.22483249999999999</v>
      </c>
      <c r="U6023">
        <v>-2.9961549999999999</v>
      </c>
      <c r="V6023">
        <v>6.138236E-3</v>
      </c>
      <c r="W6023">
        <v>-9.1229340000000006E-2</v>
      </c>
      <c r="X6023">
        <v>0.995811</v>
      </c>
      <c r="Y6023">
        <v>7.8084269999999997E-2</v>
      </c>
      <c r="Z6023">
        <v>6.0508579999999999E-2</v>
      </c>
      <c r="AA6023">
        <v>0.99510880000000002</v>
      </c>
      <c r="AB6023">
        <v>20</v>
      </c>
      <c r="AC6023">
        <v>-0.91219999999998402</v>
      </c>
      <c r="AD6023">
        <v>-1.1204136701670999</v>
      </c>
      <c r="AE6023">
        <v>-14.634609999999901</v>
      </c>
      <c r="AF6023">
        <v>1.16196780509361</v>
      </c>
      <c r="AG6023">
        <v>-1.1204136701670999</v>
      </c>
      <c r="AH6023">
        <v>14.531514516152599</v>
      </c>
      <c r="AI6023">
        <v>94.394942592369404</v>
      </c>
      <c r="AJ6023">
        <v>85.428246679896205</v>
      </c>
      <c r="AK6023">
        <v>14.6208895114328</v>
      </c>
      <c r="AL6023">
        <v>95.234334010143201</v>
      </c>
      <c r="AM6023">
        <v>89.646830008637295</v>
      </c>
      <c r="AN6023">
        <v>1.00000000906951</v>
      </c>
    </row>
    <row r="6024" spans="1:40" x14ac:dyDescent="0.25">
      <c r="A6024" t="str">
        <f>"20190303154641121"</f>
        <v>20190303154641121</v>
      </c>
      <c r="B6024" t="str">
        <f>"1551599201118258"</f>
        <v>1551599201118258</v>
      </c>
      <c r="C6024" t="s">
        <v>40</v>
      </c>
      <c r="D6024">
        <v>5.0761469999999997</v>
      </c>
      <c r="E6024">
        <v>0.52813520000000003</v>
      </c>
      <c r="F6024" t="s">
        <v>42</v>
      </c>
      <c r="G6024">
        <v>-301.56639999999999</v>
      </c>
      <c r="H6024">
        <v>1.0521100000000001</v>
      </c>
      <c r="I6024">
        <v>-26.590699999999998</v>
      </c>
      <c r="J6024">
        <v>-301.50569999999999</v>
      </c>
      <c r="K6024">
        <v>1.1204229999999999</v>
      </c>
      <c r="L6024">
        <v>-26.025510000000001</v>
      </c>
      <c r="M6024">
        <v>1.5688770000000001E-2</v>
      </c>
      <c r="N6024">
        <v>-1.416512E-2</v>
      </c>
      <c r="O6024">
        <v>-0.99977680000000002</v>
      </c>
      <c r="P6024">
        <v>9.4195100000000007E-3</v>
      </c>
      <c r="Q6024">
        <v>-0.1052054</v>
      </c>
      <c r="R6024">
        <v>-0.99440640000000002</v>
      </c>
      <c r="S6024">
        <v>-0.1963501</v>
      </c>
      <c r="T6024">
        <v>-0.23360149999999999</v>
      </c>
      <c r="U6024">
        <v>-2.994415</v>
      </c>
      <c r="V6024">
        <v>6.0392589999999999E-3</v>
      </c>
      <c r="W6024">
        <v>-9.1118340000000006E-2</v>
      </c>
      <c r="X6024">
        <v>0.99582179999999998</v>
      </c>
      <c r="Y6024">
        <v>8.0895759999999997E-2</v>
      </c>
      <c r="Z6024">
        <v>6.3414150000000002E-2</v>
      </c>
      <c r="AA6024">
        <v>0.99470320000000001</v>
      </c>
      <c r="AB6024">
        <v>19</v>
      </c>
      <c r="AC6024">
        <v>-6.0699999999996999E-2</v>
      </c>
      <c r="AD6024">
        <v>-6.8312999999999804E-2</v>
      </c>
      <c r="AE6024">
        <v>-0.56518999999999697</v>
      </c>
      <c r="AF6024">
        <v>6.8570237632980396E-2</v>
      </c>
      <c r="AG6024">
        <v>-6.8312999999999804E-2</v>
      </c>
      <c r="AH6024">
        <v>0.55613612075983399</v>
      </c>
      <c r="AI6024">
        <v>96.950735409857103</v>
      </c>
      <c r="AJ6024">
        <v>82.971044552440603</v>
      </c>
      <c r="AK6024">
        <v>0.564496172061282</v>
      </c>
      <c r="AL6024">
        <v>95.227947412030204</v>
      </c>
      <c r="AM6024">
        <v>89.652528384094296</v>
      </c>
      <c r="AN6024">
        <v>1.0000000409444301</v>
      </c>
    </row>
    <row r="6025" spans="1:40" x14ac:dyDescent="0.25">
      <c r="A6025" t="str">
        <f>"20190303154641152"</f>
        <v>20190303154641152</v>
      </c>
      <c r="B6025" t="str">
        <f>"1551599201147539"</f>
        <v>1551599201147539</v>
      </c>
      <c r="C6025" t="s">
        <v>40</v>
      </c>
      <c r="D6025">
        <v>5.0508499999999996</v>
      </c>
      <c r="E6025">
        <v>0.52762819999999899</v>
      </c>
      <c r="F6025" t="s">
        <v>60</v>
      </c>
      <c r="G6025">
        <v>-302.4796</v>
      </c>
      <c r="H6025" s="1">
        <v>-8.6110500000000003E-7</v>
      </c>
      <c r="I6025">
        <v>-40.885489999999997</v>
      </c>
      <c r="J6025">
        <v>-301.5034</v>
      </c>
      <c r="K6025">
        <v>1.1204379999999901</v>
      </c>
      <c r="L6025">
        <v>-26.294709999999998</v>
      </c>
      <c r="M6025">
        <v>1.408763E-2</v>
      </c>
      <c r="N6025">
        <v>-1.417685E-2</v>
      </c>
      <c r="O6025">
        <v>-0.99980009999999997</v>
      </c>
      <c r="P6025">
        <v>9.3441029999999994E-3</v>
      </c>
      <c r="Q6025">
        <v>-0.1063755</v>
      </c>
      <c r="R6025">
        <v>-0.99428190000000005</v>
      </c>
      <c r="S6025">
        <v>-0.19628909999999999</v>
      </c>
      <c r="T6025">
        <v>-0.22580729999999999</v>
      </c>
      <c r="U6025">
        <v>-2.9948429999999999</v>
      </c>
      <c r="V6025">
        <v>4.5222930000000001E-3</v>
      </c>
      <c r="W6025">
        <v>-9.2275659999999995E-2</v>
      </c>
      <c r="X6025">
        <v>0.99572320000000003</v>
      </c>
      <c r="Y6025">
        <v>7.9283039999999999E-2</v>
      </c>
      <c r="Z6025">
        <v>6.0824959999999997E-2</v>
      </c>
      <c r="AA6025">
        <v>0.99499479999999996</v>
      </c>
      <c r="AB6025">
        <v>19</v>
      </c>
      <c r="AC6025">
        <v>-0.97620000000000495</v>
      </c>
      <c r="AD6025">
        <v>-1.12043886110499</v>
      </c>
      <c r="AE6025">
        <v>-14.590780000000001</v>
      </c>
      <c r="AF6025">
        <v>1.1747767099393001</v>
      </c>
      <c r="AG6025">
        <v>-1.12043886110499</v>
      </c>
      <c r="AH6025">
        <v>14.490510628014199</v>
      </c>
      <c r="AI6025">
        <v>94.407038870011505</v>
      </c>
      <c r="AJ6025">
        <v>85.365045499555094</v>
      </c>
      <c r="AK6025">
        <v>14.5811653107796</v>
      </c>
      <c r="AL6025">
        <v>95.294537889541004</v>
      </c>
      <c r="AM6025">
        <v>89.739780572467694</v>
      </c>
      <c r="AN6025">
        <v>0.99999996979032602</v>
      </c>
    </row>
    <row r="6026" spans="1:40" x14ac:dyDescent="0.25">
      <c r="A6026" t="str">
        <f>"20190303154641186"</f>
        <v>20190303154641186</v>
      </c>
      <c r="B6026" t="str">
        <f>"1551599201177793"</f>
        <v>1551599201177793</v>
      </c>
      <c r="C6026" t="s">
        <v>40</v>
      </c>
      <c r="D6026">
        <v>5.0868840000000004</v>
      </c>
      <c r="E6026">
        <v>0.5270648</v>
      </c>
      <c r="F6026" t="s">
        <v>60</v>
      </c>
      <c r="G6026">
        <v>-302.46440000000001</v>
      </c>
      <c r="H6026" s="1">
        <v>-9.9941970000000001E-7</v>
      </c>
      <c r="I6026">
        <v>-41.258220000000001</v>
      </c>
      <c r="J6026">
        <v>-301.50139999999999</v>
      </c>
      <c r="K6026">
        <v>1.12046</v>
      </c>
      <c r="L6026">
        <v>-26.586880000000001</v>
      </c>
      <c r="M6026">
        <v>1.236875E-2</v>
      </c>
      <c r="N6026">
        <v>-1.418583E-2</v>
      </c>
      <c r="O6026">
        <v>-0.99982289999999996</v>
      </c>
      <c r="P6026">
        <v>8.6164889999999997E-3</v>
      </c>
      <c r="Q6026">
        <v>-0.1090235</v>
      </c>
      <c r="R6026">
        <v>-0.99400180000000005</v>
      </c>
      <c r="S6026">
        <v>-0.1923523</v>
      </c>
      <c r="T6026">
        <v>-0.22426409999999999</v>
      </c>
      <c r="U6026">
        <v>-2.9950559999999999</v>
      </c>
      <c r="V6026">
        <v>3.5366640000000001E-3</v>
      </c>
      <c r="W6026">
        <v>-9.4916799999999996E-2</v>
      </c>
      <c r="X6026">
        <v>0.99547890000000006</v>
      </c>
      <c r="Y6026">
        <v>7.6266070000000005E-2</v>
      </c>
      <c r="Z6026">
        <v>6.0316090000000003E-2</v>
      </c>
      <c r="AA6026">
        <v>0.99526150000000002</v>
      </c>
      <c r="AB6026">
        <v>19</v>
      </c>
      <c r="AC6026">
        <v>-0.96300000000002195</v>
      </c>
      <c r="AD6026">
        <v>-1.1204609994196999</v>
      </c>
      <c r="AE6026">
        <v>-14.671340000000001</v>
      </c>
      <c r="AF6026">
        <v>1.13780295837197</v>
      </c>
      <c r="AG6026">
        <v>-1.1204609994196999</v>
      </c>
      <c r="AH6026">
        <v>14.573669051920501</v>
      </c>
      <c r="AI6026">
        <v>94.383111888215694</v>
      </c>
      <c r="AJ6026">
        <v>85.535830022532906</v>
      </c>
      <c r="AK6026">
        <v>14.660895540798499</v>
      </c>
      <c r="AL6026">
        <v>95.446531308879102</v>
      </c>
      <c r="AM6026">
        <v>89.796444637636498</v>
      </c>
      <c r="AN6026">
        <v>0.99999997362984905</v>
      </c>
    </row>
    <row r="6027" spans="1:40" x14ac:dyDescent="0.25">
      <c r="A6027" t="str">
        <f>"20190303154641219"</f>
        <v>20190303154641219</v>
      </c>
      <c r="B6027" t="str">
        <f>"1551599201208049"</f>
        <v>1551599201208049</v>
      </c>
      <c r="C6027" t="s">
        <v>40</v>
      </c>
      <c r="D6027">
        <v>5.0884710000000002</v>
      </c>
      <c r="E6027">
        <v>0.52649219999999997</v>
      </c>
      <c r="F6027" t="s">
        <v>42</v>
      </c>
      <c r="G6027">
        <v>-301.55759999999998</v>
      </c>
      <c r="H6027">
        <v>1.0532220000000001</v>
      </c>
      <c r="I6027">
        <v>-27.466940000000001</v>
      </c>
      <c r="J6027">
        <v>-301.49990000000003</v>
      </c>
      <c r="K6027">
        <v>1.1204719999999999</v>
      </c>
      <c r="L6027">
        <v>-26.876619999999999</v>
      </c>
      <c r="M6027">
        <v>1.0684310000000001E-2</v>
      </c>
      <c r="N6027">
        <v>-1.419137E-2</v>
      </c>
      <c r="O6027">
        <v>-0.99984240000000002</v>
      </c>
      <c r="P6027">
        <v>7.1914219999999899E-3</v>
      </c>
      <c r="Q6027">
        <v>-0.1083654</v>
      </c>
      <c r="R6027">
        <v>-0.99408540000000001</v>
      </c>
      <c r="S6027">
        <v>-0.1902161</v>
      </c>
      <c r="T6027">
        <v>-0.22865920000000001</v>
      </c>
      <c r="U6027">
        <v>-2.994659</v>
      </c>
      <c r="V6027">
        <v>3.2917430000000002E-3</v>
      </c>
      <c r="W6027">
        <v>-9.4251680000000004E-2</v>
      </c>
      <c r="X6027">
        <v>0.99554290000000001</v>
      </c>
      <c r="Y6027">
        <v>7.3882420000000004E-2</v>
      </c>
      <c r="Z6027">
        <v>6.1784699999999998E-2</v>
      </c>
      <c r="AA6027">
        <v>0.99535119999999999</v>
      </c>
      <c r="AB6027">
        <v>19</v>
      </c>
      <c r="AC6027">
        <v>-5.7699999999954302E-2</v>
      </c>
      <c r="AD6027">
        <v>-6.7250000000000004E-2</v>
      </c>
      <c r="AE6027">
        <v>-0.59031999999999796</v>
      </c>
      <c r="AF6027">
        <v>6.3192151668438806E-2</v>
      </c>
      <c r="AG6027">
        <v>-6.7250000000000004E-2</v>
      </c>
      <c r="AH6027">
        <v>0.58218561729142704</v>
      </c>
      <c r="AI6027">
        <v>96.551062578636902</v>
      </c>
      <c r="AJ6027">
        <v>83.805198555740901</v>
      </c>
      <c r="AK6027">
        <v>0.58945390278925702</v>
      </c>
      <c r="AL6027">
        <v>95.408251303969706</v>
      </c>
      <c r="AM6027">
        <v>89.810553323391701</v>
      </c>
      <c r="AN6027">
        <v>0.99999994024760297</v>
      </c>
    </row>
    <row r="6028" spans="1:40" x14ac:dyDescent="0.25">
      <c r="A6028" t="str">
        <f>"20190303154641253"</f>
        <v>20190303154641253</v>
      </c>
      <c r="B6028" t="str">
        <f>"1551599201248068"</f>
        <v>1551599201248068</v>
      </c>
      <c r="C6028" t="s">
        <v>40</v>
      </c>
      <c r="D6028">
        <v>5.106611</v>
      </c>
      <c r="E6028">
        <v>0.52585119999999996</v>
      </c>
      <c r="F6028" t="s">
        <v>60</v>
      </c>
      <c r="G6028">
        <v>-302.45280000000002</v>
      </c>
      <c r="H6028" s="1">
        <v>-1.3162429999999999E-6</v>
      </c>
      <c r="I6028">
        <v>-41.91037</v>
      </c>
      <c r="J6028">
        <v>-301.49900000000002</v>
      </c>
      <c r="K6028">
        <v>1.1205050000000001</v>
      </c>
      <c r="L6028">
        <v>-27.164149999999999</v>
      </c>
      <c r="M6028">
        <v>9.0244139999999997E-3</v>
      </c>
      <c r="N6028">
        <v>-1.4194170000000001E-2</v>
      </c>
      <c r="O6028">
        <v>-0.99985880000000005</v>
      </c>
      <c r="P6028">
        <v>6.109125E-3</v>
      </c>
      <c r="Q6028">
        <v>-0.1076816</v>
      </c>
      <c r="R6028">
        <v>-0.99416709999999997</v>
      </c>
      <c r="S6028">
        <v>-0.1898193</v>
      </c>
      <c r="T6028">
        <v>-0.22321160000000001</v>
      </c>
      <c r="U6028">
        <v>-2.994904</v>
      </c>
      <c r="V6028">
        <v>2.7276549999999998E-3</v>
      </c>
      <c r="W6028">
        <v>-9.3563289999999993E-2</v>
      </c>
      <c r="X6028">
        <v>0.99560959999999998</v>
      </c>
      <c r="Y6028">
        <v>7.209931E-2</v>
      </c>
      <c r="Z6028">
        <v>5.9982639999999997E-2</v>
      </c>
      <c r="AA6028">
        <v>0.99559219999999904</v>
      </c>
      <c r="AB6028">
        <v>19</v>
      </c>
      <c r="AC6028">
        <v>-0.95380000000000098</v>
      </c>
      <c r="AD6028">
        <v>-1.12050631624299</v>
      </c>
      <c r="AE6028">
        <v>-14.746219999999999</v>
      </c>
      <c r="AF6028">
        <v>1.08063705314228</v>
      </c>
      <c r="AG6028">
        <v>-1.12050631624299</v>
      </c>
      <c r="AH6028">
        <v>14.6527603512366</v>
      </c>
      <c r="AI6028">
        <v>94.361137405032395</v>
      </c>
      <c r="AJ6028">
        <v>85.782088036275894</v>
      </c>
      <c r="AK6028">
        <v>14.7352196032545</v>
      </c>
      <c r="AL6028">
        <v>95.368634054072302</v>
      </c>
      <c r="AM6028">
        <v>89.843028102123299</v>
      </c>
      <c r="AN6028">
        <v>1.0000000024747899</v>
      </c>
    </row>
    <row r="6029" spans="1:40" x14ac:dyDescent="0.25">
      <c r="A6029" t="str">
        <f>"20190303154641287"</f>
        <v>20190303154641287</v>
      </c>
      <c r="B6029" t="str">
        <f>"1551599201277346"</f>
        <v>1551599201277346</v>
      </c>
      <c r="C6029" t="s">
        <v>40</v>
      </c>
      <c r="D6029">
        <v>5.0804960000000001</v>
      </c>
      <c r="E6029">
        <v>0.52538750000000001</v>
      </c>
      <c r="F6029" t="s">
        <v>60</v>
      </c>
      <c r="G6029">
        <v>-302.47210000000001</v>
      </c>
      <c r="H6029" s="1">
        <v>-1.800002E-6</v>
      </c>
      <c r="I6029">
        <v>-42.667209999999997</v>
      </c>
      <c r="J6029">
        <v>-301.4984</v>
      </c>
      <c r="K6029">
        <v>1.12053</v>
      </c>
      <c r="L6029">
        <v>-27.44885</v>
      </c>
      <c r="M6029">
        <v>7.390186E-3</v>
      </c>
      <c r="N6029">
        <v>-1.4195060000000001E-2</v>
      </c>
      <c r="O6029">
        <v>-0.99987210000000004</v>
      </c>
      <c r="P6029">
        <v>4.2904470000000002E-3</v>
      </c>
      <c r="Q6029">
        <v>-0.10566300000000001</v>
      </c>
      <c r="R6029">
        <v>-0.99439319999999998</v>
      </c>
      <c r="S6029">
        <v>-0.18801880000000001</v>
      </c>
      <c r="T6029">
        <v>-0.21648990000000001</v>
      </c>
      <c r="U6029">
        <v>-2.9952999999999999</v>
      </c>
      <c r="V6029">
        <v>2.928384E-3</v>
      </c>
      <c r="W6029">
        <v>-9.1541129999999998E-2</v>
      </c>
      <c r="X6029">
        <v>0.99579700000000004</v>
      </c>
      <c r="Y6029">
        <v>6.987525E-2</v>
      </c>
      <c r="Z6029">
        <v>5.775831E-2</v>
      </c>
      <c r="AA6029">
        <v>0.99588220000000005</v>
      </c>
      <c r="AB6029">
        <v>19</v>
      </c>
      <c r="AC6029">
        <v>-0.973700000000007</v>
      </c>
      <c r="AD6029">
        <v>-1.1205318000019999</v>
      </c>
      <c r="AE6029">
        <v>-15.218359999999899</v>
      </c>
      <c r="AF6029">
        <v>1.08031825476454</v>
      </c>
      <c r="AG6029">
        <v>-1.1205318000019999</v>
      </c>
      <c r="AH6029">
        <v>15.129061265542701</v>
      </c>
      <c r="AI6029">
        <v>94.225150655113595</v>
      </c>
      <c r="AJ6029">
        <v>85.915622783206601</v>
      </c>
      <c r="AK6029">
        <v>15.2089175756507</v>
      </c>
      <c r="AL6029">
        <v>95.2522733235635</v>
      </c>
      <c r="AM6029">
        <v>89.831508268922093</v>
      </c>
      <c r="AN6029">
        <v>1.0000000095617601</v>
      </c>
    </row>
    <row r="6030" spans="1:40" x14ac:dyDescent="0.25">
      <c r="A6030" t="str">
        <f>"20190303154641324"</f>
        <v>20190303154641324</v>
      </c>
      <c r="B6030" t="str">
        <f>"1551599201317361"</f>
        <v>1551599201317361</v>
      </c>
      <c r="C6030" t="s">
        <v>40</v>
      </c>
      <c r="D6030">
        <v>5.0917629999999896</v>
      </c>
      <c r="E6030">
        <v>0.52477220000000002</v>
      </c>
      <c r="F6030" t="s">
        <v>60</v>
      </c>
      <c r="G6030">
        <v>-302.52319999999997</v>
      </c>
      <c r="H6030" s="1">
        <v>-2.4207200000000001E-6</v>
      </c>
      <c r="I6030">
        <v>-43.632559999999998</v>
      </c>
      <c r="J6030">
        <v>-301.4984</v>
      </c>
      <c r="K6030">
        <v>1.1205499999999999</v>
      </c>
      <c r="L6030">
        <v>-27.759060000000002</v>
      </c>
      <c r="M6030">
        <v>5.6288070000000004E-3</v>
      </c>
      <c r="N6030">
        <v>-1.4194099999999999E-2</v>
      </c>
      <c r="O6030">
        <v>-0.99988350000000004</v>
      </c>
      <c r="P6030">
        <v>3.327563E-3</v>
      </c>
      <c r="Q6030">
        <v>-0.104782399999999</v>
      </c>
      <c r="R6030">
        <v>-0.99448979999999998</v>
      </c>
      <c r="S6030">
        <v>-0.18969730000000001</v>
      </c>
      <c r="T6030">
        <v>-0.20741689999999999</v>
      </c>
      <c r="U6030">
        <v>-2.9956969999999998</v>
      </c>
      <c r="V6030">
        <v>2.1450330000000002E-3</v>
      </c>
      <c r="W6030">
        <v>-9.0659020000000007E-2</v>
      </c>
      <c r="X6030">
        <v>0.99587969999999904</v>
      </c>
      <c r="Y6030">
        <v>6.8678400000000001E-2</v>
      </c>
      <c r="Z6030">
        <v>5.4751309999999997E-2</v>
      </c>
      <c r="AA6030">
        <v>0.99613529999999995</v>
      </c>
      <c r="AB6030">
        <v>19</v>
      </c>
      <c r="AC6030">
        <v>-1.02479999999997</v>
      </c>
      <c r="AD6030">
        <v>-1.1205524207199999</v>
      </c>
      <c r="AE6030">
        <v>-15.8735</v>
      </c>
      <c r="AF6030">
        <v>1.1086398465351199</v>
      </c>
      <c r="AG6030">
        <v>-1.1205524207199999</v>
      </c>
      <c r="AH6030">
        <v>15.7891238015024</v>
      </c>
      <c r="AI6030">
        <v>94.049532028142195</v>
      </c>
      <c r="AJ6030">
        <v>85.983545177748397</v>
      </c>
      <c r="AK6030">
        <v>15.867613256443899</v>
      </c>
      <c r="AL6030">
        <v>95.201521057616603</v>
      </c>
      <c r="AM6030">
        <v>89.876590367534007</v>
      </c>
      <c r="AN6030">
        <v>1.00000001797301</v>
      </c>
    </row>
    <row r="6031" spans="1:40" x14ac:dyDescent="0.25">
      <c r="A6031" t="str">
        <f>"20190303154641355"</f>
        <v>20190303154641355</v>
      </c>
      <c r="B6031" t="str">
        <f>"1551599201347617"</f>
        <v>1551599201347617</v>
      </c>
      <c r="C6031" t="s">
        <v>40</v>
      </c>
      <c r="D6031">
        <v>5.0979269999999897</v>
      </c>
      <c r="E6031">
        <v>0.52437349999999905</v>
      </c>
      <c r="F6031" t="s">
        <v>60</v>
      </c>
      <c r="G6031">
        <v>-302.54300000000001</v>
      </c>
      <c r="H6031" s="1">
        <v>-2.9267720000000002E-6</v>
      </c>
      <c r="I6031">
        <v>-44.424370000000003</v>
      </c>
      <c r="J6031">
        <v>-301.49869999999999</v>
      </c>
      <c r="K6031">
        <v>1.1205780000000001</v>
      </c>
      <c r="L6031">
        <v>-28.030519999999999</v>
      </c>
      <c r="M6031">
        <v>4.1272050000000001E-3</v>
      </c>
      <c r="N6031">
        <v>-1.4191870000000001E-2</v>
      </c>
      <c r="O6031">
        <v>-0.99989099999999997</v>
      </c>
      <c r="P6031">
        <v>2.5012350000000001E-3</v>
      </c>
      <c r="Q6031">
        <v>-0.1046473</v>
      </c>
      <c r="R6031">
        <v>-0.99450640000000001</v>
      </c>
      <c r="S6031">
        <v>-0.18780520000000001</v>
      </c>
      <c r="T6031">
        <v>-0.2014493</v>
      </c>
      <c r="U6031">
        <v>-2.9960330000000002</v>
      </c>
      <c r="V6031">
        <v>1.483156E-3</v>
      </c>
      <c r="W6031">
        <v>-9.0524869999999993E-2</v>
      </c>
      <c r="X6031">
        <v>0.99589309999999998</v>
      </c>
      <c r="Y6031">
        <v>6.6555240000000002E-2</v>
      </c>
      <c r="Z6031">
        <v>5.277805E-2</v>
      </c>
      <c r="AA6031">
        <v>0.99638590000000005</v>
      </c>
      <c r="AB6031">
        <v>19</v>
      </c>
      <c r="AC6031">
        <v>-1.04430000000002</v>
      </c>
      <c r="AD6031">
        <v>-1.1205809267719999</v>
      </c>
      <c r="AE6031">
        <v>-16.39385</v>
      </c>
      <c r="AF6031">
        <v>1.1068083152292401</v>
      </c>
      <c r="AG6031">
        <v>-1.1205809267719999</v>
      </c>
      <c r="AH6031">
        <v>16.313487486362401</v>
      </c>
      <c r="AI6031">
        <v>93.920516084126007</v>
      </c>
      <c r="AJ6031">
        <v>86.118646587358498</v>
      </c>
      <c r="AK6031">
        <v>16.3893441060894</v>
      </c>
      <c r="AL6031">
        <v>95.193803138913196</v>
      </c>
      <c r="AM6031">
        <v>89.914671046185504</v>
      </c>
      <c r="AN6031">
        <v>1.0000000092339201</v>
      </c>
    </row>
    <row r="6032" spans="1:40" x14ac:dyDescent="0.25">
      <c r="A6032" t="str">
        <f>"20190303154641387"</f>
        <v>20190303154641387</v>
      </c>
      <c r="B6032" t="str">
        <f>"1551599201377873"</f>
        <v>1551599201377873</v>
      </c>
      <c r="C6032" t="s">
        <v>40</v>
      </c>
      <c r="D6032">
        <v>5.070176</v>
      </c>
      <c r="E6032">
        <v>0.52393849999999997</v>
      </c>
      <c r="F6032" t="s">
        <v>60</v>
      </c>
      <c r="G6032">
        <v>-302.55489999999998</v>
      </c>
      <c r="H6032" s="1">
        <v>-3.2673430000000002E-6</v>
      </c>
      <c r="I6032">
        <v>-44.957569999999997</v>
      </c>
      <c r="J6032">
        <v>-301.49939999999998</v>
      </c>
      <c r="K6032">
        <v>1.1206100000000001</v>
      </c>
      <c r="L6032">
        <v>-28.299469999999999</v>
      </c>
      <c r="M6032">
        <v>2.7091160000000001E-3</v>
      </c>
      <c r="N6032">
        <v>-1.4188569999999999E-2</v>
      </c>
      <c r="O6032">
        <v>-0.9998956</v>
      </c>
      <c r="P6032">
        <v>1.9208439999999999E-3</v>
      </c>
      <c r="Q6032">
        <v>-0.10227269999999999</v>
      </c>
      <c r="R6032">
        <v>-0.99475449999999999</v>
      </c>
      <c r="S6032">
        <v>-0.1869507</v>
      </c>
      <c r="T6032">
        <v>-0.1983472</v>
      </c>
      <c r="U6032">
        <v>-2.9961549999999999</v>
      </c>
      <c r="V6032">
        <v>6.6503959999999996E-4</v>
      </c>
      <c r="W6032">
        <v>-8.8149080000000005E-2</v>
      </c>
      <c r="X6032">
        <v>0.99610699999999996</v>
      </c>
      <c r="Y6032">
        <v>6.4859260000000002E-2</v>
      </c>
      <c r="Z6032">
        <v>5.175681E-2</v>
      </c>
      <c r="AA6032">
        <v>0.99655130000000003</v>
      </c>
      <c r="AB6032">
        <v>19</v>
      </c>
      <c r="AC6032">
        <v>-1.0554999999999899</v>
      </c>
      <c r="AD6032">
        <v>-1.120613267343</v>
      </c>
      <c r="AE6032">
        <v>-16.658100000000001</v>
      </c>
      <c r="AF6032">
        <v>1.09569074498001</v>
      </c>
      <c r="AG6032">
        <v>-1.120613267343</v>
      </c>
      <c r="AH6032">
        <v>16.580445367714301</v>
      </c>
      <c r="AI6032">
        <v>93.858147936106903</v>
      </c>
      <c r="AJ6032">
        <v>86.219202315790795</v>
      </c>
      <c r="AK6032">
        <v>16.654353211558199</v>
      </c>
      <c r="AL6032">
        <v>95.057134296155695</v>
      </c>
      <c r="AM6032">
        <v>89.961747124929701</v>
      </c>
      <c r="AN6032">
        <v>0.99999992901575496</v>
      </c>
    </row>
    <row r="6033" spans="1:40" x14ac:dyDescent="0.25">
      <c r="A6033" t="str">
        <f>"20190303154641420"</f>
        <v>20190303154641420</v>
      </c>
      <c r="B6033" t="str">
        <f>"1551599201417889"</f>
        <v>1551599201417889</v>
      </c>
      <c r="C6033" t="s">
        <v>40</v>
      </c>
      <c r="D6033">
        <v>5.0697999999999999</v>
      </c>
      <c r="E6033">
        <v>0.48777540000000003</v>
      </c>
      <c r="F6033" t="s">
        <v>60</v>
      </c>
      <c r="G6033">
        <v>-302.59399999999999</v>
      </c>
      <c r="H6033" s="1">
        <v>-3.7579679999999998E-6</v>
      </c>
      <c r="I6033">
        <v>-46.001130000000003</v>
      </c>
      <c r="J6033">
        <v>-301.50040000000001</v>
      </c>
      <c r="K6033">
        <v>1.120665</v>
      </c>
      <c r="L6033">
        <v>-28.584009999999999</v>
      </c>
      <c r="M6033">
        <v>1.3450700000000001E-3</v>
      </c>
      <c r="N6033">
        <v>-1.418386E-2</v>
      </c>
      <c r="O6033">
        <v>-0.99989859999999997</v>
      </c>
      <c r="P6033">
        <v>1.126801E-3</v>
      </c>
      <c r="Q6033">
        <v>-0.1046146</v>
      </c>
      <c r="R6033">
        <v>-0.99451219999999996</v>
      </c>
      <c r="S6033">
        <v>-0.18530269999999999</v>
      </c>
      <c r="T6033">
        <v>-0.18970619999999999</v>
      </c>
      <c r="U6033">
        <v>-2.9966740000000001</v>
      </c>
      <c r="V6033">
        <v>1.1376830000000001E-4</v>
      </c>
      <c r="W6033">
        <v>-9.0498190000000006E-2</v>
      </c>
      <c r="X6033">
        <v>0.99589660000000002</v>
      </c>
      <c r="Y6033">
        <v>6.2952499999999995E-2</v>
      </c>
      <c r="Z6033">
        <v>4.8893909999999999E-2</v>
      </c>
      <c r="AA6033">
        <v>0.99681810000000004</v>
      </c>
      <c r="AB6033">
        <v>19</v>
      </c>
      <c r="AC6033">
        <v>-1.0935999999999799</v>
      </c>
      <c r="AD6033">
        <v>-1.1206687579679999</v>
      </c>
      <c r="AE6033">
        <v>-17.417119999999901</v>
      </c>
      <c r="AF6033">
        <v>1.1124411739755899</v>
      </c>
      <c r="AG6033">
        <v>-1.1206687579679999</v>
      </c>
      <c r="AH6033">
        <v>17.344110234538</v>
      </c>
      <c r="AI6033">
        <v>93.689398468777696</v>
      </c>
      <c r="AJ6033">
        <v>86.330108893498505</v>
      </c>
      <c r="AK6033">
        <v>17.415842892563301</v>
      </c>
      <c r="AL6033">
        <v>95.192268304949906</v>
      </c>
      <c r="AM6033">
        <v>89.9934546986062</v>
      </c>
      <c r="AN6033">
        <v>0.999999986614031</v>
      </c>
    </row>
    <row r="6034" spans="1:40" x14ac:dyDescent="0.25">
      <c r="A6034" t="str">
        <f>"20190303154641454"</f>
        <v>20190303154641454</v>
      </c>
      <c r="B6034" t="str">
        <f>"1551599201448149"</f>
        <v>1551599201448149</v>
      </c>
      <c r="C6034" t="s">
        <v>40</v>
      </c>
      <c r="D6034">
        <v>5.0705249999999999</v>
      </c>
      <c r="E6034">
        <v>0.48215229999999998</v>
      </c>
      <c r="F6034" t="s">
        <v>60</v>
      </c>
      <c r="G6034">
        <v>-300.99400000000003</v>
      </c>
      <c r="H6034" s="1">
        <v>-2.2088330000000002E-6</v>
      </c>
      <c r="I6034">
        <v>-43.6342</v>
      </c>
      <c r="J6034">
        <v>-301.50150000000002</v>
      </c>
      <c r="K6034">
        <v>1.1207400000000001</v>
      </c>
      <c r="L6034">
        <v>-28.864650000000001</v>
      </c>
      <c r="M6034">
        <v>1.994578E-4</v>
      </c>
      <c r="N6034">
        <v>-1.4178359999999999E-2</v>
      </c>
      <c r="O6034">
        <v>-0.99989969999999995</v>
      </c>
      <c r="P6034">
        <v>-1.6463139999999999E-4</v>
      </c>
      <c r="Q6034">
        <v>-0.1088195</v>
      </c>
      <c r="R6034">
        <v>-0.99406190000000005</v>
      </c>
      <c r="S6034">
        <v>0.10070800000000001</v>
      </c>
      <c r="T6034">
        <v>-0.2228656</v>
      </c>
      <c r="U6034">
        <v>-2.9930110000000001</v>
      </c>
      <c r="V6034">
        <v>2.8256050000000001E-4</v>
      </c>
      <c r="W6034">
        <v>-9.4714690000000004E-2</v>
      </c>
      <c r="X6034">
        <v>0.99550439999999996</v>
      </c>
      <c r="Y6034">
        <v>-3.3347639999999998E-2</v>
      </c>
      <c r="Z6034">
        <v>6.006823E-2</v>
      </c>
      <c r="AA6034">
        <v>0.99763710000000005</v>
      </c>
      <c r="AB6034">
        <v>19</v>
      </c>
      <c r="AC6034">
        <v>0.50749999999999296</v>
      </c>
      <c r="AD6034">
        <v>-1.1207422088329999</v>
      </c>
      <c r="AE6034">
        <v>-14.769550000000001</v>
      </c>
      <c r="AF6034">
        <v>-0.50166855649293995</v>
      </c>
      <c r="AG6034">
        <v>-1.1207422088329999</v>
      </c>
      <c r="AH6034">
        <v>14.6851922977607</v>
      </c>
      <c r="AI6034">
        <v>94.361695930304904</v>
      </c>
      <c r="AJ6034">
        <v>91.956550307963596</v>
      </c>
      <c r="AK6034">
        <v>14.736438079177899</v>
      </c>
      <c r="AL6034">
        <v>95.434898810211806</v>
      </c>
      <c r="AM6034">
        <v>89.983737366030297</v>
      </c>
      <c r="AN6034">
        <v>0.99999998138079504</v>
      </c>
    </row>
    <row r="6035" spans="1:40" x14ac:dyDescent="0.25">
      <c r="A6035" t="str">
        <f>"20190303154641488"</f>
        <v>20190303154641488</v>
      </c>
      <c r="B6035" t="str">
        <f>"1551599201477425"</f>
        <v>1551599201477425</v>
      </c>
      <c r="C6035" t="s">
        <v>40</v>
      </c>
      <c r="D6035">
        <v>5.1059830000000002</v>
      </c>
      <c r="E6035">
        <v>0.48063729999999899</v>
      </c>
      <c r="F6035" t="s">
        <v>60</v>
      </c>
      <c r="G6035">
        <v>-300.83350000000002</v>
      </c>
      <c r="H6035" s="1">
        <v>-1.778583E-6</v>
      </c>
      <c r="I6035">
        <v>-42.992469999999997</v>
      </c>
      <c r="J6035">
        <v>-301.5027</v>
      </c>
      <c r="K6035">
        <v>1.1208389999999999</v>
      </c>
      <c r="L6035">
        <v>-29.145900000000001</v>
      </c>
      <c r="M6035">
        <v>-7.1177749999999998E-4</v>
      </c>
      <c r="N6035">
        <v>-1.4172250000000001E-2</v>
      </c>
      <c r="O6035">
        <v>-0.9998996</v>
      </c>
      <c r="P6035">
        <v>-1.8525060000000001E-3</v>
      </c>
      <c r="Q6035">
        <v>-0.10999200000000001</v>
      </c>
      <c r="R6035">
        <v>-0.99393100000000001</v>
      </c>
      <c r="S6035">
        <v>0.14147950000000001</v>
      </c>
      <c r="T6035">
        <v>-0.23734949999999999</v>
      </c>
      <c r="U6035">
        <v>-2.9919739999999999</v>
      </c>
      <c r="V6035">
        <v>1.088887E-3</v>
      </c>
      <c r="W6035">
        <v>-9.5895300000000003E-2</v>
      </c>
      <c r="X6035">
        <v>0.99539080000000002</v>
      </c>
      <c r="Y6035">
        <v>-4.7813500000000002E-2</v>
      </c>
      <c r="Z6035">
        <v>6.4855129999999997E-2</v>
      </c>
      <c r="AA6035">
        <v>0.99674859999999998</v>
      </c>
      <c r="AB6035">
        <v>19</v>
      </c>
      <c r="AC6035">
        <v>0.66919999999998903</v>
      </c>
      <c r="AD6035">
        <v>-1.1208407785829999</v>
      </c>
      <c r="AE6035">
        <v>-13.84657</v>
      </c>
      <c r="AF6035">
        <v>-0.67464621315538298</v>
      </c>
      <c r="AG6035">
        <v>-1.1208407785829999</v>
      </c>
      <c r="AH6035">
        <v>13.756163652540399</v>
      </c>
      <c r="AI6035">
        <v>94.6525551788569</v>
      </c>
      <c r="AJ6035">
        <v>92.807718441395295</v>
      </c>
      <c r="AK6035">
        <v>13.8182296260893</v>
      </c>
      <c r="AL6035">
        <v>95.502852166776506</v>
      </c>
      <c r="AM6035">
        <v>89.937322502297306</v>
      </c>
      <c r="AN6035">
        <v>0.99999996948081304</v>
      </c>
    </row>
    <row r="6036" spans="1:40" x14ac:dyDescent="0.25">
      <c r="A6036" t="str">
        <f>"20190303154641528"</f>
        <v>20190303154641528</v>
      </c>
      <c r="B6036" t="str">
        <f>"1551599201518417"</f>
        <v>1551599201518417</v>
      </c>
      <c r="C6036" t="s">
        <v>40</v>
      </c>
      <c r="D6036">
        <v>5.1112650000000004</v>
      </c>
      <c r="E6036">
        <v>0.47942190000000001</v>
      </c>
      <c r="F6036" t="s">
        <v>60</v>
      </c>
      <c r="G6036">
        <v>-300.80549999999999</v>
      </c>
      <c r="H6036" s="1">
        <v>-1.893632E-6</v>
      </c>
      <c r="I6036">
        <v>-43.179600000000001</v>
      </c>
      <c r="J6036">
        <v>-301.50400000000002</v>
      </c>
      <c r="K6036">
        <v>1.12096</v>
      </c>
      <c r="L6036">
        <v>-29.47635</v>
      </c>
      <c r="M6036">
        <v>-1.459134E-3</v>
      </c>
      <c r="N6036">
        <v>-1.416453E-2</v>
      </c>
      <c r="O6036">
        <v>-0.99989870000000003</v>
      </c>
      <c r="P6036">
        <v>-3.718102E-3</v>
      </c>
      <c r="Q6036">
        <v>-0.1083847</v>
      </c>
      <c r="R6036">
        <v>-0.99410220000000005</v>
      </c>
      <c r="S6036">
        <v>0.14865110000000001</v>
      </c>
      <c r="T6036">
        <v>-0.2389771</v>
      </c>
      <c r="U6036">
        <v>-2.9921570000000002</v>
      </c>
      <c r="V6036">
        <v>2.2396989999999999E-3</v>
      </c>
      <c r="W6036">
        <v>-9.4293429999999998E-2</v>
      </c>
      <c r="X6036">
        <v>0.99554189999999998</v>
      </c>
      <c r="Y6036">
        <v>-5.0936410000000001E-2</v>
      </c>
      <c r="Z6036">
        <v>6.5385689999999996E-2</v>
      </c>
      <c r="AA6036">
        <v>0.99655919999999998</v>
      </c>
      <c r="AB6036">
        <v>19</v>
      </c>
      <c r="AC6036">
        <v>0.69850000000002399</v>
      </c>
      <c r="AD6036">
        <v>-1.1209618936320001</v>
      </c>
      <c r="AE6036">
        <v>-13.703250000000001</v>
      </c>
      <c r="AF6036">
        <v>-0.71373245375135097</v>
      </c>
      <c r="AG6036">
        <v>-1.1209618936320001</v>
      </c>
      <c r="AH6036">
        <v>13.6113693509822</v>
      </c>
      <c r="AI6036">
        <v>94.701529078420194</v>
      </c>
      <c r="AJ6036">
        <v>93.001640582400299</v>
      </c>
      <c r="AK6036">
        <v>13.6760866183047</v>
      </c>
      <c r="AL6036">
        <v>95.410653937481896</v>
      </c>
      <c r="AM6036">
        <v>89.871100268523406</v>
      </c>
      <c r="AN6036">
        <v>0.99999997092419202</v>
      </c>
    </row>
    <row r="6037" spans="1:40" x14ac:dyDescent="0.25">
      <c r="A6037" t="str">
        <f>"20190303154641563"</f>
        <v>20190303154641563</v>
      </c>
      <c r="B6037" t="str">
        <f>"1551599201557458"</f>
        <v>1551599201557458</v>
      </c>
      <c r="C6037" t="s">
        <v>40</v>
      </c>
      <c r="D6037">
        <v>5.1393370000000003</v>
      </c>
      <c r="E6037">
        <v>0.47849969999999997</v>
      </c>
      <c r="F6037" t="s">
        <v>60</v>
      </c>
      <c r="G6037">
        <v>-300.76760000000002</v>
      </c>
      <c r="H6037" s="1">
        <v>-2.3673749999999999E-6</v>
      </c>
      <c r="I6037">
        <v>-43.933219999999999</v>
      </c>
      <c r="J6037">
        <v>-301.50510000000003</v>
      </c>
      <c r="K6037">
        <v>1.121057</v>
      </c>
      <c r="L6037">
        <v>-29.768979999999999</v>
      </c>
      <c r="M6037">
        <v>-1.8647080000000001E-3</v>
      </c>
      <c r="N6037">
        <v>-1.4157909999999999E-2</v>
      </c>
      <c r="O6037">
        <v>-0.99989799999999995</v>
      </c>
      <c r="P6037">
        <v>-3.223723E-3</v>
      </c>
      <c r="Q6037">
        <v>-0.1060596</v>
      </c>
      <c r="R6037">
        <v>-0.99435439999999997</v>
      </c>
      <c r="S6037">
        <v>0.15246579999999901</v>
      </c>
      <c r="T6037">
        <v>-0.23207810000000001</v>
      </c>
      <c r="U6037">
        <v>-2.9930729999999999</v>
      </c>
      <c r="V6037">
        <v>1.360584E-3</v>
      </c>
      <c r="W6037">
        <v>-9.1971079999999997E-2</v>
      </c>
      <c r="X6037">
        <v>0.99576070000000005</v>
      </c>
      <c r="Y6037">
        <v>-5.2600559999999998E-2</v>
      </c>
      <c r="Z6037">
        <v>6.3078919999999997E-2</v>
      </c>
      <c r="AA6037">
        <v>0.99662139999999999</v>
      </c>
      <c r="AB6037">
        <v>19</v>
      </c>
      <c r="AC6037">
        <v>0.73750000000001104</v>
      </c>
      <c r="AD6037">
        <v>-1.121059367375</v>
      </c>
      <c r="AE6037">
        <v>-14.164239999999999</v>
      </c>
      <c r="AF6037">
        <v>-0.75917074280615604</v>
      </c>
      <c r="AG6037">
        <v>-1.121059367375</v>
      </c>
      <c r="AH6037">
        <v>14.074909320784499</v>
      </c>
      <c r="AI6037">
        <v>94.547383494932404</v>
      </c>
      <c r="AJ6037">
        <v>93.087421016145299</v>
      </c>
      <c r="AK6037">
        <v>14.1398793032408</v>
      </c>
      <c r="AL6037">
        <v>95.277012312603702</v>
      </c>
      <c r="AM6037">
        <v>89.9217124432014</v>
      </c>
      <c r="AN6037">
        <v>0.99999995120483698</v>
      </c>
    </row>
    <row r="6038" spans="1:40" x14ac:dyDescent="0.25">
      <c r="A6038" t="str">
        <f>"20190303154641593"</f>
        <v>20190303154641593</v>
      </c>
      <c r="B6038" t="str">
        <f>"1551599201587713"</f>
        <v>1551599201587713</v>
      </c>
      <c r="C6038" t="s">
        <v>40</v>
      </c>
      <c r="D6038">
        <v>5.1419930000000003</v>
      </c>
      <c r="E6038">
        <v>0.47786200000000001</v>
      </c>
      <c r="F6038" t="s">
        <v>60</v>
      </c>
      <c r="G6038">
        <v>-300.6986</v>
      </c>
      <c r="H6038" s="1">
        <v>-2.8545649999999998E-6</v>
      </c>
      <c r="I6038">
        <v>-44.714790000000001</v>
      </c>
      <c r="J6038">
        <v>-301.5059</v>
      </c>
      <c r="K6038">
        <v>1.121119</v>
      </c>
      <c r="L6038">
        <v>-30.027740000000001</v>
      </c>
      <c r="M6038">
        <v>-2.0485859999999998E-3</v>
      </c>
      <c r="N6038">
        <v>-1.4152039999999999E-2</v>
      </c>
      <c r="O6038">
        <v>-0.9998977</v>
      </c>
      <c r="P6038">
        <v>-1.090572E-4</v>
      </c>
      <c r="Q6038">
        <v>-0.10445500000000001</v>
      </c>
      <c r="R6038">
        <v>-0.99452940000000001</v>
      </c>
      <c r="S6038">
        <v>0.16152949999999999</v>
      </c>
      <c r="T6038">
        <v>-0.2245442</v>
      </c>
      <c r="U6038">
        <v>-2.9935909999999999</v>
      </c>
      <c r="V6038">
        <v>-1.926437E-3</v>
      </c>
      <c r="W6038">
        <v>-9.0370010000000001E-2</v>
      </c>
      <c r="X6038">
        <v>0.99590639999999997</v>
      </c>
      <c r="Y6038">
        <v>-5.5791699999999902E-2</v>
      </c>
      <c r="Z6038">
        <v>6.0564970000000003E-2</v>
      </c>
      <c r="AA6038">
        <v>0.99660380000000004</v>
      </c>
      <c r="AB6038">
        <v>19</v>
      </c>
      <c r="AC6038">
        <v>0.80729999999999702</v>
      </c>
      <c r="AD6038">
        <v>-1.1211218545649999</v>
      </c>
      <c r="AE6038">
        <v>-14.687049999999999</v>
      </c>
      <c r="AF6038">
        <v>-0.83255243101947296</v>
      </c>
      <c r="AG6038">
        <v>-1.1211218545649999</v>
      </c>
      <c r="AH6038">
        <v>14.600545745510599</v>
      </c>
      <c r="AI6038">
        <v>94.383821103290202</v>
      </c>
      <c r="AJ6038">
        <v>93.263586245063493</v>
      </c>
      <c r="AK6038">
        <v>14.6671740233054</v>
      </c>
      <c r="AL6038">
        <v>95.1848938259308</v>
      </c>
      <c r="AM6038">
        <v>90.110830266711304</v>
      </c>
      <c r="AN6038">
        <v>1.0000000037139301</v>
      </c>
    </row>
    <row r="6039" spans="1:40" x14ac:dyDescent="0.25">
      <c r="A6039" t="str">
        <f>"20190303154641621"</f>
        <v>20190303154641621</v>
      </c>
      <c r="B6039" t="str">
        <f>"1551599201607233"</f>
        <v>1551599201607233</v>
      </c>
      <c r="C6039" t="s">
        <v>40</v>
      </c>
      <c r="D6039">
        <v>5.1317130000000004</v>
      </c>
      <c r="E6039">
        <v>0.47753519999999999</v>
      </c>
      <c r="F6039" t="s">
        <v>60</v>
      </c>
      <c r="G6039">
        <v>-300.61419999999998</v>
      </c>
      <c r="H6039" s="1">
        <v>-3.1398789999999998E-6</v>
      </c>
      <c r="I6039">
        <v>-45.182160000000003</v>
      </c>
      <c r="J6039">
        <v>-301.50639999999999</v>
      </c>
      <c r="K6039">
        <v>1.121159</v>
      </c>
      <c r="L6039">
        <v>-30.257390000000001</v>
      </c>
      <c r="M6039">
        <v>-2.1346820000000002E-3</v>
      </c>
      <c r="N6039">
        <v>-1.414676E-2</v>
      </c>
      <c r="O6039">
        <v>-0.9998977</v>
      </c>
      <c r="P6039">
        <v>4.454586E-3</v>
      </c>
      <c r="Q6039">
        <v>-0.102769</v>
      </c>
      <c r="R6039">
        <v>-0.99469540000000001</v>
      </c>
      <c r="S6039">
        <v>0.17611689999999999</v>
      </c>
      <c r="T6039">
        <v>-0.22144069999999999</v>
      </c>
      <c r="U6039">
        <v>-2.9932560000000001</v>
      </c>
      <c r="V6039">
        <v>-6.5708249999999998E-3</v>
      </c>
      <c r="W6039">
        <v>-8.8687779999999994E-2</v>
      </c>
      <c r="X6039">
        <v>0.99603779999999997</v>
      </c>
      <c r="Y6039">
        <v>-6.072545E-2</v>
      </c>
      <c r="Z6039">
        <v>5.9530079999999999E-2</v>
      </c>
      <c r="AA6039">
        <v>0.99637770000000003</v>
      </c>
      <c r="AB6039">
        <v>19</v>
      </c>
      <c r="AC6039">
        <v>0.89220000000000199</v>
      </c>
      <c r="AD6039">
        <v>-1.1211621398789999</v>
      </c>
      <c r="AE6039">
        <v>-14.924769999999899</v>
      </c>
      <c r="AF6039">
        <v>-0.91889380143383903</v>
      </c>
      <c r="AG6039">
        <v>-1.1211621398789999</v>
      </c>
      <c r="AH6039">
        <v>14.8393885397379</v>
      </c>
      <c r="AI6039">
        <v>94.312437671923206</v>
      </c>
      <c r="AJ6039">
        <v>93.5433804163481</v>
      </c>
      <c r="AK6039">
        <v>14.910024231889</v>
      </c>
      <c r="AL6039">
        <v>95.0881205419373</v>
      </c>
      <c r="AM6039">
        <v>90.377972682455507</v>
      </c>
      <c r="AN6039">
        <v>0.99999999854567401</v>
      </c>
    </row>
    <row r="6040" spans="1:40" x14ac:dyDescent="0.25">
      <c r="A6040" t="str">
        <f>"20190303154641655"</f>
        <v>20190303154641655</v>
      </c>
      <c r="B6040" t="str">
        <f>"1551599201648225"</f>
        <v>1551599201648225</v>
      </c>
      <c r="C6040" t="s">
        <v>40</v>
      </c>
      <c r="D6040">
        <v>5.1585760000000001</v>
      </c>
      <c r="E6040">
        <v>0.47694569999999997</v>
      </c>
      <c r="F6040" t="s">
        <v>60</v>
      </c>
      <c r="G6040">
        <v>-300.51139999999998</v>
      </c>
      <c r="H6040" s="1">
        <v>-3.3835400000000001E-6</v>
      </c>
      <c r="I6040">
        <v>-45.72681</v>
      </c>
      <c r="J6040">
        <v>-301.50709999999998</v>
      </c>
      <c r="K6040">
        <v>1.1211789999999999</v>
      </c>
      <c r="L6040">
        <v>-30.532589999999999</v>
      </c>
      <c r="M6040">
        <v>-2.1708090000000001E-3</v>
      </c>
      <c r="N6040">
        <v>-1.4140369999999999E-2</v>
      </c>
      <c r="O6040">
        <v>-0.99989799999999995</v>
      </c>
      <c r="P6040">
        <v>8.1203089999999992E-3</v>
      </c>
      <c r="Q6040">
        <v>-0.1021107</v>
      </c>
      <c r="R6040">
        <v>-0.99474039999999997</v>
      </c>
      <c r="S6040">
        <v>0.19250490000000001</v>
      </c>
      <c r="T6040">
        <v>-0.2169017</v>
      </c>
      <c r="U6040">
        <v>-2.992737</v>
      </c>
      <c r="V6040">
        <v>-1.0269790000000001E-2</v>
      </c>
      <c r="W6040">
        <v>-8.8035959999999996E-2</v>
      </c>
      <c r="X6040">
        <v>0.99606439999999996</v>
      </c>
      <c r="Y6040">
        <v>-6.6209149999999994E-2</v>
      </c>
      <c r="Z6040">
        <v>5.8021089999999997E-2</v>
      </c>
      <c r="AA6040">
        <v>0.99611740000000004</v>
      </c>
      <c r="AB6040">
        <v>18</v>
      </c>
      <c r="AC6040">
        <v>0.99569999999999903</v>
      </c>
      <c r="AD6040">
        <v>-1.1211823835400001</v>
      </c>
      <c r="AE6040">
        <v>-15.1942199999999</v>
      </c>
      <c r="AF6040">
        <v>-1.02313755531378</v>
      </c>
      <c r="AG6040">
        <v>-1.1211823835400001</v>
      </c>
      <c r="AH6040">
        <v>15.110100223516699</v>
      </c>
      <c r="AI6040">
        <v>94.233959467090102</v>
      </c>
      <c r="AJ6040">
        <v>93.873708093964694</v>
      </c>
      <c r="AK6040">
        <v>15.1861446443451</v>
      </c>
      <c r="AL6040">
        <v>95.0506271196884</v>
      </c>
      <c r="AM6040">
        <v>90.590719610666895</v>
      </c>
      <c r="AN6040">
        <v>1.0000000438935599</v>
      </c>
    </row>
    <row r="6041" spans="1:40" x14ac:dyDescent="0.25">
      <c r="A6041" t="str">
        <f>"20190303154641690"</f>
        <v>20190303154641690</v>
      </c>
      <c r="B6041" t="str">
        <f>"1551599201677506"</f>
        <v>1551599201677506</v>
      </c>
      <c r="C6041" t="s">
        <v>40</v>
      </c>
      <c r="D6041">
        <v>5.1339420000000002</v>
      </c>
      <c r="E6041">
        <v>0.47676459999999998</v>
      </c>
      <c r="F6041" t="s">
        <v>60</v>
      </c>
      <c r="G6041">
        <v>-300.4273</v>
      </c>
      <c r="H6041" s="1">
        <v>-3.537822E-6</v>
      </c>
      <c r="I6041">
        <v>-46.039180000000002</v>
      </c>
      <c r="J6041">
        <v>-301.50779999999997</v>
      </c>
      <c r="K6041">
        <v>1.121167</v>
      </c>
      <c r="L6041">
        <v>-30.812439999999999</v>
      </c>
      <c r="M6041">
        <v>-2.192332E-3</v>
      </c>
      <c r="N6041">
        <v>-1.4133919999999999E-2</v>
      </c>
      <c r="O6041">
        <v>-0.99989799999999995</v>
      </c>
      <c r="P6041">
        <v>1.0241770000000001E-2</v>
      </c>
      <c r="Q6041">
        <v>-0.102892</v>
      </c>
      <c r="R6041">
        <v>-0.99464010000000003</v>
      </c>
      <c r="S6041">
        <v>0.20834349999999999</v>
      </c>
      <c r="T6041">
        <v>-0.2163284</v>
      </c>
      <c r="U6041">
        <v>-2.991943</v>
      </c>
      <c r="V6041">
        <v>-1.241428E-2</v>
      </c>
      <c r="W6041">
        <v>-8.8825139999999997E-2</v>
      </c>
      <c r="X6041">
        <v>0.99596989999999996</v>
      </c>
      <c r="Y6041">
        <v>-7.1493860000000006E-2</v>
      </c>
      <c r="Z6041">
        <v>5.783075E-2</v>
      </c>
      <c r="AA6041">
        <v>0.99576310000000001</v>
      </c>
      <c r="AB6041">
        <v>18</v>
      </c>
      <c r="AC6041">
        <v>1.08049999999997</v>
      </c>
      <c r="AD6041">
        <v>-1.121170537822</v>
      </c>
      <c r="AE6041">
        <v>-15.226739999999999</v>
      </c>
      <c r="AF6041">
        <v>-1.10790623941119</v>
      </c>
      <c r="AG6041">
        <v>-1.121170537822</v>
      </c>
      <c r="AH6041">
        <v>15.1426479140178</v>
      </c>
      <c r="AI6041">
        <v>94.223239048012701</v>
      </c>
      <c r="AJ6041">
        <v>94.184568413132595</v>
      </c>
      <c r="AK6041">
        <v>15.224462731345101</v>
      </c>
      <c r="AL6041">
        <v>95.096021709287001</v>
      </c>
      <c r="AM6041">
        <v>90.714127020338793</v>
      </c>
      <c r="AN6041">
        <v>1.0000000307749699</v>
      </c>
    </row>
    <row r="6042" spans="1:40" x14ac:dyDescent="0.25">
      <c r="A6042" t="str">
        <f>"20190303154641725"</f>
        <v>20190303154641725</v>
      </c>
      <c r="B6042" t="str">
        <f>"1551599201717521"</f>
        <v>1551599201717521</v>
      </c>
      <c r="C6042" t="s">
        <v>40</v>
      </c>
      <c r="D6042">
        <v>5.136393</v>
      </c>
      <c r="E6042">
        <v>0.47672310000000001</v>
      </c>
      <c r="F6042" t="s">
        <v>60</v>
      </c>
      <c r="G6042">
        <v>-300.40370000000001</v>
      </c>
      <c r="H6042" s="1">
        <v>-3.5572239999999998E-6</v>
      </c>
      <c r="I6042">
        <v>-46.079940000000001</v>
      </c>
      <c r="J6042">
        <v>-301.50850000000003</v>
      </c>
      <c r="K6042">
        <v>1.1211249999999999</v>
      </c>
      <c r="L6042">
        <v>-31.105160000000001</v>
      </c>
      <c r="M6042">
        <v>-2.2283960000000001E-3</v>
      </c>
      <c r="N6042">
        <v>-1.412718E-2</v>
      </c>
      <c r="O6042">
        <v>-0.9998977</v>
      </c>
      <c r="P6042">
        <v>1.081651E-2</v>
      </c>
      <c r="Q6042">
        <v>-0.1062433</v>
      </c>
      <c r="R6042">
        <v>-0.99428119999999998</v>
      </c>
      <c r="S6042">
        <v>0.21630859999999999</v>
      </c>
      <c r="T6042">
        <v>-0.21965979999999999</v>
      </c>
      <c r="U6042">
        <v>-2.9912109999999998</v>
      </c>
      <c r="V6042">
        <v>-1.30291E-2</v>
      </c>
      <c r="W6042">
        <v>-9.2187119999999997E-2</v>
      </c>
      <c r="X6042">
        <v>0.9956564</v>
      </c>
      <c r="Y6042">
        <v>-7.4177850000000004E-2</v>
      </c>
      <c r="Z6042">
        <v>5.8944129999999997E-2</v>
      </c>
      <c r="AA6042">
        <v>0.99550150000000004</v>
      </c>
      <c r="AB6042">
        <v>18</v>
      </c>
      <c r="AC6042">
        <v>1.10480000000001</v>
      </c>
      <c r="AD6042">
        <v>-1.121128557224</v>
      </c>
      <c r="AE6042">
        <v>-14.974780000000001</v>
      </c>
      <c r="AF6042">
        <v>-1.1318603865355401</v>
      </c>
      <c r="AG6042">
        <v>-1.121128557224</v>
      </c>
      <c r="AH6042">
        <v>14.889275302561799</v>
      </c>
      <c r="AI6042">
        <v>94.293773867400006</v>
      </c>
      <c r="AJ6042">
        <v>94.3471782835244</v>
      </c>
      <c r="AK6042">
        <v>14.974263127510101</v>
      </c>
      <c r="AL6042">
        <v>95.2894433385799</v>
      </c>
      <c r="AM6042">
        <v>90.749726345199406</v>
      </c>
      <c r="AN6042">
        <v>0.99999994470082998</v>
      </c>
    </row>
    <row r="6043" spans="1:40" x14ac:dyDescent="0.25">
      <c r="A6043" t="str">
        <f>"20190303154641756"</f>
        <v>20190303154641756</v>
      </c>
      <c r="B6043" t="str">
        <f>"1551599201747777"</f>
        <v>1551599201747777</v>
      </c>
      <c r="C6043" t="s">
        <v>40</v>
      </c>
      <c r="D6043">
        <v>5.1153849999999998</v>
      </c>
      <c r="E6043">
        <v>0.4765953</v>
      </c>
      <c r="F6043" t="s">
        <v>60</v>
      </c>
      <c r="G6043">
        <v>-300.45600000000002</v>
      </c>
      <c r="H6043" s="1">
        <v>-3.3024470000000002E-6</v>
      </c>
      <c r="I6043">
        <v>-45.546480000000003</v>
      </c>
      <c r="J6043">
        <v>-301.50920000000002</v>
      </c>
      <c r="K6043">
        <v>1.12107</v>
      </c>
      <c r="L6043">
        <v>-31.363890000000001</v>
      </c>
      <c r="M6043">
        <v>-2.2870220000000001E-3</v>
      </c>
      <c r="N6043">
        <v>-1.41212E-2</v>
      </c>
      <c r="O6043">
        <v>-0.9998977</v>
      </c>
      <c r="P6043">
        <v>9.6938140000000002E-3</v>
      </c>
      <c r="Q6043">
        <v>-0.1094936</v>
      </c>
      <c r="R6043">
        <v>-0.99394020000000005</v>
      </c>
      <c r="S6043">
        <v>0.21792600000000001</v>
      </c>
      <c r="T6043">
        <v>-0.23213010000000001</v>
      </c>
      <c r="U6043">
        <v>-2.9900820000000001</v>
      </c>
      <c r="V6043">
        <v>-1.1969520000000001E-2</v>
      </c>
      <c r="W6043">
        <v>-9.5447100000000007E-2</v>
      </c>
      <c r="X6043">
        <v>0.99536250000000004</v>
      </c>
      <c r="Y6043">
        <v>-7.4777979999999994E-2</v>
      </c>
      <c r="Z6043">
        <v>6.3102259999999993E-2</v>
      </c>
      <c r="AA6043">
        <v>0.99520160000000002</v>
      </c>
      <c r="AB6043">
        <v>18</v>
      </c>
      <c r="AC6043">
        <v>1.0532000000000601</v>
      </c>
      <c r="AD6043">
        <v>-1.1210733024470001</v>
      </c>
      <c r="AE6043">
        <v>-14.1825899999999</v>
      </c>
      <c r="AF6043">
        <v>-1.0789319325582001</v>
      </c>
      <c r="AG6043">
        <v>-1.1210733024470001</v>
      </c>
      <c r="AH6043">
        <v>14.092573261594</v>
      </c>
      <c r="AI6043">
        <v>94.535121726807901</v>
      </c>
      <c r="AJ6043">
        <v>94.378042660133303</v>
      </c>
      <c r="AK6043">
        <v>14.1782058314142</v>
      </c>
      <c r="AL6043">
        <v>95.477053899443405</v>
      </c>
      <c r="AM6043">
        <v>90.6889649994243</v>
      </c>
      <c r="AN6043">
        <v>0.99999996235684396</v>
      </c>
    </row>
    <row r="6044" spans="1:40" x14ac:dyDescent="0.25">
      <c r="A6044" t="str">
        <f>"20190303154641789"</f>
        <v>20190303154641789</v>
      </c>
      <c r="B6044" t="str">
        <f>"1551599201778034"</f>
        <v>1551599201778034</v>
      </c>
      <c r="C6044" t="s">
        <v>40</v>
      </c>
      <c r="D6044">
        <v>5.1915779999999998</v>
      </c>
      <c r="E6044">
        <v>0.47642190000000001</v>
      </c>
      <c r="F6044" t="s">
        <v>60</v>
      </c>
      <c r="G6044">
        <v>-300.51510000000002</v>
      </c>
      <c r="H6044" s="1">
        <v>-3.1144129999999999E-6</v>
      </c>
      <c r="I6044">
        <v>-45.163800000000002</v>
      </c>
      <c r="J6044">
        <v>-301.50990000000002</v>
      </c>
      <c r="K6044">
        <v>1.1210310000000001</v>
      </c>
      <c r="L6044">
        <v>-31.626190000000001</v>
      </c>
      <c r="M6044">
        <v>-2.3725819999999998E-3</v>
      </c>
      <c r="N6044">
        <v>-1.4114969999999999E-2</v>
      </c>
      <c r="O6044">
        <v>-0.9998977</v>
      </c>
      <c r="P6044">
        <v>9.9157800000000008E-3</v>
      </c>
      <c r="Q6044">
        <v>-0.1132669</v>
      </c>
      <c r="R6044">
        <v>-0.99351529999999999</v>
      </c>
      <c r="S6044">
        <v>0.215332</v>
      </c>
      <c r="T6044">
        <v>-0.2428554</v>
      </c>
      <c r="U6044">
        <v>-2.9894409999999998</v>
      </c>
      <c r="V6044">
        <v>-1.22801E-2</v>
      </c>
      <c r="W6044">
        <v>-9.9231669999999994E-2</v>
      </c>
      <c r="X6044">
        <v>0.9949886</v>
      </c>
      <c r="Y6044">
        <v>-7.4001639999999994E-2</v>
      </c>
      <c r="Z6044">
        <v>6.6677769999999997E-2</v>
      </c>
      <c r="AA6044">
        <v>0.99502650000000004</v>
      </c>
      <c r="AB6044">
        <v>18</v>
      </c>
      <c r="AC6044">
        <v>0.99479999999999802</v>
      </c>
      <c r="AD6044">
        <v>-1.1210341144129901</v>
      </c>
      <c r="AE6044">
        <v>-13.537610000000001</v>
      </c>
      <c r="AF6044">
        <v>-1.0199628508038201</v>
      </c>
      <c r="AG6044">
        <v>-1.1210341144129901</v>
      </c>
      <c r="AH6044">
        <v>13.443520176597101</v>
      </c>
      <c r="AI6044">
        <v>94.753179171165101</v>
      </c>
      <c r="AJ6044">
        <v>94.338731212537198</v>
      </c>
      <c r="AK6044">
        <v>13.5286834703629</v>
      </c>
      <c r="AL6044">
        <v>95.694928235965094</v>
      </c>
      <c r="AM6044">
        <v>90.707105770232005</v>
      </c>
      <c r="AN6044">
        <v>1.00000001965847</v>
      </c>
    </row>
    <row r="6045" spans="1:40" x14ac:dyDescent="0.25">
      <c r="A6045" t="str">
        <f>"20190303154641823"</f>
        <v>20190303154641823</v>
      </c>
      <c r="B6045" t="str">
        <f>"1551599201818049"</f>
        <v>1551599201818049</v>
      </c>
      <c r="C6045" t="s">
        <v>40</v>
      </c>
      <c r="D6045">
        <v>5.076873</v>
      </c>
      <c r="E6045">
        <v>0.47643380000000002</v>
      </c>
      <c r="F6045" t="s">
        <v>60</v>
      </c>
      <c r="G6045">
        <v>-300.55930000000001</v>
      </c>
      <c r="H6045" s="1">
        <v>-2.823609E-6</v>
      </c>
      <c r="I6045">
        <v>-44.69661</v>
      </c>
      <c r="J6045">
        <v>-301.51060000000001</v>
      </c>
      <c r="K6045">
        <v>1.121008</v>
      </c>
      <c r="L6045">
        <v>-31.903559999999999</v>
      </c>
      <c r="M6045">
        <v>-2.4837980000000002E-3</v>
      </c>
      <c r="N6045">
        <v>-1.4108229999999999E-2</v>
      </c>
      <c r="O6045">
        <v>-0.9998977</v>
      </c>
      <c r="P6045">
        <v>9.7943040000000002E-3</v>
      </c>
      <c r="Q6045">
        <v>-0.1162724</v>
      </c>
      <c r="R6045">
        <v>-0.99316970000000004</v>
      </c>
      <c r="S6045">
        <v>0.2173157</v>
      </c>
      <c r="T6045">
        <v>-0.2562933</v>
      </c>
      <c r="U6045">
        <v>-2.9881899999999999</v>
      </c>
      <c r="V6045">
        <v>-1.2271590000000001E-2</v>
      </c>
      <c r="W6045">
        <v>-0.10224809999999999</v>
      </c>
      <c r="X6045">
        <v>0.99468319999999999</v>
      </c>
      <c r="Y6045">
        <v>-7.4774160000000006E-2</v>
      </c>
      <c r="Z6045">
        <v>7.1156830000000004E-2</v>
      </c>
      <c r="AA6045">
        <v>0.9946585</v>
      </c>
      <c r="AB6045">
        <v>18</v>
      </c>
      <c r="AC6045">
        <v>0.95130000000000303</v>
      </c>
      <c r="AD6045">
        <v>-1.121010823609</v>
      </c>
      <c r="AE6045">
        <v>-12.793049999999999</v>
      </c>
      <c r="AF6045">
        <v>-0.97562551038518197</v>
      </c>
      <c r="AG6045">
        <v>-1.121010823609</v>
      </c>
      <c r="AH6045">
        <v>12.693715861765501</v>
      </c>
      <c r="AI6045">
        <v>95.032062664512196</v>
      </c>
      <c r="AJ6045">
        <v>94.395052019505698</v>
      </c>
      <c r="AK6045">
        <v>12.7804120740452</v>
      </c>
      <c r="AL6045">
        <v>95.868641028879196</v>
      </c>
      <c r="AM6045">
        <v>90.706832733888106</v>
      </c>
      <c r="AN6045">
        <v>0.99999996711848804</v>
      </c>
    </row>
    <row r="6046" spans="1:40" x14ac:dyDescent="0.25">
      <c r="A6046" t="str">
        <f>"20190303154641856"</f>
        <v>20190303154641856</v>
      </c>
      <c r="B6046" t="str">
        <f>"1551599201847329"</f>
        <v>1551599201847329</v>
      </c>
      <c r="C6046" t="s">
        <v>40</v>
      </c>
      <c r="D6046">
        <v>5.1798279999999997</v>
      </c>
      <c r="E6046">
        <v>0.50202329999999995</v>
      </c>
      <c r="F6046" t="s">
        <v>60</v>
      </c>
      <c r="G6046">
        <v>-300.5976</v>
      </c>
      <c r="H6046" s="1">
        <v>-2.6892110000000001E-6</v>
      </c>
      <c r="I6046">
        <v>-44.476779999999998</v>
      </c>
      <c r="J6046">
        <v>-301.51139999999998</v>
      </c>
      <c r="K6046">
        <v>1.121003</v>
      </c>
      <c r="L6046">
        <v>-32.16431</v>
      </c>
      <c r="M6046">
        <v>-2.5949240000000002E-3</v>
      </c>
      <c r="N6046">
        <v>-1.4101839999999999E-2</v>
      </c>
      <c r="O6046">
        <v>-0.99989720000000004</v>
      </c>
      <c r="P6046">
        <v>1.0678109999999999E-2</v>
      </c>
      <c r="Q6046">
        <v>-0.11717909999999999</v>
      </c>
      <c r="R6046">
        <v>-0.99305359999999998</v>
      </c>
      <c r="S6046">
        <v>0.2169189</v>
      </c>
      <c r="T6046">
        <v>-0.26634409999999997</v>
      </c>
      <c r="U6046">
        <v>-2.9873050000000001</v>
      </c>
      <c r="V6046">
        <v>-1.3267299999999999E-2</v>
      </c>
      <c r="W6046">
        <v>-0.10316259999999999</v>
      </c>
      <c r="X6046">
        <v>0.99457600000000002</v>
      </c>
      <c r="Y6046">
        <v>-7.47554E-2</v>
      </c>
      <c r="Z6046">
        <v>7.450967E-2</v>
      </c>
      <c r="AA6046">
        <v>0.99441440000000003</v>
      </c>
      <c r="AB6046">
        <v>18</v>
      </c>
      <c r="AC6046">
        <v>0.91379999999997996</v>
      </c>
      <c r="AD6046">
        <v>-1.1210056892110001</v>
      </c>
      <c r="AE6046">
        <v>-12.3124699999999</v>
      </c>
      <c r="AF6046">
        <v>-0.93801698248096499</v>
      </c>
      <c r="AG6046">
        <v>-1.1210056892110001</v>
      </c>
      <c r="AH6046">
        <v>12.2094023648446</v>
      </c>
      <c r="AI6046">
        <v>95.230573243430101</v>
      </c>
      <c r="AJ6046">
        <v>94.393257278899</v>
      </c>
      <c r="AK6046">
        <v>12.2965863442395</v>
      </c>
      <c r="AL6046">
        <v>95.921316494870794</v>
      </c>
      <c r="AM6046">
        <v>90.764260560370104</v>
      </c>
      <c r="AN6046">
        <v>0.99999998153202396</v>
      </c>
    </row>
    <row r="6047" spans="1:40" x14ac:dyDescent="0.25">
      <c r="A6047" t="str">
        <f>"20190303154641890"</f>
        <v>20190303154641890</v>
      </c>
      <c r="B6047" t="str">
        <f>"1551599201887346"</f>
        <v>1551599201887346</v>
      </c>
      <c r="C6047" t="s">
        <v>40</v>
      </c>
      <c r="D6047">
        <v>5.1821849999999996</v>
      </c>
      <c r="E6047">
        <v>0.50869779999999998</v>
      </c>
      <c r="F6047" t="s">
        <v>60</v>
      </c>
      <c r="G6047">
        <v>-301.43239999999997</v>
      </c>
      <c r="H6047" s="1">
        <v>-4.4421719999999997E-6</v>
      </c>
      <c r="I6047">
        <v>-47.699550000000002</v>
      </c>
      <c r="J6047">
        <v>-301.51220000000001</v>
      </c>
      <c r="K6047">
        <v>1.1209929999999999</v>
      </c>
      <c r="L6047">
        <v>-32.439970000000002</v>
      </c>
      <c r="M6047">
        <v>-2.7085270000000001E-3</v>
      </c>
      <c r="N6047">
        <v>-1.409499E-2</v>
      </c>
      <c r="O6047">
        <v>-0.99989700000000004</v>
      </c>
      <c r="P6047">
        <v>1.1017020000000001E-2</v>
      </c>
      <c r="Q6047">
        <v>-0.1186136</v>
      </c>
      <c r="R6047">
        <v>-0.99287950000000003</v>
      </c>
      <c r="S6047">
        <v>1.522827E-2</v>
      </c>
      <c r="T6047">
        <v>-0.2161402</v>
      </c>
      <c r="U6047">
        <v>-2.9953310000000002</v>
      </c>
      <c r="V6047">
        <v>-1.371908E-2</v>
      </c>
      <c r="W6047">
        <v>-0.104606</v>
      </c>
      <c r="X6047">
        <v>0.9944191</v>
      </c>
      <c r="Y6047">
        <v>-7.7794200000000004E-3</v>
      </c>
      <c r="Z6047">
        <v>5.7904259999999999E-2</v>
      </c>
      <c r="AA6047">
        <v>0.99829190000000001</v>
      </c>
      <c r="AB6047">
        <v>18</v>
      </c>
      <c r="AC6047">
        <v>7.9800000000034205E-2</v>
      </c>
      <c r="AD6047">
        <v>-1.1209974421719999</v>
      </c>
      <c r="AE6047">
        <v>-15.25958</v>
      </c>
      <c r="AF6047">
        <v>-0.12048460235524899</v>
      </c>
      <c r="AG6047">
        <v>-1.1209974421719999</v>
      </c>
      <c r="AH6047">
        <v>15.1774029939623</v>
      </c>
      <c r="AI6047">
        <v>94.224042575149198</v>
      </c>
      <c r="AJ6047">
        <v>90.4548284188308</v>
      </c>
      <c r="AK6047">
        <v>15.219221841010601</v>
      </c>
      <c r="AL6047">
        <v>96.004467092334295</v>
      </c>
      <c r="AM6047">
        <v>90.790406699468306</v>
      </c>
      <c r="AN6047">
        <v>0.99999998741842799</v>
      </c>
    </row>
    <row r="6048" spans="1:40" x14ac:dyDescent="0.25">
      <c r="A6048" t="str">
        <f>"20190303154641927"</f>
        <v>20190303154641927</v>
      </c>
      <c r="B6048" t="str">
        <f>"1551599201917602"</f>
        <v>1551599201917602</v>
      </c>
      <c r="C6048" t="s">
        <v>40</v>
      </c>
      <c r="D6048">
        <v>5.2573999999999996</v>
      </c>
      <c r="E6048">
        <v>0.50781940000000003</v>
      </c>
      <c r="F6048" t="s">
        <v>60</v>
      </c>
      <c r="G6048">
        <v>-301.69659999999999</v>
      </c>
      <c r="H6048" s="1">
        <v>-4.290444E-6</v>
      </c>
      <c r="I6048">
        <v>-47.371679999999998</v>
      </c>
      <c r="J6048">
        <v>-301.51310000000001</v>
      </c>
      <c r="K6048">
        <v>1.121003</v>
      </c>
      <c r="L6048">
        <v>-32.734559999999902</v>
      </c>
      <c r="M6048">
        <v>-2.8226530000000001E-3</v>
      </c>
      <c r="N6048">
        <v>-1.408762E-2</v>
      </c>
      <c r="O6048">
        <v>-0.99989700000000004</v>
      </c>
      <c r="P6048">
        <v>1.028455E-2</v>
      </c>
      <c r="Q6048">
        <v>-0.1188642</v>
      </c>
      <c r="R6048">
        <v>-0.99285769999999995</v>
      </c>
      <c r="S6048">
        <v>-3.6987300000000001E-2</v>
      </c>
      <c r="T6048">
        <v>-0.22485379999999999</v>
      </c>
      <c r="U6048">
        <v>-2.9950559999999999</v>
      </c>
      <c r="V6048">
        <v>-1.3099919999999999E-2</v>
      </c>
      <c r="W6048">
        <v>-0.1048642</v>
      </c>
      <c r="X6048">
        <v>0.99440030000000001</v>
      </c>
      <c r="Y6048">
        <v>9.4969219999999997E-3</v>
      </c>
      <c r="Z6048">
        <v>6.0804049999999998E-2</v>
      </c>
      <c r="AA6048">
        <v>0.99810449999999995</v>
      </c>
      <c r="AB6048">
        <v>18</v>
      </c>
      <c r="AC6048">
        <v>-0.18349999999998001</v>
      </c>
      <c r="AD6048">
        <v>-1.121007290444</v>
      </c>
      <c r="AE6048">
        <v>-14.637119999999999</v>
      </c>
      <c r="AF6048">
        <v>0.14135070351930101</v>
      </c>
      <c r="AG6048">
        <v>-1.121007290444</v>
      </c>
      <c r="AH6048">
        <v>14.552236842952899</v>
      </c>
      <c r="AI6048">
        <v>94.404778316445203</v>
      </c>
      <c r="AJ6048">
        <v>89.443484589986895</v>
      </c>
      <c r="AK6048">
        <v>14.596034889654399</v>
      </c>
      <c r="AL6048">
        <v>96.019342403916397</v>
      </c>
      <c r="AM6048">
        <v>90.754753103935997</v>
      </c>
      <c r="AN6048">
        <v>1.00000003249286</v>
      </c>
    </row>
    <row r="6049" spans="1:40" x14ac:dyDescent="0.25">
      <c r="A6049" t="str">
        <f>"20190303154641956"</f>
        <v>20190303154641956</v>
      </c>
      <c r="B6049" t="str">
        <f>"1551599201947858"</f>
        <v>1551599201947858</v>
      </c>
      <c r="C6049" t="s">
        <v>40</v>
      </c>
      <c r="D6049">
        <v>5.267169</v>
      </c>
      <c r="E6049">
        <v>0.50755620000000001</v>
      </c>
      <c r="F6049" t="s">
        <v>60</v>
      </c>
      <c r="G6049">
        <v>-301.6592</v>
      </c>
      <c r="H6049" s="1">
        <v>-3.767127E-6</v>
      </c>
      <c r="I6049">
        <v>-46.348880000000001</v>
      </c>
      <c r="J6049">
        <v>-301.51389999999998</v>
      </c>
      <c r="K6049">
        <v>1.121011</v>
      </c>
      <c r="L6049">
        <v>-32.96884</v>
      </c>
      <c r="M6049">
        <v>-2.909011E-3</v>
      </c>
      <c r="N6049">
        <v>-1.4081750000000001E-2</v>
      </c>
      <c r="O6049">
        <v>-0.99989649999999997</v>
      </c>
      <c r="P6049">
        <v>9.7203919999999996E-3</v>
      </c>
      <c r="Q6049">
        <v>-0.1155984</v>
      </c>
      <c r="R6049">
        <v>-0.99324860000000004</v>
      </c>
      <c r="S6049">
        <v>-3.2104489999999999E-2</v>
      </c>
      <c r="T6049">
        <v>-0.2463949</v>
      </c>
      <c r="U6049">
        <v>-2.9924010000000001</v>
      </c>
      <c r="V6049">
        <v>-1.262247E-2</v>
      </c>
      <c r="W6049">
        <v>-0.1015992</v>
      </c>
      <c r="X6049">
        <v>0.99474530000000005</v>
      </c>
      <c r="Y6049">
        <v>7.7887369999999996E-3</v>
      </c>
      <c r="Z6049">
        <v>6.8016199999999999E-2</v>
      </c>
      <c r="AA6049">
        <v>0.99765380000000004</v>
      </c>
      <c r="AB6049">
        <v>18</v>
      </c>
      <c r="AC6049">
        <v>-0.14530000000002</v>
      </c>
      <c r="AD6049">
        <v>-1.1210147671270001</v>
      </c>
      <c r="AE6049">
        <v>-13.380039999999999</v>
      </c>
      <c r="AF6049">
        <v>0.105631442051303</v>
      </c>
      <c r="AG6049">
        <v>-1.1210147671270001</v>
      </c>
      <c r="AH6049">
        <v>13.2871476041735</v>
      </c>
      <c r="AI6049">
        <v>94.822378268176195</v>
      </c>
      <c r="AJ6049">
        <v>89.544514105178493</v>
      </c>
      <c r="AK6049">
        <v>13.334771222813</v>
      </c>
      <c r="AL6049">
        <v>95.8312671555788</v>
      </c>
      <c r="AM6049">
        <v>90.726995589517799</v>
      </c>
      <c r="AN6049">
        <v>0.99999996803081503</v>
      </c>
    </row>
    <row r="6050" spans="1:40" x14ac:dyDescent="0.25">
      <c r="A6050" t="str">
        <f>"20190303154641989"</f>
        <v>20190303154641989</v>
      </c>
      <c r="B6050" t="str">
        <f>"1551599201987873"</f>
        <v>1551599201987873</v>
      </c>
      <c r="C6050" t="s">
        <v>40</v>
      </c>
      <c r="D6050">
        <v>5.2824580000000001</v>
      </c>
      <c r="E6050">
        <v>0.50730350000000002</v>
      </c>
      <c r="F6050" t="s">
        <v>60</v>
      </c>
      <c r="G6050">
        <v>-301.65559999999999</v>
      </c>
      <c r="H6050" s="1">
        <v>-3.7975169999999999E-6</v>
      </c>
      <c r="I6050">
        <v>-46.408940000000001</v>
      </c>
      <c r="J6050">
        <v>-301.5147</v>
      </c>
      <c r="K6050">
        <v>1.12101299999999</v>
      </c>
      <c r="L6050">
        <v>-33.235869999999998</v>
      </c>
      <c r="M6050">
        <v>-3.0044049999999999E-3</v>
      </c>
      <c r="N6050">
        <v>-1.407479E-2</v>
      </c>
      <c r="O6050">
        <v>-0.99989649999999997</v>
      </c>
      <c r="P6050">
        <v>9.1270159999999999E-3</v>
      </c>
      <c r="Q6050">
        <v>-0.113209199999999</v>
      </c>
      <c r="R6050">
        <v>-0.99352940000000001</v>
      </c>
      <c r="S6050">
        <v>-3.1555180000000002E-2</v>
      </c>
      <c r="T6050">
        <v>-0.24953</v>
      </c>
      <c r="U6050">
        <v>-2.9916689999999999</v>
      </c>
      <c r="V6050">
        <v>-1.2124029999999999E-2</v>
      </c>
      <c r="W6050">
        <v>-9.9213289999999996E-2</v>
      </c>
      <c r="X6050">
        <v>0.99499230000000005</v>
      </c>
      <c r="Y6050">
        <v>7.5121540000000001E-3</v>
      </c>
      <c r="Z6050">
        <v>6.9081539999999997E-2</v>
      </c>
      <c r="AA6050">
        <v>0.99758270000000004</v>
      </c>
      <c r="AB6050">
        <v>18</v>
      </c>
      <c r="AC6050">
        <v>-0.14089999999998701</v>
      </c>
      <c r="AD6050">
        <v>-1.12101679751699</v>
      </c>
      <c r="AE6050">
        <v>-13.173069999999999</v>
      </c>
      <c r="AF6050">
        <v>0.100589834231174</v>
      </c>
      <c r="AG6050">
        <v>-1.12101679751699</v>
      </c>
      <c r="AH6050">
        <v>13.078730372552601</v>
      </c>
      <c r="AI6050">
        <v>94.898873318956305</v>
      </c>
      <c r="AJ6050">
        <v>89.559341070355998</v>
      </c>
      <c r="AK6050">
        <v>13.1270706988649</v>
      </c>
      <c r="AL6050">
        <v>95.693870183374699</v>
      </c>
      <c r="AM6050">
        <v>90.698117335163403</v>
      </c>
      <c r="AN6050">
        <v>0.99999997303767696</v>
      </c>
    </row>
    <row r="6051" spans="1:40" x14ac:dyDescent="0.25">
      <c r="A6051" t="str">
        <f>"20190303154642023"</f>
        <v>20190303154642023</v>
      </c>
      <c r="B6051" t="str">
        <f>"1551599202018129"</f>
        <v>1551599202018129</v>
      </c>
      <c r="C6051" t="s">
        <v>40</v>
      </c>
      <c r="D6051">
        <v>5.2481770000000001</v>
      </c>
      <c r="E6051">
        <v>0.50727889999999998</v>
      </c>
      <c r="F6051" t="s">
        <v>60</v>
      </c>
      <c r="G6051">
        <v>-301.65159999999997</v>
      </c>
      <c r="H6051" s="1">
        <v>-3.8185010000000002E-6</v>
      </c>
      <c r="I6051">
        <v>-46.450569999999999</v>
      </c>
      <c r="J6051">
        <v>-301.51569999999998</v>
      </c>
      <c r="K6051">
        <v>1.12101299999999</v>
      </c>
      <c r="L6051">
        <v>-33.506839999999997</v>
      </c>
      <c r="M6051">
        <v>-3.099404E-3</v>
      </c>
      <c r="N6051">
        <v>-1.4067639999999999E-2</v>
      </c>
      <c r="O6051">
        <v>-0.99989649999999997</v>
      </c>
      <c r="P6051">
        <v>8.7933419999999905E-3</v>
      </c>
      <c r="Q6051">
        <v>-0.1142488</v>
      </c>
      <c r="R6051">
        <v>-0.99341389999999996</v>
      </c>
      <c r="S6051">
        <v>-3.0975340000000001E-2</v>
      </c>
      <c r="T6051">
        <v>-0.25372410000000001</v>
      </c>
      <c r="U6051">
        <v>-2.990936</v>
      </c>
      <c r="V6051">
        <v>-1.1883650000000001E-2</v>
      </c>
      <c r="W6051">
        <v>-0.10026160000000001</v>
      </c>
      <c r="X6051">
        <v>0.99489019999999995</v>
      </c>
      <c r="Y6051">
        <v>7.2254509999999999E-3</v>
      </c>
      <c r="Z6051">
        <v>7.0498000000000005E-2</v>
      </c>
      <c r="AA6051">
        <v>0.99748579999999998</v>
      </c>
      <c r="AB6051">
        <v>18</v>
      </c>
      <c r="AC6051">
        <v>-0.135899999999992</v>
      </c>
      <c r="AD6051">
        <v>-1.1210168185010001</v>
      </c>
      <c r="AE6051">
        <v>-12.943729999999899</v>
      </c>
      <c r="AF6051">
        <v>9.5064560690072394E-2</v>
      </c>
      <c r="AG6051">
        <v>-1.1210168185010001</v>
      </c>
      <c r="AH6051">
        <v>12.8477319143222</v>
      </c>
      <c r="AI6051">
        <v>94.986524434937195</v>
      </c>
      <c r="AJ6051">
        <v>89.576057568427203</v>
      </c>
      <c r="AK6051">
        <v>12.896896189407499</v>
      </c>
      <c r="AL6051">
        <v>95.754234416725794</v>
      </c>
      <c r="AM6051">
        <v>90.684347490013494</v>
      </c>
      <c r="AN6051">
        <v>1.00000005981395</v>
      </c>
    </row>
    <row r="6052" spans="1:40" x14ac:dyDescent="0.25">
      <c r="A6052" t="str">
        <f>"20190303154642057"</f>
        <v>20190303154642057</v>
      </c>
      <c r="B6052" t="str">
        <f>"1551599202047410"</f>
        <v>1551599202047410</v>
      </c>
      <c r="C6052" t="s">
        <v>40</v>
      </c>
      <c r="D6052">
        <v>5.3009500000000003</v>
      </c>
      <c r="E6052">
        <v>0.50719139999999996</v>
      </c>
      <c r="F6052" t="s">
        <v>60</v>
      </c>
      <c r="G6052">
        <v>-301.65320000000003</v>
      </c>
      <c r="H6052" s="1">
        <v>-3.770473E-6</v>
      </c>
      <c r="I6052">
        <v>-46.35613</v>
      </c>
      <c r="J6052">
        <v>-301.51659999999998</v>
      </c>
      <c r="K6052">
        <v>1.1210020000000001</v>
      </c>
      <c r="L6052">
        <v>-33.764620000000001</v>
      </c>
      <c r="M6052">
        <v>-3.1888009999999998E-3</v>
      </c>
      <c r="N6052">
        <v>-1.406083E-2</v>
      </c>
      <c r="O6052">
        <v>-0.99989600000000001</v>
      </c>
      <c r="P6052">
        <v>9.7939900000000007E-3</v>
      </c>
      <c r="Q6052">
        <v>-0.1150215</v>
      </c>
      <c r="R6052">
        <v>-0.99331510000000001</v>
      </c>
      <c r="S6052">
        <v>-3.2012939999999997E-2</v>
      </c>
      <c r="T6052">
        <v>-0.26087310000000002</v>
      </c>
      <c r="U6052">
        <v>-2.990173</v>
      </c>
      <c r="V6052">
        <v>-1.297326E-2</v>
      </c>
      <c r="W6052">
        <v>-0.1010423</v>
      </c>
      <c r="X6052">
        <v>0.9947975</v>
      </c>
      <c r="Y6052">
        <v>7.4826249999999997E-3</v>
      </c>
      <c r="Z6052">
        <v>7.2892990000000005E-2</v>
      </c>
      <c r="AA6052">
        <v>0.99731170000000002</v>
      </c>
      <c r="AB6052">
        <v>18</v>
      </c>
      <c r="AC6052">
        <v>-0.13660000000004399</v>
      </c>
      <c r="AD6052">
        <v>-1.1210057704729901</v>
      </c>
      <c r="AE6052">
        <v>-12.59151</v>
      </c>
      <c r="AF6052">
        <v>9.5685191599348102E-2</v>
      </c>
      <c r="AG6052">
        <v>-1.1210057704729901</v>
      </c>
      <c r="AH6052">
        <v>12.4928733727423</v>
      </c>
      <c r="AI6052">
        <v>95.127361134695306</v>
      </c>
      <c r="AJ6052">
        <v>89.561169774416996</v>
      </c>
      <c r="AK6052">
        <v>12.5434323333248</v>
      </c>
      <c r="AL6052">
        <v>95.799194133334495</v>
      </c>
      <c r="AM6052">
        <v>90.747157999789906</v>
      </c>
      <c r="AN6052">
        <v>0.99999995893528204</v>
      </c>
    </row>
    <row r="6053" spans="1:40" x14ac:dyDescent="0.25">
      <c r="A6053" t="str">
        <f>"20190303154642091"</f>
        <v>20190303154642091</v>
      </c>
      <c r="B6053" t="str">
        <f>"1551599202087426"</f>
        <v>1551599202087426</v>
      </c>
      <c r="C6053" t="s">
        <v>40</v>
      </c>
      <c r="D6053">
        <v>5.2522479999999998</v>
      </c>
      <c r="E6053">
        <v>0.50727179999999905</v>
      </c>
      <c r="F6053" t="s">
        <v>60</v>
      </c>
      <c r="G6053">
        <v>-301.63420000000002</v>
      </c>
      <c r="H6053" s="1">
        <v>-3.7648200000000001E-6</v>
      </c>
      <c r="I6053">
        <v>-46.347200000000001</v>
      </c>
      <c r="J6053">
        <v>-301.51749999999998</v>
      </c>
      <c r="K6053">
        <v>1.1210119999999999</v>
      </c>
      <c r="L6053">
        <v>-34.030700000000003</v>
      </c>
      <c r="M6053">
        <v>-3.2821220000000002E-3</v>
      </c>
      <c r="N6053">
        <v>-1.405385E-2</v>
      </c>
      <c r="O6053">
        <v>-0.99989600000000001</v>
      </c>
      <c r="P6053">
        <v>1.1713370000000001E-2</v>
      </c>
      <c r="Q6053">
        <v>-0.114675</v>
      </c>
      <c r="R6053">
        <v>-0.99333439999999995</v>
      </c>
      <c r="S6053">
        <v>-2.7954099999999999E-2</v>
      </c>
      <c r="T6053">
        <v>-0.26635120000000001</v>
      </c>
      <c r="U6053">
        <v>-2.9896240000000001</v>
      </c>
      <c r="V6053">
        <v>-1.498502E-2</v>
      </c>
      <c r="W6053">
        <v>-0.100702399999999</v>
      </c>
      <c r="X6053">
        <v>0.99480369999999996</v>
      </c>
      <c r="Y6053">
        <v>6.0370800000000002E-3</v>
      </c>
      <c r="Z6053">
        <v>7.4729999999999894E-2</v>
      </c>
      <c r="AA6053">
        <v>0.99718549999999995</v>
      </c>
      <c r="AB6053">
        <v>18</v>
      </c>
      <c r="AC6053">
        <v>-0.116700000000037</v>
      </c>
      <c r="AD6053">
        <v>-1.1210157648200001</v>
      </c>
      <c r="AE6053">
        <v>-12.3164999999999</v>
      </c>
      <c r="AF6053">
        <v>7.5644533281429394E-2</v>
      </c>
      <c r="AG6053">
        <v>-1.1210157648200001</v>
      </c>
      <c r="AH6053">
        <v>12.2156294855158</v>
      </c>
      <c r="AI6053">
        <v>95.243188886961804</v>
      </c>
      <c r="AJ6053">
        <v>89.645203948955199</v>
      </c>
      <c r="AK6053">
        <v>12.2671921060931</v>
      </c>
      <c r="AL6053">
        <v>95.779619431127202</v>
      </c>
      <c r="AM6053">
        <v>90.862997868633201</v>
      </c>
      <c r="AN6053">
        <v>0.99999996286192405</v>
      </c>
    </row>
    <row r="6054" spans="1:40" x14ac:dyDescent="0.25">
      <c r="A6054" t="str">
        <f>"20190303154642127"</f>
        <v>20190303154642127</v>
      </c>
      <c r="B6054" t="str">
        <f>"1551599202117682"</f>
        <v>1551599202117682</v>
      </c>
      <c r="C6054" t="s">
        <v>40</v>
      </c>
      <c r="D6054">
        <v>5.2655469999999998</v>
      </c>
      <c r="E6054">
        <v>0.50757600000000003</v>
      </c>
      <c r="F6054" t="s">
        <v>60</v>
      </c>
      <c r="G6054">
        <v>-301.61340000000001</v>
      </c>
      <c r="H6054" s="1">
        <v>-3.8788879999999999E-6</v>
      </c>
      <c r="I6054">
        <v>-46.573439999999998</v>
      </c>
      <c r="J6054">
        <v>-301.51859999999999</v>
      </c>
      <c r="K6054">
        <v>1.1210150000000001</v>
      </c>
      <c r="L6054">
        <v>-34.31024</v>
      </c>
      <c r="M6054">
        <v>-3.381027E-3</v>
      </c>
      <c r="N6054">
        <v>-1.4046609999999999E-2</v>
      </c>
      <c r="O6054">
        <v>-0.9998956</v>
      </c>
      <c r="P6054">
        <v>1.3043300000000001E-2</v>
      </c>
      <c r="Q6054">
        <v>-0.11405170000000001</v>
      </c>
      <c r="R6054">
        <v>-0.99338919999999997</v>
      </c>
      <c r="S6054">
        <v>-2.285767E-2</v>
      </c>
      <c r="T6054">
        <v>-0.2671943</v>
      </c>
      <c r="U6054">
        <v>-2.989563</v>
      </c>
      <c r="V6054">
        <v>-1.6413859999999999E-2</v>
      </c>
      <c r="W6054">
        <v>-0.1000856</v>
      </c>
      <c r="X6054">
        <v>0.99484340000000004</v>
      </c>
      <c r="Y6054">
        <v>4.239657E-3</v>
      </c>
      <c r="Z6054">
        <v>7.5018959999999996E-2</v>
      </c>
      <c r="AA6054">
        <v>0.99717310000000003</v>
      </c>
      <c r="AB6054">
        <v>18</v>
      </c>
      <c r="AC6054">
        <v>-9.4800000000020604E-2</v>
      </c>
      <c r="AD6054">
        <v>-1.12101887888799</v>
      </c>
      <c r="AE6054">
        <v>-12.263199999999999</v>
      </c>
      <c r="AF6054">
        <v>5.2891203058325002E-2</v>
      </c>
      <c r="AG6054">
        <v>-1.12101887888799</v>
      </c>
      <c r="AH6054">
        <v>12.161827654485</v>
      </c>
      <c r="AI6054">
        <v>95.266319148835905</v>
      </c>
      <c r="AJ6054">
        <v>89.750824983743001</v>
      </c>
      <c r="AK6054">
        <v>12.2134979716534</v>
      </c>
      <c r="AL6054">
        <v>95.744099919449098</v>
      </c>
      <c r="AM6054">
        <v>90.945233775546996</v>
      </c>
      <c r="AN6054">
        <v>0.99999996632550903</v>
      </c>
    </row>
    <row r="6055" spans="1:40" x14ac:dyDescent="0.25">
      <c r="A6055" t="str">
        <f>"20190303154642159"</f>
        <v>20190303154642159</v>
      </c>
      <c r="B6055" t="str">
        <f>"1551599202147938"</f>
        <v>1551599202147938</v>
      </c>
      <c r="C6055" t="s">
        <v>40</v>
      </c>
      <c r="D6055">
        <v>5.2580299999999998</v>
      </c>
      <c r="E6055">
        <v>0.50763029999999998</v>
      </c>
      <c r="F6055" t="s">
        <v>60</v>
      </c>
      <c r="G6055">
        <v>-301.60980000000001</v>
      </c>
      <c r="H6055" s="1">
        <v>-4.0756179999999996E-6</v>
      </c>
      <c r="I6055">
        <v>-46.959949999999999</v>
      </c>
      <c r="J6055">
        <v>-301.51949999999999</v>
      </c>
      <c r="K6055">
        <v>1.1210119999999999</v>
      </c>
      <c r="L6055">
        <v>-34.57376</v>
      </c>
      <c r="M6055">
        <v>-3.4757450000000001E-3</v>
      </c>
      <c r="N6055">
        <v>-1.403983E-2</v>
      </c>
      <c r="O6055">
        <v>-0.99989530000000004</v>
      </c>
      <c r="P6055">
        <v>1.34713E-2</v>
      </c>
      <c r="Q6055">
        <v>-0.1137666</v>
      </c>
      <c r="R6055">
        <v>-0.99341630000000003</v>
      </c>
      <c r="S6055">
        <v>-2.157593E-2</v>
      </c>
      <c r="T6055">
        <v>-0.26495990000000003</v>
      </c>
      <c r="U6055">
        <v>-2.9898380000000002</v>
      </c>
      <c r="V6055">
        <v>-1.6936150000000001E-2</v>
      </c>
      <c r="W6055">
        <v>-9.9806809999999996E-2</v>
      </c>
      <c r="X6055">
        <v>0.99486269999999999</v>
      </c>
      <c r="Y6055">
        <v>3.7175680000000001E-3</v>
      </c>
      <c r="Z6055">
        <v>7.4278440000000001E-2</v>
      </c>
      <c r="AA6055">
        <v>0.99723059999999997</v>
      </c>
      <c r="AB6055">
        <v>18</v>
      </c>
      <c r="AC6055">
        <v>-9.03000000000133E-2</v>
      </c>
      <c r="AD6055">
        <v>-1.1210160756180001</v>
      </c>
      <c r="AE6055">
        <v>-12.386189999999999</v>
      </c>
      <c r="AF6055">
        <v>4.6860147631839398E-2</v>
      </c>
      <c r="AG6055">
        <v>-1.1210160756180001</v>
      </c>
      <c r="AH6055">
        <v>12.285798814811301</v>
      </c>
      <c r="AI6055">
        <v>95.213471460826398</v>
      </c>
      <c r="AJ6055">
        <v>89.781465112084902</v>
      </c>
      <c r="AK6055">
        <v>12.336925282794301</v>
      </c>
      <c r="AL6055">
        <v>95.728045780687594</v>
      </c>
      <c r="AM6055">
        <v>90.975286533254405</v>
      </c>
      <c r="AN6055">
        <v>1.0000000121752399</v>
      </c>
    </row>
    <row r="6056" spans="1:40" x14ac:dyDescent="0.25">
      <c r="A6056" t="str">
        <f>"20190303154642191"</f>
        <v>20190303154642191</v>
      </c>
      <c r="B6056" t="str">
        <f>"1551599202187954"</f>
        <v>1551599202187954</v>
      </c>
      <c r="C6056" t="s">
        <v>40</v>
      </c>
      <c r="D6056">
        <v>5.3623430000000001</v>
      </c>
      <c r="E6056">
        <v>0.50779490000000005</v>
      </c>
      <c r="F6056" t="s">
        <v>60</v>
      </c>
      <c r="G6056">
        <v>-301.60730000000001</v>
      </c>
      <c r="H6056" s="1">
        <v>-4.2158499999999996E-6</v>
      </c>
      <c r="I6056">
        <v>-47.23545</v>
      </c>
      <c r="J6056">
        <v>-301.5204</v>
      </c>
      <c r="K6056">
        <v>1.1210249999999999</v>
      </c>
      <c r="L6056">
        <v>-34.820189999999997</v>
      </c>
      <c r="M6056">
        <v>-3.5645820000000002E-3</v>
      </c>
      <c r="N6056">
        <v>-1.403363E-2</v>
      </c>
      <c r="O6056">
        <v>-0.99989530000000004</v>
      </c>
      <c r="P6056">
        <v>1.4462819999999999E-2</v>
      </c>
      <c r="Q6056">
        <v>-0.11250400000000001</v>
      </c>
      <c r="R6056">
        <v>-0.99354629999999999</v>
      </c>
      <c r="S6056">
        <v>-2.0721440000000001E-2</v>
      </c>
      <c r="T6056">
        <v>-0.26470840000000001</v>
      </c>
      <c r="U6056">
        <v>-2.9898380000000002</v>
      </c>
      <c r="V6056">
        <v>-1.8016219999999999E-2</v>
      </c>
      <c r="W6056">
        <v>-9.8548579999999997E-2</v>
      </c>
      <c r="X6056">
        <v>0.99496910000000005</v>
      </c>
      <c r="Y6056">
        <v>3.3440430000000001E-3</v>
      </c>
      <c r="Z6056">
        <v>7.4201489999999995E-2</v>
      </c>
      <c r="AA6056">
        <v>0.9972377</v>
      </c>
      <c r="AB6056">
        <v>17</v>
      </c>
      <c r="AC6056">
        <v>-8.6900000000014105E-2</v>
      </c>
      <c r="AD6056">
        <v>-1.1210292158499999</v>
      </c>
      <c r="AE6056">
        <v>-12.4152599999999</v>
      </c>
      <c r="AF6056">
        <v>4.2295064158880298E-2</v>
      </c>
      <c r="AG6056">
        <v>-1.1210292158499999</v>
      </c>
      <c r="AH6056">
        <v>12.315089787476801</v>
      </c>
      <c r="AI6056">
        <v>95.201207258156401</v>
      </c>
      <c r="AJ6056">
        <v>89.803223591174003</v>
      </c>
      <c r="AK6056">
        <v>12.3660798901211</v>
      </c>
      <c r="AL6056">
        <v>95.655597623360094</v>
      </c>
      <c r="AM6056">
        <v>91.037359425847896</v>
      </c>
      <c r="AN6056">
        <v>0.99999995837895606</v>
      </c>
    </row>
    <row r="6057" spans="1:40" x14ac:dyDescent="0.25">
      <c r="A6057" t="str">
        <f>"20190303154642225"</f>
        <v>20190303154642225</v>
      </c>
      <c r="B6057" t="str">
        <f>"1551599202217234"</f>
        <v>1551599202217234</v>
      </c>
      <c r="C6057" t="s">
        <v>40</v>
      </c>
      <c r="D6057">
        <v>5.3924409999999998</v>
      </c>
      <c r="E6057">
        <v>0.50773570000000001</v>
      </c>
      <c r="F6057" t="s">
        <v>60</v>
      </c>
      <c r="G6057">
        <v>-301.60210000000001</v>
      </c>
      <c r="H6057" s="1">
        <v>-4.3767879999999998E-6</v>
      </c>
      <c r="I6057">
        <v>-47.551900000000003</v>
      </c>
      <c r="J6057">
        <v>-301.52140000000003</v>
      </c>
      <c r="K6057">
        <v>1.1210209999999901</v>
      </c>
      <c r="L6057">
        <v>-35.075679999999998</v>
      </c>
      <c r="M6057">
        <v>-3.6571469999999999E-3</v>
      </c>
      <c r="N6057">
        <v>-1.402729E-2</v>
      </c>
      <c r="O6057">
        <v>-0.99989510000000004</v>
      </c>
      <c r="P6057">
        <v>1.830768E-2</v>
      </c>
      <c r="Q6057">
        <v>-0.11477329999999999</v>
      </c>
      <c r="R6057">
        <v>-0.99322339999999998</v>
      </c>
      <c r="S6057">
        <v>-1.9165040000000001E-2</v>
      </c>
      <c r="T6057">
        <v>-0.26326660000000002</v>
      </c>
      <c r="U6057">
        <v>-2.98996</v>
      </c>
      <c r="V6057">
        <v>-2.1951709999999999E-2</v>
      </c>
      <c r="W6057">
        <v>-0.10082820000000001</v>
      </c>
      <c r="X6057">
        <v>0.99466160000000003</v>
      </c>
      <c r="Y6057">
        <v>2.732782E-3</v>
      </c>
      <c r="Z6057">
        <v>7.3727249999999994E-2</v>
      </c>
      <c r="AA6057">
        <v>0.99727469999999996</v>
      </c>
      <c r="AB6057">
        <v>17</v>
      </c>
      <c r="AC6057">
        <v>-8.06999999999789E-2</v>
      </c>
      <c r="AD6057">
        <v>-1.1210253767879901</v>
      </c>
      <c r="AE6057">
        <v>-12.47622</v>
      </c>
      <c r="AF6057">
        <v>3.4786766938050502E-2</v>
      </c>
      <c r="AG6057">
        <v>-1.1210253767879901</v>
      </c>
      <c r="AH6057">
        <v>12.3765134226096</v>
      </c>
      <c r="AI6057">
        <v>95.175527017264102</v>
      </c>
      <c r="AJ6057">
        <v>89.838958710601204</v>
      </c>
      <c r="AK6057">
        <v>12.4272278692632</v>
      </c>
      <c r="AL6057">
        <v>95.786864183150698</v>
      </c>
      <c r="AM6057">
        <v>91.264285457231296</v>
      </c>
      <c r="AN6057">
        <v>0.99999995100086003</v>
      </c>
    </row>
    <row r="6058" spans="1:40" x14ac:dyDescent="0.25">
      <c r="A6058" t="str">
        <f>"20190303154642258"</f>
        <v>20190303154642258</v>
      </c>
      <c r="B6058" t="str">
        <f>"1551599202247490"</f>
        <v>1551599202247490</v>
      </c>
      <c r="C6058" t="s">
        <v>40</v>
      </c>
      <c r="D6058">
        <v>5.4032819999999999</v>
      </c>
      <c r="E6058">
        <v>0.50774229999999998</v>
      </c>
      <c r="F6058" t="s">
        <v>42</v>
      </c>
      <c r="G6058">
        <v>-301.52359999999999</v>
      </c>
      <c r="H6058">
        <v>1.041301</v>
      </c>
      <c r="I6058">
        <v>-35.946179999999998</v>
      </c>
      <c r="J6058">
        <v>-301.52249999999998</v>
      </c>
      <c r="K6058">
        <v>1.121008</v>
      </c>
      <c r="L6058">
        <v>-35.333770000000001</v>
      </c>
      <c r="M6058">
        <v>-3.7553550000000002E-3</v>
      </c>
      <c r="N6058">
        <v>-1.402084E-2</v>
      </c>
      <c r="O6058">
        <v>-0.99989459999999997</v>
      </c>
      <c r="P6058">
        <v>2.2712369999999999E-2</v>
      </c>
      <c r="Q6058">
        <v>-0.1157735</v>
      </c>
      <c r="R6058">
        <v>-0.99301609999999996</v>
      </c>
      <c r="S6058">
        <v>-6.8969729999999998E-3</v>
      </c>
      <c r="T6058">
        <v>-0.27370369999999999</v>
      </c>
      <c r="U6058">
        <v>-2.9889830000000002</v>
      </c>
      <c r="V6058">
        <v>-2.6453560000000001E-2</v>
      </c>
      <c r="W6058">
        <v>-0.10183739999999999</v>
      </c>
      <c r="X6058">
        <v>0.99444929999999998</v>
      </c>
      <c r="Y6058">
        <v>-1.4540919999999999E-3</v>
      </c>
      <c r="Z6058">
        <v>7.7216859999999998E-2</v>
      </c>
      <c r="AA6058">
        <v>0.99701329999999999</v>
      </c>
      <c r="AB6058">
        <v>17</v>
      </c>
      <c r="AC6058">
        <v>-1.1000000000080899E-3</v>
      </c>
      <c r="AD6058">
        <v>-7.9706999999999903E-2</v>
      </c>
      <c r="AE6058">
        <v>-0.61240999999999701</v>
      </c>
      <c r="AF6058">
        <v>-1.1800609809016001E-3</v>
      </c>
      <c r="AG6058">
        <v>-7.9706999999999903E-2</v>
      </c>
      <c r="AH6058">
        <v>0.60220855025196296</v>
      </c>
      <c r="AI6058">
        <v>97.539704534878794</v>
      </c>
      <c r="AJ6058">
        <v>90.112274107042893</v>
      </c>
      <c r="AK6058">
        <v>0.60746171598668697</v>
      </c>
      <c r="AL6058">
        <v>95.844985812822898</v>
      </c>
      <c r="AM6058">
        <v>91.523778017228906</v>
      </c>
      <c r="AN6058">
        <v>1.00000002857296</v>
      </c>
    </row>
    <row r="6059" spans="1:40" x14ac:dyDescent="0.25">
      <c r="A6059" t="str">
        <f>"20190303154642293"</f>
        <v>20190303154642293</v>
      </c>
      <c r="B6059" t="str">
        <f>"1551599202287506"</f>
        <v>1551599202287506</v>
      </c>
      <c r="C6059" t="s">
        <v>40</v>
      </c>
      <c r="D6059">
        <v>5.4074289999999996</v>
      </c>
      <c r="E6059">
        <v>0.5077952</v>
      </c>
      <c r="F6059" t="s">
        <v>60</v>
      </c>
      <c r="G6059">
        <v>-301.4966</v>
      </c>
      <c r="H6059" s="1">
        <v>-4.1978720000000001E-6</v>
      </c>
      <c r="I6059">
        <v>-47.212780000000002</v>
      </c>
      <c r="J6059">
        <v>-301.52350000000001</v>
      </c>
      <c r="K6059">
        <v>1.121011</v>
      </c>
      <c r="L6059">
        <v>-35.59619</v>
      </c>
      <c r="M6059">
        <v>-3.8758249999999998E-3</v>
      </c>
      <c r="N6059">
        <v>-1.4003089999999999E-2</v>
      </c>
      <c r="O6059">
        <v>-0.99989459999999997</v>
      </c>
      <c r="P6059">
        <v>2.5075099999999999E-2</v>
      </c>
      <c r="Q6059">
        <v>-0.11380510000000001</v>
      </c>
      <c r="R6059">
        <v>-0.99318700000000004</v>
      </c>
      <c r="S6059">
        <v>6.5002439999999996E-3</v>
      </c>
      <c r="T6059">
        <v>-0.2819816</v>
      </c>
      <c r="U6059">
        <v>-2.9880680000000002</v>
      </c>
      <c r="V6059">
        <v>-2.8938780000000001E-2</v>
      </c>
      <c r="W6059">
        <v>-9.9883669999999994E-2</v>
      </c>
      <c r="X6059">
        <v>0.99457819999999997</v>
      </c>
      <c r="Y6059">
        <v>-6.0400200000000001E-3</v>
      </c>
      <c r="Z6059">
        <v>7.9999360000000005E-2</v>
      </c>
      <c r="AA6059">
        <v>0.99677660000000001</v>
      </c>
      <c r="AB6059">
        <v>17</v>
      </c>
      <c r="AC6059">
        <v>2.6900000000011901E-2</v>
      </c>
      <c r="AD6059">
        <v>-1.121015197872</v>
      </c>
      <c r="AE6059">
        <v>-11.61659</v>
      </c>
      <c r="AF6059">
        <v>-7.1264430070903606E-2</v>
      </c>
      <c r="AG6059">
        <v>-1.121015197872</v>
      </c>
      <c r="AH6059">
        <v>11.5092195777667</v>
      </c>
      <c r="AI6059">
        <v>95.5630403006666</v>
      </c>
      <c r="AJ6059">
        <v>90.354767659370395</v>
      </c>
      <c r="AK6059">
        <v>11.563904573374</v>
      </c>
      <c r="AL6059">
        <v>95.732471730690406</v>
      </c>
      <c r="AM6059">
        <v>91.666638464246503</v>
      </c>
      <c r="AN6059">
        <v>0.99999999821789798</v>
      </c>
    </row>
    <row r="6060" spans="1:40" x14ac:dyDescent="0.25">
      <c r="A6060" t="str">
        <f>"20190303154642328"</f>
        <v>20190303154642328</v>
      </c>
      <c r="B6060" t="str">
        <f>"1551599202317762"</f>
        <v>1551599202317762</v>
      </c>
      <c r="C6060" t="s">
        <v>40</v>
      </c>
      <c r="D6060">
        <v>5.4218580000000003</v>
      </c>
      <c r="E6060">
        <v>0.48845359999999999</v>
      </c>
      <c r="F6060" t="s">
        <v>60</v>
      </c>
      <c r="G6060">
        <v>-301.47059999999999</v>
      </c>
      <c r="H6060" s="1">
        <v>-4.3542749999999999E-6</v>
      </c>
      <c r="I6060">
        <v>-47.5227</v>
      </c>
      <c r="J6060">
        <v>-301.52480000000003</v>
      </c>
      <c r="K6060">
        <v>1.1209929999999999</v>
      </c>
      <c r="L6060">
        <v>-35.873289999999997</v>
      </c>
      <c r="M6060">
        <v>-4.0535980000000003E-3</v>
      </c>
      <c r="N6060">
        <v>-1.396796E-2</v>
      </c>
      <c r="O6060">
        <v>-0.99989439999999996</v>
      </c>
      <c r="P6060">
        <v>2.8233230000000002E-2</v>
      </c>
      <c r="Q6060">
        <v>-0.114398</v>
      </c>
      <c r="R6060">
        <v>-0.99303390000000002</v>
      </c>
      <c r="S6060">
        <v>1.3275149999999999E-2</v>
      </c>
      <c r="T6060">
        <v>-0.28085919999999998</v>
      </c>
      <c r="U6060">
        <v>-2.9880680000000002</v>
      </c>
      <c r="V6060">
        <v>-3.2278599999999998E-2</v>
      </c>
      <c r="W6060">
        <v>-0.1005115</v>
      </c>
      <c r="X6060">
        <v>0.99441210000000002</v>
      </c>
      <c r="Y6060">
        <v>-8.4760809999999999E-3</v>
      </c>
      <c r="Z6060">
        <v>7.9661910000000002E-2</v>
      </c>
      <c r="AA6060">
        <v>0.9967859</v>
      </c>
      <c r="AB6060">
        <v>17</v>
      </c>
      <c r="AC6060">
        <v>5.42000000000371E-2</v>
      </c>
      <c r="AD6060">
        <v>-1.120997354275</v>
      </c>
      <c r="AE6060">
        <v>-11.6494099999999</v>
      </c>
      <c r="AF6060">
        <v>-0.100495630111051</v>
      </c>
      <c r="AG6060">
        <v>-1.120997354275</v>
      </c>
      <c r="AH6060">
        <v>11.542218297472401</v>
      </c>
      <c r="AI6060">
        <v>95.547044132446899</v>
      </c>
      <c r="AJ6060">
        <v>90.498849512515093</v>
      </c>
      <c r="AK6060">
        <v>11.596962432743799</v>
      </c>
      <c r="AL6060">
        <v>95.768625978904595</v>
      </c>
      <c r="AM6060">
        <v>91.859167249504495</v>
      </c>
      <c r="AN6060">
        <v>0.99999994713830798</v>
      </c>
    </row>
    <row r="6061" spans="1:40" x14ac:dyDescent="0.25">
      <c r="A6061" t="str">
        <f>"20190303154642362"</f>
        <v>20190303154642362</v>
      </c>
      <c r="B6061" t="str">
        <f>"1551599202357778"</f>
        <v>1551599202357778</v>
      </c>
      <c r="C6061" t="s">
        <v>40</v>
      </c>
      <c r="D6061">
        <v>5.3250349999999997</v>
      </c>
      <c r="E6061">
        <v>0.48677209999999899</v>
      </c>
      <c r="F6061" t="s">
        <v>60</v>
      </c>
      <c r="G6061">
        <v>-300.85329999999999</v>
      </c>
      <c r="H6061" s="1">
        <v>-4.1468699999999997E-6</v>
      </c>
      <c r="I6061">
        <v>-47.185960000000001</v>
      </c>
      <c r="J6061">
        <v>-301.52609999999999</v>
      </c>
      <c r="K6061">
        <v>1.120949</v>
      </c>
      <c r="L6061">
        <v>-36.131590000000003</v>
      </c>
      <c r="M6061">
        <v>-4.2763139999999998E-3</v>
      </c>
      <c r="N6061">
        <v>-1.3924300000000001E-2</v>
      </c>
      <c r="O6061">
        <v>-0.99989410000000001</v>
      </c>
      <c r="P6061">
        <v>2.9929250000000001E-2</v>
      </c>
      <c r="Q6061">
        <v>-0.1159844</v>
      </c>
      <c r="R6061">
        <v>-0.99280040000000003</v>
      </c>
      <c r="S6061">
        <v>0.17700199999999999</v>
      </c>
      <c r="T6061">
        <v>-0.29548930000000001</v>
      </c>
      <c r="U6061">
        <v>-2.9819640000000001</v>
      </c>
      <c r="V6061">
        <v>-3.4202240000000002E-2</v>
      </c>
      <c r="W6061">
        <v>-0.10214189999999999</v>
      </c>
      <c r="X6061">
        <v>0.99418169999999995</v>
      </c>
      <c r="Y6061">
        <v>-6.3259930000000006E-2</v>
      </c>
      <c r="Z6061">
        <v>8.4555519999999995E-2</v>
      </c>
      <c r="AA6061">
        <v>0.99440870000000003</v>
      </c>
      <c r="AB6061">
        <v>17</v>
      </c>
      <c r="AC6061">
        <v>0.67279999999999496</v>
      </c>
      <c r="AD6061">
        <v>-1.12095314687</v>
      </c>
      <c r="AE6061">
        <v>-11.054369999999899</v>
      </c>
      <c r="AF6061">
        <v>-0.71276824961729601</v>
      </c>
      <c r="AG6061">
        <v>-1.12095314687</v>
      </c>
      <c r="AH6061">
        <v>10.939320969369099</v>
      </c>
      <c r="AI6061">
        <v>95.8383886303547</v>
      </c>
      <c r="AJ6061">
        <v>93.727924943712196</v>
      </c>
      <c r="AK6061">
        <v>11.019678661649699</v>
      </c>
      <c r="AL6061">
        <v>95.862523958119695</v>
      </c>
      <c r="AM6061">
        <v>91.970335457078306</v>
      </c>
      <c r="AN6061">
        <v>1.00000000678575</v>
      </c>
    </row>
    <row r="6062" spans="1:40" x14ac:dyDescent="0.25">
      <c r="A6062" t="str">
        <f>"20190303154642391"</f>
        <v>20190303154642391</v>
      </c>
      <c r="B6062" t="str">
        <f>"1551599202388035"</f>
        <v>1551599202388035</v>
      </c>
      <c r="C6062" t="s">
        <v>40</v>
      </c>
      <c r="D6062">
        <v>5.4160259999999996</v>
      </c>
      <c r="E6062">
        <v>0.48627730000000002</v>
      </c>
      <c r="F6062" t="s">
        <v>60</v>
      </c>
      <c r="G6062">
        <v>-300.80439999999999</v>
      </c>
      <c r="H6062" s="1">
        <v>-4.1130729999999999E-6</v>
      </c>
      <c r="I6062">
        <v>-47.125210000000003</v>
      </c>
      <c r="J6062">
        <v>-301.52730000000003</v>
      </c>
      <c r="K6062">
        <v>1.120911</v>
      </c>
      <c r="L6062">
        <v>-36.360689999999998</v>
      </c>
      <c r="M6062">
        <v>-4.5301059999999999E-3</v>
      </c>
      <c r="N6062">
        <v>-1.385022E-2</v>
      </c>
      <c r="O6062">
        <v>-0.99989399999999995</v>
      </c>
      <c r="P6062">
        <v>3.1406339999999998E-2</v>
      </c>
      <c r="Q6062">
        <v>-0.1165166</v>
      </c>
      <c r="R6062">
        <v>-0.99269249999999998</v>
      </c>
      <c r="S6062">
        <v>0.19564819999999999</v>
      </c>
      <c r="T6062">
        <v>-0.3038882</v>
      </c>
      <c r="U6062">
        <v>-2.9803470000000001</v>
      </c>
      <c r="V6062">
        <v>-3.5935950000000001E-2</v>
      </c>
      <c r="W6062">
        <v>-0.10274709999999999</v>
      </c>
      <c r="X6062">
        <v>0.9940582</v>
      </c>
      <c r="Y6062">
        <v>-6.9718639999999998E-2</v>
      </c>
      <c r="Z6062">
        <v>8.7414699999999998E-2</v>
      </c>
      <c r="AA6062">
        <v>0.99372939999999998</v>
      </c>
      <c r="AB6062">
        <v>17</v>
      </c>
      <c r="AC6062">
        <v>0.72290000000003796</v>
      </c>
      <c r="AD6062">
        <v>-1.120915113073</v>
      </c>
      <c r="AE6062">
        <v>-10.7645199999999</v>
      </c>
      <c r="AF6062">
        <v>-0.76342093153659696</v>
      </c>
      <c r="AG6062">
        <v>-1.120915113073</v>
      </c>
      <c r="AH6062">
        <v>10.646214009719399</v>
      </c>
      <c r="AI6062">
        <v>95.995113911914004</v>
      </c>
      <c r="AJ6062">
        <v>94.1015571438097</v>
      </c>
      <c r="AK6062">
        <v>10.7322474323959</v>
      </c>
      <c r="AL6062">
        <v>95.897382616717906</v>
      </c>
      <c r="AM6062">
        <v>92.070383833497502</v>
      </c>
      <c r="AN6062">
        <v>1.0000000320240201</v>
      </c>
    </row>
    <row r="6063" spans="1:40" x14ac:dyDescent="0.25">
      <c r="A6063" t="str">
        <f>"20190303154642436"</f>
        <v>20190303154642436</v>
      </c>
      <c r="B6063" t="str">
        <f>"1551599202428054"</f>
        <v>1551599202428054</v>
      </c>
      <c r="C6063" t="s">
        <v>40</v>
      </c>
      <c r="D6063">
        <v>5.3461600000000002</v>
      </c>
      <c r="E6063">
        <v>0.48697010000000002</v>
      </c>
      <c r="F6063" t="s">
        <v>60</v>
      </c>
      <c r="G6063">
        <v>-300.79730000000001</v>
      </c>
      <c r="H6063" s="1">
        <v>-4.0649389999999998E-6</v>
      </c>
      <c r="I6063">
        <v>-47.03154</v>
      </c>
      <c r="J6063">
        <v>-301.52940000000001</v>
      </c>
      <c r="K6063">
        <v>1.120816</v>
      </c>
      <c r="L6063">
        <v>-36.703830000000004</v>
      </c>
      <c r="M6063">
        <v>-4.9800979999999996E-3</v>
      </c>
      <c r="N6063">
        <v>-1.360404E-2</v>
      </c>
      <c r="O6063">
        <v>-0.99989539999999999</v>
      </c>
      <c r="P6063">
        <v>3.1957640000000002E-2</v>
      </c>
      <c r="Q6063">
        <v>-0.11784260000000001</v>
      </c>
      <c r="R6063">
        <v>-0.99251829999999996</v>
      </c>
      <c r="S6063">
        <v>0.20379639999999999</v>
      </c>
      <c r="T6063">
        <v>-0.31291849999999999</v>
      </c>
      <c r="U6063">
        <v>-2.9789119999999998</v>
      </c>
      <c r="V6063">
        <v>-3.6939020000000003E-2</v>
      </c>
      <c r="W6063">
        <v>-0.1043182</v>
      </c>
      <c r="X6063">
        <v>0.99385769999999996</v>
      </c>
      <c r="Y6063">
        <v>-7.2881669999999996E-2</v>
      </c>
      <c r="Z6063">
        <v>9.0666759999999999E-2</v>
      </c>
      <c r="AA6063">
        <v>0.99321090000000001</v>
      </c>
      <c r="AB6063">
        <v>17</v>
      </c>
      <c r="AC6063">
        <v>0.73210000000000197</v>
      </c>
      <c r="AD6063">
        <v>-1.1208200649390001</v>
      </c>
      <c r="AE6063">
        <v>-10.32771</v>
      </c>
      <c r="AF6063">
        <v>-0.77445293303268603</v>
      </c>
      <c r="AG6063">
        <v>-1.1208200649390001</v>
      </c>
      <c r="AH6063">
        <v>10.2043518522034</v>
      </c>
      <c r="AI6063">
        <v>96.250264769763106</v>
      </c>
      <c r="AJ6063">
        <v>94.340107345065704</v>
      </c>
      <c r="AK6063">
        <v>10.2948925048793</v>
      </c>
      <c r="AL6063">
        <v>95.987886860102407</v>
      </c>
      <c r="AM6063">
        <v>92.128550386251803</v>
      </c>
      <c r="AN6063">
        <v>0.99999995294954402</v>
      </c>
    </row>
    <row r="6064" spans="1:40" x14ac:dyDescent="0.25">
      <c r="A6064" t="str">
        <f>"20190303154642481"</f>
        <v>20190303154642481</v>
      </c>
      <c r="B6064" t="str">
        <f>"1551599202477831"</f>
        <v>1551599202477831</v>
      </c>
      <c r="C6064" t="s">
        <v>40</v>
      </c>
      <c r="D6064">
        <v>5.3383339999999997</v>
      </c>
      <c r="E6064">
        <v>0.48767640000000001</v>
      </c>
      <c r="F6064" t="s">
        <v>60</v>
      </c>
      <c r="G6064">
        <v>-300.81709999999998</v>
      </c>
      <c r="H6064" s="1">
        <v>-4.2121309999999997E-6</v>
      </c>
      <c r="I6064">
        <v>-47.318170000000002</v>
      </c>
      <c r="J6064">
        <v>-301.5317</v>
      </c>
      <c r="K6064">
        <v>1.120714</v>
      </c>
      <c r="L6064">
        <v>-37.045650000000002</v>
      </c>
      <c r="M6064">
        <v>-5.4623639999999999E-3</v>
      </c>
      <c r="N6064">
        <v>-1.312961E-2</v>
      </c>
      <c r="O6064">
        <v>-0.99989919999999999</v>
      </c>
      <c r="P6064">
        <v>3.2143659999999998E-2</v>
      </c>
      <c r="Q6064">
        <v>-0.11891119999999999</v>
      </c>
      <c r="R6064">
        <v>-0.99238490000000001</v>
      </c>
      <c r="S6064">
        <v>0.19992070000000001</v>
      </c>
      <c r="T6064">
        <v>-0.3145481</v>
      </c>
      <c r="U6064">
        <v>-2.9788209999999999</v>
      </c>
      <c r="V6064">
        <v>-3.7601999999999997E-2</v>
      </c>
      <c r="W6064">
        <v>-0.1058605</v>
      </c>
      <c r="X6064">
        <v>0.99366980000000005</v>
      </c>
      <c r="Y6064">
        <v>-7.2074760000000002E-2</v>
      </c>
      <c r="Z6064">
        <v>9.1687030000000003E-2</v>
      </c>
      <c r="AA6064">
        <v>0.99317610000000001</v>
      </c>
      <c r="AB6064">
        <v>17</v>
      </c>
      <c r="AC6064">
        <v>0.714600000000018</v>
      </c>
      <c r="AD6064">
        <v>-1.120718212131</v>
      </c>
      <c r="AE6064">
        <v>-10.27252</v>
      </c>
      <c r="AF6064">
        <v>-0.76168410133112296</v>
      </c>
      <c r="AG6064">
        <v>-1.120718212131</v>
      </c>
      <c r="AH6064">
        <v>10.1482548956988</v>
      </c>
      <c r="AI6064">
        <v>96.284364786634299</v>
      </c>
      <c r="AJ6064">
        <v>94.292325303174593</v>
      </c>
      <c r="AK6064">
        <v>10.238322587675</v>
      </c>
      <c r="AL6064">
        <v>96.0767458172635</v>
      </c>
      <c r="AM6064">
        <v>92.167126758221002</v>
      </c>
      <c r="AN6064">
        <v>1.00000001364814</v>
      </c>
    </row>
    <row r="6065" spans="1:40" x14ac:dyDescent="0.25">
      <c r="A6065" t="str">
        <f>"20190303154642517"</f>
        <v>20190303154642517</v>
      </c>
      <c r="B6065" t="str">
        <f>"1551599202507617"</f>
        <v>1551599202507617</v>
      </c>
      <c r="C6065" t="s">
        <v>40</v>
      </c>
      <c r="D6065">
        <v>5.329059</v>
      </c>
      <c r="E6065">
        <v>0.48757840000000002</v>
      </c>
      <c r="F6065" t="s">
        <v>60</v>
      </c>
      <c r="G6065">
        <v>-300.83539999999999</v>
      </c>
      <c r="H6065" s="1">
        <v>-4.3945739999999999E-6</v>
      </c>
      <c r="I6065">
        <v>-47.674140000000001</v>
      </c>
      <c r="J6065">
        <v>-301.53370000000001</v>
      </c>
      <c r="K6065">
        <v>1.120663</v>
      </c>
      <c r="L6065">
        <v>-37.313720000000004</v>
      </c>
      <c r="M6065">
        <v>-5.8424169999999999E-3</v>
      </c>
      <c r="N6065">
        <v>-1.2707990000000001E-2</v>
      </c>
      <c r="O6065">
        <v>-0.99990230000000002</v>
      </c>
      <c r="P6065">
        <v>3.2528500000000002E-2</v>
      </c>
      <c r="Q6065">
        <v>-0.11914959999999999</v>
      </c>
      <c r="R6065">
        <v>-0.99234350000000004</v>
      </c>
      <c r="S6065">
        <v>0.19519039999999999</v>
      </c>
      <c r="T6065">
        <v>-0.31412679999999998</v>
      </c>
      <c r="U6065">
        <v>-2.9790649999999999</v>
      </c>
      <c r="V6065">
        <v>-3.8360230000000002E-2</v>
      </c>
      <c r="W6065">
        <v>-0.10651960000000001</v>
      </c>
      <c r="X6065">
        <v>0.99357039999999996</v>
      </c>
      <c r="Y6065">
        <v>-7.0879499999999998E-2</v>
      </c>
      <c r="Z6065">
        <v>9.1969040000000002E-2</v>
      </c>
      <c r="AA6065">
        <v>0.99323600000000001</v>
      </c>
      <c r="AB6065">
        <v>17</v>
      </c>
      <c r="AC6065">
        <v>0.69830000000001702</v>
      </c>
      <c r="AD6065">
        <v>-1.120667394574</v>
      </c>
      <c r="AE6065">
        <v>-10.3604199999999</v>
      </c>
      <c r="AF6065">
        <v>-0.75008627431153296</v>
      </c>
      <c r="AG6065">
        <v>-1.120667394574</v>
      </c>
      <c r="AH6065">
        <v>10.2369290991199</v>
      </c>
      <c r="AI6065">
        <v>96.230891078266694</v>
      </c>
      <c r="AJ6065">
        <v>94.190720861126096</v>
      </c>
      <c r="AK6065">
        <v>10.3253688654973</v>
      </c>
      <c r="AL6065">
        <v>96.114724063372094</v>
      </c>
      <c r="AM6065">
        <v>92.211004064546003</v>
      </c>
      <c r="AN6065">
        <v>1.0000000360929799</v>
      </c>
    </row>
    <row r="6066" spans="1:40" x14ac:dyDescent="0.25">
      <c r="A6066" t="str">
        <f>"20190303154642549"</f>
        <v>20190303154642549</v>
      </c>
      <c r="B6066" t="str">
        <f>"1551599202537874"</f>
        <v>1551599202537874</v>
      </c>
      <c r="C6066" t="s">
        <v>40</v>
      </c>
      <c r="D6066">
        <v>5.3166039999999999</v>
      </c>
      <c r="E6066">
        <v>0.48764760000000001</v>
      </c>
      <c r="F6066" t="s">
        <v>60</v>
      </c>
      <c r="G6066">
        <v>-300.84070000000003</v>
      </c>
      <c r="H6066" s="1">
        <v>-4.4586549999999996E-6</v>
      </c>
      <c r="I6066">
        <v>-47.799300000000002</v>
      </c>
      <c r="J6066">
        <v>-301.53550000000001</v>
      </c>
      <c r="K6066">
        <v>1.120635</v>
      </c>
      <c r="L6066">
        <v>-37.568359999999998</v>
      </c>
      <c r="M6066">
        <v>-6.1865030000000003E-3</v>
      </c>
      <c r="N6066">
        <v>-1.233247E-2</v>
      </c>
      <c r="O6066">
        <v>-0.99990520000000005</v>
      </c>
      <c r="P6066">
        <v>3.3435489999999998E-2</v>
      </c>
      <c r="Q6066">
        <v>-0.1178469</v>
      </c>
      <c r="R6066">
        <v>-0.9924693</v>
      </c>
      <c r="S6066">
        <v>0.1968384</v>
      </c>
      <c r="T6066">
        <v>-0.3183317</v>
      </c>
      <c r="U6066">
        <v>-2.978485</v>
      </c>
      <c r="V6066">
        <v>-3.9607330000000003E-2</v>
      </c>
      <c r="W6066">
        <v>-0.10558910000000001</v>
      </c>
      <c r="X6066">
        <v>0.99362079999999997</v>
      </c>
      <c r="Y6066">
        <v>-7.1772000000000002E-2</v>
      </c>
      <c r="Z6066">
        <v>9.3744079999999994E-2</v>
      </c>
      <c r="AA6066">
        <v>0.9930059</v>
      </c>
      <c r="AB6066">
        <v>17</v>
      </c>
      <c r="AC6066">
        <v>0.69479999999998598</v>
      </c>
      <c r="AD6066">
        <v>-1.1206394586549999</v>
      </c>
      <c r="AE6066">
        <v>-10.23094</v>
      </c>
      <c r="AF6066">
        <v>-0.749138498628518</v>
      </c>
      <c r="AG6066">
        <v>-1.1206394586549999</v>
      </c>
      <c r="AH6066">
        <v>10.1057555089504</v>
      </c>
      <c r="AI6066">
        <v>96.310570673319006</v>
      </c>
      <c r="AJ6066">
        <v>94.239575094084003</v>
      </c>
      <c r="AK6066">
        <v>10.195260452440801</v>
      </c>
      <c r="AL6066">
        <v>96.061107900831701</v>
      </c>
      <c r="AM6066">
        <v>92.282693800772094</v>
      </c>
      <c r="AN6066">
        <v>1.00000004641058</v>
      </c>
    </row>
    <row r="6067" spans="1:40" x14ac:dyDescent="0.25">
      <c r="A6067" t="str">
        <f>"20190303154642593"</f>
        <v>20190303154642593</v>
      </c>
      <c r="B6067" t="str">
        <f>"1551599202587653"</f>
        <v>1551599202587653</v>
      </c>
      <c r="C6067" t="s">
        <v>40</v>
      </c>
      <c r="D6067">
        <v>5.4053779999999998</v>
      </c>
      <c r="E6067">
        <v>0.4875525</v>
      </c>
      <c r="F6067" t="s">
        <v>60</v>
      </c>
      <c r="G6067">
        <v>-300.8254</v>
      </c>
      <c r="H6067" s="1">
        <v>-4.6570210000000004E-6</v>
      </c>
      <c r="I6067">
        <v>-48.190350000000002</v>
      </c>
      <c r="J6067">
        <v>-301.53809999999999</v>
      </c>
      <c r="K6067">
        <v>1.1206100000000001</v>
      </c>
      <c r="L6067">
        <v>-37.90475</v>
      </c>
      <c r="M6067">
        <v>-6.6130080000000001E-3</v>
      </c>
      <c r="N6067">
        <v>-1.190546E-2</v>
      </c>
      <c r="O6067">
        <v>-0.99990760000000001</v>
      </c>
      <c r="P6067">
        <v>3.5760750000000001E-2</v>
      </c>
      <c r="Q6067">
        <v>-0.1171296</v>
      </c>
      <c r="R6067">
        <v>-0.9924731</v>
      </c>
      <c r="S6067">
        <v>0.1991272</v>
      </c>
      <c r="T6067">
        <v>-0.31426159999999997</v>
      </c>
      <c r="U6067">
        <v>-2.978729</v>
      </c>
      <c r="V6067">
        <v>-4.2355089999999998E-2</v>
      </c>
      <c r="W6067">
        <v>-0.105295899999999</v>
      </c>
      <c r="X6067">
        <v>0.99353860000000005</v>
      </c>
      <c r="Y6067">
        <v>-7.2959270000000007E-2</v>
      </c>
      <c r="Z6067">
        <v>9.2810939999999995E-2</v>
      </c>
      <c r="AA6067">
        <v>0.99300710000000003</v>
      </c>
      <c r="AB6067">
        <v>17</v>
      </c>
      <c r="AC6067">
        <v>0.71269999999998301</v>
      </c>
      <c r="AD6067">
        <v>-1.120614657021</v>
      </c>
      <c r="AE6067">
        <v>-10.285600000000001</v>
      </c>
      <c r="AF6067">
        <v>-0.77159286806142202</v>
      </c>
      <c r="AG6067">
        <v>-1.120614657021</v>
      </c>
      <c r="AH6067">
        <v>10.160630526658</v>
      </c>
      <c r="AI6067">
        <v>96.275783157766696</v>
      </c>
      <c r="AJ6067">
        <v>94.342675979498793</v>
      </c>
      <c r="AK6067">
        <v>10.251319205976699</v>
      </c>
      <c r="AL6067">
        <v>96.044214493205899</v>
      </c>
      <c r="AM6067">
        <v>92.441072136128597</v>
      </c>
      <c r="AN6067">
        <v>1.00000006494783</v>
      </c>
    </row>
    <row r="6068" spans="1:40" x14ac:dyDescent="0.25">
      <c r="A6068" t="str">
        <f>"20190303154642637"</f>
        <v>20190303154642637</v>
      </c>
      <c r="B6068" t="str">
        <f>"1551599202627957"</f>
        <v>1551599202627957</v>
      </c>
      <c r="C6068" t="s">
        <v>40</v>
      </c>
      <c r="D6068">
        <v>5.3979239999999997</v>
      </c>
      <c r="E6068">
        <v>0.4873768</v>
      </c>
      <c r="F6068" t="s">
        <v>60</v>
      </c>
      <c r="G6068">
        <v>-300.79500000000002</v>
      </c>
      <c r="H6068" s="1">
        <v>-4.8685369999999996E-6</v>
      </c>
      <c r="I6068">
        <v>-48.608919999999998</v>
      </c>
      <c r="J6068">
        <v>-301.54090000000002</v>
      </c>
      <c r="K6068">
        <v>1.1205889999999901</v>
      </c>
      <c r="L6068">
        <v>-38.249389999999998</v>
      </c>
      <c r="M6068">
        <v>-7.0387150000000001E-3</v>
      </c>
      <c r="N6068">
        <v>-1.155778E-2</v>
      </c>
      <c r="O6068">
        <v>-0.99990869999999998</v>
      </c>
      <c r="P6068">
        <v>3.7892540000000002E-2</v>
      </c>
      <c r="Q6068">
        <v>-0.11641319999999999</v>
      </c>
      <c r="R6068">
        <v>-0.99247830000000004</v>
      </c>
      <c r="S6068">
        <v>0.20675660000000001</v>
      </c>
      <c r="T6068">
        <v>-0.31181959999999997</v>
      </c>
      <c r="U6068">
        <v>-2.9785159999999999</v>
      </c>
      <c r="V6068">
        <v>-4.4909320000000003E-2</v>
      </c>
      <c r="W6068">
        <v>-0.1049245</v>
      </c>
      <c r="X6068">
        <v>0.99346570000000001</v>
      </c>
      <c r="Y6068">
        <v>-7.5923069999999995E-2</v>
      </c>
      <c r="Z6068">
        <v>9.2338000000000003E-2</v>
      </c>
      <c r="AA6068">
        <v>0.99282899999999996</v>
      </c>
      <c r="AB6068">
        <v>17</v>
      </c>
      <c r="AC6068">
        <v>0.745900000000006</v>
      </c>
      <c r="AD6068">
        <v>-1.1205938685369901</v>
      </c>
      <c r="AE6068">
        <v>-10.3595299999999</v>
      </c>
      <c r="AF6068">
        <v>-0.80938255259965197</v>
      </c>
      <c r="AG6068">
        <v>-1.1205938685369901</v>
      </c>
      <c r="AH6068">
        <v>10.234883894832199</v>
      </c>
      <c r="AI6068">
        <v>96.229001580016899</v>
      </c>
      <c r="AJ6068">
        <v>94.521584679115804</v>
      </c>
      <c r="AK6068">
        <v>10.327810952731101</v>
      </c>
      <c r="AL6068">
        <v>96.022816414518701</v>
      </c>
      <c r="AM6068">
        <v>92.588276528119906</v>
      </c>
      <c r="AN6068">
        <v>1.0000000473998001</v>
      </c>
    </row>
    <row r="6069" spans="1:40" x14ac:dyDescent="0.25">
      <c r="A6069" t="str">
        <f>"20190303154642669"</f>
        <v>20190303154642669</v>
      </c>
      <c r="B6069" t="str">
        <f>"1551599202657237"</f>
        <v>1551599202657237</v>
      </c>
      <c r="C6069" t="s">
        <v>40</v>
      </c>
      <c r="D6069">
        <v>5.4368410000000003</v>
      </c>
      <c r="E6069">
        <v>0.48731160000000001</v>
      </c>
      <c r="F6069" t="s">
        <v>60</v>
      </c>
      <c r="G6069">
        <v>-300.77179999999998</v>
      </c>
      <c r="H6069" s="1">
        <v>-5.0283980000000004E-6</v>
      </c>
      <c r="I6069">
        <v>-48.925310000000003</v>
      </c>
      <c r="J6069">
        <v>-301.54300000000001</v>
      </c>
      <c r="K6069">
        <v>1.1205689999999999</v>
      </c>
      <c r="L6069">
        <v>-38.495269999999998</v>
      </c>
      <c r="M6069">
        <v>-7.3424900000000001E-3</v>
      </c>
      <c r="N6069">
        <v>-1.134873E-2</v>
      </c>
      <c r="O6069">
        <v>-0.99990869999999998</v>
      </c>
      <c r="P6069">
        <v>3.8636869999999997E-2</v>
      </c>
      <c r="Q6069">
        <v>-0.116157</v>
      </c>
      <c r="R6069">
        <v>-0.99247909999999995</v>
      </c>
      <c r="S6069">
        <v>0.2145386</v>
      </c>
      <c r="T6069">
        <v>-0.3125714</v>
      </c>
      <c r="U6069">
        <v>-2.977875</v>
      </c>
      <c r="V6069">
        <v>-4.5954090000000003E-2</v>
      </c>
      <c r="W6069">
        <v>-0.1048762</v>
      </c>
      <c r="X6069">
        <v>0.99342299999999994</v>
      </c>
      <c r="Y6069">
        <v>-7.8817970000000001E-2</v>
      </c>
      <c r="Z6069">
        <v>9.2794539999999995E-2</v>
      </c>
      <c r="AA6069">
        <v>0.99256080000000002</v>
      </c>
      <c r="AB6069">
        <v>17</v>
      </c>
      <c r="AC6069">
        <v>0.77120000000002098</v>
      </c>
      <c r="AD6069">
        <v>-1.1205740283979999</v>
      </c>
      <c r="AE6069">
        <v>-10.430039999999901</v>
      </c>
      <c r="AF6069">
        <v>-0.838144713183683</v>
      </c>
      <c r="AG6069">
        <v>-1.1205740283979999</v>
      </c>
      <c r="AH6069">
        <v>10.3057856646827</v>
      </c>
      <c r="AI6069">
        <v>96.185273038367797</v>
      </c>
      <c r="AJ6069">
        <v>94.649494833603597</v>
      </c>
      <c r="AK6069">
        <v>10.4003553246867</v>
      </c>
      <c r="AL6069">
        <v>96.020033802760906</v>
      </c>
      <c r="AM6069">
        <v>92.648519083190806</v>
      </c>
      <c r="AN6069">
        <v>1.00000002632158</v>
      </c>
    </row>
    <row r="6070" spans="1:40" x14ac:dyDescent="0.25">
      <c r="A6070" t="str">
        <f>"20190303154642705"</f>
        <v>20190303154642705</v>
      </c>
      <c r="B6070" t="str">
        <f>"1551599202697253"</f>
        <v>1551599202697253</v>
      </c>
      <c r="C6070" t="s">
        <v>40</v>
      </c>
      <c r="D6070">
        <v>5.3185209999999996</v>
      </c>
      <c r="E6070">
        <v>0.48748730000000001</v>
      </c>
      <c r="F6070" t="s">
        <v>60</v>
      </c>
      <c r="G6070">
        <v>-300.76479999999998</v>
      </c>
      <c r="H6070" s="1">
        <v>-5.1455369999999997E-6</v>
      </c>
      <c r="I6070">
        <v>-49.155999999999999</v>
      </c>
      <c r="J6070">
        <v>-301.54539999999997</v>
      </c>
      <c r="K6070">
        <v>1.12056</v>
      </c>
      <c r="L6070">
        <v>-38.77216</v>
      </c>
      <c r="M6070">
        <v>-7.6840040000000004E-3</v>
      </c>
      <c r="N6070">
        <v>-1.114688E-2</v>
      </c>
      <c r="O6070">
        <v>-0.99990849999999998</v>
      </c>
      <c r="P6070">
        <v>3.8772899999999999E-2</v>
      </c>
      <c r="Q6070">
        <v>-0.1175166</v>
      </c>
      <c r="R6070">
        <v>-0.99231389999999997</v>
      </c>
      <c r="S6070">
        <v>0.21734619999999999</v>
      </c>
      <c r="T6070">
        <v>-0.31298589999999998</v>
      </c>
      <c r="U6070">
        <v>-2.9776310000000001</v>
      </c>
      <c r="V6070">
        <v>-4.6428079999999997E-2</v>
      </c>
      <c r="W6070">
        <v>-0.10643850000000001</v>
      </c>
      <c r="X6070">
        <v>0.99323479999999997</v>
      </c>
      <c r="Y6070">
        <v>-8.0092990000000003E-2</v>
      </c>
      <c r="Z6070">
        <v>9.3131279999999997E-2</v>
      </c>
      <c r="AA6070">
        <v>0.99242719999999995</v>
      </c>
      <c r="AB6070">
        <v>17</v>
      </c>
      <c r="AC6070">
        <v>0.78059999999999197</v>
      </c>
      <c r="AD6070">
        <v>-1.120565145537</v>
      </c>
      <c r="AE6070">
        <v>-10.383839999999999</v>
      </c>
      <c r="AF6070">
        <v>-0.85052226524055796</v>
      </c>
      <c r="AG6070">
        <v>-1.120565145537</v>
      </c>
      <c r="AH6070">
        <v>10.2587380829921</v>
      </c>
      <c r="AI6070">
        <v>96.212574868316807</v>
      </c>
      <c r="AJ6070">
        <v>94.739388116886502</v>
      </c>
      <c r="AK6070">
        <v>10.3547458406518</v>
      </c>
      <c r="AL6070">
        <v>96.110050757085006</v>
      </c>
      <c r="AM6070">
        <v>92.676303810559006</v>
      </c>
      <c r="AN6070">
        <v>1.00000004441288</v>
      </c>
    </row>
    <row r="6071" spans="1:40" x14ac:dyDescent="0.25">
      <c r="A6071" t="str">
        <f>"20190303154642749"</f>
        <v>20190303154642749</v>
      </c>
      <c r="B6071" t="str">
        <f>"1551599202737269"</f>
        <v>1551599202737269</v>
      </c>
      <c r="C6071" t="s">
        <v>40</v>
      </c>
      <c r="D6071">
        <v>5.2865929999999999</v>
      </c>
      <c r="E6071">
        <v>0.48757250000000002</v>
      </c>
      <c r="F6071" t="s">
        <v>60</v>
      </c>
      <c r="G6071">
        <v>-300.78109999999998</v>
      </c>
      <c r="H6071" s="1">
        <v>-5.2134809999999998E-6</v>
      </c>
      <c r="I6071">
        <v>-49.287489999999998</v>
      </c>
      <c r="J6071">
        <v>-301.54860000000002</v>
      </c>
      <c r="K6071">
        <v>1.1205560000000001</v>
      </c>
      <c r="L6071">
        <v>-39.119869999999999</v>
      </c>
      <c r="M6071">
        <v>-8.1057349999999993E-3</v>
      </c>
      <c r="N6071">
        <v>-1.0949179999999999E-2</v>
      </c>
      <c r="O6071">
        <v>-0.99990749999999995</v>
      </c>
      <c r="P6071">
        <v>4.0136900000000003E-2</v>
      </c>
      <c r="Q6071">
        <v>-0.11740009999999999</v>
      </c>
      <c r="R6071">
        <v>-0.99227379999999998</v>
      </c>
      <c r="S6071">
        <v>0.21640010000000001</v>
      </c>
      <c r="T6071">
        <v>-0.31726529999999997</v>
      </c>
      <c r="U6071">
        <v>-2.9772029999999998</v>
      </c>
      <c r="V6071">
        <v>-4.820932E-2</v>
      </c>
      <c r="W6071">
        <v>-0.1065189</v>
      </c>
      <c r="X6071">
        <v>0.9931413</v>
      </c>
      <c r="Y6071">
        <v>-8.0199229999999996E-2</v>
      </c>
      <c r="Z6071">
        <v>9.4753989999999996E-2</v>
      </c>
      <c r="AA6071">
        <v>0.99226499999999995</v>
      </c>
      <c r="AB6071">
        <v>17</v>
      </c>
      <c r="AC6071">
        <v>0.76750000000004004</v>
      </c>
      <c r="AD6071">
        <v>-1.1205612134809999</v>
      </c>
      <c r="AE6071">
        <v>-10.167619999999999</v>
      </c>
      <c r="AF6071">
        <v>-0.83975388629393899</v>
      </c>
      <c r="AG6071">
        <v>-1.1205612134809999</v>
      </c>
      <c r="AH6071">
        <v>10.039811946215201</v>
      </c>
      <c r="AI6071">
        <v>96.346546269492805</v>
      </c>
      <c r="AJ6071">
        <v>94.781226874484403</v>
      </c>
      <c r="AK6071">
        <v>10.136995015194101</v>
      </c>
      <c r="AL6071">
        <v>96.114683775415699</v>
      </c>
      <c r="AM6071">
        <v>92.779084978313605</v>
      </c>
      <c r="AN6071">
        <v>1.0000000281788799</v>
      </c>
    </row>
    <row r="6072" spans="1:40" x14ac:dyDescent="0.25">
      <c r="A6072" t="str">
        <f>"20190303154642783"</f>
        <v>20190303154642783</v>
      </c>
      <c r="B6072" t="str">
        <f>"1551599202777285"</f>
        <v>1551599202777285</v>
      </c>
      <c r="C6072" t="s">
        <v>40</v>
      </c>
      <c r="D6072">
        <v>5.26457</v>
      </c>
      <c r="E6072">
        <v>0.48765320000000001</v>
      </c>
      <c r="F6072" t="s">
        <v>60</v>
      </c>
      <c r="G6072">
        <v>-300.77010000000001</v>
      </c>
      <c r="H6072" s="1">
        <v>-5.4005460000000002E-6</v>
      </c>
      <c r="I6072">
        <v>-49.65587</v>
      </c>
      <c r="J6072">
        <v>-301.55110000000002</v>
      </c>
      <c r="K6072">
        <v>1.120552</v>
      </c>
      <c r="L6072">
        <v>-39.376159999999999</v>
      </c>
      <c r="M6072">
        <v>-8.4115939999999997E-3</v>
      </c>
      <c r="N6072">
        <v>-1.083435E-2</v>
      </c>
      <c r="O6072">
        <v>-0.99990630000000003</v>
      </c>
      <c r="P6072">
        <v>3.986116E-2</v>
      </c>
      <c r="Q6072">
        <v>-0.1172063</v>
      </c>
      <c r="R6072">
        <v>-0.99230790000000002</v>
      </c>
      <c r="S6072">
        <v>0.21997069999999999</v>
      </c>
      <c r="T6072">
        <v>-0.3166194</v>
      </c>
      <c r="U6072">
        <v>-2.9769899999999998</v>
      </c>
      <c r="V6072">
        <v>-4.8236719999999997E-2</v>
      </c>
      <c r="W6072">
        <v>-0.10643900000000001</v>
      </c>
      <c r="X6072">
        <v>0.99314849999999999</v>
      </c>
      <c r="Y6072">
        <v>-8.1693349999999998E-2</v>
      </c>
      <c r="Z6072">
        <v>9.4651349999999995E-2</v>
      </c>
      <c r="AA6072">
        <v>0.9921529</v>
      </c>
      <c r="AB6072">
        <v>17</v>
      </c>
      <c r="AC6072">
        <v>0.78100000000000502</v>
      </c>
      <c r="AD6072">
        <v>-1.1205574005459999</v>
      </c>
      <c r="AE6072">
        <v>-10.27971</v>
      </c>
      <c r="AF6072">
        <v>-0.857317575810014</v>
      </c>
      <c r="AG6072">
        <v>-1.1205574005459999</v>
      </c>
      <c r="AH6072">
        <v>10.152828195852701</v>
      </c>
      <c r="AI6072">
        <v>96.276030352129993</v>
      </c>
      <c r="AJ6072">
        <v>94.826677451775794</v>
      </c>
      <c r="AK6072">
        <v>10.2503932943187</v>
      </c>
      <c r="AL6072">
        <v>96.11007988726</v>
      </c>
      <c r="AM6072">
        <v>92.780641879146302</v>
      </c>
      <c r="AN6072">
        <v>0.99999999246480398</v>
      </c>
    </row>
    <row r="6073" spans="1:40" x14ac:dyDescent="0.25">
      <c r="A6073" t="str">
        <f>"20190303154642816"</f>
        <v>20190303154642816</v>
      </c>
      <c r="B6073" t="str">
        <f>"1551599202807541"</f>
        <v>1551599202807541</v>
      </c>
      <c r="C6073" t="s">
        <v>40</v>
      </c>
      <c r="D6073">
        <v>5.2884719999999996</v>
      </c>
      <c r="E6073">
        <v>0.4876355</v>
      </c>
      <c r="F6073" t="s">
        <v>60</v>
      </c>
      <c r="G6073">
        <v>-300.77609999999999</v>
      </c>
      <c r="H6073" s="1">
        <v>-5.547009E-6</v>
      </c>
      <c r="I6073">
        <v>-49.942630000000001</v>
      </c>
      <c r="J6073">
        <v>-301.55369999999999</v>
      </c>
      <c r="K6073">
        <v>1.1205480000000001</v>
      </c>
      <c r="L6073">
        <v>-39.644840000000002</v>
      </c>
      <c r="M6073">
        <v>-8.7254600000000009E-3</v>
      </c>
      <c r="N6073">
        <v>-1.0739240000000001E-2</v>
      </c>
      <c r="O6073">
        <v>-0.99990440000000003</v>
      </c>
      <c r="P6073">
        <v>4.0070649999999999E-2</v>
      </c>
      <c r="Q6073">
        <v>-0.118147699999999</v>
      </c>
      <c r="R6073">
        <v>-0.9921875</v>
      </c>
      <c r="S6073">
        <v>0.2183533</v>
      </c>
      <c r="T6073">
        <v>-0.3157276</v>
      </c>
      <c r="U6073">
        <v>-2.9772029999999998</v>
      </c>
      <c r="V6073">
        <v>-4.8756430000000003E-2</v>
      </c>
      <c r="W6073">
        <v>-0.1074763</v>
      </c>
      <c r="X6073">
        <v>0.99301139999999999</v>
      </c>
      <c r="Y6073">
        <v>-8.1467040000000004E-2</v>
      </c>
      <c r="Z6073">
        <v>9.4447160000000002E-2</v>
      </c>
      <c r="AA6073">
        <v>0.99219100000000005</v>
      </c>
      <c r="AB6073">
        <v>17</v>
      </c>
      <c r="AC6073">
        <v>0.77760000000000595</v>
      </c>
      <c r="AD6073">
        <v>-1.12055354700899</v>
      </c>
      <c r="AE6073">
        <v>-10.297790000000001</v>
      </c>
      <c r="AF6073">
        <v>-0.85733463719900005</v>
      </c>
      <c r="AG6073">
        <v>-1.12055354700899</v>
      </c>
      <c r="AH6073">
        <v>10.1708653234196</v>
      </c>
      <c r="AI6073">
        <v>96.265044670138096</v>
      </c>
      <c r="AJ6073">
        <v>94.818253533846402</v>
      </c>
      <c r="AK6073">
        <v>10.268260045353101</v>
      </c>
      <c r="AL6073">
        <v>96.169855701534701</v>
      </c>
      <c r="AM6073">
        <v>92.810940587424398</v>
      </c>
      <c r="AN6073">
        <v>0.99999999252899696</v>
      </c>
    </row>
    <row r="6074" spans="1:40" x14ac:dyDescent="0.25">
      <c r="A6074" t="str">
        <f>"20190303154642861"</f>
        <v>20190303154642861</v>
      </c>
      <c r="B6074" t="str">
        <f>"1551599202857317"</f>
        <v>1551599202857317</v>
      </c>
      <c r="C6074" t="s">
        <v>40</v>
      </c>
      <c r="D6074">
        <v>5.2848249999999997</v>
      </c>
      <c r="E6074">
        <v>0.48766150000000003</v>
      </c>
      <c r="F6074" t="s">
        <v>60</v>
      </c>
      <c r="G6074">
        <v>-300.78469999999999</v>
      </c>
      <c r="H6074" s="1">
        <v>-5.6278639999999998E-6</v>
      </c>
      <c r="I6074">
        <v>-50.100349999999999</v>
      </c>
      <c r="J6074">
        <v>-301.5573</v>
      </c>
      <c r="K6074">
        <v>1.120528</v>
      </c>
      <c r="L6074">
        <v>-39.996670000000002</v>
      </c>
      <c r="M6074">
        <v>-9.1175869999999999E-3</v>
      </c>
      <c r="N6074">
        <v>-1.0643100000000001E-2</v>
      </c>
      <c r="O6074">
        <v>-0.99990179999999995</v>
      </c>
      <c r="P6074">
        <v>3.9787820000000002E-2</v>
      </c>
      <c r="Q6074">
        <v>-0.12018230000000001</v>
      </c>
      <c r="R6074">
        <v>-0.99195429999999996</v>
      </c>
      <c r="S6074">
        <v>0.21896360000000001</v>
      </c>
      <c r="T6074">
        <v>-0.31903160000000003</v>
      </c>
      <c r="U6074">
        <v>-2.9767760000000001</v>
      </c>
      <c r="V6074">
        <v>-4.8859100000000003E-2</v>
      </c>
      <c r="W6074">
        <v>-0.1096097</v>
      </c>
      <c r="X6074">
        <v>0.99277309999999996</v>
      </c>
      <c r="Y6074">
        <v>-8.206186E-2</v>
      </c>
      <c r="Z6074">
        <v>9.5642829999999998E-2</v>
      </c>
      <c r="AA6074">
        <v>0.99202729999999995</v>
      </c>
      <c r="AB6074">
        <v>18</v>
      </c>
      <c r="AC6074">
        <v>0.77260000000001094</v>
      </c>
      <c r="AD6074">
        <v>-1.1205336278639999</v>
      </c>
      <c r="AE6074">
        <v>-10.103679999999899</v>
      </c>
      <c r="AF6074">
        <v>-0.85424845479561196</v>
      </c>
      <c r="AG6074">
        <v>-1.1205336278639999</v>
      </c>
      <c r="AH6074">
        <v>9.9742493250412796</v>
      </c>
      <c r="AI6074">
        <v>96.386697321319105</v>
      </c>
      <c r="AJ6074">
        <v>94.895173681106598</v>
      </c>
      <c r="AK6074">
        <v>10.073280777968</v>
      </c>
      <c r="AL6074">
        <v>96.292817214774402</v>
      </c>
      <c r="AM6074">
        <v>92.817525320849995</v>
      </c>
      <c r="AN6074">
        <v>0.99999996303525396</v>
      </c>
    </row>
    <row r="6075" spans="1:40" x14ac:dyDescent="0.25">
      <c r="A6075" t="str">
        <f>"20190303154642907"</f>
        <v>20190303154642907</v>
      </c>
      <c r="B6075" t="str">
        <f>"1551599202897333"</f>
        <v>1551599202897333</v>
      </c>
      <c r="C6075" t="s">
        <v>40</v>
      </c>
      <c r="D6075">
        <v>5.3591119999999997</v>
      </c>
      <c r="E6075">
        <v>0.48760330000000002</v>
      </c>
      <c r="F6075" t="s">
        <v>60</v>
      </c>
      <c r="G6075">
        <v>-300.8057</v>
      </c>
      <c r="H6075" s="1">
        <v>-5.7102629999999998E-6</v>
      </c>
      <c r="I6075">
        <v>-50.25967</v>
      </c>
      <c r="J6075">
        <v>-301.56099999999998</v>
      </c>
      <c r="K6075">
        <v>1.1205160000000001</v>
      </c>
      <c r="L6075">
        <v>-40.346769999999999</v>
      </c>
      <c r="M6075">
        <v>-9.4648159999999992E-3</v>
      </c>
      <c r="N6075">
        <v>-1.057369E-2</v>
      </c>
      <c r="O6075">
        <v>-0.99989939999999999</v>
      </c>
      <c r="P6075">
        <v>3.9270230000000003E-2</v>
      </c>
      <c r="Q6075">
        <v>-0.1215847</v>
      </c>
      <c r="R6075">
        <v>-0.99180409999999997</v>
      </c>
      <c r="S6075">
        <v>0.21798709999999999</v>
      </c>
      <c r="T6075">
        <v>-0.32495030000000003</v>
      </c>
      <c r="U6075">
        <v>-2.9762270000000002</v>
      </c>
      <c r="V6075">
        <v>-4.8681130000000003E-2</v>
      </c>
      <c r="W6075">
        <v>-0.1110845</v>
      </c>
      <c r="X6075">
        <v>0.992618</v>
      </c>
      <c r="Y6075">
        <v>-8.2082550000000004E-2</v>
      </c>
      <c r="Z6075">
        <v>9.7682270000000002E-2</v>
      </c>
      <c r="AA6075">
        <v>0.99182689999999996</v>
      </c>
      <c r="AB6075">
        <v>18</v>
      </c>
      <c r="AC6075">
        <v>0.75529999999997699</v>
      </c>
      <c r="AD6075">
        <v>-1.1205217102630001</v>
      </c>
      <c r="AE6075">
        <v>-9.9129000000000005</v>
      </c>
      <c r="AF6075">
        <v>-0.83844396030203305</v>
      </c>
      <c r="AG6075">
        <v>-1.1205217102630001</v>
      </c>
      <c r="AH6075">
        <v>9.78105266051824</v>
      </c>
      <c r="AI6075">
        <v>96.511664758136504</v>
      </c>
      <c r="AJ6075">
        <v>94.899487985569493</v>
      </c>
      <c r="AK6075">
        <v>9.8806653786862295</v>
      </c>
      <c r="AL6075">
        <v>96.377835646391006</v>
      </c>
      <c r="AM6075">
        <v>92.807716835060404</v>
      </c>
      <c r="AN6075">
        <v>1.00000005624116</v>
      </c>
    </row>
    <row r="6076" spans="1:40" x14ac:dyDescent="0.25">
      <c r="A6076" t="str">
        <f>"20190303154642951"</f>
        <v>20190303154642951</v>
      </c>
      <c r="B6076" t="str">
        <f>"1551599202948086"</f>
        <v>1551599202948086</v>
      </c>
      <c r="C6076" t="s">
        <v>40</v>
      </c>
      <c r="D6076">
        <v>5.3130730000000002</v>
      </c>
      <c r="E6076">
        <v>0.4873709</v>
      </c>
      <c r="F6076" t="s">
        <v>60</v>
      </c>
      <c r="G6076">
        <v>-300.82060000000001</v>
      </c>
      <c r="H6076" s="1">
        <v>-5.8223019999999998E-6</v>
      </c>
      <c r="I6076">
        <v>-50.501489999999997</v>
      </c>
      <c r="J6076">
        <v>-301.56479999999999</v>
      </c>
      <c r="K6076">
        <v>1.1205259999999999</v>
      </c>
      <c r="L6076">
        <v>-40.706240000000001</v>
      </c>
      <c r="M6076">
        <v>-9.7641689999999996E-3</v>
      </c>
      <c r="N6076">
        <v>-1.05221E-2</v>
      </c>
      <c r="O6076">
        <v>-0.99989720000000004</v>
      </c>
      <c r="P6076">
        <v>3.8930630000000001E-2</v>
      </c>
      <c r="Q6076">
        <v>-0.1215943</v>
      </c>
      <c r="R6076">
        <v>-0.99181660000000005</v>
      </c>
      <c r="S6076">
        <v>0.21698000000000001</v>
      </c>
      <c r="T6076">
        <v>-0.32838129999999999</v>
      </c>
      <c r="U6076">
        <v>-2.9759519999999999</v>
      </c>
      <c r="V6076">
        <v>-4.8632979999999999E-2</v>
      </c>
      <c r="W6076">
        <v>-0.1111476</v>
      </c>
      <c r="X6076">
        <v>0.99261330000000003</v>
      </c>
      <c r="Y6076">
        <v>-8.204496E-2</v>
      </c>
      <c r="Z6076">
        <v>9.8874569999999995E-2</v>
      </c>
      <c r="AA6076">
        <v>0.99171189999999998</v>
      </c>
      <c r="AB6076">
        <v>18</v>
      </c>
      <c r="AC6076">
        <v>0.74419999999997799</v>
      </c>
      <c r="AD6076">
        <v>-1.120531822302</v>
      </c>
      <c r="AE6076">
        <v>-9.7952499999999993</v>
      </c>
      <c r="AF6076">
        <v>-0.829025642357336</v>
      </c>
      <c r="AG6076">
        <v>-1.120531822302</v>
      </c>
      <c r="AH6076">
        <v>9.6618043461703795</v>
      </c>
      <c r="AI6076">
        <v>96.591343021586397</v>
      </c>
      <c r="AJ6076">
        <v>94.904219795054999</v>
      </c>
      <c r="AK6076">
        <v>9.7618306840548303</v>
      </c>
      <c r="AL6076">
        <v>96.381473516646295</v>
      </c>
      <c r="AM6076">
        <v>92.804957448817504</v>
      </c>
      <c r="AN6076">
        <v>1.00000005953316</v>
      </c>
    </row>
    <row r="6077" spans="1:40" x14ac:dyDescent="0.25">
      <c r="A6077" t="str">
        <f>"20190303154642994"</f>
        <v>20190303154642994</v>
      </c>
      <c r="B6077" t="str">
        <f>"1551599202988104"</f>
        <v>1551599202988104</v>
      </c>
      <c r="C6077" t="s">
        <v>40</v>
      </c>
      <c r="D6077">
        <v>5.2564299999999999</v>
      </c>
      <c r="E6077">
        <v>0.48736970000000002</v>
      </c>
      <c r="F6077" t="s">
        <v>60</v>
      </c>
      <c r="G6077">
        <v>-300.82549999999998</v>
      </c>
      <c r="H6077" s="1">
        <v>-5.9525530000000002E-6</v>
      </c>
      <c r="I6077">
        <v>-50.820590000000003</v>
      </c>
      <c r="J6077">
        <v>-301.56849999999997</v>
      </c>
      <c r="K6077">
        <v>1.1205529999999999</v>
      </c>
      <c r="L6077">
        <v>-41.05283</v>
      </c>
      <c r="M6077">
        <v>-9.9696390000000006E-3</v>
      </c>
      <c r="N6077">
        <v>-1.048665E-2</v>
      </c>
      <c r="O6077">
        <v>-0.9998956</v>
      </c>
      <c r="P6077">
        <v>4.3053510000000003E-2</v>
      </c>
      <c r="Q6077">
        <v>-0.1217762</v>
      </c>
      <c r="R6077">
        <v>-0.99162360000000005</v>
      </c>
      <c r="S6077">
        <v>0.21752929999999901</v>
      </c>
      <c r="T6077">
        <v>-0.32967809999999997</v>
      </c>
      <c r="U6077">
        <v>-2.9758</v>
      </c>
      <c r="V6077">
        <v>-5.2950179999999999E-2</v>
      </c>
      <c r="W6077">
        <v>-0.1113698</v>
      </c>
      <c r="X6077">
        <v>0.99236740000000001</v>
      </c>
      <c r="Y6077">
        <v>-8.2431900000000002E-2</v>
      </c>
      <c r="Z6077">
        <v>9.9339570000000002E-2</v>
      </c>
      <c r="AA6077">
        <v>0.99163330000000005</v>
      </c>
      <c r="AB6077">
        <v>18</v>
      </c>
      <c r="AC6077">
        <v>0.742999999999994</v>
      </c>
      <c r="AD6077">
        <v>-1.120558952553</v>
      </c>
      <c r="AE6077">
        <v>-9.7677600000000009</v>
      </c>
      <c r="AF6077">
        <v>-0.82949548750579405</v>
      </c>
      <c r="AG6077">
        <v>-1.120558952553</v>
      </c>
      <c r="AH6077">
        <v>9.6338082530323792</v>
      </c>
      <c r="AI6077">
        <v>96.610320327488495</v>
      </c>
      <c r="AJ6077">
        <v>94.921175562057101</v>
      </c>
      <c r="AK6077">
        <v>9.734165428332</v>
      </c>
      <c r="AL6077">
        <v>96.394284521919104</v>
      </c>
      <c r="AM6077">
        <v>93.054259575163002</v>
      </c>
      <c r="AN6077">
        <v>1.0000000052484099</v>
      </c>
    </row>
    <row r="6078" spans="1:40" x14ac:dyDescent="0.25">
      <c r="A6078" t="str">
        <f>"20190303154643028"</f>
        <v>20190303154643028</v>
      </c>
      <c r="B6078" t="str">
        <f>"1551599203018357"</f>
        <v>1551599203018357</v>
      </c>
      <c r="C6078" t="s">
        <v>40</v>
      </c>
      <c r="D6078">
        <v>5.2161330000000001</v>
      </c>
      <c r="E6078">
        <v>0.50426070000000001</v>
      </c>
      <c r="F6078" t="s">
        <v>60</v>
      </c>
      <c r="G6078">
        <v>-300.78629999999998</v>
      </c>
      <c r="H6078" s="1">
        <v>-6.0926519999999997E-6</v>
      </c>
      <c r="I6078">
        <v>-51.170140000000004</v>
      </c>
      <c r="J6078">
        <v>-301.5711</v>
      </c>
      <c r="K6078">
        <v>1.120584</v>
      </c>
      <c r="L6078">
        <v>-41.310490000000001</v>
      </c>
      <c r="M6078">
        <v>-1.004085E-2</v>
      </c>
      <c r="N6078">
        <v>-1.046917E-2</v>
      </c>
      <c r="O6078">
        <v>-0.99989490000000003</v>
      </c>
      <c r="P6078">
        <v>4.4874480000000001E-2</v>
      </c>
      <c r="Q6078">
        <v>-0.1216617</v>
      </c>
      <c r="R6078">
        <v>-0.99155689999999996</v>
      </c>
      <c r="S6078">
        <v>0.2299805</v>
      </c>
      <c r="T6078">
        <v>-0.3294916</v>
      </c>
      <c r="U6078">
        <v>-2.9749150000000002</v>
      </c>
      <c r="V6078">
        <v>-5.483304E-2</v>
      </c>
      <c r="W6078">
        <v>-0.111277399999999</v>
      </c>
      <c r="X6078">
        <v>0.99227549999999998</v>
      </c>
      <c r="Y6078">
        <v>-8.6648390000000006E-2</v>
      </c>
      <c r="Z6078">
        <v>9.9290729999999994E-2</v>
      </c>
      <c r="AA6078">
        <v>0.99127860000000001</v>
      </c>
      <c r="AB6078">
        <v>18</v>
      </c>
      <c r="AC6078">
        <v>0.78480000000001804</v>
      </c>
      <c r="AD6078">
        <v>-1.120590092652</v>
      </c>
      <c r="AE6078">
        <v>-9.8596500000000002</v>
      </c>
      <c r="AF6078">
        <v>-0.87256492337832003</v>
      </c>
      <c r="AG6078">
        <v>-1.120590092652</v>
      </c>
      <c r="AH6078">
        <v>9.7264246219844406</v>
      </c>
      <c r="AI6078">
        <v>96.546062727251595</v>
      </c>
      <c r="AJ6078">
        <v>95.126324933177898</v>
      </c>
      <c r="AK6078">
        <v>9.8295690459147398</v>
      </c>
      <c r="AL6078">
        <v>96.388957344879202</v>
      </c>
      <c r="AM6078">
        <v>93.162941868588504</v>
      </c>
      <c r="AN6078">
        <v>0.99999999496332503</v>
      </c>
    </row>
    <row r="6079" spans="1:40" x14ac:dyDescent="0.25">
      <c r="A6079" t="str">
        <f>"20190303154643062"</f>
        <v>20190303154643062</v>
      </c>
      <c r="B6079" t="str">
        <f>"1551599203058373"</f>
        <v>1551599203058373</v>
      </c>
      <c r="C6079" t="s">
        <v>40</v>
      </c>
      <c r="D6079">
        <v>5.2215689999999997</v>
      </c>
      <c r="E6079">
        <v>0.50551699999999999</v>
      </c>
      <c r="F6079" t="s">
        <v>60</v>
      </c>
      <c r="G6079">
        <v>-301.10899999999998</v>
      </c>
      <c r="H6079" s="1">
        <v>-7.6215239999999996E-6</v>
      </c>
      <c r="I6079">
        <v>-54.8778199999999</v>
      </c>
      <c r="J6079">
        <v>-301.57400000000001</v>
      </c>
      <c r="K6079">
        <v>1.1206130000000001</v>
      </c>
      <c r="L6079">
        <v>-41.587339999999998</v>
      </c>
      <c r="M6079">
        <v>-1.00374E-2</v>
      </c>
      <c r="N6079">
        <v>-1.0475679999999999E-2</v>
      </c>
      <c r="O6079">
        <v>-0.99989490000000003</v>
      </c>
      <c r="P6079">
        <v>4.5106760000000003E-2</v>
      </c>
      <c r="Q6079">
        <v>-0.1241133</v>
      </c>
      <c r="R6079">
        <v>-0.99124259999999997</v>
      </c>
      <c r="S6079">
        <v>0.10186770000000001</v>
      </c>
      <c r="T6079">
        <v>-0.2470107</v>
      </c>
      <c r="U6079">
        <v>-2.990631</v>
      </c>
      <c r="V6079">
        <v>-5.504854E-2</v>
      </c>
      <c r="W6079">
        <v>-0.11373080000000001</v>
      </c>
      <c r="X6079">
        <v>0.99198540000000002</v>
      </c>
      <c r="Y6079">
        <v>-4.3963639999999998E-2</v>
      </c>
      <c r="Z6079">
        <v>7.1798409999999993E-2</v>
      </c>
      <c r="AA6079">
        <v>0.99644980000000005</v>
      </c>
      <c r="AB6079">
        <v>18</v>
      </c>
      <c r="AC6079">
        <v>0.46499999999997499</v>
      </c>
      <c r="AD6079">
        <v>-1.12062062152399</v>
      </c>
      <c r="AE6079">
        <v>-13.290479999999899</v>
      </c>
      <c r="AF6079">
        <v>-0.59416670415102901</v>
      </c>
      <c r="AG6079">
        <v>-1.12062062152399</v>
      </c>
      <c r="AH6079">
        <v>13.191473327413499</v>
      </c>
      <c r="AI6079">
        <v>94.850745569899303</v>
      </c>
      <c r="AJ6079">
        <v>92.578957618370694</v>
      </c>
      <c r="AK6079">
        <v>13.252312749009899</v>
      </c>
      <c r="AL6079">
        <v>96.530424725325901</v>
      </c>
      <c r="AM6079">
        <v>93.176273906696807</v>
      </c>
      <c r="AN6079">
        <v>1.00000003521896</v>
      </c>
    </row>
    <row r="6080" spans="1:40" x14ac:dyDescent="0.25">
      <c r="A6080" t="str">
        <f>"20190303154643094"</f>
        <v>20190303154643094</v>
      </c>
      <c r="B6080" t="str">
        <f>"1551599203087653"</f>
        <v>1551599203087653</v>
      </c>
      <c r="C6080" t="s">
        <v>40</v>
      </c>
      <c r="D6080">
        <v>5.2235880000000003</v>
      </c>
      <c r="E6080">
        <v>0.50608469999999905</v>
      </c>
      <c r="F6080" t="s">
        <v>60</v>
      </c>
      <c r="G6080">
        <v>-301.16329999999999</v>
      </c>
      <c r="H6080" s="1">
        <v>-7.6237369999999999E-6</v>
      </c>
      <c r="I6080">
        <v>-54.875509999999998</v>
      </c>
      <c r="J6080">
        <v>-301.57639999999998</v>
      </c>
      <c r="K6080">
        <v>1.1206609999999999</v>
      </c>
      <c r="L6080">
        <v>-41.843629999999997</v>
      </c>
      <c r="M6080">
        <v>-9.9168020000000006E-3</v>
      </c>
      <c r="N6080">
        <v>-1.0510759999999999E-2</v>
      </c>
      <c r="O6080">
        <v>-0.9998958</v>
      </c>
      <c r="P6080">
        <v>4.5530000000000001E-2</v>
      </c>
      <c r="Q6080">
        <v>-0.1249204</v>
      </c>
      <c r="R6080">
        <v>-0.99112180000000005</v>
      </c>
      <c r="S6080">
        <v>9.2437740000000004E-2</v>
      </c>
      <c r="T6080">
        <v>-0.2522142</v>
      </c>
      <c r="U6080">
        <v>-2.990723</v>
      </c>
      <c r="V6080">
        <v>-5.5338239999999997E-2</v>
      </c>
      <c r="W6080">
        <v>-0.1145103</v>
      </c>
      <c r="X6080">
        <v>0.99187959999999997</v>
      </c>
      <c r="Y6080">
        <v>-4.070066E-2</v>
      </c>
      <c r="Z6080">
        <v>7.3493139999999998E-2</v>
      </c>
      <c r="AA6080">
        <v>0.99646480000000004</v>
      </c>
      <c r="AB6080">
        <v>18</v>
      </c>
      <c r="AC6080">
        <v>0.41309999999998498</v>
      </c>
      <c r="AD6080">
        <v>-1.1206686237369901</v>
      </c>
      <c r="AE6080">
        <v>-13.031879999999999</v>
      </c>
      <c r="AF6080">
        <v>-0.53834429066316702</v>
      </c>
      <c r="AG6080">
        <v>-1.1206686237369901</v>
      </c>
      <c r="AH6080">
        <v>12.931608548253999</v>
      </c>
      <c r="AI6080">
        <v>94.948681169143796</v>
      </c>
      <c r="AJ6080">
        <v>92.383853133672005</v>
      </c>
      <c r="AK6080">
        <v>12.9912359837236</v>
      </c>
      <c r="AL6080">
        <v>96.575380484872198</v>
      </c>
      <c r="AM6080">
        <v>93.1932948351307</v>
      </c>
      <c r="AN6080">
        <v>1.0000000352542699</v>
      </c>
    </row>
    <row r="6081" spans="1:40" x14ac:dyDescent="0.25">
      <c r="A6081" t="str">
        <f>"20190303154643130"</f>
        <v>20190303154643130</v>
      </c>
      <c r="B6081" t="str">
        <f>"1551599203117910"</f>
        <v>1551599203117910</v>
      </c>
      <c r="C6081" t="s">
        <v>40</v>
      </c>
      <c r="D6081">
        <v>5.1824820000000003</v>
      </c>
      <c r="E6081">
        <v>0.50624349999999996</v>
      </c>
      <c r="F6081" t="s">
        <v>60</v>
      </c>
      <c r="G6081">
        <v>-301.17959999999999</v>
      </c>
      <c r="H6081" s="1">
        <v>-7.7220020000000004E-6</v>
      </c>
      <c r="I6081">
        <v>-55.114449999999998</v>
      </c>
      <c r="J6081">
        <v>-301.57889999999998</v>
      </c>
      <c r="K6081">
        <v>1.1207389999999999</v>
      </c>
      <c r="L6081">
        <v>-42.127749999999999</v>
      </c>
      <c r="M6081">
        <v>-9.5992419999999992E-3</v>
      </c>
      <c r="N6081">
        <v>-1.057494E-2</v>
      </c>
      <c r="O6081">
        <v>-0.99989830000000002</v>
      </c>
      <c r="P6081">
        <v>4.7932139999999998E-2</v>
      </c>
      <c r="Q6081">
        <v>-0.1259692</v>
      </c>
      <c r="R6081">
        <v>-0.99087599999999998</v>
      </c>
      <c r="S6081">
        <v>8.9447020000000002E-2</v>
      </c>
      <c r="T6081">
        <v>-0.25257289999999999</v>
      </c>
      <c r="U6081">
        <v>-2.990936</v>
      </c>
      <c r="V6081">
        <v>-5.7402549999999997E-2</v>
      </c>
      <c r="W6081">
        <v>-0.11550870000000001</v>
      </c>
      <c r="X6081">
        <v>0.99164649999999999</v>
      </c>
      <c r="Y6081">
        <v>-3.9386020000000001E-2</v>
      </c>
      <c r="Z6081">
        <v>7.3545810000000003E-2</v>
      </c>
      <c r="AA6081">
        <v>0.99651380000000001</v>
      </c>
      <c r="AB6081">
        <v>18</v>
      </c>
      <c r="AC6081">
        <v>0.399299999999982</v>
      </c>
      <c r="AD6081">
        <v>-1.120746722002</v>
      </c>
      <c r="AE6081">
        <v>-12.986700000000001</v>
      </c>
      <c r="AF6081">
        <v>-0.52008130325159097</v>
      </c>
      <c r="AG6081">
        <v>-1.120746722002</v>
      </c>
      <c r="AH6081">
        <v>12.886386170957399</v>
      </c>
      <c r="AI6081">
        <v>94.966562369750605</v>
      </c>
      <c r="AJ6081">
        <v>92.311144492787093</v>
      </c>
      <c r="AK6081">
        <v>12.945482081557</v>
      </c>
      <c r="AL6081">
        <v>96.632966634692906</v>
      </c>
      <c r="AM6081">
        <v>93.312932286530398</v>
      </c>
      <c r="AN6081">
        <v>1.0000000467422201</v>
      </c>
    </row>
    <row r="6082" spans="1:40" x14ac:dyDescent="0.25">
      <c r="A6082" t="str">
        <f>"20190303154643174"</f>
        <v>20190303154643174</v>
      </c>
      <c r="B6082" t="str">
        <f>"1551599203167685"</f>
        <v>1551599203167685</v>
      </c>
      <c r="C6082" t="s">
        <v>40</v>
      </c>
      <c r="D6082">
        <v>5.1684260000000002</v>
      </c>
      <c r="E6082">
        <v>0.50669339999999996</v>
      </c>
      <c r="F6082" t="s">
        <v>60</v>
      </c>
      <c r="G6082">
        <v>-301.16090000000003</v>
      </c>
      <c r="H6082" s="1">
        <v>-7.7911379999999996E-6</v>
      </c>
      <c r="I6082">
        <v>-55.286850000000001</v>
      </c>
      <c r="J6082">
        <v>-301.58150000000001</v>
      </c>
      <c r="K6082">
        <v>1.1209009999999999</v>
      </c>
      <c r="L6082">
        <v>-42.483829999999998</v>
      </c>
      <c r="M6082">
        <v>-8.7842960000000005E-3</v>
      </c>
      <c r="N6082">
        <v>-1.070483E-2</v>
      </c>
      <c r="O6082">
        <v>-0.99990420000000002</v>
      </c>
      <c r="P6082">
        <v>5.0628020000000003E-2</v>
      </c>
      <c r="Q6082">
        <v>-0.12559419999999999</v>
      </c>
      <c r="R6082">
        <v>-0.99078909999999998</v>
      </c>
      <c r="S6082">
        <v>9.5001219999999997E-2</v>
      </c>
      <c r="T6082">
        <v>-0.25471139999999998</v>
      </c>
      <c r="U6082">
        <v>-2.9906619999999999</v>
      </c>
      <c r="V6082">
        <v>-5.9247069999999999E-2</v>
      </c>
      <c r="W6082">
        <v>-0.1150287</v>
      </c>
      <c r="X6082">
        <v>0.99159379999999997</v>
      </c>
      <c r="Y6082">
        <v>-4.0420980000000002E-2</v>
      </c>
      <c r="Z6082">
        <v>7.4128289999999999E-2</v>
      </c>
      <c r="AA6082">
        <v>0.99642920000000001</v>
      </c>
      <c r="AB6082">
        <v>18</v>
      </c>
      <c r="AC6082">
        <v>0.42059999999997899</v>
      </c>
      <c r="AD6082">
        <v>-1.120908791138</v>
      </c>
      <c r="AE6082">
        <v>-12.80302</v>
      </c>
      <c r="AF6082">
        <v>-0.52900523592638105</v>
      </c>
      <c r="AG6082">
        <v>-1.120908791138</v>
      </c>
      <c r="AH6082">
        <v>12.701577654084399</v>
      </c>
      <c r="AI6082">
        <v>95.038916915293399</v>
      </c>
      <c r="AJ6082">
        <v>92.3849210768376</v>
      </c>
      <c r="AK6082">
        <v>12.761910435370799</v>
      </c>
      <c r="AL6082">
        <v>96.605280153164401</v>
      </c>
      <c r="AM6082">
        <v>93.419319611551799</v>
      </c>
      <c r="AN6082">
        <v>1.00000004066285</v>
      </c>
    </row>
    <row r="6083" spans="1:40" x14ac:dyDescent="0.25">
      <c r="A6083" t="str">
        <f>"20190303154643219"</f>
        <v>20190303154643219</v>
      </c>
      <c r="B6083" t="str">
        <f>"1551599203207701"</f>
        <v>1551599203207701</v>
      </c>
      <c r="C6083" t="s">
        <v>40</v>
      </c>
      <c r="D6083">
        <v>5.1305019999999999</v>
      </c>
      <c r="E6083">
        <v>0.50712930000000001</v>
      </c>
      <c r="F6083" t="s">
        <v>60</v>
      </c>
      <c r="G6083">
        <v>-301.13529999999997</v>
      </c>
      <c r="H6083" s="1">
        <v>-8.0338320000000001E-6</v>
      </c>
      <c r="I6083">
        <v>-55.886360000000003</v>
      </c>
      <c r="J6083">
        <v>-301.58300000000003</v>
      </c>
      <c r="K6083">
        <v>1.1211199999999999</v>
      </c>
      <c r="L6083">
        <v>-42.837769999999999</v>
      </c>
      <c r="M6083">
        <v>-7.421258E-3</v>
      </c>
      <c r="N6083">
        <v>-1.0894360000000001E-2</v>
      </c>
      <c r="O6083">
        <v>-0.99991319999999995</v>
      </c>
      <c r="P6083">
        <v>5.2709659999999998E-2</v>
      </c>
      <c r="Q6083">
        <v>-0.12795500000000001</v>
      </c>
      <c r="R6083">
        <v>-0.99037869999999995</v>
      </c>
      <c r="S6083">
        <v>9.9578860000000005E-2</v>
      </c>
      <c r="T6083">
        <v>-0.25015700000000002</v>
      </c>
      <c r="U6083">
        <v>-2.9910890000000001</v>
      </c>
      <c r="V6083">
        <v>-5.9919939999999998E-2</v>
      </c>
      <c r="W6083">
        <v>-0.11723310000000001</v>
      </c>
      <c r="X6083">
        <v>0.99129509999999998</v>
      </c>
      <c r="Y6083">
        <v>-4.058179E-2</v>
      </c>
      <c r="Z6083">
        <v>7.2419670000000005E-2</v>
      </c>
      <c r="AA6083">
        <v>0.99654830000000005</v>
      </c>
      <c r="AB6083">
        <v>18</v>
      </c>
      <c r="AC6083">
        <v>0.44769999999999699</v>
      </c>
      <c r="AD6083">
        <v>-1.121128033832</v>
      </c>
      <c r="AE6083">
        <v>-13.0485899999999</v>
      </c>
      <c r="AF6083">
        <v>-0.54054466821598202</v>
      </c>
      <c r="AG6083">
        <v>-1.121128033832</v>
      </c>
      <c r="AH6083">
        <v>12.949425645265</v>
      </c>
      <c r="AI6083">
        <v>94.943898828497595</v>
      </c>
      <c r="AJ6083">
        <v>92.390295851781701</v>
      </c>
      <c r="AK6083">
        <v>13.0091022422313</v>
      </c>
      <c r="AL6083">
        <v>96.732443750473294</v>
      </c>
      <c r="AM6083">
        <v>93.459098637877503</v>
      </c>
      <c r="AN6083">
        <v>0.99999998711461102</v>
      </c>
    </row>
    <row r="6084" spans="1:40" x14ac:dyDescent="0.25">
      <c r="A6084" t="str">
        <f>"20190303154643252"</f>
        <v>20190303154643252</v>
      </c>
      <c r="B6084" t="str">
        <f>"1551599203247717"</f>
        <v>1551599203247717</v>
      </c>
      <c r="C6084" t="s">
        <v>40</v>
      </c>
      <c r="D6084">
        <v>5.1117650000000001</v>
      </c>
      <c r="E6084">
        <v>0.50731559999999998</v>
      </c>
      <c r="F6084" t="s">
        <v>60</v>
      </c>
      <c r="G6084">
        <v>-301.13339999999999</v>
      </c>
      <c r="H6084" s="1">
        <v>-8.0911579999999998E-6</v>
      </c>
      <c r="I6084">
        <v>-56.027380000000001</v>
      </c>
      <c r="J6084">
        <v>-301.58330000000001</v>
      </c>
      <c r="K6084">
        <v>1.1213109999999999</v>
      </c>
      <c r="L6084">
        <v>-43.102260000000001</v>
      </c>
      <c r="M6084">
        <v>-5.8980009999999999E-3</v>
      </c>
      <c r="N6084">
        <v>-1.108463E-2</v>
      </c>
      <c r="O6084">
        <v>-0.99992119999999995</v>
      </c>
      <c r="P6084">
        <v>5.4948839999999999E-2</v>
      </c>
      <c r="Q6084">
        <v>-0.13047429999999999</v>
      </c>
      <c r="R6084">
        <v>-0.98992789999999997</v>
      </c>
      <c r="S6084">
        <v>0.1019592</v>
      </c>
      <c r="T6084">
        <v>-0.25422689999999998</v>
      </c>
      <c r="U6084">
        <v>-2.990875</v>
      </c>
      <c r="V6084">
        <v>-6.0597119999999997E-2</v>
      </c>
      <c r="W6084">
        <v>-0.11959350000000001</v>
      </c>
      <c r="X6084">
        <v>0.99097190000000002</v>
      </c>
      <c r="Y6084">
        <v>-3.9851049999999999E-2</v>
      </c>
      <c r="Z6084">
        <v>7.3584040000000003E-2</v>
      </c>
      <c r="AA6084">
        <v>0.9964925</v>
      </c>
      <c r="AB6084">
        <v>18</v>
      </c>
      <c r="AC6084">
        <v>0.44990000000001301</v>
      </c>
      <c r="AD6084">
        <v>-1.121319091158</v>
      </c>
      <c r="AE6084">
        <v>-12.92512</v>
      </c>
      <c r="AF6084">
        <v>-0.52220365071932995</v>
      </c>
      <c r="AG6084">
        <v>-1.121319091158</v>
      </c>
      <c r="AH6084">
        <v>12.8258255746983</v>
      </c>
      <c r="AI6084">
        <v>94.992359119059202</v>
      </c>
      <c r="AJ6084">
        <v>92.331510632989193</v>
      </c>
      <c r="AK6084">
        <v>12.885334874562</v>
      </c>
      <c r="AL6084">
        <v>96.868643164922105</v>
      </c>
      <c r="AM6084">
        <v>93.499232857973595</v>
      </c>
      <c r="AN6084">
        <v>0.99999996139207603</v>
      </c>
    </row>
    <row r="6085" spans="1:40" x14ac:dyDescent="0.25">
      <c r="A6085" t="str">
        <f>"20190303154643296"</f>
        <v>20190303154643296</v>
      </c>
      <c r="B6085" t="str">
        <f>"1551599203287733"</f>
        <v>1551599203287733</v>
      </c>
      <c r="C6085" t="s">
        <v>40</v>
      </c>
      <c r="D6085">
        <v>5.0875830000000004</v>
      </c>
      <c r="E6085">
        <v>0.50773579999999996</v>
      </c>
      <c r="F6085" t="s">
        <v>60</v>
      </c>
      <c r="G6085">
        <v>-301.12259999999998</v>
      </c>
      <c r="H6085" s="1">
        <v>-8.0732219999999994E-6</v>
      </c>
      <c r="I6085">
        <v>-55.98489</v>
      </c>
      <c r="J6085">
        <v>-301.58199999999999</v>
      </c>
      <c r="K6085">
        <v>1.121664</v>
      </c>
      <c r="L6085">
        <v>-43.456449999999997</v>
      </c>
      <c r="M6085">
        <v>-3.0823859999999999E-3</v>
      </c>
      <c r="N6085">
        <v>-1.144572E-2</v>
      </c>
      <c r="O6085">
        <v>-0.99992979999999998</v>
      </c>
      <c r="P6085">
        <v>5.9294560000000003E-2</v>
      </c>
      <c r="Q6085">
        <v>-0.12934560000000001</v>
      </c>
      <c r="R6085">
        <v>-0.98982550000000002</v>
      </c>
      <c r="S6085">
        <v>0.1069336</v>
      </c>
      <c r="T6085">
        <v>-0.26027889999999998</v>
      </c>
      <c r="U6085">
        <v>-2.9902950000000001</v>
      </c>
      <c r="V6085">
        <v>-6.2080259999999998E-2</v>
      </c>
      <c r="W6085">
        <v>-0.1181498</v>
      </c>
      <c r="X6085">
        <v>0.99105330000000003</v>
      </c>
      <c r="Y6085">
        <v>-3.8694680000000002E-2</v>
      </c>
      <c r="Z6085">
        <v>7.5243850000000001E-2</v>
      </c>
      <c r="AA6085">
        <v>0.99641409999999997</v>
      </c>
      <c r="AB6085">
        <v>18</v>
      </c>
      <c r="AC6085">
        <v>0.45940000000001602</v>
      </c>
      <c r="AD6085">
        <v>-1.121672073222</v>
      </c>
      <c r="AE6085">
        <v>-12.52844</v>
      </c>
      <c r="AF6085">
        <v>-0.49406292368948301</v>
      </c>
      <c r="AG6085">
        <v>-1.121672073222</v>
      </c>
      <c r="AH6085">
        <v>12.427483944761599</v>
      </c>
      <c r="AI6085">
        <v>95.153343300222204</v>
      </c>
      <c r="AJ6085">
        <v>92.276633067422296</v>
      </c>
      <c r="AK6085">
        <v>12.4877781694631</v>
      </c>
      <c r="AL6085">
        <v>96.785334362140205</v>
      </c>
      <c r="AM6085">
        <v>93.584363736096194</v>
      </c>
      <c r="AN6085">
        <v>0.99999998868129802</v>
      </c>
    </row>
    <row r="6086" spans="1:40" x14ac:dyDescent="0.25">
      <c r="A6086" t="str">
        <f>"20190303154643330"</f>
        <v>20190303154643330</v>
      </c>
      <c r="B6086" t="str">
        <f>"1551599203317990"</f>
        <v>1551599203317990</v>
      </c>
      <c r="C6086" t="s">
        <v>40</v>
      </c>
      <c r="D6086">
        <v>5.0987200000000001</v>
      </c>
      <c r="E6086">
        <v>0.51110319999999998</v>
      </c>
      <c r="F6086" t="s">
        <v>60</v>
      </c>
      <c r="G6086">
        <v>-301.07069999999999</v>
      </c>
      <c r="H6086" s="1">
        <v>-8.3161550000000003E-6</v>
      </c>
      <c r="I6086">
        <v>-56.588709999999999</v>
      </c>
      <c r="J6086">
        <v>-301.57960000000003</v>
      </c>
      <c r="K6086">
        <v>1.121945</v>
      </c>
      <c r="L6086">
        <v>-43.725160000000002</v>
      </c>
      <c r="M6086">
        <v>-3.4791999999999999E-4</v>
      </c>
      <c r="N6086">
        <v>-1.180462E-2</v>
      </c>
      <c r="O6086">
        <v>-0.99993030000000005</v>
      </c>
      <c r="P6086">
        <v>6.2728249999999999E-2</v>
      </c>
      <c r="Q6086">
        <v>-0.12908140000000001</v>
      </c>
      <c r="R6086">
        <v>-0.98964810000000003</v>
      </c>
      <c r="S6086">
        <v>0.1164246</v>
      </c>
      <c r="T6086">
        <v>-0.25542720000000002</v>
      </c>
      <c r="U6086">
        <v>-2.9904790000000001</v>
      </c>
      <c r="V6086">
        <v>-6.27524E-2</v>
      </c>
      <c r="W6086">
        <v>-0.11756170000000001</v>
      </c>
      <c r="X6086">
        <v>0.99108090000000004</v>
      </c>
      <c r="Y6086">
        <v>-3.912293E-2</v>
      </c>
      <c r="Z6086">
        <v>7.3271249999999996E-2</v>
      </c>
      <c r="AA6086">
        <v>0.9965444</v>
      </c>
      <c r="AB6086">
        <v>18</v>
      </c>
      <c r="AC6086">
        <v>0.50890000000003899</v>
      </c>
      <c r="AD6086">
        <v>-1.1219533161549999</v>
      </c>
      <c r="AE6086">
        <v>-12.86355</v>
      </c>
      <c r="AF6086">
        <v>-0.50950588350012804</v>
      </c>
      <c r="AG6086">
        <v>-1.1219533161549999</v>
      </c>
      <c r="AH6086">
        <v>12.7664066207566</v>
      </c>
      <c r="AI6086">
        <v>95.018461002376</v>
      </c>
      <c r="AJ6086">
        <v>92.285455346966202</v>
      </c>
      <c r="AK6086">
        <v>12.8257363724447</v>
      </c>
      <c r="AL6086">
        <v>96.751402264910595</v>
      </c>
      <c r="AM6086">
        <v>93.622968025540601</v>
      </c>
      <c r="AN6086">
        <v>0.99999998367873</v>
      </c>
    </row>
    <row r="6087" spans="1:40" x14ac:dyDescent="0.25">
      <c r="A6087" t="str">
        <f>"20190303154643366"</f>
        <v>20190303154643366</v>
      </c>
      <c r="B6087" t="str">
        <f>"1551599203358006"</f>
        <v>1551599203358006</v>
      </c>
      <c r="C6087" t="s">
        <v>40</v>
      </c>
      <c r="D6087">
        <v>5.0238559999999897</v>
      </c>
      <c r="E6087">
        <v>0.51053709999999997</v>
      </c>
      <c r="F6087" t="s">
        <v>60</v>
      </c>
      <c r="G6087">
        <v>-301.08</v>
      </c>
      <c r="H6087" s="1">
        <v>-9.183485E-6</v>
      </c>
      <c r="I6087">
        <v>-58.716850000000001</v>
      </c>
      <c r="J6087">
        <v>-301.57560000000001</v>
      </c>
      <c r="K6087">
        <v>1.122204</v>
      </c>
      <c r="L6087">
        <v>-44.001460000000002</v>
      </c>
      <c r="M6087">
        <v>3.0216639999999999E-3</v>
      </c>
      <c r="N6087">
        <v>-1.219576E-2</v>
      </c>
      <c r="O6087">
        <v>-0.99992119999999995</v>
      </c>
      <c r="P6087">
        <v>6.7261619999999994E-2</v>
      </c>
      <c r="Q6087">
        <v>-0.12797709999999901</v>
      </c>
      <c r="R6087">
        <v>-0.98949399999999998</v>
      </c>
      <c r="S6087">
        <v>9.9822999999999995E-2</v>
      </c>
      <c r="T6087">
        <v>-0.2242024</v>
      </c>
      <c r="U6087">
        <v>-2.995819</v>
      </c>
      <c r="V6087">
        <v>-6.3906130000000005E-2</v>
      </c>
      <c r="W6087">
        <v>-0.1160993</v>
      </c>
      <c r="X6087">
        <v>0.99117960000000005</v>
      </c>
      <c r="Y6087">
        <v>-3.0200939999999999E-2</v>
      </c>
      <c r="Z6087">
        <v>6.2424939999999998E-2</v>
      </c>
      <c r="AA6087">
        <v>0.99759260000000005</v>
      </c>
      <c r="AB6087">
        <v>18</v>
      </c>
      <c r="AC6087">
        <v>0.49560000000002402</v>
      </c>
      <c r="AD6087">
        <v>-1.122213183485</v>
      </c>
      <c r="AE6087">
        <v>-14.715389999999999</v>
      </c>
      <c r="AF6087">
        <v>-0.448523915597419</v>
      </c>
      <c r="AG6087">
        <v>-1.122213183485</v>
      </c>
      <c r="AH6087">
        <v>14.6318215704654</v>
      </c>
      <c r="AI6087">
        <v>94.383762797141003</v>
      </c>
      <c r="AJ6087">
        <v>91.755795231987307</v>
      </c>
      <c r="AK6087">
        <v>14.6816463178346</v>
      </c>
      <c r="AL6087">
        <v>96.667034906115504</v>
      </c>
      <c r="AM6087">
        <v>93.689029170829798</v>
      </c>
      <c r="AN6087">
        <v>1.0000000201841099</v>
      </c>
    </row>
    <row r="6088" spans="1:40" x14ac:dyDescent="0.25">
      <c r="A6088" t="str">
        <f>"20190303154643398"</f>
        <v>20190303154643398</v>
      </c>
      <c r="B6088" t="str">
        <f>"1551599203388261"</f>
        <v>1551599203388261</v>
      </c>
      <c r="C6088" t="s">
        <v>40</v>
      </c>
      <c r="D6088">
        <v>5.0183669999999996</v>
      </c>
      <c r="E6088">
        <v>0.51047719999999996</v>
      </c>
      <c r="F6088" t="s">
        <v>60</v>
      </c>
      <c r="G6088">
        <v>-300.98840000000001</v>
      </c>
      <c r="H6088" s="1">
        <v>-9.2179239999999993E-6</v>
      </c>
      <c r="I6088">
        <v>-58.814459999999997</v>
      </c>
      <c r="J6088">
        <v>-301.57049999999998</v>
      </c>
      <c r="K6088">
        <v>1.1223989999999999</v>
      </c>
      <c r="L6088">
        <v>-44.257689999999997</v>
      </c>
      <c r="M6088">
        <v>6.6376409999999997E-3</v>
      </c>
      <c r="N6088">
        <v>-1.253026E-2</v>
      </c>
      <c r="O6088">
        <v>-0.9998996</v>
      </c>
      <c r="P6088">
        <v>7.1846080000000007E-2</v>
      </c>
      <c r="Q6088">
        <v>-0.1246394</v>
      </c>
      <c r="R6088">
        <v>-0.98959759999999997</v>
      </c>
      <c r="S6088">
        <v>0.1187134</v>
      </c>
      <c r="T6088">
        <v>-0.22685540000000001</v>
      </c>
      <c r="U6088">
        <v>-2.9944459999999999</v>
      </c>
      <c r="V6088">
        <v>-6.4884449999999996E-2</v>
      </c>
      <c r="W6088">
        <v>-0.1124507</v>
      </c>
      <c r="X6088">
        <v>0.99153659999999999</v>
      </c>
      <c r="Y6088">
        <v>-3.2882719999999997E-2</v>
      </c>
      <c r="Z6088">
        <v>6.2991099999999994E-2</v>
      </c>
      <c r="AA6088">
        <v>0.99747220000000003</v>
      </c>
      <c r="AB6088">
        <v>18</v>
      </c>
      <c r="AC6088">
        <v>0.58209999999996798</v>
      </c>
      <c r="AD6088">
        <v>-1.122408217924</v>
      </c>
      <c r="AE6088">
        <v>-14.556769999999901</v>
      </c>
      <c r="AF6088">
        <v>-0.48259242649296702</v>
      </c>
      <c r="AG6088">
        <v>-1.122408217924</v>
      </c>
      <c r="AH6088">
        <v>14.4743965271091</v>
      </c>
      <c r="AI6088">
        <v>94.431640089893307</v>
      </c>
      <c r="AJ6088">
        <v>91.909597428260597</v>
      </c>
      <c r="AK6088">
        <v>14.525868321094</v>
      </c>
      <c r="AL6088">
        <v>96.456607118837994</v>
      </c>
      <c r="AM6088">
        <v>93.743999225847205</v>
      </c>
      <c r="AN6088">
        <v>0.99999999046092602</v>
      </c>
    </row>
    <row r="6089" spans="1:40" x14ac:dyDescent="0.25">
      <c r="A6089" t="str">
        <f>"20190303154643431"</f>
        <v>20190303154643431</v>
      </c>
      <c r="B6089" t="str">
        <f>"1551599203428278"</f>
        <v>1551599203428278</v>
      </c>
      <c r="C6089" t="s">
        <v>40</v>
      </c>
      <c r="D6089">
        <v>4.9878799999999996</v>
      </c>
      <c r="E6089">
        <v>0.5108511</v>
      </c>
      <c r="F6089" t="s">
        <v>60</v>
      </c>
      <c r="G6089">
        <v>-300.8852</v>
      </c>
      <c r="H6089" s="1">
        <v>-9.5776790000000007E-6</v>
      </c>
      <c r="I6089">
        <v>-59.694960000000002</v>
      </c>
      <c r="J6089">
        <v>-301.56400000000002</v>
      </c>
      <c r="K6089">
        <v>1.1225400000000001</v>
      </c>
      <c r="L6089">
        <v>-44.514220000000002</v>
      </c>
      <c r="M6089">
        <v>1.0652689999999999E-2</v>
      </c>
      <c r="N6089">
        <v>-1.2818680000000001E-2</v>
      </c>
      <c r="O6089">
        <v>-0.99986120000000001</v>
      </c>
      <c r="P6089">
        <v>7.8924289999999994E-2</v>
      </c>
      <c r="Q6089">
        <v>-0.1228707</v>
      </c>
      <c r="R6089">
        <v>-0.98927969999999998</v>
      </c>
      <c r="S6089">
        <v>0.13293460000000001</v>
      </c>
      <c r="T6089">
        <v>-0.21772150000000001</v>
      </c>
      <c r="U6089">
        <v>-2.9944760000000001</v>
      </c>
      <c r="V6089">
        <v>-6.7964350000000007E-2</v>
      </c>
      <c r="W6089">
        <v>-0.1104267</v>
      </c>
      <c r="X6089">
        <v>0.99155780000000004</v>
      </c>
      <c r="Y6089">
        <v>-3.3606560000000001E-2</v>
      </c>
      <c r="Z6089">
        <v>5.9666259999999999E-2</v>
      </c>
      <c r="AA6089">
        <v>0.99765250000000005</v>
      </c>
      <c r="AB6089">
        <v>18</v>
      </c>
      <c r="AC6089">
        <v>0.67880000000002305</v>
      </c>
      <c r="AD6089">
        <v>-1.12254957767899</v>
      </c>
      <c r="AE6089">
        <v>-15.180739999999901</v>
      </c>
      <c r="AF6089">
        <v>-0.51422633243773896</v>
      </c>
      <c r="AG6089">
        <v>-1.12254957767899</v>
      </c>
      <c r="AH6089">
        <v>15.10468314916</v>
      </c>
      <c r="AI6089">
        <v>94.247841303307595</v>
      </c>
      <c r="AJ6089">
        <v>91.949833941681604</v>
      </c>
      <c r="AK6089">
        <v>15.1550651371691</v>
      </c>
      <c r="AL6089">
        <v>96.339913276992803</v>
      </c>
      <c r="AM6089">
        <v>93.921091886859202</v>
      </c>
      <c r="AN6089">
        <v>1.0000000398423201</v>
      </c>
    </row>
    <row r="6090" spans="1:40" x14ac:dyDescent="0.25">
      <c r="A6090" t="str">
        <f>"20190303154643464"</f>
        <v>20190303154643464</v>
      </c>
      <c r="B6090" t="str">
        <f>"1551599203457558"</f>
        <v>1551599203457558</v>
      </c>
      <c r="C6090" t="s">
        <v>40</v>
      </c>
      <c r="D6090">
        <v>5.0248629999999999</v>
      </c>
      <c r="E6090">
        <v>0.51106509999999905</v>
      </c>
      <c r="F6090" t="s">
        <v>60</v>
      </c>
      <c r="G6090">
        <v>-300.774</v>
      </c>
      <c r="H6090" s="1">
        <v>-9.7542080000000008E-6</v>
      </c>
      <c r="I6090">
        <v>-60.121160000000003</v>
      </c>
      <c r="J6090">
        <v>-301.55579999999998</v>
      </c>
      <c r="K6090">
        <v>1.1226529999999999</v>
      </c>
      <c r="L6090">
        <v>-44.77328</v>
      </c>
      <c r="M6090">
        <v>1.506234E-2</v>
      </c>
      <c r="N6090">
        <v>-1.306733E-2</v>
      </c>
      <c r="O6090">
        <v>-0.9998013</v>
      </c>
      <c r="P6090">
        <v>8.8639620000000002E-2</v>
      </c>
      <c r="Q6090">
        <v>-0.1246695</v>
      </c>
      <c r="R6090">
        <v>-0.98823139999999998</v>
      </c>
      <c r="S6090">
        <v>0.15151979999999901</v>
      </c>
      <c r="T6090">
        <v>-0.2153246</v>
      </c>
      <c r="U6090">
        <v>-2.9936829999999999</v>
      </c>
      <c r="V6090">
        <v>-7.3291969999999998E-2</v>
      </c>
      <c r="W6090">
        <v>-0.11202579999999999</v>
      </c>
      <c r="X6090">
        <v>0.99099870000000001</v>
      </c>
      <c r="Y6090">
        <v>-3.5391770000000003E-2</v>
      </c>
      <c r="Z6090">
        <v>5.8625900000000002E-2</v>
      </c>
      <c r="AA6090">
        <v>0.99765250000000005</v>
      </c>
      <c r="AB6090">
        <v>18</v>
      </c>
      <c r="AC6090">
        <v>0.78179999999997496</v>
      </c>
      <c r="AD6090">
        <v>-1.1226627542080001</v>
      </c>
      <c r="AE6090">
        <v>-15.3478799999999</v>
      </c>
      <c r="AF6090">
        <v>-0.54759422878715103</v>
      </c>
      <c r="AG6090">
        <v>-1.1226627542080001</v>
      </c>
      <c r="AH6090">
        <v>15.276389140970901</v>
      </c>
      <c r="AI6090">
        <v>94.200426352588707</v>
      </c>
      <c r="AJ6090">
        <v>92.052933464679299</v>
      </c>
      <c r="AK6090">
        <v>15.327370821033201</v>
      </c>
      <c r="AL6090">
        <v>96.432107544763198</v>
      </c>
      <c r="AM6090">
        <v>94.229762548057906</v>
      </c>
      <c r="AN6090">
        <v>0.999999958066904</v>
      </c>
    </row>
    <row r="6091" spans="1:40" x14ac:dyDescent="0.25">
      <c r="A6091" t="str">
        <f>"20190303154643498"</f>
        <v>20190303154643498</v>
      </c>
      <c r="B6091" t="str">
        <f>"1551599203487813"</f>
        <v>1551599203487813</v>
      </c>
      <c r="C6091" t="s">
        <v>40</v>
      </c>
      <c r="D6091">
        <v>5.0046689999999998</v>
      </c>
      <c r="E6091">
        <v>0.51118589999999997</v>
      </c>
      <c r="F6091" t="s">
        <v>60</v>
      </c>
      <c r="G6091">
        <v>-300.66950000000003</v>
      </c>
      <c r="H6091" s="1">
        <v>-9.5154789999999998E-6</v>
      </c>
      <c r="I6091">
        <v>-59.59046</v>
      </c>
      <c r="J6091">
        <v>-301.54590000000002</v>
      </c>
      <c r="K6091">
        <v>1.12273</v>
      </c>
      <c r="L6091">
        <v>-45.035710000000002</v>
      </c>
      <c r="M6091">
        <v>1.9849450000000001E-2</v>
      </c>
      <c r="N6091">
        <v>-1.327557E-2</v>
      </c>
      <c r="O6091">
        <v>-0.99971500000000002</v>
      </c>
      <c r="P6091">
        <v>9.9358680000000005E-2</v>
      </c>
      <c r="Q6091">
        <v>-0.1247912</v>
      </c>
      <c r="R6091">
        <v>-0.98719590000000002</v>
      </c>
      <c r="S6091">
        <v>0.17892459999999999</v>
      </c>
      <c r="T6091">
        <v>-0.22662769999999999</v>
      </c>
      <c r="U6091">
        <v>-2.9910890000000001</v>
      </c>
      <c r="V6091">
        <v>-7.927244E-2</v>
      </c>
      <c r="W6091">
        <v>-0.1119849</v>
      </c>
      <c r="X6091">
        <v>0.9905429</v>
      </c>
      <c r="Y6091">
        <v>-3.9745830000000003E-2</v>
      </c>
      <c r="Z6091">
        <v>6.2195470000000003E-2</v>
      </c>
      <c r="AA6091">
        <v>0.9972723</v>
      </c>
      <c r="AB6091">
        <v>18</v>
      </c>
      <c r="AC6091">
        <v>0.87639999999998897</v>
      </c>
      <c r="AD6091">
        <v>-1.1227395154790001</v>
      </c>
      <c r="AE6091">
        <v>-14.55475</v>
      </c>
      <c r="AF6091">
        <v>-0.58383657464338001</v>
      </c>
      <c r="AG6091">
        <v>-1.1227395154790001</v>
      </c>
      <c r="AH6091">
        <v>14.483408316086599</v>
      </c>
      <c r="AI6091">
        <v>94.429064844872599</v>
      </c>
      <c r="AJ6091">
        <v>92.308384158532704</v>
      </c>
      <c r="AK6091">
        <v>14.5385874697646</v>
      </c>
      <c r="AL6091">
        <v>96.429749120498499</v>
      </c>
      <c r="AM6091">
        <v>94.575588489801802</v>
      </c>
      <c r="AN6091">
        <v>0.99999998715598604</v>
      </c>
    </row>
    <row r="6092" spans="1:40" x14ac:dyDescent="0.25">
      <c r="A6092" t="str">
        <f>"20190303154643534"</f>
        <v>20190303154643534</v>
      </c>
      <c r="B6092" t="str">
        <f>"1551599203527831"</f>
        <v>1551599203527831</v>
      </c>
      <c r="C6092" t="s">
        <v>40</v>
      </c>
      <c r="D6092">
        <v>4.9755229999999999</v>
      </c>
      <c r="E6092">
        <v>0.51152149999999996</v>
      </c>
      <c r="F6092" t="s">
        <v>60</v>
      </c>
      <c r="G6092">
        <v>-300.52949999999998</v>
      </c>
      <c r="H6092" s="1">
        <v>-9.4740540000000005E-6</v>
      </c>
      <c r="I6092">
        <v>-59.508690000000001</v>
      </c>
      <c r="J6092">
        <v>-301.53359999999998</v>
      </c>
      <c r="K6092">
        <v>1.122792</v>
      </c>
      <c r="L6092">
        <v>-45.315640000000002</v>
      </c>
      <c r="M6092">
        <v>2.5266540000000001E-2</v>
      </c>
      <c r="N6092">
        <v>-1.3455490000000001E-2</v>
      </c>
      <c r="O6092">
        <v>-0.99959039999999999</v>
      </c>
      <c r="P6092">
        <v>0.1127098</v>
      </c>
      <c r="Q6092">
        <v>-0.1229218</v>
      </c>
      <c r="R6092">
        <v>-0.98599559999999997</v>
      </c>
      <c r="S6092">
        <v>0.20986940000000001</v>
      </c>
      <c r="T6092">
        <v>-0.23183210000000001</v>
      </c>
      <c r="U6092">
        <v>-2.9884949999999999</v>
      </c>
      <c r="V6092">
        <v>-8.728445E-2</v>
      </c>
      <c r="W6092">
        <v>-0.1099873</v>
      </c>
      <c r="X6092">
        <v>0.99009309999999995</v>
      </c>
      <c r="Y6092">
        <v>-4.4654270000000003E-2</v>
      </c>
      <c r="Z6092">
        <v>6.3762199999999894E-2</v>
      </c>
      <c r="AA6092">
        <v>0.99696560000000001</v>
      </c>
      <c r="AB6092">
        <v>17</v>
      </c>
      <c r="AC6092">
        <v>1.00409999999999</v>
      </c>
      <c r="AD6092">
        <v>-1.122801474054</v>
      </c>
      <c r="AE6092">
        <v>-14.193049999999999</v>
      </c>
      <c r="AF6092">
        <v>-0.64114524519354199</v>
      </c>
      <c r="AG6092">
        <v>-1.122801474054</v>
      </c>
      <c r="AH6092">
        <v>14.125926829048799</v>
      </c>
      <c r="AI6092">
        <v>94.539954863482905</v>
      </c>
      <c r="AJ6092">
        <v>92.598747881000193</v>
      </c>
      <c r="AK6092">
        <v>14.184976529949299</v>
      </c>
      <c r="AL6092">
        <v>96.314583064889106</v>
      </c>
      <c r="AM6092">
        <v>95.038046432174895</v>
      </c>
      <c r="AN6092">
        <v>1.0000000640203399</v>
      </c>
    </row>
    <row r="6093" spans="1:40" x14ac:dyDescent="0.25">
      <c r="A6093" t="str">
        <f>"20190303154643573"</f>
        <v>20190303154643573</v>
      </c>
      <c r="B6093" t="str">
        <f>"1551599203567847"</f>
        <v>1551599203567847</v>
      </c>
      <c r="C6093" t="s">
        <v>40</v>
      </c>
      <c r="D6093">
        <v>5.0144140000000004</v>
      </c>
      <c r="E6093">
        <v>0.48938720000000002</v>
      </c>
      <c r="F6093" t="s">
        <v>60</v>
      </c>
      <c r="G6093">
        <v>-300.32060000000001</v>
      </c>
      <c r="H6093" s="1">
        <v>-9.6400719999999995E-6</v>
      </c>
      <c r="I6093">
        <v>-59.946060000000003</v>
      </c>
      <c r="J6093">
        <v>-301.51859999999999</v>
      </c>
      <c r="K6093">
        <v>1.122884</v>
      </c>
      <c r="L6093">
        <v>-45.60962</v>
      </c>
      <c r="M6093">
        <v>3.1345989999999997E-2</v>
      </c>
      <c r="N6093">
        <v>-1.360946E-2</v>
      </c>
      <c r="O6093">
        <v>-0.99941610000000003</v>
      </c>
      <c r="P6093">
        <v>0.12968479999999999</v>
      </c>
      <c r="Q6093">
        <v>-0.1232292</v>
      </c>
      <c r="R6093">
        <v>-0.98386839999999998</v>
      </c>
      <c r="S6093">
        <v>0.2475281</v>
      </c>
      <c r="T6093">
        <v>-0.22913929999999999</v>
      </c>
      <c r="U6093">
        <v>-2.9857480000000001</v>
      </c>
      <c r="V6093">
        <v>-9.82817E-2</v>
      </c>
      <c r="W6093">
        <v>-0.1102233</v>
      </c>
      <c r="X6093">
        <v>0.98903569999999996</v>
      </c>
      <c r="Y6093">
        <v>-5.114337E-2</v>
      </c>
      <c r="Z6093">
        <v>6.2723840000000003E-2</v>
      </c>
      <c r="AA6093">
        <v>0.99671969999999999</v>
      </c>
      <c r="AB6093">
        <v>17</v>
      </c>
      <c r="AC6093">
        <v>1.19799999999997</v>
      </c>
      <c r="AD6093">
        <v>-1.122893640072</v>
      </c>
      <c r="AE6093">
        <v>-14.3364399999999</v>
      </c>
      <c r="AF6093">
        <v>-0.74345050003732804</v>
      </c>
      <c r="AG6093">
        <v>-1.122893640072</v>
      </c>
      <c r="AH6093">
        <v>14.2799536378078</v>
      </c>
      <c r="AI6093">
        <v>94.490103368333706</v>
      </c>
      <c r="AJ6093">
        <v>92.9802724415634</v>
      </c>
      <c r="AK6093">
        <v>14.343314981930099</v>
      </c>
      <c r="AL6093">
        <v>96.328187723461696</v>
      </c>
      <c r="AM6093">
        <v>95.674922088748701</v>
      </c>
      <c r="AN6093">
        <v>1.0000000421461299</v>
      </c>
    </row>
    <row r="6094" spans="1:40" x14ac:dyDescent="0.25">
      <c r="A6094" t="str">
        <f>"20190303154643866"</f>
        <v>20190303154643866</v>
      </c>
      <c r="B6094" t="str">
        <f>"1551599203857719"</f>
        <v>1551599203857719</v>
      </c>
      <c r="C6094" t="s">
        <v>40</v>
      </c>
      <c r="D6094">
        <v>4.9038750000000002</v>
      </c>
      <c r="E6094">
        <v>0.2878095</v>
      </c>
      <c r="F6094" t="s">
        <v>60</v>
      </c>
      <c r="G6094">
        <v>-299.20420000000001</v>
      </c>
      <c r="H6094" s="1">
        <v>-6.468709E-6</v>
      </c>
      <c r="I6094">
        <v>-60.057609999999997</v>
      </c>
      <c r="J6094">
        <v>-301.3075</v>
      </c>
      <c r="K6094">
        <v>1.124649</v>
      </c>
      <c r="L6094">
        <v>-47.803620000000002</v>
      </c>
      <c r="M6094">
        <v>9.9602360000000001E-2</v>
      </c>
      <c r="N6094">
        <v>-1.428799E-2</v>
      </c>
      <c r="O6094">
        <v>-0.99492480000000005</v>
      </c>
      <c r="P6094">
        <v>0.44490049999999998</v>
      </c>
      <c r="Q6094">
        <v>-0.10780530000000001</v>
      </c>
      <c r="R6094">
        <v>-0.88906810000000003</v>
      </c>
      <c r="S6094">
        <v>0.47381590000000001</v>
      </c>
      <c r="T6094">
        <v>-0.22989009999999999</v>
      </c>
      <c r="U6094">
        <v>-2.9579469999999999</v>
      </c>
      <c r="V6094">
        <v>-0.35331899999999999</v>
      </c>
      <c r="W6094">
        <v>-9.7491910000000001E-2</v>
      </c>
      <c r="X6094">
        <v>0.93040909999999999</v>
      </c>
      <c r="Y6094">
        <v>-5.8676489999999998E-2</v>
      </c>
      <c r="Z6094">
        <v>6.221931E-2</v>
      </c>
      <c r="AA6094">
        <v>0.99633620000000001</v>
      </c>
      <c r="AB6094">
        <v>17</v>
      </c>
      <c r="AC6094">
        <v>2.10329999999998</v>
      </c>
      <c r="AD6094">
        <v>-1.124655468709</v>
      </c>
      <c r="AE6094">
        <v>-12.2539899999999</v>
      </c>
      <c r="AF6094">
        <v>-0.86510941850027201</v>
      </c>
      <c r="AG6094">
        <v>-1.124655468709</v>
      </c>
      <c r="AH6094">
        <v>12.3018998700287</v>
      </c>
      <c r="AI6094">
        <v>95.210735972164599</v>
      </c>
      <c r="AJ6094">
        <v>94.022602327465293</v>
      </c>
      <c r="AK6094">
        <v>12.383456893835699</v>
      </c>
      <c r="AL6094">
        <v>95.594761464736706</v>
      </c>
      <c r="AM6094">
        <v>110.794065904332</v>
      </c>
      <c r="AN6094">
        <v>1.0000000408196199</v>
      </c>
    </row>
    <row r="6095" spans="1:40" x14ac:dyDescent="0.25">
      <c r="A6095" t="str">
        <f>"20190303154643933"</f>
        <v>20190303154643933</v>
      </c>
      <c r="B6095" t="str">
        <f>"1551599203927990"</f>
        <v>1551599203927990</v>
      </c>
      <c r="C6095" t="s">
        <v>40</v>
      </c>
      <c r="D6095">
        <v>5.0175700000000001</v>
      </c>
      <c r="E6095">
        <v>0.29454029999999998</v>
      </c>
      <c r="F6095" t="s">
        <v>60</v>
      </c>
      <c r="G6095">
        <v>-293.42700000000002</v>
      </c>
      <c r="H6095" s="1">
        <v>-9.2795669999999998E-6</v>
      </c>
      <c r="I6095">
        <v>-53.048200000000001</v>
      </c>
      <c r="J6095">
        <v>-301.22930000000002</v>
      </c>
      <c r="K6095">
        <v>1.124871</v>
      </c>
      <c r="L6095">
        <v>-48.289180000000002</v>
      </c>
      <c r="M6095">
        <v>0.12126820000000001</v>
      </c>
      <c r="N6095">
        <v>-1.438041E-2</v>
      </c>
      <c r="O6095">
        <v>-0.99251579999999995</v>
      </c>
      <c r="P6095">
        <v>0.49957180000000001</v>
      </c>
      <c r="Q6095">
        <v>-0.1028157</v>
      </c>
      <c r="R6095">
        <v>-0.86014969999999902</v>
      </c>
      <c r="S6095">
        <v>2.851807</v>
      </c>
      <c r="T6095">
        <v>-0.40699350000000001</v>
      </c>
      <c r="U6095">
        <v>-1.8979189999999999</v>
      </c>
      <c r="V6095">
        <v>-0.39075650000000001</v>
      </c>
      <c r="W6095">
        <v>-9.3113879999999996E-2</v>
      </c>
      <c r="X6095">
        <v>0.91577240000000004</v>
      </c>
      <c r="Y6095">
        <v>-0.75361350000000005</v>
      </c>
      <c r="Z6095">
        <v>0.11029070000000001</v>
      </c>
      <c r="AA6095">
        <v>0.64799899999999999</v>
      </c>
      <c r="AB6095">
        <v>17</v>
      </c>
      <c r="AC6095">
        <v>7.8022999999999998</v>
      </c>
      <c r="AD6095">
        <v>-1.1248802795670001</v>
      </c>
      <c r="AE6095">
        <v>-4.7590199999999996</v>
      </c>
      <c r="AF6095">
        <v>-7.0605634518346099</v>
      </c>
      <c r="AG6095">
        <v>-1.1248802795670001</v>
      </c>
      <c r="AH6095">
        <v>5.5855400700541296</v>
      </c>
      <c r="AI6095">
        <v>97.122098735188899</v>
      </c>
      <c r="AJ6095">
        <v>141.65283661825899</v>
      </c>
      <c r="AK6095">
        <v>9.0727707881838207</v>
      </c>
      <c r="AL6095">
        <v>95.342772067015801</v>
      </c>
      <c r="AM6095">
        <v>113.107752916443</v>
      </c>
      <c r="AN6095">
        <v>0.99999996277133096</v>
      </c>
    </row>
    <row r="6096" spans="1:40" x14ac:dyDescent="0.25">
      <c r="A6096" t="str">
        <f>"20190303154643968"</f>
        <v>20190303154643968</v>
      </c>
      <c r="B6096" t="str">
        <f>"1551599203958246"</f>
        <v>1551599203958246</v>
      </c>
      <c r="C6096" t="s">
        <v>40</v>
      </c>
      <c r="D6096">
        <v>5.062176</v>
      </c>
      <c r="E6096">
        <v>0.30125049999999998</v>
      </c>
      <c r="F6096" t="s">
        <v>60</v>
      </c>
      <c r="G6096">
        <v>-292.4248</v>
      </c>
      <c r="H6096" s="1">
        <v>-9.5826440000000007E-6</v>
      </c>
      <c r="I6096">
        <v>-53.560690000000001</v>
      </c>
      <c r="J6096">
        <v>-301.18360000000001</v>
      </c>
      <c r="K6096">
        <v>1.124949</v>
      </c>
      <c r="L6096">
        <v>-48.540590000000002</v>
      </c>
      <c r="M6096">
        <v>0.13310060000000001</v>
      </c>
      <c r="N6096">
        <v>-1.4418210000000001E-2</v>
      </c>
      <c r="O6096">
        <v>-0.99099780000000004</v>
      </c>
      <c r="P6096">
        <v>0.52469880000000002</v>
      </c>
      <c r="Q6096">
        <v>-0.1029791</v>
      </c>
      <c r="R6096">
        <v>-0.84503639999999902</v>
      </c>
      <c r="S6096">
        <v>2.9191280000000002</v>
      </c>
      <c r="T6096">
        <v>-0.37295509999999998</v>
      </c>
      <c r="U6096">
        <v>-1.7477720000000001</v>
      </c>
      <c r="V6096">
        <v>-0.40671669999999999</v>
      </c>
      <c r="W6096">
        <v>-9.3553419999999998E-2</v>
      </c>
      <c r="X6096">
        <v>0.90875150000000005</v>
      </c>
      <c r="Y6096">
        <v>-0.77708359999999999</v>
      </c>
      <c r="Z6096">
        <v>0.1016785</v>
      </c>
      <c r="AA6096">
        <v>0.62112999999999996</v>
      </c>
      <c r="AB6096">
        <v>17</v>
      </c>
      <c r="AC6096">
        <v>8.7588000000000008</v>
      </c>
      <c r="AD6096">
        <v>-1.1249585826440001</v>
      </c>
      <c r="AE6096">
        <v>-5.0200999999999896</v>
      </c>
      <c r="AF6096">
        <v>-7.9143314088077403</v>
      </c>
      <c r="AG6096">
        <v>-1.1249585826440001</v>
      </c>
      <c r="AH6096">
        <v>6.0660242774778697</v>
      </c>
      <c r="AI6096">
        <v>96.4366642066053</v>
      </c>
      <c r="AJ6096">
        <v>142.53125228756701</v>
      </c>
      <c r="AK6096">
        <v>10.0348803677999</v>
      </c>
      <c r="AL6096">
        <v>95.368066052676795</v>
      </c>
      <c r="AM6096">
        <v>114.111163530523</v>
      </c>
      <c r="AN6096">
        <v>1.0000000026024101</v>
      </c>
    </row>
    <row r="6097" spans="1:40" x14ac:dyDescent="0.25">
      <c r="A6097" t="str">
        <f>"20190303154644001"</f>
        <v>20190303154644001</v>
      </c>
      <c r="B6097" t="str">
        <f>"1551599203998262"</f>
        <v>1551599203998262</v>
      </c>
      <c r="C6097" t="s">
        <v>40</v>
      </c>
      <c r="D6097">
        <v>5.1173500000000001</v>
      </c>
      <c r="E6097">
        <v>0.33706190000000003</v>
      </c>
      <c r="F6097" t="s">
        <v>60</v>
      </c>
      <c r="G6097">
        <v>-292.1748</v>
      </c>
      <c r="H6097" s="1">
        <v>-9.6547859999999995E-6</v>
      </c>
      <c r="I6097">
        <v>-53.748440000000002</v>
      </c>
      <c r="J6097">
        <v>-301.1388</v>
      </c>
      <c r="K6097">
        <v>1.124968</v>
      </c>
      <c r="L6097">
        <v>-48.770940000000003</v>
      </c>
      <c r="M6097">
        <v>0.14424310000000001</v>
      </c>
      <c r="N6097">
        <v>-1.444675E-2</v>
      </c>
      <c r="O6097">
        <v>-0.98943689999999995</v>
      </c>
      <c r="P6097">
        <v>0.54716679999999995</v>
      </c>
      <c r="Q6097">
        <v>-0.1058553</v>
      </c>
      <c r="R6097">
        <v>-0.83030349999999997</v>
      </c>
      <c r="S6097">
        <v>2.9237669999999998</v>
      </c>
      <c r="T6097">
        <v>-0.36509999999999998</v>
      </c>
      <c r="U6097">
        <v>-1.690186</v>
      </c>
      <c r="V6097">
        <v>-0.4208037</v>
      </c>
      <c r="W6097">
        <v>-9.6665059999999997E-2</v>
      </c>
      <c r="X6097">
        <v>0.90198679999999998</v>
      </c>
      <c r="Y6097">
        <v>-0.77968230000000005</v>
      </c>
      <c r="Z6097">
        <v>0.10063800000000001</v>
      </c>
      <c r="AA6097">
        <v>0.61803520000000001</v>
      </c>
      <c r="AB6097">
        <v>17</v>
      </c>
      <c r="AC6097">
        <v>8.9639999999999898</v>
      </c>
      <c r="AD6097">
        <v>-1.124977654786</v>
      </c>
      <c r="AE6097">
        <v>-4.9774999999999903</v>
      </c>
      <c r="AF6097">
        <v>-8.0552210795348298</v>
      </c>
      <c r="AG6097">
        <v>-1.124977654786</v>
      </c>
      <c r="AH6097">
        <v>6.1445951543327499</v>
      </c>
      <c r="AI6097">
        <v>96.336174910399293</v>
      </c>
      <c r="AJ6097">
        <v>142.663285754778</v>
      </c>
      <c r="AK6097">
        <v>10.193537706537301</v>
      </c>
      <c r="AL6097">
        <v>95.547161641159505</v>
      </c>
      <c r="AM6097">
        <v>115.01045252169899</v>
      </c>
      <c r="AN6097">
        <v>1.00000003756636</v>
      </c>
    </row>
    <row r="6098" spans="1:40" x14ac:dyDescent="0.25">
      <c r="A6098" t="str">
        <f>"20190303154644034"</f>
        <v>20190303154644034</v>
      </c>
      <c r="B6098" t="str">
        <f>"1551599204027557"</f>
        <v>1551599204027557</v>
      </c>
      <c r="C6098" t="s">
        <v>40</v>
      </c>
      <c r="D6098">
        <v>5.1236680000000003</v>
      </c>
      <c r="E6098">
        <v>0.34190160000000003</v>
      </c>
      <c r="F6098" t="s">
        <v>60</v>
      </c>
      <c r="G6098">
        <v>-292.45769999999999</v>
      </c>
      <c r="H6098" s="1">
        <v>-9.4868000000000004E-6</v>
      </c>
      <c r="I6098">
        <v>-54.400419999999997</v>
      </c>
      <c r="J6098">
        <v>-301.0899</v>
      </c>
      <c r="K6098">
        <v>1.124981</v>
      </c>
      <c r="L6098">
        <v>-49.004269999999998</v>
      </c>
      <c r="M6098">
        <v>0.155829</v>
      </c>
      <c r="N6098">
        <v>-1.447028E-2</v>
      </c>
      <c r="O6098">
        <v>-0.98767819999999995</v>
      </c>
      <c r="P6098">
        <v>0.56825969999999904</v>
      </c>
      <c r="Q6098">
        <v>-0.1073283</v>
      </c>
      <c r="R6098">
        <v>-0.81581999999999999</v>
      </c>
      <c r="S6098">
        <v>2.7289729999999999</v>
      </c>
      <c r="T6098">
        <v>-0.3536475</v>
      </c>
      <c r="U6098">
        <v>-1.769684</v>
      </c>
      <c r="V6098">
        <v>-0.43329450000000003</v>
      </c>
      <c r="W6098">
        <v>-9.8336229999999997E-2</v>
      </c>
      <c r="X6098">
        <v>0.89587159999999999</v>
      </c>
      <c r="Y6098">
        <v>-0.73926029999999998</v>
      </c>
      <c r="Z6098">
        <v>0.1010529</v>
      </c>
      <c r="AA6098">
        <v>0.66579469999999996</v>
      </c>
      <c r="AB6098">
        <v>17</v>
      </c>
      <c r="AC6098">
        <v>8.6322000000000099</v>
      </c>
      <c r="AD6098">
        <v>-1.1249904868</v>
      </c>
      <c r="AE6098">
        <v>-5.3961499999999898</v>
      </c>
      <c r="AF6098">
        <v>-7.5930340793236901</v>
      </c>
      <c r="AG6098">
        <v>-1.1249904868</v>
      </c>
      <c r="AH6098">
        <v>6.5949649106141903</v>
      </c>
      <c r="AI6098">
        <v>96.382514382284796</v>
      </c>
      <c r="AJ6098">
        <v>139.02390090916501</v>
      </c>
      <c r="AK6098">
        <v>10.1199472477574</v>
      </c>
      <c r="AL6098">
        <v>95.643371068727106</v>
      </c>
      <c r="AM6098">
        <v>115.811053821992</v>
      </c>
      <c r="AN6098">
        <v>1.00000003077371</v>
      </c>
    </row>
    <row r="6099" spans="1:40" x14ac:dyDescent="0.25">
      <c r="A6099" t="str">
        <f>"20190303154644067"</f>
        <v>20190303154644067</v>
      </c>
      <c r="B6099" t="str">
        <f>"1551599204057798"</f>
        <v>1551599204057798</v>
      </c>
      <c r="C6099" t="s">
        <v>40</v>
      </c>
      <c r="D6099">
        <v>5.1599820000000003</v>
      </c>
      <c r="E6099">
        <v>0.34623559999999998</v>
      </c>
      <c r="F6099" t="s">
        <v>60</v>
      </c>
      <c r="G6099">
        <v>-291.88290000000001</v>
      </c>
      <c r="H6099" s="1">
        <v>-9.6567220000000004E-6</v>
      </c>
      <c r="I6099">
        <v>-54.791510000000002</v>
      </c>
      <c r="J6099">
        <v>-301.03789999999998</v>
      </c>
      <c r="K6099">
        <v>1.1249899999999999</v>
      </c>
      <c r="L6099">
        <v>-49.238129999999998</v>
      </c>
      <c r="M6099">
        <v>0.167706299999999</v>
      </c>
      <c r="N6099">
        <v>-1.449108E-2</v>
      </c>
      <c r="O6099">
        <v>-0.98573049999999995</v>
      </c>
      <c r="P6099">
        <v>0.58892489999999997</v>
      </c>
      <c r="Q6099">
        <v>-0.107818</v>
      </c>
      <c r="R6099">
        <v>-0.80096350000000005</v>
      </c>
      <c r="S6099">
        <v>2.7418209999999998</v>
      </c>
      <c r="T6099">
        <v>-0.3350185</v>
      </c>
      <c r="U6099">
        <v>-1.72341899999999</v>
      </c>
      <c r="V6099">
        <v>-0.4453512</v>
      </c>
      <c r="W6099">
        <v>-9.902511E-2</v>
      </c>
      <c r="X6099">
        <v>0.88986309999999902</v>
      </c>
      <c r="Y6099">
        <v>-0.7410679</v>
      </c>
      <c r="Z6099">
        <v>9.6011780000000005E-2</v>
      </c>
      <c r="AA6099">
        <v>0.66452999999999995</v>
      </c>
      <c r="AB6099">
        <v>16</v>
      </c>
      <c r="AC6099">
        <v>9.1549999999999692</v>
      </c>
      <c r="AD6099">
        <v>-1.124999656722</v>
      </c>
      <c r="AE6099">
        <v>-5.55337999999999</v>
      </c>
      <c r="AF6099">
        <v>-8.00550587378671</v>
      </c>
      <c r="AG6099">
        <v>-1.124999656722</v>
      </c>
      <c r="AH6099">
        <v>6.9336848423075796</v>
      </c>
      <c r="AI6099">
        <v>96.063487928583399</v>
      </c>
      <c r="AJ6099">
        <v>139.103687917765</v>
      </c>
      <c r="AK6099">
        <v>10.650339619716499</v>
      </c>
      <c r="AL6099">
        <v>95.683034750538198</v>
      </c>
      <c r="AM6099">
        <v>116.586663164806</v>
      </c>
      <c r="AN6099">
        <v>1.0000000002467799</v>
      </c>
    </row>
    <row r="6100" spans="1:40" x14ac:dyDescent="0.25">
      <c r="A6100" t="str">
        <f>"20190303154644100"</f>
        <v>20190303154644100</v>
      </c>
      <c r="B6100" t="str">
        <f>"1551599204097815"</f>
        <v>1551599204097815</v>
      </c>
      <c r="C6100" t="s">
        <v>40</v>
      </c>
      <c r="D6100">
        <v>5.1541480000000002</v>
      </c>
      <c r="E6100">
        <v>0.36399179999999998</v>
      </c>
      <c r="F6100" t="s">
        <v>60</v>
      </c>
      <c r="G6100">
        <v>-291.95760000000001</v>
      </c>
      <c r="H6100" s="1">
        <v>-9.6341509999999993E-6</v>
      </c>
      <c r="I6100">
        <v>-54.745820000000002</v>
      </c>
      <c r="J6100">
        <v>-300.983</v>
      </c>
      <c r="K6100">
        <v>1.124989</v>
      </c>
      <c r="L6100">
        <v>-49.470950000000002</v>
      </c>
      <c r="M6100">
        <v>0.17975569999999999</v>
      </c>
      <c r="N6100">
        <v>-1.4509309999999999E-2</v>
      </c>
      <c r="O6100">
        <v>-0.98360429999999999</v>
      </c>
      <c r="P6100">
        <v>0.60745450000000001</v>
      </c>
      <c r="Q6100">
        <v>-0.1101655</v>
      </c>
      <c r="R6100">
        <v>-0.78667810000000005</v>
      </c>
      <c r="S6100">
        <v>2.7570800000000002</v>
      </c>
      <c r="T6100">
        <v>-0.34158369999999999</v>
      </c>
      <c r="U6100">
        <v>-1.672302</v>
      </c>
      <c r="V6100">
        <v>-0.45521539999999999</v>
      </c>
      <c r="W6100">
        <v>-0.1015464</v>
      </c>
      <c r="X6100">
        <v>0.88457180000000002</v>
      </c>
      <c r="Y6100">
        <v>-0.74322969999999999</v>
      </c>
      <c r="Z6100">
        <v>9.9084270000000002E-2</v>
      </c>
      <c r="AA6100">
        <v>0.66165850000000004</v>
      </c>
      <c r="AB6100">
        <v>16</v>
      </c>
      <c r="AC6100">
        <v>9.0253999999999905</v>
      </c>
      <c r="AD6100">
        <v>-1.1249986341509901</v>
      </c>
      <c r="AE6100">
        <v>-5.2748699999999902</v>
      </c>
      <c r="AF6100">
        <v>-7.8392802960064403</v>
      </c>
      <c r="AG6100">
        <v>-1.1249986341509901</v>
      </c>
      <c r="AH6100">
        <v>6.7334866418674801</v>
      </c>
      <c r="AI6100">
        <v>96.212894984549706</v>
      </c>
      <c r="AJ6100">
        <v>139.33933558080901</v>
      </c>
      <c r="AK6100">
        <v>10.3951806065312</v>
      </c>
      <c r="AL6100">
        <v>95.8282260206865</v>
      </c>
      <c r="AM6100">
        <v>117.231105901878</v>
      </c>
      <c r="AN6100">
        <v>1.0000000005526799</v>
      </c>
    </row>
    <row r="6101" spans="1:40" x14ac:dyDescent="0.25">
      <c r="A6101" t="str">
        <f>"20190303154644136"</f>
        <v>20190303154644136</v>
      </c>
      <c r="B6101" t="str">
        <f>"1551599204128071"</f>
        <v>1551599204128071</v>
      </c>
      <c r="C6101" t="s">
        <v>40</v>
      </c>
      <c r="D6101">
        <v>5.1442379999999996</v>
      </c>
      <c r="E6101">
        <v>0.36672149999999998</v>
      </c>
      <c r="F6101" t="s">
        <v>60</v>
      </c>
      <c r="G6101">
        <v>-292.34300000000002</v>
      </c>
      <c r="H6101" s="1">
        <v>-9.4762469999999994E-6</v>
      </c>
      <c r="I6101">
        <v>-54.923609999999996</v>
      </c>
      <c r="J6101">
        <v>-300.92250000000001</v>
      </c>
      <c r="K6101">
        <v>1.124984</v>
      </c>
      <c r="L6101">
        <v>-49.711910000000003</v>
      </c>
      <c r="M6101">
        <v>0.19247719999999999</v>
      </c>
      <c r="N6101">
        <v>-1.45243E-2</v>
      </c>
      <c r="O6101">
        <v>-0.98119409999999896</v>
      </c>
      <c r="P6101">
        <v>0.62541899999999995</v>
      </c>
      <c r="Q6101">
        <v>-0.1134783</v>
      </c>
      <c r="R6101">
        <v>-0.7719935</v>
      </c>
      <c r="S6101">
        <v>2.6827390000000002</v>
      </c>
      <c r="T6101">
        <v>-0.34931269999999998</v>
      </c>
      <c r="U6101">
        <v>-1.6930540000000001</v>
      </c>
      <c r="V6101">
        <v>-0.46416160000000001</v>
      </c>
      <c r="W6101">
        <v>-0.10502309999999999</v>
      </c>
      <c r="X6101">
        <v>0.87950219999999901</v>
      </c>
      <c r="Y6101">
        <v>-0.72215390000000002</v>
      </c>
      <c r="Z6101">
        <v>0.10348980000000001</v>
      </c>
      <c r="AA6101">
        <v>0.68394699999999997</v>
      </c>
      <c r="AB6101">
        <v>16</v>
      </c>
      <c r="AC6101">
        <v>8.5794999999999906</v>
      </c>
      <c r="AD6101">
        <v>-1.124993476247</v>
      </c>
      <c r="AE6101">
        <v>-5.2117000000000004</v>
      </c>
      <c r="AF6101">
        <v>-7.3238194471966001</v>
      </c>
      <c r="AG6101">
        <v>-1.124993476247</v>
      </c>
      <c r="AH6101">
        <v>6.6818399471751402</v>
      </c>
      <c r="AI6101">
        <v>96.474027121726095</v>
      </c>
      <c r="AJ6101">
        <v>137.62443820540801</v>
      </c>
      <c r="AK6101">
        <v>9.97752106970459</v>
      </c>
      <c r="AL6101">
        <v>96.028497565331705</v>
      </c>
      <c r="AM6101">
        <v>117.82307137375</v>
      </c>
      <c r="AN6101">
        <v>0.99999998112650401</v>
      </c>
    </row>
    <row r="6102" spans="1:40" x14ac:dyDescent="0.25">
      <c r="A6102" t="str">
        <f>"20190303154644171"</f>
        <v>20190303154644171</v>
      </c>
      <c r="B6102" t="str">
        <f>"1551599204168087"</f>
        <v>1551599204168087</v>
      </c>
      <c r="C6102" t="s">
        <v>40</v>
      </c>
      <c r="D6102">
        <v>5.0498029999999998</v>
      </c>
      <c r="E6102">
        <v>0.37073689999999998</v>
      </c>
      <c r="F6102" t="s">
        <v>60</v>
      </c>
      <c r="G6102">
        <v>-292.19240000000002</v>
      </c>
      <c r="H6102" s="1">
        <v>-9.5212680000000006E-6</v>
      </c>
      <c r="I6102">
        <v>-55.02084</v>
      </c>
      <c r="J6102">
        <v>-300.85910000000001</v>
      </c>
      <c r="K6102">
        <v>1.125</v>
      </c>
      <c r="L6102">
        <v>-49.950229999999998</v>
      </c>
      <c r="M6102">
        <v>0.20529649999999999</v>
      </c>
      <c r="N6102">
        <v>-1.453728E-2</v>
      </c>
      <c r="O6102">
        <v>-0.97859189999999996</v>
      </c>
      <c r="P6102">
        <v>0.64284249999999998</v>
      </c>
      <c r="Q6102">
        <v>-0.11457730000000001</v>
      </c>
      <c r="R6102">
        <v>-0.75738090000000002</v>
      </c>
      <c r="S6102">
        <v>2.7038880000000001</v>
      </c>
      <c r="T6102">
        <v>-0.34843439999999998</v>
      </c>
      <c r="U6102">
        <v>-1.6442869999999901</v>
      </c>
      <c r="V6102">
        <v>-0.47267360000000003</v>
      </c>
      <c r="W6102">
        <v>-0.1062763</v>
      </c>
      <c r="X6102">
        <v>0.87480569999999902</v>
      </c>
      <c r="Y6102">
        <v>-0.72447479999999997</v>
      </c>
      <c r="Z6102">
        <v>0.1039564</v>
      </c>
      <c r="AA6102">
        <v>0.68141719999999995</v>
      </c>
      <c r="AB6102">
        <v>16</v>
      </c>
      <c r="AC6102">
        <v>8.6666999999999899</v>
      </c>
      <c r="AD6102">
        <v>-1.125009521268</v>
      </c>
      <c r="AE6102">
        <v>-5.0706100000000003</v>
      </c>
      <c r="AF6102">
        <v>-7.34872008699391</v>
      </c>
      <c r="AG6102">
        <v>-1.125009521268</v>
      </c>
      <c r="AH6102">
        <v>6.6584287274936704</v>
      </c>
      <c r="AI6102">
        <v>96.472387189243506</v>
      </c>
      <c r="AJ6102">
        <v>137.82133146897399</v>
      </c>
      <c r="AK6102">
        <v>9.9801806826852797</v>
      </c>
      <c r="AL6102">
        <v>96.100704650702895</v>
      </c>
      <c r="AM6102">
        <v>118.383167918542</v>
      </c>
      <c r="AN6102">
        <v>0.99999999841556897</v>
      </c>
    </row>
    <row r="6103" spans="1:40" x14ac:dyDescent="0.25">
      <c r="A6103" t="str">
        <f>"20190303154644203"</f>
        <v>20190303154644203</v>
      </c>
      <c r="B6103" t="str">
        <f>"1551599204197366"</f>
        <v>1551599204197366</v>
      </c>
      <c r="C6103" t="s">
        <v>40</v>
      </c>
      <c r="D6103">
        <v>5.0297450000000001</v>
      </c>
      <c r="E6103">
        <v>0.37250070000000002</v>
      </c>
      <c r="F6103" t="s">
        <v>60</v>
      </c>
      <c r="G6103">
        <v>-289.62610000000001</v>
      </c>
      <c r="H6103" s="1">
        <v>-1.9071140000000001E-6</v>
      </c>
      <c r="I6103">
        <v>-56.616799999999998</v>
      </c>
      <c r="J6103">
        <v>-300.79770000000002</v>
      </c>
      <c r="K6103">
        <v>1.1249929999999999</v>
      </c>
      <c r="L6103">
        <v>-50.16977</v>
      </c>
      <c r="M6103">
        <v>0.21728629999999999</v>
      </c>
      <c r="N6103">
        <v>-1.4547849999999999E-2</v>
      </c>
      <c r="O6103">
        <v>-0.97599970000000003</v>
      </c>
      <c r="P6103">
        <v>0.65934399999999904</v>
      </c>
      <c r="Q6103">
        <v>-0.1166871</v>
      </c>
      <c r="R6103">
        <v>-0.74273149999999999</v>
      </c>
      <c r="S6103">
        <v>2.7178650000000002</v>
      </c>
      <c r="T6103">
        <v>-0.27219890000000002</v>
      </c>
      <c r="U6103">
        <v>-1.6130070000000001</v>
      </c>
      <c r="V6103">
        <v>-0.48119309999999998</v>
      </c>
      <c r="W6103">
        <v>-0.108539</v>
      </c>
      <c r="X6103">
        <v>0.86986919999999901</v>
      </c>
      <c r="Y6103">
        <v>-0.72545309999999996</v>
      </c>
      <c r="Z6103">
        <v>7.9015619999999995E-2</v>
      </c>
      <c r="AA6103">
        <v>0.68372100000000002</v>
      </c>
      <c r="AB6103">
        <v>16</v>
      </c>
      <c r="AC6103">
        <v>11.1716</v>
      </c>
      <c r="AD6103">
        <v>-1.124994907114</v>
      </c>
      <c r="AE6103">
        <v>-6.44702999999999</v>
      </c>
      <c r="AF6103">
        <v>-9.4318799205181794</v>
      </c>
      <c r="AG6103">
        <v>-1.124994907114</v>
      </c>
      <c r="AH6103">
        <v>8.6548165704339599</v>
      </c>
      <c r="AI6103">
        <v>95.022432694501802</v>
      </c>
      <c r="AJ6103">
        <v>137.46010026779399</v>
      </c>
      <c r="AK6103">
        <v>12.8503627281086</v>
      </c>
      <c r="AL6103">
        <v>96.231102361853402</v>
      </c>
      <c r="AM6103">
        <v>118.95043346176099</v>
      </c>
      <c r="AN6103">
        <v>0.99999996955862402</v>
      </c>
    </row>
    <row r="6104" spans="1:40" x14ac:dyDescent="0.25">
      <c r="A6104" t="str">
        <f>"20190303154644236"</f>
        <v>20190303154644236</v>
      </c>
      <c r="B6104" t="str">
        <f>"1551599204227622"</f>
        <v>1551599204227622</v>
      </c>
      <c r="C6104" t="s">
        <v>40</v>
      </c>
      <c r="D6104">
        <v>5.0488160000000004</v>
      </c>
      <c r="E6104">
        <v>0.37441940000000001</v>
      </c>
      <c r="F6104" t="s">
        <v>60</v>
      </c>
      <c r="G6104">
        <v>-289.45580000000001</v>
      </c>
      <c r="H6104" s="1">
        <v>-2.004753E-6</v>
      </c>
      <c r="I6104">
        <v>-56.63109</v>
      </c>
      <c r="J6104">
        <v>-300.7337</v>
      </c>
      <c r="K6104">
        <v>1.1249690000000001</v>
      </c>
      <c r="L6104">
        <v>-50.386960000000002</v>
      </c>
      <c r="M6104">
        <v>0.2293116</v>
      </c>
      <c r="N6104">
        <v>-1.455534E-2</v>
      </c>
      <c r="O6104">
        <v>-0.9732442</v>
      </c>
      <c r="P6104">
        <v>0.67452650000000003</v>
      </c>
      <c r="Q6104">
        <v>-0.1179456</v>
      </c>
      <c r="R6104">
        <v>-0.72876819999999998</v>
      </c>
      <c r="S6104">
        <v>2.7420960000000001</v>
      </c>
      <c r="T6104">
        <v>-0.27198660000000002</v>
      </c>
      <c r="U6104">
        <v>-1.5621339999999999</v>
      </c>
      <c r="V6104">
        <v>-0.48841079999999998</v>
      </c>
      <c r="W6104">
        <v>-0.1099208</v>
      </c>
      <c r="X6104">
        <v>0.86566290000000001</v>
      </c>
      <c r="Y6104">
        <v>-0.72911159999999997</v>
      </c>
      <c r="Z6104">
        <v>7.9469910000000005E-2</v>
      </c>
      <c r="AA6104">
        <v>0.67976530000000002</v>
      </c>
      <c r="AB6104">
        <v>16</v>
      </c>
      <c r="AC6104">
        <v>11.277899999999899</v>
      </c>
      <c r="AD6104">
        <v>-1.1249710047529999</v>
      </c>
      <c r="AE6104">
        <v>-6.2441300000000002</v>
      </c>
      <c r="AF6104">
        <v>-9.4731670513854596</v>
      </c>
      <c r="AG6104">
        <v>-1.1249710047529999</v>
      </c>
      <c r="AH6104">
        <v>8.5986509103280699</v>
      </c>
      <c r="AI6104">
        <v>95.025203151878003</v>
      </c>
      <c r="AJ6104">
        <v>137.77044776355899</v>
      </c>
      <c r="AK6104">
        <v>12.8430234455394</v>
      </c>
      <c r="AL6104">
        <v>96.310750222121996</v>
      </c>
      <c r="AM6104">
        <v>119.43188162666</v>
      </c>
      <c r="AN6104">
        <v>0.99999997413284403</v>
      </c>
    </row>
    <row r="6105" spans="1:40" x14ac:dyDescent="0.25">
      <c r="A6105" t="str">
        <f>"20190303154644268"</f>
        <v>20190303154644268</v>
      </c>
      <c r="B6105" t="str">
        <f>"1551599204257879"</f>
        <v>1551599204257879</v>
      </c>
      <c r="C6105" t="s">
        <v>40</v>
      </c>
      <c r="D6105">
        <v>5.0546350000000002</v>
      </c>
      <c r="E6105">
        <v>0.38317620000000002</v>
      </c>
      <c r="F6105" t="s">
        <v>60</v>
      </c>
      <c r="G6105">
        <v>-289.35169999999999</v>
      </c>
      <c r="H6105" s="1">
        <v>-2.0667000000000001E-6</v>
      </c>
      <c r="I6105">
        <v>-56.629489999999997</v>
      </c>
      <c r="J6105">
        <v>-300.66500000000002</v>
      </c>
      <c r="K6105">
        <v>1.124965</v>
      </c>
      <c r="L6105">
        <v>-50.609160000000003</v>
      </c>
      <c r="M6105">
        <v>0.2417454</v>
      </c>
      <c r="N6105">
        <v>-1.455975E-2</v>
      </c>
      <c r="O6105">
        <v>-0.97023060000000005</v>
      </c>
      <c r="P6105">
        <v>0.68819129999999995</v>
      </c>
      <c r="Q6105">
        <v>-0.1152619</v>
      </c>
      <c r="R6105">
        <v>-0.71631540000000005</v>
      </c>
      <c r="S6105">
        <v>2.7626949999999999</v>
      </c>
      <c r="T6105">
        <v>-0.27306019999999998</v>
      </c>
      <c r="U6105">
        <v>-1.515228</v>
      </c>
      <c r="V6105">
        <v>-0.49361300000000002</v>
      </c>
      <c r="W6105">
        <v>-0.1073091</v>
      </c>
      <c r="X6105">
        <v>0.86303589999999997</v>
      </c>
      <c r="Y6105">
        <v>-0.73131740000000001</v>
      </c>
      <c r="Z6105">
        <v>8.0347699999999994E-2</v>
      </c>
      <c r="AA6105">
        <v>0.67728809999999995</v>
      </c>
      <c r="AB6105">
        <v>16</v>
      </c>
      <c r="AC6105">
        <v>11.3133</v>
      </c>
      <c r="AD6105">
        <v>-1.1249670667</v>
      </c>
      <c r="AE6105">
        <v>-6.0203300000000004</v>
      </c>
      <c r="AF6105">
        <v>-9.4493170975675298</v>
      </c>
      <c r="AG6105">
        <v>-1.1249670667</v>
      </c>
      <c r="AH6105">
        <v>8.5113684584515195</v>
      </c>
      <c r="AI6105">
        <v>95.055151602428097</v>
      </c>
      <c r="AJ6105">
        <v>137.98940287491399</v>
      </c>
      <c r="AK6105">
        <v>12.767088060598001</v>
      </c>
      <c r="AL6105">
        <v>96.160220070947005</v>
      </c>
      <c r="AM6105">
        <v>119.767378727351</v>
      </c>
      <c r="AN6105">
        <v>1.00000000070031</v>
      </c>
    </row>
    <row r="6106" spans="1:40" x14ac:dyDescent="0.25">
      <c r="A6106" t="str">
        <f>"20190303154644302"</f>
        <v>20190303154644302</v>
      </c>
      <c r="B6106" t="str">
        <f>"1551599204297895"</f>
        <v>1551599204297895</v>
      </c>
      <c r="C6106" t="s">
        <v>40</v>
      </c>
      <c r="D6106">
        <v>5.1145239999999896</v>
      </c>
      <c r="E6106">
        <v>0.38675589999999999</v>
      </c>
      <c r="F6106" t="s">
        <v>60</v>
      </c>
      <c r="G6106">
        <v>-288.67169999999999</v>
      </c>
      <c r="H6106" s="1">
        <v>-2.335113E-6</v>
      </c>
      <c r="I6106">
        <v>-57.232790000000001</v>
      </c>
      <c r="J6106">
        <v>-300.59249999999997</v>
      </c>
      <c r="K6106">
        <v>1.124932</v>
      </c>
      <c r="L6106">
        <v>-50.833590000000001</v>
      </c>
      <c r="M6106">
        <v>0.25442540000000002</v>
      </c>
      <c r="N6106">
        <v>-1.4561899999999999E-2</v>
      </c>
      <c r="O6106">
        <v>-0.96698289999999998</v>
      </c>
      <c r="P6106">
        <v>0.70164409999999999</v>
      </c>
      <c r="Q6106">
        <v>-0.11465119999999999</v>
      </c>
      <c r="R6106">
        <v>-0.70324339999999996</v>
      </c>
      <c r="S6106">
        <v>2.7406920000000001</v>
      </c>
      <c r="T6106">
        <v>-0.25707400000000002</v>
      </c>
      <c r="U6106">
        <v>-1.513611</v>
      </c>
      <c r="V6106">
        <v>-0.49863849999999998</v>
      </c>
      <c r="W6106">
        <v>-0.1067668</v>
      </c>
      <c r="X6106">
        <v>0.86020959999999902</v>
      </c>
      <c r="Y6106">
        <v>-0.7206979</v>
      </c>
      <c r="Z6106">
        <v>7.5580300000000003E-2</v>
      </c>
      <c r="AA6106">
        <v>0.68911690000000003</v>
      </c>
      <c r="AB6106">
        <v>16</v>
      </c>
      <c r="AC6106">
        <v>11.9207999999999</v>
      </c>
      <c r="AD6106">
        <v>-1.1249343351129999</v>
      </c>
      <c r="AE6106">
        <v>-6.3992000000000004</v>
      </c>
      <c r="AF6106">
        <v>-9.8321684869879906</v>
      </c>
      <c r="AG6106">
        <v>-1.1249343351129999</v>
      </c>
      <c r="AH6106">
        <v>9.1585340989149095</v>
      </c>
      <c r="AI6106">
        <v>94.785630114487105</v>
      </c>
      <c r="AJ6106">
        <v>137.03153261177999</v>
      </c>
      <c r="AK6106">
        <v>13.4839074921115</v>
      </c>
      <c r="AL6106">
        <v>96.128968852309299</v>
      </c>
      <c r="AM6106">
        <v>120.099622902009</v>
      </c>
      <c r="AN6106">
        <v>1.00000002959832</v>
      </c>
    </row>
    <row r="6107" spans="1:40" x14ac:dyDescent="0.25">
      <c r="A6107" t="str">
        <f>"20190303154644335"</f>
        <v>20190303154644335</v>
      </c>
      <c r="B6107" t="str">
        <f>"1551599204328235"</f>
        <v>1551599204328235</v>
      </c>
      <c r="C6107" t="s">
        <v>40</v>
      </c>
      <c r="D6107">
        <v>5.0382290000000003</v>
      </c>
      <c r="E6107">
        <v>0.3883895</v>
      </c>
      <c r="F6107" t="s">
        <v>60</v>
      </c>
      <c r="G6107">
        <v>-288.23700000000002</v>
      </c>
      <c r="H6107" s="1">
        <v>-2.5334830000000001E-6</v>
      </c>
      <c r="I6107">
        <v>-57.497680000000003</v>
      </c>
      <c r="J6107">
        <v>-300.51859999999999</v>
      </c>
      <c r="K6107">
        <v>1.1249039999999999</v>
      </c>
      <c r="L6107">
        <v>-51.051540000000003</v>
      </c>
      <c r="M6107">
        <v>0.26684239999999998</v>
      </c>
      <c r="N6107">
        <v>-1.4561650000000001E-2</v>
      </c>
      <c r="O6107">
        <v>-0.96363030000000005</v>
      </c>
      <c r="P6107">
        <v>0.71292460000000002</v>
      </c>
      <c r="Q6107">
        <v>-0.1152348</v>
      </c>
      <c r="R6107">
        <v>-0.69170779999999998</v>
      </c>
      <c r="S6107">
        <v>2.7488100000000002</v>
      </c>
      <c r="T6107">
        <v>-0.25027179999999999</v>
      </c>
      <c r="U6107">
        <v>-1.482605</v>
      </c>
      <c r="V6107">
        <v>-0.50150189999999994</v>
      </c>
      <c r="W6107">
        <v>-0.1073803</v>
      </c>
      <c r="X6107">
        <v>0.85846690000000003</v>
      </c>
      <c r="Y6107">
        <v>-0.71879630000000005</v>
      </c>
      <c r="Z6107">
        <v>7.3713819999999999E-2</v>
      </c>
      <c r="AA6107">
        <v>0.69130179999999997</v>
      </c>
      <c r="AB6107">
        <v>16</v>
      </c>
      <c r="AC6107">
        <v>12.2815999999999</v>
      </c>
      <c r="AD6107">
        <v>-1.124906533483</v>
      </c>
      <c r="AE6107">
        <v>-6.4461399999999998</v>
      </c>
      <c r="AF6107">
        <v>-10.049788896446501</v>
      </c>
      <c r="AG6107">
        <v>-1.124906533483</v>
      </c>
      <c r="AH6107">
        <v>9.4279417228847908</v>
      </c>
      <c r="AI6107">
        <v>94.666943433871694</v>
      </c>
      <c r="AJ6107">
        <v>136.82860731253399</v>
      </c>
      <c r="AK6107">
        <v>13.8256919068206</v>
      </c>
      <c r="AL6107">
        <v>96.1643229249743</v>
      </c>
      <c r="AM6107">
        <v>120.292752803431</v>
      </c>
      <c r="AN6107">
        <v>1.00000005146365</v>
      </c>
    </row>
    <row r="6108" spans="1:40" x14ac:dyDescent="0.25">
      <c r="A6108" t="str">
        <f>"20190303154644371"</f>
        <v>20190303154644371</v>
      </c>
      <c r="B6108" t="str">
        <f>"1551599204367275"</f>
        <v>1551599204367275</v>
      </c>
      <c r="C6108" t="s">
        <v>40</v>
      </c>
      <c r="D6108">
        <v>5.0822070000000004</v>
      </c>
      <c r="E6108">
        <v>0.39857219999999999</v>
      </c>
      <c r="F6108" t="s">
        <v>60</v>
      </c>
      <c r="G6108">
        <v>-288.36630000000002</v>
      </c>
      <c r="H6108" s="1">
        <v>-2.475644E-6</v>
      </c>
      <c r="I6108">
        <v>-57.41366</v>
      </c>
      <c r="J6108">
        <v>-300.43669999999997</v>
      </c>
      <c r="K6108">
        <v>1.1248800000000001</v>
      </c>
      <c r="L6108">
        <v>-51.283050000000003</v>
      </c>
      <c r="M6108">
        <v>0.28011580000000003</v>
      </c>
      <c r="N6108">
        <v>-1.4559010000000001E-2</v>
      </c>
      <c r="O6108">
        <v>-0.95985600000000004</v>
      </c>
      <c r="P6108">
        <v>0.7255315</v>
      </c>
      <c r="Q6108">
        <v>-0.1146527</v>
      </c>
      <c r="R6108">
        <v>-0.67857149999999999</v>
      </c>
      <c r="S6108">
        <v>2.763153</v>
      </c>
      <c r="T6108">
        <v>-0.25577719999999998</v>
      </c>
      <c r="U6108">
        <v>-1.4465939999999999</v>
      </c>
      <c r="V6108">
        <v>-0.50542120000000001</v>
      </c>
      <c r="W6108">
        <v>-0.1068428</v>
      </c>
      <c r="X6108">
        <v>0.85623249999999995</v>
      </c>
      <c r="Y6108">
        <v>-0.717611</v>
      </c>
      <c r="Z6108">
        <v>7.598278E-2</v>
      </c>
      <c r="AA6108">
        <v>0.69228690000000004</v>
      </c>
      <c r="AB6108">
        <v>16</v>
      </c>
      <c r="AC6108">
        <v>12.0703999999999</v>
      </c>
      <c r="AD6108">
        <v>-1.1248824756439999</v>
      </c>
      <c r="AE6108">
        <v>-6.1306099999999901</v>
      </c>
      <c r="AF6108">
        <v>-9.8019366657546794</v>
      </c>
      <c r="AG6108">
        <v>-1.1248824756439999</v>
      </c>
      <c r="AH6108">
        <v>9.2030549591135102</v>
      </c>
      <c r="AI6108">
        <v>94.782459857609197</v>
      </c>
      <c r="AJ6108">
        <v>136.80489652348399</v>
      </c>
      <c r="AK6108">
        <v>13.492203065620499</v>
      </c>
      <c r="AL6108">
        <v>96.133348357114301</v>
      </c>
      <c r="AM6108">
        <v>120.552716099544</v>
      </c>
      <c r="AN6108">
        <v>1.00000003368876</v>
      </c>
    </row>
    <row r="6109" spans="1:40" x14ac:dyDescent="0.25">
      <c r="A6109" t="str">
        <f>"20190303154644403"</f>
        <v>20190303154644403</v>
      </c>
      <c r="B6109" t="str">
        <f>"1551599204397530"</f>
        <v>1551599204397530</v>
      </c>
      <c r="C6109" t="s">
        <v>40</v>
      </c>
      <c r="D6109">
        <v>5.029776</v>
      </c>
      <c r="E6109">
        <v>0.37533519999999998</v>
      </c>
      <c r="F6109" t="s">
        <v>60</v>
      </c>
      <c r="G6109">
        <v>-287.65789999999998</v>
      </c>
      <c r="H6109" s="1">
        <v>-2.7440599999999999E-6</v>
      </c>
      <c r="I6109">
        <v>-58.092289999999998</v>
      </c>
      <c r="J6109">
        <v>-300.3596</v>
      </c>
      <c r="K6109">
        <v>1.1248910000000001</v>
      </c>
      <c r="L6109">
        <v>-51.492249999999999</v>
      </c>
      <c r="M6109">
        <v>0.29218670000000002</v>
      </c>
      <c r="N6109">
        <v>-1.455564E-2</v>
      </c>
      <c r="O6109">
        <v>-0.95625070000000001</v>
      </c>
      <c r="P6109">
        <v>0.7370139</v>
      </c>
      <c r="Q6109">
        <v>-0.1112407</v>
      </c>
      <c r="R6109">
        <v>-0.66666040000000004</v>
      </c>
      <c r="S6109">
        <v>2.7342219999999999</v>
      </c>
      <c r="T6109">
        <v>-0.2406855</v>
      </c>
      <c r="U6109">
        <v>-1.4569399999999999</v>
      </c>
      <c r="V6109">
        <v>-0.50911019999999996</v>
      </c>
      <c r="W6109">
        <v>-0.1034726</v>
      </c>
      <c r="X6109">
        <v>0.85445899999999997</v>
      </c>
      <c r="Y6109">
        <v>-0.70400600000000002</v>
      </c>
      <c r="Z6109">
        <v>7.129489E-2</v>
      </c>
      <c r="AA6109">
        <v>0.70660639999999997</v>
      </c>
      <c r="AB6109">
        <v>16</v>
      </c>
      <c r="AC6109">
        <v>12.701700000000001</v>
      </c>
      <c r="AD6109">
        <v>-1.12489374406</v>
      </c>
      <c r="AE6109">
        <v>-6.6000399999999999</v>
      </c>
      <c r="AF6109">
        <v>-10.155925316704399</v>
      </c>
      <c r="AG6109">
        <v>-1.12489374406</v>
      </c>
      <c r="AH6109">
        <v>9.9620968066118003</v>
      </c>
      <c r="AI6109">
        <v>94.521067795988401</v>
      </c>
      <c r="AJ6109">
        <v>135.55200316931899</v>
      </c>
      <c r="AK6109">
        <v>14.2706544264167</v>
      </c>
      <c r="AL6109">
        <v>95.939173768468507</v>
      </c>
      <c r="AM6109">
        <v>120.78765010388101</v>
      </c>
      <c r="AN6109">
        <v>0.99999997868789903</v>
      </c>
    </row>
    <row r="6110" spans="1:40" x14ac:dyDescent="0.25">
      <c r="A6110" t="str">
        <f>"20190303154644436"</f>
        <v>20190303154644436</v>
      </c>
      <c r="B6110" t="str">
        <f>"1551599204427787"</f>
        <v>1551599204427787</v>
      </c>
      <c r="C6110" t="s">
        <v>40</v>
      </c>
      <c r="D6110">
        <v>4.9632670000000001</v>
      </c>
      <c r="E6110">
        <v>0.37533290000000002</v>
      </c>
      <c r="F6110" t="s">
        <v>60</v>
      </c>
      <c r="G6110">
        <v>-285.85419999999999</v>
      </c>
      <c r="H6110" s="1">
        <v>-3.822821E-6</v>
      </c>
      <c r="I6110">
        <v>-57.90551</v>
      </c>
      <c r="J6110">
        <v>-300.27859999999998</v>
      </c>
      <c r="K6110">
        <v>1.124906</v>
      </c>
      <c r="L6110">
        <v>-51.70279</v>
      </c>
      <c r="M6110">
        <v>0.3044171</v>
      </c>
      <c r="N6110">
        <v>-1.455204E-2</v>
      </c>
      <c r="O6110">
        <v>-0.95242760000000004</v>
      </c>
      <c r="P6110">
        <v>0.74689240000000001</v>
      </c>
      <c r="Q6110">
        <v>-0.1066172</v>
      </c>
      <c r="R6110">
        <v>-0.65634199999999998</v>
      </c>
      <c r="S6110">
        <v>2.8835449999999998</v>
      </c>
      <c r="T6110">
        <v>-0.22361980000000001</v>
      </c>
      <c r="U6110">
        <v>-1.274902</v>
      </c>
      <c r="V6110">
        <v>-0.51073409999999997</v>
      </c>
      <c r="W6110">
        <v>-9.8855440000000003E-2</v>
      </c>
      <c r="X6110">
        <v>0.85403649999999998</v>
      </c>
      <c r="Y6110">
        <v>-0.74580880000000005</v>
      </c>
      <c r="Z6110">
        <v>6.5220790000000001E-2</v>
      </c>
      <c r="AA6110">
        <v>0.66295959999999998</v>
      </c>
      <c r="AB6110">
        <v>16</v>
      </c>
      <c r="AC6110">
        <v>14.424399999999901</v>
      </c>
      <c r="AD6110">
        <v>-1.1249098228209999</v>
      </c>
      <c r="AE6110">
        <v>-6.2027199999999896</v>
      </c>
      <c r="AF6110">
        <v>-11.7907190736356</v>
      </c>
      <c r="AG6110">
        <v>-1.1249098228209999</v>
      </c>
      <c r="AH6110">
        <v>10.247170496738301</v>
      </c>
      <c r="AI6110">
        <v>94.118828129742099</v>
      </c>
      <c r="AJ6110">
        <v>139.006491858365</v>
      </c>
      <c r="AK6110">
        <v>15.661768149608699</v>
      </c>
      <c r="AL6110">
        <v>95.673265265504099</v>
      </c>
      <c r="AM6110">
        <v>120.880425495086</v>
      </c>
      <c r="AN6110">
        <v>1.00000003112632</v>
      </c>
    </row>
    <row r="6111" spans="1:40" x14ac:dyDescent="0.25">
      <c r="A6111" t="str">
        <f>"20190303154644470"</f>
        <v>20190303154644470</v>
      </c>
      <c r="B6111" t="str">
        <f>"1551599204467803"</f>
        <v>1551599204467803</v>
      </c>
      <c r="C6111" t="s">
        <v>40</v>
      </c>
      <c r="D6111">
        <v>4.9952239999999897</v>
      </c>
      <c r="E6111">
        <v>0.37689470000000003</v>
      </c>
      <c r="F6111" t="s">
        <v>60</v>
      </c>
      <c r="G6111">
        <v>-283.95479999999998</v>
      </c>
      <c r="H6111" s="1">
        <v>-4.6088330000000001E-6</v>
      </c>
      <c r="I6111">
        <v>-58.648699999999998</v>
      </c>
      <c r="J6111">
        <v>-300.19220000000001</v>
      </c>
      <c r="K6111">
        <v>1.124897</v>
      </c>
      <c r="L6111">
        <v>-51.919069999999998</v>
      </c>
      <c r="M6111">
        <v>0.31706060000000003</v>
      </c>
      <c r="N6111">
        <v>-1.454802E-2</v>
      </c>
      <c r="O6111">
        <v>-0.94829399999999997</v>
      </c>
      <c r="P6111">
        <v>0.7548319</v>
      </c>
      <c r="Q6111">
        <v>-0.1046058</v>
      </c>
      <c r="R6111">
        <v>-0.64752390000000004</v>
      </c>
      <c r="S6111">
        <v>2.9027400000000001</v>
      </c>
      <c r="T6111">
        <v>-0.20003409999999999</v>
      </c>
      <c r="U6111">
        <v>-1.2351379999999901</v>
      </c>
      <c r="V6111">
        <v>-0.50969419999999999</v>
      </c>
      <c r="W6111">
        <v>-9.6810740000000006E-2</v>
      </c>
      <c r="X6111">
        <v>0.85489150000000003</v>
      </c>
      <c r="Y6111">
        <v>-0.74672469999999902</v>
      </c>
      <c r="Z6111">
        <v>5.7338739999999999E-2</v>
      </c>
      <c r="AA6111">
        <v>0.66265719999999995</v>
      </c>
      <c r="AB6111">
        <v>16</v>
      </c>
      <c r="AC6111">
        <v>16.237400000000001</v>
      </c>
      <c r="AD6111">
        <v>-1.1249016088329999</v>
      </c>
      <c r="AE6111">
        <v>-6.7296300000000002</v>
      </c>
      <c r="AF6111">
        <v>-13.211415348019299</v>
      </c>
      <c r="AG6111">
        <v>-1.1249016088329999</v>
      </c>
      <c r="AH6111">
        <v>11.4840864025521</v>
      </c>
      <c r="AI6111">
        <v>93.6768660053269</v>
      </c>
      <c r="AJ6111">
        <v>139.001041818701</v>
      </c>
      <c r="AK6111">
        <v>17.541127091174001</v>
      </c>
      <c r="AL6111">
        <v>95.555548104855006</v>
      </c>
      <c r="AM6111">
        <v>120.80378697297699</v>
      </c>
      <c r="AN6111">
        <v>0.99999998683261804</v>
      </c>
    </row>
    <row r="6112" spans="1:40" x14ac:dyDescent="0.25">
      <c r="A6112" t="str">
        <f>"20190303154644503"</f>
        <v>20190303154644503</v>
      </c>
      <c r="B6112" t="str">
        <f>"1551599204498059"</f>
        <v>1551599204498059</v>
      </c>
      <c r="C6112" t="s">
        <v>40</v>
      </c>
      <c r="D6112">
        <v>4.9455200000000001</v>
      </c>
      <c r="E6112">
        <v>0.37833450000000002</v>
      </c>
      <c r="F6112" t="s">
        <v>60</v>
      </c>
      <c r="G6112">
        <v>-283.67180000000002</v>
      </c>
      <c r="H6112" s="1">
        <v>-4.7160509999999998E-6</v>
      </c>
      <c r="I6112">
        <v>-58.786929999999998</v>
      </c>
      <c r="J6112">
        <v>-300.10419999999999</v>
      </c>
      <c r="K6112">
        <v>1.12487</v>
      </c>
      <c r="L6112">
        <v>-52.131100000000004</v>
      </c>
      <c r="M6112">
        <v>0.32954299999999997</v>
      </c>
      <c r="N6112">
        <v>-1.454421E-2</v>
      </c>
      <c r="O6112">
        <v>-0.9440286</v>
      </c>
      <c r="P6112">
        <v>0.76222489999999998</v>
      </c>
      <c r="Q6112">
        <v>-0.10408729999999999</v>
      </c>
      <c r="R6112">
        <v>-0.63888929999999999</v>
      </c>
      <c r="S6112">
        <v>2.909424</v>
      </c>
      <c r="T6112">
        <v>-0.19810710000000001</v>
      </c>
      <c r="U6112">
        <v>-1.209503</v>
      </c>
      <c r="V6112">
        <v>-0.50822309999999904</v>
      </c>
      <c r="W6112">
        <v>-9.6258700000000003E-2</v>
      </c>
      <c r="X6112">
        <v>0.85582919999999996</v>
      </c>
      <c r="Y6112">
        <v>-0.74349940000000003</v>
      </c>
      <c r="Z6112">
        <v>5.6914039999999999E-2</v>
      </c>
      <c r="AA6112">
        <v>0.66631039999999997</v>
      </c>
      <c r="AB6112">
        <v>16</v>
      </c>
      <c r="AC6112">
        <v>16.432399999999902</v>
      </c>
      <c r="AD6112">
        <v>-1.124874716051</v>
      </c>
      <c r="AE6112">
        <v>-6.6558299999999999</v>
      </c>
      <c r="AF6112">
        <v>-13.2672727633463</v>
      </c>
      <c r="AG6112">
        <v>-1.124874716051</v>
      </c>
      <c r="AH6112">
        <v>11.6528035088451</v>
      </c>
      <c r="AI6112">
        <v>93.644991132031507</v>
      </c>
      <c r="AJ6112">
        <v>138.70677766690201</v>
      </c>
      <c r="AK6112">
        <v>17.693888756279499</v>
      </c>
      <c r="AL6112">
        <v>95.523769842318401</v>
      </c>
      <c r="AM6112">
        <v>120.70341061313501</v>
      </c>
      <c r="AN6112">
        <v>1.0000000381359599</v>
      </c>
    </row>
    <row r="6113" spans="1:40" x14ac:dyDescent="0.25">
      <c r="A6113" t="str">
        <f>"20190303154644538"</f>
        <v>20190303154644538</v>
      </c>
      <c r="B6113" t="str">
        <f>"1551599204527339"</f>
        <v>1551599204527339</v>
      </c>
      <c r="C6113" t="s">
        <v>40</v>
      </c>
      <c r="D6113">
        <v>4.9112220000000004</v>
      </c>
      <c r="E6113">
        <v>0.37957259999999998</v>
      </c>
      <c r="F6113" t="s">
        <v>60</v>
      </c>
      <c r="G6113">
        <v>-283.65460000000002</v>
      </c>
      <c r="H6113" s="1">
        <v>-4.718943E-6</v>
      </c>
      <c r="I6113">
        <v>-58.815660000000001</v>
      </c>
      <c r="J6113">
        <v>-300.01179999999999</v>
      </c>
      <c r="K6113">
        <v>1.1248450000000001</v>
      </c>
      <c r="L6113">
        <v>-52.345210000000002</v>
      </c>
      <c r="M6113">
        <v>0.3422403</v>
      </c>
      <c r="N6113">
        <v>-1.4540630000000001E-2</v>
      </c>
      <c r="O6113">
        <v>-0.93950020000000001</v>
      </c>
      <c r="P6113">
        <v>0.76977629999999997</v>
      </c>
      <c r="Q6113">
        <v>-0.107003</v>
      </c>
      <c r="R6113">
        <v>-0.62928149999999905</v>
      </c>
      <c r="S6113">
        <v>2.9155579999999999</v>
      </c>
      <c r="T6113">
        <v>-0.19937479999999999</v>
      </c>
      <c r="U6113">
        <v>-1.1847840000000001</v>
      </c>
      <c r="V6113">
        <v>-0.50701739999999995</v>
      </c>
      <c r="W6113">
        <v>-9.9150199999999994E-2</v>
      </c>
      <c r="X6113">
        <v>0.85621399999999903</v>
      </c>
      <c r="Y6113">
        <v>-0.73978889999999997</v>
      </c>
      <c r="Z6113">
        <v>5.7567590000000002E-2</v>
      </c>
      <c r="AA6113">
        <v>0.67037179999999996</v>
      </c>
      <c r="AB6113">
        <v>16</v>
      </c>
      <c r="AC6113">
        <v>16.357199999999899</v>
      </c>
      <c r="AD6113">
        <v>-1.124849718943</v>
      </c>
      <c r="AE6113">
        <v>-6.4704499999999996</v>
      </c>
      <c r="AF6113">
        <v>-13.1009595698702</v>
      </c>
      <c r="AG6113">
        <v>-1.124849718943</v>
      </c>
      <c r="AH6113">
        <v>11.630753943352699</v>
      </c>
      <c r="AI6113">
        <v>93.673805506626195</v>
      </c>
      <c r="AJ6113">
        <v>138.40201097828</v>
      </c>
      <c r="AK6113">
        <v>17.5549100206294</v>
      </c>
      <c r="AL6113">
        <v>95.690237841193706</v>
      </c>
      <c r="AM6113">
        <v>120.63240562598899</v>
      </c>
      <c r="AN6113">
        <v>0.99999990992939503</v>
      </c>
    </row>
    <row r="6114" spans="1:40" x14ac:dyDescent="0.25">
      <c r="A6114" t="str">
        <f>"20190303154644575"</f>
        <v>20190303154644575</v>
      </c>
      <c r="B6114" t="str">
        <f>"1551599204567356"</f>
        <v>1551599204567356</v>
      </c>
      <c r="C6114" t="s">
        <v>40</v>
      </c>
      <c r="D6114">
        <v>4.9349439999999998</v>
      </c>
      <c r="E6114">
        <v>0.38109880000000002</v>
      </c>
      <c r="F6114" t="s">
        <v>60</v>
      </c>
      <c r="G6114">
        <v>-284.21199999999999</v>
      </c>
      <c r="H6114" s="1">
        <v>-4.4986889999999997E-6</v>
      </c>
      <c r="I6114">
        <v>-58.59449</v>
      </c>
      <c r="J6114">
        <v>-299.91109999999998</v>
      </c>
      <c r="K6114">
        <v>1.1248119999999999</v>
      </c>
      <c r="L6114">
        <v>-52.569699999999997</v>
      </c>
      <c r="M6114">
        <v>0.3556474</v>
      </c>
      <c r="N6114">
        <v>-1.4536220000000001E-2</v>
      </c>
      <c r="O6114">
        <v>-0.93450699999999998</v>
      </c>
      <c r="P6114">
        <v>0.77838540000000001</v>
      </c>
      <c r="Q6114">
        <v>-0.11122899999999999</v>
      </c>
      <c r="R6114">
        <v>-0.61785419999999902</v>
      </c>
      <c r="S6114">
        <v>2.9231569999999998</v>
      </c>
      <c r="T6114">
        <v>-0.2081102</v>
      </c>
      <c r="U6114">
        <v>-1.1561889999999999</v>
      </c>
      <c r="V6114">
        <v>-0.50681129999999996</v>
      </c>
      <c r="W6114">
        <v>-0.10336960000000001</v>
      </c>
      <c r="X6114">
        <v>0.85583699999999996</v>
      </c>
      <c r="Y6114">
        <v>-0.73624429999999996</v>
      </c>
      <c r="Z6114">
        <v>6.0800409999999999E-2</v>
      </c>
      <c r="AA6114">
        <v>0.67397890000000005</v>
      </c>
      <c r="AB6114">
        <v>16</v>
      </c>
      <c r="AC6114">
        <v>15.6990999999999</v>
      </c>
      <c r="AD6114">
        <v>-1.1248164986889999</v>
      </c>
      <c r="AE6114">
        <v>-6.0247900000000003</v>
      </c>
      <c r="AF6114">
        <v>-12.473729753662701</v>
      </c>
      <c r="AG6114">
        <v>-1.1248164986889999</v>
      </c>
      <c r="AH6114">
        <v>11.1647821265666</v>
      </c>
      <c r="AI6114">
        <v>93.843988544631102</v>
      </c>
      <c r="AJ6114">
        <v>138.16943227841401</v>
      </c>
      <c r="AK6114">
        <v>16.7783046240326</v>
      </c>
      <c r="AL6114">
        <v>95.933240542736797</v>
      </c>
      <c r="AM6114">
        <v>120.63325543725</v>
      </c>
      <c r="AN6114">
        <v>0.99999996929042401</v>
      </c>
    </row>
    <row r="6115" spans="1:40" x14ac:dyDescent="0.25">
      <c r="A6115" t="str">
        <f>"20190303154644608"</f>
        <v>20190303154644608</v>
      </c>
      <c r="B6115" t="str">
        <f>"1551599204597611"</f>
        <v>1551599204597611</v>
      </c>
      <c r="C6115" t="s">
        <v>40</v>
      </c>
      <c r="D6115">
        <v>4.9324760000000003</v>
      </c>
      <c r="E6115">
        <v>0.38224059999999999</v>
      </c>
      <c r="F6115" t="s">
        <v>60</v>
      </c>
      <c r="G6115">
        <v>-284.96550000000002</v>
      </c>
      <c r="H6115" s="1">
        <v>-4.2003280000000002E-6</v>
      </c>
      <c r="I6115">
        <v>-58.297150000000002</v>
      </c>
      <c r="J6115">
        <v>-299.8159</v>
      </c>
      <c r="K6115">
        <v>1.1247849999999999</v>
      </c>
      <c r="L6115">
        <v>-52.774140000000003</v>
      </c>
      <c r="M6115">
        <v>0.36794779999999999</v>
      </c>
      <c r="N6115">
        <v>-1.453224E-2</v>
      </c>
      <c r="O6115">
        <v>-0.92973320000000004</v>
      </c>
      <c r="P6115">
        <v>0.78604969999999996</v>
      </c>
      <c r="Q6115">
        <v>-0.11356479999999999</v>
      </c>
      <c r="R6115">
        <v>-0.60764280000000004</v>
      </c>
      <c r="S6115">
        <v>2.9310299999999998</v>
      </c>
      <c r="T6115">
        <v>-0.2205915</v>
      </c>
      <c r="U6115">
        <v>-1.12323</v>
      </c>
      <c r="V6115">
        <v>-0.50635949999999996</v>
      </c>
      <c r="W6115">
        <v>-0.105694</v>
      </c>
      <c r="X6115">
        <v>0.85582049999999998</v>
      </c>
      <c r="Y6115">
        <v>-0.73424869999999898</v>
      </c>
      <c r="Z6115">
        <v>6.5365309999999996E-2</v>
      </c>
      <c r="AA6115">
        <v>0.67572650000000001</v>
      </c>
      <c r="AB6115">
        <v>15</v>
      </c>
      <c r="AC6115">
        <v>14.850399999999899</v>
      </c>
      <c r="AD6115">
        <v>-1.124789200328</v>
      </c>
      <c r="AE6115">
        <v>-5.5230099999999904</v>
      </c>
      <c r="AF6115">
        <v>-11.716921062437001</v>
      </c>
      <c r="AG6115">
        <v>-1.124789200328</v>
      </c>
      <c r="AH6115">
        <v>10.547060210160399</v>
      </c>
      <c r="AI6115">
        <v>94.081049928443903</v>
      </c>
      <c r="AJ6115">
        <v>138.007840464644</v>
      </c>
      <c r="AK6115">
        <v>15.804805250470601</v>
      </c>
      <c r="AL6115">
        <v>96.067152657368098</v>
      </c>
      <c r="AM6115">
        <v>120.611340677597</v>
      </c>
      <c r="AN6115">
        <v>0.99999994654824798</v>
      </c>
    </row>
    <row r="6116" spans="1:40" x14ac:dyDescent="0.25">
      <c r="A6116" t="str">
        <f>"20190303154644637"</f>
        <v>20190303154644637</v>
      </c>
      <c r="B6116" t="str">
        <f>"1551599204627868"</f>
        <v>1551599204627868</v>
      </c>
      <c r="C6116" t="s">
        <v>40</v>
      </c>
      <c r="D6116">
        <v>4.8813110000000002</v>
      </c>
      <c r="E6116">
        <v>0.39324219999999999</v>
      </c>
      <c r="F6116" t="s">
        <v>60</v>
      </c>
      <c r="G6116">
        <v>-285.31580000000002</v>
      </c>
      <c r="H6116" s="1">
        <v>-4.0479879999999997E-6</v>
      </c>
      <c r="I6116">
        <v>-58.162680000000002</v>
      </c>
      <c r="J6116">
        <v>-299.73090000000002</v>
      </c>
      <c r="K6116">
        <v>1.1247560000000001</v>
      </c>
      <c r="L6116">
        <v>-52.950809999999997</v>
      </c>
      <c r="M6116">
        <v>0.37864320000000001</v>
      </c>
      <c r="N6116">
        <v>-1.4529210000000001E-2</v>
      </c>
      <c r="O6116">
        <v>-0.9254289</v>
      </c>
      <c r="P6116">
        <v>0.79197030000000002</v>
      </c>
      <c r="Q6116">
        <v>-0.1140533</v>
      </c>
      <c r="R6116">
        <v>-0.59981240000000002</v>
      </c>
      <c r="S6116">
        <v>2.9392399999999999</v>
      </c>
      <c r="T6116">
        <v>-0.22800039999999999</v>
      </c>
      <c r="U6116">
        <v>-1.092285</v>
      </c>
      <c r="V6116">
        <v>-0.50491850000000005</v>
      </c>
      <c r="W6116">
        <v>-0.10615239999999999</v>
      </c>
      <c r="X6116">
        <v>0.85661489999999996</v>
      </c>
      <c r="Y6116">
        <v>-0.7331164</v>
      </c>
      <c r="Z6116">
        <v>6.8137310000000006E-2</v>
      </c>
      <c r="AA6116">
        <v>0.67668130000000004</v>
      </c>
      <c r="AB6116">
        <v>15</v>
      </c>
      <c r="AC6116">
        <v>14.415099999999899</v>
      </c>
      <c r="AD6116">
        <v>-1.12476004798799</v>
      </c>
      <c r="AE6116">
        <v>-5.2118700000000002</v>
      </c>
      <c r="AF6116">
        <v>-11.307028259115899</v>
      </c>
      <c r="AG6116">
        <v>-1.12476004798799</v>
      </c>
      <c r="AH6116">
        <v>10.2274105984303</v>
      </c>
      <c r="AI6116">
        <v>94.2192263570265</v>
      </c>
      <c r="AJ6116">
        <v>137.87009047635499</v>
      </c>
      <c r="AK6116">
        <v>15.287704234674401</v>
      </c>
      <c r="AL6116">
        <v>96.093564970382801</v>
      </c>
      <c r="AM6116">
        <v>120.51657070105</v>
      </c>
      <c r="AN6116">
        <v>1.0000000552849999</v>
      </c>
    </row>
    <row r="6117" spans="1:40" x14ac:dyDescent="0.25">
      <c r="A6117" t="str">
        <f>"20190303154644671"</f>
        <v>20190303154644671</v>
      </c>
      <c r="B6117" t="str">
        <f>"1551599204667883"</f>
        <v>1551599204667883</v>
      </c>
      <c r="C6117" t="s">
        <v>40</v>
      </c>
      <c r="D6117">
        <v>4.8704879999999999</v>
      </c>
      <c r="E6117">
        <v>0.39544790000000002</v>
      </c>
      <c r="F6117" t="s">
        <v>60</v>
      </c>
      <c r="G6117">
        <v>-285.41269999999997</v>
      </c>
      <c r="H6117" s="1">
        <v>-3.9296160000000001E-6</v>
      </c>
      <c r="I6117">
        <v>-58.553730000000002</v>
      </c>
      <c r="J6117">
        <v>-299.62990000000002</v>
      </c>
      <c r="K6117">
        <v>1.1247480000000001</v>
      </c>
      <c r="L6117">
        <v>-53.153779999999998</v>
      </c>
      <c r="M6117">
        <v>0.39101720000000001</v>
      </c>
      <c r="N6117">
        <v>-1.452584E-2</v>
      </c>
      <c r="O6117">
        <v>-0.9202688</v>
      </c>
      <c r="P6117">
        <v>0.79938209999999998</v>
      </c>
      <c r="Q6117">
        <v>-0.1162417</v>
      </c>
      <c r="R6117">
        <v>-0.58947099999999997</v>
      </c>
      <c r="S6117">
        <v>2.8967589999999999</v>
      </c>
      <c r="T6117">
        <v>-0.22755359999999999</v>
      </c>
      <c r="U6117">
        <v>-1.133545</v>
      </c>
      <c r="V6117">
        <v>-0.50425589999999998</v>
      </c>
      <c r="W6117">
        <v>-0.1083303</v>
      </c>
      <c r="X6117">
        <v>0.85673250000000001</v>
      </c>
      <c r="Y6117">
        <v>-0.71204919999999905</v>
      </c>
      <c r="Z6117">
        <v>6.8169869999999994E-2</v>
      </c>
      <c r="AA6117">
        <v>0.69881249999999995</v>
      </c>
      <c r="AB6117">
        <v>15</v>
      </c>
      <c r="AC6117">
        <v>14.2172</v>
      </c>
      <c r="AD6117">
        <v>-1.12475192961599</v>
      </c>
      <c r="AE6117">
        <v>-5.3999499999999898</v>
      </c>
      <c r="AF6117">
        <v>-10.9136355473048</v>
      </c>
      <c r="AG6117">
        <v>-1.12475192961599</v>
      </c>
      <c r="AH6117">
        <v>10.472405132332399</v>
      </c>
      <c r="AI6117">
        <v>94.252780698384797</v>
      </c>
      <c r="AJ6117">
        <v>136.181941754408</v>
      </c>
      <c r="AK6117">
        <v>15.1671941049844</v>
      </c>
      <c r="AL6117">
        <v>96.219073482122795</v>
      </c>
      <c r="AM6117">
        <v>120.480229894499</v>
      </c>
      <c r="AN6117">
        <v>1.0000000215695699</v>
      </c>
    </row>
    <row r="6118" spans="1:40" x14ac:dyDescent="0.25">
      <c r="A6118" t="str">
        <f>"20190303154644704"</f>
        <v>20190303154644704</v>
      </c>
      <c r="B6118" t="str">
        <f>"1551599204698139"</f>
        <v>1551599204698139</v>
      </c>
      <c r="C6118" t="s">
        <v>40</v>
      </c>
      <c r="D6118">
        <v>4.8788419999999997</v>
      </c>
      <c r="E6118">
        <v>0.39586199999999999</v>
      </c>
      <c r="F6118" t="s">
        <v>60</v>
      </c>
      <c r="G6118">
        <v>-285.25940000000003</v>
      </c>
      <c r="H6118" s="1">
        <v>-3.9878579999999997E-6</v>
      </c>
      <c r="I6118">
        <v>-58.659829999999999</v>
      </c>
      <c r="J6118">
        <v>-299.52690000000001</v>
      </c>
      <c r="K6118">
        <v>1.124738</v>
      </c>
      <c r="L6118">
        <v>-53.353999999999999</v>
      </c>
      <c r="M6118">
        <v>0.40332190000000001</v>
      </c>
      <c r="N6118">
        <v>-1.452346E-2</v>
      </c>
      <c r="O6118">
        <v>-0.9149429</v>
      </c>
      <c r="P6118">
        <v>0.80710800000000005</v>
      </c>
      <c r="Q6118">
        <v>-0.1165634</v>
      </c>
      <c r="R6118">
        <v>-0.57878319999999905</v>
      </c>
      <c r="S6118">
        <v>2.9004210000000001</v>
      </c>
      <c r="T6118">
        <v>-0.22701070000000001</v>
      </c>
      <c r="U6118">
        <v>-1.1112979999999999</v>
      </c>
      <c r="V6118">
        <v>-0.50412159999999995</v>
      </c>
      <c r="W6118">
        <v>-0.1086527</v>
      </c>
      <c r="X6118">
        <v>0.85677060000000005</v>
      </c>
      <c r="Y6118">
        <v>-0.70761109999999905</v>
      </c>
      <c r="Z6118">
        <v>6.8110320000000002E-2</v>
      </c>
      <c r="AA6118">
        <v>0.70331189999999999</v>
      </c>
      <c r="AB6118">
        <v>15</v>
      </c>
      <c r="AC6118">
        <v>14.267499999999901</v>
      </c>
      <c r="AD6118">
        <v>-1.1247419878580001</v>
      </c>
      <c r="AE6118">
        <v>-5.3058300000000003</v>
      </c>
      <c r="AF6118">
        <v>-10.8558737500926</v>
      </c>
      <c r="AG6118">
        <v>-1.1247419878580001</v>
      </c>
      <c r="AH6118">
        <v>10.552434510487499</v>
      </c>
      <c r="AI6118">
        <v>94.248811585768706</v>
      </c>
      <c r="AJ6118">
        <v>135.81205032324701</v>
      </c>
      <c r="AK6118">
        <v>15.1812026373186</v>
      </c>
      <c r="AL6118">
        <v>96.237655902970303</v>
      </c>
      <c r="AM6118">
        <v>120.472445083292</v>
      </c>
      <c r="AN6118">
        <v>0.99999992891410205</v>
      </c>
    </row>
    <row r="6119" spans="1:40" x14ac:dyDescent="0.25">
      <c r="A6119" t="str">
        <f>"20190303154644738"</f>
        <v>20190303154644738</v>
      </c>
      <c r="B6119" t="str">
        <f>"1551599204727420"</f>
        <v>1551599204727420</v>
      </c>
      <c r="C6119" t="s">
        <v>40</v>
      </c>
      <c r="D6119">
        <v>4.8886190000000003</v>
      </c>
      <c r="E6119">
        <v>0.3965881</v>
      </c>
      <c r="F6119" t="s">
        <v>60</v>
      </c>
      <c r="G6119">
        <v>-284.90870000000001</v>
      </c>
      <c r="H6119" s="1">
        <v>-4.1460819999999999E-6</v>
      </c>
      <c r="I6119">
        <v>-58.752029999999998</v>
      </c>
      <c r="J6119">
        <v>-299.4239</v>
      </c>
      <c r="K6119">
        <v>1.1247400000000001</v>
      </c>
      <c r="L6119">
        <v>-53.547420000000002</v>
      </c>
      <c r="M6119">
        <v>0.41531820000000003</v>
      </c>
      <c r="N6119">
        <v>-1.452234E-2</v>
      </c>
      <c r="O6119">
        <v>-0.90956049999999999</v>
      </c>
      <c r="P6119">
        <v>0.81339869999999903</v>
      </c>
      <c r="Q6119">
        <v>-0.1164964</v>
      </c>
      <c r="R6119">
        <v>-0.56992240000000005</v>
      </c>
      <c r="S6119">
        <v>2.9131770000000001</v>
      </c>
      <c r="T6119">
        <v>-0.22414419999999999</v>
      </c>
      <c r="U6119">
        <v>-1.075745</v>
      </c>
      <c r="V6119">
        <v>-0.50223530000000005</v>
      </c>
      <c r="W6119">
        <v>-0.1085584</v>
      </c>
      <c r="X6119">
        <v>0.85788980000000004</v>
      </c>
      <c r="Y6119">
        <v>-0.7069571</v>
      </c>
      <c r="Z6119">
        <v>6.7235130000000004E-2</v>
      </c>
      <c r="AA6119">
        <v>0.70405329999999999</v>
      </c>
      <c r="AB6119">
        <v>15</v>
      </c>
      <c r="AC6119">
        <v>14.515199999999901</v>
      </c>
      <c r="AD6119">
        <v>-1.124744146082</v>
      </c>
      <c r="AE6119">
        <v>-5.2046099999999997</v>
      </c>
      <c r="AF6119">
        <v>-10.9836096794716</v>
      </c>
      <c r="AG6119">
        <v>-1.124744146082</v>
      </c>
      <c r="AH6119">
        <v>10.7065057258074</v>
      </c>
      <c r="AI6119">
        <v>94.193894219319006</v>
      </c>
      <c r="AJ6119">
        <v>135.73194738865899</v>
      </c>
      <c r="AK6119">
        <v>15.3796617596707</v>
      </c>
      <c r="AL6119">
        <v>96.232219904429797</v>
      </c>
      <c r="AM6119">
        <v>120.346029651542</v>
      </c>
      <c r="AN6119">
        <v>1.0000000658603401</v>
      </c>
    </row>
    <row r="6120" spans="1:40" x14ac:dyDescent="0.25">
      <c r="A6120" t="str">
        <f>"20190303154644772"</f>
        <v>20190303154644772</v>
      </c>
      <c r="B6120" t="str">
        <f>"1551599204767435"</f>
        <v>1551599204767435</v>
      </c>
      <c r="C6120" t="s">
        <v>40</v>
      </c>
      <c r="D6120">
        <v>4.9195859999999998</v>
      </c>
      <c r="E6120">
        <v>0.3970245</v>
      </c>
      <c r="F6120" t="s">
        <v>60</v>
      </c>
      <c r="G6120">
        <v>-284.58519999999999</v>
      </c>
      <c r="H6120" s="1">
        <v>-4.2749509999999999E-6</v>
      </c>
      <c r="I6120">
        <v>-58.874690000000001</v>
      </c>
      <c r="J6120">
        <v>-299.31630000000001</v>
      </c>
      <c r="K6120">
        <v>1.1247389999999999</v>
      </c>
      <c r="L6120">
        <v>-53.742800000000003</v>
      </c>
      <c r="M6120">
        <v>0.42755599999999999</v>
      </c>
      <c r="N6120">
        <v>-1.45224E-2</v>
      </c>
      <c r="O6120">
        <v>-0.90387229999999996</v>
      </c>
      <c r="P6120">
        <v>0.81952919999999996</v>
      </c>
      <c r="Q6120">
        <v>-0.1166176</v>
      </c>
      <c r="R6120">
        <v>-0.56104569999999998</v>
      </c>
      <c r="S6120">
        <v>2.9216000000000002</v>
      </c>
      <c r="T6120">
        <v>-0.2214515</v>
      </c>
      <c r="U6120">
        <v>-1.048889</v>
      </c>
      <c r="V6120">
        <v>-0.49996750000000001</v>
      </c>
      <c r="W6120">
        <v>-0.1086497</v>
      </c>
      <c r="X6120">
        <v>0.85920180000000002</v>
      </c>
      <c r="Y6120">
        <v>-0.70386530000000003</v>
      </c>
      <c r="Z6120">
        <v>6.635307E-2</v>
      </c>
      <c r="AA6120">
        <v>0.70722759999999996</v>
      </c>
      <c r="AB6120">
        <v>15</v>
      </c>
      <c r="AC6120">
        <v>14.7311</v>
      </c>
      <c r="AD6120">
        <v>-1.124743274951</v>
      </c>
      <c r="AE6120">
        <v>-5.1318899999999896</v>
      </c>
      <c r="AF6120">
        <v>-11.064514304871301</v>
      </c>
      <c r="AG6120">
        <v>-1.124743274951</v>
      </c>
      <c r="AH6120">
        <v>10.8815267424929</v>
      </c>
      <c r="AI6120">
        <v>94.145348529256594</v>
      </c>
      <c r="AJ6120">
        <v>135.47772498213101</v>
      </c>
      <c r="AK6120">
        <v>15.5594392085588</v>
      </c>
      <c r="AL6120">
        <v>96.237482573465101</v>
      </c>
      <c r="AM6120">
        <v>120.195024110614</v>
      </c>
      <c r="AN6120">
        <v>0.99999999574479004</v>
      </c>
    </row>
    <row r="6121" spans="1:40" x14ac:dyDescent="0.25">
      <c r="A6121" t="str">
        <f>"20190303154644805"</f>
        <v>20190303154644805</v>
      </c>
      <c r="B6121" t="str">
        <f>"1551599204797692"</f>
        <v>1551599204797692</v>
      </c>
      <c r="C6121" t="s">
        <v>40</v>
      </c>
      <c r="D6121">
        <v>4.9209500000000004</v>
      </c>
      <c r="E6121">
        <v>0.39780389999999999</v>
      </c>
      <c r="F6121" t="s">
        <v>60</v>
      </c>
      <c r="G6121">
        <v>-285.08319999999998</v>
      </c>
      <c r="H6121" s="1">
        <v>-4.0710819999999998E-6</v>
      </c>
      <c r="I6121">
        <v>-58.690539999999999</v>
      </c>
      <c r="J6121">
        <v>-299.20850000000002</v>
      </c>
      <c r="K6121">
        <v>1.124738</v>
      </c>
      <c r="L6121">
        <v>-53.93253</v>
      </c>
      <c r="M6121">
        <v>0.43957010000000002</v>
      </c>
      <c r="N6121">
        <v>-1.4523990000000001E-2</v>
      </c>
      <c r="O6121">
        <v>-0.89809099999999997</v>
      </c>
      <c r="P6121">
        <v>0.82491270000000005</v>
      </c>
      <c r="Q6121">
        <v>-0.1205915</v>
      </c>
      <c r="R6121">
        <v>-0.55224669999999998</v>
      </c>
      <c r="S6121">
        <v>2.9303279999999998</v>
      </c>
      <c r="T6121">
        <v>-0.23156309999999999</v>
      </c>
      <c r="U6121">
        <v>-1.0186459999999999</v>
      </c>
      <c r="V6121">
        <v>-0.49715199999999998</v>
      </c>
      <c r="W6121">
        <v>-0.1125983</v>
      </c>
      <c r="X6121">
        <v>0.86032640000000005</v>
      </c>
      <c r="Y6121">
        <v>-0.70132090000000002</v>
      </c>
      <c r="Z6121">
        <v>6.9912929999999998E-2</v>
      </c>
      <c r="AA6121">
        <v>0.70940890000000001</v>
      </c>
      <c r="AB6121">
        <v>15</v>
      </c>
      <c r="AC6121">
        <v>14.125299999999999</v>
      </c>
      <c r="AD6121">
        <v>-1.124742071082</v>
      </c>
      <c r="AE6121">
        <v>-4.7580099999999899</v>
      </c>
      <c r="AF6121">
        <v>-10.5354508418179</v>
      </c>
      <c r="AG6121">
        <v>-1.124742071082</v>
      </c>
      <c r="AH6121">
        <v>10.4239336525231</v>
      </c>
      <c r="AI6121">
        <v>94.339845153087794</v>
      </c>
      <c r="AJ6121">
        <v>135.30484692902601</v>
      </c>
      <c r="AK6121">
        <v>14.8633496210992</v>
      </c>
      <c r="AL6121">
        <v>96.465117958159993</v>
      </c>
      <c r="AM6121">
        <v>120.022088278588</v>
      </c>
      <c r="AN6121">
        <v>1.0000000014019199</v>
      </c>
    </row>
    <row r="6122" spans="1:40" x14ac:dyDescent="0.25">
      <c r="A6122" t="str">
        <f>"20190303154644838"</f>
        <v>20190303154644838</v>
      </c>
      <c r="B6122" t="str">
        <f>"1551599204827947"</f>
        <v>1551599204827947</v>
      </c>
      <c r="C6122" t="s">
        <v>40</v>
      </c>
      <c r="D6122">
        <v>4.9456860000000002</v>
      </c>
      <c r="E6122">
        <v>0.39840219999999998</v>
      </c>
      <c r="F6122" t="s">
        <v>60</v>
      </c>
      <c r="G6122">
        <v>-286.01389999999998</v>
      </c>
      <c r="H6122" s="1">
        <v>-3.6508599999999998E-6</v>
      </c>
      <c r="I6122">
        <v>-58.390419999999999</v>
      </c>
      <c r="J6122">
        <v>-299.09780000000001</v>
      </c>
      <c r="K6122">
        <v>1.1247339999999999</v>
      </c>
      <c r="L6122">
        <v>-54.120910000000002</v>
      </c>
      <c r="M6122">
        <v>0.45164140000000003</v>
      </c>
      <c r="N6122">
        <v>-1.4527129999999999E-2</v>
      </c>
      <c r="O6122">
        <v>-0.89208140000000002</v>
      </c>
      <c r="P6122">
        <v>0.82840059999999904</v>
      </c>
      <c r="Q6122">
        <v>-0.1246391</v>
      </c>
      <c r="R6122">
        <v>-0.54609319999999995</v>
      </c>
      <c r="S6122">
        <v>2.9360659999999998</v>
      </c>
      <c r="T6122">
        <v>-0.25027850000000001</v>
      </c>
      <c r="U6122">
        <v>-0.99197389999999996</v>
      </c>
      <c r="V6122">
        <v>-0.4913787</v>
      </c>
      <c r="W6122">
        <v>-0.1165689</v>
      </c>
      <c r="X6122">
        <v>0.86310989999999999</v>
      </c>
      <c r="Y6122">
        <v>-0.69742409999999999</v>
      </c>
      <c r="Z6122">
        <v>7.6406269999999998E-2</v>
      </c>
      <c r="AA6122">
        <v>0.71257409999999999</v>
      </c>
      <c r="AB6122">
        <v>15</v>
      </c>
      <c r="AC6122">
        <v>13.0839</v>
      </c>
      <c r="AD6122">
        <v>-1.12473765086</v>
      </c>
      <c r="AE6122">
        <v>-4.2695100000000004</v>
      </c>
      <c r="AF6122">
        <v>-9.6799951237106399</v>
      </c>
      <c r="AG6122">
        <v>-1.12473765086</v>
      </c>
      <c r="AH6122">
        <v>9.6545275239282393</v>
      </c>
      <c r="AI6122">
        <v>94.703033974201801</v>
      </c>
      <c r="AJ6122">
        <v>135.07547045068199</v>
      </c>
      <c r="AK6122">
        <v>13.7177710320814</v>
      </c>
      <c r="AL6122">
        <v>96.694124960429306</v>
      </c>
      <c r="AM6122">
        <v>119.653372377903</v>
      </c>
      <c r="AN6122">
        <v>1.0000000173694501</v>
      </c>
    </row>
    <row r="6123" spans="1:40" x14ac:dyDescent="0.25">
      <c r="A6123" t="str">
        <f>"20190303154644872"</f>
        <v>20190303154644872</v>
      </c>
      <c r="B6123" t="str">
        <f>"1551599204867964"</f>
        <v>1551599204867964</v>
      </c>
      <c r="C6123" t="s">
        <v>40</v>
      </c>
      <c r="D6123">
        <v>5.3366559999999996</v>
      </c>
      <c r="E6123">
        <v>0.41787170000000001</v>
      </c>
      <c r="F6123" t="s">
        <v>60</v>
      </c>
      <c r="G6123">
        <v>-286.73050000000001</v>
      </c>
      <c r="H6123" s="1">
        <v>-3.2648909999999998E-6</v>
      </c>
      <c r="I6123">
        <v>-58.218539999999997</v>
      </c>
      <c r="J6123">
        <v>-298.98320000000001</v>
      </c>
      <c r="K6123">
        <v>1.124725</v>
      </c>
      <c r="L6123">
        <v>-54.309359999999998</v>
      </c>
      <c r="M6123">
        <v>0.46386080000000002</v>
      </c>
      <c r="N6123">
        <v>-1.453048E-2</v>
      </c>
      <c r="O6123">
        <v>-0.88578889999999999</v>
      </c>
      <c r="P6123">
        <v>0.83192579999999905</v>
      </c>
      <c r="Q6123">
        <v>-0.1266835</v>
      </c>
      <c r="R6123">
        <v>-0.5402323</v>
      </c>
      <c r="S6123">
        <v>2.939209</v>
      </c>
      <c r="T6123">
        <v>-0.26730619999999999</v>
      </c>
      <c r="U6123">
        <v>-0.9738464</v>
      </c>
      <c r="V6123">
        <v>-0.48531269999999999</v>
      </c>
      <c r="W6123">
        <v>-0.11852310000000001</v>
      </c>
      <c r="X6123">
        <v>0.86627009999999904</v>
      </c>
      <c r="Y6123">
        <v>-0.69127989999999995</v>
      </c>
      <c r="Z6123">
        <v>8.2177029999999998E-2</v>
      </c>
      <c r="AA6123">
        <v>0.71789910000000001</v>
      </c>
      <c r="AB6123">
        <v>15</v>
      </c>
      <c r="AC6123">
        <v>12.252700000000001</v>
      </c>
      <c r="AD6123">
        <v>-1.124728264891</v>
      </c>
      <c r="AE6123">
        <v>-3.9091800000000001</v>
      </c>
      <c r="AF6123">
        <v>-8.9723270543976703</v>
      </c>
      <c r="AG6123">
        <v>-1.124728264891</v>
      </c>
      <c r="AH6123">
        <v>9.0777968556756008</v>
      </c>
      <c r="AI6123">
        <v>95.035902135691202</v>
      </c>
      <c r="AJ6123">
        <v>134.66521527848499</v>
      </c>
      <c r="AK6123">
        <v>12.813042659486999</v>
      </c>
      <c r="AL6123">
        <v>96.806874051901403</v>
      </c>
      <c r="AM6123">
        <v>119.258968192745</v>
      </c>
      <c r="AN6123">
        <v>1.0000000140844501</v>
      </c>
    </row>
    <row r="6124" spans="1:40" x14ac:dyDescent="0.25">
      <c r="A6124" t="str">
        <f>"20190303154644906"</f>
        <v>20190303154644906</v>
      </c>
      <c r="B6124" t="str">
        <f>"1551599204898219"</f>
        <v>1551599204898219</v>
      </c>
      <c r="C6124" t="s">
        <v>40</v>
      </c>
      <c r="D6124">
        <v>5.1436440000000001</v>
      </c>
      <c r="E6124">
        <v>0.47954020000000003</v>
      </c>
      <c r="F6124" t="s">
        <v>60</v>
      </c>
      <c r="G6124">
        <v>-287.7921</v>
      </c>
      <c r="H6124" s="1">
        <v>-2.5642450000000001E-6</v>
      </c>
      <c r="I6124">
        <v>-58.543500000000002</v>
      </c>
      <c r="J6124">
        <v>-298.86739999999998</v>
      </c>
      <c r="K6124">
        <v>1.124728</v>
      </c>
      <c r="L6124">
        <v>-54.494230000000002</v>
      </c>
      <c r="M6124">
        <v>0.47599190000000002</v>
      </c>
      <c r="N6124">
        <v>-1.453434E-2</v>
      </c>
      <c r="O6124">
        <v>-0.87932960000000004</v>
      </c>
      <c r="P6124">
        <v>0.83840579999999998</v>
      </c>
      <c r="Q6124">
        <v>-0.12713039999999901</v>
      </c>
      <c r="R6124">
        <v>-0.5300127</v>
      </c>
      <c r="S6124">
        <v>2.8597109999999999</v>
      </c>
      <c r="T6124">
        <v>-0.28740690000000002</v>
      </c>
      <c r="U6124">
        <v>-1.0819700000000001</v>
      </c>
      <c r="V6124">
        <v>-0.4839405</v>
      </c>
      <c r="W6124">
        <v>-0.11895790000000001</v>
      </c>
      <c r="X6124">
        <v>0.86697789999999997</v>
      </c>
      <c r="Y6124">
        <v>-0.6497598</v>
      </c>
      <c r="Z6124">
        <v>8.8682579999999997E-2</v>
      </c>
      <c r="AA6124">
        <v>0.75494869999999903</v>
      </c>
      <c r="AB6124">
        <v>15</v>
      </c>
      <c r="AC6124">
        <v>11.075299999999899</v>
      </c>
      <c r="AD6124">
        <v>-1.1247305642450001</v>
      </c>
      <c r="AE6124">
        <v>-4.0492699999999999</v>
      </c>
      <c r="AF6124">
        <v>-7.7418169486748596</v>
      </c>
      <c r="AG6124">
        <v>-1.1247305642450001</v>
      </c>
      <c r="AH6124">
        <v>8.7536963548965705</v>
      </c>
      <c r="AI6124">
        <v>95.497548564015204</v>
      </c>
      <c r="AJ6124">
        <v>131.48972046649601</v>
      </c>
      <c r="AK6124">
        <v>11.740014837412501</v>
      </c>
      <c r="AL6124">
        <v>96.831963619523194</v>
      </c>
      <c r="AM6124">
        <v>119.169924094818</v>
      </c>
      <c r="AN6124">
        <v>1.00000003430053</v>
      </c>
    </row>
    <row r="6125" spans="1:40" x14ac:dyDescent="0.25">
      <c r="A6125" t="str">
        <f>"20190303154644939"</f>
        <v>20190303154644939</v>
      </c>
      <c r="B6125" t="str">
        <f>"1551599204927499"</f>
        <v>1551599204927499</v>
      </c>
      <c r="C6125" t="s">
        <v>40</v>
      </c>
      <c r="D6125">
        <v>5.1448410000000004</v>
      </c>
      <c r="E6125">
        <v>0.48233409999999899</v>
      </c>
      <c r="F6125" t="s">
        <v>42</v>
      </c>
      <c r="G6125">
        <v>-298.02940000000001</v>
      </c>
      <c r="H6125">
        <v>0.99587020000000004</v>
      </c>
      <c r="I6125">
        <v>-54.961309999999997</v>
      </c>
      <c r="J6125">
        <v>-298.74869999999999</v>
      </c>
      <c r="K6125">
        <v>1.1247199999999999</v>
      </c>
      <c r="L6125">
        <v>-54.677460000000004</v>
      </c>
      <c r="M6125">
        <v>0.4881624</v>
      </c>
      <c r="N6125">
        <v>-1.4538779999999999E-2</v>
      </c>
      <c r="O6125">
        <v>-0.87263199999999996</v>
      </c>
      <c r="P6125">
        <v>0.84512549999999997</v>
      </c>
      <c r="Q6125">
        <v>-0.12948229999999999</v>
      </c>
      <c r="R6125">
        <v>-0.51865000000000006</v>
      </c>
      <c r="S6125">
        <v>2.6013790000000001</v>
      </c>
      <c r="T6125">
        <v>-0.39993970000000001</v>
      </c>
      <c r="U6125">
        <v>-1.4492799999999999</v>
      </c>
      <c r="V6125">
        <v>-0.48326059999999998</v>
      </c>
      <c r="W6125">
        <v>-0.12131110000000001</v>
      </c>
      <c r="X6125">
        <v>0.867031</v>
      </c>
      <c r="Y6125">
        <v>-0.5169608</v>
      </c>
      <c r="Z6125">
        <v>0.12390669999999999</v>
      </c>
      <c r="AA6125">
        <v>0.84699389999999997</v>
      </c>
      <c r="AB6125">
        <v>15</v>
      </c>
      <c r="AC6125">
        <v>0.71929999999997496</v>
      </c>
      <c r="AD6125">
        <v>-0.12884979999999999</v>
      </c>
      <c r="AE6125">
        <v>-0.28385000000000099</v>
      </c>
      <c r="AF6125">
        <v>-0.47595609978481201</v>
      </c>
      <c r="AG6125">
        <v>-0.12884979999999999</v>
      </c>
      <c r="AH6125">
        <v>0.58271601902549797</v>
      </c>
      <c r="AI6125">
        <v>99.717849575079299</v>
      </c>
      <c r="AJ6125">
        <v>129.24157552333801</v>
      </c>
      <c r="AK6125">
        <v>0.76334424653057698</v>
      </c>
      <c r="AL6125">
        <v>96.967776109144296</v>
      </c>
      <c r="AM6125">
        <v>119.134162099302</v>
      </c>
      <c r="AN6125">
        <v>0.999999972728284</v>
      </c>
    </row>
    <row r="6126" spans="1:40" x14ac:dyDescent="0.25">
      <c r="A6126" t="str">
        <f>"20190303154644967"</f>
        <v>20190303154644967</v>
      </c>
      <c r="B6126" t="str">
        <f>"1551599204957756"</f>
        <v>1551599204957756</v>
      </c>
      <c r="C6126" t="s">
        <v>40</v>
      </c>
      <c r="D6126">
        <v>5.1602920000000001</v>
      </c>
      <c r="E6126">
        <v>0.4835411</v>
      </c>
      <c r="F6126" t="s">
        <v>42</v>
      </c>
      <c r="G6126">
        <v>-297.9905</v>
      </c>
      <c r="H6126">
        <v>1.00518</v>
      </c>
      <c r="I6126">
        <v>-55.093919999999997</v>
      </c>
      <c r="J6126">
        <v>-298.65170000000001</v>
      </c>
      <c r="K6126">
        <v>1.1247199999999999</v>
      </c>
      <c r="L6126">
        <v>-54.822809999999997</v>
      </c>
      <c r="M6126">
        <v>0.4979209</v>
      </c>
      <c r="N6126">
        <v>-1.4542029999999999E-2</v>
      </c>
      <c r="O6126">
        <v>-0.867100599999999</v>
      </c>
      <c r="P6126">
        <v>0.85124949999999999</v>
      </c>
      <c r="Q6126">
        <v>-0.13083829999999999</v>
      </c>
      <c r="R6126">
        <v>-0.50818869999999905</v>
      </c>
      <c r="S6126">
        <v>2.6075439999999999</v>
      </c>
      <c r="T6126">
        <v>-0.41115190000000001</v>
      </c>
      <c r="U6126">
        <v>-1.4326479999999999</v>
      </c>
      <c r="V6126">
        <v>-0.48403000000000002</v>
      </c>
      <c r="W6126">
        <v>-0.122687</v>
      </c>
      <c r="X6126">
        <v>0.86640799999999996</v>
      </c>
      <c r="Y6126">
        <v>-0.51193149999999998</v>
      </c>
      <c r="Z6126">
        <v>0.12724959999999999</v>
      </c>
      <c r="AA6126">
        <v>0.84954909999999995</v>
      </c>
      <c r="AB6126">
        <v>15</v>
      </c>
      <c r="AC6126">
        <v>0.661200000000007</v>
      </c>
      <c r="AD6126">
        <v>-0.11953999999999999</v>
      </c>
      <c r="AE6126">
        <v>-0.27111000000000002</v>
      </c>
      <c r="AF6126">
        <v>-0.42644917612827998</v>
      </c>
      <c r="AG6126">
        <v>-0.11953999999999999</v>
      </c>
      <c r="AH6126">
        <v>0.54900260910627696</v>
      </c>
      <c r="AI6126">
        <v>99.757026328440006</v>
      </c>
      <c r="AJ6126">
        <v>127.83901603645801</v>
      </c>
      <c r="AK6126">
        <v>0.70537406829709104</v>
      </c>
      <c r="AL6126">
        <v>97.047202616892804</v>
      </c>
      <c r="AM6126">
        <v>119.190472010593</v>
      </c>
      <c r="AN6126">
        <v>0.99999998166649895</v>
      </c>
    </row>
    <row r="6127" spans="1:40" x14ac:dyDescent="0.25">
      <c r="A6127" t="str">
        <f>"20190303154645006"</f>
        <v>20190303154645006</v>
      </c>
      <c r="B6127" t="str">
        <f>"1551599204997771"</f>
        <v>1551599204997771</v>
      </c>
      <c r="C6127" t="s">
        <v>40</v>
      </c>
      <c r="D6127">
        <v>5.1703599999999996</v>
      </c>
      <c r="E6127">
        <v>0.48376340000000001</v>
      </c>
      <c r="F6127" t="s">
        <v>42</v>
      </c>
      <c r="G6127">
        <v>-297.81549999999999</v>
      </c>
      <c r="H6127">
        <v>0.99176030000000004</v>
      </c>
      <c r="I6127">
        <v>-55.272489999999998</v>
      </c>
      <c r="J6127">
        <v>-298.50689999999997</v>
      </c>
      <c r="K6127">
        <v>1.124743</v>
      </c>
      <c r="L6127">
        <v>-55.033389999999997</v>
      </c>
      <c r="M6127">
        <v>0.51222559999999995</v>
      </c>
      <c r="N6127">
        <v>-1.4546770000000001E-2</v>
      </c>
      <c r="O6127">
        <v>-0.85872780000000004</v>
      </c>
      <c r="P6127">
        <v>0.86099199999999998</v>
      </c>
      <c r="Q6127">
        <v>-0.1296455</v>
      </c>
      <c r="R6127">
        <v>-0.49181809999999998</v>
      </c>
      <c r="S6127">
        <v>2.6193240000000002</v>
      </c>
      <c r="T6127">
        <v>-0.41645969999999999</v>
      </c>
      <c r="U6127">
        <v>-1.408569</v>
      </c>
      <c r="V6127">
        <v>-0.48639290000000002</v>
      </c>
      <c r="W6127">
        <v>-0.1215405</v>
      </c>
      <c r="X6127">
        <v>0.86524559999999995</v>
      </c>
      <c r="Y6127">
        <v>-0.50520390000000004</v>
      </c>
      <c r="Z6127">
        <v>0.12829549999999901</v>
      </c>
      <c r="AA6127">
        <v>0.85341039999999901</v>
      </c>
      <c r="AB6127">
        <v>15</v>
      </c>
      <c r="AC6127">
        <v>0.69139999999998702</v>
      </c>
      <c r="AD6127">
        <v>-0.13298269999999901</v>
      </c>
      <c r="AE6127">
        <v>-0.23910000000000001</v>
      </c>
      <c r="AF6127">
        <v>-0.45622627917665298</v>
      </c>
      <c r="AG6127">
        <v>-0.13298269999999901</v>
      </c>
      <c r="AH6127">
        <v>0.54163677699814605</v>
      </c>
      <c r="AI6127">
        <v>100.635267171374</v>
      </c>
      <c r="AJ6127">
        <v>130.10778299437601</v>
      </c>
      <c r="AK6127">
        <v>0.72055340850460403</v>
      </c>
      <c r="AL6127">
        <v>96.981017219393095</v>
      </c>
      <c r="AM6127">
        <v>119.342270462774</v>
      </c>
      <c r="AN6127">
        <v>1.0000000473149999</v>
      </c>
    </row>
    <row r="6128" spans="1:40" x14ac:dyDescent="0.25">
      <c r="A6128" t="str">
        <f>"20190303154645033"</f>
        <v>20190303154645033</v>
      </c>
      <c r="B6128" t="str">
        <f>"1551599205028027"</f>
        <v>1551599205028027</v>
      </c>
      <c r="C6128" t="s">
        <v>40</v>
      </c>
      <c r="D6128">
        <v>5.1980979999999999</v>
      </c>
      <c r="E6128">
        <v>0.48366540000000002</v>
      </c>
      <c r="F6128" t="s">
        <v>42</v>
      </c>
      <c r="G6128">
        <v>-297.66120000000001</v>
      </c>
      <c r="H6128">
        <v>0.9924695</v>
      </c>
      <c r="I6128">
        <v>-55.468169999999901</v>
      </c>
      <c r="J6128">
        <v>-298.40609999999998</v>
      </c>
      <c r="K6128">
        <v>1.1247549999999999</v>
      </c>
      <c r="L6128">
        <v>-55.175260000000002</v>
      </c>
      <c r="M6128">
        <v>0.52196980000000004</v>
      </c>
      <c r="N6128">
        <v>-1.454979E-2</v>
      </c>
      <c r="O6128">
        <v>-0.85283999999999904</v>
      </c>
      <c r="P6128">
        <v>0.86731389999999997</v>
      </c>
      <c r="Q6128">
        <v>-0.12843570000000001</v>
      </c>
      <c r="R6128">
        <v>-0.48090670000000002</v>
      </c>
      <c r="S6128">
        <v>2.6453549999999999</v>
      </c>
      <c r="T6128">
        <v>-0.41371859999999999</v>
      </c>
      <c r="U6128">
        <v>-1.3597109999999999</v>
      </c>
      <c r="V6128">
        <v>-0.4876279</v>
      </c>
      <c r="W6128">
        <v>-0.1203502</v>
      </c>
      <c r="X6128">
        <v>0.86471659999999995</v>
      </c>
      <c r="Y6128">
        <v>-0.51138779999999995</v>
      </c>
      <c r="Z6128">
        <v>0.12737390000000001</v>
      </c>
      <c r="AA6128">
        <v>0.84985789999999894</v>
      </c>
      <c r="AB6128">
        <v>15</v>
      </c>
      <c r="AC6128">
        <v>0.74489999999997203</v>
      </c>
      <c r="AD6128">
        <v>-0.132285499999999</v>
      </c>
      <c r="AE6128">
        <v>-0.292909999999999</v>
      </c>
      <c r="AF6128">
        <v>-0.469614215031191</v>
      </c>
      <c r="AG6128">
        <v>-0.132285499999999</v>
      </c>
      <c r="AH6128">
        <v>0.62170677533200203</v>
      </c>
      <c r="AI6128">
        <v>99.636034226169897</v>
      </c>
      <c r="AJ6128">
        <v>127.06604469718999</v>
      </c>
      <c r="AK6128">
        <v>0.79028873139083</v>
      </c>
      <c r="AL6128">
        <v>96.912314255706903</v>
      </c>
      <c r="AM6128">
        <v>119.419365580115</v>
      </c>
      <c r="AN6128">
        <v>0.99999996890700404</v>
      </c>
    </row>
    <row r="6129" spans="1:40" x14ac:dyDescent="0.25">
      <c r="A6129" t="str">
        <f>"20190303154645055"</f>
        <v>20190303154645055</v>
      </c>
      <c r="B6129" t="str">
        <f>"1551599205047548"</f>
        <v>1551599205047548</v>
      </c>
      <c r="C6129" t="s">
        <v>40</v>
      </c>
      <c r="D6129">
        <v>5.1682100000000002</v>
      </c>
      <c r="E6129">
        <v>0.48341509999999999</v>
      </c>
      <c r="F6129" t="s">
        <v>42</v>
      </c>
      <c r="G6129">
        <v>-297.59710000000001</v>
      </c>
      <c r="H6129">
        <v>0.99997919999999996</v>
      </c>
      <c r="I6129">
        <v>-55.578169999999901</v>
      </c>
      <c r="J6129">
        <v>-298.32479999999998</v>
      </c>
      <c r="K6129">
        <v>1.1247609999999999</v>
      </c>
      <c r="L6129">
        <v>-55.287199999999999</v>
      </c>
      <c r="M6129">
        <v>0.52971269999999904</v>
      </c>
      <c r="N6129">
        <v>-1.455158E-2</v>
      </c>
      <c r="O6129">
        <v>-0.84805259999999905</v>
      </c>
      <c r="P6129">
        <v>0.87234560000000005</v>
      </c>
      <c r="Q6129">
        <v>-0.12758130000000001</v>
      </c>
      <c r="R6129">
        <v>-0.47194979999999997</v>
      </c>
      <c r="S6129">
        <v>2.663116</v>
      </c>
      <c r="T6129">
        <v>-0.41065970000000002</v>
      </c>
      <c r="U6129">
        <v>-1.325531</v>
      </c>
      <c r="V6129">
        <v>-0.4887725</v>
      </c>
      <c r="W6129">
        <v>-0.1195107</v>
      </c>
      <c r="X6129">
        <v>0.86418660000000003</v>
      </c>
      <c r="Y6129">
        <v>-0.51472379999999995</v>
      </c>
      <c r="Z6129">
        <v>0.12626189999999901</v>
      </c>
      <c r="AA6129">
        <v>0.84800789999999904</v>
      </c>
      <c r="AB6129">
        <v>15</v>
      </c>
      <c r="AC6129">
        <v>0.72769999999997004</v>
      </c>
      <c r="AD6129">
        <v>-0.1247818</v>
      </c>
      <c r="AE6129">
        <v>-0.29096999999999401</v>
      </c>
      <c r="AF6129">
        <v>-0.45159808542941698</v>
      </c>
      <c r="AG6129">
        <v>-0.1247818</v>
      </c>
      <c r="AH6129">
        <v>0.61666390054467102</v>
      </c>
      <c r="AI6129">
        <v>99.271991573289995</v>
      </c>
      <c r="AJ6129">
        <v>126.216231884257</v>
      </c>
      <c r="AK6129">
        <v>0.77445832335234399</v>
      </c>
      <c r="AL6129">
        <v>96.863865075846405</v>
      </c>
      <c r="AM6129">
        <v>119.491925718929</v>
      </c>
      <c r="AN6129">
        <v>0.99999992189514697</v>
      </c>
    </row>
    <row r="6130" spans="1:40" x14ac:dyDescent="0.25">
      <c r="A6130" t="str">
        <f>"20190303154645078"</f>
        <v>20190303154645078</v>
      </c>
      <c r="B6130" t="str">
        <f>"1551599205068043"</f>
        <v>1551599205068043</v>
      </c>
      <c r="C6130" t="s">
        <v>40</v>
      </c>
      <c r="D6130">
        <v>5.1990860000000003</v>
      </c>
      <c r="E6130">
        <v>0.48320839999999998</v>
      </c>
      <c r="F6130" t="s">
        <v>42</v>
      </c>
      <c r="G6130">
        <v>-297.52089999999998</v>
      </c>
      <c r="H6130">
        <v>1.0021719999999901</v>
      </c>
      <c r="I6130">
        <v>-55.676409999999997</v>
      </c>
      <c r="J6130">
        <v>-298.23669999999998</v>
      </c>
      <c r="K6130">
        <v>1.124763</v>
      </c>
      <c r="L6130">
        <v>-55.406219999999998</v>
      </c>
      <c r="M6130">
        <v>0.53800769999999998</v>
      </c>
      <c r="N6130">
        <v>-1.455321E-2</v>
      </c>
      <c r="O6130">
        <v>-0.84281419999999996</v>
      </c>
      <c r="P6130">
        <v>0.8772394</v>
      </c>
      <c r="Q6130">
        <v>-0.12825329999999999</v>
      </c>
      <c r="R6130">
        <v>-0.46260390000000001</v>
      </c>
      <c r="S6130">
        <v>2.6779790000000001</v>
      </c>
      <c r="T6130">
        <v>-0.40834569999999998</v>
      </c>
      <c r="U6130">
        <v>-1.296295</v>
      </c>
      <c r="V6130">
        <v>-0.4894347</v>
      </c>
      <c r="W6130">
        <v>-0.12019389999999899</v>
      </c>
      <c r="X6130">
        <v>0.86371699999999996</v>
      </c>
      <c r="Y6130">
        <v>-0.51580280000000001</v>
      </c>
      <c r="Z6130">
        <v>0.1252529</v>
      </c>
      <c r="AA6130">
        <v>0.84750179999999997</v>
      </c>
      <c r="AB6130">
        <v>15</v>
      </c>
      <c r="AC6130">
        <v>0.71580000000000099</v>
      </c>
      <c r="AD6130">
        <v>-0.12259100000000001</v>
      </c>
      <c r="AE6130">
        <v>-0.27018999999999899</v>
      </c>
      <c r="AF6130">
        <v>-0.44650723529779701</v>
      </c>
      <c r="AG6130">
        <v>-0.12259100000000001</v>
      </c>
      <c r="AH6130">
        <v>0.597549642677079</v>
      </c>
      <c r="AI6130">
        <v>99.3327447845992</v>
      </c>
      <c r="AJ6130">
        <v>126.768201840279</v>
      </c>
      <c r="AK6130">
        <v>0.75595161215370599</v>
      </c>
      <c r="AL6130">
        <v>96.903293382250098</v>
      </c>
      <c r="AM6130">
        <v>119.538534543965</v>
      </c>
      <c r="AN6130">
        <v>0.99999997762514903</v>
      </c>
    </row>
    <row r="6131" spans="1:40" x14ac:dyDescent="0.25">
      <c r="A6131" t="str">
        <f>"20190303154645101"</f>
        <v>20190303154645101</v>
      </c>
      <c r="B6131" t="str">
        <f>"1551599205087564"</f>
        <v>1551599205087564</v>
      </c>
      <c r="C6131" t="s">
        <v>40</v>
      </c>
      <c r="D6131">
        <v>5.1773740000000004</v>
      </c>
      <c r="E6131">
        <v>0.48308190000000001</v>
      </c>
      <c r="F6131" t="s">
        <v>42</v>
      </c>
      <c r="G6131">
        <v>-297.44779999999997</v>
      </c>
      <c r="H6131">
        <v>1.0042150000000001</v>
      </c>
      <c r="I6131">
        <v>-55.777410000000003</v>
      </c>
      <c r="J6131">
        <v>-298.1506</v>
      </c>
      <c r="K6131">
        <v>1.1247560000000001</v>
      </c>
      <c r="L6131">
        <v>-55.520020000000002</v>
      </c>
      <c r="M6131">
        <v>0.54599980000000004</v>
      </c>
      <c r="N6131">
        <v>-1.455504E-2</v>
      </c>
      <c r="O6131">
        <v>-0.83765889999999998</v>
      </c>
      <c r="P6131">
        <v>0.8816254</v>
      </c>
      <c r="Q6131">
        <v>-0.1290318</v>
      </c>
      <c r="R6131">
        <v>-0.4539686</v>
      </c>
      <c r="S6131">
        <v>2.692078</v>
      </c>
      <c r="T6131">
        <v>-0.41130090000000002</v>
      </c>
      <c r="U6131">
        <v>-1.266052</v>
      </c>
      <c r="V6131">
        <v>-0.48959570000000002</v>
      </c>
      <c r="W6131">
        <v>-0.120979</v>
      </c>
      <c r="X6131">
        <v>0.86351619999999996</v>
      </c>
      <c r="Y6131">
        <v>-0.51706649999999998</v>
      </c>
      <c r="Z6131">
        <v>0.12600980000000001</v>
      </c>
      <c r="AA6131">
        <v>0.84661900000000001</v>
      </c>
      <c r="AB6131">
        <v>15</v>
      </c>
      <c r="AC6131">
        <v>0.70280000000002396</v>
      </c>
      <c r="AD6131">
        <v>-0.120541</v>
      </c>
      <c r="AE6131">
        <v>-0.25739000000000001</v>
      </c>
      <c r="AF6131">
        <v>-0.43688708010914301</v>
      </c>
      <c r="AG6131">
        <v>-0.120541</v>
      </c>
      <c r="AH6131">
        <v>0.58424280830346897</v>
      </c>
      <c r="AI6131">
        <v>99.382306332235402</v>
      </c>
      <c r="AJ6131">
        <v>126.788530368187</v>
      </c>
      <c r="AK6131">
        <v>0.73941876666853401</v>
      </c>
      <c r="AL6131">
        <v>96.948606472010098</v>
      </c>
      <c r="AM6131">
        <v>119.552333603439</v>
      </c>
      <c r="AN6131">
        <v>1.0000000477809601</v>
      </c>
    </row>
    <row r="6132" spans="1:40" x14ac:dyDescent="0.25">
      <c r="A6132" t="str">
        <f>"20190303154645141"</f>
        <v>20190303154645141</v>
      </c>
      <c r="B6132" t="str">
        <f>"1551599205127583"</f>
        <v>1551599205127583</v>
      </c>
      <c r="C6132" t="s">
        <v>40</v>
      </c>
      <c r="D6132">
        <v>5.2254820000000004</v>
      </c>
      <c r="E6132">
        <v>0.48298600000000003</v>
      </c>
      <c r="F6132" t="s">
        <v>42</v>
      </c>
      <c r="G6132">
        <v>-297.37259999999998</v>
      </c>
      <c r="H6132">
        <v>1.0054700000000001</v>
      </c>
      <c r="I6132">
        <v>-55.876260000000002</v>
      </c>
      <c r="J6132">
        <v>-297.99709999999999</v>
      </c>
      <c r="K6132">
        <v>1.1247529999999999</v>
      </c>
      <c r="L6132">
        <v>-55.716859999999997</v>
      </c>
      <c r="M6132">
        <v>0.55999180000000004</v>
      </c>
      <c r="N6132">
        <v>-1.456005E-2</v>
      </c>
      <c r="O6132">
        <v>-0.8283703</v>
      </c>
      <c r="P6132">
        <v>0.88861749999999995</v>
      </c>
      <c r="Q6132">
        <v>-0.1304681</v>
      </c>
      <c r="R6132">
        <v>-0.43970120000000001</v>
      </c>
      <c r="S6132">
        <v>2.704437</v>
      </c>
      <c r="T6132">
        <v>-0.4146647</v>
      </c>
      <c r="U6132">
        <v>-1.238464</v>
      </c>
      <c r="V6132">
        <v>-0.48881960000000002</v>
      </c>
      <c r="W6132">
        <v>-0.1224151</v>
      </c>
      <c r="X6132">
        <v>0.8637534</v>
      </c>
      <c r="Y6132">
        <v>-0.51125229999999999</v>
      </c>
      <c r="Z6132">
        <v>0.1262643</v>
      </c>
      <c r="AA6132">
        <v>0.85010490000000005</v>
      </c>
      <c r="AB6132">
        <v>15</v>
      </c>
      <c r="AC6132">
        <v>0.62450000000001105</v>
      </c>
      <c r="AD6132">
        <v>-0.119283</v>
      </c>
      <c r="AE6132">
        <v>-0.15939999999999799</v>
      </c>
      <c r="AF6132">
        <v>-0.41392237592881598</v>
      </c>
      <c r="AG6132">
        <v>-0.119283</v>
      </c>
      <c r="AH6132">
        <v>0.46585193661903002</v>
      </c>
      <c r="AI6132">
        <v>100.835977826332</v>
      </c>
      <c r="AJ6132">
        <v>131.621978628764</v>
      </c>
      <c r="AK6132">
        <v>0.63449049972025295</v>
      </c>
      <c r="AL6132">
        <v>97.031505464509905</v>
      </c>
      <c r="AM6132">
        <v>119.506604242912</v>
      </c>
      <c r="AN6132">
        <v>0.99999999703186404</v>
      </c>
    </row>
    <row r="6133" spans="1:40" x14ac:dyDescent="0.25">
      <c r="A6133" t="str">
        <f>"20190303154645164"</f>
        <v>20190303154645164</v>
      </c>
      <c r="B6133" t="str">
        <f>"1551599205157835"</f>
        <v>1551599205157835</v>
      </c>
      <c r="C6133" t="s">
        <v>40</v>
      </c>
      <c r="D6133">
        <v>5.1507930000000002</v>
      </c>
      <c r="E6133">
        <v>0.482933</v>
      </c>
      <c r="F6133" t="s">
        <v>42</v>
      </c>
      <c r="G6133">
        <v>-297.21080000000001</v>
      </c>
      <c r="H6133">
        <v>1.003641</v>
      </c>
      <c r="I6133">
        <v>-56.061540000000001</v>
      </c>
      <c r="J6133">
        <v>-297.90570000000002</v>
      </c>
      <c r="K6133">
        <v>1.124752</v>
      </c>
      <c r="L6133">
        <v>-55.83081</v>
      </c>
      <c r="M6133">
        <v>0.56817249999999997</v>
      </c>
      <c r="N6133">
        <v>-1.456263E-2</v>
      </c>
      <c r="O6133">
        <v>-0.82278069999999903</v>
      </c>
      <c r="P6133">
        <v>0.89219809999999999</v>
      </c>
      <c r="Q6133">
        <v>-0.13137570000000001</v>
      </c>
      <c r="R6133">
        <v>-0.43211490000000002</v>
      </c>
      <c r="S6133">
        <v>2.7236020000000001</v>
      </c>
      <c r="T6133">
        <v>-0.41953469999999998</v>
      </c>
      <c r="U6133">
        <v>-1.1940919999999999</v>
      </c>
      <c r="V6133">
        <v>-0.48750310000000002</v>
      </c>
      <c r="W6133">
        <v>-0.1233027</v>
      </c>
      <c r="X6133">
        <v>0.864370999999999</v>
      </c>
      <c r="Y6133">
        <v>-0.51633640000000003</v>
      </c>
      <c r="Z6133">
        <v>0.127807</v>
      </c>
      <c r="AA6133">
        <v>0.84679509999999902</v>
      </c>
      <c r="AB6133">
        <v>14</v>
      </c>
      <c r="AC6133">
        <v>0.69490000000001795</v>
      </c>
      <c r="AD6133">
        <v>-0.121110999999999</v>
      </c>
      <c r="AE6133">
        <v>-0.23073000000000099</v>
      </c>
      <c r="AF6133">
        <v>-0.42896639489217703</v>
      </c>
      <c r="AG6133">
        <v>-0.121110999999999</v>
      </c>
      <c r="AH6133">
        <v>0.56915364088120002</v>
      </c>
      <c r="AI6133">
        <v>99.644231990214806</v>
      </c>
      <c r="AJ6133">
        <v>127.005031255867</v>
      </c>
      <c r="AK6133">
        <v>0.72292178636151105</v>
      </c>
      <c r="AL6133">
        <v>97.082749203635302</v>
      </c>
      <c r="AM6133">
        <v>119.422890461216</v>
      </c>
      <c r="AN6133">
        <v>1.00000002698894</v>
      </c>
    </row>
    <row r="6134" spans="1:40" x14ac:dyDescent="0.25">
      <c r="A6134" t="str">
        <f>"20190303154645192"</f>
        <v>20190303154645192</v>
      </c>
      <c r="B6134" t="str">
        <f>"1551599205188091"</f>
        <v>1551599205188091</v>
      </c>
      <c r="C6134" t="s">
        <v>40</v>
      </c>
      <c r="D6134">
        <v>5.2546339999999896</v>
      </c>
      <c r="E6134">
        <v>0.46325769999999999</v>
      </c>
      <c r="F6134" t="s">
        <v>42</v>
      </c>
      <c r="G6134">
        <v>-297.01729999999998</v>
      </c>
      <c r="H6134">
        <v>0.98734219999999895</v>
      </c>
      <c r="I6134">
        <v>-56.211219999999997</v>
      </c>
      <c r="J6134">
        <v>-297.7921</v>
      </c>
      <c r="K6134">
        <v>1.124741</v>
      </c>
      <c r="L6134">
        <v>-55.96893</v>
      </c>
      <c r="M6134">
        <v>0.57817019999999997</v>
      </c>
      <c r="N6134">
        <v>-1.4564280000000001E-2</v>
      </c>
      <c r="O6134">
        <v>-0.81578619999999902</v>
      </c>
      <c r="P6134">
        <v>0.89635100000000001</v>
      </c>
      <c r="Q6134">
        <v>-0.13301669999999999</v>
      </c>
      <c r="R6134">
        <v>-0.42292020000000002</v>
      </c>
      <c r="S6134">
        <v>2.733368</v>
      </c>
      <c r="T6134">
        <v>-0.4227939</v>
      </c>
      <c r="U6134">
        <v>-1.17041</v>
      </c>
      <c r="V6134">
        <v>-0.48563220000000001</v>
      </c>
      <c r="W6134">
        <v>-0.1249089</v>
      </c>
      <c r="X6134">
        <v>0.86519310000000005</v>
      </c>
      <c r="Y6134">
        <v>-0.51311499999999999</v>
      </c>
      <c r="Z6134">
        <v>0.12825339999999999</v>
      </c>
      <c r="AA6134">
        <v>0.84868369999999904</v>
      </c>
      <c r="AB6134">
        <v>14</v>
      </c>
      <c r="AC6134">
        <v>0.77480000000002702</v>
      </c>
      <c r="AD6134">
        <v>-0.13739879999999999</v>
      </c>
      <c r="AE6134">
        <v>-0.24228999999998899</v>
      </c>
      <c r="AF6134">
        <v>-0.47833594613003999</v>
      </c>
      <c r="AG6134">
        <v>-0.13739879999999999</v>
      </c>
      <c r="AH6134">
        <v>0.627710054393808</v>
      </c>
      <c r="AI6134">
        <v>99.876228127487195</v>
      </c>
      <c r="AJ6134">
        <v>127.308606671394</v>
      </c>
      <c r="AK6134">
        <v>0.80106405485993404</v>
      </c>
      <c r="AL6134">
        <v>97.175495021772306</v>
      </c>
      <c r="AM6134">
        <v>119.305462896859</v>
      </c>
      <c r="AN6134">
        <v>0.99999998363182896</v>
      </c>
    </row>
    <row r="6135" spans="1:40" x14ac:dyDescent="0.25">
      <c r="A6135" t="str">
        <f>"20190303154645216"</f>
        <v>20190303154645216</v>
      </c>
      <c r="B6135" t="str">
        <f>"1551599205207612"</f>
        <v>1551599205207612</v>
      </c>
      <c r="C6135" t="s">
        <v>40</v>
      </c>
      <c r="D6135">
        <v>5.2636560000000001</v>
      </c>
      <c r="E6135">
        <v>0.46214359999999999</v>
      </c>
      <c r="F6135" t="s">
        <v>42</v>
      </c>
      <c r="G6135">
        <v>-296.91570000000002</v>
      </c>
      <c r="H6135">
        <v>0.97019739999999999</v>
      </c>
      <c r="I6135">
        <v>-56.279209999999999</v>
      </c>
      <c r="J6135">
        <v>-297.69779999999997</v>
      </c>
      <c r="K6135">
        <v>1.124725</v>
      </c>
      <c r="L6135">
        <v>-56.081209999999999</v>
      </c>
      <c r="M6135">
        <v>0.58634589999999998</v>
      </c>
      <c r="N6135">
        <v>-1.456445E-2</v>
      </c>
      <c r="O6135">
        <v>-0.80992980000000003</v>
      </c>
      <c r="P6135">
        <v>0.89975629999999995</v>
      </c>
      <c r="Q6135">
        <v>-0.1339639</v>
      </c>
      <c r="R6135">
        <v>-0.41532180000000002</v>
      </c>
      <c r="S6135">
        <v>2.8051149999999998</v>
      </c>
      <c r="T6135">
        <v>-0.49457780000000001</v>
      </c>
      <c r="U6135">
        <v>-0.9926758</v>
      </c>
      <c r="V6135">
        <v>-0.48413270000000003</v>
      </c>
      <c r="W6135">
        <v>-0.12581980000000001</v>
      </c>
      <c r="X6135">
        <v>0.86590119999999904</v>
      </c>
      <c r="Y6135">
        <v>-0.5544076</v>
      </c>
      <c r="Z6135">
        <v>0.15351099999999901</v>
      </c>
      <c r="AA6135">
        <v>0.81796499999999905</v>
      </c>
      <c r="AB6135">
        <v>14</v>
      </c>
      <c r="AC6135">
        <v>0.78209999999995705</v>
      </c>
      <c r="AD6135">
        <v>-0.15452759999999999</v>
      </c>
      <c r="AE6135">
        <v>-0.19800000000000001</v>
      </c>
      <c r="AF6135">
        <v>-0.499094399414722</v>
      </c>
      <c r="AG6135">
        <v>-0.15452759999999999</v>
      </c>
      <c r="AH6135">
        <v>0.597107044092821</v>
      </c>
      <c r="AI6135">
        <v>101.23082676514601</v>
      </c>
      <c r="AJ6135">
        <v>129.890704057384</v>
      </c>
      <c r="AK6135">
        <v>0.79341717954312596</v>
      </c>
      <c r="AL6135">
        <v>97.228100717446296</v>
      </c>
      <c r="AM6135">
        <v>119.20992560894901</v>
      </c>
      <c r="AN6135">
        <v>0.99999999072138401</v>
      </c>
    </row>
    <row r="6136" spans="1:40" x14ac:dyDescent="0.25">
      <c r="A6136" t="str">
        <f>"20190303154645236"</f>
        <v>20190303154645236</v>
      </c>
      <c r="B6136" t="str">
        <f>"1551599205228107"</f>
        <v>1551599205228107</v>
      </c>
      <c r="C6136" t="s">
        <v>40</v>
      </c>
      <c r="D6136">
        <v>5.2455290000000003</v>
      </c>
      <c r="E6136">
        <v>0.4614413</v>
      </c>
      <c r="F6136" t="s">
        <v>42</v>
      </c>
      <c r="G6136">
        <v>-296.83890000000002</v>
      </c>
      <c r="H6136">
        <v>0.97260800000000003</v>
      </c>
      <c r="I6136">
        <v>-56.374160000000003</v>
      </c>
      <c r="J6136">
        <v>-297.61169999999998</v>
      </c>
      <c r="K6136">
        <v>1.124716</v>
      </c>
      <c r="L6136">
        <v>-56.181579999999997</v>
      </c>
      <c r="M6136">
        <v>0.59369839999999996</v>
      </c>
      <c r="N6136">
        <v>-1.456388E-2</v>
      </c>
      <c r="O6136">
        <v>-0.80455600000000005</v>
      </c>
      <c r="P6136">
        <v>0.90272549999999996</v>
      </c>
      <c r="Q6136">
        <v>-0.1353917</v>
      </c>
      <c r="R6136">
        <v>-0.408358</v>
      </c>
      <c r="S6136">
        <v>2.8165279999999999</v>
      </c>
      <c r="T6136">
        <v>-0.49881510000000001</v>
      </c>
      <c r="U6136">
        <v>-0.96063229999999999</v>
      </c>
      <c r="V6136">
        <v>-0.48275820000000003</v>
      </c>
      <c r="W6136">
        <v>-0.1272131</v>
      </c>
      <c r="X6136">
        <v>0.86646489999999998</v>
      </c>
      <c r="Y6136">
        <v>-0.55600319999999903</v>
      </c>
      <c r="Z6136">
        <v>0.15458189999999999</v>
      </c>
      <c r="AA6136">
        <v>0.81667919999999905</v>
      </c>
      <c r="AB6136">
        <v>14</v>
      </c>
      <c r="AC6136">
        <v>0.77279999999996096</v>
      </c>
      <c r="AD6136">
        <v>-0.15210799999999999</v>
      </c>
      <c r="AE6136">
        <v>-0.19257999999999201</v>
      </c>
      <c r="AF6136">
        <v>-0.48962088969457701</v>
      </c>
      <c r="AG6136">
        <v>-0.15210799999999999</v>
      </c>
      <c r="AH6136">
        <v>0.59221503106817497</v>
      </c>
      <c r="AI6136">
        <v>101.197099932321</v>
      </c>
      <c r="AJ6136">
        <v>129.58264970361901</v>
      </c>
      <c r="AK6136">
        <v>0.78331609348486397</v>
      </c>
      <c r="AL6136">
        <v>97.3085772606983</v>
      </c>
      <c r="AM6136">
        <v>119.124733214377</v>
      </c>
      <c r="AN6136">
        <v>1.0000000377054199</v>
      </c>
    </row>
    <row r="6137" spans="1:40" x14ac:dyDescent="0.25">
      <c r="A6137" t="str">
        <f>"20190303154645274"</f>
        <v>20190303154645274</v>
      </c>
      <c r="B6137" t="str">
        <f>"1551599205268124"</f>
        <v>1551599205268124</v>
      </c>
      <c r="C6137" t="s">
        <v>40</v>
      </c>
      <c r="D6137">
        <v>5.2577210000000001</v>
      </c>
      <c r="E6137">
        <v>0.46059099999999997</v>
      </c>
      <c r="F6137" t="s">
        <v>42</v>
      </c>
      <c r="G6137">
        <v>-296.75760000000002</v>
      </c>
      <c r="H6137">
        <v>0.97277469999999999</v>
      </c>
      <c r="I6137">
        <v>-56.463990000000003</v>
      </c>
      <c r="J6137">
        <v>-297.45890000000003</v>
      </c>
      <c r="K6137">
        <v>1.124692</v>
      </c>
      <c r="L6137">
        <v>-56.35501</v>
      </c>
      <c r="M6137">
        <v>0.60649690000000001</v>
      </c>
      <c r="N6137">
        <v>-1.456208E-2</v>
      </c>
      <c r="O6137">
        <v>-0.79495249999999995</v>
      </c>
      <c r="P6137">
        <v>0.90729219999999999</v>
      </c>
      <c r="Q6137">
        <v>-0.13745309999999999</v>
      </c>
      <c r="R6137">
        <v>-0.39740160000000002</v>
      </c>
      <c r="S6137">
        <v>2.8254999999999999</v>
      </c>
      <c r="T6137">
        <v>-0.50262070000000003</v>
      </c>
      <c r="U6137">
        <v>-0.93377690000000002</v>
      </c>
      <c r="V6137">
        <v>-0.47912529999999998</v>
      </c>
      <c r="W6137">
        <v>-0.12919439999999999</v>
      </c>
      <c r="X6137">
        <v>0.86818649999999997</v>
      </c>
      <c r="Y6137">
        <v>-0.55045259999999996</v>
      </c>
      <c r="Z6137">
        <v>0.1546661</v>
      </c>
      <c r="AA6137">
        <v>0.8204148</v>
      </c>
      <c r="AB6137">
        <v>14</v>
      </c>
      <c r="AC6137">
        <v>0.70130000000000303</v>
      </c>
      <c r="AD6137">
        <v>-0.15191730000000001</v>
      </c>
      <c r="AE6137">
        <v>-0.10898000000000201</v>
      </c>
      <c r="AF6137">
        <v>-0.46992485622091301</v>
      </c>
      <c r="AG6137">
        <v>-0.15191730000000001</v>
      </c>
      <c r="AH6137">
        <v>0.48959195678587802</v>
      </c>
      <c r="AI6137">
        <v>102.61825286822101</v>
      </c>
      <c r="AJ6137">
        <v>133.825779727449</v>
      </c>
      <c r="AK6137">
        <v>0.69541967234394597</v>
      </c>
      <c r="AL6137">
        <v>97.423042098136506</v>
      </c>
      <c r="AM6137">
        <v>118.892948717986</v>
      </c>
      <c r="AN6137">
        <v>1.0000000224368399</v>
      </c>
    </row>
    <row r="6138" spans="1:40" x14ac:dyDescent="0.25">
      <c r="A6138" t="str">
        <f>"20190303154645299"</f>
        <v>20190303154645299</v>
      </c>
      <c r="B6138" t="str">
        <f>"1551599205287645"</f>
        <v>1551599205287645</v>
      </c>
      <c r="C6138" t="s">
        <v>40</v>
      </c>
      <c r="D6138">
        <v>5.2092450000000001</v>
      </c>
      <c r="E6138">
        <v>0.46012760000000003</v>
      </c>
      <c r="F6138" t="s">
        <v>42</v>
      </c>
      <c r="G6138">
        <v>-296.58440000000002</v>
      </c>
      <c r="H6138">
        <v>0.96809350000000005</v>
      </c>
      <c r="I6138">
        <v>-56.630339999999997</v>
      </c>
      <c r="J6138">
        <v>-297.35379999999998</v>
      </c>
      <c r="K6138">
        <v>1.124676</v>
      </c>
      <c r="L6138">
        <v>-56.471159999999998</v>
      </c>
      <c r="M6138">
        <v>0.61511610000000005</v>
      </c>
      <c r="N6138">
        <v>-1.456004E-2</v>
      </c>
      <c r="O6138">
        <v>-0.78830210000000001</v>
      </c>
      <c r="P6138">
        <v>0.91078429999999999</v>
      </c>
      <c r="Q6138">
        <v>-0.137185</v>
      </c>
      <c r="R6138">
        <v>-0.38942539999999998</v>
      </c>
      <c r="S6138">
        <v>2.8382260000000001</v>
      </c>
      <c r="T6138">
        <v>-0.50826800000000005</v>
      </c>
      <c r="U6138">
        <v>-0.89340209999999998</v>
      </c>
      <c r="V6138">
        <v>-0.47733140000000002</v>
      </c>
      <c r="W6138">
        <v>-0.12888179999999999</v>
      </c>
      <c r="X6138">
        <v>0.86922049999999995</v>
      </c>
      <c r="Y6138">
        <v>-0.55277900000000002</v>
      </c>
      <c r="Z6138">
        <v>0.1561266</v>
      </c>
      <c r="AA6138">
        <v>0.81857190000000002</v>
      </c>
      <c r="AB6138">
        <v>14</v>
      </c>
      <c r="AC6138">
        <v>0.769399999999961</v>
      </c>
      <c r="AD6138">
        <v>-0.15658250000000001</v>
      </c>
      <c r="AE6138">
        <v>-0.15918000000000601</v>
      </c>
      <c r="AF6138">
        <v>-0.48922852804572198</v>
      </c>
      <c r="AG6138">
        <v>-0.15658250000000001</v>
      </c>
      <c r="AH6138">
        <v>0.57594090239056805</v>
      </c>
      <c r="AI6138">
        <v>101.70644606471799</v>
      </c>
      <c r="AJ6138">
        <v>130.34597848371499</v>
      </c>
      <c r="AK6138">
        <v>0.77173217828887797</v>
      </c>
      <c r="AL6138">
        <v>97.404980374132506</v>
      </c>
      <c r="AM6138">
        <v>118.773337056361</v>
      </c>
      <c r="AN6138">
        <v>1.00000003070872</v>
      </c>
    </row>
    <row r="6139" spans="1:40" x14ac:dyDescent="0.25">
      <c r="A6139" t="str">
        <f>"20190303154645321"</f>
        <v>20190303154645321</v>
      </c>
      <c r="B6139" t="str">
        <f>"1551599205317900"</f>
        <v>1551599205317900</v>
      </c>
      <c r="C6139" t="s">
        <v>40</v>
      </c>
      <c r="D6139">
        <v>5.1765210000000002</v>
      </c>
      <c r="E6139">
        <v>0.46012259999999999</v>
      </c>
      <c r="F6139" t="s">
        <v>42</v>
      </c>
      <c r="G6139">
        <v>-296.50990000000002</v>
      </c>
      <c r="H6139">
        <v>0.97378900000000002</v>
      </c>
      <c r="I6139">
        <v>-56.727559999999997</v>
      </c>
      <c r="J6139">
        <v>-297.26170000000002</v>
      </c>
      <c r="K6139">
        <v>1.124671</v>
      </c>
      <c r="L6139">
        <v>-56.570889999999999</v>
      </c>
      <c r="M6139">
        <v>0.6225541</v>
      </c>
      <c r="N6139">
        <v>-1.455771E-2</v>
      </c>
      <c r="O6139">
        <v>-0.78244139999999995</v>
      </c>
      <c r="P6139">
        <v>0.91362929999999998</v>
      </c>
      <c r="Q6139">
        <v>-0.13734830000000001</v>
      </c>
      <c r="R6139">
        <v>-0.3826446</v>
      </c>
      <c r="S6139">
        <v>2.8472900000000001</v>
      </c>
      <c r="T6139">
        <v>-0.50912760000000001</v>
      </c>
      <c r="U6139">
        <v>-0.86508180000000001</v>
      </c>
      <c r="V6139">
        <v>-0.47554629999999998</v>
      </c>
      <c r="W6139">
        <v>-0.1290036</v>
      </c>
      <c r="X6139">
        <v>0.87018030000000002</v>
      </c>
      <c r="Y6139">
        <v>-0.55311129999999997</v>
      </c>
      <c r="Z6139">
        <v>0.1559305</v>
      </c>
      <c r="AA6139">
        <v>0.81838469999999996</v>
      </c>
      <c r="AB6139">
        <v>14</v>
      </c>
      <c r="AC6139">
        <v>0.75180000000000202</v>
      </c>
      <c r="AD6139">
        <v>-0.15088199999999999</v>
      </c>
      <c r="AE6139">
        <v>-0.15666999999999101</v>
      </c>
      <c r="AF6139">
        <v>-0.47251590254799303</v>
      </c>
      <c r="AG6139">
        <v>-0.15088199999999999</v>
      </c>
      <c r="AH6139">
        <v>0.56872982752152201</v>
      </c>
      <c r="AI6139">
        <v>101.53330475281101</v>
      </c>
      <c r="AJ6139">
        <v>129.720706096002</v>
      </c>
      <c r="AK6139">
        <v>0.75464579293692802</v>
      </c>
      <c r="AL6139">
        <v>97.412018100287895</v>
      </c>
      <c r="AM6139">
        <v>118.65623767622201</v>
      </c>
      <c r="AN6139">
        <v>0.99999998338236895</v>
      </c>
    </row>
    <row r="6140" spans="1:40" x14ac:dyDescent="0.25">
      <c r="A6140" t="str">
        <f>"20190303154645342"</f>
        <v>20190303154645342</v>
      </c>
      <c r="B6140" t="str">
        <f>"1551599205338396"</f>
        <v>1551599205338396</v>
      </c>
      <c r="C6140" t="s">
        <v>40</v>
      </c>
      <c r="D6140">
        <v>5.2092280000000004</v>
      </c>
      <c r="E6140">
        <v>0.4603235</v>
      </c>
      <c r="F6140" t="s">
        <v>60</v>
      </c>
      <c r="G6140">
        <v>-290.93369999999999</v>
      </c>
      <c r="H6140" s="1">
        <v>-9.6370949999999993E-6</v>
      </c>
      <c r="I6140">
        <v>-58.442909999999998</v>
      </c>
      <c r="J6140">
        <v>-297.17439999999999</v>
      </c>
      <c r="K6140">
        <v>1.124652</v>
      </c>
      <c r="L6140">
        <v>-56.66348</v>
      </c>
      <c r="M6140">
        <v>0.62948999999999999</v>
      </c>
      <c r="N6140">
        <v>-1.455501E-2</v>
      </c>
      <c r="O6140">
        <v>-0.77687220000000001</v>
      </c>
      <c r="P6140">
        <v>0.91571519999999995</v>
      </c>
      <c r="Q6140">
        <v>-0.1371841</v>
      </c>
      <c r="R6140">
        <v>-0.3776851</v>
      </c>
      <c r="S6140">
        <v>2.85379</v>
      </c>
      <c r="T6140">
        <v>-0.50720639999999995</v>
      </c>
      <c r="U6140">
        <v>-0.8442383</v>
      </c>
      <c r="V6140">
        <v>-0.47255170000000002</v>
      </c>
      <c r="W6140">
        <v>-0.12877819999999901</v>
      </c>
      <c r="X6140">
        <v>0.87184349999999999</v>
      </c>
      <c r="Y6140">
        <v>-0.55192459999999999</v>
      </c>
      <c r="Z6140">
        <v>0.154755</v>
      </c>
      <c r="AA6140">
        <v>0.81940840000000004</v>
      </c>
      <c r="AB6140">
        <v>14</v>
      </c>
      <c r="AC6140">
        <v>6.2407000000000004</v>
      </c>
      <c r="AD6140">
        <v>-1.124661637095</v>
      </c>
      <c r="AE6140">
        <v>-1.7794299999999901</v>
      </c>
      <c r="AF6140">
        <v>-3.6197675874328801</v>
      </c>
      <c r="AG6140">
        <v>-1.124661637095</v>
      </c>
      <c r="AH6140">
        <v>5.1565332492090503</v>
      </c>
      <c r="AI6140">
        <v>100.121370729996</v>
      </c>
      <c r="AJ6140">
        <v>125.06797112477901</v>
      </c>
      <c r="AK6140">
        <v>6.3997981480029003</v>
      </c>
      <c r="AL6140">
        <v>97.398994795617796</v>
      </c>
      <c r="AM6140">
        <v>118.45832883741301</v>
      </c>
      <c r="AN6140">
        <v>1.0000000112301899</v>
      </c>
    </row>
    <row r="6141" spans="1:40" x14ac:dyDescent="0.25">
      <c r="A6141" t="str">
        <f>"20190303154645366"</f>
        <v>20190303154645366</v>
      </c>
      <c r="B6141" t="str">
        <f>"1551599205357916"</f>
        <v>1551599205357916</v>
      </c>
      <c r="C6141" t="s">
        <v>40</v>
      </c>
      <c r="D6141">
        <v>5.166309</v>
      </c>
      <c r="E6141">
        <v>0.49080980000000002</v>
      </c>
      <c r="F6141" t="s">
        <v>60</v>
      </c>
      <c r="G6141">
        <v>-290.8021</v>
      </c>
      <c r="H6141" s="1">
        <v>-9.6777090000000001E-6</v>
      </c>
      <c r="I6141">
        <v>-58.515169999999998</v>
      </c>
      <c r="J6141">
        <v>-297.0684</v>
      </c>
      <c r="K6141">
        <v>1.1246259999999999</v>
      </c>
      <c r="L6141">
        <v>-56.773650000000004</v>
      </c>
      <c r="M6141">
        <v>0.63778749999999995</v>
      </c>
      <c r="N6141">
        <v>-1.455123E-2</v>
      </c>
      <c r="O6141">
        <v>-0.77007479999999995</v>
      </c>
      <c r="P6141">
        <v>0.9181317</v>
      </c>
      <c r="Q6141">
        <v>-0.13848540000000001</v>
      </c>
      <c r="R6141">
        <v>-0.37128949999999999</v>
      </c>
      <c r="S6141">
        <v>2.858063</v>
      </c>
      <c r="T6141">
        <v>-0.50442540000000002</v>
      </c>
      <c r="U6141">
        <v>-0.83050539999999995</v>
      </c>
      <c r="V6141">
        <v>-0.46912670000000001</v>
      </c>
      <c r="W6141">
        <v>-0.1300106</v>
      </c>
      <c r="X6141">
        <v>0.87350859999999997</v>
      </c>
      <c r="Y6141">
        <v>-0.54725970000000002</v>
      </c>
      <c r="Z6141">
        <v>0.15293190000000001</v>
      </c>
      <c r="AA6141">
        <v>0.82287219999999905</v>
      </c>
      <c r="AB6141">
        <v>14</v>
      </c>
      <c r="AC6141">
        <v>6.2663000000000002</v>
      </c>
      <c r="AD6141">
        <v>-1.1246356777089901</v>
      </c>
      <c r="AE6141">
        <v>-1.74151999999999</v>
      </c>
      <c r="AF6141">
        <v>-3.6073299943544002</v>
      </c>
      <c r="AG6141">
        <v>-1.1246356777089901</v>
      </c>
      <c r="AH6141">
        <v>5.18324847359193</v>
      </c>
      <c r="AI6141">
        <v>100.097955501046</v>
      </c>
      <c r="AJ6141">
        <v>124.83634594076101</v>
      </c>
      <c r="AK6141">
        <v>6.4143354944014304</v>
      </c>
      <c r="AL6141">
        <v>97.470205259371298</v>
      </c>
      <c r="AM6141">
        <v>118.23847541552701</v>
      </c>
      <c r="AN6141">
        <v>0.99999994551960303</v>
      </c>
    </row>
    <row r="6142" spans="1:40" x14ac:dyDescent="0.25">
      <c r="A6142" t="str">
        <f>"20190303154645409"</f>
        <v>20190303154645409</v>
      </c>
      <c r="B6142" t="str">
        <f>"1551599205397932"</f>
        <v>1551599205397932</v>
      </c>
      <c r="C6142" t="s">
        <v>40</v>
      </c>
      <c r="D6142">
        <v>5.2065739999999998</v>
      </c>
      <c r="E6142">
        <v>0.50349790000000005</v>
      </c>
      <c r="F6142" t="s">
        <v>42</v>
      </c>
      <c r="G6142">
        <v>-296.19920000000002</v>
      </c>
      <c r="H6142">
        <v>1.02504</v>
      </c>
      <c r="I6142">
        <v>-57.102249999999998</v>
      </c>
      <c r="J6142">
        <v>-296.88740000000001</v>
      </c>
      <c r="K6142">
        <v>1.124593</v>
      </c>
      <c r="L6142">
        <v>-56.956359999999997</v>
      </c>
      <c r="M6142">
        <v>0.65161939999999996</v>
      </c>
      <c r="N6142">
        <v>-1.45437E-2</v>
      </c>
      <c r="O6142">
        <v>-0.75840680000000005</v>
      </c>
      <c r="P6142">
        <v>0.92283110000000002</v>
      </c>
      <c r="Q6142">
        <v>-0.1383791</v>
      </c>
      <c r="R6142">
        <v>-0.35949179999999997</v>
      </c>
      <c r="S6142">
        <v>2.792389</v>
      </c>
      <c r="T6142">
        <v>-0.31994</v>
      </c>
      <c r="U6142">
        <v>-1.0555110000000001</v>
      </c>
      <c r="V6142">
        <v>-0.46453939999999999</v>
      </c>
      <c r="W6142">
        <v>-0.12980120000000001</v>
      </c>
      <c r="X6142">
        <v>0.87598790000000004</v>
      </c>
      <c r="Y6142">
        <v>-0.47403210000000001</v>
      </c>
      <c r="Z6142">
        <v>8.9914899999999895E-2</v>
      </c>
      <c r="AA6142">
        <v>0.87590460000000003</v>
      </c>
      <c r="AB6142">
        <v>14</v>
      </c>
      <c r="AC6142">
        <v>0.68819999999999404</v>
      </c>
      <c r="AD6142">
        <v>-9.9553000000000003E-2</v>
      </c>
      <c r="AE6142">
        <v>-0.14589000000000099</v>
      </c>
      <c r="AF6142">
        <v>-0.41853444733160899</v>
      </c>
      <c r="AG6142">
        <v>-9.9553000000000003E-2</v>
      </c>
      <c r="AH6142">
        <v>0.54817000335923505</v>
      </c>
      <c r="AI6142">
        <v>98.213695694055104</v>
      </c>
      <c r="AJ6142">
        <v>127.362173007655</v>
      </c>
      <c r="AK6142">
        <v>0.69683013424724904</v>
      </c>
      <c r="AL6142">
        <v>97.458104555257705</v>
      </c>
      <c r="AM6142">
        <v>117.93716131302</v>
      </c>
      <c r="AN6142">
        <v>1.0000000033101</v>
      </c>
    </row>
    <row r="6143" spans="1:40" x14ac:dyDescent="0.25">
      <c r="A6143" t="str">
        <f>"20190303154645431"</f>
        <v>20190303154645431</v>
      </c>
      <c r="B6143" t="str">
        <f>"1551599205428188"</f>
        <v>1551599205428188</v>
      </c>
      <c r="C6143" t="s">
        <v>40</v>
      </c>
      <c r="D6143">
        <v>5.1201109999999996</v>
      </c>
      <c r="E6143">
        <v>0.50676650000000001</v>
      </c>
      <c r="F6143" t="s">
        <v>42</v>
      </c>
      <c r="G6143">
        <v>-296.00049999999999</v>
      </c>
      <c r="H6143">
        <v>1.035541</v>
      </c>
      <c r="I6143">
        <v>-57.3138199999999</v>
      </c>
      <c r="J6143">
        <v>-296.79169999999999</v>
      </c>
      <c r="K6143">
        <v>1.124579</v>
      </c>
      <c r="L6143">
        <v>-57.050350000000002</v>
      </c>
      <c r="M6143">
        <v>0.65877339999999995</v>
      </c>
      <c r="N6143">
        <v>-1.453931E-2</v>
      </c>
      <c r="O6143">
        <v>-0.7522008</v>
      </c>
      <c r="P6143">
        <v>0.92538730000000002</v>
      </c>
      <c r="Q6143">
        <v>-0.13924800000000001</v>
      </c>
      <c r="R6143">
        <v>-0.35251749999999998</v>
      </c>
      <c r="S6143">
        <v>2.7735599999999998</v>
      </c>
      <c r="T6143">
        <v>-0.2784778</v>
      </c>
      <c r="U6143">
        <v>-1.118042</v>
      </c>
      <c r="V6143">
        <v>-0.46275549999999999</v>
      </c>
      <c r="W6143">
        <v>-0.1306283</v>
      </c>
      <c r="X6143">
        <v>0.87680879999999894</v>
      </c>
      <c r="Y6143">
        <v>-0.44778620000000002</v>
      </c>
      <c r="Z6143">
        <v>7.5666419999999998E-2</v>
      </c>
      <c r="AA6143">
        <v>0.89093330000000004</v>
      </c>
      <c r="AB6143">
        <v>14</v>
      </c>
      <c r="AC6143">
        <v>0.79120000000000301</v>
      </c>
      <c r="AD6143">
        <v>-8.9037999999999895E-2</v>
      </c>
      <c r="AE6143">
        <v>-0.26346999999999099</v>
      </c>
      <c r="AF6143">
        <v>-0.416866540435609</v>
      </c>
      <c r="AG6143">
        <v>-8.9037999999999895E-2</v>
      </c>
      <c r="AH6143">
        <v>0.71137030116946798</v>
      </c>
      <c r="AI6143">
        <v>96.163389706597101</v>
      </c>
      <c r="AJ6143">
        <v>120.370515154863</v>
      </c>
      <c r="AK6143">
        <v>0.82930885884855599</v>
      </c>
      <c r="AL6143">
        <v>97.505900575487701</v>
      </c>
      <c r="AM6143">
        <v>117.82385616984899</v>
      </c>
      <c r="AN6143">
        <v>1.00000003864928</v>
      </c>
    </row>
    <row r="6144" spans="1:40" x14ac:dyDescent="0.25">
      <c r="A6144" t="str">
        <f>"20190303154645452"</f>
        <v>20190303154645452</v>
      </c>
      <c r="B6144" t="str">
        <f>"1551599205447708"</f>
        <v>1551599205447708</v>
      </c>
      <c r="C6144" t="s">
        <v>40</v>
      </c>
      <c r="D6144">
        <v>5.2224149999999998</v>
      </c>
      <c r="E6144">
        <v>0.50758409999999998</v>
      </c>
      <c r="F6144" t="s">
        <v>60</v>
      </c>
      <c r="G6144">
        <v>-284.86680000000001</v>
      </c>
      <c r="H6144" s="1">
        <v>-5.8262519999999898E-6</v>
      </c>
      <c r="I6144">
        <v>-61.879019999999997</v>
      </c>
      <c r="J6144">
        <v>-296.69639999999998</v>
      </c>
      <c r="K6144">
        <v>1.1245689999999999</v>
      </c>
      <c r="L6144">
        <v>-57.142240000000001</v>
      </c>
      <c r="M6144">
        <v>0.66579069999999996</v>
      </c>
      <c r="N6144">
        <v>-1.453462E-2</v>
      </c>
      <c r="O6144">
        <v>-0.74599729999999997</v>
      </c>
      <c r="P6144">
        <v>0.92760500000000001</v>
      </c>
      <c r="Q6144">
        <v>-0.14040739999999999</v>
      </c>
      <c r="R6144">
        <v>-0.34617229999999999</v>
      </c>
      <c r="S6144">
        <v>2.7745359999999999</v>
      </c>
      <c r="T6144">
        <v>-0.2616541</v>
      </c>
      <c r="U6144">
        <v>-1.1234740000000001</v>
      </c>
      <c r="V6144">
        <v>-0.4604143</v>
      </c>
      <c r="W6144">
        <v>-0.131738299999999</v>
      </c>
      <c r="X6144">
        <v>0.87787459999999995</v>
      </c>
      <c r="Y6144">
        <v>-0.43849850000000001</v>
      </c>
      <c r="Z6144">
        <v>6.9869639999999997E-2</v>
      </c>
      <c r="AA6144">
        <v>0.89601189999999997</v>
      </c>
      <c r="AB6144">
        <v>14</v>
      </c>
      <c r="AC6144">
        <v>11.8295999999999</v>
      </c>
      <c r="AD6144">
        <v>-1.1245748262519999</v>
      </c>
      <c r="AE6144">
        <v>-4.7367799999999898</v>
      </c>
      <c r="AF6144">
        <v>-5.6279103968108304</v>
      </c>
      <c r="AG6144">
        <v>-1.1245748262519999</v>
      </c>
      <c r="AH6144">
        <v>11.3226787511247</v>
      </c>
      <c r="AI6144">
        <v>95.082501839644195</v>
      </c>
      <c r="AJ6144">
        <v>116.429563773735</v>
      </c>
      <c r="AK6144">
        <v>12.6941363658794</v>
      </c>
      <c r="AL6144">
        <v>97.570053126103005</v>
      </c>
      <c r="AM6144">
        <v>117.675427193871</v>
      </c>
      <c r="AN6144">
        <v>1.0000000603282599</v>
      </c>
    </row>
    <row r="6145" spans="1:40" x14ac:dyDescent="0.25">
      <c r="A6145" t="str">
        <f>"20190303154645475"</f>
        <v>20190303154645475</v>
      </c>
      <c r="B6145" t="str">
        <f>"1551599205468204"</f>
        <v>1551599205468204</v>
      </c>
      <c r="C6145" t="s">
        <v>40</v>
      </c>
      <c r="D6145">
        <v>5.2079149999999998</v>
      </c>
      <c r="E6145">
        <v>0.50813900000000001</v>
      </c>
      <c r="F6145" t="s">
        <v>60</v>
      </c>
      <c r="G6145">
        <v>-285.07839999999999</v>
      </c>
      <c r="H6145" s="1">
        <v>-5.7403269999999996E-6</v>
      </c>
      <c r="I6145">
        <v>-61.782699999999998</v>
      </c>
      <c r="J6145">
        <v>-296.59890000000001</v>
      </c>
      <c r="K6145">
        <v>1.1245529999999999</v>
      </c>
      <c r="L6145">
        <v>-57.234340000000003</v>
      </c>
      <c r="M6145">
        <v>0.67284750000000004</v>
      </c>
      <c r="N6145">
        <v>-1.4529739999999999E-2</v>
      </c>
      <c r="O6145">
        <v>-0.73963859999999904</v>
      </c>
      <c r="P6145">
        <v>0.92999730000000003</v>
      </c>
      <c r="Q6145">
        <v>-0.14024300000000001</v>
      </c>
      <c r="R6145">
        <v>-0.33976000000000001</v>
      </c>
      <c r="S6145">
        <v>2.7791440000000001</v>
      </c>
      <c r="T6145">
        <v>-0.26901019999999998</v>
      </c>
      <c r="U6145">
        <v>-1.1100460000000001</v>
      </c>
      <c r="V6145">
        <v>-0.4581633</v>
      </c>
      <c r="W6145">
        <v>-0.1315238</v>
      </c>
      <c r="X6145">
        <v>0.87908349999999902</v>
      </c>
      <c r="Y6145">
        <v>-0.43403999999999998</v>
      </c>
      <c r="Z6145">
        <v>7.159778E-2</v>
      </c>
      <c r="AA6145">
        <v>0.89804399999999995</v>
      </c>
      <c r="AB6145">
        <v>14</v>
      </c>
      <c r="AC6145">
        <v>11.5205</v>
      </c>
      <c r="AD6145">
        <v>-1.1245587403270001</v>
      </c>
      <c r="AE6145">
        <v>-4.54835999999999</v>
      </c>
      <c r="AF6145">
        <v>-5.4165783756451598</v>
      </c>
      <c r="AG6145">
        <v>-1.1245587403270001</v>
      </c>
      <c r="AH6145">
        <v>11.025962438325999</v>
      </c>
      <c r="AI6145">
        <v>95.230405293159905</v>
      </c>
      <c r="AJ6145">
        <v>116.16288981376</v>
      </c>
      <c r="AK6145">
        <v>12.335955631864399</v>
      </c>
      <c r="AL6145">
        <v>97.557656070871701</v>
      </c>
      <c r="AM6145">
        <v>117.527755892575</v>
      </c>
      <c r="AN6145">
        <v>0.99999995970278899</v>
      </c>
    </row>
    <row r="6146" spans="1:40" x14ac:dyDescent="0.25">
      <c r="A6146" t="str">
        <f>"20190303154645497"</f>
        <v>20190303154645497</v>
      </c>
      <c r="B6146" t="str">
        <f>"1551599205487725"</f>
        <v>1551599205487725</v>
      </c>
      <c r="C6146" t="s">
        <v>40</v>
      </c>
      <c r="D6146">
        <v>5.1976969999999998</v>
      </c>
      <c r="E6146">
        <v>0.50867519999999999</v>
      </c>
      <c r="F6146" t="s">
        <v>60</v>
      </c>
      <c r="G6146">
        <v>-285.06060000000002</v>
      </c>
      <c r="H6146" s="1">
        <v>-5.7515580000000002E-6</v>
      </c>
      <c r="I6146">
        <v>-61.7699199999999</v>
      </c>
      <c r="J6146">
        <v>-296.49990000000003</v>
      </c>
      <c r="K6146">
        <v>1.1245419999999999</v>
      </c>
      <c r="L6146">
        <v>-57.326140000000002</v>
      </c>
      <c r="M6146">
        <v>0.679907699999999</v>
      </c>
      <c r="N6146">
        <v>-1.452458E-2</v>
      </c>
      <c r="O6146">
        <v>-0.73315390000000003</v>
      </c>
      <c r="P6146">
        <v>0.93231739999999996</v>
      </c>
      <c r="Q6146">
        <v>-0.1405362</v>
      </c>
      <c r="R6146">
        <v>-0.33321780000000001</v>
      </c>
      <c r="S6146">
        <v>2.7849430000000002</v>
      </c>
      <c r="T6146">
        <v>-0.27142850000000002</v>
      </c>
      <c r="U6146">
        <v>-1.094727</v>
      </c>
      <c r="V6146">
        <v>-0.45588509999999999</v>
      </c>
      <c r="W6146">
        <v>-0.1317672</v>
      </c>
      <c r="X6146">
        <v>0.88023079999999998</v>
      </c>
      <c r="Y6146">
        <v>-0.43028240000000001</v>
      </c>
      <c r="Z6146">
        <v>7.1845510000000001E-2</v>
      </c>
      <c r="AA6146">
        <v>0.89983080000000004</v>
      </c>
      <c r="AB6146">
        <v>14</v>
      </c>
      <c r="AC6146">
        <v>11.439299999999999</v>
      </c>
      <c r="AD6146">
        <v>-1.124547751558</v>
      </c>
      <c r="AE6146">
        <v>-4.4437799999999896</v>
      </c>
      <c r="AF6146">
        <v>-5.3212908304915896</v>
      </c>
      <c r="AG6146">
        <v>-1.124547751558</v>
      </c>
      <c r="AH6146">
        <v>10.9449037020671</v>
      </c>
      <c r="AI6146">
        <v>95.279358364052797</v>
      </c>
      <c r="AJ6146">
        <v>115.928507065856</v>
      </c>
      <c r="AK6146">
        <v>12.2217699534777</v>
      </c>
      <c r="AL6146">
        <v>97.5717236879251</v>
      </c>
      <c r="AM6146">
        <v>117.380335421125</v>
      </c>
      <c r="AN6146">
        <v>1.0000000403332401</v>
      </c>
    </row>
    <row r="6147" spans="1:40" x14ac:dyDescent="0.25">
      <c r="A6147" t="str">
        <f>"20190303154645520"</f>
        <v>20190303154645520</v>
      </c>
      <c r="B6147" t="str">
        <f>"1551599205517980"</f>
        <v>1551599205517980</v>
      </c>
      <c r="C6147" t="s">
        <v>40</v>
      </c>
      <c r="D6147">
        <v>5.1838360000000003</v>
      </c>
      <c r="E6147">
        <v>0.50988929999999999</v>
      </c>
      <c r="F6147" t="s">
        <v>60</v>
      </c>
      <c r="G6147">
        <v>-285.0718</v>
      </c>
      <c r="H6147" s="1">
        <v>-5.7504260000000003E-6</v>
      </c>
      <c r="I6147">
        <v>-61.744599999999998</v>
      </c>
      <c r="J6147">
        <v>-296.3956</v>
      </c>
      <c r="K6147">
        <v>1.124525</v>
      </c>
      <c r="L6147">
        <v>-57.420929999999998</v>
      </c>
      <c r="M6147">
        <v>0.68721180000000004</v>
      </c>
      <c r="N6147">
        <v>-1.451859E-2</v>
      </c>
      <c r="O6147">
        <v>-0.72631219999999996</v>
      </c>
      <c r="P6147">
        <v>0.93478570000000005</v>
      </c>
      <c r="Q6147">
        <v>-0.14019289999999901</v>
      </c>
      <c r="R6147">
        <v>-0.32637749999999999</v>
      </c>
      <c r="S6147">
        <v>2.7908019999999998</v>
      </c>
      <c r="T6147">
        <v>-0.27462049999999999</v>
      </c>
      <c r="U6147">
        <v>-1.07901</v>
      </c>
      <c r="V6147">
        <v>-0.4535747</v>
      </c>
      <c r="W6147">
        <v>-0.13137079999999901</v>
      </c>
      <c r="X6147">
        <v>0.88148269999999995</v>
      </c>
      <c r="Y6147">
        <v>-0.42623650000000002</v>
      </c>
      <c r="Z6147">
        <v>7.2272639999999999E-2</v>
      </c>
      <c r="AA6147">
        <v>0.90172010000000002</v>
      </c>
      <c r="AB6147">
        <v>14</v>
      </c>
      <c r="AC6147">
        <v>11.3238</v>
      </c>
      <c r="AD6147">
        <v>-1.124530750426</v>
      </c>
      <c r="AE6147">
        <v>-4.3236699999999901</v>
      </c>
      <c r="AF6147">
        <v>-5.2090555428320897</v>
      </c>
      <c r="AG6147">
        <v>-1.124530750426</v>
      </c>
      <c r="AH6147">
        <v>10.830117826409801</v>
      </c>
      <c r="AI6147">
        <v>95.345753818912002</v>
      </c>
      <c r="AJ6147">
        <v>115.686561404641</v>
      </c>
      <c r="AK6147">
        <v>12.070222913885299</v>
      </c>
      <c r="AL6147">
        <v>97.548812606584406</v>
      </c>
      <c r="AM6147">
        <v>117.22848508464401</v>
      </c>
      <c r="AN6147">
        <v>1.000000022986</v>
      </c>
    </row>
    <row r="6148" spans="1:40" x14ac:dyDescent="0.25">
      <c r="A6148" t="str">
        <f>"20190303154645544"</f>
        <v>20190303154645544</v>
      </c>
      <c r="B6148" t="str">
        <f>"1551599205538477"</f>
        <v>1551599205538477</v>
      </c>
      <c r="C6148" t="s">
        <v>40</v>
      </c>
      <c r="D6148">
        <v>5.1926670000000001</v>
      </c>
      <c r="E6148">
        <v>0.51036939999999997</v>
      </c>
      <c r="F6148" t="s">
        <v>60</v>
      </c>
      <c r="G6148">
        <v>-284.78969999999998</v>
      </c>
      <c r="H6148" s="1">
        <v>-5.8667570000000002E-6</v>
      </c>
      <c r="I6148">
        <v>-61.853230000000003</v>
      </c>
      <c r="J6148">
        <v>-296.29079999999999</v>
      </c>
      <c r="K6148">
        <v>1.1245000000000001</v>
      </c>
      <c r="L6148">
        <v>-57.514220000000002</v>
      </c>
      <c r="M6148">
        <v>0.69442769999999898</v>
      </c>
      <c r="N6148">
        <v>-1.451189E-2</v>
      </c>
      <c r="O6148">
        <v>-0.71941639999999996</v>
      </c>
      <c r="P6148">
        <v>0.93698559999999997</v>
      </c>
      <c r="Q6148">
        <v>-0.14155980000000001</v>
      </c>
      <c r="R6148">
        <v>-0.31940489999999999</v>
      </c>
      <c r="S6148">
        <v>2.7958980000000002</v>
      </c>
      <c r="T6148">
        <v>-0.27090199999999998</v>
      </c>
      <c r="U6148">
        <v>-1.0677490000000001</v>
      </c>
      <c r="V6148">
        <v>-0.45119310000000001</v>
      </c>
      <c r="W6148">
        <v>-0.13268440000000001</v>
      </c>
      <c r="X6148">
        <v>0.88250759999999995</v>
      </c>
      <c r="Y6148">
        <v>-0.42105720000000002</v>
      </c>
      <c r="Z6148">
        <v>7.0601010000000006E-2</v>
      </c>
      <c r="AA6148">
        <v>0.90428220000000004</v>
      </c>
      <c r="AB6148">
        <v>14</v>
      </c>
      <c r="AC6148">
        <v>11.501099999999999</v>
      </c>
      <c r="AD6148">
        <v>-1.124505866757</v>
      </c>
      <c r="AE6148">
        <v>-4.33901</v>
      </c>
      <c r="AF6148">
        <v>-5.2178383150243999</v>
      </c>
      <c r="AG6148">
        <v>-1.124505866757</v>
      </c>
      <c r="AH6148">
        <v>11.017206608030801</v>
      </c>
      <c r="AI6148">
        <v>95.270366254144903</v>
      </c>
      <c r="AJ6148">
        <v>115.342614289271</v>
      </c>
      <c r="AK6148">
        <v>12.2421073173757</v>
      </c>
      <c r="AL6148">
        <v>97.624741091508696</v>
      </c>
      <c r="AM6148">
        <v>117.07896015363001</v>
      </c>
      <c r="AN6148">
        <v>1.0000000137743601</v>
      </c>
    </row>
    <row r="6149" spans="1:40" x14ac:dyDescent="0.25">
      <c r="A6149" t="str">
        <f>"20190303154645565"</f>
        <v>20190303154645565</v>
      </c>
      <c r="B6149" t="str">
        <f>"1551599205557996"</f>
        <v>1551599205557996</v>
      </c>
      <c r="C6149" t="s">
        <v>40</v>
      </c>
      <c r="D6149">
        <v>5.1972630000000004</v>
      </c>
      <c r="E6149">
        <v>0.51084419999999997</v>
      </c>
      <c r="F6149" t="s">
        <v>60</v>
      </c>
      <c r="G6149">
        <v>-284.92739999999998</v>
      </c>
      <c r="H6149" s="1">
        <v>-5.8166679999999997E-6</v>
      </c>
      <c r="I6149">
        <v>-61.774160000000002</v>
      </c>
      <c r="J6149">
        <v>-296.19400000000002</v>
      </c>
      <c r="K6149">
        <v>1.124466</v>
      </c>
      <c r="L6149">
        <v>-57.598820000000003</v>
      </c>
      <c r="M6149">
        <v>0.70097889999999996</v>
      </c>
      <c r="N6149">
        <v>-1.450487E-2</v>
      </c>
      <c r="O6149">
        <v>-0.71303459999999996</v>
      </c>
      <c r="P6149">
        <v>0.93875149999999996</v>
      </c>
      <c r="Q6149">
        <v>-0.14273729999999901</v>
      </c>
      <c r="R6149">
        <v>-0.31364300000000001</v>
      </c>
      <c r="S6149">
        <v>2.8018190000000001</v>
      </c>
      <c r="T6149">
        <v>-0.27726460000000003</v>
      </c>
      <c r="U6149">
        <v>-1.050354</v>
      </c>
      <c r="V6149">
        <v>-0.44841579999999898</v>
      </c>
      <c r="W6149">
        <v>-0.13380159999999999</v>
      </c>
      <c r="X6149">
        <v>0.88375360000000003</v>
      </c>
      <c r="Y6149">
        <v>-0.4181685</v>
      </c>
      <c r="Z6149">
        <v>7.1996690000000002E-2</v>
      </c>
      <c r="AA6149">
        <v>0.90551179999999998</v>
      </c>
      <c r="AB6149">
        <v>14</v>
      </c>
      <c r="AC6149">
        <v>11.2666</v>
      </c>
      <c r="AD6149">
        <v>-1.1244718166679999</v>
      </c>
      <c r="AE6149">
        <v>-4.1753399999999896</v>
      </c>
      <c r="AF6149">
        <v>-5.0628452463331799</v>
      </c>
      <c r="AG6149">
        <v>-1.1244718166679999</v>
      </c>
      <c r="AH6149">
        <v>10.7815260157208</v>
      </c>
      <c r="AI6149">
        <v>95.393056918134107</v>
      </c>
      <c r="AJ6149">
        <v>115.154056064785</v>
      </c>
      <c r="AK6149">
        <v>11.964035359462301</v>
      </c>
      <c r="AL6149">
        <v>97.6893278494708</v>
      </c>
      <c r="AM6149">
        <v>116.90319717976701</v>
      </c>
      <c r="AN6149">
        <v>1.00000001168257</v>
      </c>
    </row>
    <row r="6150" spans="1:40" x14ac:dyDescent="0.25">
      <c r="A6150" t="str">
        <f>"20190303154645588"</f>
        <v>20190303154645588</v>
      </c>
      <c r="B6150" t="str">
        <f>"1551599205578492"</f>
        <v>1551599205578492</v>
      </c>
      <c r="C6150" t="s">
        <v>40</v>
      </c>
      <c r="D6150">
        <v>5.161416</v>
      </c>
      <c r="E6150">
        <v>0.51126709999999997</v>
      </c>
      <c r="F6150" t="s">
        <v>60</v>
      </c>
      <c r="G6150">
        <v>-285.03590000000003</v>
      </c>
      <c r="H6150" s="1">
        <v>-5.7725640000000003E-6</v>
      </c>
      <c r="I6150">
        <v>-61.721580000000003</v>
      </c>
      <c r="J6150">
        <v>-296.09519999999998</v>
      </c>
      <c r="K6150">
        <v>1.1244430000000001</v>
      </c>
      <c r="L6150">
        <v>-57.68338</v>
      </c>
      <c r="M6150">
        <v>0.70754430000000001</v>
      </c>
      <c r="N6150">
        <v>-1.449724E-2</v>
      </c>
      <c r="O6150">
        <v>-0.70652019999999904</v>
      </c>
      <c r="P6150">
        <v>0.94026719999999997</v>
      </c>
      <c r="Q6150">
        <v>-0.14461299999999999</v>
      </c>
      <c r="R6150">
        <v>-0.30819639999999998</v>
      </c>
      <c r="S6150">
        <v>2.806305</v>
      </c>
      <c r="T6150">
        <v>-0.28281070000000003</v>
      </c>
      <c r="U6150">
        <v>-1.03689599999999</v>
      </c>
      <c r="V6150">
        <v>-0.44515769999999999</v>
      </c>
      <c r="W6150">
        <v>-0.13560999999999901</v>
      </c>
      <c r="X6150">
        <v>0.88512400000000002</v>
      </c>
      <c r="Y6150">
        <v>-0.413939</v>
      </c>
      <c r="Z6150">
        <v>7.305847E-2</v>
      </c>
      <c r="AA6150">
        <v>0.90736810000000001</v>
      </c>
      <c r="AB6150">
        <v>14</v>
      </c>
      <c r="AC6150">
        <v>11.059299999999901</v>
      </c>
      <c r="AD6150">
        <v>-1.124448772564</v>
      </c>
      <c r="AE6150">
        <v>-4.03819999999999</v>
      </c>
      <c r="AF6150">
        <v>-4.91212841428153</v>
      </c>
      <c r="AG6150">
        <v>-1.124448772564</v>
      </c>
      <c r="AH6150">
        <v>10.582607593637</v>
      </c>
      <c r="AI6150">
        <v>95.505047875269199</v>
      </c>
      <c r="AJ6150">
        <v>114.899311884632</v>
      </c>
      <c r="AK6150">
        <v>11.7211336517171</v>
      </c>
      <c r="AL6150">
        <v>97.793894916335105</v>
      </c>
      <c r="AM6150">
        <v>116.69931316138501</v>
      </c>
      <c r="AN6150">
        <v>0.99999997267264396</v>
      </c>
    </row>
    <row r="6151" spans="1:40" x14ac:dyDescent="0.25">
      <c r="A6151" t="str">
        <f>"20190303154645610"</f>
        <v>20190303154645610</v>
      </c>
      <c r="B6151" t="str">
        <f>"1551599205598012"</f>
        <v>1551599205598012</v>
      </c>
      <c r="C6151" t="s">
        <v>40</v>
      </c>
      <c r="D6151">
        <v>5.2100439999999999</v>
      </c>
      <c r="E6151">
        <v>0.51161429999999997</v>
      </c>
      <c r="F6151" t="s">
        <v>60</v>
      </c>
      <c r="G6151">
        <v>-285.18700000000001</v>
      </c>
      <c r="H6151" s="1">
        <v>-5.7078910000000004E-6</v>
      </c>
      <c r="I6151">
        <v>-61.65775</v>
      </c>
      <c r="J6151">
        <v>-295.99149999999997</v>
      </c>
      <c r="K6151">
        <v>1.12442</v>
      </c>
      <c r="L6151">
        <v>-57.770629999999997</v>
      </c>
      <c r="M6151">
        <v>0.71432369999999901</v>
      </c>
      <c r="N6151">
        <v>-1.448877E-2</v>
      </c>
      <c r="O6151">
        <v>-0.69966549999999905</v>
      </c>
      <c r="P6151">
        <v>0.94244249999999996</v>
      </c>
      <c r="Q6151">
        <v>-0.1440815</v>
      </c>
      <c r="R6151">
        <v>-0.30173319999999998</v>
      </c>
      <c r="S6151">
        <v>2.8103940000000001</v>
      </c>
      <c r="T6151">
        <v>-0.28970319999999999</v>
      </c>
      <c r="U6151">
        <v>-1.0239560000000001</v>
      </c>
      <c r="V6151">
        <v>-0.44277450000000002</v>
      </c>
      <c r="W6151">
        <v>-0.13501930000000001</v>
      </c>
      <c r="X6151">
        <v>0.8864088</v>
      </c>
      <c r="Y6151">
        <v>-0.40911989999999998</v>
      </c>
      <c r="Z6151">
        <v>7.4427220000000002E-2</v>
      </c>
      <c r="AA6151">
        <v>0.90944020000000003</v>
      </c>
      <c r="AB6151">
        <v>14</v>
      </c>
      <c r="AC6151">
        <v>10.8044999999999</v>
      </c>
      <c r="AD6151">
        <v>-1.124425707891</v>
      </c>
      <c r="AE6151">
        <v>-3.8871199999999901</v>
      </c>
      <c r="AF6151">
        <v>-4.7379418214922904</v>
      </c>
      <c r="AG6151">
        <v>-1.124425707891</v>
      </c>
      <c r="AH6151">
        <v>10.339539455377899</v>
      </c>
      <c r="AI6151">
        <v>95.646173004994594</v>
      </c>
      <c r="AJ6151">
        <v>114.61892216363999</v>
      </c>
      <c r="AK6151">
        <v>11.4288451746328</v>
      </c>
      <c r="AL6151">
        <v>97.759735798274704</v>
      </c>
      <c r="AM6151">
        <v>116.54281652984599</v>
      </c>
      <c r="AN6151">
        <v>1.0000000149700801</v>
      </c>
    </row>
    <row r="6152" spans="1:40" x14ac:dyDescent="0.25">
      <c r="A6152" t="str">
        <f>"20190303154645633"</f>
        <v>20190303154645633</v>
      </c>
      <c r="B6152" t="str">
        <f>"1551599205628268"</f>
        <v>1551599205628268</v>
      </c>
      <c r="C6152" t="s">
        <v>40</v>
      </c>
      <c r="D6152">
        <v>5.2260339999999896</v>
      </c>
      <c r="E6152">
        <v>0.51217780000000002</v>
      </c>
      <c r="F6152" t="s">
        <v>60</v>
      </c>
      <c r="G6152">
        <v>-285.03030000000001</v>
      </c>
      <c r="H6152" s="1">
        <v>-5.7810780000000003E-6</v>
      </c>
      <c r="I6152">
        <v>-61.689770000000003</v>
      </c>
      <c r="J6152">
        <v>-295.88760000000002</v>
      </c>
      <c r="K6152">
        <v>1.124403</v>
      </c>
      <c r="L6152">
        <v>-57.856319999999997</v>
      </c>
      <c r="M6152">
        <v>0.72099269999999904</v>
      </c>
      <c r="N6152">
        <v>-1.448005E-2</v>
      </c>
      <c r="O6152">
        <v>-0.6927915</v>
      </c>
      <c r="P6152">
        <v>0.94526520000000003</v>
      </c>
      <c r="Q6152">
        <v>-0.14123669999999999</v>
      </c>
      <c r="R6152">
        <v>-0.2941532</v>
      </c>
      <c r="S6152">
        <v>2.8166500000000001</v>
      </c>
      <c r="T6152">
        <v>-0.28893730000000001</v>
      </c>
      <c r="U6152">
        <v>-1.00708</v>
      </c>
      <c r="V6152">
        <v>-0.44173649999999998</v>
      </c>
      <c r="W6152">
        <v>-0.13213269999999999</v>
      </c>
      <c r="X6152">
        <v>0.88736119999999996</v>
      </c>
      <c r="Y6152">
        <v>-0.4059084</v>
      </c>
      <c r="Z6152">
        <v>7.3661110000000002E-2</v>
      </c>
      <c r="AA6152">
        <v>0.91094039999999998</v>
      </c>
      <c r="AB6152">
        <v>14</v>
      </c>
      <c r="AC6152">
        <v>10.8573</v>
      </c>
      <c r="AD6152">
        <v>-1.1244087810779999</v>
      </c>
      <c r="AE6152">
        <v>-3.8334499999999898</v>
      </c>
      <c r="AF6152">
        <v>-4.7135044093841101</v>
      </c>
      <c r="AG6152">
        <v>-1.1244087810779999</v>
      </c>
      <c r="AH6152">
        <v>10.38587040088</v>
      </c>
      <c r="AI6152">
        <v>95.630342057783295</v>
      </c>
      <c r="AJ6152">
        <v>114.410360493879</v>
      </c>
      <c r="AK6152">
        <v>11.4607034211746</v>
      </c>
      <c r="AL6152">
        <v>97.592849998224693</v>
      </c>
      <c r="AM6152">
        <v>116.46454075417699</v>
      </c>
      <c r="AN6152">
        <v>1.0000000425534801</v>
      </c>
    </row>
    <row r="6153" spans="1:40" x14ac:dyDescent="0.25">
      <c r="A6153" t="str">
        <f>"20190303154645654"</f>
        <v>20190303154645654</v>
      </c>
      <c r="B6153" t="str">
        <f>"1551599205647788"</f>
        <v>1551599205647788</v>
      </c>
      <c r="C6153" t="s">
        <v>40</v>
      </c>
      <c r="D6153">
        <v>5.2106490000000001</v>
      </c>
      <c r="E6153">
        <v>0.512486</v>
      </c>
      <c r="F6153" t="s">
        <v>60</v>
      </c>
      <c r="G6153">
        <v>-284.60680000000002</v>
      </c>
      <c r="H6153" s="1">
        <v>-5.9607789999999998E-6</v>
      </c>
      <c r="I6153">
        <v>-61.803569999999901</v>
      </c>
      <c r="J6153">
        <v>-295.7867</v>
      </c>
      <c r="K6153">
        <v>1.1243909999999999</v>
      </c>
      <c r="L6153">
        <v>-57.937959999999997</v>
      </c>
      <c r="M6153">
        <v>0.72735329999999998</v>
      </c>
      <c r="N6153">
        <v>-1.447154E-2</v>
      </c>
      <c r="O6153">
        <v>-0.68611089999999997</v>
      </c>
      <c r="P6153">
        <v>0.9478164</v>
      </c>
      <c r="Q6153">
        <v>-0.13964660000000001</v>
      </c>
      <c r="R6153">
        <v>-0.28660629999999998</v>
      </c>
      <c r="S6153">
        <v>2.8241269999999998</v>
      </c>
      <c r="T6153">
        <v>-0.28149489999999999</v>
      </c>
      <c r="U6153">
        <v>-0.98818969999999995</v>
      </c>
      <c r="V6153">
        <v>-0.44081090000000001</v>
      </c>
      <c r="W6153">
        <v>-0.1305077</v>
      </c>
      <c r="X6153">
        <v>0.88806160000000001</v>
      </c>
      <c r="Y6153">
        <v>-0.40389380000000003</v>
      </c>
      <c r="Z6153">
        <v>7.1084830000000002E-2</v>
      </c>
      <c r="AA6153">
        <v>0.91203990000000001</v>
      </c>
      <c r="AB6153">
        <v>14</v>
      </c>
      <c r="AC6153">
        <v>11.1798999999999</v>
      </c>
      <c r="AD6153">
        <v>-1.1243969607790001</v>
      </c>
      <c r="AE6153">
        <v>-3.86560999999999</v>
      </c>
      <c r="AF6153">
        <v>-4.8159834500269998</v>
      </c>
      <c r="AG6153">
        <v>-1.1243969607790001</v>
      </c>
      <c r="AH6153">
        <v>10.688532645752</v>
      </c>
      <c r="AI6153">
        <v>95.478501990610596</v>
      </c>
      <c r="AJ6153">
        <v>114.255127006186</v>
      </c>
      <c r="AK6153">
        <v>11.7772108427951</v>
      </c>
      <c r="AL6153">
        <v>97.498931654160202</v>
      </c>
      <c r="AM6153">
        <v>116.398617577127</v>
      </c>
      <c r="AN6153">
        <v>0.99999995735632896</v>
      </c>
    </row>
    <row r="6154" spans="1:40" x14ac:dyDescent="0.25">
      <c r="A6154" t="str">
        <f>"20190303154645676"</f>
        <v>20190303154645676</v>
      </c>
      <c r="B6154" t="str">
        <f>"1551599205668284"</f>
        <v>1551599205668284</v>
      </c>
      <c r="C6154" t="s">
        <v>40</v>
      </c>
      <c r="D6154">
        <v>5.1522009999999998</v>
      </c>
      <c r="E6154">
        <v>0.51297159999999997</v>
      </c>
      <c r="F6154" t="s">
        <v>60</v>
      </c>
      <c r="G6154">
        <v>-284.30099999999999</v>
      </c>
      <c r="H6154" s="1">
        <v>-6.0926279999999998E-6</v>
      </c>
      <c r="I6154">
        <v>-61.863210000000002</v>
      </c>
      <c r="J6154">
        <v>-295.6875</v>
      </c>
      <c r="K6154">
        <v>1.124371</v>
      </c>
      <c r="L6154">
        <v>-58.016820000000003</v>
      </c>
      <c r="M6154">
        <v>0.73350280000000001</v>
      </c>
      <c r="N6154">
        <v>-1.446298E-2</v>
      </c>
      <c r="O6154">
        <v>-0.6795329</v>
      </c>
      <c r="P6154">
        <v>0.94956529999999995</v>
      </c>
      <c r="Q6154">
        <v>-0.1399717</v>
      </c>
      <c r="R6154">
        <v>-0.28059539999999999</v>
      </c>
      <c r="S6154">
        <v>2.8317260000000002</v>
      </c>
      <c r="T6154">
        <v>-0.27721230000000002</v>
      </c>
      <c r="U6154">
        <v>-0.96774289999999996</v>
      </c>
      <c r="V6154">
        <v>-0.43841479999999999</v>
      </c>
      <c r="W6154">
        <v>-0.13078119999999999</v>
      </c>
      <c r="X6154">
        <v>0.88920679999999996</v>
      </c>
      <c r="Y6154">
        <v>-0.40244390000000002</v>
      </c>
      <c r="Z6154">
        <v>6.9446149999999998E-2</v>
      </c>
      <c r="AA6154">
        <v>0.91280669999999997</v>
      </c>
      <c r="AB6154">
        <v>14</v>
      </c>
      <c r="AC6154">
        <v>11.3865</v>
      </c>
      <c r="AD6154">
        <v>-1.1243770926279999</v>
      </c>
      <c r="AE6154">
        <v>-3.84639</v>
      </c>
      <c r="AF6154">
        <v>-4.8740183846136498</v>
      </c>
      <c r="AG6154">
        <v>-1.1243770926279999</v>
      </c>
      <c r="AH6154">
        <v>10.8717710733318</v>
      </c>
      <c r="AI6154">
        <v>95.391136849881903</v>
      </c>
      <c r="AJ6154">
        <v>114.147586152299</v>
      </c>
      <c r="AK6154">
        <v>11.9672756018616</v>
      </c>
      <c r="AL6154">
        <v>97.514737224937804</v>
      </c>
      <c r="AM6154">
        <v>116.24515544072</v>
      </c>
      <c r="AN6154">
        <v>0.99999999614935997</v>
      </c>
    </row>
    <row r="6155" spans="1:40" x14ac:dyDescent="0.25">
      <c r="A6155" t="str">
        <f>"20190303154645698"</f>
        <v>20190303154645698</v>
      </c>
      <c r="B6155" t="str">
        <f>"1551599205687805"</f>
        <v>1551599205687805</v>
      </c>
      <c r="C6155" t="s">
        <v>40</v>
      </c>
      <c r="D6155">
        <v>5.1490669999999996</v>
      </c>
      <c r="E6155">
        <v>0.51274310000000001</v>
      </c>
      <c r="F6155" t="s">
        <v>60</v>
      </c>
      <c r="G6155">
        <v>-284.18579999999997</v>
      </c>
      <c r="H6155" s="1">
        <v>-6.1395850000000003E-6</v>
      </c>
      <c r="I6155">
        <v>-61.885150000000003</v>
      </c>
      <c r="J6155">
        <v>-295.58100000000002</v>
      </c>
      <c r="K6155">
        <v>1.1243479999999999</v>
      </c>
      <c r="L6155">
        <v>-58.099850000000004</v>
      </c>
      <c r="M6155">
        <v>0.73998299999999995</v>
      </c>
      <c r="N6155">
        <v>-1.445365E-2</v>
      </c>
      <c r="O6155">
        <v>-0.67247049999999997</v>
      </c>
      <c r="P6155">
        <v>0.95091760000000003</v>
      </c>
      <c r="Q6155">
        <v>-0.1410537</v>
      </c>
      <c r="R6155">
        <v>-0.27542650000000002</v>
      </c>
      <c r="S6155">
        <v>2.8365480000000001</v>
      </c>
      <c r="T6155">
        <v>-0.27729399999999998</v>
      </c>
      <c r="U6155">
        <v>-0.95401000000000002</v>
      </c>
      <c r="V6155">
        <v>-0.43462230000000002</v>
      </c>
      <c r="W6155">
        <v>-0.13179160000000001</v>
      </c>
      <c r="X6155">
        <v>0.89091769999999904</v>
      </c>
      <c r="Y6155">
        <v>-0.39814090000000002</v>
      </c>
      <c r="Z6155">
        <v>6.8871589999999996E-2</v>
      </c>
      <c r="AA6155">
        <v>0.91473519999999997</v>
      </c>
      <c r="AB6155">
        <v>14</v>
      </c>
      <c r="AC6155">
        <v>11.3951999999999</v>
      </c>
      <c r="AD6155">
        <v>-1.1243541395850001</v>
      </c>
      <c r="AE6155">
        <v>-3.7852999999999999</v>
      </c>
      <c r="AF6155">
        <v>-4.8201221640930099</v>
      </c>
      <c r="AG6155">
        <v>-1.1243541395850001</v>
      </c>
      <c r="AH6155">
        <v>10.8834748818982</v>
      </c>
      <c r="AI6155">
        <v>95.396090957924301</v>
      </c>
      <c r="AJ6155">
        <v>113.88780961408401</v>
      </c>
      <c r="AK6155">
        <v>11.956076924012001</v>
      </c>
      <c r="AL6155">
        <v>97.573134625010894</v>
      </c>
      <c r="AM6155">
        <v>116.00481599461099</v>
      </c>
      <c r="AN6155">
        <v>0.99999995883056902</v>
      </c>
    </row>
    <row r="6156" spans="1:40" x14ac:dyDescent="0.25">
      <c r="A6156" t="str">
        <f>"20190303154645722"</f>
        <v>20190303154645722</v>
      </c>
      <c r="B6156" t="str">
        <f>"1551599205718060"</f>
        <v>1551599205718060</v>
      </c>
      <c r="C6156" t="s">
        <v>40</v>
      </c>
      <c r="D6156">
        <v>5.1693499999999997</v>
      </c>
      <c r="E6156">
        <v>0.49145240000000001</v>
      </c>
      <c r="F6156" t="s">
        <v>60</v>
      </c>
      <c r="G6156">
        <v>-284.15109999999999</v>
      </c>
      <c r="H6156" s="1">
        <v>-6.1529010000000002E-6</v>
      </c>
      <c r="I6156">
        <v>-61.870049999999999</v>
      </c>
      <c r="J6156">
        <v>-295.47190000000001</v>
      </c>
      <c r="K6156">
        <v>1.124323</v>
      </c>
      <c r="L6156">
        <v>-58.183259999999997</v>
      </c>
      <c r="M6156">
        <v>0.74649790000000005</v>
      </c>
      <c r="N6156">
        <v>-1.444404E-2</v>
      </c>
      <c r="O6156">
        <v>-0.66523089999999996</v>
      </c>
      <c r="P6156">
        <v>0.95264179999999998</v>
      </c>
      <c r="Q6156">
        <v>-0.14027229999999999</v>
      </c>
      <c r="R6156">
        <v>-0.26980979999999999</v>
      </c>
      <c r="S6156">
        <v>2.841888</v>
      </c>
      <c r="T6156">
        <v>-0.27955560000000002</v>
      </c>
      <c r="U6156">
        <v>-0.93740840000000003</v>
      </c>
      <c r="V6156">
        <v>-0.43129770000000001</v>
      </c>
      <c r="W6156">
        <v>-0.13094120000000001</v>
      </c>
      <c r="X6156">
        <v>0.89265709999999998</v>
      </c>
      <c r="Y6156">
        <v>-0.39451120000000001</v>
      </c>
      <c r="Z6156">
        <v>6.8911849999999997E-2</v>
      </c>
      <c r="AA6156">
        <v>0.91630350000000005</v>
      </c>
      <c r="AB6156">
        <v>14</v>
      </c>
      <c r="AC6156">
        <v>11.3208</v>
      </c>
      <c r="AD6156">
        <v>-1.124329152901</v>
      </c>
      <c r="AE6156">
        <v>-3.6867899999999998</v>
      </c>
      <c r="AF6156">
        <v>-4.7370202824382002</v>
      </c>
      <c r="AG6156">
        <v>-1.124329152901</v>
      </c>
      <c r="AH6156">
        <v>10.8082728220066</v>
      </c>
      <c r="AI6156">
        <v>95.442480398671194</v>
      </c>
      <c r="AJ6156">
        <v>113.66674655653399</v>
      </c>
      <c r="AK6156">
        <v>11.854207632533701</v>
      </c>
      <c r="AL6156">
        <v>97.523984029128599</v>
      </c>
      <c r="AM6156">
        <v>115.788053206912</v>
      </c>
      <c r="AN6156">
        <v>1.0000000010315699</v>
      </c>
    </row>
    <row r="6157" spans="1:40" x14ac:dyDescent="0.25">
      <c r="A6157" t="str">
        <f>"20190303154645743"</f>
        <v>20190303154645743</v>
      </c>
      <c r="B6157" t="str">
        <f>"1551599205737581"</f>
        <v>1551599205737581</v>
      </c>
      <c r="C6157" t="s">
        <v>40</v>
      </c>
      <c r="D6157">
        <v>5.2118589999999996</v>
      </c>
      <c r="E6157">
        <v>0.49238179999999998</v>
      </c>
      <c r="F6157" t="s">
        <v>42</v>
      </c>
      <c r="G6157">
        <v>-294.53050000000002</v>
      </c>
      <c r="H6157">
        <v>1.061436</v>
      </c>
      <c r="I6157">
        <v>-58.431220000000003</v>
      </c>
      <c r="J6157">
        <v>-295.37110000000001</v>
      </c>
      <c r="K6157">
        <v>1.124312</v>
      </c>
      <c r="L6157">
        <v>-58.258699999999997</v>
      </c>
      <c r="M6157">
        <v>0.75240229999999997</v>
      </c>
      <c r="N6157">
        <v>-1.4435079999999999E-2</v>
      </c>
      <c r="O6157">
        <v>-0.65854559999999995</v>
      </c>
      <c r="P6157">
        <v>0.9545091</v>
      </c>
      <c r="Q6157">
        <v>-0.138156</v>
      </c>
      <c r="R6157">
        <v>-0.26424530000000002</v>
      </c>
      <c r="S6157">
        <v>2.9039000000000001</v>
      </c>
      <c r="T6157">
        <v>-0.19400229999999999</v>
      </c>
      <c r="U6157">
        <v>-0.76510619999999996</v>
      </c>
      <c r="V6157">
        <v>-0.42877690000000002</v>
      </c>
      <c r="W6157">
        <v>-0.12876650000000001</v>
      </c>
      <c r="X6157">
        <v>0.8941865</v>
      </c>
      <c r="Y6157">
        <v>-0.44348179999999998</v>
      </c>
      <c r="Z6157">
        <v>4.6892469999999999E-2</v>
      </c>
      <c r="AA6157">
        <v>0.89505590000000002</v>
      </c>
      <c r="AB6157">
        <v>14</v>
      </c>
      <c r="AC6157">
        <v>0.84059999999999402</v>
      </c>
      <c r="AD6157">
        <v>-6.2875999999999904E-2</v>
      </c>
      <c r="AE6157">
        <v>-0.17251999999999801</v>
      </c>
      <c r="AF6157">
        <v>-0.42154997079621598</v>
      </c>
      <c r="AG6157">
        <v>-6.2875999999999904E-2</v>
      </c>
      <c r="AH6157">
        <v>0.74217489264091097</v>
      </c>
      <c r="AI6157">
        <v>94.213089614093505</v>
      </c>
      <c r="AJ6157">
        <v>119.596261700344</v>
      </c>
      <c r="AK6157">
        <v>0.85585123737764102</v>
      </c>
      <c r="AL6157">
        <v>97.3983191199912</v>
      </c>
      <c r="AM6157">
        <v>115.618471904209</v>
      </c>
      <c r="AN6157">
        <v>0.99999996913905398</v>
      </c>
    </row>
    <row r="6158" spans="1:40" x14ac:dyDescent="0.25">
      <c r="A6158" t="str">
        <f>"20190303154645765"</f>
        <v>20190303154645765</v>
      </c>
      <c r="B6158" t="str">
        <f>"1551599205758077"</f>
        <v>1551599205758077</v>
      </c>
      <c r="C6158" t="s">
        <v>40</v>
      </c>
      <c r="D6158">
        <v>5.2165359999999996</v>
      </c>
      <c r="E6158">
        <v>0.49299229999999999</v>
      </c>
      <c r="F6158" t="s">
        <v>42</v>
      </c>
      <c r="G6158">
        <v>-294.40609999999998</v>
      </c>
      <c r="H6158">
        <v>1.061447</v>
      </c>
      <c r="I6158">
        <v>-58.509399999999999</v>
      </c>
      <c r="J6158">
        <v>-295.26799999999997</v>
      </c>
      <c r="K6158">
        <v>1.1243000000000001</v>
      </c>
      <c r="L6158">
        <v>-58.334470000000003</v>
      </c>
      <c r="M6158">
        <v>0.75834000000000001</v>
      </c>
      <c r="N6158">
        <v>-1.442597E-2</v>
      </c>
      <c r="O6158">
        <v>-0.65169969999999999</v>
      </c>
      <c r="P6158">
        <v>0.95628500000000005</v>
      </c>
      <c r="Q6158">
        <v>-0.1363799</v>
      </c>
      <c r="R6158">
        <v>-0.25868839999999999</v>
      </c>
      <c r="S6158">
        <v>2.906555</v>
      </c>
      <c r="T6158">
        <v>-0.189332</v>
      </c>
      <c r="U6158">
        <v>-0.75494380000000005</v>
      </c>
      <c r="V6158">
        <v>-0.42606620000000001</v>
      </c>
      <c r="W6158">
        <v>-0.12693070000000001</v>
      </c>
      <c r="X6158">
        <v>0.89574339999999997</v>
      </c>
      <c r="Y6158">
        <v>-0.43858780000000003</v>
      </c>
      <c r="Z6158">
        <v>4.5209699999999998E-2</v>
      </c>
      <c r="AA6158">
        <v>0.89755049999999903</v>
      </c>
      <c r="AB6158">
        <v>13</v>
      </c>
      <c r="AC6158">
        <v>0.86189999999999101</v>
      </c>
      <c r="AD6158">
        <v>-6.2853000000000006E-2</v>
      </c>
      <c r="AE6158">
        <v>-0.174930000000003</v>
      </c>
      <c r="AF6158">
        <v>-0.42690774479062699</v>
      </c>
      <c r="AG6158">
        <v>-6.2853000000000006E-2</v>
      </c>
      <c r="AH6158">
        <v>0.763793830105153</v>
      </c>
      <c r="AI6158">
        <v>94.108596861308399</v>
      </c>
      <c r="AJ6158">
        <v>119.202160715088</v>
      </c>
      <c r="AK6158">
        <v>0.87725807894707897</v>
      </c>
      <c r="AL6158">
        <v>97.292264795837596</v>
      </c>
      <c r="AM6158">
        <v>115.4384020384</v>
      </c>
      <c r="AN6158">
        <v>1.0000000240142399</v>
      </c>
    </row>
    <row r="6159" spans="1:40" x14ac:dyDescent="0.25">
      <c r="A6159" t="str">
        <f>"20190303154645788"</f>
        <v>20190303154645788</v>
      </c>
      <c r="B6159" t="str">
        <f>"1551599205777597"</f>
        <v>1551599205777597</v>
      </c>
      <c r="C6159" t="s">
        <v>40</v>
      </c>
      <c r="D6159">
        <v>5.2374269999999896</v>
      </c>
      <c r="E6159">
        <v>0.49344779999999999</v>
      </c>
      <c r="F6159" t="s">
        <v>42</v>
      </c>
      <c r="G6159">
        <v>-294.2808</v>
      </c>
      <c r="H6159">
        <v>1.0615870000000001</v>
      </c>
      <c r="I6159">
        <v>-58.586350000000003</v>
      </c>
      <c r="J6159">
        <v>-295.16149999999999</v>
      </c>
      <c r="K6159">
        <v>1.124285</v>
      </c>
      <c r="L6159">
        <v>-58.411349999999999</v>
      </c>
      <c r="M6159">
        <v>0.76436759999999904</v>
      </c>
      <c r="N6159">
        <v>-1.441652E-2</v>
      </c>
      <c r="O6159">
        <v>-0.64461959999999996</v>
      </c>
      <c r="P6159">
        <v>0.9576173</v>
      </c>
      <c r="Q6159">
        <v>-0.13598959999999999</v>
      </c>
      <c r="R6159">
        <v>-0.2539207</v>
      </c>
      <c r="S6159">
        <v>2.9099729999999999</v>
      </c>
      <c r="T6159">
        <v>-0.1848456</v>
      </c>
      <c r="U6159">
        <v>-0.74246219999999996</v>
      </c>
      <c r="V6159">
        <v>-0.4222494</v>
      </c>
      <c r="W6159">
        <v>-0.12646689999999999</v>
      </c>
      <c r="X6159">
        <v>0.89761440000000003</v>
      </c>
      <c r="Y6159">
        <v>-0.43419029999999997</v>
      </c>
      <c r="Z6159">
        <v>4.3602500000000002E-2</v>
      </c>
      <c r="AA6159">
        <v>0.89976529999999999</v>
      </c>
      <c r="AB6159">
        <v>13</v>
      </c>
      <c r="AC6159">
        <v>0.88069999999999005</v>
      </c>
      <c r="AD6159">
        <v>-6.2697999999999907E-2</v>
      </c>
      <c r="AE6159">
        <v>-0.17500000000000401</v>
      </c>
      <c r="AF6159">
        <v>-0.431891477115593</v>
      </c>
      <c r="AG6159">
        <v>-6.2697999999999907E-2</v>
      </c>
      <c r="AH6159">
        <v>0.78225462051311301</v>
      </c>
      <c r="AI6159">
        <v>94.0136598011008</v>
      </c>
      <c r="AJ6159">
        <v>118.903577318988</v>
      </c>
      <c r="AK6159">
        <v>0.89575866086976996</v>
      </c>
      <c r="AL6159">
        <v>97.265475137883499</v>
      </c>
      <c r="AM6159">
        <v>115.192898850253</v>
      </c>
      <c r="AN6159">
        <v>1.00000002184166</v>
      </c>
    </row>
    <row r="6160" spans="1:40" x14ac:dyDescent="0.25">
      <c r="A6160" t="str">
        <f>"20190303154645812"</f>
        <v>20190303154645812</v>
      </c>
      <c r="B6160" t="str">
        <f>"1551599205798092"</f>
        <v>1551599205798092</v>
      </c>
      <c r="C6160" t="s">
        <v>40</v>
      </c>
      <c r="D6160">
        <v>5.2420549999999997</v>
      </c>
      <c r="E6160">
        <v>0.49402859999999998</v>
      </c>
      <c r="F6160" t="s">
        <v>41</v>
      </c>
      <c r="G6160">
        <v>-277.69909999999999</v>
      </c>
      <c r="H6160" s="1">
        <v>-2.9802350000000002E-6</v>
      </c>
      <c r="I6160">
        <v>-62.798079999999999</v>
      </c>
      <c r="J6160">
        <v>-295.04739999999998</v>
      </c>
      <c r="K6160">
        <v>1.1242570000000001</v>
      </c>
      <c r="L6160">
        <v>-58.49194</v>
      </c>
      <c r="M6160">
        <v>0.7706904</v>
      </c>
      <c r="N6160">
        <v>-1.4405970000000001E-2</v>
      </c>
      <c r="O6160">
        <v>-0.63704689999999997</v>
      </c>
      <c r="P6160">
        <v>0.95913020000000004</v>
      </c>
      <c r="Q6160">
        <v>-0.13695370000000001</v>
      </c>
      <c r="R6160">
        <v>-0.24761540000000001</v>
      </c>
      <c r="S6160">
        <v>2.9121700000000001</v>
      </c>
      <c r="T6160">
        <v>-0.18749569999999999</v>
      </c>
      <c r="U6160">
        <v>-0.73156739999999998</v>
      </c>
      <c r="V6160">
        <v>-0.41921540000000002</v>
      </c>
      <c r="W6160">
        <v>-0.1273696</v>
      </c>
      <c r="X6160">
        <v>0.89890789999999998</v>
      </c>
      <c r="Y6160">
        <v>-0.42859390000000003</v>
      </c>
      <c r="Z6160">
        <v>4.3892260000000002E-2</v>
      </c>
      <c r="AA6160">
        <v>0.90243050000000002</v>
      </c>
      <c r="AB6160">
        <v>13</v>
      </c>
      <c r="AC6160">
        <v>17.348299999999899</v>
      </c>
      <c r="AD6160">
        <v>-1.124259980235</v>
      </c>
      <c r="AE6160">
        <v>-4.3061400000000001</v>
      </c>
      <c r="AF6160">
        <v>-7.70330848037751</v>
      </c>
      <c r="AG6160">
        <v>-1.124259980235</v>
      </c>
      <c r="AH6160">
        <v>16.051554252176501</v>
      </c>
      <c r="AI6160">
        <v>93.613167313293403</v>
      </c>
      <c r="AJ6160">
        <v>115.636835204764</v>
      </c>
      <c r="AK6160">
        <v>17.839767822412298</v>
      </c>
      <c r="AL6160">
        <v>97.317617943224406</v>
      </c>
      <c r="AM6160">
        <v>115.002500545912</v>
      </c>
      <c r="AN6160">
        <v>0.99999998964186498</v>
      </c>
    </row>
    <row r="6161" spans="1:40" x14ac:dyDescent="0.25">
      <c r="A6161" t="str">
        <f>"20190303154645834"</f>
        <v>20190303154645834</v>
      </c>
      <c r="B6161" t="str">
        <f>"1551599205828349"</f>
        <v>1551599205828349</v>
      </c>
      <c r="C6161" t="s">
        <v>40</v>
      </c>
      <c r="D6161">
        <v>5.2583630000000001</v>
      </c>
      <c r="E6161">
        <v>0.49453150000000001</v>
      </c>
      <c r="F6161" t="s">
        <v>41</v>
      </c>
      <c r="G6161">
        <v>-277.97820000000002</v>
      </c>
      <c r="H6161" s="1">
        <v>-3.0607620000000002E-6</v>
      </c>
      <c r="I6161">
        <v>-62.689909999999998</v>
      </c>
      <c r="J6161">
        <v>-294.94260000000003</v>
      </c>
      <c r="K6161">
        <v>1.124217</v>
      </c>
      <c r="L6161">
        <v>-58.564700000000002</v>
      </c>
      <c r="M6161">
        <v>0.77638359999999995</v>
      </c>
      <c r="N6161">
        <v>-1.439519E-2</v>
      </c>
      <c r="O6161">
        <v>-0.6300964</v>
      </c>
      <c r="P6161">
        <v>0.96043389999999995</v>
      </c>
      <c r="Q6161">
        <v>-0.1363094</v>
      </c>
      <c r="R6161">
        <v>-0.2428719</v>
      </c>
      <c r="S6161">
        <v>2.9152830000000001</v>
      </c>
      <c r="T6161">
        <v>-0.19201489999999999</v>
      </c>
      <c r="U6161">
        <v>-0.71697999999999995</v>
      </c>
      <c r="V6161">
        <v>-0.41565790000000002</v>
      </c>
      <c r="W6161">
        <v>-0.1266504</v>
      </c>
      <c r="X6161">
        <v>0.90065989999999996</v>
      </c>
      <c r="Y6161">
        <v>-0.42488860000000001</v>
      </c>
      <c r="Z6161">
        <v>4.4747919999999997E-2</v>
      </c>
      <c r="AA6161">
        <v>0.90413900000000003</v>
      </c>
      <c r="AB6161">
        <v>13</v>
      </c>
      <c r="AC6161">
        <v>16.964400000000001</v>
      </c>
      <c r="AD6161">
        <v>-1.1242200607619901</v>
      </c>
      <c r="AE6161">
        <v>-4.1252099999999903</v>
      </c>
      <c r="AF6161">
        <v>-7.4563198427532198</v>
      </c>
      <c r="AG6161">
        <v>-1.1242200607619901</v>
      </c>
      <c r="AH6161">
        <v>15.7066677898294</v>
      </c>
      <c r="AI6161">
        <v>93.699589375445399</v>
      </c>
      <c r="AJ6161">
        <v>115.39477755427301</v>
      </c>
      <c r="AK6161">
        <v>17.422973035694</v>
      </c>
      <c r="AL6161">
        <v>97.276074045389706</v>
      </c>
      <c r="AM6161">
        <v>114.77349986116</v>
      </c>
      <c r="AN6161">
        <v>1.00000003456028</v>
      </c>
    </row>
    <row r="6162" spans="1:40" x14ac:dyDescent="0.25">
      <c r="A6162" t="str">
        <f>"20190303154645855"</f>
        <v>20190303154645855</v>
      </c>
      <c r="B6162" t="str">
        <f>"1551599205847868"</f>
        <v>1551599205847868</v>
      </c>
      <c r="C6162" t="s">
        <v>40</v>
      </c>
      <c r="D6162">
        <v>5.2709849999999996</v>
      </c>
      <c r="E6162">
        <v>0.494946</v>
      </c>
      <c r="F6162" t="s">
        <v>41</v>
      </c>
      <c r="G6162">
        <v>-278.2962</v>
      </c>
      <c r="H6162" s="1">
        <v>-3.1556899999999999E-6</v>
      </c>
      <c r="I6162">
        <v>-62.590499999999999</v>
      </c>
      <c r="J6162">
        <v>-294.839</v>
      </c>
      <c r="K6162">
        <v>1.12419</v>
      </c>
      <c r="L6162">
        <v>-58.635190000000001</v>
      </c>
      <c r="M6162">
        <v>0.78189039999999999</v>
      </c>
      <c r="N6162">
        <v>-1.438291E-2</v>
      </c>
      <c r="O6162">
        <v>-0.62324979999999996</v>
      </c>
      <c r="P6162">
        <v>0.96181150000000004</v>
      </c>
      <c r="Q6162">
        <v>-0.13501009999999999</v>
      </c>
      <c r="R6162">
        <v>-0.23809820000000001</v>
      </c>
      <c r="S6162">
        <v>2.9172060000000002</v>
      </c>
      <c r="T6162">
        <v>-0.197015</v>
      </c>
      <c r="U6162">
        <v>-0.70550539999999995</v>
      </c>
      <c r="V6162">
        <v>-0.412358</v>
      </c>
      <c r="W6162">
        <v>-0.125273</v>
      </c>
      <c r="X6162">
        <v>0.90236780000000005</v>
      </c>
      <c r="Y6162">
        <v>-0.42035119999999998</v>
      </c>
      <c r="Z6162">
        <v>4.5685709999999997E-2</v>
      </c>
      <c r="AA6162">
        <v>0.90621059999999998</v>
      </c>
      <c r="AB6162">
        <v>13</v>
      </c>
      <c r="AC6162">
        <v>16.5428</v>
      </c>
      <c r="AD6162">
        <v>-1.12419315569</v>
      </c>
      <c r="AE6162">
        <v>-3.9553099999999901</v>
      </c>
      <c r="AF6162">
        <v>-7.1870296675344898</v>
      </c>
      <c r="AG6162">
        <v>-1.12419315569</v>
      </c>
      <c r="AH6162">
        <v>15.334410962154699</v>
      </c>
      <c r="AI6162">
        <v>93.797861624131301</v>
      </c>
      <c r="AJ6162">
        <v>115.111846628623</v>
      </c>
      <c r="AK6162">
        <v>16.972370643182799</v>
      </c>
      <c r="AL6162">
        <v>97.196521125056293</v>
      </c>
      <c r="AM6162">
        <v>114.55913563153101</v>
      </c>
      <c r="AN6162">
        <v>1.0000000455849101</v>
      </c>
    </row>
    <row r="6163" spans="1:40" x14ac:dyDescent="0.25">
      <c r="A6163" t="str">
        <f>"20190303154645878"</f>
        <v>20190303154645878</v>
      </c>
      <c r="B6163" t="str">
        <f>"1551599205868365"</f>
        <v>1551599205868365</v>
      </c>
      <c r="C6163" t="s">
        <v>40</v>
      </c>
      <c r="D6163">
        <v>5.2923910000000003</v>
      </c>
      <c r="E6163">
        <v>0.49530380000000002</v>
      </c>
      <c r="F6163" t="s">
        <v>41</v>
      </c>
      <c r="G6163">
        <v>-277.97000000000003</v>
      </c>
      <c r="H6163" s="1">
        <v>-3.0514539999999999E-6</v>
      </c>
      <c r="I6163">
        <v>-62.641289999999998</v>
      </c>
      <c r="J6163">
        <v>-294.7312</v>
      </c>
      <c r="K6163">
        <v>1.124147</v>
      </c>
      <c r="L6163">
        <v>-58.707279999999997</v>
      </c>
      <c r="M6163">
        <v>0.7874892</v>
      </c>
      <c r="N6163">
        <v>-1.4367919999999999E-2</v>
      </c>
      <c r="O6163">
        <v>-0.61616099999999996</v>
      </c>
      <c r="P6163">
        <v>0.96299699999999999</v>
      </c>
      <c r="Q6163">
        <v>-0.1346291</v>
      </c>
      <c r="R6163">
        <v>-0.23347760000000001</v>
      </c>
      <c r="S6163">
        <v>2.9201350000000001</v>
      </c>
      <c r="T6163">
        <v>-0.1946051</v>
      </c>
      <c r="U6163">
        <v>-0.69348140000000003</v>
      </c>
      <c r="V6163">
        <v>-0.40859380000000001</v>
      </c>
      <c r="W6163">
        <v>-0.12479990000000001</v>
      </c>
      <c r="X6163">
        <v>0.9041439</v>
      </c>
      <c r="Y6163">
        <v>-0.41594959999999997</v>
      </c>
      <c r="Z6163">
        <v>4.4637200000000002E-2</v>
      </c>
      <c r="AA6163">
        <v>0.90829150000000003</v>
      </c>
      <c r="AB6163">
        <v>13</v>
      </c>
      <c r="AC6163">
        <v>16.761199999999899</v>
      </c>
      <c r="AD6163">
        <v>-1.1241500514539999</v>
      </c>
      <c r="AE6163">
        <v>-3.9340099999999998</v>
      </c>
      <c r="AF6163">
        <v>-7.1996589521038699</v>
      </c>
      <c r="AG6163">
        <v>-1.1241500514539999</v>
      </c>
      <c r="AH6163">
        <v>15.558528719890001</v>
      </c>
      <c r="AI6163">
        <v>93.751661787422506</v>
      </c>
      <c r="AJ6163">
        <v>114.832187787715</v>
      </c>
      <c r="AK6163">
        <v>17.180413798638099</v>
      </c>
      <c r="AL6163">
        <v>97.169200048201503</v>
      </c>
      <c r="AM6163">
        <v>114.31879852208</v>
      </c>
      <c r="AN6163">
        <v>1.0000000501728199</v>
      </c>
    </row>
    <row r="6164" spans="1:40" x14ac:dyDescent="0.25">
      <c r="A6164" t="str">
        <f>"20190303154645900"</f>
        <v>20190303154645900</v>
      </c>
      <c r="B6164" t="str">
        <f>"1551599205897645"</f>
        <v>1551599205897645</v>
      </c>
      <c r="C6164" t="s">
        <v>40</v>
      </c>
      <c r="D6164">
        <v>5.3046369999999996</v>
      </c>
      <c r="E6164">
        <v>0.49565199999999998</v>
      </c>
      <c r="F6164" t="s">
        <v>41</v>
      </c>
      <c r="G6164">
        <v>-277.85230000000001</v>
      </c>
      <c r="H6164" s="1">
        <v>-3.0118659999999998E-6</v>
      </c>
      <c r="I6164">
        <v>-62.644660000000002</v>
      </c>
      <c r="J6164">
        <v>-294.62290000000002</v>
      </c>
      <c r="K6164">
        <v>1.12408</v>
      </c>
      <c r="L6164">
        <v>-58.778410000000001</v>
      </c>
      <c r="M6164">
        <v>0.79297359999999995</v>
      </c>
      <c r="N6164">
        <v>-1.435005E-2</v>
      </c>
      <c r="O6164">
        <v>-0.60908680000000004</v>
      </c>
      <c r="P6164">
        <v>0.96391079999999996</v>
      </c>
      <c r="Q6164">
        <v>-0.13550110000000001</v>
      </c>
      <c r="R6164">
        <v>-0.22916249999999999</v>
      </c>
      <c r="S6164">
        <v>2.9227289999999999</v>
      </c>
      <c r="T6164">
        <v>-0.19465650000000001</v>
      </c>
      <c r="U6164">
        <v>-0.68179319999999999</v>
      </c>
      <c r="V6164">
        <v>-0.40449190000000002</v>
      </c>
      <c r="W6164">
        <v>-0.12556929999999999</v>
      </c>
      <c r="X6164">
        <v>0.90588009999999997</v>
      </c>
      <c r="Y6164">
        <v>-0.41144510000000001</v>
      </c>
      <c r="Z6164">
        <v>4.4236549999999999E-2</v>
      </c>
      <c r="AA6164">
        <v>0.91036039999999996</v>
      </c>
      <c r="AB6164">
        <v>13</v>
      </c>
      <c r="AC6164">
        <v>16.770600000000002</v>
      </c>
      <c r="AD6164">
        <v>-1.1240830118659999</v>
      </c>
      <c r="AE6164">
        <v>-3.8662499999999902</v>
      </c>
      <c r="AF6164">
        <v>-7.1192837272518297</v>
      </c>
      <c r="AG6164">
        <v>-1.1240830118659999</v>
      </c>
      <c r="AH6164">
        <v>15.5886390231442</v>
      </c>
      <c r="AI6164">
        <v>93.752795174141795</v>
      </c>
      <c r="AJ6164">
        <v>114.54603487865801</v>
      </c>
      <c r="AK6164">
        <v>17.174208278711799</v>
      </c>
      <c r="AL6164">
        <v>97.213632947355507</v>
      </c>
      <c r="AM6164">
        <v>114.061628534788</v>
      </c>
      <c r="AN6164">
        <v>1.0000000509220499</v>
      </c>
    </row>
    <row r="6165" spans="1:40" x14ac:dyDescent="0.25">
      <c r="A6165" t="str">
        <f>"20190303154645923"</f>
        <v>20190303154645923</v>
      </c>
      <c r="B6165" t="str">
        <f>"1551599205918140"</f>
        <v>1551599205918140</v>
      </c>
      <c r="C6165" t="s">
        <v>40</v>
      </c>
      <c r="D6165">
        <v>5.3839040000000002</v>
      </c>
      <c r="E6165">
        <v>0.49574370000000001</v>
      </c>
      <c r="F6165" t="s">
        <v>41</v>
      </c>
      <c r="G6165">
        <v>-278.23090000000002</v>
      </c>
      <c r="H6165" s="1">
        <v>-3.1269519999999998E-6</v>
      </c>
      <c r="I6165">
        <v>-62.54175</v>
      </c>
      <c r="J6165">
        <v>-294.5163</v>
      </c>
      <c r="K6165">
        <v>1.1239950000000001</v>
      </c>
      <c r="L6165">
        <v>-58.847169999999998</v>
      </c>
      <c r="M6165">
        <v>0.79822249999999995</v>
      </c>
      <c r="N6165">
        <v>-1.432925E-2</v>
      </c>
      <c r="O6165">
        <v>-0.60219230000000001</v>
      </c>
      <c r="P6165">
        <v>0.96456960000000003</v>
      </c>
      <c r="Q6165">
        <v>-0.1376242</v>
      </c>
      <c r="R6165">
        <v>-0.22509009999999999</v>
      </c>
      <c r="S6165">
        <v>2.9245000000000001</v>
      </c>
      <c r="T6165">
        <v>-0.2005478</v>
      </c>
      <c r="U6165">
        <v>-0.67141719999999905</v>
      </c>
      <c r="V6165">
        <v>-0.40029720000000002</v>
      </c>
      <c r="W6165">
        <v>-0.12758519999999901</v>
      </c>
      <c r="X6165">
        <v>0.9074603</v>
      </c>
      <c r="Y6165">
        <v>-0.40664220000000001</v>
      </c>
      <c r="Z6165">
        <v>4.5334190000000003E-2</v>
      </c>
      <c r="AA6165">
        <v>0.912462</v>
      </c>
      <c r="AB6165">
        <v>13</v>
      </c>
      <c r="AC6165">
        <v>16.2853999999999</v>
      </c>
      <c r="AD6165">
        <v>-1.1239981269519901</v>
      </c>
      <c r="AE6165">
        <v>-3.6945800000000002</v>
      </c>
      <c r="AF6165">
        <v>-6.8276176022750104</v>
      </c>
      <c r="AG6165">
        <v>-1.1239981269519901</v>
      </c>
      <c r="AH6165">
        <v>15.157115045794701</v>
      </c>
      <c r="AI6165">
        <v>93.868071173077496</v>
      </c>
      <c r="AJ6165">
        <v>114.24948189950599</v>
      </c>
      <c r="AK6165">
        <v>16.661868755447099</v>
      </c>
      <c r="AL6165">
        <v>97.330072346163902</v>
      </c>
      <c r="AM6165">
        <v>113.803145892118</v>
      </c>
      <c r="AN6165">
        <v>1.00000001383148</v>
      </c>
    </row>
    <row r="6166" spans="1:40" x14ac:dyDescent="0.25">
      <c r="A6166" t="str">
        <f>"20190303154645944"</f>
        <v>20190303154645944</v>
      </c>
      <c r="B6166" t="str">
        <f>"1551599205937753"</f>
        <v>1551599205937753</v>
      </c>
      <c r="C6166" t="s">
        <v>40</v>
      </c>
      <c r="D6166">
        <v>5.4253130000000001</v>
      </c>
      <c r="E6166">
        <v>0.46618939999999998</v>
      </c>
      <c r="F6166" t="s">
        <v>41</v>
      </c>
      <c r="G6166">
        <v>-278.82010000000002</v>
      </c>
      <c r="H6166" s="1">
        <v>-3.3066490000000001E-6</v>
      </c>
      <c r="I6166">
        <v>-62.386139999999997</v>
      </c>
      <c r="J6166">
        <v>-294.40660000000003</v>
      </c>
      <c r="K6166">
        <v>1.123893</v>
      </c>
      <c r="L6166">
        <v>-58.916690000000003</v>
      </c>
      <c r="M6166">
        <v>0.80346379999999995</v>
      </c>
      <c r="N6166">
        <v>-1.4304880000000001E-2</v>
      </c>
      <c r="O6166">
        <v>-0.59518179999999998</v>
      </c>
      <c r="P6166">
        <v>0.96580900000000003</v>
      </c>
      <c r="Q6166">
        <v>-0.138365299999999</v>
      </c>
      <c r="R6166">
        <v>-0.21924379999999999</v>
      </c>
      <c r="S6166">
        <v>2.9263309999999998</v>
      </c>
      <c r="T6166">
        <v>-0.2095532</v>
      </c>
      <c r="U6166">
        <v>-0.65978999999999999</v>
      </c>
      <c r="V6166">
        <v>-0.39781040000000001</v>
      </c>
      <c r="W6166">
        <v>-0.1282346</v>
      </c>
      <c r="X6166">
        <v>0.90846170000000004</v>
      </c>
      <c r="Y6166">
        <v>-0.40206409999999998</v>
      </c>
      <c r="Z6166">
        <v>4.7195639999999997E-2</v>
      </c>
      <c r="AA6166">
        <v>0.91439429999999999</v>
      </c>
      <c r="AB6166">
        <v>13</v>
      </c>
      <c r="AC6166">
        <v>15.586499999999999</v>
      </c>
      <c r="AD6166">
        <v>-1.123896306649</v>
      </c>
      <c r="AE6166">
        <v>-3.4694500000000001</v>
      </c>
      <c r="AF6166">
        <v>-6.4578952252213897</v>
      </c>
      <c r="AG6166">
        <v>-1.123896306649</v>
      </c>
      <c r="AH6166">
        <v>14.5177139544704</v>
      </c>
      <c r="AI6166">
        <v>94.045969640360795</v>
      </c>
      <c r="AJ6166">
        <v>113.98086905516099</v>
      </c>
      <c r="AK6166">
        <v>15.9289538925775</v>
      </c>
      <c r="AL6166">
        <v>97.367588909881604</v>
      </c>
      <c r="AM6166">
        <v>113.648347794017</v>
      </c>
      <c r="AN6166">
        <v>0.99999994367610301</v>
      </c>
    </row>
    <row r="6167" spans="1:40" x14ac:dyDescent="0.25">
      <c r="A6167" t="str">
        <f>"20190303154645967"</f>
        <v>20190303154645967</v>
      </c>
      <c r="B6167" t="str">
        <f>"1551599205958248"</f>
        <v>1551599205958248</v>
      </c>
      <c r="C6167" t="s">
        <v>40</v>
      </c>
      <c r="D6167">
        <v>5.5023369999999998</v>
      </c>
      <c r="E6167">
        <v>0.4555495</v>
      </c>
      <c r="F6167" t="s">
        <v>42</v>
      </c>
      <c r="G6167">
        <v>-293.48390000000001</v>
      </c>
      <c r="H6167">
        <v>1.0301629999999999</v>
      </c>
      <c r="I6167">
        <v>-59.042230000000004</v>
      </c>
      <c r="J6167">
        <v>-294.3</v>
      </c>
      <c r="K6167">
        <v>1.123802</v>
      </c>
      <c r="L6167">
        <v>-58.983150000000002</v>
      </c>
      <c r="M6167">
        <v>0.80841399999999997</v>
      </c>
      <c r="N6167">
        <v>-1.428009E-2</v>
      </c>
      <c r="O6167">
        <v>-0.588441199999999</v>
      </c>
      <c r="P6167">
        <v>0.96730579999999999</v>
      </c>
      <c r="Q6167">
        <v>-0.13830249999999999</v>
      </c>
      <c r="R6167">
        <v>-0.2125841</v>
      </c>
      <c r="S6167">
        <v>2.9713129999999999</v>
      </c>
      <c r="T6167">
        <v>-0.30181160000000001</v>
      </c>
      <c r="U6167">
        <v>-0.40390009999999998</v>
      </c>
      <c r="V6167">
        <v>-0.39650289999999999</v>
      </c>
      <c r="W6167">
        <v>-0.1281033</v>
      </c>
      <c r="X6167">
        <v>0.90905170000000002</v>
      </c>
      <c r="Y6167">
        <v>-0.4697751</v>
      </c>
      <c r="Z6167">
        <v>7.3822739999999998E-2</v>
      </c>
      <c r="AA6167">
        <v>0.87969399999999998</v>
      </c>
      <c r="AB6167">
        <v>13</v>
      </c>
      <c r="AC6167">
        <v>0.81610000000000504</v>
      </c>
      <c r="AD6167">
        <v>-9.3639E-2</v>
      </c>
      <c r="AE6167">
        <v>-5.9080000000001499E-2</v>
      </c>
      <c r="AF6167">
        <v>-0.42691867133644901</v>
      </c>
      <c r="AG6167">
        <v>-9.3639E-2</v>
      </c>
      <c r="AH6167">
        <v>0.68560350265663095</v>
      </c>
      <c r="AI6167">
        <v>96.613283620165006</v>
      </c>
      <c r="AJ6167">
        <v>121.91012263645101</v>
      </c>
      <c r="AK6167">
        <v>0.813068248741592</v>
      </c>
      <c r="AL6167">
        <v>97.360002999930302</v>
      </c>
      <c r="AM6167">
        <v>113.56548200509999</v>
      </c>
      <c r="AN6167">
        <v>0.99999999922609495</v>
      </c>
    </row>
    <row r="6168" spans="1:40" x14ac:dyDescent="0.25">
      <c r="A6168" t="str">
        <f>"20190303154645989"</f>
        <v>20190303154645989</v>
      </c>
      <c r="B6168" t="str">
        <f>"1551599205977768"</f>
        <v>1551599205977768</v>
      </c>
      <c r="C6168" t="s">
        <v>40</v>
      </c>
      <c r="D6168">
        <v>5.4781060000000004</v>
      </c>
      <c r="E6168">
        <v>0.45254539999999999</v>
      </c>
      <c r="F6168" t="s">
        <v>42</v>
      </c>
      <c r="G6168">
        <v>-293.3768</v>
      </c>
      <c r="H6168">
        <v>1.022748</v>
      </c>
      <c r="I6168">
        <v>-59.075310000000002</v>
      </c>
      <c r="J6168">
        <v>-294.18880000000001</v>
      </c>
      <c r="K6168">
        <v>1.123721</v>
      </c>
      <c r="L6168">
        <v>-59.05133</v>
      </c>
      <c r="M6168">
        <v>0.81342539999999997</v>
      </c>
      <c r="N6168">
        <v>-1.4253689999999999E-2</v>
      </c>
      <c r="O6168">
        <v>-0.58149469999999903</v>
      </c>
      <c r="P6168">
        <v>0.96881479999999998</v>
      </c>
      <c r="Q6168">
        <v>-0.13875680000000001</v>
      </c>
      <c r="R6168">
        <v>-0.20529149999999999</v>
      </c>
      <c r="S6168">
        <v>2.9891049999999999</v>
      </c>
      <c r="T6168">
        <v>-0.32717649999999998</v>
      </c>
      <c r="U6168">
        <v>-0.29812620000000001</v>
      </c>
      <c r="V6168">
        <v>-0.39554689999999998</v>
      </c>
      <c r="W6168">
        <v>-0.1284998</v>
      </c>
      <c r="X6168">
        <v>0.90941209999999995</v>
      </c>
      <c r="Y6168">
        <v>-0.49252469999999998</v>
      </c>
      <c r="Z6168">
        <v>8.1203150000000002E-2</v>
      </c>
      <c r="AA6168">
        <v>0.86650190000000005</v>
      </c>
      <c r="AB6168">
        <v>13</v>
      </c>
      <c r="AC6168">
        <v>0.81200000000001105</v>
      </c>
      <c r="AD6168">
        <v>-0.10097299999999899</v>
      </c>
      <c r="AE6168">
        <v>-2.39799999999874E-2</v>
      </c>
      <c r="AF6168">
        <v>-0.44582584293510202</v>
      </c>
      <c r="AG6168">
        <v>-0.10097299999999899</v>
      </c>
      <c r="AH6168">
        <v>0.66425166094358801</v>
      </c>
      <c r="AI6168">
        <v>97.193670267984999</v>
      </c>
      <c r="AJ6168">
        <v>123.868330365044</v>
      </c>
      <c r="AK6168">
        <v>0.80634142769927797</v>
      </c>
      <c r="AL6168">
        <v>97.3829104040705</v>
      </c>
      <c r="AM6168">
        <v>113.50653093951399</v>
      </c>
      <c r="AN6168">
        <v>0.999999958163029</v>
      </c>
    </row>
    <row r="6169" spans="1:40" x14ac:dyDescent="0.25">
      <c r="A6169" t="str">
        <f>"20190303154646012"</f>
        <v>20190303154646012</v>
      </c>
      <c r="B6169" t="str">
        <f>"1551599206008024"</f>
        <v>1551599206008024</v>
      </c>
      <c r="C6169" t="s">
        <v>40</v>
      </c>
      <c r="D6169">
        <v>5.4945760000000003</v>
      </c>
      <c r="E6169">
        <v>0.4515383</v>
      </c>
      <c r="F6169" t="s">
        <v>42</v>
      </c>
      <c r="G6169">
        <v>-293.27850000000001</v>
      </c>
      <c r="H6169">
        <v>1.020311</v>
      </c>
      <c r="I6169">
        <v>-59.127670000000002</v>
      </c>
      <c r="J6169">
        <v>-294.07670000000002</v>
      </c>
      <c r="K6169">
        <v>1.123634</v>
      </c>
      <c r="L6169">
        <v>-59.118989999999997</v>
      </c>
      <c r="M6169">
        <v>0.81832019999999905</v>
      </c>
      <c r="N6169">
        <v>-1.422651E-2</v>
      </c>
      <c r="O6169">
        <v>-0.57458669999999901</v>
      </c>
      <c r="P6169">
        <v>0.97006700000000001</v>
      </c>
      <c r="Q6169">
        <v>-0.14043269999999999</v>
      </c>
      <c r="R6169">
        <v>-0.1981134</v>
      </c>
      <c r="S6169">
        <v>2.9946290000000002</v>
      </c>
      <c r="T6169">
        <v>-0.34018910000000002</v>
      </c>
      <c r="U6169">
        <v>-0.25109860000000001</v>
      </c>
      <c r="V6169">
        <v>-0.39445429999999998</v>
      </c>
      <c r="W6169">
        <v>-0.13012080000000001</v>
      </c>
      <c r="X6169">
        <v>0.90965620000000003</v>
      </c>
      <c r="Y6169">
        <v>-0.49834149999999999</v>
      </c>
      <c r="Z6169">
        <v>8.4454600000000005E-2</v>
      </c>
      <c r="AA6169">
        <v>0.862857599999999</v>
      </c>
      <c r="AB6169">
        <v>13</v>
      </c>
      <c r="AC6169">
        <v>0.79820000000000801</v>
      </c>
      <c r="AD6169">
        <v>-0.103323</v>
      </c>
      <c r="AE6169">
        <v>-8.6799999999911392E-3</v>
      </c>
      <c r="AF6169">
        <v>-0.44413665803996799</v>
      </c>
      <c r="AG6169">
        <v>-0.103323</v>
      </c>
      <c r="AH6169">
        <v>0.64739073696396199</v>
      </c>
      <c r="AI6169">
        <v>97.497378164186301</v>
      </c>
      <c r="AJ6169">
        <v>124.451724032699</v>
      </c>
      <c r="AK6169">
        <v>0.79186348548891505</v>
      </c>
      <c r="AL6169">
        <v>97.476572865878595</v>
      </c>
      <c r="AM6169">
        <v>113.443006152333</v>
      </c>
      <c r="AN6169">
        <v>1.0000000097897801</v>
      </c>
    </row>
    <row r="6170" spans="1:40" x14ac:dyDescent="0.25">
      <c r="A6170" t="str">
        <f>"20190303154646036"</f>
        <v>20190303154646036</v>
      </c>
      <c r="B6170" t="str">
        <f>"1551599206028232"</f>
        <v>1551599206028232</v>
      </c>
      <c r="C6170" t="s">
        <v>40</v>
      </c>
      <c r="D6170">
        <v>5.4780980000000001</v>
      </c>
      <c r="E6170">
        <v>0.45142789999999999</v>
      </c>
      <c r="F6170" t="s">
        <v>42</v>
      </c>
      <c r="G6170">
        <v>-293.1823</v>
      </c>
      <c r="H6170">
        <v>1.019185</v>
      </c>
      <c r="I6170">
        <v>-59.184939999999997</v>
      </c>
      <c r="J6170">
        <v>-293.96429999999998</v>
      </c>
      <c r="K6170">
        <v>1.123542</v>
      </c>
      <c r="L6170">
        <v>-59.185699999999997</v>
      </c>
      <c r="M6170">
        <v>0.82305839999999997</v>
      </c>
      <c r="N6170">
        <v>-1.4197909999999999E-2</v>
      </c>
      <c r="O6170">
        <v>-0.56777959999999905</v>
      </c>
      <c r="P6170">
        <v>0.97123490000000001</v>
      </c>
      <c r="Q6170">
        <v>-0.14321199999999901</v>
      </c>
      <c r="R6170">
        <v>-0.19024530000000001</v>
      </c>
      <c r="S6170">
        <v>2.9968569999999999</v>
      </c>
      <c r="T6170">
        <v>-0.34999049999999998</v>
      </c>
      <c r="U6170">
        <v>-0.22076419999999999</v>
      </c>
      <c r="V6170">
        <v>-0.39405679999999998</v>
      </c>
      <c r="W6170">
        <v>-0.1328539</v>
      </c>
      <c r="X6170">
        <v>0.90943339999999995</v>
      </c>
      <c r="Y6170">
        <v>-0.49955919999999998</v>
      </c>
      <c r="Z6170">
        <v>8.6587699999999906E-2</v>
      </c>
      <c r="AA6170">
        <v>0.86194150000000003</v>
      </c>
      <c r="AB6170">
        <v>13</v>
      </c>
      <c r="AC6170">
        <v>0.78199999999998204</v>
      </c>
      <c r="AD6170">
        <v>-0.10435700000000001</v>
      </c>
      <c r="AE6170">
        <v>7.5999999999254398E-4</v>
      </c>
      <c r="AF6170">
        <v>-0.43689345573732802</v>
      </c>
      <c r="AG6170">
        <v>-0.10435700000000001</v>
      </c>
      <c r="AH6170">
        <v>0.632009676777046</v>
      </c>
      <c r="AI6170">
        <v>97.734883603359705</v>
      </c>
      <c r="AJ6170">
        <v>124.65519529689</v>
      </c>
      <c r="AK6170">
        <v>0.77537249542070497</v>
      </c>
      <c r="AL6170">
        <v>97.634539464044593</v>
      </c>
      <c r="AM6170">
        <v>113.427048145379</v>
      </c>
      <c r="AN6170">
        <v>1.0000000147035</v>
      </c>
    </row>
    <row r="6171" spans="1:40" x14ac:dyDescent="0.25">
      <c r="A6171" t="str">
        <f>"20190303154646055"</f>
        <v>20190303154646055</v>
      </c>
      <c r="B6171" t="str">
        <f>"1551599206047753"</f>
        <v>1551599206047753</v>
      </c>
      <c r="C6171" t="s">
        <v>40</v>
      </c>
      <c r="D6171">
        <v>5.5147490000000001</v>
      </c>
      <c r="E6171">
        <v>0.45157439999999999</v>
      </c>
      <c r="F6171" t="s">
        <v>42</v>
      </c>
      <c r="G6171">
        <v>-293.08659999999998</v>
      </c>
      <c r="H6171">
        <v>1.0188079999999999</v>
      </c>
      <c r="I6171">
        <v>-59.24306</v>
      </c>
      <c r="J6171">
        <v>-293.86360000000002</v>
      </c>
      <c r="K6171">
        <v>1.1234580000000001</v>
      </c>
      <c r="L6171">
        <v>-59.244540000000001</v>
      </c>
      <c r="M6171">
        <v>0.82716209999999901</v>
      </c>
      <c r="N6171">
        <v>-1.4171019999999999E-2</v>
      </c>
      <c r="O6171">
        <v>-0.56178459999999997</v>
      </c>
      <c r="P6171">
        <v>0.97231129999999999</v>
      </c>
      <c r="Q6171">
        <v>-0.1448951</v>
      </c>
      <c r="R6171">
        <v>-0.1833468</v>
      </c>
      <c r="S6171">
        <v>2.9977719999999999</v>
      </c>
      <c r="T6171">
        <v>-0.35768830000000001</v>
      </c>
      <c r="U6171">
        <v>-0.19583130000000001</v>
      </c>
      <c r="V6171">
        <v>-0.39377699999999999</v>
      </c>
      <c r="W6171">
        <v>-0.1344909</v>
      </c>
      <c r="X6171">
        <v>0.90931399999999996</v>
      </c>
      <c r="Y6171">
        <v>-0.50016300000000002</v>
      </c>
      <c r="Z6171">
        <v>8.8185239999999998E-2</v>
      </c>
      <c r="AA6171">
        <v>0.86142929999999995</v>
      </c>
      <c r="AB6171">
        <v>13</v>
      </c>
      <c r="AC6171">
        <v>0.77700000000004299</v>
      </c>
      <c r="AD6171">
        <v>-0.10465000000000001</v>
      </c>
      <c r="AE6171">
        <v>1.4800000000008101E-3</v>
      </c>
      <c r="AF6171">
        <v>-0.429975111085451</v>
      </c>
      <c r="AG6171">
        <v>-0.10465000000000001</v>
      </c>
      <c r="AH6171">
        <v>0.63050078374993201</v>
      </c>
      <c r="AI6171">
        <v>97.808134563508801</v>
      </c>
      <c r="AJ6171">
        <v>124.292348910616</v>
      </c>
      <c r="AK6171">
        <v>0.77029958909649199</v>
      </c>
      <c r="AL6171">
        <v>97.729181836662207</v>
      </c>
      <c r="AM6171">
        <v>113.414948268066</v>
      </c>
      <c r="AN6171">
        <v>1.0000000392538999</v>
      </c>
    </row>
    <row r="6172" spans="1:40" x14ac:dyDescent="0.25">
      <c r="A6172" t="str">
        <f>"20190303154646078"</f>
        <v>20190303154646078</v>
      </c>
      <c r="B6172" t="str">
        <f>"1551599206068249"</f>
        <v>1551599206068249</v>
      </c>
      <c r="C6172" t="s">
        <v>40</v>
      </c>
      <c r="D6172">
        <v>5.5094120000000002</v>
      </c>
      <c r="E6172">
        <v>0.45157940000000002</v>
      </c>
      <c r="F6172" t="s">
        <v>42</v>
      </c>
      <c r="G6172">
        <v>-292.98869999999999</v>
      </c>
      <c r="H6172">
        <v>1.017406</v>
      </c>
      <c r="I6172">
        <v>-59.295929999999998</v>
      </c>
      <c r="J6172">
        <v>-293.75110000000001</v>
      </c>
      <c r="K6172">
        <v>1.1233649999999999</v>
      </c>
      <c r="L6172">
        <v>-59.309480000000001</v>
      </c>
      <c r="M6172">
        <v>0.8316074</v>
      </c>
      <c r="N6172">
        <v>-1.414029E-2</v>
      </c>
      <c r="O6172">
        <v>-0.55518389999999995</v>
      </c>
      <c r="P6172">
        <v>0.97360690000000005</v>
      </c>
      <c r="Q6172">
        <v>-0.14609759999999999</v>
      </c>
      <c r="R6172">
        <v>-0.175343</v>
      </c>
      <c r="S6172">
        <v>2.998138</v>
      </c>
      <c r="T6172">
        <v>-0.36339389999999999</v>
      </c>
      <c r="U6172">
        <v>-0.1756897</v>
      </c>
      <c r="V6172">
        <v>-0.39393990000000001</v>
      </c>
      <c r="W6172">
        <v>-0.1356445</v>
      </c>
      <c r="X6172">
        <v>0.90907199999999999</v>
      </c>
      <c r="Y6172">
        <v>-0.49887939999999997</v>
      </c>
      <c r="Z6172">
        <v>8.9067729999999998E-2</v>
      </c>
      <c r="AA6172">
        <v>0.86208249999999997</v>
      </c>
      <c r="AB6172">
        <v>13</v>
      </c>
      <c r="AC6172">
        <v>0.76240000000001296</v>
      </c>
      <c r="AD6172">
        <v>-0.105958999999999</v>
      </c>
      <c r="AE6172">
        <v>1.35500000000021E-2</v>
      </c>
      <c r="AF6172">
        <v>-0.42635127663538203</v>
      </c>
      <c r="AG6172">
        <v>-0.105958999999999</v>
      </c>
      <c r="AH6172">
        <v>0.61468802332849803</v>
      </c>
      <c r="AI6172">
        <v>98.061868686099899</v>
      </c>
      <c r="AJ6172">
        <v>124.745407427183</v>
      </c>
      <c r="AK6172">
        <v>0.75554224686189198</v>
      </c>
      <c r="AL6172">
        <v>97.795889934294394</v>
      </c>
      <c r="AM6172">
        <v>113.429154452422</v>
      </c>
      <c r="AN6172">
        <v>0.99999998818812896</v>
      </c>
    </row>
    <row r="6173" spans="1:40" x14ac:dyDescent="0.25">
      <c r="A6173" t="str">
        <f>"20190303154646101"</f>
        <v>20190303154646101</v>
      </c>
      <c r="B6173" t="str">
        <f>"1551599206098505"</f>
        <v>1551599206098505</v>
      </c>
      <c r="C6173" t="s">
        <v>40</v>
      </c>
      <c r="D6173">
        <v>5.4552659999999999</v>
      </c>
      <c r="E6173">
        <v>0.45232240000000001</v>
      </c>
      <c r="F6173" t="s">
        <v>42</v>
      </c>
      <c r="G6173">
        <v>-292.89240000000001</v>
      </c>
      <c r="H6173">
        <v>1.017628</v>
      </c>
      <c r="I6173">
        <v>-59.352789999999999</v>
      </c>
      <c r="J6173">
        <v>-293.64</v>
      </c>
      <c r="K6173">
        <v>1.123286</v>
      </c>
      <c r="L6173">
        <v>-59.372619999999998</v>
      </c>
      <c r="M6173">
        <v>0.83585599999999904</v>
      </c>
      <c r="N6173">
        <v>-1.4110610000000001E-2</v>
      </c>
      <c r="O6173">
        <v>-0.54876740000000002</v>
      </c>
      <c r="P6173">
        <v>0.97458959999999994</v>
      </c>
      <c r="Q6173">
        <v>-0.1472936</v>
      </c>
      <c r="R6173">
        <v>-0.168759299999999</v>
      </c>
      <c r="S6173">
        <v>2.9987180000000002</v>
      </c>
      <c r="T6173">
        <v>-0.36924360000000001</v>
      </c>
      <c r="U6173">
        <v>-0.15097049999999901</v>
      </c>
      <c r="V6173">
        <v>-0.39300839999999998</v>
      </c>
      <c r="W6173">
        <v>-0.13678419999999999</v>
      </c>
      <c r="X6173">
        <v>0.90930440000000001</v>
      </c>
      <c r="Y6173">
        <v>-0.49912069999999997</v>
      </c>
      <c r="Z6173">
        <v>9.0080069999999998E-2</v>
      </c>
      <c r="AA6173">
        <v>0.86183770000000004</v>
      </c>
      <c r="AB6173">
        <v>13</v>
      </c>
      <c r="AC6173">
        <v>0.74759999999997695</v>
      </c>
      <c r="AD6173">
        <v>-0.105658</v>
      </c>
      <c r="AE6173">
        <v>1.9829999999998901E-2</v>
      </c>
      <c r="AF6173">
        <v>-0.41852231844756799</v>
      </c>
      <c r="AG6173">
        <v>-0.105658</v>
      </c>
      <c r="AH6173">
        <v>0.60204813133655299</v>
      </c>
      <c r="AI6173">
        <v>98.1998677211743</v>
      </c>
      <c r="AJ6173">
        <v>124.805644487222</v>
      </c>
      <c r="AK6173">
        <v>0.74080125300148003</v>
      </c>
      <c r="AL6173">
        <v>97.861804161268495</v>
      </c>
      <c r="AM6173">
        <v>113.374374396356</v>
      </c>
      <c r="AN6173">
        <v>1.00000000584978</v>
      </c>
    </row>
    <row r="6174" spans="1:40" x14ac:dyDescent="0.25">
      <c r="A6174" t="str">
        <f>"20190303154646123"</f>
        <v>20190303154646123</v>
      </c>
      <c r="B6174" t="str">
        <f>"1551599206118025"</f>
        <v>1551599206118025</v>
      </c>
      <c r="C6174" t="s">
        <v>40</v>
      </c>
      <c r="D6174">
        <v>5.4693750000000003</v>
      </c>
      <c r="E6174">
        <v>0.45304860000000002</v>
      </c>
      <c r="F6174" t="s">
        <v>42</v>
      </c>
      <c r="G6174">
        <v>-292.79680000000002</v>
      </c>
      <c r="H6174">
        <v>1.0194799999999999</v>
      </c>
      <c r="I6174">
        <v>-59.411110000000001</v>
      </c>
      <c r="J6174">
        <v>-293.53030000000001</v>
      </c>
      <c r="K6174">
        <v>1.1232310000000001</v>
      </c>
      <c r="L6174">
        <v>-59.433959999999999</v>
      </c>
      <c r="M6174">
        <v>0.83991530000000003</v>
      </c>
      <c r="N6174">
        <v>-1.408382E-2</v>
      </c>
      <c r="O6174">
        <v>-0.54253490000000004</v>
      </c>
      <c r="P6174">
        <v>0.97553529999999999</v>
      </c>
      <c r="Q6174">
        <v>-0.14726</v>
      </c>
      <c r="R6174">
        <v>-0.16323499999999999</v>
      </c>
      <c r="S6174">
        <v>2.998688</v>
      </c>
      <c r="T6174">
        <v>-0.3691854</v>
      </c>
      <c r="U6174">
        <v>-0.13705439999999999</v>
      </c>
      <c r="V6174">
        <v>-0.39142110000000002</v>
      </c>
      <c r="W6174">
        <v>-0.13670009999999999</v>
      </c>
      <c r="X6174">
        <v>0.91000150000000002</v>
      </c>
      <c r="Y6174">
        <v>-0.49673040000000002</v>
      </c>
      <c r="Z6174">
        <v>8.9399820000000005E-2</v>
      </c>
      <c r="AA6174">
        <v>0.86328830000000001</v>
      </c>
      <c r="AB6174">
        <v>13</v>
      </c>
      <c r="AC6174">
        <v>0.73349999999999205</v>
      </c>
      <c r="AD6174">
        <v>-0.103750999999999</v>
      </c>
      <c r="AE6174">
        <v>2.2849999999998202E-2</v>
      </c>
      <c r="AF6174">
        <v>-0.40900762581671402</v>
      </c>
      <c r="AG6174">
        <v>-0.103750999999999</v>
      </c>
      <c r="AH6174">
        <v>0.59190985119991801</v>
      </c>
      <c r="AI6174">
        <v>98.205698577979206</v>
      </c>
      <c r="AJ6174">
        <v>124.644336696835</v>
      </c>
      <c r="AK6174">
        <v>0.72691731299009199</v>
      </c>
      <c r="AL6174">
        <v>97.856939447216106</v>
      </c>
      <c r="AM6174">
        <v>113.274105146346</v>
      </c>
      <c r="AN6174">
        <v>1.00000006243373</v>
      </c>
    </row>
    <row r="6175" spans="1:40" x14ac:dyDescent="0.25">
      <c r="A6175" t="str">
        <f>"20190303154646145"</f>
        <v>20190303154646145</v>
      </c>
      <c r="B6175" t="str">
        <f>"1551599206137545"</f>
        <v>1551599206137545</v>
      </c>
      <c r="C6175" t="s">
        <v>40</v>
      </c>
      <c r="D6175">
        <v>5.5333610000000002</v>
      </c>
      <c r="E6175">
        <v>0.45356800000000003</v>
      </c>
      <c r="F6175" t="s">
        <v>42</v>
      </c>
      <c r="G6175">
        <v>-292.58539999999999</v>
      </c>
      <c r="H6175">
        <v>1.0082739999999999</v>
      </c>
      <c r="I6175">
        <v>-59.473730000000003</v>
      </c>
      <c r="J6175">
        <v>-293.42160000000001</v>
      </c>
      <c r="K6175">
        <v>1.1232089999999999</v>
      </c>
      <c r="L6175">
        <v>-59.493839999999999</v>
      </c>
      <c r="M6175">
        <v>0.84383379999999997</v>
      </c>
      <c r="N6175">
        <v>-1.4060639999999999E-2</v>
      </c>
      <c r="O6175">
        <v>-0.53642060000000003</v>
      </c>
      <c r="P6175">
        <v>0.97645170000000003</v>
      </c>
      <c r="Q6175">
        <v>-0.14689959999999999</v>
      </c>
      <c r="R6175">
        <v>-0.15799589999999999</v>
      </c>
      <c r="S6175">
        <v>2.9990230000000002</v>
      </c>
      <c r="T6175">
        <v>-0.36486429999999997</v>
      </c>
      <c r="U6175">
        <v>-0.12622069999999999</v>
      </c>
      <c r="V6175">
        <v>-0.38974249999999999</v>
      </c>
      <c r="W6175">
        <v>-0.1363075</v>
      </c>
      <c r="X6175">
        <v>0.91078049999999999</v>
      </c>
      <c r="Y6175">
        <v>-0.49377739999999998</v>
      </c>
      <c r="Z6175">
        <v>8.7599250000000004E-2</v>
      </c>
      <c r="AA6175">
        <v>0.86516489999999902</v>
      </c>
      <c r="AB6175">
        <v>13</v>
      </c>
      <c r="AC6175">
        <v>0.83620000000001904</v>
      </c>
      <c r="AD6175">
        <v>-0.114935</v>
      </c>
      <c r="AE6175">
        <v>2.0110000000002501E-2</v>
      </c>
      <c r="AF6175">
        <v>-0.45694267399405097</v>
      </c>
      <c r="AG6175">
        <v>-0.114935</v>
      </c>
      <c r="AH6175">
        <v>0.682017598329834</v>
      </c>
      <c r="AI6175">
        <v>97.969830706735294</v>
      </c>
      <c r="AJ6175">
        <v>123.82155660442901</v>
      </c>
      <c r="AK6175">
        <v>0.82894792717843802</v>
      </c>
      <c r="AL6175">
        <v>97.834232794990001</v>
      </c>
      <c r="AM6175">
        <v>113.167120214012</v>
      </c>
      <c r="AN6175">
        <v>1.00000003502137</v>
      </c>
    </row>
    <row r="6176" spans="1:40" x14ac:dyDescent="0.25">
      <c r="A6176" t="str">
        <f>"20190303154646167"</f>
        <v>20190303154646167</v>
      </c>
      <c r="B6176" t="str">
        <f>"1551599206158041"</f>
        <v>1551599206158041</v>
      </c>
      <c r="C6176" t="s">
        <v>40</v>
      </c>
      <c r="D6176">
        <v>5.5058879999999997</v>
      </c>
      <c r="E6176">
        <v>0.45418720000000001</v>
      </c>
      <c r="F6176" t="s">
        <v>42</v>
      </c>
      <c r="G6176">
        <v>-292.48930000000001</v>
      </c>
      <c r="H6176">
        <v>1.010772</v>
      </c>
      <c r="I6176">
        <v>-59.529690000000002</v>
      </c>
      <c r="J6176">
        <v>-293.31</v>
      </c>
      <c r="K6176">
        <v>1.123216</v>
      </c>
      <c r="L6176">
        <v>-59.554380000000002</v>
      </c>
      <c r="M6176">
        <v>0.84776479999999999</v>
      </c>
      <c r="N6176">
        <v>-1.404125E-2</v>
      </c>
      <c r="O6176">
        <v>-0.5301865</v>
      </c>
      <c r="P6176">
        <v>0.97756160000000003</v>
      </c>
      <c r="Q6176">
        <v>-0.1450871</v>
      </c>
      <c r="R6176">
        <v>-0.15271899999999999</v>
      </c>
      <c r="S6176">
        <v>2.9994200000000002</v>
      </c>
      <c r="T6176">
        <v>-0.3617225</v>
      </c>
      <c r="U6176">
        <v>-0.114440899999999</v>
      </c>
      <c r="V6176">
        <v>-0.38810919999999999</v>
      </c>
      <c r="W6176">
        <v>-0.134481399999999</v>
      </c>
      <c r="X6176">
        <v>0.91174889999999997</v>
      </c>
      <c r="Y6176">
        <v>-0.49095060000000001</v>
      </c>
      <c r="Z6176">
        <v>8.6101880000000006E-2</v>
      </c>
      <c r="AA6176">
        <v>0.86692209999999903</v>
      </c>
      <c r="AB6176">
        <v>13</v>
      </c>
      <c r="AC6176">
        <v>0.820699999999987</v>
      </c>
      <c r="AD6176">
        <v>-0.112444</v>
      </c>
      <c r="AE6176">
        <v>2.4689999999999601E-2</v>
      </c>
      <c r="AF6176">
        <v>-0.44770376531331302</v>
      </c>
      <c r="AG6176">
        <v>-0.112444</v>
      </c>
      <c r="AH6176">
        <v>0.67016872652484505</v>
      </c>
      <c r="AI6176">
        <v>97.942429191262406</v>
      </c>
      <c r="AJ6176">
        <v>123.74475925402901</v>
      </c>
      <c r="AK6176">
        <v>0.81376190413636995</v>
      </c>
      <c r="AL6176">
        <v>97.728632629126196</v>
      </c>
      <c r="AM6176">
        <v>113.05826773356399</v>
      </c>
      <c r="AN6176">
        <v>1.0000000273609</v>
      </c>
    </row>
    <row r="6177" spans="1:40" x14ac:dyDescent="0.25">
      <c r="A6177" t="str">
        <f>"20190303154646191"</f>
        <v>20190303154646191</v>
      </c>
      <c r="B6177" t="str">
        <f>"1551599206188298"</f>
        <v>1551599206188298</v>
      </c>
      <c r="C6177" t="s">
        <v>40</v>
      </c>
      <c r="D6177">
        <v>5.5092990000000004</v>
      </c>
      <c r="E6177">
        <v>0.45504549999999999</v>
      </c>
      <c r="F6177" t="s">
        <v>42</v>
      </c>
      <c r="G6177">
        <v>-292.39339999999999</v>
      </c>
      <c r="H6177">
        <v>1.014629</v>
      </c>
      <c r="I6177">
        <v>-59.585979999999999</v>
      </c>
      <c r="J6177">
        <v>-293.1961</v>
      </c>
      <c r="K6177">
        <v>1.123243</v>
      </c>
      <c r="L6177">
        <v>-59.615079999999999</v>
      </c>
      <c r="M6177">
        <v>0.85169539999999999</v>
      </c>
      <c r="N6177">
        <v>-1.402634E-2</v>
      </c>
      <c r="O6177">
        <v>-0.52384949999999997</v>
      </c>
      <c r="P6177">
        <v>0.97853480000000004</v>
      </c>
      <c r="Q6177">
        <v>-0.143809299999999</v>
      </c>
      <c r="R6177">
        <v>-0.14761060000000001</v>
      </c>
      <c r="S6177">
        <v>3.0000309999999999</v>
      </c>
      <c r="T6177">
        <v>-0.3553847</v>
      </c>
      <c r="U6177">
        <v>-0.10321039999999999</v>
      </c>
      <c r="V6177">
        <v>-0.38617699999999999</v>
      </c>
      <c r="W6177">
        <v>-0.13320419999999999</v>
      </c>
      <c r="X6177">
        <v>0.91275629999999996</v>
      </c>
      <c r="Y6177">
        <v>-0.48800320000000003</v>
      </c>
      <c r="Z6177">
        <v>8.380108E-2</v>
      </c>
      <c r="AA6177">
        <v>0.86880970000000002</v>
      </c>
      <c r="AB6177">
        <v>13</v>
      </c>
      <c r="AC6177">
        <v>0.80270000000001496</v>
      </c>
      <c r="AD6177">
        <v>-0.108614</v>
      </c>
      <c r="AE6177">
        <v>2.9099999999999598E-2</v>
      </c>
      <c r="AF6177">
        <v>-0.43732562356934102</v>
      </c>
      <c r="AG6177">
        <v>-0.108614</v>
      </c>
      <c r="AH6177">
        <v>0.65647398808940705</v>
      </c>
      <c r="AI6177">
        <v>97.840015142196705</v>
      </c>
      <c r="AJ6177">
        <v>123.67050394985399</v>
      </c>
      <c r="AK6177">
        <v>0.79624669485299904</v>
      </c>
      <c r="AL6177">
        <v>97.654789898939498</v>
      </c>
      <c r="AM6177">
        <v>112.932679341884</v>
      </c>
      <c r="AN6177">
        <v>1.0000000487081599</v>
      </c>
    </row>
    <row r="6178" spans="1:40" x14ac:dyDescent="0.25">
      <c r="A6178" t="str">
        <f>"20190303154646213"</f>
        <v>20190303154646213</v>
      </c>
      <c r="B6178" t="str">
        <f>"1551599206207817"</f>
        <v>1551599206207817</v>
      </c>
      <c r="C6178" t="s">
        <v>40</v>
      </c>
      <c r="D6178">
        <v>5.4948649999999999</v>
      </c>
      <c r="E6178">
        <v>0.4763327</v>
      </c>
      <c r="F6178" t="s">
        <v>42</v>
      </c>
      <c r="G6178">
        <v>-292.29790000000003</v>
      </c>
      <c r="H6178">
        <v>1.0188680000000001</v>
      </c>
      <c r="I6178">
        <v>-59.643520000000002</v>
      </c>
      <c r="J6178">
        <v>-293.08499999999998</v>
      </c>
      <c r="K6178">
        <v>1.1232740000000001</v>
      </c>
      <c r="L6178">
        <v>-59.673279999999998</v>
      </c>
      <c r="M6178">
        <v>0.85546829999999996</v>
      </c>
      <c r="N6178">
        <v>-1.401611E-2</v>
      </c>
      <c r="O6178">
        <v>-0.51766570000000001</v>
      </c>
      <c r="P6178">
        <v>0.9794195</v>
      </c>
      <c r="Q6178">
        <v>-0.14245179999999999</v>
      </c>
      <c r="R6178">
        <v>-0.14298729999999901</v>
      </c>
      <c r="S6178">
        <v>3.000305</v>
      </c>
      <c r="T6178">
        <v>-0.34861340000000002</v>
      </c>
      <c r="U6178">
        <v>-9.4512940000000004E-2</v>
      </c>
      <c r="V6178">
        <v>-0.38398179999999998</v>
      </c>
      <c r="W6178">
        <v>-0.131851</v>
      </c>
      <c r="X6178">
        <v>0.91387819999999997</v>
      </c>
      <c r="Y6178">
        <v>-0.48450840000000001</v>
      </c>
      <c r="Z6178">
        <v>8.1398960000000006E-2</v>
      </c>
      <c r="AA6178">
        <v>0.87099130000000002</v>
      </c>
      <c r="AB6178">
        <v>13</v>
      </c>
      <c r="AC6178">
        <v>0.78709999999995195</v>
      </c>
      <c r="AD6178">
        <v>-0.104405999999999</v>
      </c>
      <c r="AE6178">
        <v>2.9760000000010198E-2</v>
      </c>
      <c r="AF6178">
        <v>-0.42548021768233302</v>
      </c>
      <c r="AG6178">
        <v>-0.104405999999999</v>
      </c>
      <c r="AH6178">
        <v>0.64663654818363103</v>
      </c>
      <c r="AI6178">
        <v>97.681731193737093</v>
      </c>
      <c r="AJ6178">
        <v>123.344506378463</v>
      </c>
      <c r="AK6178">
        <v>0.78107160614238702</v>
      </c>
      <c r="AL6178">
        <v>97.576567362104797</v>
      </c>
      <c r="AM6178">
        <v>112.790556898839</v>
      </c>
      <c r="AN6178">
        <v>1.0000000366837301</v>
      </c>
    </row>
    <row r="6179" spans="1:40" x14ac:dyDescent="0.25">
      <c r="A6179" t="str">
        <f>"20190303154646236"</f>
        <v>20190303154646236</v>
      </c>
      <c r="B6179" t="str">
        <f>"1551599206227844"</f>
        <v>1551599206227844</v>
      </c>
      <c r="C6179" t="s">
        <v>40</v>
      </c>
      <c r="D6179">
        <v>5.5309100000000004</v>
      </c>
      <c r="E6179">
        <v>0.47816229999999998</v>
      </c>
      <c r="F6179" t="s">
        <v>41</v>
      </c>
      <c r="G6179">
        <v>-277.82979999999998</v>
      </c>
      <c r="H6179" s="1">
        <v>-2.6484369999999999E-6</v>
      </c>
      <c r="I6179">
        <v>-60.991619999999998</v>
      </c>
      <c r="J6179">
        <v>-292.97269999999997</v>
      </c>
      <c r="K6179">
        <v>1.1233070000000001</v>
      </c>
      <c r="L6179">
        <v>-59.731079999999999</v>
      </c>
      <c r="M6179">
        <v>0.8592284</v>
      </c>
      <c r="N6179">
        <v>-1.400937E-2</v>
      </c>
      <c r="O6179">
        <v>-0.51140059999999998</v>
      </c>
      <c r="P6179">
        <v>0.98026480000000005</v>
      </c>
      <c r="Q6179">
        <v>-0.14088419999999999</v>
      </c>
      <c r="R6179">
        <v>-0.13868179999999999</v>
      </c>
      <c r="S6179">
        <v>2.9931640000000002</v>
      </c>
      <c r="T6179">
        <v>-0.22039429999999999</v>
      </c>
      <c r="U6179">
        <v>-0.25866699999999998</v>
      </c>
      <c r="V6179">
        <v>-0.38143929999999998</v>
      </c>
      <c r="W6179">
        <v>-0.13028290000000001</v>
      </c>
      <c r="X6179">
        <v>0.91516690000000001</v>
      </c>
      <c r="Y6179">
        <v>-0.43342269999999999</v>
      </c>
      <c r="Z6179">
        <v>4.740904E-2</v>
      </c>
      <c r="AA6179">
        <v>0.89994280000000004</v>
      </c>
      <c r="AB6179">
        <v>13</v>
      </c>
      <c r="AC6179">
        <v>15.1428999999999</v>
      </c>
      <c r="AD6179">
        <v>-1.123309648437</v>
      </c>
      <c r="AE6179">
        <v>-1.26053999999999</v>
      </c>
      <c r="AF6179">
        <v>-6.6254418487466804</v>
      </c>
      <c r="AG6179">
        <v>-1.123309648437</v>
      </c>
      <c r="AH6179">
        <v>13.5829595516091</v>
      </c>
      <c r="AI6179">
        <v>94.250916591914006</v>
      </c>
      <c r="AJ6179">
        <v>116.002009857508</v>
      </c>
      <c r="AK6179">
        <v>15.1543754222351</v>
      </c>
      <c r="AL6179">
        <v>97.485940217975397</v>
      </c>
      <c r="AM6179">
        <v>112.626253224183</v>
      </c>
      <c r="AN6179">
        <v>1.00000001423625</v>
      </c>
    </row>
    <row r="6180" spans="1:40" x14ac:dyDescent="0.25">
      <c r="A6180" t="str">
        <f>"20190303154646258"</f>
        <v>20190303154646258</v>
      </c>
      <c r="B6180" t="str">
        <f>"1551599206248340"</f>
        <v>1551599206248340</v>
      </c>
      <c r="C6180" t="s">
        <v>40</v>
      </c>
      <c r="D6180">
        <v>5.5393980000000003</v>
      </c>
      <c r="E6180">
        <v>0.47938239999999999</v>
      </c>
      <c r="F6180" t="s">
        <v>41</v>
      </c>
      <c r="G6180">
        <v>-276.18200000000002</v>
      </c>
      <c r="H6180" s="1">
        <v>-1.9865400000000002E-6</v>
      </c>
      <c r="I6180">
        <v>-61.194020000000002</v>
      </c>
      <c r="J6180">
        <v>-292.8655</v>
      </c>
      <c r="K6180">
        <v>1.1233219999999999</v>
      </c>
      <c r="L6180">
        <v>-59.785249999999998</v>
      </c>
      <c r="M6180">
        <v>0.86278149999999998</v>
      </c>
      <c r="N6180">
        <v>-1.3968680000000001E-2</v>
      </c>
      <c r="O6180">
        <v>-0.50538400000000006</v>
      </c>
      <c r="P6180">
        <v>0.98105279999999995</v>
      </c>
      <c r="Q6180">
        <v>-0.13983689999999999</v>
      </c>
      <c r="R6180">
        <v>-0.13409450000000001</v>
      </c>
      <c r="S6180">
        <v>2.99472</v>
      </c>
      <c r="T6180">
        <v>-0.2003491</v>
      </c>
      <c r="U6180">
        <v>-0.26092530000000003</v>
      </c>
      <c r="V6180">
        <v>-0.37940049999999997</v>
      </c>
      <c r="W6180">
        <v>-0.1292769</v>
      </c>
      <c r="X6180">
        <v>0.91615650000000004</v>
      </c>
      <c r="Y6180">
        <v>-0.4268981</v>
      </c>
      <c r="Z6180">
        <v>4.2175200000000003E-2</v>
      </c>
      <c r="AA6180">
        <v>0.90331570000000005</v>
      </c>
      <c r="AB6180">
        <v>13</v>
      </c>
      <c r="AC6180">
        <v>16.683499999999899</v>
      </c>
      <c r="AD6180">
        <v>-1.12332398654</v>
      </c>
      <c r="AE6180">
        <v>-1.4087699999999901</v>
      </c>
      <c r="AF6180">
        <v>-7.1844769010536602</v>
      </c>
      <c r="AG6180">
        <v>-1.12332398654</v>
      </c>
      <c r="AH6180">
        <v>15.0399575140503</v>
      </c>
      <c r="AI6180">
        <v>93.8556002090139</v>
      </c>
      <c r="AJ6180">
        <v>115.533462456935</v>
      </c>
      <c r="AK6180">
        <v>16.7056543465064</v>
      </c>
      <c r="AL6180">
        <v>97.4278091848537</v>
      </c>
      <c r="AM6180">
        <v>112.495518681783</v>
      </c>
      <c r="AN6180">
        <v>0.99999999438305498</v>
      </c>
    </row>
    <row r="6181" spans="1:40" x14ac:dyDescent="0.25">
      <c r="A6181" t="str">
        <f>"20190303154646280"</f>
        <v>20190303154646280</v>
      </c>
      <c r="B6181" t="str">
        <f>"1551599206267860"</f>
        <v>1551599206267860</v>
      </c>
      <c r="C6181" t="s">
        <v>40</v>
      </c>
      <c r="D6181">
        <v>5.5450720000000002</v>
      </c>
      <c r="E6181">
        <v>0.48024610000000001</v>
      </c>
      <c r="F6181" t="s">
        <v>41</v>
      </c>
      <c r="G6181">
        <v>-275.14190000000002</v>
      </c>
      <c r="H6181" s="1">
        <v>-1.5658629999999999E-6</v>
      </c>
      <c r="I6181">
        <v>-61.308770000000003</v>
      </c>
      <c r="J6181">
        <v>-292.75409999999999</v>
      </c>
      <c r="K6181">
        <v>1.123326</v>
      </c>
      <c r="L6181">
        <v>-59.840519999999998</v>
      </c>
      <c r="M6181">
        <v>0.86644699999999997</v>
      </c>
      <c r="N6181">
        <v>-1.382688E-2</v>
      </c>
      <c r="O6181">
        <v>-0.49907760000000001</v>
      </c>
      <c r="P6181">
        <v>0.98157019999999995</v>
      </c>
      <c r="Q6181">
        <v>-0.14026329999999901</v>
      </c>
      <c r="R6181">
        <v>-0.12979269999999901</v>
      </c>
      <c r="S6181">
        <v>2.9956670000000001</v>
      </c>
      <c r="T6181">
        <v>-0.18986620000000001</v>
      </c>
      <c r="U6181">
        <v>-0.25750729999999999</v>
      </c>
      <c r="V6181">
        <v>-0.37668869999999999</v>
      </c>
      <c r="W6181">
        <v>-0.12984580000000001</v>
      </c>
      <c r="X6181">
        <v>0.91719439999999997</v>
      </c>
      <c r="Y6181">
        <v>-0.42154770000000003</v>
      </c>
      <c r="Z6181">
        <v>3.9325440000000003E-2</v>
      </c>
      <c r="AA6181">
        <v>0.90595309999999996</v>
      </c>
      <c r="AB6181">
        <v>13</v>
      </c>
      <c r="AC6181">
        <v>17.612199999999898</v>
      </c>
      <c r="AD6181">
        <v>-1.123327565863</v>
      </c>
      <c r="AE6181">
        <v>-1.4682499999999901</v>
      </c>
      <c r="AF6181">
        <v>-7.4881603691455396</v>
      </c>
      <c r="AG6181">
        <v>-1.123327565863</v>
      </c>
      <c r="AH6181">
        <v>15.9299806420648</v>
      </c>
      <c r="AI6181">
        <v>93.651522549772494</v>
      </c>
      <c r="AJ6181">
        <v>115.17667505443799</v>
      </c>
      <c r="AK6181">
        <v>17.637990072307801</v>
      </c>
      <c r="AL6181">
        <v>97.460682248064799</v>
      </c>
      <c r="AM6181">
        <v>112.32779350596699</v>
      </c>
      <c r="AN6181">
        <v>0.99999993793834296</v>
      </c>
    </row>
    <row r="6182" spans="1:40" x14ac:dyDescent="0.25">
      <c r="A6182" t="str">
        <f>"20190303154646302"</f>
        <v>20190303154646302</v>
      </c>
      <c r="B6182" t="str">
        <f>"1551599206298116"</f>
        <v>1551599206298116</v>
      </c>
      <c r="C6182" t="s">
        <v>40</v>
      </c>
      <c r="D6182">
        <v>5.5535949999999996</v>
      </c>
      <c r="E6182">
        <v>0.48126970000000002</v>
      </c>
      <c r="F6182" t="s">
        <v>41</v>
      </c>
      <c r="G6182">
        <v>-275.01479999999998</v>
      </c>
      <c r="H6182" s="1">
        <v>-1.516415E-6</v>
      </c>
      <c r="I6182">
        <v>-61.331650000000003</v>
      </c>
      <c r="J6182">
        <v>-292.64319999999998</v>
      </c>
      <c r="K6182">
        <v>1.1233169999999999</v>
      </c>
      <c r="L6182">
        <v>-59.894530000000003</v>
      </c>
      <c r="M6182">
        <v>0.87007389999999996</v>
      </c>
      <c r="N6182">
        <v>-1.3561739999999999E-2</v>
      </c>
      <c r="O6182">
        <v>-0.49273509999999998</v>
      </c>
      <c r="P6182">
        <v>0.98208700000000004</v>
      </c>
      <c r="Q6182">
        <v>-0.1417929</v>
      </c>
      <c r="R6182">
        <v>-0.1240979</v>
      </c>
      <c r="S6182">
        <v>2.995911</v>
      </c>
      <c r="T6182">
        <v>-0.18971360000000001</v>
      </c>
      <c r="U6182">
        <v>-0.25183109999999997</v>
      </c>
      <c r="V6182">
        <v>-0.37517089999999997</v>
      </c>
      <c r="W6182">
        <v>-0.13165750000000001</v>
      </c>
      <c r="X6182">
        <v>0.91755830000000005</v>
      </c>
      <c r="Y6182">
        <v>-0.41664609999999902</v>
      </c>
      <c r="Z6182">
        <v>3.893419E-2</v>
      </c>
      <c r="AA6182">
        <v>0.90823469999999995</v>
      </c>
      <c r="AB6182">
        <v>13</v>
      </c>
      <c r="AC6182">
        <v>17.628399999999999</v>
      </c>
      <c r="AD6182">
        <v>-1.1233185164149999</v>
      </c>
      <c r="AE6182">
        <v>-1.43712</v>
      </c>
      <c r="AF6182">
        <v>-7.4065375384150096</v>
      </c>
      <c r="AG6182">
        <v>-1.1233185164149999</v>
      </c>
      <c r="AH6182">
        <v>15.983131769162499</v>
      </c>
      <c r="AI6182">
        <v>93.648672920058502</v>
      </c>
      <c r="AJ6182">
        <v>114.86287139236801</v>
      </c>
      <c r="AK6182">
        <v>17.651604571474099</v>
      </c>
      <c r="AL6182">
        <v>97.565382893549497</v>
      </c>
      <c r="AM6182">
        <v>112.238653049614</v>
      </c>
      <c r="AN6182">
        <v>1.0000000677059699</v>
      </c>
    </row>
    <row r="6183" spans="1:40" x14ac:dyDescent="0.25">
      <c r="A6183" t="str">
        <f>"20190303154646325"</f>
        <v>20190303154646325</v>
      </c>
      <c r="B6183" t="str">
        <f>"1551599206317636"</f>
        <v>1551599206317636</v>
      </c>
      <c r="C6183" t="s">
        <v>40</v>
      </c>
      <c r="D6183">
        <v>5.5268680000000003</v>
      </c>
      <c r="E6183">
        <v>0.48191260000000002</v>
      </c>
      <c r="F6183" t="s">
        <v>41</v>
      </c>
      <c r="G6183">
        <v>-275.0924</v>
      </c>
      <c r="H6183" s="1">
        <v>-1.5472030000000001E-6</v>
      </c>
      <c r="I6183">
        <v>-61.320309999999999</v>
      </c>
      <c r="J6183">
        <v>-292.52510000000001</v>
      </c>
      <c r="K6183">
        <v>1.123289</v>
      </c>
      <c r="L6183">
        <v>-59.950740000000003</v>
      </c>
      <c r="M6183">
        <v>0.87389409999999901</v>
      </c>
      <c r="N6183">
        <v>-1.318509E-2</v>
      </c>
      <c r="O6183">
        <v>-0.48593769999999997</v>
      </c>
      <c r="P6183">
        <v>0.98291530000000005</v>
      </c>
      <c r="Q6183">
        <v>-0.14247560000000001</v>
      </c>
      <c r="R6183">
        <v>-0.1165277</v>
      </c>
      <c r="S6183">
        <v>2.9962460000000002</v>
      </c>
      <c r="T6183">
        <v>-0.1917722</v>
      </c>
      <c r="U6183">
        <v>-0.24340819999999999</v>
      </c>
      <c r="V6183">
        <v>-0.37501269999999998</v>
      </c>
      <c r="W6183">
        <v>-0.13273779999999999</v>
      </c>
      <c r="X6183">
        <v>0.91746729999999999</v>
      </c>
      <c r="Y6183">
        <v>-0.41207779999999999</v>
      </c>
      <c r="Z6183">
        <v>3.9063239999999999E-2</v>
      </c>
      <c r="AA6183">
        <v>0.91031090000000003</v>
      </c>
      <c r="AB6183">
        <v>13</v>
      </c>
      <c r="AC6183">
        <v>17.432700000000001</v>
      </c>
      <c r="AD6183">
        <v>-1.1232905472029999</v>
      </c>
      <c r="AE6183">
        <v>-1.36956999999999</v>
      </c>
      <c r="AF6183">
        <v>-7.2450818103254804</v>
      </c>
      <c r="AG6183">
        <v>-1.1232905472029999</v>
      </c>
      <c r="AH6183">
        <v>15.835893163335101</v>
      </c>
      <c r="AI6183">
        <v>93.690635266300205</v>
      </c>
      <c r="AJ6183">
        <v>114.58457545266199</v>
      </c>
      <c r="AK6183">
        <v>17.450745095047001</v>
      </c>
      <c r="AL6183">
        <v>97.627827730589303</v>
      </c>
      <c r="AM6183">
        <v>112.232179092744</v>
      </c>
      <c r="AN6183">
        <v>1.0000000476397</v>
      </c>
    </row>
    <row r="6184" spans="1:40" x14ac:dyDescent="0.25">
      <c r="A6184" t="str">
        <f>"20190303154646346"</f>
        <v>20190303154646346</v>
      </c>
      <c r="B6184" t="str">
        <f>"1551599206338131"</f>
        <v>1551599206338131</v>
      </c>
      <c r="C6184" t="s">
        <v>40</v>
      </c>
      <c r="D6184">
        <v>5.5681260000000004</v>
      </c>
      <c r="E6184">
        <v>0.4826144</v>
      </c>
      <c r="F6184" t="s">
        <v>41</v>
      </c>
      <c r="G6184">
        <v>-275.1671</v>
      </c>
      <c r="H6184" s="1">
        <v>-1.5647729999999999E-6</v>
      </c>
      <c r="I6184">
        <v>-61.255400000000002</v>
      </c>
      <c r="J6184">
        <v>-292.41379999999998</v>
      </c>
      <c r="K6184">
        <v>1.1232569999999999</v>
      </c>
      <c r="L6184">
        <v>-60.002719999999997</v>
      </c>
      <c r="M6184">
        <v>0.87744249999999901</v>
      </c>
      <c r="N6184">
        <v>-1.2804690000000001E-2</v>
      </c>
      <c r="O6184">
        <v>-0.47951090000000002</v>
      </c>
      <c r="P6184">
        <v>0.98376960000000002</v>
      </c>
      <c r="Q6184">
        <v>-0.1416654</v>
      </c>
      <c r="R6184">
        <v>-0.11012710000000001</v>
      </c>
      <c r="S6184">
        <v>2.9972840000000001</v>
      </c>
      <c r="T6184">
        <v>-0.19396360000000001</v>
      </c>
      <c r="U6184">
        <v>-0.2252808</v>
      </c>
      <c r="V6184">
        <v>-0.37429689999999999</v>
      </c>
      <c r="W6184">
        <v>-0.13230229999999901</v>
      </c>
      <c r="X6184">
        <v>0.91782240000000004</v>
      </c>
      <c r="Y6184">
        <v>-0.4108561</v>
      </c>
      <c r="Z6184">
        <v>3.9351570000000002E-2</v>
      </c>
      <c r="AA6184">
        <v>0.91085059999999995</v>
      </c>
      <c r="AB6184">
        <v>13</v>
      </c>
      <c r="AC6184">
        <v>17.246699999999901</v>
      </c>
      <c r="AD6184">
        <v>-1.123258564773</v>
      </c>
      <c r="AE6184">
        <v>-1.25268</v>
      </c>
      <c r="AF6184">
        <v>-7.1412811610914897</v>
      </c>
      <c r="AG6184">
        <v>-1.123258564773</v>
      </c>
      <c r="AH6184">
        <v>15.6688363914857</v>
      </c>
      <c r="AI6184">
        <v>93.732223016204998</v>
      </c>
      <c r="AJ6184">
        <v>114.501759217692</v>
      </c>
      <c r="AK6184">
        <v>17.2560725626732</v>
      </c>
      <c r="AL6184">
        <v>97.602653655486293</v>
      </c>
      <c r="AM6184">
        <v>112.186112721702</v>
      </c>
      <c r="AN6184">
        <v>1.00000001293833</v>
      </c>
    </row>
    <row r="6185" spans="1:40" x14ac:dyDescent="0.25">
      <c r="A6185" t="str">
        <f>"20190303154646368"</f>
        <v>20190303154646368</v>
      </c>
      <c r="B6185" t="str">
        <f>"1551599206357652"</f>
        <v>1551599206357652</v>
      </c>
      <c r="C6185" t="s">
        <v>40</v>
      </c>
      <c r="D6185">
        <v>5.560467</v>
      </c>
      <c r="E6185">
        <v>0.48317549999999998</v>
      </c>
      <c r="F6185" t="s">
        <v>41</v>
      </c>
      <c r="G6185">
        <v>-274.74020000000002</v>
      </c>
      <c r="H6185" s="1">
        <v>-1.3798670000000001E-6</v>
      </c>
      <c r="I6185">
        <v>-61.247309999999999</v>
      </c>
      <c r="J6185">
        <v>-292.30149999999998</v>
      </c>
      <c r="K6185">
        <v>1.123216</v>
      </c>
      <c r="L6185">
        <v>-60.054229999999997</v>
      </c>
      <c r="M6185">
        <v>0.88097199999999998</v>
      </c>
      <c r="N6185">
        <v>-1.2409760000000001E-2</v>
      </c>
      <c r="O6185">
        <v>-0.47300569999999997</v>
      </c>
      <c r="P6185">
        <v>0.98457969999999895</v>
      </c>
      <c r="Q6185">
        <v>-0.14033409999999999</v>
      </c>
      <c r="R6185">
        <v>-0.1044471</v>
      </c>
      <c r="S6185">
        <v>2.9984130000000002</v>
      </c>
      <c r="T6185">
        <v>-0.19056590000000001</v>
      </c>
      <c r="U6185">
        <v>-0.21115110000000001</v>
      </c>
      <c r="V6185">
        <v>-0.37289159999999999</v>
      </c>
      <c r="W6185">
        <v>-0.1313387</v>
      </c>
      <c r="X6185">
        <v>0.91853260000000003</v>
      </c>
      <c r="Y6185">
        <v>-0.40847040000000001</v>
      </c>
      <c r="Z6185">
        <v>3.8346539999999998E-2</v>
      </c>
      <c r="AA6185">
        <v>0.91196569999999999</v>
      </c>
      <c r="AB6185">
        <v>13</v>
      </c>
      <c r="AC6185">
        <v>17.5612999999999</v>
      </c>
      <c r="AD6185">
        <v>-1.123217379867</v>
      </c>
      <c r="AE6185">
        <v>-1.1930799999999899</v>
      </c>
      <c r="AF6185">
        <v>-7.2266560660204497</v>
      </c>
      <c r="AG6185">
        <v>-1.123217379867</v>
      </c>
      <c r="AH6185">
        <v>15.9715445092774</v>
      </c>
      <c r="AI6185">
        <v>93.6660760301518</v>
      </c>
      <c r="AJ6185">
        <v>114.345358812735</v>
      </c>
      <c r="AK6185">
        <v>17.566343079617202</v>
      </c>
      <c r="AL6185">
        <v>97.546956992515405</v>
      </c>
      <c r="AM6185">
        <v>112.095404779327</v>
      </c>
      <c r="AN6185">
        <v>1.0000000683654999</v>
      </c>
    </row>
    <row r="6186" spans="1:40" x14ac:dyDescent="0.25">
      <c r="A6186" t="str">
        <f>"20190303154646391"</f>
        <v>20190303154646391</v>
      </c>
      <c r="B6186" t="str">
        <f>"1551599206387908"</f>
        <v>1551599206387908</v>
      </c>
      <c r="C6186" t="s">
        <v>40</v>
      </c>
      <c r="D6186">
        <v>5.5738009999999996</v>
      </c>
      <c r="E6186">
        <v>0.49017460000000002</v>
      </c>
      <c r="F6186" t="s">
        <v>41</v>
      </c>
      <c r="G6186">
        <v>-274.02370000000002</v>
      </c>
      <c r="H6186" s="1">
        <v>-1.0758369999999999E-6</v>
      </c>
      <c r="I6186">
        <v>-61.262360000000001</v>
      </c>
      <c r="J6186">
        <v>-292.1825</v>
      </c>
      <c r="K6186">
        <v>1.123178</v>
      </c>
      <c r="L6186">
        <v>-60.107790000000001</v>
      </c>
      <c r="M6186">
        <v>0.88464940000000003</v>
      </c>
      <c r="N6186">
        <v>-1.197551E-2</v>
      </c>
      <c r="O6186">
        <v>-0.4661032</v>
      </c>
      <c r="P6186">
        <v>0.98520640000000004</v>
      </c>
      <c r="Q6186">
        <v>-0.13978409999999999</v>
      </c>
      <c r="R6186">
        <v>-9.913951E-2</v>
      </c>
      <c r="S6186">
        <v>2.9996640000000001</v>
      </c>
      <c r="T6186">
        <v>-0.18433740000000001</v>
      </c>
      <c r="U6186">
        <v>-0.1982727</v>
      </c>
      <c r="V6186">
        <v>-0.37069039999999998</v>
      </c>
      <c r="W6186">
        <v>-0.13118189999999999</v>
      </c>
      <c r="X6186">
        <v>0.91944550000000003</v>
      </c>
      <c r="Y6186">
        <v>-0.40536699999999998</v>
      </c>
      <c r="Z6186">
        <v>3.6700730000000001E-2</v>
      </c>
      <c r="AA6186">
        <v>0.91341700000000003</v>
      </c>
      <c r="AB6186">
        <v>13</v>
      </c>
      <c r="AC6186">
        <v>18.1587999999999</v>
      </c>
      <c r="AD6186">
        <v>-1.1231790758369999</v>
      </c>
      <c r="AE6186">
        <v>-1.1545699999999901</v>
      </c>
      <c r="AF6186">
        <v>-7.4147649562677902</v>
      </c>
      <c r="AG6186">
        <v>-1.1231790758369999</v>
      </c>
      <c r="AH6186">
        <v>16.540483530588599</v>
      </c>
      <c r="AI6186">
        <v>93.5457262512856</v>
      </c>
      <c r="AJ6186">
        <v>114.145730719854</v>
      </c>
      <c r="AK6186">
        <v>18.1611636746869</v>
      </c>
      <c r="AL6186">
        <v>97.537894779896504</v>
      </c>
      <c r="AM6186">
        <v>111.957682756428</v>
      </c>
      <c r="AN6186">
        <v>1.000000045505</v>
      </c>
    </row>
    <row r="6187" spans="1:40" x14ac:dyDescent="0.25">
      <c r="A6187" t="str">
        <f>"20190303154646405"</f>
        <v>20190303154646405</v>
      </c>
      <c r="B6187" t="str">
        <f>"1551599206397668"</f>
        <v>1551599206397668</v>
      </c>
      <c r="C6187" t="s">
        <v>40</v>
      </c>
      <c r="D6187">
        <v>5.5607930000000003</v>
      </c>
      <c r="E6187">
        <v>0.49057859999999998</v>
      </c>
      <c r="F6187" t="s">
        <v>41</v>
      </c>
      <c r="G6187">
        <v>-269.51179999999999</v>
      </c>
      <c r="H6187" s="1">
        <v>-3.39834E-6</v>
      </c>
      <c r="I6187">
        <v>-61.922559999999997</v>
      </c>
      <c r="J6187">
        <v>-292.11040000000003</v>
      </c>
      <c r="K6187">
        <v>1.123156</v>
      </c>
      <c r="L6187">
        <v>-60.139710000000001</v>
      </c>
      <c r="M6187">
        <v>0.88684169999999996</v>
      </c>
      <c r="N6187">
        <v>-1.170555E-2</v>
      </c>
      <c r="O6187">
        <v>-0.46192499999999997</v>
      </c>
      <c r="P6187">
        <v>0.98566489999999995</v>
      </c>
      <c r="Q6187">
        <v>-0.13883010000000001</v>
      </c>
      <c r="R6187">
        <v>-9.5869270000000006E-2</v>
      </c>
      <c r="S6187">
        <v>2.9998170000000002</v>
      </c>
      <c r="T6187">
        <v>-0.14862129999999901</v>
      </c>
      <c r="U6187">
        <v>-0.24014279999999999</v>
      </c>
      <c r="V6187">
        <v>-0.3694675</v>
      </c>
      <c r="W6187">
        <v>-0.1304738</v>
      </c>
      <c r="X6187">
        <v>0.92003820000000003</v>
      </c>
      <c r="Y6187">
        <v>-0.388845</v>
      </c>
      <c r="Z6187">
        <v>2.8355600000000002E-2</v>
      </c>
      <c r="AA6187">
        <v>0.92086670000000004</v>
      </c>
      <c r="AB6187">
        <v>13</v>
      </c>
      <c r="AC6187">
        <v>22.598600000000001</v>
      </c>
      <c r="AD6187">
        <v>-1.1231593983399999</v>
      </c>
      <c r="AE6187">
        <v>-1.7828499999999901</v>
      </c>
      <c r="AF6187">
        <v>-8.8366671151715099</v>
      </c>
      <c r="AG6187">
        <v>-1.1231593983399999</v>
      </c>
      <c r="AH6187">
        <v>20.815255854332101</v>
      </c>
      <c r="AI6187">
        <v>92.843434616117506</v>
      </c>
      <c r="AJ6187">
        <v>113.002601010634</v>
      </c>
      <c r="AK6187">
        <v>22.641180380442599</v>
      </c>
      <c r="AL6187">
        <v>97.4969724977298</v>
      </c>
      <c r="AM6187">
        <v>111.87933050341201</v>
      </c>
      <c r="AN6187">
        <v>0.999999967750964</v>
      </c>
    </row>
    <row r="6188" spans="1:40" x14ac:dyDescent="0.25">
      <c r="A6188" t="str">
        <f>"20190303154646421"</f>
        <v>20190303154646421</v>
      </c>
      <c r="B6188" t="str">
        <f>"1551599206418164"</f>
        <v>1551599206418164</v>
      </c>
      <c r="C6188" t="s">
        <v>40</v>
      </c>
      <c r="D6188">
        <v>5.5929359999999999</v>
      </c>
      <c r="E6188">
        <v>0.49149110000000001</v>
      </c>
      <c r="F6188" t="s">
        <v>41</v>
      </c>
      <c r="G6188">
        <v>-269.2192</v>
      </c>
      <c r="H6188" s="1">
        <v>-3.2980820000000002E-6</v>
      </c>
      <c r="I6188">
        <v>-61.918810000000001</v>
      </c>
      <c r="J6188">
        <v>-292.0283</v>
      </c>
      <c r="K6188">
        <v>1.123138</v>
      </c>
      <c r="L6188">
        <v>-60.175569999999901</v>
      </c>
      <c r="M6188">
        <v>0.88930830000000005</v>
      </c>
      <c r="N6188">
        <v>-1.139368E-2</v>
      </c>
      <c r="O6188">
        <v>-0.45716639999999997</v>
      </c>
      <c r="P6188">
        <v>0.9861356</v>
      </c>
      <c r="Q6188">
        <v>-0.1381887</v>
      </c>
      <c r="R6188">
        <v>-9.1873049999999998E-2</v>
      </c>
      <c r="S6188">
        <v>3.0002140000000002</v>
      </c>
      <c r="T6188">
        <v>-0.14720559999999999</v>
      </c>
      <c r="U6188">
        <v>-0.2331848</v>
      </c>
      <c r="V6188">
        <v>-0.36830459999999998</v>
      </c>
      <c r="W6188">
        <v>-0.13012269999999901</v>
      </c>
      <c r="X6188">
        <v>0.92055399999999998</v>
      </c>
      <c r="Y6188">
        <v>-0.3860596</v>
      </c>
      <c r="Z6188">
        <v>2.7911229999999999E-2</v>
      </c>
      <c r="AA6188">
        <v>0.92205150000000002</v>
      </c>
      <c r="AB6188">
        <v>13</v>
      </c>
      <c r="AC6188">
        <v>22.809100000000001</v>
      </c>
      <c r="AD6188">
        <v>-1.1231412980819999</v>
      </c>
      <c r="AE6188">
        <v>-1.7432399999999999</v>
      </c>
      <c r="AF6188">
        <v>-8.8565023874838609</v>
      </c>
      <c r="AG6188">
        <v>-1.1231412980819999</v>
      </c>
      <c r="AH6188">
        <v>21.031939864626398</v>
      </c>
      <c r="AI6188">
        <v>92.817601314285696</v>
      </c>
      <c r="AJ6188">
        <v>112.83584956476101</v>
      </c>
      <c r="AK6188">
        <v>22.848229152042101</v>
      </c>
      <c r="AL6188">
        <v>97.476683252464895</v>
      </c>
      <c r="AM6188">
        <v>111.80586276594801</v>
      </c>
      <c r="AN6188">
        <v>0.99999993117622199</v>
      </c>
    </row>
    <row r="6189" spans="1:40" x14ac:dyDescent="0.25">
      <c r="A6189" t="str">
        <f>"20190303154646436"</f>
        <v>20190303154646436</v>
      </c>
      <c r="B6189" t="str">
        <f>"1551599206427923"</f>
        <v>1551599206427923</v>
      </c>
      <c r="C6189" t="s">
        <v>40</v>
      </c>
      <c r="D6189">
        <v>5.6009890000000002</v>
      </c>
      <c r="E6189">
        <v>0.49182749999999997</v>
      </c>
      <c r="F6189" t="s">
        <v>41</v>
      </c>
      <c r="G6189">
        <v>-269.25170000000003</v>
      </c>
      <c r="H6189" s="1">
        <v>-3.306953E-6</v>
      </c>
      <c r="I6189">
        <v>-61.906350000000003</v>
      </c>
      <c r="J6189">
        <v>-291.94510000000002</v>
      </c>
      <c r="K6189">
        <v>1.1231370000000001</v>
      </c>
      <c r="L6189">
        <v>-60.211359999999999</v>
      </c>
      <c r="M6189">
        <v>0.89177050000000002</v>
      </c>
      <c r="N6189">
        <v>-1.108223E-2</v>
      </c>
      <c r="O6189">
        <v>-0.45235239999999999</v>
      </c>
      <c r="P6189">
        <v>0.98658559999999995</v>
      </c>
      <c r="Q6189">
        <v>-0.1366801</v>
      </c>
      <c r="R6189">
        <v>-8.926125E-2</v>
      </c>
      <c r="S6189">
        <v>3.0002439999999999</v>
      </c>
      <c r="T6189">
        <v>-0.14794589999999999</v>
      </c>
      <c r="U6189">
        <v>-0.2279968</v>
      </c>
      <c r="V6189">
        <v>-0.36586269999999999</v>
      </c>
      <c r="W6189">
        <v>-0.12889329999999999</v>
      </c>
      <c r="X6189">
        <v>0.92170010000000002</v>
      </c>
      <c r="Y6189">
        <v>-0.38265179999999999</v>
      </c>
      <c r="Z6189">
        <v>2.7901280000000001E-2</v>
      </c>
      <c r="AA6189">
        <v>0.92347129999999999</v>
      </c>
      <c r="AB6189">
        <v>13</v>
      </c>
      <c r="AC6189">
        <v>22.6934</v>
      </c>
      <c r="AD6189">
        <v>-1.1231403069529999</v>
      </c>
      <c r="AE6189">
        <v>-1.69499</v>
      </c>
      <c r="AF6189">
        <v>-8.7331361720035403</v>
      </c>
      <c r="AG6189">
        <v>-1.1231403069529999</v>
      </c>
      <c r="AH6189">
        <v>20.9542842213638</v>
      </c>
      <c r="AI6189">
        <v>92.832380934018403</v>
      </c>
      <c r="AJ6189">
        <v>112.624954086747</v>
      </c>
      <c r="AK6189">
        <v>22.7290813447785</v>
      </c>
      <c r="AL6189">
        <v>97.405644776750094</v>
      </c>
      <c r="AM6189">
        <v>111.65027232467099</v>
      </c>
      <c r="AN6189">
        <v>1.0000000361880901</v>
      </c>
    </row>
    <row r="6190" spans="1:40" x14ac:dyDescent="0.25">
      <c r="A6190" t="str">
        <f>"20190303154646458"</f>
        <v>20190303154646458</v>
      </c>
      <c r="B6190" t="str">
        <f>"1551599206447444"</f>
        <v>1551599206447444</v>
      </c>
      <c r="C6190" t="s">
        <v>40</v>
      </c>
      <c r="D6190">
        <v>5.6003530000000001</v>
      </c>
      <c r="E6190">
        <v>0.49223</v>
      </c>
      <c r="F6190" t="s">
        <v>41</v>
      </c>
      <c r="G6190">
        <v>-268.47269999999997</v>
      </c>
      <c r="H6190" s="1">
        <v>-3.049809E-6</v>
      </c>
      <c r="I6190">
        <v>-61.951270000000001</v>
      </c>
      <c r="J6190">
        <v>-291.82929999999999</v>
      </c>
      <c r="K6190">
        <v>1.123138</v>
      </c>
      <c r="L6190">
        <v>-60.260379999999998</v>
      </c>
      <c r="M6190">
        <v>0.89513799999999899</v>
      </c>
      <c r="N6190">
        <v>-1.066654E-2</v>
      </c>
      <c r="O6190">
        <v>-0.44566169999999999</v>
      </c>
      <c r="P6190">
        <v>0.98724840000000003</v>
      </c>
      <c r="Q6190">
        <v>-0.13482230000000001</v>
      </c>
      <c r="R6190">
        <v>-8.4638770000000002E-2</v>
      </c>
      <c r="S6190">
        <v>3.0007630000000001</v>
      </c>
      <c r="T6190">
        <v>-0.14358460000000001</v>
      </c>
      <c r="U6190">
        <v>-0.22244259999999999</v>
      </c>
      <c r="V6190">
        <v>-0.36339100000000002</v>
      </c>
      <c r="W6190">
        <v>-0.12742239999999999</v>
      </c>
      <c r="X6190">
        <v>0.92288159999999997</v>
      </c>
      <c r="Y6190">
        <v>-0.3774981</v>
      </c>
      <c r="Z6190">
        <v>2.674313E-2</v>
      </c>
      <c r="AA6190">
        <v>0.92562409999999995</v>
      </c>
      <c r="AB6190">
        <v>13</v>
      </c>
      <c r="AC6190">
        <v>23.3566</v>
      </c>
      <c r="AD6190">
        <v>-1.123141049809</v>
      </c>
      <c r="AE6190">
        <v>-1.69088999999998</v>
      </c>
      <c r="AF6190">
        <v>-8.8756511144424302</v>
      </c>
      <c r="AG6190">
        <v>-1.123141049809</v>
      </c>
      <c r="AH6190">
        <v>21.612461141536901</v>
      </c>
      <c r="AI6190">
        <v>92.752173891549205</v>
      </c>
      <c r="AJ6190">
        <v>112.326625160543</v>
      </c>
      <c r="AK6190">
        <v>23.390962039161899</v>
      </c>
      <c r="AL6190">
        <v>97.320668177323896</v>
      </c>
      <c r="AM6190">
        <v>111.492382421225</v>
      </c>
      <c r="AN6190">
        <v>0.99999996726065898</v>
      </c>
    </row>
    <row r="6191" spans="1:40" x14ac:dyDescent="0.25">
      <c r="A6191" t="str">
        <f>"20190303154646481"</f>
        <v>20190303154646481</v>
      </c>
      <c r="B6191" t="str">
        <f>"1551599206477700"</f>
        <v>1551599206477700</v>
      </c>
      <c r="C6191" t="s">
        <v>40</v>
      </c>
      <c r="D6191">
        <v>5.4854479999999999</v>
      </c>
      <c r="E6191">
        <v>0.49262010000000001</v>
      </c>
      <c r="F6191" t="s">
        <v>70</v>
      </c>
      <c r="G6191">
        <v>-267.98759999999999</v>
      </c>
      <c r="H6191" s="1">
        <v>-2.8450580000000002E-6</v>
      </c>
      <c r="I6191">
        <v>-61.936390000000003</v>
      </c>
      <c r="J6191">
        <v>-291.7047</v>
      </c>
      <c r="K6191">
        <v>1.123148</v>
      </c>
      <c r="L6191">
        <v>-60.312010000000001</v>
      </c>
      <c r="M6191">
        <v>0.89868579999999998</v>
      </c>
      <c r="N6191">
        <v>-1.025419E-2</v>
      </c>
      <c r="O6191">
        <v>-0.43847330000000001</v>
      </c>
      <c r="P6191">
        <v>0.98795770000000005</v>
      </c>
      <c r="Q6191">
        <v>-0.13265959999999999</v>
      </c>
      <c r="R6191">
        <v>-7.9630670000000001E-2</v>
      </c>
      <c r="S6191">
        <v>3.0013730000000001</v>
      </c>
      <c r="T6191">
        <v>-0.14138909999999999</v>
      </c>
      <c r="U6191">
        <v>-0.21099850000000001</v>
      </c>
      <c r="V6191">
        <v>-0.36080240000000002</v>
      </c>
      <c r="W6191">
        <v>-0.12564829999999999</v>
      </c>
      <c r="X6191">
        <v>0.92413970000000001</v>
      </c>
      <c r="Y6191">
        <v>-0.37362879999999998</v>
      </c>
      <c r="Z6191">
        <v>2.6068399999999999E-2</v>
      </c>
      <c r="AA6191">
        <v>0.92721189999999998</v>
      </c>
      <c r="AB6191">
        <v>13</v>
      </c>
      <c r="AC6191">
        <v>23.717099999999999</v>
      </c>
      <c r="AD6191">
        <v>-1.1231508450579999</v>
      </c>
      <c r="AE6191">
        <v>-1.6243799999999999</v>
      </c>
      <c r="AF6191">
        <v>-8.92006641905982</v>
      </c>
      <c r="AG6191">
        <v>-1.1231508450579999</v>
      </c>
      <c r="AH6191">
        <v>21.978565568823701</v>
      </c>
      <c r="AI6191">
        <v>92.710984103122001</v>
      </c>
      <c r="AJ6191">
        <v>112.08992067857901</v>
      </c>
      <c r="AK6191">
        <v>23.7462922833076</v>
      </c>
      <c r="AL6191">
        <v>97.218195629329102</v>
      </c>
      <c r="AM6191">
        <v>111.32665599506301</v>
      </c>
      <c r="AN6191">
        <v>1.0000000261273601</v>
      </c>
    </row>
    <row r="6192" spans="1:40" x14ac:dyDescent="0.25">
      <c r="A6192" t="str">
        <f>"20190303154646496"</f>
        <v>20190303154646496</v>
      </c>
      <c r="B6192" t="str">
        <f>"1551599206487460"</f>
        <v>1551599206487460</v>
      </c>
      <c r="C6192" t="s">
        <v>40</v>
      </c>
      <c r="D6192">
        <v>5.5858780000000001</v>
      </c>
      <c r="E6192">
        <v>0.49289260000000001</v>
      </c>
      <c r="F6192" t="s">
        <v>70</v>
      </c>
      <c r="G6192">
        <v>-267.25</v>
      </c>
      <c r="H6192" s="1">
        <v>-2.5264870000000001E-6</v>
      </c>
      <c r="I6192">
        <v>-61.928330000000003</v>
      </c>
      <c r="J6192">
        <v>-291.62349999999998</v>
      </c>
      <c r="K6192">
        <v>1.1231610000000001</v>
      </c>
      <c r="L6192">
        <v>-60.344940000000001</v>
      </c>
      <c r="M6192">
        <v>0.90095519999999996</v>
      </c>
      <c r="N6192">
        <v>-1.0012480000000001E-2</v>
      </c>
      <c r="O6192">
        <v>-0.43379659999999898</v>
      </c>
      <c r="P6192">
        <v>0.98839750000000004</v>
      </c>
      <c r="Q6192">
        <v>-0.1312391</v>
      </c>
      <c r="R6192">
        <v>-7.6463299999999998E-2</v>
      </c>
      <c r="S6192">
        <v>3.0020449999999999</v>
      </c>
      <c r="T6192">
        <v>-0.1378771</v>
      </c>
      <c r="U6192">
        <v>-0.1984253</v>
      </c>
      <c r="V6192">
        <v>-0.35904360000000002</v>
      </c>
      <c r="W6192">
        <v>-0.12445630000000001</v>
      </c>
      <c r="X6192">
        <v>0.92498559999999996</v>
      </c>
      <c r="Y6192">
        <v>-0.37272860000000002</v>
      </c>
      <c r="Z6192">
        <v>2.525165E-2</v>
      </c>
      <c r="AA6192">
        <v>0.92759669999999905</v>
      </c>
      <c r="AB6192">
        <v>13</v>
      </c>
      <c r="AC6192">
        <v>24.3734999999999</v>
      </c>
      <c r="AD6192">
        <v>-1.1231635264869999</v>
      </c>
      <c r="AE6192">
        <v>-1.5833900000000001</v>
      </c>
      <c r="AF6192">
        <v>-9.1277352283015105</v>
      </c>
      <c r="AG6192">
        <v>-1.1231635264869999</v>
      </c>
      <c r="AH6192">
        <v>22.599647412680198</v>
      </c>
      <c r="AI6192">
        <v>92.638417274547095</v>
      </c>
      <c r="AJ6192">
        <v>111.993210552017</v>
      </c>
      <c r="AK6192">
        <v>24.399203058351599</v>
      </c>
      <c r="AL6192">
        <v>97.149358751102397</v>
      </c>
      <c r="AM6192">
        <v>111.214284548373</v>
      </c>
      <c r="AN6192">
        <v>1.0000000187589999</v>
      </c>
    </row>
    <row r="6193" spans="1:40" x14ac:dyDescent="0.25">
      <c r="A6193" t="str">
        <f>"20190303154646510"</f>
        <v>20190303154646510</v>
      </c>
      <c r="B6193" t="str">
        <f>"1551599206507956"</f>
        <v>1551599206507956</v>
      </c>
      <c r="C6193" t="s">
        <v>40</v>
      </c>
      <c r="D6193">
        <v>5.5655020000000004</v>
      </c>
      <c r="E6193">
        <v>0.4955753</v>
      </c>
      <c r="F6193" t="s">
        <v>70</v>
      </c>
      <c r="G6193">
        <v>-266.51749999999998</v>
      </c>
      <c r="H6193" s="1">
        <v>-2.2153869999999999E-6</v>
      </c>
      <c r="I6193">
        <v>-61.940190000000001</v>
      </c>
      <c r="J6193">
        <v>-291.53859999999997</v>
      </c>
      <c r="K6193">
        <v>1.1231799999999901</v>
      </c>
      <c r="L6193">
        <v>-60.378880000000002</v>
      </c>
      <c r="M6193">
        <v>0.90329340000000002</v>
      </c>
      <c r="N6193">
        <v>-9.7767440000000004E-3</v>
      </c>
      <c r="O6193">
        <v>-0.42891210000000002</v>
      </c>
      <c r="P6193">
        <v>0.98875020000000002</v>
      </c>
      <c r="Q6193">
        <v>-0.13048499999999999</v>
      </c>
      <c r="R6193">
        <v>-7.3122580000000006E-2</v>
      </c>
      <c r="S6193">
        <v>3.0026250000000001</v>
      </c>
      <c r="T6193">
        <v>-0.134327799999999</v>
      </c>
      <c r="U6193">
        <v>-0.19079589999999999</v>
      </c>
      <c r="V6193">
        <v>-0.35719980000000001</v>
      </c>
      <c r="W6193">
        <v>-0.1239262</v>
      </c>
      <c r="X6193">
        <v>0.92577030000000005</v>
      </c>
      <c r="Y6193">
        <v>-0.37010409999999999</v>
      </c>
      <c r="Z6193">
        <v>2.437802E-2</v>
      </c>
      <c r="AA6193">
        <v>0.92867029999999995</v>
      </c>
      <c r="AB6193">
        <v>13</v>
      </c>
      <c r="AC6193">
        <v>25.021099999999901</v>
      </c>
      <c r="AD6193">
        <v>-1.1231822153869999</v>
      </c>
      <c r="AE6193">
        <v>-1.56130999999999</v>
      </c>
      <c r="AF6193">
        <v>-9.3033024145295595</v>
      </c>
      <c r="AG6193">
        <v>-1.1231822153869999</v>
      </c>
      <c r="AH6193">
        <v>23.225550544444999</v>
      </c>
      <c r="AI6193">
        <v>92.570407330455595</v>
      </c>
      <c r="AJ6193">
        <v>111.829225502079</v>
      </c>
      <c r="AK6193">
        <v>25.0447434045095</v>
      </c>
      <c r="AL6193">
        <v>97.118749249911403</v>
      </c>
      <c r="AM6193">
        <v>111.09864095277599</v>
      </c>
      <c r="AN6193">
        <v>1.0000000242642799</v>
      </c>
    </row>
    <row r="6194" spans="1:40" x14ac:dyDescent="0.25">
      <c r="A6194" t="str">
        <f>"20190303154646526"</f>
        <v>20190303154646526</v>
      </c>
      <c r="B6194" t="str">
        <f>"1551599206517716"</f>
        <v>1551599206517716</v>
      </c>
      <c r="C6194" t="s">
        <v>40</v>
      </c>
      <c r="D6194">
        <v>5.5669680000000001</v>
      </c>
      <c r="E6194">
        <v>0.49543710000000002</v>
      </c>
      <c r="F6194" t="s">
        <v>41</v>
      </c>
      <c r="G6194">
        <v>-270.49299999999999</v>
      </c>
      <c r="H6194" s="1">
        <v>3.2289240000000003E-7</v>
      </c>
      <c r="I6194">
        <v>-61.783700000000003</v>
      </c>
      <c r="J6194">
        <v>-291.45370000000003</v>
      </c>
      <c r="K6194">
        <v>1.1232089999999999</v>
      </c>
      <c r="L6194">
        <v>-60.412410000000001</v>
      </c>
      <c r="M6194">
        <v>0.9056014</v>
      </c>
      <c r="N6194">
        <v>-9.5579399999999991E-3</v>
      </c>
      <c r="O6194">
        <v>-0.42402190000000001</v>
      </c>
      <c r="P6194">
        <v>0.98902120000000004</v>
      </c>
      <c r="Q6194">
        <v>-0.12891530000000001</v>
      </c>
      <c r="R6194">
        <v>-7.2235179999999996E-2</v>
      </c>
      <c r="S6194">
        <v>2.9981990000000001</v>
      </c>
      <c r="T6194">
        <v>-0.16001029999999999</v>
      </c>
      <c r="U6194">
        <v>-0.20013429999999999</v>
      </c>
      <c r="V6194">
        <v>-0.3531145</v>
      </c>
      <c r="W6194">
        <v>-0.1225395</v>
      </c>
      <c r="X6194">
        <v>0.92752049999999997</v>
      </c>
      <c r="Y6194">
        <v>-0.36181279999999999</v>
      </c>
      <c r="Z6194">
        <v>2.9158880000000002E-2</v>
      </c>
      <c r="AA6194">
        <v>0.93179460000000003</v>
      </c>
      <c r="AB6194">
        <v>14</v>
      </c>
      <c r="AC6194">
        <v>20.960699999999999</v>
      </c>
      <c r="AD6194">
        <v>-1.1232086771076</v>
      </c>
      <c r="AE6194">
        <v>-1.3712899999999999</v>
      </c>
      <c r="AF6194">
        <v>-7.6245031666746002</v>
      </c>
      <c r="AG6194">
        <v>-1.1232086771076</v>
      </c>
      <c r="AH6194">
        <v>19.5086113644895</v>
      </c>
      <c r="AI6194">
        <v>93.069545701665703</v>
      </c>
      <c r="AJ6194">
        <v>111.346928449014</v>
      </c>
      <c r="AK6194">
        <v>20.9757136622726</v>
      </c>
      <c r="AL6194">
        <v>97.038686905053893</v>
      </c>
      <c r="AM6194">
        <v>110.842230934017</v>
      </c>
      <c r="AN6194">
        <v>1.0000000285453701</v>
      </c>
    </row>
    <row r="6195" spans="1:40" x14ac:dyDescent="0.25">
      <c r="A6195" t="str">
        <f>"20190303154646548"</f>
        <v>20190303154646548</v>
      </c>
      <c r="B6195" t="str">
        <f>"1551599206538213"</f>
        <v>1551599206538213</v>
      </c>
      <c r="C6195" t="s">
        <v>40</v>
      </c>
      <c r="D6195">
        <v>5.6106049999999996</v>
      </c>
      <c r="E6195">
        <v>0.49552269999999998</v>
      </c>
      <c r="F6195" t="s">
        <v>41</v>
      </c>
      <c r="G6195">
        <v>-270.25839999999999</v>
      </c>
      <c r="H6195" s="1">
        <v>4.2011940000000003E-7</v>
      </c>
      <c r="I6195">
        <v>-61.799140000000001</v>
      </c>
      <c r="J6195">
        <v>-291.33269999999999</v>
      </c>
      <c r="K6195">
        <v>1.123237</v>
      </c>
      <c r="L6195">
        <v>-60.459200000000003</v>
      </c>
      <c r="M6195">
        <v>0.90883360000000002</v>
      </c>
      <c r="N6195">
        <v>-9.2795429999999995E-3</v>
      </c>
      <c r="O6195">
        <v>-0.41705569999999997</v>
      </c>
      <c r="P6195">
        <v>0.98935600000000001</v>
      </c>
      <c r="Q6195">
        <v>-0.1281648</v>
      </c>
      <c r="R6195">
        <v>-6.8911360000000005E-2</v>
      </c>
      <c r="S6195">
        <v>2.998291</v>
      </c>
      <c r="T6195">
        <v>-0.15888920000000001</v>
      </c>
      <c r="U6195">
        <v>-0.19616700000000001</v>
      </c>
      <c r="V6195">
        <v>-0.34914220000000001</v>
      </c>
      <c r="W6195">
        <v>-0.12204</v>
      </c>
      <c r="X6195">
        <v>0.92908880000000005</v>
      </c>
      <c r="Y6195">
        <v>-0.3559042</v>
      </c>
      <c r="Z6195">
        <v>2.8559500000000002E-2</v>
      </c>
      <c r="AA6195">
        <v>0.93408599999999997</v>
      </c>
      <c r="AB6195">
        <v>14</v>
      </c>
      <c r="AC6195">
        <v>21.074299999999901</v>
      </c>
      <c r="AD6195">
        <v>-1.1232365798806001</v>
      </c>
      <c r="AE6195">
        <v>-1.3399399999999899</v>
      </c>
      <c r="AF6195">
        <v>-7.5503377336823601</v>
      </c>
      <c r="AG6195">
        <v>-1.1232365798806001</v>
      </c>
      <c r="AH6195">
        <v>19.6570930629752</v>
      </c>
      <c r="AI6195">
        <v>93.053375822131201</v>
      </c>
      <c r="AJ6195">
        <v>111.011905204565</v>
      </c>
      <c r="AK6195">
        <v>21.087213376677301</v>
      </c>
      <c r="AL6195">
        <v>97.009851311235394</v>
      </c>
      <c r="AM6195">
        <v>110.59571379179199</v>
      </c>
      <c r="AN6195">
        <v>1.0000000178531301</v>
      </c>
    </row>
    <row r="6196" spans="1:40" x14ac:dyDescent="0.25">
      <c r="A6196" t="str">
        <f>"20190303154646571"</f>
        <v>20190303154646571</v>
      </c>
      <c r="B6196" t="str">
        <f>"1551599206567491"</f>
        <v>1551599206567491</v>
      </c>
      <c r="C6196" t="s">
        <v>40</v>
      </c>
      <c r="D6196">
        <v>5.7350960000000004</v>
      </c>
      <c r="E6196">
        <v>0.50547540000000002</v>
      </c>
      <c r="F6196" t="s">
        <v>41</v>
      </c>
      <c r="G6196">
        <v>-269.97629999999998</v>
      </c>
      <c r="H6196" s="1">
        <v>5.4317530000000002E-7</v>
      </c>
      <c r="I6196">
        <v>-61.789929999999998</v>
      </c>
      <c r="J6196">
        <v>-291.20519999999999</v>
      </c>
      <c r="K6196">
        <v>1.123273</v>
      </c>
      <c r="L6196">
        <v>-60.507319999999901</v>
      </c>
      <c r="M6196">
        <v>0.91216779999999997</v>
      </c>
      <c r="N6196">
        <v>-9.0242829999999993E-3</v>
      </c>
      <c r="O6196">
        <v>-0.40971780000000002</v>
      </c>
      <c r="P6196">
        <v>0.98979479999999997</v>
      </c>
      <c r="Q6196">
        <v>-0.12693779999999999</v>
      </c>
      <c r="R6196">
        <v>-6.4754640000000002E-2</v>
      </c>
      <c r="S6196">
        <v>2.9988100000000002</v>
      </c>
      <c r="T6196">
        <v>-0.1577221</v>
      </c>
      <c r="U6196">
        <v>-0.1868591</v>
      </c>
      <c r="V6196">
        <v>-0.34561740000000002</v>
      </c>
      <c r="W6196">
        <v>-0.12104760000000001</v>
      </c>
      <c r="X6196">
        <v>0.93053540000000001</v>
      </c>
      <c r="Y6196">
        <v>-0.35129260000000001</v>
      </c>
      <c r="Z6196">
        <v>2.797355E-2</v>
      </c>
      <c r="AA6196">
        <v>0.93584780000000001</v>
      </c>
      <c r="AB6196">
        <v>14</v>
      </c>
      <c r="AC6196">
        <v>21.228899999999999</v>
      </c>
      <c r="AD6196">
        <v>-1.1232724568246999</v>
      </c>
      <c r="AE6196">
        <v>-1.28261000000001</v>
      </c>
      <c r="AF6196">
        <v>-7.5072665928033997</v>
      </c>
      <c r="AG6196">
        <v>-1.1232724568246999</v>
      </c>
      <c r="AH6196">
        <v>19.835303622620099</v>
      </c>
      <c r="AI6196">
        <v>93.031748953015295</v>
      </c>
      <c r="AJ6196">
        <v>110.730654195513</v>
      </c>
      <c r="AK6196">
        <v>21.238174651066601</v>
      </c>
      <c r="AL6196">
        <v>96.952566258314107</v>
      </c>
      <c r="AM6196">
        <v>110.375892274835</v>
      </c>
      <c r="AN6196">
        <v>1.0000000196508301</v>
      </c>
    </row>
    <row r="6197" spans="1:40" x14ac:dyDescent="0.25">
      <c r="A6197" t="str">
        <f>"20190303154646585"</f>
        <v>20190303154646585</v>
      </c>
      <c r="B6197" t="str">
        <f>"1551599206578228"</f>
        <v>1551599206578228</v>
      </c>
      <c r="C6197" t="s">
        <v>40</v>
      </c>
      <c r="D6197">
        <v>5.7172159999999996</v>
      </c>
      <c r="E6197">
        <v>0.50703819999999999</v>
      </c>
      <c r="F6197" t="s">
        <v>41</v>
      </c>
      <c r="G6197">
        <v>-273.40050000000002</v>
      </c>
      <c r="H6197" s="1">
        <v>-9.7333250000000001E-7</v>
      </c>
      <c r="I6197">
        <v>-62.0036699999999</v>
      </c>
      <c r="J6197">
        <v>-291.12560000000002</v>
      </c>
      <c r="K6197">
        <v>1.123299</v>
      </c>
      <c r="L6197">
        <v>-60.536830000000002</v>
      </c>
      <c r="M6197">
        <v>0.91421240000000004</v>
      </c>
      <c r="N6197">
        <v>-8.8815709999999996E-3</v>
      </c>
      <c r="O6197">
        <v>-0.4051382</v>
      </c>
      <c r="P6197">
        <v>0.99008790000000002</v>
      </c>
      <c r="Q6197">
        <v>-0.12622749999999999</v>
      </c>
      <c r="R6197">
        <v>-6.1585210000000001E-2</v>
      </c>
      <c r="S6197">
        <v>2.9902950000000001</v>
      </c>
      <c r="T6197">
        <v>-0.18865390000000001</v>
      </c>
      <c r="U6197">
        <v>-0.25131229999999999</v>
      </c>
      <c r="V6197">
        <v>-0.34396470000000001</v>
      </c>
      <c r="W6197">
        <v>-0.1204737</v>
      </c>
      <c r="X6197">
        <v>0.93122199999999999</v>
      </c>
      <c r="Y6197">
        <v>-0.32589129999999999</v>
      </c>
      <c r="Z6197">
        <v>3.2829450000000003E-2</v>
      </c>
      <c r="AA6197">
        <v>0.94483700000000004</v>
      </c>
      <c r="AB6197">
        <v>14</v>
      </c>
      <c r="AC6197">
        <v>17.725099999999902</v>
      </c>
      <c r="AD6197">
        <v>-1.1232999733325</v>
      </c>
      <c r="AE6197">
        <v>-1.4668399999999899</v>
      </c>
      <c r="AF6197">
        <v>-5.81713787688021</v>
      </c>
      <c r="AG6197">
        <v>-1.1232999733325</v>
      </c>
      <c r="AH6197">
        <v>16.732695851421798</v>
      </c>
      <c r="AI6197">
        <v>93.628235720312404</v>
      </c>
      <c r="AJ6197">
        <v>109.17005674306</v>
      </c>
      <c r="AK6197">
        <v>17.750605802758098</v>
      </c>
      <c r="AL6197">
        <v>96.919441790085699</v>
      </c>
      <c r="AM6197">
        <v>110.272675711869</v>
      </c>
      <c r="AN6197">
        <v>1.0000000202608801</v>
      </c>
    </row>
    <row r="6198" spans="1:40" x14ac:dyDescent="0.25">
      <c r="A6198" t="str">
        <f>"20190303154646604"</f>
        <v>20190303154646604</v>
      </c>
      <c r="B6198" t="str">
        <f>"1551599206597749"</f>
        <v>1551599206597749</v>
      </c>
      <c r="C6198" t="s">
        <v>40</v>
      </c>
      <c r="D6198">
        <v>5.6646729999999996</v>
      </c>
      <c r="E6198">
        <v>0.50925240000000005</v>
      </c>
      <c r="F6198" t="s">
        <v>41</v>
      </c>
      <c r="G6198">
        <v>-273.92649999999998</v>
      </c>
      <c r="H6198" s="1">
        <v>-1.197364E-6</v>
      </c>
      <c r="I6198">
        <v>-61.996429999999997</v>
      </c>
      <c r="J6198">
        <v>-291.01499999999999</v>
      </c>
      <c r="K6198">
        <v>1.1233359999999999</v>
      </c>
      <c r="L6198">
        <v>-60.577060000000003</v>
      </c>
      <c r="M6198">
        <v>0.91701220000000006</v>
      </c>
      <c r="N6198">
        <v>-8.7055959999999995E-3</v>
      </c>
      <c r="O6198">
        <v>-0.39876450000000002</v>
      </c>
      <c r="P6198">
        <v>0.99056089999999997</v>
      </c>
      <c r="Q6198">
        <v>-0.1244962</v>
      </c>
      <c r="R6198">
        <v>-5.7356150000000002E-2</v>
      </c>
      <c r="S6198">
        <v>2.9893800000000001</v>
      </c>
      <c r="T6198">
        <v>-0.19524069999999999</v>
      </c>
      <c r="U6198">
        <v>-0.25369259999999999</v>
      </c>
      <c r="V6198">
        <v>-0.34154879999999999</v>
      </c>
      <c r="W6198">
        <v>-0.1189088</v>
      </c>
      <c r="X6198">
        <v>0.93231169999999997</v>
      </c>
      <c r="Y6198">
        <v>-0.31846000000000002</v>
      </c>
      <c r="Z6198">
        <v>3.3507250000000002E-2</v>
      </c>
      <c r="AA6198">
        <v>0.94734390000000002</v>
      </c>
      <c r="AB6198">
        <v>14</v>
      </c>
      <c r="AC6198">
        <v>17.0885</v>
      </c>
      <c r="AD6198">
        <v>-1.1233371973639901</v>
      </c>
      <c r="AE6198">
        <v>-1.41937</v>
      </c>
      <c r="AF6198">
        <v>-5.4893571451960703</v>
      </c>
      <c r="AG6198">
        <v>-1.1233371973639901</v>
      </c>
      <c r="AH6198">
        <v>16.167584327823999</v>
      </c>
      <c r="AI6198">
        <v>93.764179201753294</v>
      </c>
      <c r="AJ6198">
        <v>108.753818844517</v>
      </c>
      <c r="AK6198">
        <v>17.110982184661299</v>
      </c>
      <c r="AL6198">
        <v>96.829130551201303</v>
      </c>
      <c r="AM6198">
        <v>110.12011376732001</v>
      </c>
      <c r="AN6198">
        <v>0.99999999572788401</v>
      </c>
    </row>
    <row r="6199" spans="1:40" x14ac:dyDescent="0.25">
      <c r="A6199" t="str">
        <f>"20190303154646627"</f>
        <v>20190303154646627</v>
      </c>
      <c r="B6199" t="str">
        <f>"1551599206618244"</f>
        <v>1551599206618244</v>
      </c>
      <c r="C6199" t="s">
        <v>40</v>
      </c>
      <c r="D6199">
        <v>5.6929480000000003</v>
      </c>
      <c r="E6199">
        <v>0.51126280000000002</v>
      </c>
      <c r="F6199" t="s">
        <v>41</v>
      </c>
      <c r="G6199">
        <v>-274.37639999999999</v>
      </c>
      <c r="H6199" s="1">
        <v>-1.393927E-6</v>
      </c>
      <c r="I6199">
        <v>-62.012509999999999</v>
      </c>
      <c r="J6199">
        <v>-290.88529999999997</v>
      </c>
      <c r="K6199">
        <v>1.1233789999999999</v>
      </c>
      <c r="L6199">
        <v>-60.623049999999999</v>
      </c>
      <c r="M6199">
        <v>0.92022729999999997</v>
      </c>
      <c r="N6199">
        <v>-8.5274630000000008E-3</v>
      </c>
      <c r="O6199">
        <v>-0.39129150000000001</v>
      </c>
      <c r="P6199">
        <v>0.99099669999999895</v>
      </c>
      <c r="Q6199">
        <v>-0.1235251</v>
      </c>
      <c r="R6199">
        <v>-5.1644179999999998E-2</v>
      </c>
      <c r="S6199">
        <v>2.9883419999999998</v>
      </c>
      <c r="T6199">
        <v>-0.20175489999999999</v>
      </c>
      <c r="U6199">
        <v>-0.2578125</v>
      </c>
      <c r="V6199">
        <v>-0.33938239999999997</v>
      </c>
      <c r="W6199">
        <v>-0.11811439999999999</v>
      </c>
      <c r="X6199">
        <v>0.93320340000000002</v>
      </c>
      <c r="Y6199">
        <v>-0.30934810000000001</v>
      </c>
      <c r="Z6199">
        <v>3.4005819999999999E-2</v>
      </c>
      <c r="AA6199">
        <v>0.95034059999999998</v>
      </c>
      <c r="AB6199">
        <v>14</v>
      </c>
      <c r="AC6199">
        <v>16.508899999999901</v>
      </c>
      <c r="AD6199">
        <v>-1.123380393927</v>
      </c>
      <c r="AE6199">
        <v>-1.3894599999999899</v>
      </c>
      <c r="AF6199">
        <v>-5.1576475799493604</v>
      </c>
      <c r="AG6199">
        <v>-1.123380393927</v>
      </c>
      <c r="AH6199">
        <v>15.6641751693438</v>
      </c>
      <c r="AI6199">
        <v>93.896910289110807</v>
      </c>
      <c r="AJ6199">
        <v>108.224848618891</v>
      </c>
      <c r="AK6199">
        <v>16.5296610916348</v>
      </c>
      <c r="AL6199">
        <v>96.783291675637599</v>
      </c>
      <c r="AM6199">
        <v>109.985042875109</v>
      </c>
      <c r="AN6199">
        <v>1.0000000053443301</v>
      </c>
    </row>
    <row r="6200" spans="1:40" x14ac:dyDescent="0.25">
      <c r="A6200" t="str">
        <f>"20190303154646648"</f>
        <v>20190303154646648</v>
      </c>
      <c r="B6200" t="str">
        <f>"1551599206637764"</f>
        <v>1551599206637764</v>
      </c>
      <c r="C6200" t="s">
        <v>40</v>
      </c>
      <c r="D6200">
        <v>5.7016689999999999</v>
      </c>
      <c r="E6200">
        <v>0.51276809999999995</v>
      </c>
      <c r="F6200" t="s">
        <v>41</v>
      </c>
      <c r="G6200">
        <v>-274.68040000000002</v>
      </c>
      <c r="H6200" s="1">
        <v>-1.524438E-6</v>
      </c>
      <c r="I6200">
        <v>-62.012949999999996</v>
      </c>
      <c r="J6200">
        <v>-290.75650000000002</v>
      </c>
      <c r="K6200">
        <v>1.1234150000000001</v>
      </c>
      <c r="L6200">
        <v>-60.667569999999998</v>
      </c>
      <c r="M6200">
        <v>0.92335279999999997</v>
      </c>
      <c r="N6200">
        <v>-8.3748429999999999E-3</v>
      </c>
      <c r="O6200">
        <v>-0.38386150000000002</v>
      </c>
      <c r="P6200">
        <v>0.99128229999999995</v>
      </c>
      <c r="Q6200">
        <v>-0.1230734</v>
      </c>
      <c r="R6200">
        <v>-4.703773E-2</v>
      </c>
      <c r="S6200">
        <v>2.9880680000000002</v>
      </c>
      <c r="T6200">
        <v>-0.2071424</v>
      </c>
      <c r="U6200">
        <v>-0.25628659999999998</v>
      </c>
      <c r="V6200">
        <v>-0.33621129999999999</v>
      </c>
      <c r="W6200">
        <v>-0.1178047</v>
      </c>
      <c r="X6200">
        <v>0.93438969999999999</v>
      </c>
      <c r="Y6200">
        <v>-0.30210009999999998</v>
      </c>
      <c r="Z6200">
        <v>3.4319240000000001E-2</v>
      </c>
      <c r="AA6200">
        <v>0.95265820000000001</v>
      </c>
      <c r="AB6200">
        <v>14</v>
      </c>
      <c r="AC6200">
        <v>16.076099999999901</v>
      </c>
      <c r="AD6200">
        <v>-1.1234165244380001</v>
      </c>
      <c r="AE6200">
        <v>-1.34537999999999</v>
      </c>
      <c r="AF6200">
        <v>-4.9051209197271604</v>
      </c>
      <c r="AG6200">
        <v>-1.1234165244380001</v>
      </c>
      <c r="AH6200">
        <v>15.286757038579999</v>
      </c>
      <c r="AI6200">
        <v>94.002771853791302</v>
      </c>
      <c r="AJ6200">
        <v>107.790078431634</v>
      </c>
      <c r="AK6200">
        <v>16.0937011492416</v>
      </c>
      <c r="AL6200">
        <v>96.765422123221498</v>
      </c>
      <c r="AM6200">
        <v>109.78970230497799</v>
      </c>
      <c r="AN6200">
        <v>1.0000000485279299</v>
      </c>
    </row>
    <row r="6201" spans="1:40" x14ac:dyDescent="0.25">
      <c r="A6201" t="str">
        <f>"20190303154646662"</f>
        <v>20190303154646662</v>
      </c>
      <c r="B6201" t="str">
        <f>"1551599206658260"</f>
        <v>1551599206658260</v>
      </c>
      <c r="C6201" t="s">
        <v>40</v>
      </c>
      <c r="D6201">
        <v>5.7107479999999997</v>
      </c>
      <c r="E6201">
        <v>0.51396759999999997</v>
      </c>
      <c r="F6201" t="s">
        <v>41</v>
      </c>
      <c r="G6201">
        <v>-274.83429999999998</v>
      </c>
      <c r="H6201" s="1">
        <v>-1.5924190000000001E-6</v>
      </c>
      <c r="I6201">
        <v>-62.021790000000003</v>
      </c>
      <c r="J6201">
        <v>-290.68110000000001</v>
      </c>
      <c r="K6201">
        <v>1.1234390000000001</v>
      </c>
      <c r="L6201">
        <v>-60.693240000000003</v>
      </c>
      <c r="M6201">
        <v>0.92515320000000001</v>
      </c>
      <c r="N6201">
        <v>-8.2932760000000005E-3</v>
      </c>
      <c r="O6201">
        <v>-0.37950349999999999</v>
      </c>
      <c r="P6201">
        <v>0.99139120000000003</v>
      </c>
      <c r="Q6201">
        <v>-0.1231516</v>
      </c>
      <c r="R6201">
        <v>-4.446456E-2</v>
      </c>
      <c r="S6201">
        <v>2.9881899999999999</v>
      </c>
      <c r="T6201">
        <v>-0.21083560000000001</v>
      </c>
      <c r="U6201">
        <v>-0.2541504</v>
      </c>
      <c r="V6201">
        <v>-0.33422030000000003</v>
      </c>
      <c r="W6201">
        <v>-0.1179576</v>
      </c>
      <c r="X6201">
        <v>0.93508440000000004</v>
      </c>
      <c r="Y6201">
        <v>-0.29824580000000001</v>
      </c>
      <c r="Z6201">
        <v>3.4587699999999902E-2</v>
      </c>
      <c r="AA6201">
        <v>0.95386219999999999</v>
      </c>
      <c r="AB6201">
        <v>14</v>
      </c>
      <c r="AC6201">
        <v>15.8468</v>
      </c>
      <c r="AD6201">
        <v>-1.1234405924190001</v>
      </c>
      <c r="AE6201">
        <v>-1.3285499999999999</v>
      </c>
      <c r="AF6201">
        <v>-4.7612055247738398</v>
      </c>
      <c r="AG6201">
        <v>-1.1234405924190001</v>
      </c>
      <c r="AH6201">
        <v>15.0901150413348</v>
      </c>
      <c r="AI6201">
        <v>94.061105029859306</v>
      </c>
      <c r="AJ6201">
        <v>107.511432443053</v>
      </c>
      <c r="AK6201">
        <v>15.8632521500022</v>
      </c>
      <c r="AL6201">
        <v>96.774244353280807</v>
      </c>
      <c r="AM6201">
        <v>109.668037889207</v>
      </c>
      <c r="AN6201">
        <v>1.0000000197265999</v>
      </c>
    </row>
    <row r="6202" spans="1:40" x14ac:dyDescent="0.25">
      <c r="A6202" t="str">
        <f>"20190303154646673"</f>
        <v>20190303154646673</v>
      </c>
      <c r="B6202" t="str">
        <f>"1551599206668020"</f>
        <v>1551599206668020</v>
      </c>
      <c r="C6202" t="s">
        <v>40</v>
      </c>
      <c r="D6202">
        <v>5.717384</v>
      </c>
      <c r="E6202">
        <v>0.51447209999999999</v>
      </c>
      <c r="F6202" t="s">
        <v>41</v>
      </c>
      <c r="G6202">
        <v>-275.16239999999999</v>
      </c>
      <c r="H6202" s="1">
        <v>-1.7330880000000001E-6</v>
      </c>
      <c r="I6202">
        <v>-62.021270000000001</v>
      </c>
      <c r="J6202">
        <v>-290.60230000000001</v>
      </c>
      <c r="K6202">
        <v>1.1234630000000001</v>
      </c>
      <c r="L6202">
        <v>-60.7194199999999</v>
      </c>
      <c r="M6202">
        <v>0.92700649999999996</v>
      </c>
      <c r="N6202">
        <v>-8.2191209999999994E-3</v>
      </c>
      <c r="O6202">
        <v>-0.37495499999999998</v>
      </c>
      <c r="P6202">
        <v>0.99149319999999996</v>
      </c>
      <c r="Q6202">
        <v>-0.12314509999999999</v>
      </c>
      <c r="R6202">
        <v>-4.2147110000000002E-2</v>
      </c>
      <c r="S6202">
        <v>2.9877009999999999</v>
      </c>
      <c r="T6202">
        <v>-0.21628829999999999</v>
      </c>
      <c r="U6202">
        <v>-0.25567630000000002</v>
      </c>
      <c r="V6202">
        <v>-0.33180739999999997</v>
      </c>
      <c r="W6202">
        <v>-0.1180146</v>
      </c>
      <c r="X6202">
        <v>0.93593610000000005</v>
      </c>
      <c r="Y6202">
        <v>-0.29299839999999999</v>
      </c>
      <c r="Z6202">
        <v>3.507644E-2</v>
      </c>
      <c r="AA6202">
        <v>0.95546929999999997</v>
      </c>
      <c r="AB6202">
        <v>14</v>
      </c>
      <c r="AC6202">
        <v>15.4399</v>
      </c>
      <c r="AD6202">
        <v>-1.1234647330880001</v>
      </c>
      <c r="AE6202">
        <v>-1.30185</v>
      </c>
      <c r="AF6202">
        <v>-4.5586338270235398</v>
      </c>
      <c r="AG6202">
        <v>-1.1234647330880001</v>
      </c>
      <c r="AH6202">
        <v>14.724116437248499</v>
      </c>
      <c r="AI6202">
        <v>94.168781574293703</v>
      </c>
      <c r="AJ6202">
        <v>107.202693101436</v>
      </c>
      <c r="AK6202">
        <v>15.4545436759882</v>
      </c>
      <c r="AL6202">
        <v>96.777533387450802</v>
      </c>
      <c r="AM6202">
        <v>109.52039845701501</v>
      </c>
      <c r="AN6202">
        <v>0.99999998989556405</v>
      </c>
    </row>
    <row r="6203" spans="1:40" x14ac:dyDescent="0.25">
      <c r="A6203" t="str">
        <f>"20190303154646687"</f>
        <v>20190303154646687</v>
      </c>
      <c r="B6203" t="str">
        <f>"1551599206677780"</f>
        <v>1551599206677780</v>
      </c>
      <c r="C6203" t="s">
        <v>40</v>
      </c>
      <c r="D6203">
        <v>5.73231</v>
      </c>
      <c r="E6203">
        <v>0.51493659999999997</v>
      </c>
      <c r="F6203" t="s">
        <v>41</v>
      </c>
      <c r="G6203">
        <v>-275.25909999999999</v>
      </c>
      <c r="H6203" s="1">
        <v>-1.7734179999999999E-6</v>
      </c>
      <c r="I6203">
        <v>-62.016080000000002</v>
      </c>
      <c r="J6203">
        <v>-290.53179999999998</v>
      </c>
      <c r="K6203">
        <v>1.1234869999999999</v>
      </c>
      <c r="L6203">
        <v>-60.742579999999997</v>
      </c>
      <c r="M6203">
        <v>0.92864420000000003</v>
      </c>
      <c r="N6203">
        <v>-8.1566350000000006E-3</v>
      </c>
      <c r="O6203">
        <v>-0.37088209999999999</v>
      </c>
      <c r="P6203">
        <v>0.99157010000000001</v>
      </c>
      <c r="Q6203">
        <v>-0.1230319</v>
      </c>
      <c r="R6203">
        <v>-4.0644970000000002E-2</v>
      </c>
      <c r="S6203">
        <v>2.9878230000000001</v>
      </c>
      <c r="T6203">
        <v>-0.2187762</v>
      </c>
      <c r="U6203">
        <v>-0.25250240000000002</v>
      </c>
      <c r="V6203">
        <v>-0.32911750000000001</v>
      </c>
      <c r="W6203">
        <v>-0.1179482</v>
      </c>
      <c r="X6203">
        <v>0.9368938</v>
      </c>
      <c r="Y6203">
        <v>-0.28979050000000001</v>
      </c>
      <c r="Z6203">
        <v>3.5145019999999999E-2</v>
      </c>
      <c r="AA6203">
        <v>0.95644459999999998</v>
      </c>
      <c r="AB6203">
        <v>14</v>
      </c>
      <c r="AC6203">
        <v>15.272699999999899</v>
      </c>
      <c r="AD6203">
        <v>-1.1234887734179999</v>
      </c>
      <c r="AE6203">
        <v>-1.2734999999999901</v>
      </c>
      <c r="AF6203">
        <v>-4.4579346148521397</v>
      </c>
      <c r="AG6203">
        <v>-1.1234887734179999</v>
      </c>
      <c r="AH6203">
        <v>14.5773707231956</v>
      </c>
      <c r="AI6203">
        <v>94.215160441256003</v>
      </c>
      <c r="AJ6203">
        <v>107.00425982836801</v>
      </c>
      <c r="AK6203">
        <v>15.28512823812</v>
      </c>
      <c r="AL6203">
        <v>96.773701783614896</v>
      </c>
      <c r="AM6203">
        <v>109.355651642192</v>
      </c>
      <c r="AN6203">
        <v>1.00000004958396</v>
      </c>
    </row>
    <row r="6204" spans="1:40" x14ac:dyDescent="0.25">
      <c r="A6204" t="str">
        <f>"20190303154646699"</f>
        <v>20190303154646699</v>
      </c>
      <c r="B6204" t="str">
        <f>"1551599206687541"</f>
        <v>1551599206687541</v>
      </c>
      <c r="C6204" t="s">
        <v>40</v>
      </c>
      <c r="D6204">
        <v>5.6918530000000001</v>
      </c>
      <c r="E6204">
        <v>0.51534259999999998</v>
      </c>
      <c r="F6204" t="s">
        <v>41</v>
      </c>
      <c r="G6204">
        <v>-275.28449999999998</v>
      </c>
      <c r="H6204" s="1">
        <v>-1.786531E-6</v>
      </c>
      <c r="I6204">
        <v>-62.025970000000001</v>
      </c>
      <c r="J6204">
        <v>-290.45359999999999</v>
      </c>
      <c r="K6204">
        <v>1.123507</v>
      </c>
      <c r="L6204">
        <v>-60.767940000000003</v>
      </c>
      <c r="M6204">
        <v>0.93043469999999995</v>
      </c>
      <c r="N6204">
        <v>-8.0927380000000004E-3</v>
      </c>
      <c r="O6204">
        <v>-0.36636839999999998</v>
      </c>
      <c r="P6204">
        <v>0.99164799999999997</v>
      </c>
      <c r="Q6204">
        <v>-0.1229107</v>
      </c>
      <c r="R6204">
        <v>-3.9084569999999999E-2</v>
      </c>
      <c r="S6204">
        <v>2.9878849999999999</v>
      </c>
      <c r="T6204">
        <v>-0.22016189999999999</v>
      </c>
      <c r="U6204">
        <v>-0.25149539999999998</v>
      </c>
      <c r="V6204">
        <v>-0.32604369999999999</v>
      </c>
      <c r="W6204">
        <v>-0.1178724</v>
      </c>
      <c r="X6204">
        <v>0.93797739999999996</v>
      </c>
      <c r="Y6204">
        <v>-0.28546300000000002</v>
      </c>
      <c r="Z6204">
        <v>3.4946489999999997E-2</v>
      </c>
      <c r="AA6204">
        <v>0.9577523</v>
      </c>
      <c r="AB6204">
        <v>14</v>
      </c>
      <c r="AC6204">
        <v>15.1691</v>
      </c>
      <c r="AD6204">
        <v>-1.1235087865310001</v>
      </c>
      <c r="AE6204">
        <v>-1.25802999999999</v>
      </c>
      <c r="AF6204">
        <v>-4.36333522277907</v>
      </c>
      <c r="AG6204">
        <v>-1.1235087865310001</v>
      </c>
      <c r="AH6204">
        <v>14.4962574022179</v>
      </c>
      <c r="AI6204">
        <v>94.244388696311603</v>
      </c>
      <c r="AJ6204">
        <v>106.75165604985</v>
      </c>
      <c r="AK6204">
        <v>15.180330857103</v>
      </c>
      <c r="AL6204">
        <v>96.769328592656905</v>
      </c>
      <c r="AM6204">
        <v>109.167601626427</v>
      </c>
      <c r="AN6204">
        <v>0.999999999951105</v>
      </c>
    </row>
    <row r="6205" spans="1:40" x14ac:dyDescent="0.25">
      <c r="A6205" t="str">
        <f>"20190303154646715"</f>
        <v>20190303154646715</v>
      </c>
      <c r="B6205" t="str">
        <f>"1551599206708036"</f>
        <v>1551599206708036</v>
      </c>
      <c r="C6205" t="s">
        <v>40</v>
      </c>
      <c r="D6205">
        <v>5.7006809999999897</v>
      </c>
      <c r="E6205">
        <v>0.51588299999999998</v>
      </c>
      <c r="F6205" t="s">
        <v>41</v>
      </c>
      <c r="G6205">
        <v>-275.29289999999997</v>
      </c>
      <c r="H6205" s="1">
        <v>-1.792263E-6</v>
      </c>
      <c r="I6205">
        <v>-62.035640000000001</v>
      </c>
      <c r="J6205">
        <v>-290.35980000000001</v>
      </c>
      <c r="K6205">
        <v>1.1235280000000001</v>
      </c>
      <c r="L6205">
        <v>-60.797640000000001</v>
      </c>
      <c r="M6205">
        <v>0.93254550000000003</v>
      </c>
      <c r="N6205">
        <v>-8.0249280000000006E-3</v>
      </c>
      <c r="O6205">
        <v>-0.36096329999999999</v>
      </c>
      <c r="P6205">
        <v>0.99163590000000001</v>
      </c>
      <c r="Q6205">
        <v>-0.1227328</v>
      </c>
      <c r="R6205">
        <v>-3.9938050000000003E-2</v>
      </c>
      <c r="S6205">
        <v>2.9879760000000002</v>
      </c>
      <c r="T6205">
        <v>-0.22142980000000001</v>
      </c>
      <c r="U6205">
        <v>-0.2498474</v>
      </c>
      <c r="V6205">
        <v>-0.319795</v>
      </c>
      <c r="W6205">
        <v>-0.1177105</v>
      </c>
      <c r="X6205">
        <v>0.9401465</v>
      </c>
      <c r="Y6205">
        <v>-0.28043230000000002</v>
      </c>
      <c r="Z6205">
        <v>3.463981E-2</v>
      </c>
      <c r="AA6205">
        <v>0.95924849999999995</v>
      </c>
      <c r="AB6205">
        <v>14</v>
      </c>
      <c r="AC6205">
        <v>15.0669</v>
      </c>
      <c r="AD6205">
        <v>-1.1235297922630001</v>
      </c>
      <c r="AE6205">
        <v>-1.23799999999999</v>
      </c>
      <c r="AF6205">
        <v>-4.2607113276469502</v>
      </c>
      <c r="AG6205">
        <v>-1.1235297922630001</v>
      </c>
      <c r="AH6205">
        <v>14.4182725646964</v>
      </c>
      <c r="AI6205">
        <v>94.273737593526704</v>
      </c>
      <c r="AJ6205">
        <v>106.462818584597</v>
      </c>
      <c r="AK6205">
        <v>15.076556767429301</v>
      </c>
      <c r="AL6205">
        <v>96.759987221553601</v>
      </c>
      <c r="AM6205">
        <v>108.785964348555</v>
      </c>
      <c r="AN6205">
        <v>1.00000002264874</v>
      </c>
    </row>
    <row r="6206" spans="1:40" x14ac:dyDescent="0.25">
      <c r="A6206" t="str">
        <f>"20190303154646728"</f>
        <v>20190303154646728</v>
      </c>
      <c r="B6206" t="str">
        <f>"1551599206717796"</f>
        <v>1551599206717796</v>
      </c>
      <c r="C6206" t="s">
        <v>40</v>
      </c>
      <c r="D6206">
        <v>5.7669620000000004</v>
      </c>
      <c r="E6206">
        <v>0.51629749999999996</v>
      </c>
      <c r="F6206" t="s">
        <v>41</v>
      </c>
      <c r="G6206">
        <v>-275.36540000000002</v>
      </c>
      <c r="H6206" s="1">
        <v>-1.8337760000000001E-6</v>
      </c>
      <c r="I6206">
        <v>-62.08249</v>
      </c>
      <c r="J6206">
        <v>-290.28190000000001</v>
      </c>
      <c r="K6206">
        <v>1.1235389999999901</v>
      </c>
      <c r="L6206">
        <v>-60.821930000000002</v>
      </c>
      <c r="M6206">
        <v>0.93427110000000002</v>
      </c>
      <c r="N6206">
        <v>-7.9727630000000008E-3</v>
      </c>
      <c r="O6206">
        <v>-0.35647420000000002</v>
      </c>
      <c r="P6206">
        <v>0.99173460000000002</v>
      </c>
      <c r="Q6206">
        <v>-0.1222961</v>
      </c>
      <c r="R6206">
        <v>-3.880977E-2</v>
      </c>
      <c r="S6206">
        <v>2.9873349999999999</v>
      </c>
      <c r="T6206">
        <v>-0.22384019999999999</v>
      </c>
      <c r="U6206">
        <v>-0.25598140000000003</v>
      </c>
      <c r="V6206">
        <v>-0.31636180000000003</v>
      </c>
      <c r="W6206">
        <v>-0.1172985</v>
      </c>
      <c r="X6206">
        <v>0.94135869999999999</v>
      </c>
      <c r="Y6206">
        <v>-0.27383049999999998</v>
      </c>
      <c r="Z6206">
        <v>3.4500210000000003E-2</v>
      </c>
      <c r="AA6206">
        <v>0.96115899999999999</v>
      </c>
      <c r="AB6206">
        <v>14</v>
      </c>
      <c r="AC6206">
        <v>14.9164999999999</v>
      </c>
      <c r="AD6206">
        <v>-1.12354083377599</v>
      </c>
      <c r="AE6206">
        <v>-1.2605599999999899</v>
      </c>
      <c r="AF6206">
        <v>-4.1165849417485898</v>
      </c>
      <c r="AG6206">
        <v>-1.12354083377599</v>
      </c>
      <c r="AH6206">
        <v>14.3052856692861</v>
      </c>
      <c r="AI6206">
        <v>94.316345733691904</v>
      </c>
      <c r="AJ6206">
        <v>106.05405680785</v>
      </c>
      <c r="AK6206">
        <v>14.928155065770101</v>
      </c>
      <c r="AL6206">
        <v>96.736217081460296</v>
      </c>
      <c r="AM6206">
        <v>108.575918464848</v>
      </c>
      <c r="AN6206">
        <v>0.99999996433358895</v>
      </c>
    </row>
    <row r="6207" spans="1:40" x14ac:dyDescent="0.25">
      <c r="A6207" t="str">
        <f>"20190303154646740"</f>
        <v>20190303154646740</v>
      </c>
      <c r="B6207" t="str">
        <f>"1551599206738293"</f>
        <v>1551599206738293</v>
      </c>
      <c r="C6207" t="s">
        <v>40</v>
      </c>
      <c r="D6207">
        <v>5.623799</v>
      </c>
      <c r="E6207">
        <v>0.51667580000000002</v>
      </c>
      <c r="F6207" t="s">
        <v>41</v>
      </c>
      <c r="G6207">
        <v>-275.20909999999998</v>
      </c>
      <c r="H6207" s="1">
        <v>-1.7731410000000001E-6</v>
      </c>
      <c r="I6207">
        <v>-62.111409999999999</v>
      </c>
      <c r="J6207">
        <v>-290.20490000000001</v>
      </c>
      <c r="K6207">
        <v>1.1235470000000001</v>
      </c>
      <c r="L6207">
        <v>-60.845669999999998</v>
      </c>
      <c r="M6207">
        <v>0.93594750000000004</v>
      </c>
      <c r="N6207">
        <v>-7.9242119999999999E-3</v>
      </c>
      <c r="O6207">
        <v>-0.35205069999999999</v>
      </c>
      <c r="P6207">
        <v>0.9917395</v>
      </c>
      <c r="Q6207">
        <v>-0.1216918</v>
      </c>
      <c r="R6207">
        <v>-4.0550030000000001E-2</v>
      </c>
      <c r="S6207">
        <v>2.987549</v>
      </c>
      <c r="T6207">
        <v>-0.2226949</v>
      </c>
      <c r="U6207">
        <v>-0.2555847</v>
      </c>
      <c r="V6207">
        <v>-0.31028349999999999</v>
      </c>
      <c r="W6207">
        <v>-0.1166851</v>
      </c>
      <c r="X6207">
        <v>0.94345579999999996</v>
      </c>
      <c r="Y6207">
        <v>-0.26945000000000002</v>
      </c>
      <c r="Z6207">
        <v>3.3871650000000003E-2</v>
      </c>
      <c r="AA6207">
        <v>0.96241849999999995</v>
      </c>
      <c r="AB6207">
        <v>14</v>
      </c>
      <c r="AC6207">
        <v>14.995799999999999</v>
      </c>
      <c r="AD6207">
        <v>-1.1235487731410001</v>
      </c>
      <c r="AE6207">
        <v>-1.2657400000000001</v>
      </c>
      <c r="AF6207">
        <v>-4.0720465294967303</v>
      </c>
      <c r="AG6207">
        <v>-1.1235487731410001</v>
      </c>
      <c r="AH6207">
        <v>14.401068776688501</v>
      </c>
      <c r="AI6207">
        <v>94.293420449615496</v>
      </c>
      <c r="AJ6207">
        <v>105.788782107149</v>
      </c>
      <c r="AK6207">
        <v>15.007821517293101</v>
      </c>
      <c r="AL6207">
        <v>96.700828224529602</v>
      </c>
      <c r="AM6207">
        <v>108.20498801721401</v>
      </c>
      <c r="AN6207">
        <v>1.00000005474394</v>
      </c>
    </row>
    <row r="6208" spans="1:40" x14ac:dyDescent="0.25">
      <c r="A6208" t="str">
        <f>"20190303154646752"</f>
        <v>20190303154646752</v>
      </c>
      <c r="B6208" t="str">
        <f>"1551599206748052"</f>
        <v>1551599206748052</v>
      </c>
      <c r="C6208" t="s">
        <v>40</v>
      </c>
      <c r="D6208">
        <v>5.6896279999999999</v>
      </c>
      <c r="E6208">
        <v>0.51689949999999996</v>
      </c>
      <c r="F6208" t="s">
        <v>41</v>
      </c>
      <c r="G6208">
        <v>-275.20209999999997</v>
      </c>
      <c r="H6208" s="1">
        <v>-1.7827399999999999E-6</v>
      </c>
      <c r="I6208">
        <v>-62.167949999999998</v>
      </c>
      <c r="J6208">
        <v>-290.13650000000001</v>
      </c>
      <c r="K6208">
        <v>1.12355</v>
      </c>
      <c r="L6208">
        <v>-60.866210000000002</v>
      </c>
      <c r="M6208">
        <v>0.93741010000000002</v>
      </c>
      <c r="N6208">
        <v>-7.8856759999999994E-3</v>
      </c>
      <c r="O6208">
        <v>-0.348138</v>
      </c>
      <c r="P6208">
        <v>0.99177550000000003</v>
      </c>
      <c r="Q6208">
        <v>-0.12147089999999899</v>
      </c>
      <c r="R6208">
        <v>-4.0323530000000003E-2</v>
      </c>
      <c r="S6208">
        <v>2.9868160000000001</v>
      </c>
      <c r="T6208">
        <v>-0.22368060000000001</v>
      </c>
      <c r="U6208">
        <v>-0.2632446</v>
      </c>
      <c r="V6208">
        <v>-0.30656850000000002</v>
      </c>
      <c r="W6208">
        <v>-0.1164654</v>
      </c>
      <c r="X6208">
        <v>0.94469650000000005</v>
      </c>
      <c r="Y6208">
        <v>-0.26296540000000002</v>
      </c>
      <c r="Z6208">
        <v>3.3529620000000003E-2</v>
      </c>
      <c r="AA6208">
        <v>0.96422240000000004</v>
      </c>
      <c r="AB6208">
        <v>14</v>
      </c>
      <c r="AC6208">
        <v>14.9344</v>
      </c>
      <c r="AD6208">
        <v>-1.1235517827399999</v>
      </c>
      <c r="AE6208">
        <v>-1.3017399999999999</v>
      </c>
      <c r="AF6208">
        <v>-3.9568650608186502</v>
      </c>
      <c r="AG6208">
        <v>-1.1235517827399999</v>
      </c>
      <c r="AH6208">
        <v>14.3725581214053</v>
      </c>
      <c r="AI6208">
        <v>94.310193688628999</v>
      </c>
      <c r="AJ6208">
        <v>105.392600109238</v>
      </c>
      <c r="AK6208">
        <v>14.9495677753973</v>
      </c>
      <c r="AL6208">
        <v>96.688154591768694</v>
      </c>
      <c r="AM6208">
        <v>107.97904161946001</v>
      </c>
      <c r="AN6208">
        <v>0.99999995585082901</v>
      </c>
    </row>
    <row r="6209" spans="1:40" x14ac:dyDescent="0.25">
      <c r="A6209" t="str">
        <f>"20190303154646771"</f>
        <v>20190303154646771</v>
      </c>
      <c r="B6209" t="str">
        <f>"1551599206767572"</f>
        <v>1551599206767572</v>
      </c>
      <c r="C6209" t="s">
        <v>40</v>
      </c>
      <c r="D6209">
        <v>5.7106579999999996</v>
      </c>
      <c r="E6209">
        <v>0.51724340000000002</v>
      </c>
      <c r="F6209" t="s">
        <v>41</v>
      </c>
      <c r="G6209">
        <v>-275.16390000000001</v>
      </c>
      <c r="H6209" s="1">
        <v>-1.771206E-6</v>
      </c>
      <c r="I6209">
        <v>-62.189860000000003</v>
      </c>
      <c r="J6209">
        <v>-290.02080000000001</v>
      </c>
      <c r="K6209">
        <v>1.1235280000000001</v>
      </c>
      <c r="L6209">
        <v>-60.900509999999997</v>
      </c>
      <c r="M6209">
        <v>0.93983139999999998</v>
      </c>
      <c r="N6209">
        <v>-7.8239260000000001E-3</v>
      </c>
      <c r="O6209">
        <v>-0.34154909999999999</v>
      </c>
      <c r="P6209">
        <v>0.99177559999999998</v>
      </c>
      <c r="Q6209">
        <v>-0.1210347</v>
      </c>
      <c r="R6209">
        <v>-4.1617290000000001E-2</v>
      </c>
      <c r="S6209">
        <v>2.986694</v>
      </c>
      <c r="T6209">
        <v>-0.22412319999999999</v>
      </c>
      <c r="U6209">
        <v>-0.2640381</v>
      </c>
      <c r="V6209">
        <v>-0.29872300000000002</v>
      </c>
      <c r="W6209">
        <v>-0.1160066</v>
      </c>
      <c r="X6209">
        <v>0.94726290000000002</v>
      </c>
      <c r="Y6209">
        <v>-0.2559575</v>
      </c>
      <c r="Z6209">
        <v>3.2913820000000003E-2</v>
      </c>
      <c r="AA6209">
        <v>0.96612750000000003</v>
      </c>
      <c r="AB6209">
        <v>15</v>
      </c>
      <c r="AC6209">
        <v>14.8568999999999</v>
      </c>
      <c r="AD6209">
        <v>-1.1235297712059999</v>
      </c>
      <c r="AE6209">
        <v>-1.28934999999999</v>
      </c>
      <c r="AF6209">
        <v>-3.84090574646445</v>
      </c>
      <c r="AG6209">
        <v>-1.1235297712059999</v>
      </c>
      <c r="AH6209">
        <v>14.3225011643047</v>
      </c>
      <c r="AI6209">
        <v>94.332901703146305</v>
      </c>
      <c r="AJ6209">
        <v>105.01195476500099</v>
      </c>
      <c r="AK6209">
        <v>14.8710764809249</v>
      </c>
      <c r="AL6209">
        <v>96.6616877114472</v>
      </c>
      <c r="AM6209">
        <v>107.502869321416</v>
      </c>
      <c r="AN6209">
        <v>0.99999998184448402</v>
      </c>
    </row>
    <row r="6210" spans="1:40" x14ac:dyDescent="0.25">
      <c r="A6210" t="str">
        <f>"20190303154646793"</f>
        <v>20190303154646793</v>
      </c>
      <c r="B6210" t="str">
        <f>"1551599206788070"</f>
        <v>1551599206788070</v>
      </c>
      <c r="C6210" t="s">
        <v>40</v>
      </c>
      <c r="D6210">
        <v>5.6796430000000004</v>
      </c>
      <c r="E6210">
        <v>0.51749369999999995</v>
      </c>
      <c r="F6210" t="s">
        <v>41</v>
      </c>
      <c r="G6210">
        <v>-275.14370000000002</v>
      </c>
      <c r="H6210" s="1">
        <v>-1.775087E-6</v>
      </c>
      <c r="I6210">
        <v>-62.246270000000003</v>
      </c>
      <c r="J6210">
        <v>-289.88119999999998</v>
      </c>
      <c r="K6210">
        <v>1.123494</v>
      </c>
      <c r="L6210">
        <v>-60.940800000000003</v>
      </c>
      <c r="M6210">
        <v>0.94266150000000004</v>
      </c>
      <c r="N6210">
        <v>-7.7567130000000001E-3</v>
      </c>
      <c r="O6210">
        <v>-0.33366059999999997</v>
      </c>
      <c r="P6210">
        <v>0.99164490000000005</v>
      </c>
      <c r="Q6210">
        <v>-0.1220807</v>
      </c>
      <c r="R6210">
        <v>-4.1672540000000001E-2</v>
      </c>
      <c r="S6210">
        <v>2.9860229999999999</v>
      </c>
      <c r="T6210">
        <v>-0.2255064</v>
      </c>
      <c r="U6210">
        <v>-0.27011109999999999</v>
      </c>
      <c r="V6210">
        <v>-0.29067979999999999</v>
      </c>
      <c r="W6210">
        <v>-0.11702559999999999</v>
      </c>
      <c r="X6210">
        <v>0.94963690000000001</v>
      </c>
      <c r="Y6210">
        <v>-0.2459027</v>
      </c>
      <c r="Z6210">
        <v>3.2229889999999997E-2</v>
      </c>
      <c r="AA6210">
        <v>0.96875849999999997</v>
      </c>
      <c r="AB6210">
        <v>15</v>
      </c>
      <c r="AC6210">
        <v>14.737499999999899</v>
      </c>
      <c r="AD6210">
        <v>-1.123495775087</v>
      </c>
      <c r="AE6210">
        <v>-1.3054699999999899</v>
      </c>
      <c r="AF6210">
        <v>-3.6656796256780502</v>
      </c>
      <c r="AG6210">
        <v>-1.123495775087</v>
      </c>
      <c r="AH6210">
        <v>14.2463375801883</v>
      </c>
      <c r="AI6210">
        <v>94.367448877038498</v>
      </c>
      <c r="AJ6210">
        <v>104.429583774989</v>
      </c>
      <c r="AK6210">
        <v>14.753222845311999</v>
      </c>
      <c r="AL6210">
        <v>96.720472457579802</v>
      </c>
      <c r="AM6210">
        <v>107.01912587726601</v>
      </c>
      <c r="AN6210">
        <v>0.99999998951250402</v>
      </c>
    </row>
    <row r="6211" spans="1:40" x14ac:dyDescent="0.25">
      <c r="A6211" t="str">
        <f>"20190303154646818"</f>
        <v>20190303154646818</v>
      </c>
      <c r="B6211" t="str">
        <f>"1551599206807588"</f>
        <v>1551599206807588</v>
      </c>
      <c r="C6211" t="s">
        <v>40</v>
      </c>
      <c r="D6211">
        <v>5.6532359999999997</v>
      </c>
      <c r="E6211">
        <v>0.51758279999999901</v>
      </c>
      <c r="F6211" t="s">
        <v>41</v>
      </c>
      <c r="G6211">
        <v>-275.37079999999997</v>
      </c>
      <c r="H6211" s="1">
        <v>-1.8761009999999999E-6</v>
      </c>
      <c r="I6211">
        <v>-62.262419999999999</v>
      </c>
      <c r="J6211">
        <v>-289.73250000000002</v>
      </c>
      <c r="K6211">
        <v>1.1234420000000001</v>
      </c>
      <c r="L6211">
        <v>-60.98254</v>
      </c>
      <c r="M6211">
        <v>0.94556399999999996</v>
      </c>
      <c r="N6211">
        <v>-7.6927419999999998E-3</v>
      </c>
      <c r="O6211">
        <v>-0.325345099999999</v>
      </c>
      <c r="P6211">
        <v>0.99138099999999996</v>
      </c>
      <c r="Q6211">
        <v>-0.12424</v>
      </c>
      <c r="R6211">
        <v>-4.1571160000000003E-2</v>
      </c>
      <c r="S6211">
        <v>2.985382</v>
      </c>
      <c r="T6211">
        <v>-0.23114850000000001</v>
      </c>
      <c r="U6211">
        <v>-0.27191159999999998</v>
      </c>
      <c r="V6211">
        <v>-0.28231279999999997</v>
      </c>
      <c r="W6211">
        <v>-0.1191458</v>
      </c>
      <c r="X6211">
        <v>0.95189480000000004</v>
      </c>
      <c r="Y6211">
        <v>-0.23672760000000001</v>
      </c>
      <c r="Z6211">
        <v>3.2165109999999997E-2</v>
      </c>
      <c r="AA6211">
        <v>0.97104349999999995</v>
      </c>
      <c r="AB6211">
        <v>15</v>
      </c>
      <c r="AC6211">
        <v>14.361700000000001</v>
      </c>
      <c r="AD6211">
        <v>-1.1234438761009999</v>
      </c>
      <c r="AE6211">
        <v>-1.2798799999999899</v>
      </c>
      <c r="AF6211">
        <v>-3.4415097310407101</v>
      </c>
      <c r="AG6211">
        <v>-1.1234438761009999</v>
      </c>
      <c r="AH6211">
        <v>13.912263668366901</v>
      </c>
      <c r="AI6211">
        <v>94.482205922716901</v>
      </c>
      <c r="AJ6211">
        <v>103.89446036454</v>
      </c>
      <c r="AK6211">
        <v>14.375576362349999</v>
      </c>
      <c r="AL6211">
        <v>96.842807022342697</v>
      </c>
      <c r="AM6211">
        <v>106.519294530625</v>
      </c>
      <c r="AN6211">
        <v>0.99999997448425904</v>
      </c>
    </row>
    <row r="6212" spans="1:40" x14ac:dyDescent="0.25">
      <c r="A6212" t="str">
        <f>"20190303154646839"</f>
        <v>20190303154646839</v>
      </c>
      <c r="B6212" t="str">
        <f>"1551599206828084"</f>
        <v>1551599206828084</v>
      </c>
      <c r="C6212" t="s">
        <v>40</v>
      </c>
      <c r="D6212">
        <v>5.6861160000000002</v>
      </c>
      <c r="E6212">
        <v>0.51754690000000003</v>
      </c>
      <c r="F6212" t="s">
        <v>41</v>
      </c>
      <c r="G6212">
        <v>-275.81990000000002</v>
      </c>
      <c r="H6212" s="1">
        <v>-2.0659910000000002E-6</v>
      </c>
      <c r="I6212">
        <v>-62.249809999999997</v>
      </c>
      <c r="J6212">
        <v>-289.59730000000002</v>
      </c>
      <c r="K6212">
        <v>1.123394</v>
      </c>
      <c r="L6212">
        <v>-61.019350000000003</v>
      </c>
      <c r="M6212">
        <v>0.94809719999999997</v>
      </c>
      <c r="N6212">
        <v>-7.6403699999999996E-3</v>
      </c>
      <c r="O6212">
        <v>-0.31788929999999999</v>
      </c>
      <c r="P6212">
        <v>0.99098920000000001</v>
      </c>
      <c r="Q6212">
        <v>-0.12683559999999999</v>
      </c>
      <c r="R6212">
        <v>-4.3050739999999997E-2</v>
      </c>
      <c r="S6212">
        <v>2.984467</v>
      </c>
      <c r="T6212">
        <v>-0.2409974</v>
      </c>
      <c r="U6212">
        <v>-0.2718506</v>
      </c>
      <c r="V6212">
        <v>-0.27327630000000003</v>
      </c>
      <c r="W6212">
        <v>-0.1216826</v>
      </c>
      <c r="X6212">
        <v>0.95420830000000001</v>
      </c>
      <c r="Y6212">
        <v>-0.22897129999999999</v>
      </c>
      <c r="Z6212">
        <v>3.2770340000000002E-2</v>
      </c>
      <c r="AA6212">
        <v>0.97288140000000001</v>
      </c>
      <c r="AB6212">
        <v>15</v>
      </c>
      <c r="AC6212">
        <v>13.7774</v>
      </c>
      <c r="AD6212">
        <v>-1.1233960659909901</v>
      </c>
      <c r="AE6212">
        <v>-1.2304599999999899</v>
      </c>
      <c r="AF6212">
        <v>-3.1921303864353199</v>
      </c>
      <c r="AG6212">
        <v>-1.1233960659909901</v>
      </c>
      <c r="AH6212">
        <v>13.365695033850599</v>
      </c>
      <c r="AI6212">
        <v>94.673622090127594</v>
      </c>
      <c r="AJ6212">
        <v>103.43233723763301</v>
      </c>
      <c r="AK6212">
        <v>13.787440620470001</v>
      </c>
      <c r="AL6212">
        <v>96.989219913674006</v>
      </c>
      <c r="AM6212">
        <v>105.98121561680399</v>
      </c>
      <c r="AN6212">
        <v>1.0000000355366601</v>
      </c>
    </row>
    <row r="6213" spans="1:40" x14ac:dyDescent="0.25">
      <c r="A6213" t="str">
        <f>"20190303154646861"</f>
        <v>20190303154646861</v>
      </c>
      <c r="B6213" t="str">
        <f>"1551599206858340"</f>
        <v>1551599206858340</v>
      </c>
      <c r="C6213" t="s">
        <v>40</v>
      </c>
      <c r="D6213">
        <v>5.5037669999999999</v>
      </c>
      <c r="E6213">
        <v>0.5176579</v>
      </c>
      <c r="F6213" t="s">
        <v>41</v>
      </c>
      <c r="G6213">
        <v>-276.31270000000001</v>
      </c>
      <c r="H6213" s="1">
        <v>-2.2767589999999999E-6</v>
      </c>
      <c r="I6213">
        <v>-62.247</v>
      </c>
      <c r="J6213">
        <v>-289.45740000000001</v>
      </c>
      <c r="K6213">
        <v>1.1233420000000001</v>
      </c>
      <c r="L6213">
        <v>-61.056429999999999</v>
      </c>
      <c r="M6213">
        <v>0.95061090000000004</v>
      </c>
      <c r="N6213">
        <v>-7.5908009999999899E-3</v>
      </c>
      <c r="O6213">
        <v>-0.31029250000000003</v>
      </c>
      <c r="P6213">
        <v>0.99089870000000002</v>
      </c>
      <c r="Q6213">
        <v>-0.1271718</v>
      </c>
      <c r="R6213">
        <v>-4.4131480000000001E-2</v>
      </c>
      <c r="S6213">
        <v>2.9830019999999999</v>
      </c>
      <c r="T6213">
        <v>-0.25225530000000002</v>
      </c>
      <c r="U6213">
        <v>-0.2756653</v>
      </c>
      <c r="V6213">
        <v>-0.26459250000000001</v>
      </c>
      <c r="W6213">
        <v>-0.12195599999999999</v>
      </c>
      <c r="X6213">
        <v>0.95661779999999996</v>
      </c>
      <c r="Y6213">
        <v>-0.21979170000000001</v>
      </c>
      <c r="Z6213">
        <v>3.3423540000000002E-2</v>
      </c>
      <c r="AA6213">
        <v>0.97497409999999995</v>
      </c>
      <c r="AB6213">
        <v>15</v>
      </c>
      <c r="AC6213">
        <v>13.1447</v>
      </c>
      <c r="AD6213">
        <v>-1.1233442767590001</v>
      </c>
      <c r="AE6213">
        <v>-1.1905699999999899</v>
      </c>
      <c r="AF6213">
        <v>-2.9258231562402601</v>
      </c>
      <c r="AG6213">
        <v>-1.1233442767590001</v>
      </c>
      <c r="AH6213">
        <v>12.7727643901069</v>
      </c>
      <c r="AI6213">
        <v>94.8998729458649</v>
      </c>
      <c r="AJ6213">
        <v>102.902001488748</v>
      </c>
      <c r="AK6213">
        <v>13.151648325244301</v>
      </c>
      <c r="AL6213">
        <v>97.005002116292403</v>
      </c>
      <c r="AM6213">
        <v>105.46100004348</v>
      </c>
      <c r="AN6213">
        <v>1.00000003613454</v>
      </c>
    </row>
    <row r="6214" spans="1:40" x14ac:dyDescent="0.25">
      <c r="A6214" t="str">
        <f>"20190303154646883"</f>
        <v>20190303154646883</v>
      </c>
      <c r="B6214" t="str">
        <f>"1551599206877864"</f>
        <v>1551599206877864</v>
      </c>
      <c r="C6214" t="s">
        <v>40</v>
      </c>
      <c r="D6214">
        <v>5.6431559999999896</v>
      </c>
      <c r="E6214">
        <v>0.51768769999999997</v>
      </c>
      <c r="F6214" t="s">
        <v>41</v>
      </c>
      <c r="G6214">
        <v>-276.28649999999999</v>
      </c>
      <c r="H6214" s="1">
        <v>-2.2751859999999999E-6</v>
      </c>
      <c r="I6214">
        <v>-62.290509999999998</v>
      </c>
      <c r="J6214">
        <v>-289.31580000000002</v>
      </c>
      <c r="K6214">
        <v>1.1232960000000001</v>
      </c>
      <c r="L6214">
        <v>-61.0929</v>
      </c>
      <c r="M6214">
        <v>0.95304299999999997</v>
      </c>
      <c r="N6214">
        <v>-7.5452949999999996E-3</v>
      </c>
      <c r="O6214">
        <v>-0.30274069999999997</v>
      </c>
      <c r="P6214">
        <v>0.99085780000000001</v>
      </c>
      <c r="Q6214">
        <v>-0.12740489999999999</v>
      </c>
      <c r="R6214">
        <v>-4.4371849999999997E-2</v>
      </c>
      <c r="S6214">
        <v>2.9824519999999999</v>
      </c>
      <c r="T6214">
        <v>-0.25437320000000002</v>
      </c>
      <c r="U6214">
        <v>-0.27944950000000002</v>
      </c>
      <c r="V6214">
        <v>-0.25677070000000002</v>
      </c>
      <c r="W6214">
        <v>-0.122131</v>
      </c>
      <c r="X6214">
        <v>0.95872460000000004</v>
      </c>
      <c r="Y6214">
        <v>-0.2108265</v>
      </c>
      <c r="Z6214">
        <v>3.2760789999999998E-2</v>
      </c>
      <c r="AA6214">
        <v>0.97697440000000002</v>
      </c>
      <c r="AB6214">
        <v>15</v>
      </c>
      <c r="AC6214">
        <v>13.029299999999999</v>
      </c>
      <c r="AD6214">
        <v>-1.1232982751859999</v>
      </c>
      <c r="AE6214">
        <v>-1.1976099999999901</v>
      </c>
      <c r="AF6214">
        <v>-2.7826958892350899</v>
      </c>
      <c r="AG6214">
        <v>-1.1232982751859999</v>
      </c>
      <c r="AH6214">
        <v>12.686905145678301</v>
      </c>
      <c r="AI6214">
        <v>94.942875525786405</v>
      </c>
      <c r="AJ6214">
        <v>102.371129134708</v>
      </c>
      <c r="AK6214">
        <v>13.036976551426299</v>
      </c>
      <c r="AL6214">
        <v>97.015104535688195</v>
      </c>
      <c r="AM6214">
        <v>104.99337659026899</v>
      </c>
      <c r="AN6214">
        <v>1.0000000160923199</v>
      </c>
    </row>
    <row r="6215" spans="1:40" x14ac:dyDescent="0.25">
      <c r="A6215" t="str">
        <f>"20190303154646905"</f>
        <v>20190303154646905</v>
      </c>
      <c r="B6215" t="str">
        <f>"1551599206898356"</f>
        <v>1551599206898356</v>
      </c>
      <c r="C6215" t="s">
        <v>40</v>
      </c>
      <c r="D6215">
        <v>5.6032270000000004</v>
      </c>
      <c r="E6215">
        <v>0.51744889999999999</v>
      </c>
      <c r="F6215" t="s">
        <v>41</v>
      </c>
      <c r="G6215">
        <v>-276.18130000000002</v>
      </c>
      <c r="H6215" s="1">
        <v>-2.2379990000000002E-6</v>
      </c>
      <c r="I6215">
        <v>-62.326309999999999</v>
      </c>
      <c r="J6215">
        <v>-289.17259999999999</v>
      </c>
      <c r="K6215">
        <v>1.1232629999999999</v>
      </c>
      <c r="L6215">
        <v>-61.128689999999999</v>
      </c>
      <c r="M6215">
        <v>0.95539510000000005</v>
      </c>
      <c r="N6215">
        <v>-7.5038589999999999E-3</v>
      </c>
      <c r="O6215">
        <v>-0.295236</v>
      </c>
      <c r="P6215">
        <v>0.99104939999999997</v>
      </c>
      <c r="Q6215">
        <v>-0.12594459999999999</v>
      </c>
      <c r="R6215">
        <v>-4.426447E-2</v>
      </c>
      <c r="S6215">
        <v>2.9823300000000001</v>
      </c>
      <c r="T6215">
        <v>-0.25505709999999998</v>
      </c>
      <c r="U6215">
        <v>-0.28005980000000003</v>
      </c>
      <c r="V6215">
        <v>-0.2494111</v>
      </c>
      <c r="W6215">
        <v>-0.1206158</v>
      </c>
      <c r="X6215">
        <v>0.96085690000000001</v>
      </c>
      <c r="Y6215">
        <v>-0.20297319999999999</v>
      </c>
      <c r="Z6215">
        <v>3.1944649999999998E-2</v>
      </c>
      <c r="AA6215">
        <v>0.97866310000000001</v>
      </c>
      <c r="AB6215">
        <v>15</v>
      </c>
      <c r="AC6215">
        <v>12.991299999999899</v>
      </c>
      <c r="AD6215">
        <v>-1.12326523799899</v>
      </c>
      <c r="AE6215">
        <v>-1.1976199999999999</v>
      </c>
      <c r="AF6215">
        <v>-2.67157049492095</v>
      </c>
      <c r="AG6215">
        <v>-1.12326523799899</v>
      </c>
      <c r="AH6215">
        <v>12.6718276085836</v>
      </c>
      <c r="AI6215">
        <v>94.957202703401506</v>
      </c>
      <c r="AJ6215">
        <v>101.905184534261</v>
      </c>
      <c r="AK6215">
        <v>12.9990087562818</v>
      </c>
      <c r="AL6215">
        <v>96.927643292663902</v>
      </c>
      <c r="AM6215">
        <v>104.551218986069</v>
      </c>
      <c r="AN6215">
        <v>1.0000000251452199</v>
      </c>
    </row>
    <row r="6216" spans="1:40" x14ac:dyDescent="0.25">
      <c r="A6216" t="str">
        <f>"20190303154646927"</f>
        <v>20190303154646927</v>
      </c>
      <c r="B6216" t="str">
        <f>"1551599206917876"</f>
        <v>1551599206917876</v>
      </c>
      <c r="C6216" t="s">
        <v>40</v>
      </c>
      <c r="D6216">
        <v>5.5058550000000004</v>
      </c>
      <c r="E6216">
        <v>0.51763539999999997</v>
      </c>
      <c r="F6216" t="s">
        <v>41</v>
      </c>
      <c r="G6216">
        <v>-275.97179999999997</v>
      </c>
      <c r="H6216" s="1">
        <v>-2.1548800000000002E-6</v>
      </c>
      <c r="I6216">
        <v>-62.356659999999998</v>
      </c>
      <c r="J6216">
        <v>-289.02569999999997</v>
      </c>
      <c r="K6216">
        <v>1.123246</v>
      </c>
      <c r="L6216">
        <v>-61.164340000000003</v>
      </c>
      <c r="M6216">
        <v>0.95770789999999995</v>
      </c>
      <c r="N6216">
        <v>-7.4675309999999899E-3</v>
      </c>
      <c r="O6216">
        <v>-0.2876454</v>
      </c>
      <c r="P6216">
        <v>0.99126570000000003</v>
      </c>
      <c r="Q6216">
        <v>-0.1242511</v>
      </c>
      <c r="R6216">
        <v>-4.4207839999999998E-2</v>
      </c>
      <c r="S6216">
        <v>2.9824519999999999</v>
      </c>
      <c r="T6216">
        <v>-0.25377889999999997</v>
      </c>
      <c r="U6216">
        <v>-0.2774353</v>
      </c>
      <c r="V6216">
        <v>-0.241921</v>
      </c>
      <c r="W6216">
        <v>-0.1188723</v>
      </c>
      <c r="X6216">
        <v>0.96298680000000003</v>
      </c>
      <c r="Y6216">
        <v>-0.1961213</v>
      </c>
      <c r="Z6216">
        <v>3.091141E-2</v>
      </c>
      <c r="AA6216">
        <v>0.98009230000000003</v>
      </c>
      <c r="AB6216">
        <v>15</v>
      </c>
      <c r="AC6216">
        <v>13.053900000000001</v>
      </c>
      <c r="AD6216">
        <v>-1.12324815488</v>
      </c>
      <c r="AE6216">
        <v>-1.1923199999999901</v>
      </c>
      <c r="AF6216">
        <v>-2.5940253277125298</v>
      </c>
      <c r="AG6216">
        <v>-1.12324815488</v>
      </c>
      <c r="AH6216">
        <v>12.751514236573399</v>
      </c>
      <c r="AI6216">
        <v>94.933511028394406</v>
      </c>
      <c r="AJ6216">
        <v>101.498707474453</v>
      </c>
      <c r="AK6216">
        <v>13.0610784066167</v>
      </c>
      <c r="AL6216">
        <v>96.827024386911702</v>
      </c>
      <c r="AM6216">
        <v>104.101983155742</v>
      </c>
      <c r="AN6216">
        <v>0.99999998546126501</v>
      </c>
    </row>
    <row r="6217" spans="1:40" x14ac:dyDescent="0.25">
      <c r="A6217" t="str">
        <f>"20190303154646950"</f>
        <v>20190303154646950</v>
      </c>
      <c r="B6217" t="str">
        <f>"1551599206948133"</f>
        <v>1551599206948133</v>
      </c>
      <c r="C6217" t="s">
        <v>40</v>
      </c>
      <c r="D6217">
        <v>5.4997870000000004</v>
      </c>
      <c r="E6217">
        <v>0.51781869999999997</v>
      </c>
      <c r="F6217" t="s">
        <v>41</v>
      </c>
      <c r="G6217">
        <v>-275.42939999999999</v>
      </c>
      <c r="H6217" s="1">
        <v>-1.9397019999999999E-6</v>
      </c>
      <c r="I6217">
        <v>-62.435380000000002</v>
      </c>
      <c r="J6217">
        <v>-288.87939999999998</v>
      </c>
      <c r="K6217">
        <v>1.123243</v>
      </c>
      <c r="L6217">
        <v>-61.198790000000002</v>
      </c>
      <c r="M6217">
        <v>0.95991780000000004</v>
      </c>
      <c r="N6217">
        <v>-7.437641E-3</v>
      </c>
      <c r="O6217">
        <v>-0.28018290000000001</v>
      </c>
      <c r="P6217">
        <v>0.99151029999999996</v>
      </c>
      <c r="Q6217">
        <v>-0.122526</v>
      </c>
      <c r="R6217">
        <v>-4.3528770000000001E-2</v>
      </c>
      <c r="S6217">
        <v>2.983063</v>
      </c>
      <c r="T6217">
        <v>-0.246444</v>
      </c>
      <c r="U6217">
        <v>-0.2788696</v>
      </c>
      <c r="V6217">
        <v>-0.23516039999999999</v>
      </c>
      <c r="W6217">
        <v>-0.11710909999999999</v>
      </c>
      <c r="X6217">
        <v>0.9648757</v>
      </c>
      <c r="Y6217">
        <v>-0.18817790000000001</v>
      </c>
      <c r="Z6217">
        <v>2.908852E-2</v>
      </c>
      <c r="AA6217">
        <v>0.98170409999999997</v>
      </c>
      <c r="AB6217">
        <v>15</v>
      </c>
      <c r="AC6217">
        <v>13.4499999999999</v>
      </c>
      <c r="AD6217">
        <v>-1.1232449397019999</v>
      </c>
      <c r="AE6217">
        <v>-1.2365899999999901</v>
      </c>
      <c r="AF6217">
        <v>-2.5637758902559802</v>
      </c>
      <c r="AG6217">
        <v>-1.1232449397019999</v>
      </c>
      <c r="AH6217">
        <v>13.166673355634201</v>
      </c>
      <c r="AI6217">
        <v>94.786611714240294</v>
      </c>
      <c r="AJ6217">
        <v>101.018590608888</v>
      </c>
      <c r="AK6217">
        <v>13.4609031370109</v>
      </c>
      <c r="AL6217">
        <v>96.725289466897493</v>
      </c>
      <c r="AM6217">
        <v>103.697144653084</v>
      </c>
      <c r="AN6217">
        <v>1.0000000357407199</v>
      </c>
    </row>
    <row r="6218" spans="1:40" x14ac:dyDescent="0.25">
      <c r="A6218" t="str">
        <f>"20190303154646971"</f>
        <v>20190303154646971</v>
      </c>
      <c r="B6218" t="str">
        <f>"1551599206967652"</f>
        <v>1551599206967652</v>
      </c>
      <c r="C6218" t="s">
        <v>40</v>
      </c>
      <c r="D6218">
        <v>5.4786190000000001</v>
      </c>
      <c r="E6218">
        <v>0.51784909999999995</v>
      </c>
      <c r="F6218" t="s">
        <v>41</v>
      </c>
      <c r="G6218">
        <v>-274.7747</v>
      </c>
      <c r="H6218" s="1">
        <v>-1.676402E-6</v>
      </c>
      <c r="I6218">
        <v>-62.514299999999999</v>
      </c>
      <c r="J6218">
        <v>-288.73669999999998</v>
      </c>
      <c r="K6218">
        <v>1.123251</v>
      </c>
      <c r="L6218">
        <v>-61.231380000000001</v>
      </c>
      <c r="M6218">
        <v>0.96198969999999995</v>
      </c>
      <c r="N6218">
        <v>-7.4140279999999996E-3</v>
      </c>
      <c r="O6218">
        <v>-0.27298529999999999</v>
      </c>
      <c r="P6218">
        <v>0.99178960000000005</v>
      </c>
      <c r="Q6218">
        <v>-0.1208156</v>
      </c>
      <c r="R6218">
        <v>-4.191686E-2</v>
      </c>
      <c r="S6218">
        <v>2.9841000000000002</v>
      </c>
      <c r="T6218">
        <v>-0.23764289999999999</v>
      </c>
      <c r="U6218">
        <v>-0.27832030000000002</v>
      </c>
      <c r="V6218">
        <v>-0.22957050000000001</v>
      </c>
      <c r="W6218">
        <v>-0.1153735</v>
      </c>
      <c r="X6218">
        <v>0.96642969999999895</v>
      </c>
      <c r="Y6218">
        <v>-0.18117539999999999</v>
      </c>
      <c r="Z6218">
        <v>2.719893E-2</v>
      </c>
      <c r="AA6218">
        <v>0.98307460000000002</v>
      </c>
      <c r="AB6218">
        <v>15</v>
      </c>
      <c r="AC6218">
        <v>13.9619999999999</v>
      </c>
      <c r="AD6218">
        <v>-1.1232526764020001</v>
      </c>
      <c r="AE6218">
        <v>-1.2829199999999901</v>
      </c>
      <c r="AF6218">
        <v>-2.56089943281378</v>
      </c>
      <c r="AG6218">
        <v>-1.1232526764020001</v>
      </c>
      <c r="AH6218">
        <v>13.694006558359201</v>
      </c>
      <c r="AI6218">
        <v>94.609637353590799</v>
      </c>
      <c r="AJ6218">
        <v>100.59246377919899</v>
      </c>
      <c r="AK6218">
        <v>13.976613255736</v>
      </c>
      <c r="AL6218">
        <v>96.625168338415904</v>
      </c>
      <c r="AM6218">
        <v>103.362656644667</v>
      </c>
      <c r="AN6218">
        <v>1.0000000120072901</v>
      </c>
    </row>
    <row r="6219" spans="1:40" x14ac:dyDescent="0.25">
      <c r="A6219" t="str">
        <f>"20190303154646994"</f>
        <v>20190303154646994</v>
      </c>
      <c r="B6219" t="str">
        <f>"1551599206988148"</f>
        <v>1551599206988148</v>
      </c>
      <c r="C6219" t="s">
        <v>40</v>
      </c>
      <c r="D6219">
        <v>5.4627210000000002</v>
      </c>
      <c r="E6219">
        <v>0.51783159999999995</v>
      </c>
      <c r="F6219" t="s">
        <v>41</v>
      </c>
      <c r="G6219">
        <v>-274.20839999999998</v>
      </c>
      <c r="H6219" s="1">
        <v>-1.4444559999999999E-6</v>
      </c>
      <c r="I6219">
        <v>-62.563800000000001</v>
      </c>
      <c r="J6219">
        <v>-288.584</v>
      </c>
      <c r="K6219">
        <v>1.1232679999999999</v>
      </c>
      <c r="L6219">
        <v>-61.26511</v>
      </c>
      <c r="M6219">
        <v>0.96412229999999999</v>
      </c>
      <c r="N6219">
        <v>-7.3938340000000002E-3</v>
      </c>
      <c r="O6219">
        <v>-0.26535540000000002</v>
      </c>
      <c r="P6219">
        <v>0.99192270000000005</v>
      </c>
      <c r="Q6219">
        <v>-0.1202884</v>
      </c>
      <c r="R6219">
        <v>-4.0246949999999997E-2</v>
      </c>
      <c r="S6219">
        <v>2.9851380000000001</v>
      </c>
      <c r="T6219">
        <v>-0.2307949</v>
      </c>
      <c r="U6219">
        <v>-0.27377319999999999</v>
      </c>
      <c r="V6219">
        <v>-0.2235569</v>
      </c>
      <c r="W6219">
        <v>-0.11482100000000001</v>
      </c>
      <c r="X6219">
        <v>0.96790419999999999</v>
      </c>
      <c r="Y6219">
        <v>-0.1750119</v>
      </c>
      <c r="Z6219">
        <v>2.560579E-2</v>
      </c>
      <c r="AA6219">
        <v>0.98423329999999998</v>
      </c>
      <c r="AB6219">
        <v>15</v>
      </c>
      <c r="AC6219">
        <v>14.3756</v>
      </c>
      <c r="AD6219">
        <v>-1.1232694444560001</v>
      </c>
      <c r="AE6219">
        <v>-1.2986899999999999</v>
      </c>
      <c r="AF6219">
        <v>-2.5471913973145099</v>
      </c>
      <c r="AG6219">
        <v>-1.1232694444560001</v>
      </c>
      <c r="AH6219">
        <v>14.119332776582301</v>
      </c>
      <c r="AI6219">
        <v>94.476645917079395</v>
      </c>
      <c r="AJ6219">
        <v>100.226421832913</v>
      </c>
      <c r="AK6219">
        <v>14.3911596584595</v>
      </c>
      <c r="AL6219">
        <v>96.593300416363604</v>
      </c>
      <c r="AM6219">
        <v>103.005541678078</v>
      </c>
      <c r="AN6219">
        <v>1.0000000449781199</v>
      </c>
    </row>
    <row r="6220" spans="1:40" x14ac:dyDescent="0.25">
      <c r="A6220" t="str">
        <f>"20190303154647016"</f>
        <v>20190303154647016</v>
      </c>
      <c r="B6220" t="str">
        <f>"1551599207007668"</f>
        <v>1551599207007668</v>
      </c>
      <c r="C6220" t="s">
        <v>40</v>
      </c>
      <c r="D6220">
        <v>5.4536939999999996</v>
      </c>
      <c r="E6220">
        <v>0.49890960000000001</v>
      </c>
      <c r="F6220" t="s">
        <v>41</v>
      </c>
      <c r="G6220">
        <v>-273.90269999999998</v>
      </c>
      <c r="H6220" s="1">
        <v>-1.318156E-6</v>
      </c>
      <c r="I6220">
        <v>-62.58558</v>
      </c>
      <c r="J6220">
        <v>-288.4366</v>
      </c>
      <c r="K6220">
        <v>1.123292</v>
      </c>
      <c r="L6220">
        <v>-61.29654</v>
      </c>
      <c r="M6220">
        <v>0.96610209999999996</v>
      </c>
      <c r="N6220">
        <v>-7.3785859999999899E-3</v>
      </c>
      <c r="O6220">
        <v>-0.25805519999999998</v>
      </c>
      <c r="P6220">
        <v>0.9919076</v>
      </c>
      <c r="Q6220">
        <v>-0.1206866</v>
      </c>
      <c r="R6220">
        <v>-3.942553E-2</v>
      </c>
      <c r="S6220">
        <v>2.98584</v>
      </c>
      <c r="T6220">
        <v>-0.22844800000000001</v>
      </c>
      <c r="U6220">
        <v>-0.26855469999999998</v>
      </c>
      <c r="V6220">
        <v>-0.21701609999999999</v>
      </c>
      <c r="W6220">
        <v>-0.11518730000000001</v>
      </c>
      <c r="X6220">
        <v>0.96934819999999999</v>
      </c>
      <c r="Y6220">
        <v>-0.1693489</v>
      </c>
      <c r="Z6220">
        <v>2.4612720000000001E-2</v>
      </c>
      <c r="AA6220">
        <v>0.98524880000000004</v>
      </c>
      <c r="AB6220">
        <v>16</v>
      </c>
      <c r="AC6220">
        <v>14.533899999999999</v>
      </c>
      <c r="AD6220">
        <v>-1.1232933181560001</v>
      </c>
      <c r="AE6220">
        <v>-1.28904</v>
      </c>
      <c r="AF6220">
        <v>-2.4905114482049102</v>
      </c>
      <c r="AG6220">
        <v>-1.1232933181560001</v>
      </c>
      <c r="AH6220">
        <v>14.2895734487707</v>
      </c>
      <c r="AI6220">
        <v>94.428254941568696</v>
      </c>
      <c r="AJ6220">
        <v>99.886698311052598</v>
      </c>
      <c r="AK6220">
        <v>14.548413813885899</v>
      </c>
      <c r="AL6220">
        <v>96.614428225066504</v>
      </c>
      <c r="AM6220">
        <v>102.61920106776201</v>
      </c>
      <c r="AN6220">
        <v>1.0000000172918599</v>
      </c>
    </row>
    <row r="6221" spans="1:40" x14ac:dyDescent="0.25">
      <c r="A6221" t="str">
        <f>"20190303154647040"</f>
        <v>20190303154647040</v>
      </c>
      <c r="B6221" t="str">
        <f>"1551599207037924"</f>
        <v>1551599207037924</v>
      </c>
      <c r="C6221" t="s">
        <v>40</v>
      </c>
      <c r="D6221">
        <v>5.458971</v>
      </c>
      <c r="E6221">
        <v>0.49658150000000001</v>
      </c>
      <c r="F6221" t="s">
        <v>41</v>
      </c>
      <c r="G6221">
        <v>-272.24119999999999</v>
      </c>
      <c r="H6221" s="1">
        <v>-4.5836339999999998E-7</v>
      </c>
      <c r="I6221">
        <v>-61.924379999999999</v>
      </c>
      <c r="J6221">
        <v>-288.27620000000002</v>
      </c>
      <c r="K6221">
        <v>1.12331</v>
      </c>
      <c r="L6221">
        <v>-61.329560000000001</v>
      </c>
      <c r="M6221">
        <v>0.96817620000000004</v>
      </c>
      <c r="N6221">
        <v>-7.3663169999999998E-3</v>
      </c>
      <c r="O6221">
        <v>-0.25016129999999998</v>
      </c>
      <c r="P6221">
        <v>0.99183410000000005</v>
      </c>
      <c r="Q6221">
        <v>-0.121433</v>
      </c>
      <c r="R6221">
        <v>-3.897751E-2</v>
      </c>
      <c r="S6221">
        <v>2.9945680000000001</v>
      </c>
      <c r="T6221">
        <v>-0.2077</v>
      </c>
      <c r="U6221">
        <v>-0.11608889999999999</v>
      </c>
      <c r="V6221">
        <v>-0.20950540000000001</v>
      </c>
      <c r="W6221">
        <v>-0.1158922</v>
      </c>
      <c r="X6221">
        <v>0.97091530000000004</v>
      </c>
      <c r="Y6221">
        <v>-0.2114472</v>
      </c>
      <c r="Z6221">
        <v>2.3406840000000002E-2</v>
      </c>
      <c r="AA6221">
        <v>0.97710909999999995</v>
      </c>
      <c r="AB6221">
        <v>16</v>
      </c>
      <c r="AC6221">
        <v>16.035</v>
      </c>
      <c r="AD6221">
        <v>-1.1233104583633999</v>
      </c>
      <c r="AE6221">
        <v>-0.59482000000000501</v>
      </c>
      <c r="AF6221">
        <v>-3.4187842492740099</v>
      </c>
      <c r="AG6221">
        <v>-1.1233104583633999</v>
      </c>
      <c r="AH6221">
        <v>15.5974910995724</v>
      </c>
      <c r="AI6221">
        <v>94.024047999474703</v>
      </c>
      <c r="AJ6221">
        <v>102.363039418648</v>
      </c>
      <c r="AK6221">
        <v>16.007237136064202</v>
      </c>
      <c r="AL6221">
        <v>96.655088327258994</v>
      </c>
      <c r="AM6221">
        <v>102.176662579701</v>
      </c>
      <c r="AN6221">
        <v>1.00000001721204</v>
      </c>
    </row>
    <row r="6222" spans="1:40" x14ac:dyDescent="0.25">
      <c r="A6222" t="str">
        <f>"20190303154647063"</f>
        <v>20190303154647063</v>
      </c>
      <c r="B6222" t="str">
        <f>"1551599207058420"</f>
        <v>1551599207058420</v>
      </c>
      <c r="C6222" t="s">
        <v>40</v>
      </c>
      <c r="D6222">
        <v>5.4310530000000004</v>
      </c>
      <c r="E6222">
        <v>0.4963805</v>
      </c>
      <c r="F6222" t="s">
        <v>41</v>
      </c>
      <c r="G6222">
        <v>-271.19760000000002</v>
      </c>
      <c r="H6222" s="1">
        <v>-5.4956219999999999E-10</v>
      </c>
      <c r="I6222">
        <v>-61.878970000000002</v>
      </c>
      <c r="J6222">
        <v>-288.12189999999998</v>
      </c>
      <c r="K6222">
        <v>1.1233329999999999</v>
      </c>
      <c r="L6222">
        <v>-61.360019999999999</v>
      </c>
      <c r="M6222">
        <v>0.97009529999999999</v>
      </c>
      <c r="N6222">
        <v>-7.3582129999999997E-3</v>
      </c>
      <c r="O6222">
        <v>-0.2426131</v>
      </c>
      <c r="P6222">
        <v>0.99173889999999998</v>
      </c>
      <c r="Q6222">
        <v>-0.1223707</v>
      </c>
      <c r="R6222">
        <v>-3.8464890000000002E-2</v>
      </c>
      <c r="S6222">
        <v>2.9967959999999998</v>
      </c>
      <c r="T6222">
        <v>-0.19710810000000001</v>
      </c>
      <c r="U6222">
        <v>-9.6405030000000003E-2</v>
      </c>
      <c r="V6222">
        <v>-0.2024039</v>
      </c>
      <c r="W6222">
        <v>-0.1167865</v>
      </c>
      <c r="X6222">
        <v>0.97231350000000005</v>
      </c>
      <c r="Y6222">
        <v>-0.21039459999999999</v>
      </c>
      <c r="Z6222">
        <v>2.1686359999999998E-2</v>
      </c>
      <c r="AA6222">
        <v>0.97737600000000002</v>
      </c>
      <c r="AB6222">
        <v>16</v>
      </c>
      <c r="AC6222">
        <v>16.924299999999899</v>
      </c>
      <c r="AD6222">
        <v>-1.1233330005495601</v>
      </c>
      <c r="AE6222">
        <v>-0.51894999999999603</v>
      </c>
      <c r="AF6222">
        <v>-3.5869357775014699</v>
      </c>
      <c r="AG6222">
        <v>-1.1233330005495601</v>
      </c>
      <c r="AH6222">
        <v>16.472035149374602</v>
      </c>
      <c r="AI6222">
        <v>93.812256455415806</v>
      </c>
      <c r="AJ6222">
        <v>102.284895133435</v>
      </c>
      <c r="AK6222">
        <v>16.895441020117701</v>
      </c>
      <c r="AL6222">
        <v>96.706678489203398</v>
      </c>
      <c r="AM6222">
        <v>101.75917268921</v>
      </c>
      <c r="AN6222">
        <v>0.999999983799854</v>
      </c>
    </row>
    <row r="6223" spans="1:40" x14ac:dyDescent="0.25">
      <c r="A6223" t="str">
        <f>"20190303154647084"</f>
        <v>20190303154647084</v>
      </c>
      <c r="B6223" t="str">
        <f>"1551599207077941"</f>
        <v>1551599207077941</v>
      </c>
      <c r="C6223" t="s">
        <v>40</v>
      </c>
      <c r="D6223">
        <v>5.3607459999999998</v>
      </c>
      <c r="E6223">
        <v>0.4957705</v>
      </c>
      <c r="F6223" t="s">
        <v>41</v>
      </c>
      <c r="G6223">
        <v>-270.84440000000001</v>
      </c>
      <c r="H6223" s="1">
        <v>1.4698869999999999E-7</v>
      </c>
      <c r="I6223">
        <v>-61.896900000000002</v>
      </c>
      <c r="J6223">
        <v>-287.97539999999998</v>
      </c>
      <c r="K6223">
        <v>1.1233500000000001</v>
      </c>
      <c r="L6223">
        <v>-61.387819999999998</v>
      </c>
      <c r="M6223">
        <v>0.97185010000000005</v>
      </c>
      <c r="N6223">
        <v>-7.3530509999999898E-3</v>
      </c>
      <c r="O6223">
        <v>-0.2354851</v>
      </c>
      <c r="P6223">
        <v>0.99170270000000005</v>
      </c>
      <c r="Q6223">
        <v>-0.12284</v>
      </c>
      <c r="R6223">
        <v>-3.7893080000000003E-2</v>
      </c>
      <c r="S6223">
        <v>2.9973450000000001</v>
      </c>
      <c r="T6223">
        <v>-0.1948782</v>
      </c>
      <c r="U6223">
        <v>-9.3139650000000004E-2</v>
      </c>
      <c r="V6223">
        <v>-0.19580439999999999</v>
      </c>
      <c r="W6223">
        <v>-0.1172108</v>
      </c>
      <c r="X6223">
        <v>0.97361299999999995</v>
      </c>
      <c r="Y6223">
        <v>-0.20433119999999999</v>
      </c>
      <c r="Z6223">
        <v>2.0810349999999998E-2</v>
      </c>
      <c r="AA6223">
        <v>0.97868060000000001</v>
      </c>
      <c r="AB6223">
        <v>16</v>
      </c>
      <c r="AC6223">
        <v>17.130999999999901</v>
      </c>
      <c r="AD6223">
        <v>-1.1233498530113</v>
      </c>
      <c r="AE6223">
        <v>-0.50908000000000397</v>
      </c>
      <c r="AF6223">
        <v>-3.52430064374107</v>
      </c>
      <c r="AG6223">
        <v>-1.1233498530113</v>
      </c>
      <c r="AH6223">
        <v>16.697364168134602</v>
      </c>
      <c r="AI6223">
        <v>93.766161717530096</v>
      </c>
      <c r="AJ6223">
        <v>101.918444070544</v>
      </c>
      <c r="AK6223">
        <v>17.102180565151301</v>
      </c>
      <c r="AL6223">
        <v>96.731157068900302</v>
      </c>
      <c r="AM6223">
        <v>101.371133253313</v>
      </c>
      <c r="AN6223">
        <v>1.0000000042324999</v>
      </c>
    </row>
    <row r="6224" spans="1:40" x14ac:dyDescent="0.25">
      <c r="A6224" t="str">
        <f>"20190303154647105"</f>
        <v>20190303154647105</v>
      </c>
      <c r="B6224" t="str">
        <f>"1551599207097461"</f>
        <v>1551599207097461</v>
      </c>
      <c r="C6224" t="s">
        <v>40</v>
      </c>
      <c r="D6224">
        <v>5.4260149999999996</v>
      </c>
      <c r="E6224">
        <v>0.4955021</v>
      </c>
      <c r="F6224" t="s">
        <v>41</v>
      </c>
      <c r="G6224">
        <v>-270.85610000000003</v>
      </c>
      <c r="H6224" s="1">
        <v>1.454368E-7</v>
      </c>
      <c r="I6224">
        <v>-61.881250000000001</v>
      </c>
      <c r="J6224">
        <v>-287.82929999999999</v>
      </c>
      <c r="K6224">
        <v>1.1233709999999999</v>
      </c>
      <c r="L6224">
        <v>-61.414520000000003</v>
      </c>
      <c r="M6224">
        <v>0.97353789999999996</v>
      </c>
      <c r="N6224">
        <v>-7.349955E-3</v>
      </c>
      <c r="O6224">
        <v>-0.22840750000000001</v>
      </c>
      <c r="P6224">
        <v>0.99179569999999995</v>
      </c>
      <c r="Q6224">
        <v>-0.1221737</v>
      </c>
      <c r="R6224">
        <v>-3.7617079999999997E-2</v>
      </c>
      <c r="S6224">
        <v>2.9974370000000001</v>
      </c>
      <c r="T6224">
        <v>-0.19668820000000001</v>
      </c>
      <c r="U6224">
        <v>-8.6395260000000001E-2</v>
      </c>
      <c r="V6224">
        <v>-0.1890107</v>
      </c>
      <c r="W6224">
        <v>-0.11649420000000001</v>
      </c>
      <c r="X6224">
        <v>0.97504060000000004</v>
      </c>
      <c r="Y6224">
        <v>-0.19941449999999999</v>
      </c>
      <c r="Z6224">
        <v>2.043468E-2</v>
      </c>
      <c r="AA6224">
        <v>0.97970210000000002</v>
      </c>
      <c r="AB6224">
        <v>16</v>
      </c>
      <c r="AC6224">
        <v>16.973199999999899</v>
      </c>
      <c r="AD6224">
        <v>-1.1233708545632</v>
      </c>
      <c r="AE6224">
        <v>-0.46673000000000497</v>
      </c>
      <c r="AF6224">
        <v>-3.40760363179559</v>
      </c>
      <c r="AG6224">
        <v>-1.1233708545632</v>
      </c>
      <c r="AH6224">
        <v>16.558627468486002</v>
      </c>
      <c r="AI6224">
        <v>93.801690415210402</v>
      </c>
      <c r="AJ6224">
        <v>101.62856987582499</v>
      </c>
      <c r="AK6224">
        <v>16.9429002307281</v>
      </c>
      <c r="AL6224">
        <v>96.689815336420693</v>
      </c>
      <c r="AM6224">
        <v>100.970666737767</v>
      </c>
      <c r="AN6224">
        <v>1.0000000574982399</v>
      </c>
    </row>
    <row r="6225" spans="1:40" x14ac:dyDescent="0.25">
      <c r="A6225" t="str">
        <f>"20190303154647129"</f>
        <v>20190303154647129</v>
      </c>
      <c r="B6225" t="str">
        <f>"1551599207117957"</f>
        <v>1551599207117957</v>
      </c>
      <c r="C6225" t="s">
        <v>40</v>
      </c>
      <c r="D6225">
        <v>5.4212980000000002</v>
      </c>
      <c r="E6225">
        <v>0.49534270000000002</v>
      </c>
      <c r="F6225" t="s">
        <v>41</v>
      </c>
      <c r="G6225">
        <v>-270.49740000000003</v>
      </c>
      <c r="H6225" s="1">
        <v>2.958709E-7</v>
      </c>
      <c r="I6225">
        <v>-61.896749999999997</v>
      </c>
      <c r="J6225">
        <v>-287.66390000000001</v>
      </c>
      <c r="K6225">
        <v>1.123394</v>
      </c>
      <c r="L6225">
        <v>-61.443480000000001</v>
      </c>
      <c r="M6225">
        <v>0.97537090000000004</v>
      </c>
      <c r="N6225">
        <v>-7.3479080000000002E-3</v>
      </c>
      <c r="O6225">
        <v>-0.2204488</v>
      </c>
      <c r="P6225">
        <v>0.99198629999999999</v>
      </c>
      <c r="Q6225">
        <v>-0.12112439999999999</v>
      </c>
      <c r="R6225">
        <v>-3.5944869999999997E-2</v>
      </c>
      <c r="S6225">
        <v>2.9976500000000001</v>
      </c>
      <c r="T6225">
        <v>-0.19429399999999999</v>
      </c>
      <c r="U6225">
        <v>-8.3404539999999999E-2</v>
      </c>
      <c r="V6225">
        <v>-0.18272350000000001</v>
      </c>
      <c r="W6225">
        <v>-0.1153975</v>
      </c>
      <c r="X6225">
        <v>0.97636849999999997</v>
      </c>
      <c r="Y6225">
        <v>-0.1924361</v>
      </c>
      <c r="Z6225">
        <v>1.947817E-2</v>
      </c>
      <c r="AA6225">
        <v>0.98111619999999999</v>
      </c>
      <c r="AB6225">
        <v>16</v>
      </c>
      <c r="AC6225">
        <v>17.1664999999999</v>
      </c>
      <c r="AD6225">
        <v>-1.1233937041291</v>
      </c>
      <c r="AE6225">
        <v>-0.45326999999998902</v>
      </c>
      <c r="AF6225">
        <v>-3.3280754364410199</v>
      </c>
      <c r="AG6225">
        <v>-1.1233937041291</v>
      </c>
      <c r="AH6225">
        <v>16.7723037648055</v>
      </c>
      <c r="AI6225">
        <v>93.758828075291902</v>
      </c>
      <c r="AJ6225">
        <v>101.223238291255</v>
      </c>
      <c r="AK6225">
        <v>17.136168565464899</v>
      </c>
      <c r="AL6225">
        <v>96.626553068719502</v>
      </c>
      <c r="AM6225">
        <v>100.600062468638</v>
      </c>
      <c r="AN6225">
        <v>0.99999995412537301</v>
      </c>
    </row>
    <row r="6226" spans="1:40" x14ac:dyDescent="0.25">
      <c r="A6226" t="str">
        <f>"20190303154647150"</f>
        <v>20190303154647150</v>
      </c>
      <c r="B6226" t="str">
        <f>"1551599207147744"</f>
        <v>1551599207147744</v>
      </c>
      <c r="C6226" t="s">
        <v>40</v>
      </c>
      <c r="D6226">
        <v>5.3926299999999996</v>
      </c>
      <c r="E6226">
        <v>0.49481849999999999</v>
      </c>
      <c r="F6226" t="s">
        <v>41</v>
      </c>
      <c r="G6226">
        <v>-270.11689999999999</v>
      </c>
      <c r="H6226" s="1">
        <v>4.599492E-7</v>
      </c>
      <c r="I6226">
        <v>-61.893059999999998</v>
      </c>
      <c r="J6226">
        <v>-287.51100000000002</v>
      </c>
      <c r="K6226">
        <v>1.1234040000000001</v>
      </c>
      <c r="L6226">
        <v>-61.469119999999997</v>
      </c>
      <c r="M6226">
        <v>0.97699360000000002</v>
      </c>
      <c r="N6226">
        <v>-7.3468479999999996E-3</v>
      </c>
      <c r="O6226">
        <v>-0.21314240000000001</v>
      </c>
      <c r="P6226">
        <v>0.99212869999999997</v>
      </c>
      <c r="Q6226">
        <v>-0.1203149</v>
      </c>
      <c r="R6226">
        <v>-3.4713809999999998E-2</v>
      </c>
      <c r="S6226">
        <v>2.9980159999999998</v>
      </c>
      <c r="T6226">
        <v>-0.19193789999999999</v>
      </c>
      <c r="U6226">
        <v>-7.6812740000000004E-2</v>
      </c>
      <c r="V6226">
        <v>-0.17665320000000001</v>
      </c>
      <c r="W6226">
        <v>-0.114538</v>
      </c>
      <c r="X6226">
        <v>0.97758619999999996</v>
      </c>
      <c r="Y6226">
        <v>-0.18729170000000001</v>
      </c>
      <c r="Z6226">
        <v>1.8643690000000001E-2</v>
      </c>
      <c r="AA6226">
        <v>0.98212739999999998</v>
      </c>
      <c r="AB6226">
        <v>16</v>
      </c>
      <c r="AC6226">
        <v>17.394099999999899</v>
      </c>
      <c r="AD6226">
        <v>-1.1234035400508</v>
      </c>
      <c r="AE6226">
        <v>-0.42394000000000098</v>
      </c>
      <c r="AF6226">
        <v>-3.2796500186722901</v>
      </c>
      <c r="AG6226">
        <v>-1.1234035400508</v>
      </c>
      <c r="AH6226">
        <v>17.013816763398498</v>
      </c>
      <c r="AI6226">
        <v>93.709597524470894</v>
      </c>
      <c r="AJ6226">
        <v>100.910732621756</v>
      </c>
      <c r="AK6226">
        <v>17.3634127007705</v>
      </c>
      <c r="AL6226">
        <v>96.576978041721304</v>
      </c>
      <c r="AM6226">
        <v>100.24300880995</v>
      </c>
      <c r="AN6226">
        <v>1.0000000424723301</v>
      </c>
    </row>
    <row r="6227" spans="1:40" x14ac:dyDescent="0.25">
      <c r="A6227" t="str">
        <f>"20190303154647173"</f>
        <v>20190303154647173</v>
      </c>
      <c r="B6227" t="str">
        <f>"1551599207168240"</f>
        <v>1551599207168240</v>
      </c>
      <c r="C6227" t="s">
        <v>40</v>
      </c>
      <c r="D6227">
        <v>5.4089419999999997</v>
      </c>
      <c r="E6227">
        <v>0.49451889999999998</v>
      </c>
      <c r="F6227" t="s">
        <v>41</v>
      </c>
      <c r="G6227">
        <v>-269.75659999999999</v>
      </c>
      <c r="H6227" s="1">
        <v>-3.4734769999999999E-6</v>
      </c>
      <c r="I6227">
        <v>-61.876539999999999</v>
      </c>
      <c r="J6227">
        <v>-287.34879999999998</v>
      </c>
      <c r="K6227">
        <v>1.123405</v>
      </c>
      <c r="L6227">
        <v>-61.495119999999901</v>
      </c>
      <c r="M6227">
        <v>0.97863610000000001</v>
      </c>
      <c r="N6227">
        <v>-7.3452730000000003E-3</v>
      </c>
      <c r="O6227">
        <v>-0.2054685</v>
      </c>
      <c r="P6227">
        <v>0.99221590000000004</v>
      </c>
      <c r="Q6227">
        <v>-0.1200894</v>
      </c>
      <c r="R6227">
        <v>-3.2957149999999998E-2</v>
      </c>
      <c r="S6227">
        <v>2.998383</v>
      </c>
      <c r="T6227">
        <v>-0.1897219</v>
      </c>
      <c r="U6227">
        <v>-6.8817139999999999E-2</v>
      </c>
      <c r="V6227">
        <v>-0.1707214</v>
      </c>
      <c r="W6227">
        <v>-0.11425979999999999</v>
      </c>
      <c r="X6227">
        <v>0.97867199999999999</v>
      </c>
      <c r="Y6227">
        <v>-0.1822424</v>
      </c>
      <c r="Z6227">
        <v>1.7821130000000001E-2</v>
      </c>
      <c r="AA6227">
        <v>0.98309210000000002</v>
      </c>
      <c r="AB6227">
        <v>16</v>
      </c>
      <c r="AC6227">
        <v>17.592199999999899</v>
      </c>
      <c r="AD6227">
        <v>-1.123408473477</v>
      </c>
      <c r="AE6227">
        <v>-0.38142000000001203</v>
      </c>
      <c r="AF6227">
        <v>-3.228300756441</v>
      </c>
      <c r="AG6227">
        <v>-1.123408473477</v>
      </c>
      <c r="AH6227">
        <v>17.2249909095794</v>
      </c>
      <c r="AI6227">
        <v>93.667844165608798</v>
      </c>
      <c r="AJ6227">
        <v>100.615204599103</v>
      </c>
      <c r="AK6227">
        <v>17.560873674376602</v>
      </c>
      <c r="AL6227">
        <v>96.560933358770498</v>
      </c>
      <c r="AM6227">
        <v>99.895215804437996</v>
      </c>
      <c r="AN6227">
        <v>0.99999999094899905</v>
      </c>
    </row>
    <row r="6228" spans="1:40" x14ac:dyDescent="0.25">
      <c r="A6228" t="str">
        <f>"20190303154647195"</f>
        <v>20190303154647195</v>
      </c>
      <c r="B6228" t="str">
        <f>"1551599207187760"</f>
        <v>1551599207187760</v>
      </c>
      <c r="C6228" t="s">
        <v>40</v>
      </c>
      <c r="D6228">
        <v>5.4137490000000001</v>
      </c>
      <c r="E6228">
        <v>0.49412220000000001</v>
      </c>
      <c r="F6228" t="s">
        <v>41</v>
      </c>
      <c r="G6228">
        <v>-269.54770000000002</v>
      </c>
      <c r="H6228" s="1">
        <v>-3.3990910000000002E-6</v>
      </c>
      <c r="I6228">
        <v>-61.857930000000003</v>
      </c>
      <c r="J6228">
        <v>-287.19369999999998</v>
      </c>
      <c r="K6228">
        <v>1.1233949999999999</v>
      </c>
      <c r="L6228">
        <v>-61.518889999999999</v>
      </c>
      <c r="M6228">
        <v>0.9801301</v>
      </c>
      <c r="N6228">
        <v>-7.3428950000000003E-3</v>
      </c>
      <c r="O6228">
        <v>-0.1982199</v>
      </c>
      <c r="P6228">
        <v>0.99238599999999999</v>
      </c>
      <c r="Q6228">
        <v>-0.1196084</v>
      </c>
      <c r="R6228">
        <v>-2.939137E-2</v>
      </c>
      <c r="S6228">
        <v>2.998596</v>
      </c>
      <c r="T6228">
        <v>-0.18923809999999999</v>
      </c>
      <c r="U6228">
        <v>-6.1126710000000001E-2</v>
      </c>
      <c r="V6228">
        <v>-0.16701540000000001</v>
      </c>
      <c r="W6228">
        <v>-0.1137413</v>
      </c>
      <c r="X6228">
        <v>0.97937160000000001</v>
      </c>
      <c r="Y6228">
        <v>-0.1775108</v>
      </c>
      <c r="Z6228">
        <v>1.7212249999999998E-2</v>
      </c>
      <c r="AA6228">
        <v>0.98396830000000002</v>
      </c>
      <c r="AB6228">
        <v>16</v>
      </c>
      <c r="AC6228">
        <v>17.645999999999901</v>
      </c>
      <c r="AD6228">
        <v>-1.1233983990909999</v>
      </c>
      <c r="AE6228">
        <v>-0.339040000000004</v>
      </c>
      <c r="AF6228">
        <v>-3.15279676937124</v>
      </c>
      <c r="AG6228">
        <v>-1.1233983990909999</v>
      </c>
      <c r="AH6228">
        <v>17.2929854424772</v>
      </c>
      <c r="AI6228">
        <v>93.656754169883698</v>
      </c>
      <c r="AJ6228">
        <v>100.332482528528</v>
      </c>
      <c r="AK6228">
        <v>17.613900673779401</v>
      </c>
      <c r="AL6228">
        <v>96.531030628908894</v>
      </c>
      <c r="AM6228">
        <v>99.677736246904004</v>
      </c>
      <c r="AN6228">
        <v>0.99999997902470406</v>
      </c>
    </row>
    <row r="6229" spans="1:40" x14ac:dyDescent="0.25">
      <c r="A6229" t="str">
        <f>"20190303154647218"</f>
        <v>20190303154647218</v>
      </c>
      <c r="B6229" t="str">
        <f>"1551599207208256"</f>
        <v>1551599207208256</v>
      </c>
      <c r="C6229" t="s">
        <v>40</v>
      </c>
      <c r="D6229">
        <v>5.3799229999999998</v>
      </c>
      <c r="E6229">
        <v>0.4938727</v>
      </c>
      <c r="F6229" t="s">
        <v>41</v>
      </c>
      <c r="G6229">
        <v>-269.37830000000002</v>
      </c>
      <c r="H6229" s="1">
        <v>-3.3311440000000001E-6</v>
      </c>
      <c r="I6229">
        <v>-61.800020000000004</v>
      </c>
      <c r="J6229">
        <v>-287.03480000000002</v>
      </c>
      <c r="K6229">
        <v>1.1233709999999999</v>
      </c>
      <c r="L6229">
        <v>-61.542140000000003</v>
      </c>
      <c r="M6229">
        <v>0.98158069999999997</v>
      </c>
      <c r="N6229">
        <v>-7.3390039999999997E-3</v>
      </c>
      <c r="O6229">
        <v>-0.19090699999999999</v>
      </c>
      <c r="P6229">
        <v>0.99266169999999998</v>
      </c>
      <c r="Q6229">
        <v>-0.11841889999999899</v>
      </c>
      <c r="R6229">
        <v>-2.4492940000000001E-2</v>
      </c>
      <c r="S6229">
        <v>2.9987789999999999</v>
      </c>
      <c r="T6229">
        <v>-0.1890956</v>
      </c>
      <c r="U6229">
        <v>-4.7332760000000001E-2</v>
      </c>
      <c r="V6229">
        <v>-0.1645942</v>
      </c>
      <c r="W6229">
        <v>-0.1125202</v>
      </c>
      <c r="X6229">
        <v>0.97992239999999997</v>
      </c>
      <c r="Y6229">
        <v>-0.1747176</v>
      </c>
      <c r="Z6229">
        <v>1.6702959999999999E-2</v>
      </c>
      <c r="AA6229">
        <v>0.98447689999999999</v>
      </c>
      <c r="AB6229">
        <v>16</v>
      </c>
      <c r="AC6229">
        <v>17.656499999999902</v>
      </c>
      <c r="AD6229">
        <v>-1.1233743311440001</v>
      </c>
      <c r="AE6229">
        <v>-0.257879999999993</v>
      </c>
      <c r="AF6229">
        <v>-3.10513646479931</v>
      </c>
      <c r="AG6229">
        <v>-1.1233743311440001</v>
      </c>
      <c r="AH6229">
        <v>17.3109191525688</v>
      </c>
      <c r="AI6229">
        <v>93.654775459459998</v>
      </c>
      <c r="AJ6229">
        <v>100.169252940905</v>
      </c>
      <c r="AK6229">
        <v>17.623046395549</v>
      </c>
      <c r="AL6229">
        <v>96.460614690119598</v>
      </c>
      <c r="AM6229">
        <v>99.534772676777706</v>
      </c>
      <c r="AN6229">
        <v>0.99999997805171903</v>
      </c>
    </row>
    <row r="6230" spans="1:40" x14ac:dyDescent="0.25">
      <c r="A6230" t="str">
        <f>"20190303154647243"</f>
        <v>20190303154647243</v>
      </c>
      <c r="B6230" t="str">
        <f>"1551599207237537"</f>
        <v>1551599207237537</v>
      </c>
      <c r="C6230" t="s">
        <v>40</v>
      </c>
      <c r="D6230">
        <v>5.3758549999999996</v>
      </c>
      <c r="E6230">
        <v>0.49345410000000001</v>
      </c>
      <c r="F6230" t="s">
        <v>41</v>
      </c>
      <c r="G6230">
        <v>-269.1234</v>
      </c>
      <c r="H6230" s="1">
        <v>-3.2310359999999998E-6</v>
      </c>
      <c r="I6230">
        <v>-61.724530000000001</v>
      </c>
      <c r="J6230">
        <v>-286.8596</v>
      </c>
      <c r="K6230">
        <v>1.123327</v>
      </c>
      <c r="L6230">
        <v>-61.566589999999998</v>
      </c>
      <c r="M6230">
        <v>0.98308490000000004</v>
      </c>
      <c r="N6230">
        <v>-7.3326519999999899E-3</v>
      </c>
      <c r="O6230">
        <v>-0.1830041</v>
      </c>
      <c r="P6230">
        <v>0.99304930000000002</v>
      </c>
      <c r="Q6230">
        <v>-0.11632099999999999</v>
      </c>
      <c r="R6230">
        <v>-1.7968560000000001E-2</v>
      </c>
      <c r="S6230">
        <v>2.998993</v>
      </c>
      <c r="T6230">
        <v>-0.1880928</v>
      </c>
      <c r="U6230">
        <v>-3.0548100000000002E-2</v>
      </c>
      <c r="V6230">
        <v>-0.16322809999999999</v>
      </c>
      <c r="W6230">
        <v>-0.110393699999999</v>
      </c>
      <c r="X6230">
        <v>0.98039270000000001</v>
      </c>
      <c r="Y6230">
        <v>-0.17233099999999901</v>
      </c>
      <c r="Z6230">
        <v>1.6099200000000001E-2</v>
      </c>
      <c r="AA6230">
        <v>0.98490750000000005</v>
      </c>
      <c r="AB6230">
        <v>16</v>
      </c>
      <c r="AC6230">
        <v>17.736199999999901</v>
      </c>
      <c r="AD6230">
        <v>-1.123330231036</v>
      </c>
      <c r="AE6230">
        <v>-0.157939999999996</v>
      </c>
      <c r="AF6230">
        <v>-3.0782645780376399</v>
      </c>
      <c r="AG6230">
        <v>-1.123330231036</v>
      </c>
      <c r="AH6230">
        <v>17.3957864029496</v>
      </c>
      <c r="AI6230">
        <v>93.638366761780404</v>
      </c>
      <c r="AJ6230">
        <v>100.03487235466901</v>
      </c>
      <c r="AK6230">
        <v>17.701722181680701</v>
      </c>
      <c r="AL6230">
        <v>96.338011050281395</v>
      </c>
      <c r="AM6230">
        <v>99.452616511383795</v>
      </c>
      <c r="AN6230">
        <v>1.0000000139212899</v>
      </c>
    </row>
    <row r="6231" spans="1:40" x14ac:dyDescent="0.25">
      <c r="A6231" t="str">
        <f>"20190303154647263"</f>
        <v>20190303154647263</v>
      </c>
      <c r="B6231" t="str">
        <f>"1551599207258032"</f>
        <v>1551599207258032</v>
      </c>
      <c r="C6231" t="s">
        <v>40</v>
      </c>
      <c r="D6231">
        <v>5.4505549999999996</v>
      </c>
      <c r="E6231">
        <v>0.49319930000000001</v>
      </c>
      <c r="F6231" t="s">
        <v>41</v>
      </c>
      <c r="G6231">
        <v>-268.69189999999998</v>
      </c>
      <c r="H6231" s="1">
        <v>-3.0609819999999999E-6</v>
      </c>
      <c r="I6231">
        <v>-61.612369999999999</v>
      </c>
      <c r="J6231">
        <v>-286.70209999999997</v>
      </c>
      <c r="K6231">
        <v>1.1232759999999999</v>
      </c>
      <c r="L6231">
        <v>-61.587490000000003</v>
      </c>
      <c r="M6231">
        <v>0.98435099999999998</v>
      </c>
      <c r="N6231">
        <v>-7.3254380000000001E-3</v>
      </c>
      <c r="O6231">
        <v>-0.17606649999999999</v>
      </c>
      <c r="P6231">
        <v>0.99331780000000003</v>
      </c>
      <c r="Q6231">
        <v>-0.11489580000000001</v>
      </c>
      <c r="R6231">
        <v>-1.089126E-2</v>
      </c>
      <c r="S6231">
        <v>2.9991460000000001</v>
      </c>
      <c r="T6231">
        <v>-0.18544040000000001</v>
      </c>
      <c r="U6231">
        <v>-7.5683590000000002E-3</v>
      </c>
      <c r="V6231">
        <v>-0.16335620000000001</v>
      </c>
      <c r="W6231">
        <v>-0.1089519</v>
      </c>
      <c r="X6231">
        <v>0.98053259999999998</v>
      </c>
      <c r="Y6231">
        <v>-0.1729589</v>
      </c>
      <c r="Z6231">
        <v>1.551488E-2</v>
      </c>
      <c r="AA6231">
        <v>0.98480679999999998</v>
      </c>
      <c r="AB6231">
        <v>17</v>
      </c>
      <c r="AC6231">
        <v>18.010199999999902</v>
      </c>
      <c r="AD6231">
        <v>-1.123279060982</v>
      </c>
      <c r="AE6231">
        <v>-2.4879999999995999E-2</v>
      </c>
      <c r="AF6231">
        <v>-3.1343942548563901</v>
      </c>
      <c r="AG6231">
        <v>-1.123279060982</v>
      </c>
      <c r="AH6231">
        <v>17.664502039164301</v>
      </c>
      <c r="AI6231">
        <v>93.582703595290795</v>
      </c>
      <c r="AJ6231">
        <v>100.061852337571</v>
      </c>
      <c r="AK6231">
        <v>17.975561618079102</v>
      </c>
      <c r="AL6231">
        <v>96.254900908295298</v>
      </c>
      <c r="AM6231">
        <v>99.458575485606502</v>
      </c>
      <c r="AN6231">
        <v>0.99999997212740399</v>
      </c>
    </row>
    <row r="6232" spans="1:40" x14ac:dyDescent="0.25">
      <c r="A6232" t="str">
        <f>"20190303154647285"</f>
        <v>20190303154647285</v>
      </c>
      <c r="B6232" t="str">
        <f>"1551599207278528"</f>
        <v>1551599207278528</v>
      </c>
      <c r="C6232" t="s">
        <v>40</v>
      </c>
      <c r="D6232">
        <v>5.3817370000000002</v>
      </c>
      <c r="E6232">
        <v>0.49306410000000001</v>
      </c>
      <c r="F6232" t="s">
        <v>41</v>
      </c>
      <c r="G6232">
        <v>-268.43959999999998</v>
      </c>
      <c r="H6232" s="1">
        <v>-2.9207170000000001E-6</v>
      </c>
      <c r="I6232">
        <v>-61.491909999999997</v>
      </c>
      <c r="J6232">
        <v>-286.54320000000001</v>
      </c>
      <c r="K6232">
        <v>1.123229</v>
      </c>
      <c r="L6232">
        <v>-61.607599999999998</v>
      </c>
      <c r="M6232">
        <v>0.98555329999999997</v>
      </c>
      <c r="N6232">
        <v>-7.3186140000000002E-3</v>
      </c>
      <c r="O6232">
        <v>-0.16920739999999901</v>
      </c>
      <c r="P6232">
        <v>0.993502</v>
      </c>
      <c r="Q6232">
        <v>-0.1135982</v>
      </c>
      <c r="R6232">
        <v>-7.008345E-3</v>
      </c>
      <c r="S6232">
        <v>2.9990230000000002</v>
      </c>
      <c r="T6232">
        <v>-0.18446290000000001</v>
      </c>
      <c r="U6232">
        <v>1.5686039999999998E-2</v>
      </c>
      <c r="V6232">
        <v>-0.16041140000000001</v>
      </c>
      <c r="W6232">
        <v>-0.1076134</v>
      </c>
      <c r="X6232">
        <v>0.98116639999999999</v>
      </c>
      <c r="Y6232">
        <v>-0.1737513</v>
      </c>
      <c r="Z6232">
        <v>1.509425E-2</v>
      </c>
      <c r="AA6232">
        <v>0.98467389999999999</v>
      </c>
      <c r="AB6232">
        <v>17</v>
      </c>
      <c r="AC6232">
        <v>18.1036</v>
      </c>
      <c r="AD6232">
        <v>-1.1232319207170001</v>
      </c>
      <c r="AE6232">
        <v>0.11569</v>
      </c>
      <c r="AF6232">
        <v>-3.1651828164889499</v>
      </c>
      <c r="AG6232">
        <v>-1.1232319207170001</v>
      </c>
      <c r="AH6232">
        <v>17.7546199701228</v>
      </c>
      <c r="AI6232">
        <v>93.5639056755182</v>
      </c>
      <c r="AJ6232">
        <v>100.108142561497</v>
      </c>
      <c r="AK6232">
        <v>18.069492590911299</v>
      </c>
      <c r="AL6232">
        <v>96.177756837705005</v>
      </c>
      <c r="AM6232">
        <v>99.285169822639602</v>
      </c>
      <c r="AN6232">
        <v>0.99999998279923896</v>
      </c>
    </row>
    <row r="6233" spans="1:40" x14ac:dyDescent="0.25">
      <c r="A6233" t="str">
        <f>"20190303154647295"</f>
        <v>20190303154647295</v>
      </c>
      <c r="B6233" t="str">
        <f>"1551599207288288"</f>
        <v>1551599207288288</v>
      </c>
      <c r="C6233" t="s">
        <v>40</v>
      </c>
      <c r="D6233">
        <v>5.3871830000000003</v>
      </c>
      <c r="E6233">
        <v>0.49307709999999999</v>
      </c>
      <c r="F6233" t="s">
        <v>70</v>
      </c>
      <c r="G6233">
        <v>-268.1841</v>
      </c>
      <c r="H6233" s="1">
        <v>-2.7955289999999999E-6</v>
      </c>
      <c r="I6233">
        <v>-61.433410000000002</v>
      </c>
      <c r="J6233">
        <v>-286.46609999999998</v>
      </c>
      <c r="K6233">
        <v>1.123205</v>
      </c>
      <c r="L6233">
        <v>-61.61703</v>
      </c>
      <c r="M6233">
        <v>0.9861103</v>
      </c>
      <c r="N6233">
        <v>-7.3154669999999896E-3</v>
      </c>
      <c r="O6233">
        <v>-0.16593150000000001</v>
      </c>
      <c r="P6233">
        <v>0.99356999999999995</v>
      </c>
      <c r="Q6233">
        <v>-0.1130835</v>
      </c>
      <c r="R6233">
        <v>-5.581903E-3</v>
      </c>
      <c r="S6233">
        <v>2.9988100000000002</v>
      </c>
      <c r="T6233">
        <v>-0.18347079999999999</v>
      </c>
      <c r="U6233">
        <v>2.844238E-2</v>
      </c>
      <c r="V6233">
        <v>-0.15858079999999999</v>
      </c>
      <c r="W6233">
        <v>-0.1070764</v>
      </c>
      <c r="X6233">
        <v>0.98152269999999997</v>
      </c>
      <c r="Y6233">
        <v>-0.1746771</v>
      </c>
      <c r="Z6233">
        <v>1.486987E-2</v>
      </c>
      <c r="AA6233">
        <v>0.98451350000000004</v>
      </c>
      <c r="AB6233">
        <v>17</v>
      </c>
      <c r="AC6233">
        <v>18.281999999999901</v>
      </c>
      <c r="AD6233">
        <v>-1.1232077955290001</v>
      </c>
      <c r="AE6233">
        <v>0.183620000000011</v>
      </c>
      <c r="AF6233">
        <v>-3.2026273207273501</v>
      </c>
      <c r="AG6233">
        <v>-1.1232077955290001</v>
      </c>
      <c r="AH6233">
        <v>17.930405466030901</v>
      </c>
      <c r="AI6233">
        <v>93.528771793304102</v>
      </c>
      <c r="AJ6233">
        <v>100.12705363000001</v>
      </c>
      <c r="AK6233">
        <v>18.248776881853701</v>
      </c>
      <c r="AL6233">
        <v>96.1468099708121</v>
      </c>
      <c r="AM6233">
        <v>99.177746930554605</v>
      </c>
      <c r="AN6233">
        <v>1.00000001809044</v>
      </c>
    </row>
    <row r="6234" spans="1:40" x14ac:dyDescent="0.25">
      <c r="A6234" t="str">
        <f>"20190303154647306"</f>
        <v>20190303154647306</v>
      </c>
      <c r="B6234" t="str">
        <f>"1551599207298049"</f>
        <v>1551599207298049</v>
      </c>
      <c r="C6234" t="s">
        <v>40</v>
      </c>
      <c r="D6234">
        <v>5.3598420000000004</v>
      </c>
      <c r="E6234">
        <v>0.49308619999999997</v>
      </c>
      <c r="F6234" t="s">
        <v>41</v>
      </c>
      <c r="G6234">
        <v>-268.04020000000003</v>
      </c>
      <c r="H6234" s="1">
        <v>-2.7293470000000001E-6</v>
      </c>
      <c r="I6234">
        <v>-61.416710000000002</v>
      </c>
      <c r="J6234">
        <v>-286.38479999999998</v>
      </c>
      <c r="K6234">
        <v>1.1231789999999999</v>
      </c>
      <c r="L6234">
        <v>-61.626739999999998</v>
      </c>
      <c r="M6234">
        <v>0.98667879999999997</v>
      </c>
      <c r="N6234">
        <v>-7.3121940000000002E-3</v>
      </c>
      <c r="O6234">
        <v>-0.16251599999999999</v>
      </c>
      <c r="P6234">
        <v>0.99358360000000001</v>
      </c>
      <c r="Q6234">
        <v>-0.1130216</v>
      </c>
      <c r="R6234">
        <v>-4.2529689999999997E-3</v>
      </c>
      <c r="S6234">
        <v>2.9987789999999999</v>
      </c>
      <c r="T6234">
        <v>-0.18279970000000001</v>
      </c>
      <c r="U6234">
        <v>3.259277E-2</v>
      </c>
      <c r="V6234">
        <v>-0.15650430000000001</v>
      </c>
      <c r="W6234">
        <v>-0.1069903</v>
      </c>
      <c r="X6234">
        <v>0.98186530000000005</v>
      </c>
      <c r="Y6234">
        <v>-0.17264370000000001</v>
      </c>
      <c r="Z6234">
        <v>1.4564000000000001E-2</v>
      </c>
      <c r="AA6234">
        <v>0.98487659999999999</v>
      </c>
      <c r="AB6234">
        <v>17</v>
      </c>
      <c r="AC6234">
        <v>18.3445999999999</v>
      </c>
      <c r="AD6234">
        <v>-1.1231817293469999</v>
      </c>
      <c r="AE6234">
        <v>0.21003000000000999</v>
      </c>
      <c r="AF6234">
        <v>-3.1767014321493598</v>
      </c>
      <c r="AG6234">
        <v>-1.1231817293469999</v>
      </c>
      <c r="AH6234">
        <v>17.999113045418401</v>
      </c>
      <c r="AI6234">
        <v>93.516535066994393</v>
      </c>
      <c r="AJ6234">
        <v>100.00917563912</v>
      </c>
      <c r="AK6234">
        <v>18.311773251324102</v>
      </c>
      <c r="AL6234">
        <v>96.141848451529398</v>
      </c>
      <c r="AM6234">
        <v>99.056468234350206</v>
      </c>
      <c r="AN6234">
        <v>0.99999999377833504</v>
      </c>
    </row>
    <row r="6235" spans="1:40" x14ac:dyDescent="0.25">
      <c r="A6235" t="str">
        <f>"20190303154647318"</f>
        <v>20190303154647318</v>
      </c>
      <c r="B6235" t="str">
        <f>"1551599207307809"</f>
        <v>1551599207307809</v>
      </c>
      <c r="C6235" t="s">
        <v>40</v>
      </c>
      <c r="D6235">
        <v>5.3750229999999997</v>
      </c>
      <c r="E6235">
        <v>0.493141</v>
      </c>
      <c r="F6235" t="s">
        <v>70</v>
      </c>
      <c r="G6235">
        <v>-267.97140000000002</v>
      </c>
      <c r="H6235" s="1">
        <v>-2.6959240000000001E-6</v>
      </c>
      <c r="I6235">
        <v>-61.401989999999998</v>
      </c>
      <c r="J6235">
        <v>-286.3021</v>
      </c>
      <c r="K6235">
        <v>1.123149</v>
      </c>
      <c r="L6235">
        <v>-61.63644</v>
      </c>
      <c r="M6235">
        <v>0.98723850000000002</v>
      </c>
      <c r="N6235">
        <v>-7.3089330000000001E-3</v>
      </c>
      <c r="O6235">
        <v>-0.15908059999999999</v>
      </c>
      <c r="P6235">
        <v>0.99362890000000004</v>
      </c>
      <c r="Q6235">
        <v>-0.1126592</v>
      </c>
      <c r="R6235">
        <v>-3.1355110000000001E-3</v>
      </c>
      <c r="S6235">
        <v>2.9987490000000001</v>
      </c>
      <c r="T6235">
        <v>-0.18291840000000001</v>
      </c>
      <c r="U6235">
        <v>3.6590579999999998E-2</v>
      </c>
      <c r="V6235">
        <v>-0.15420819999999999</v>
      </c>
      <c r="W6235">
        <v>-0.1066016</v>
      </c>
      <c r="X6235">
        <v>0.9822708</v>
      </c>
      <c r="Y6235">
        <v>-0.17053650000000001</v>
      </c>
      <c r="Z6235">
        <v>1.432044E-2</v>
      </c>
      <c r="AA6235">
        <v>0.98524730000000005</v>
      </c>
      <c r="AB6235">
        <v>17</v>
      </c>
      <c r="AC6235">
        <v>18.330699999999901</v>
      </c>
      <c r="AD6235">
        <v>-1.123151695924</v>
      </c>
      <c r="AE6235">
        <v>0.234449999999995</v>
      </c>
      <c r="AF6235">
        <v>-3.1358303859579602</v>
      </c>
      <c r="AG6235">
        <v>-1.123151695924</v>
      </c>
      <c r="AH6235">
        <v>17.992423183269</v>
      </c>
      <c r="AI6235">
        <v>93.519062781036197</v>
      </c>
      <c r="AJ6235">
        <v>99.886556150594004</v>
      </c>
      <c r="AK6235">
        <v>18.298147281825798</v>
      </c>
      <c r="AL6235">
        <v>96.119449459470999</v>
      </c>
      <c r="AM6235">
        <v>98.9221286847757</v>
      </c>
      <c r="AN6235">
        <v>0.99999999730122002</v>
      </c>
    </row>
    <row r="6236" spans="1:40" x14ac:dyDescent="0.25">
      <c r="A6236" t="str">
        <f>"20190303154647330"</f>
        <v>20190303154647330</v>
      </c>
      <c r="B6236" t="str">
        <f>"1551599207328304"</f>
        <v>1551599207328304</v>
      </c>
      <c r="C6236" t="s">
        <v>40</v>
      </c>
      <c r="D6236">
        <v>5.3390060000000004</v>
      </c>
      <c r="E6236">
        <v>0.49322440000000001</v>
      </c>
      <c r="F6236" t="s">
        <v>41</v>
      </c>
      <c r="G6236">
        <v>-267.85669999999999</v>
      </c>
      <c r="H6236" s="1">
        <v>-2.644292E-6</v>
      </c>
      <c r="I6236">
        <v>-61.392899999999997</v>
      </c>
      <c r="J6236">
        <v>-286.21019999999999</v>
      </c>
      <c r="K6236">
        <v>1.123108</v>
      </c>
      <c r="L6236">
        <v>-61.646819999999998</v>
      </c>
      <c r="M6236">
        <v>0.98783189999999998</v>
      </c>
      <c r="N6236">
        <v>-7.3043369999999897E-3</v>
      </c>
      <c r="O6236">
        <v>-0.15535460000000001</v>
      </c>
      <c r="P6236">
        <v>0.99360250000000006</v>
      </c>
      <c r="Q6236">
        <v>-0.1129135</v>
      </c>
      <c r="R6236">
        <v>-2.2210020000000001E-3</v>
      </c>
      <c r="S6236">
        <v>2.9986570000000001</v>
      </c>
      <c r="T6236">
        <v>-0.18259010000000001</v>
      </c>
      <c r="U6236">
        <v>3.95813E-2</v>
      </c>
      <c r="V6236">
        <v>-0.15141099999999999</v>
      </c>
      <c r="W6236">
        <v>-0.10682319999999999</v>
      </c>
      <c r="X6236">
        <v>0.98268180000000005</v>
      </c>
      <c r="Y6236">
        <v>-0.167814299999999</v>
      </c>
      <c r="Z6236">
        <v>1.40048E-2</v>
      </c>
      <c r="AA6236">
        <v>0.98571909999999896</v>
      </c>
      <c r="AB6236">
        <v>17</v>
      </c>
      <c r="AC6236">
        <v>18.3535</v>
      </c>
      <c r="AD6236">
        <v>-1.123110644292</v>
      </c>
      <c r="AE6236">
        <v>0.25391999999999998</v>
      </c>
      <c r="AF6236">
        <v>-3.09064221599726</v>
      </c>
      <c r="AG6236">
        <v>-1.123110644292</v>
      </c>
      <c r="AH6236">
        <v>18.023726315329299</v>
      </c>
      <c r="AI6236">
        <v>93.514491348687002</v>
      </c>
      <c r="AJ6236">
        <v>99.730236078685294</v>
      </c>
      <c r="AK6236">
        <v>18.321248787037501</v>
      </c>
      <c r="AL6236">
        <v>96.132219081683999</v>
      </c>
      <c r="AM6236">
        <v>98.759215569566805</v>
      </c>
      <c r="AN6236">
        <v>1.0000000035152401</v>
      </c>
    </row>
    <row r="6237" spans="1:40" x14ac:dyDescent="0.25">
      <c r="A6237" t="str">
        <f>"20190303154647341"</f>
        <v>20190303154647341</v>
      </c>
      <c r="B6237" t="str">
        <f>"1551599207338065"</f>
        <v>1551599207338065</v>
      </c>
      <c r="C6237" t="s">
        <v>40</v>
      </c>
      <c r="D6237">
        <v>5.384334</v>
      </c>
      <c r="E6237">
        <v>0.49333359999999898</v>
      </c>
      <c r="F6237" t="s">
        <v>41</v>
      </c>
      <c r="G6237">
        <v>-268.05439999999999</v>
      </c>
      <c r="H6237" s="1">
        <v>-2.7292489999999999E-6</v>
      </c>
      <c r="I6237">
        <v>-61.3934</v>
      </c>
      <c r="J6237">
        <v>-286.12909999999999</v>
      </c>
      <c r="K6237">
        <v>1.1230709999999999</v>
      </c>
      <c r="L6237">
        <v>-61.655880000000003</v>
      </c>
      <c r="M6237">
        <v>0.98833990000000005</v>
      </c>
      <c r="N6237">
        <v>-7.30016E-3</v>
      </c>
      <c r="O6237">
        <v>-0.15208969999999999</v>
      </c>
      <c r="P6237">
        <v>0.99358789999999997</v>
      </c>
      <c r="Q6237">
        <v>-0.1130401</v>
      </c>
      <c r="R6237">
        <v>-2.332092E-3</v>
      </c>
      <c r="S6237">
        <v>2.9983219999999999</v>
      </c>
      <c r="T6237">
        <v>-0.185475</v>
      </c>
      <c r="U6237">
        <v>4.1839599999999998E-2</v>
      </c>
      <c r="V6237">
        <v>-0.14806259999999999</v>
      </c>
      <c r="W6237">
        <v>-0.10691340000000001</v>
      </c>
      <c r="X6237">
        <v>0.98318209999999995</v>
      </c>
      <c r="Y6237">
        <v>-0.16529179999999999</v>
      </c>
      <c r="Z6237">
        <v>1.39728E-2</v>
      </c>
      <c r="AA6237">
        <v>0.98614570000000001</v>
      </c>
      <c r="AB6237">
        <v>17</v>
      </c>
      <c r="AC6237">
        <v>18.0747</v>
      </c>
      <c r="AD6237">
        <v>-1.1230737292489901</v>
      </c>
      <c r="AE6237">
        <v>0.26248000000000299</v>
      </c>
      <c r="AF6237">
        <v>-2.9969068912135302</v>
      </c>
      <c r="AG6237">
        <v>-1.1230737292489901</v>
      </c>
      <c r="AH6237">
        <v>17.7559614370318</v>
      </c>
      <c r="AI6237">
        <v>93.568822801020502</v>
      </c>
      <c r="AJ6237">
        <v>99.580269011687903</v>
      </c>
      <c r="AK6237">
        <v>18.042087242591801</v>
      </c>
      <c r="AL6237">
        <v>96.137416794549907</v>
      </c>
      <c r="AM6237">
        <v>98.564120135879193</v>
      </c>
      <c r="AN6237">
        <v>1.0000000251893599</v>
      </c>
    </row>
    <row r="6238" spans="1:40" x14ac:dyDescent="0.25">
      <c r="A6238" t="str">
        <f>"20190303154647352"</f>
        <v>20190303154647352</v>
      </c>
      <c r="B6238" t="str">
        <f>"1551599207347825"</f>
        <v>1551599207347825</v>
      </c>
      <c r="C6238" t="s">
        <v>40</v>
      </c>
      <c r="D6238">
        <v>5.4425800000000004</v>
      </c>
      <c r="E6238">
        <v>0.49333359999999898</v>
      </c>
      <c r="F6238" t="s">
        <v>41</v>
      </c>
      <c r="G6238">
        <v>-268.0949</v>
      </c>
      <c r="H6238" s="1">
        <v>-2.7510500000000001E-6</v>
      </c>
      <c r="I6238">
        <v>-61.410029999999999</v>
      </c>
      <c r="J6238">
        <v>-286.04629999999997</v>
      </c>
      <c r="K6238">
        <v>1.1230230000000001</v>
      </c>
      <c r="L6238">
        <v>-61.664760000000001</v>
      </c>
      <c r="M6238">
        <v>0.98882879999999995</v>
      </c>
      <c r="N6238">
        <v>-7.29416599999999E-3</v>
      </c>
      <c r="O6238">
        <v>-0.14887810000000001</v>
      </c>
      <c r="P6238">
        <v>0.99355579999999999</v>
      </c>
      <c r="Q6238">
        <v>-0.1133179</v>
      </c>
      <c r="R6238">
        <v>-2.4796309999999999E-3</v>
      </c>
      <c r="S6238">
        <v>2.99823</v>
      </c>
      <c r="T6238">
        <v>-0.1867143</v>
      </c>
      <c r="U6238">
        <v>4.0863040000000003E-2</v>
      </c>
      <c r="V6238">
        <v>-0.14473079999999999</v>
      </c>
      <c r="W6238">
        <v>-0.10715230000000001</v>
      </c>
      <c r="X6238">
        <v>0.98365210000000003</v>
      </c>
      <c r="Y6238">
        <v>-0.16177079999999999</v>
      </c>
      <c r="Z6238">
        <v>1.3773270000000001E-2</v>
      </c>
      <c r="AA6238">
        <v>0.98673219999999995</v>
      </c>
      <c r="AB6238">
        <v>17</v>
      </c>
      <c r="AC6238">
        <v>17.9513999999999</v>
      </c>
      <c r="AD6238">
        <v>-1.1230257510499999</v>
      </c>
      <c r="AE6238">
        <v>0.25472999999999502</v>
      </c>
      <c r="AF6238">
        <v>-2.9131333522330398</v>
      </c>
      <c r="AG6238">
        <v>-1.1230257510499999</v>
      </c>
      <c r="AH6238">
        <v>17.644366167305101</v>
      </c>
      <c r="AI6238">
        <v>93.593324272624002</v>
      </c>
      <c r="AJ6238">
        <v>99.375116037853303</v>
      </c>
      <c r="AK6238">
        <v>17.9184594820915</v>
      </c>
      <c r="AL6238">
        <v>96.1511837689701</v>
      </c>
      <c r="AM6238">
        <v>98.370223742562501</v>
      </c>
      <c r="AN6238">
        <v>1.0000000368491599</v>
      </c>
    </row>
    <row r="6239" spans="1:40" x14ac:dyDescent="0.25">
      <c r="A6239" t="str">
        <f>"20190303154647363"</f>
        <v>20190303154647363</v>
      </c>
      <c r="B6239" t="str">
        <f>"1551599207358560"</f>
        <v>1551599207358560</v>
      </c>
      <c r="C6239" t="s">
        <v>40</v>
      </c>
      <c r="D6239">
        <v>5.4118500000000003</v>
      </c>
      <c r="E6239">
        <v>0.49340020000000001</v>
      </c>
      <c r="F6239" t="s">
        <v>41</v>
      </c>
      <c r="G6239">
        <v>-268.10169999999999</v>
      </c>
      <c r="H6239" s="1">
        <v>-2.7570870000000001E-6</v>
      </c>
      <c r="I6239">
        <v>-61.421759999999999</v>
      </c>
      <c r="J6239">
        <v>-285.96640000000002</v>
      </c>
      <c r="K6239">
        <v>1.1229709999999999</v>
      </c>
      <c r="L6239">
        <v>-61.673279999999998</v>
      </c>
      <c r="M6239">
        <v>0.98928819999999995</v>
      </c>
      <c r="N6239">
        <v>-7.288414E-3</v>
      </c>
      <c r="O6239">
        <v>-0.14579349999999999</v>
      </c>
      <c r="P6239">
        <v>0.99354569999999998</v>
      </c>
      <c r="Q6239">
        <v>-0.11338479999999999</v>
      </c>
      <c r="R6239">
        <v>-3.2910370000000001E-3</v>
      </c>
      <c r="S6239">
        <v>2.998138</v>
      </c>
      <c r="T6239">
        <v>-0.1876321</v>
      </c>
      <c r="U6239">
        <v>4.058838E-2</v>
      </c>
      <c r="V6239">
        <v>-0.14087379999999999</v>
      </c>
      <c r="W6239">
        <v>-0.1071768</v>
      </c>
      <c r="X6239">
        <v>0.98420920000000001</v>
      </c>
      <c r="Y6239">
        <v>-0.15860839999999901</v>
      </c>
      <c r="Z6239">
        <v>1.3565020000000001E-2</v>
      </c>
      <c r="AA6239">
        <v>0.98724840000000003</v>
      </c>
      <c r="AB6239">
        <v>17</v>
      </c>
      <c r="AC6239">
        <v>17.864699999999999</v>
      </c>
      <c r="AD6239">
        <v>-1.122973757087</v>
      </c>
      <c r="AE6239">
        <v>0.25152000000000602</v>
      </c>
      <c r="AF6239">
        <v>-2.8422302069484</v>
      </c>
      <c r="AG6239">
        <v>-1.122973757087</v>
      </c>
      <c r="AH6239">
        <v>17.567732446042399</v>
      </c>
      <c r="AI6239">
        <v>93.610691383045193</v>
      </c>
      <c r="AJ6239">
        <v>99.190079198520905</v>
      </c>
      <c r="AK6239">
        <v>17.831560949735302</v>
      </c>
      <c r="AL6239">
        <v>96.152595739818196</v>
      </c>
      <c r="AM6239">
        <v>98.145647263099605</v>
      </c>
      <c r="AN6239">
        <v>1.0000000216746501</v>
      </c>
    </row>
    <row r="6240" spans="1:40" x14ac:dyDescent="0.25">
      <c r="A6240" t="str">
        <f>"20190303154647374"</f>
        <v>20190303154647374</v>
      </c>
      <c r="B6240" t="str">
        <f>"1551599207368320"</f>
        <v>1551599207368320</v>
      </c>
      <c r="C6240" t="s">
        <v>40</v>
      </c>
      <c r="D6240">
        <v>5.3611370000000003</v>
      </c>
      <c r="E6240">
        <v>0.49347170000000001</v>
      </c>
      <c r="F6240" t="s">
        <v>41</v>
      </c>
      <c r="G6240">
        <v>-268.08539999999999</v>
      </c>
      <c r="H6240" s="1">
        <v>-2.757039E-6</v>
      </c>
      <c r="I6240">
        <v>-61.447890000000001</v>
      </c>
      <c r="J6240">
        <v>-285.87950000000001</v>
      </c>
      <c r="K6240">
        <v>1.1229089999999999</v>
      </c>
      <c r="L6240">
        <v>-61.682250000000003</v>
      </c>
      <c r="M6240">
        <v>0.98976229999999998</v>
      </c>
      <c r="N6240">
        <v>-7.2810990000000001E-3</v>
      </c>
      <c r="O6240">
        <v>-0.14254040000000001</v>
      </c>
      <c r="P6240">
        <v>0.99355380000000004</v>
      </c>
      <c r="Q6240">
        <v>-0.1132777</v>
      </c>
      <c r="R6240">
        <v>-4.3727059999999996E-3</v>
      </c>
      <c r="S6240">
        <v>2.998138</v>
      </c>
      <c r="T6240">
        <v>-0.18829119999999999</v>
      </c>
      <c r="U6240">
        <v>3.7780759999999997E-2</v>
      </c>
      <c r="V6240">
        <v>-0.13658670000000001</v>
      </c>
      <c r="W6240">
        <v>-0.1070224</v>
      </c>
      <c r="X6240">
        <v>0.98483010000000004</v>
      </c>
      <c r="Y6240">
        <v>-0.1544469</v>
      </c>
      <c r="Z6240">
        <v>1.329024E-2</v>
      </c>
      <c r="AA6240">
        <v>0.98791169999999995</v>
      </c>
      <c r="AB6240">
        <v>17</v>
      </c>
      <c r="AC6240">
        <v>17.7941</v>
      </c>
      <c r="AD6240">
        <v>-1.1229117570389999</v>
      </c>
      <c r="AE6240">
        <v>0.23436000000000201</v>
      </c>
      <c r="AF6240">
        <v>-2.7574327920015702</v>
      </c>
      <c r="AG6240">
        <v>-1.1229117570389999</v>
      </c>
      <c r="AH6240">
        <v>17.509271955366799</v>
      </c>
      <c r="AI6240">
        <v>93.6249360826084</v>
      </c>
      <c r="AJ6240">
        <v>98.949672437477105</v>
      </c>
      <c r="AK6240">
        <v>17.7606016458761</v>
      </c>
      <c r="AL6240">
        <v>96.143698085057395</v>
      </c>
      <c r="AM6240">
        <v>97.896017581440404</v>
      </c>
      <c r="AN6240">
        <v>1.0000000232923201</v>
      </c>
    </row>
    <row r="6241" spans="1:40" x14ac:dyDescent="0.25">
      <c r="A6241" t="str">
        <f>"20190303154647385"</f>
        <v>20190303154647385</v>
      </c>
      <c r="B6241" t="str">
        <f>"1551599207378080"</f>
        <v>1551599207378080</v>
      </c>
      <c r="C6241" t="s">
        <v>40</v>
      </c>
      <c r="D6241">
        <v>5.3787909999999997</v>
      </c>
      <c r="E6241">
        <v>0.49352800000000002</v>
      </c>
      <c r="F6241" t="s">
        <v>41</v>
      </c>
      <c r="G6241">
        <v>-268.04000000000002</v>
      </c>
      <c r="H6241" s="1">
        <v>-2.7456079999999998E-6</v>
      </c>
      <c r="I6241">
        <v>-61.478079999999999</v>
      </c>
      <c r="J6241">
        <v>-285.79939999999999</v>
      </c>
      <c r="K6241">
        <v>1.122851</v>
      </c>
      <c r="L6241">
        <v>-61.690339999999999</v>
      </c>
      <c r="M6241">
        <v>0.99018349999999999</v>
      </c>
      <c r="N6241">
        <v>-7.2743139999999996E-3</v>
      </c>
      <c r="O6241">
        <v>-0.13958499999999999</v>
      </c>
      <c r="P6241">
        <v>0.99360789999999999</v>
      </c>
      <c r="Q6241">
        <v>-0.11274770000000001</v>
      </c>
      <c r="R6241">
        <v>-5.5862480000000003E-3</v>
      </c>
      <c r="S6241">
        <v>2.9981080000000002</v>
      </c>
      <c r="T6241">
        <v>-0.18871689999999999</v>
      </c>
      <c r="U6241">
        <v>3.4301760000000001E-2</v>
      </c>
      <c r="V6241">
        <v>-0.13247390000000001</v>
      </c>
      <c r="W6241">
        <v>-0.10644770000000001</v>
      </c>
      <c r="X6241">
        <v>0.98545400000000005</v>
      </c>
      <c r="Y6241">
        <v>-0.1503612</v>
      </c>
      <c r="Z6241">
        <v>1.3015570000000001E-2</v>
      </c>
      <c r="AA6241">
        <v>0.98854549999999997</v>
      </c>
      <c r="AB6241">
        <v>17</v>
      </c>
      <c r="AC6241">
        <v>17.7593999999999</v>
      </c>
      <c r="AD6241">
        <v>-1.1228537456080001</v>
      </c>
      <c r="AE6241">
        <v>0.21225999999999301</v>
      </c>
      <c r="AF6241">
        <v>-2.6784872552466599</v>
      </c>
      <c r="AG6241">
        <v>-1.1228537456080001</v>
      </c>
      <c r="AH6241">
        <v>17.486008277848399</v>
      </c>
      <c r="AI6241">
        <v>93.631923334316298</v>
      </c>
      <c r="AJ6241">
        <v>98.708810816388805</v>
      </c>
      <c r="AK6241">
        <v>17.725562896662201</v>
      </c>
      <c r="AL6241">
        <v>96.110581060833894</v>
      </c>
      <c r="AM6241">
        <v>97.6563324001864</v>
      </c>
      <c r="AN6241">
        <v>1.0000000165662499</v>
      </c>
    </row>
    <row r="6242" spans="1:40" x14ac:dyDescent="0.25">
      <c r="A6242" t="str">
        <f>"20190303154647396"</f>
        <v>20190303154647396</v>
      </c>
      <c r="B6242" t="str">
        <f>"1551599207387840"</f>
        <v>1551599207387840</v>
      </c>
      <c r="C6242" t="s">
        <v>40</v>
      </c>
      <c r="D6242">
        <v>5.4195399999999996</v>
      </c>
      <c r="E6242">
        <v>0.49345660000000002</v>
      </c>
      <c r="F6242" t="s">
        <v>41</v>
      </c>
      <c r="G6242">
        <v>-267.87799999999999</v>
      </c>
      <c r="H6242" s="1">
        <v>-2.6841639999999999E-6</v>
      </c>
      <c r="I6242">
        <v>-61.508400000000002</v>
      </c>
      <c r="J6242">
        <v>-285.71170000000001</v>
      </c>
      <c r="K6242">
        <v>1.1227860000000001</v>
      </c>
      <c r="L6242">
        <v>-61.699039999999997</v>
      </c>
      <c r="M6242">
        <v>0.99062349999999999</v>
      </c>
      <c r="N6242">
        <v>-7.2666090000000003E-3</v>
      </c>
      <c r="O6242">
        <v>-0.1364263</v>
      </c>
      <c r="P6242">
        <v>0.99368730000000005</v>
      </c>
      <c r="Q6242">
        <v>-0.1120148</v>
      </c>
      <c r="R6242">
        <v>-6.1990750000000001E-3</v>
      </c>
      <c r="S6242">
        <v>2.9981689999999999</v>
      </c>
      <c r="T6242">
        <v>-0.1878483</v>
      </c>
      <c r="U6242">
        <v>3.042603E-2</v>
      </c>
      <c r="V6242">
        <v>-0.12875919999999999</v>
      </c>
      <c r="W6242">
        <v>-0.1056721</v>
      </c>
      <c r="X6242">
        <v>0.98602959999999995</v>
      </c>
      <c r="Y6242">
        <v>-0.14594849999999901</v>
      </c>
      <c r="Z6242">
        <v>1.262631E-2</v>
      </c>
      <c r="AA6242">
        <v>0.98921159999999997</v>
      </c>
      <c r="AB6242">
        <v>17</v>
      </c>
      <c r="AC6242">
        <v>17.8337</v>
      </c>
      <c r="AD6242">
        <v>-1.122788684164</v>
      </c>
      <c r="AE6242">
        <v>0.190640000000001</v>
      </c>
      <c r="AF6242">
        <v>-2.6115570403653101</v>
      </c>
      <c r="AG6242">
        <v>-1.122788684164</v>
      </c>
      <c r="AH6242">
        <v>17.571299631152499</v>
      </c>
      <c r="AI6242">
        <v>93.616553882327096</v>
      </c>
      <c r="AJ6242">
        <v>98.453774202300806</v>
      </c>
      <c r="AK6242">
        <v>17.799759979620699</v>
      </c>
      <c r="AL6242">
        <v>96.065890803238602</v>
      </c>
      <c r="AM6242">
        <v>97.439786360606902</v>
      </c>
      <c r="AN6242">
        <v>0.99999994818960303</v>
      </c>
    </row>
    <row r="6243" spans="1:40" x14ac:dyDescent="0.25">
      <c r="A6243" t="str">
        <f>"20190303154647408"</f>
        <v>20190303154647408</v>
      </c>
      <c r="B6243" t="str">
        <f>"1551599207398576"</f>
        <v>1551599207398576</v>
      </c>
      <c r="C6243" t="s">
        <v>40</v>
      </c>
      <c r="D6243">
        <v>5.3637119999999996</v>
      </c>
      <c r="E6243">
        <v>0.4935252</v>
      </c>
      <c r="F6243" t="s">
        <v>41</v>
      </c>
      <c r="G6243">
        <v>-267.79509999999999</v>
      </c>
      <c r="H6243" s="1">
        <v>-2.6526479999999999E-6</v>
      </c>
      <c r="I6243">
        <v>-61.523530000000001</v>
      </c>
      <c r="J6243">
        <v>-285.63159999999999</v>
      </c>
      <c r="K6243">
        <v>1.1227229999999999</v>
      </c>
      <c r="L6243">
        <v>-61.706789999999998</v>
      </c>
      <c r="M6243">
        <v>0.99100659999999896</v>
      </c>
      <c r="N6243">
        <v>-7.2594209999999899E-3</v>
      </c>
      <c r="O6243">
        <v>-0.13361679999999901</v>
      </c>
      <c r="P6243">
        <v>0.99379090000000003</v>
      </c>
      <c r="Q6243">
        <v>-0.11103059999999999</v>
      </c>
      <c r="R6243">
        <v>-7.21479999999999E-3</v>
      </c>
      <c r="S6243">
        <v>2.9980769999999999</v>
      </c>
      <c r="T6243">
        <v>-0.18788279999999999</v>
      </c>
      <c r="U6243">
        <v>2.9357910000000001E-2</v>
      </c>
      <c r="V6243">
        <v>-0.12499589999999899</v>
      </c>
      <c r="W6243">
        <v>-0.10464619999999999</v>
      </c>
      <c r="X6243">
        <v>0.98662309999999998</v>
      </c>
      <c r="Y6243">
        <v>-0.1428016</v>
      </c>
      <c r="Z6243">
        <v>1.2365370000000001E-2</v>
      </c>
      <c r="AA6243">
        <v>0.9896741</v>
      </c>
      <c r="AB6243">
        <v>17</v>
      </c>
      <c r="AC6243">
        <v>17.836500000000001</v>
      </c>
      <c r="AD6243">
        <v>-1.1227256526479901</v>
      </c>
      <c r="AE6243">
        <v>0.18325999999999701</v>
      </c>
      <c r="AF6243">
        <v>-2.5548137945784601</v>
      </c>
      <c r="AG6243">
        <v>-1.1227256526479901</v>
      </c>
      <c r="AH6243">
        <v>17.5824093845773</v>
      </c>
      <c r="AI6243">
        <v>93.615794958572906</v>
      </c>
      <c r="AJ6243">
        <v>98.267507590379196</v>
      </c>
      <c r="AK6243">
        <v>17.802491572332102</v>
      </c>
      <c r="AL6243">
        <v>96.006783187803094</v>
      </c>
      <c r="AM6243">
        <v>97.220372016882905</v>
      </c>
      <c r="AN6243">
        <v>0.99999997182242895</v>
      </c>
    </row>
    <row r="6244" spans="1:40" x14ac:dyDescent="0.25">
      <c r="A6244" t="str">
        <f>"20190303154647419"</f>
        <v>20190303154647419</v>
      </c>
      <c r="B6244" t="str">
        <f>"1551599207408337"</f>
        <v>1551599207408337</v>
      </c>
      <c r="C6244" t="s">
        <v>40</v>
      </c>
      <c r="D6244">
        <v>5.4155559999999996</v>
      </c>
      <c r="E6244">
        <v>0.49347760000000002</v>
      </c>
      <c r="F6244" t="s">
        <v>41</v>
      </c>
      <c r="G6244">
        <v>-267.50569999999999</v>
      </c>
      <c r="H6244" s="1">
        <v>-2.5356330000000002E-6</v>
      </c>
      <c r="I6244">
        <v>-61.550449999999998</v>
      </c>
      <c r="J6244">
        <v>-285.5462</v>
      </c>
      <c r="K6244">
        <v>1.122655</v>
      </c>
      <c r="L6244">
        <v>-61.714939999999999</v>
      </c>
      <c r="M6244">
        <v>0.99139909999999998</v>
      </c>
      <c r="N6244">
        <v>-7.2518390000000004E-3</v>
      </c>
      <c r="O6244">
        <v>-0.13067280000000001</v>
      </c>
      <c r="P6244">
        <v>0.99391609999999997</v>
      </c>
      <c r="Q6244">
        <v>-0.1098339</v>
      </c>
      <c r="R6244">
        <v>-8.2246699999999999E-3</v>
      </c>
      <c r="S6244">
        <v>2.9981990000000001</v>
      </c>
      <c r="T6244">
        <v>-0.1857095</v>
      </c>
      <c r="U6244">
        <v>2.5848389999999999E-2</v>
      </c>
      <c r="V6244">
        <v>-0.1211083</v>
      </c>
      <c r="W6244">
        <v>-0.1034066</v>
      </c>
      <c r="X6244">
        <v>0.98723850000000002</v>
      </c>
      <c r="Y6244">
        <v>-0.1387273</v>
      </c>
      <c r="Z6244">
        <v>1.19168E-2</v>
      </c>
      <c r="AA6244">
        <v>0.99025890000000005</v>
      </c>
      <c r="AB6244">
        <v>17</v>
      </c>
      <c r="AC6244">
        <v>18.040500000000002</v>
      </c>
      <c r="AD6244">
        <v>-1.122657535633</v>
      </c>
      <c r="AE6244">
        <v>0.16449000000000699</v>
      </c>
      <c r="AF6244">
        <v>-2.5108214978819898</v>
      </c>
      <c r="AG6244">
        <v>-1.122657535633</v>
      </c>
      <c r="AH6244">
        <v>17.7954016172934</v>
      </c>
      <c r="AI6244">
        <v>93.574520467882294</v>
      </c>
      <c r="AJ6244">
        <v>98.031068629732502</v>
      </c>
      <c r="AK6244">
        <v>18.006690513731499</v>
      </c>
      <c r="AL6244">
        <v>95.935371722131507</v>
      </c>
      <c r="AM6244">
        <v>96.993748134740997</v>
      </c>
      <c r="AN6244">
        <v>1.0000000005673499</v>
      </c>
    </row>
    <row r="6245" spans="1:40" x14ac:dyDescent="0.25">
      <c r="A6245" t="str">
        <f>"20190303154647430"</f>
        <v>20190303154647430</v>
      </c>
      <c r="B6245" t="str">
        <f>"1551599207427856"</f>
        <v>1551599207427856</v>
      </c>
      <c r="C6245" t="s">
        <v>40</v>
      </c>
      <c r="D6245">
        <v>5.4022050000000004</v>
      </c>
      <c r="E6245">
        <v>0.49366959999999999</v>
      </c>
      <c r="F6245" t="s">
        <v>41</v>
      </c>
      <c r="G6245">
        <v>-267.24189999999999</v>
      </c>
      <c r="H6245" s="1">
        <v>-2.4283900000000001E-6</v>
      </c>
      <c r="I6245">
        <v>-61.572710000000001</v>
      </c>
      <c r="J6245">
        <v>-285.45800000000003</v>
      </c>
      <c r="K6245">
        <v>1.122576</v>
      </c>
      <c r="L6245">
        <v>-61.723109999999998</v>
      </c>
      <c r="M6245">
        <v>0.99177890000000002</v>
      </c>
      <c r="N6245">
        <v>-7.2436459999999899E-3</v>
      </c>
      <c r="O6245">
        <v>-0.12775819999999999</v>
      </c>
      <c r="P6245">
        <v>0.99406550000000005</v>
      </c>
      <c r="Q6245">
        <v>-0.1084123</v>
      </c>
      <c r="R6245">
        <v>-8.9782660000000004E-3</v>
      </c>
      <c r="S6245">
        <v>2.9981990000000001</v>
      </c>
      <c r="T6245">
        <v>-0.18388860000000001</v>
      </c>
      <c r="U6245">
        <v>2.3284909999999999E-2</v>
      </c>
      <c r="V6245">
        <v>-0.1175086</v>
      </c>
      <c r="W6245">
        <v>-0.10194400000000001</v>
      </c>
      <c r="X6245">
        <v>0.98782550000000002</v>
      </c>
      <c r="Y6245">
        <v>-0.13499079999999999</v>
      </c>
      <c r="Z6245">
        <v>1.15119E-2</v>
      </c>
      <c r="AA6245">
        <v>0.99077999999999999</v>
      </c>
      <c r="AB6245">
        <v>17</v>
      </c>
      <c r="AC6245">
        <v>18.216099999999901</v>
      </c>
      <c r="AD6245">
        <v>-1.12257842839</v>
      </c>
      <c r="AE6245">
        <v>0.15039999999999701</v>
      </c>
      <c r="AF6245">
        <v>-2.4671158785951399</v>
      </c>
      <c r="AG6245">
        <v>-1.12257842839</v>
      </c>
      <c r="AH6245">
        <v>17.979326407761601</v>
      </c>
      <c r="AI6245">
        <v>93.539665373266999</v>
      </c>
      <c r="AJ6245">
        <v>97.813307973225307</v>
      </c>
      <c r="AK6245">
        <v>18.182492160403601</v>
      </c>
      <c r="AL6245">
        <v>95.8511254623116</v>
      </c>
      <c r="AM6245">
        <v>96.783845950133198</v>
      </c>
      <c r="AN6245">
        <v>1.0000000343301001</v>
      </c>
    </row>
    <row r="6246" spans="1:40" x14ac:dyDescent="0.25">
      <c r="A6246" t="str">
        <f>"20190303154647442"</f>
        <v>20190303154647442</v>
      </c>
      <c r="B6246" t="str">
        <f>"1551599207438592"</f>
        <v>1551599207438592</v>
      </c>
      <c r="C6246" t="s">
        <v>40</v>
      </c>
      <c r="D6246">
        <v>5.4296569999999997</v>
      </c>
      <c r="E6246">
        <v>0.49366959999999999</v>
      </c>
      <c r="F6246" t="s">
        <v>41</v>
      </c>
      <c r="G6246">
        <v>-266.76319999999998</v>
      </c>
      <c r="H6246" s="1">
        <v>-2.2305090000000001E-6</v>
      </c>
      <c r="I6246">
        <v>-61.600700000000003</v>
      </c>
      <c r="J6246">
        <v>-285.3689</v>
      </c>
      <c r="K6246">
        <v>1.122495</v>
      </c>
      <c r="L6246">
        <v>-61.731290000000001</v>
      </c>
      <c r="M6246">
        <v>0.99214780000000002</v>
      </c>
      <c r="N6246">
        <v>-7.2356290000000004E-3</v>
      </c>
      <c r="O6246">
        <v>-0.1248614</v>
      </c>
      <c r="P6246">
        <v>0.99416760000000004</v>
      </c>
      <c r="Q6246">
        <v>-0.1074016</v>
      </c>
      <c r="R6246">
        <v>-9.8011049999999992E-3</v>
      </c>
      <c r="S6246">
        <v>2.9984440000000001</v>
      </c>
      <c r="T6246">
        <v>-0.18005009999999999</v>
      </c>
      <c r="U6246">
        <v>1.9622799999999999E-2</v>
      </c>
      <c r="V6246">
        <v>-0.1138483</v>
      </c>
      <c r="W6246">
        <v>-0.1008928</v>
      </c>
      <c r="X6246">
        <v>0.98836190000000002</v>
      </c>
      <c r="Y6246">
        <v>-0.1309177</v>
      </c>
      <c r="Z6246">
        <v>1.097366E-2</v>
      </c>
      <c r="AA6246">
        <v>0.99133249999999995</v>
      </c>
      <c r="AB6246">
        <v>17</v>
      </c>
      <c r="AC6246">
        <v>18.605699999999999</v>
      </c>
      <c r="AD6246">
        <v>-1.122497230509</v>
      </c>
      <c r="AE6246">
        <v>0.13058999999999801</v>
      </c>
      <c r="AF6246">
        <v>-2.4438677897768701</v>
      </c>
      <c r="AG6246">
        <v>-1.122497230509</v>
      </c>
      <c r="AH6246">
        <v>18.3768965752041</v>
      </c>
      <c r="AI6246">
        <v>93.464967051022896</v>
      </c>
      <c r="AJ6246">
        <v>97.5750826834648</v>
      </c>
      <c r="AK6246">
        <v>18.5726362571972</v>
      </c>
      <c r="AL6246">
        <v>95.790584067222198</v>
      </c>
      <c r="AM6246">
        <v>96.570876928169099</v>
      </c>
      <c r="AN6246">
        <v>1.0000000189381699</v>
      </c>
    </row>
    <row r="6247" spans="1:40" x14ac:dyDescent="0.25">
      <c r="A6247" t="str">
        <f>"20190303154647454"</f>
        <v>20190303154647454</v>
      </c>
      <c r="B6247" t="str">
        <f>"1551599207448352"</f>
        <v>1551599207448352</v>
      </c>
      <c r="C6247" t="s">
        <v>40</v>
      </c>
      <c r="D6247">
        <v>5.4344010000000003</v>
      </c>
      <c r="E6247">
        <v>0.51799150000000005</v>
      </c>
      <c r="F6247" t="s">
        <v>41</v>
      </c>
      <c r="G6247">
        <v>-266.35289999999998</v>
      </c>
      <c r="H6247" s="1">
        <v>-2.060268E-6</v>
      </c>
      <c r="I6247">
        <v>-61.6224699999999</v>
      </c>
      <c r="J6247">
        <v>-285.27210000000002</v>
      </c>
      <c r="K6247">
        <v>1.1223959999999999</v>
      </c>
      <c r="L6247">
        <v>-61.739930000000001</v>
      </c>
      <c r="M6247">
        <v>0.9925176</v>
      </c>
      <c r="N6247">
        <v>-7.226143E-3</v>
      </c>
      <c r="O6247">
        <v>-0.1218881</v>
      </c>
      <c r="P6247">
        <v>0.99424840000000003</v>
      </c>
      <c r="Q6247">
        <v>-0.10658380000000001</v>
      </c>
      <c r="R6247">
        <v>-1.049656E-2</v>
      </c>
      <c r="S6247">
        <v>2.9986269999999999</v>
      </c>
      <c r="T6247">
        <v>-0.1770061</v>
      </c>
      <c r="U6247">
        <v>1.715088E-2</v>
      </c>
      <c r="V6247">
        <v>-0.1102363</v>
      </c>
      <c r="W6247">
        <v>-0.1000342</v>
      </c>
      <c r="X6247">
        <v>0.98885849999999997</v>
      </c>
      <c r="Y6247">
        <v>-0.12715509999999999</v>
      </c>
      <c r="Z6247">
        <v>1.050361E-2</v>
      </c>
      <c r="AA6247">
        <v>0.99182720000000002</v>
      </c>
      <c r="AB6247">
        <v>17</v>
      </c>
      <c r="AC6247">
        <v>18.9192</v>
      </c>
      <c r="AD6247">
        <v>-1.1223980602679999</v>
      </c>
      <c r="AE6247">
        <v>0.117460000000015</v>
      </c>
      <c r="AF6247">
        <v>-2.4141730783161801</v>
      </c>
      <c r="AG6247">
        <v>-1.1223980602679999</v>
      </c>
      <c r="AH6247">
        <v>18.6980046517359</v>
      </c>
      <c r="AI6247">
        <v>93.406998086150395</v>
      </c>
      <c r="AJ6247">
        <v>97.356982782211006</v>
      </c>
      <c r="AK6247">
        <v>18.886592784673901</v>
      </c>
      <c r="AL6247">
        <v>95.741139821837393</v>
      </c>
      <c r="AM6247">
        <v>96.360974746078497</v>
      </c>
      <c r="AN6247">
        <v>1.0000000080147899</v>
      </c>
    </row>
    <row r="6248" spans="1:40" x14ac:dyDescent="0.25">
      <c r="A6248" t="str">
        <f>"20190303154647466"</f>
        <v>20190303154647466</v>
      </c>
      <c r="B6248" t="str">
        <f>"1551599207458112"</f>
        <v>1551599207458112</v>
      </c>
      <c r="C6248" t="s">
        <v>40</v>
      </c>
      <c r="D6248">
        <v>5.3729760000000004</v>
      </c>
      <c r="E6248">
        <v>0.51785539999999997</v>
      </c>
      <c r="F6248" t="s">
        <v>41</v>
      </c>
      <c r="G6248">
        <v>-263.87549999999999</v>
      </c>
      <c r="H6248" s="1">
        <v>-1.369263E-6</v>
      </c>
      <c r="I6248">
        <v>-63.019860000000001</v>
      </c>
      <c r="J6248">
        <v>-285.18169999999998</v>
      </c>
      <c r="K6248">
        <v>1.122306</v>
      </c>
      <c r="L6248">
        <v>-61.747889999999998</v>
      </c>
      <c r="M6248">
        <v>0.99284570000000005</v>
      </c>
      <c r="N6248">
        <v>-7.2174650000000002E-3</v>
      </c>
      <c r="O6248">
        <v>-0.11918670000000001</v>
      </c>
      <c r="P6248">
        <v>0.99431360000000002</v>
      </c>
      <c r="Q6248">
        <v>-0.1058677</v>
      </c>
      <c r="R6248">
        <v>-1.152307E-2</v>
      </c>
      <c r="S6248">
        <v>2.998596</v>
      </c>
      <c r="T6248">
        <v>-0.1572964</v>
      </c>
      <c r="U6248">
        <v>-0.17938229999999999</v>
      </c>
      <c r="V6248">
        <v>-0.1065619</v>
      </c>
      <c r="W6248">
        <v>-9.9279629999999994E-2</v>
      </c>
      <c r="X6248">
        <v>0.98933720000000003</v>
      </c>
      <c r="Y6248">
        <v>-5.9474329999999999E-2</v>
      </c>
      <c r="Z6248">
        <v>7.1367359999999899E-3</v>
      </c>
      <c r="AA6248">
        <v>0.99820439999999999</v>
      </c>
      <c r="AB6248">
        <v>17</v>
      </c>
      <c r="AC6248">
        <v>21.306199999999901</v>
      </c>
      <c r="AD6248">
        <v>-1.1223073692629999</v>
      </c>
      <c r="AE6248">
        <v>-1.2719699999999801</v>
      </c>
      <c r="AF6248">
        <v>-1.27305910319173</v>
      </c>
      <c r="AG6248">
        <v>-1.1223073692629999</v>
      </c>
      <c r="AH6248">
        <v>21.2471797675448</v>
      </c>
      <c r="AI6248">
        <v>93.018234723392695</v>
      </c>
      <c r="AJ6248">
        <v>93.428869903382704</v>
      </c>
      <c r="AK6248">
        <v>21.3148516622961</v>
      </c>
      <c r="AL6248">
        <v>95.697689951149798</v>
      </c>
      <c r="AM6248">
        <v>96.147650068566605</v>
      </c>
      <c r="AN6248">
        <v>0.99999998938419299</v>
      </c>
    </row>
    <row r="6249" spans="1:40" x14ac:dyDescent="0.25">
      <c r="A6249" t="str">
        <f>"20190303154647480"</f>
        <v>20190303154647480</v>
      </c>
      <c r="B6249" t="str">
        <f>"1551599207467872"</f>
        <v>1551599207467872</v>
      </c>
      <c r="C6249" t="s">
        <v>40</v>
      </c>
      <c r="D6249">
        <v>5.4047919999999996</v>
      </c>
      <c r="E6249">
        <v>0.51823779999999997</v>
      </c>
      <c r="F6249" t="s">
        <v>41</v>
      </c>
      <c r="G6249">
        <v>-262.26990000000001</v>
      </c>
      <c r="H6249" s="1">
        <v>-7.1094579999999996E-7</v>
      </c>
      <c r="I6249">
        <v>-63.134419999999999</v>
      </c>
      <c r="J6249">
        <v>-285.07530000000003</v>
      </c>
      <c r="K6249">
        <v>1.1221969999999999</v>
      </c>
      <c r="L6249">
        <v>-61.757080000000002</v>
      </c>
      <c r="M6249">
        <v>0.99320830000000004</v>
      </c>
      <c r="N6249">
        <v>-7.2073299999999996E-3</v>
      </c>
      <c r="O6249">
        <v>-0.1161258</v>
      </c>
      <c r="P6249">
        <v>0.99440850000000003</v>
      </c>
      <c r="Q6249">
        <v>-0.10490579999999999</v>
      </c>
      <c r="R6249">
        <v>-1.209681E-2</v>
      </c>
      <c r="S6249">
        <v>2.99939</v>
      </c>
      <c r="T6249">
        <v>-0.14692140000000001</v>
      </c>
      <c r="U6249">
        <v>-0.1815186</v>
      </c>
      <c r="V6249">
        <v>-0.1029857</v>
      </c>
      <c r="W6249">
        <v>-9.8278790000000005E-2</v>
      </c>
      <c r="X6249">
        <v>0.98981580000000002</v>
      </c>
      <c r="Y6249">
        <v>-5.5740959999999999E-2</v>
      </c>
      <c r="Z6249">
        <v>6.391468E-3</v>
      </c>
      <c r="AA6249">
        <v>0.9984248</v>
      </c>
      <c r="AB6249">
        <v>17</v>
      </c>
      <c r="AC6249">
        <v>22.805399999999999</v>
      </c>
      <c r="AD6249">
        <v>-1.1221977109457999</v>
      </c>
      <c r="AE6249">
        <v>-1.37733999999999</v>
      </c>
      <c r="AF6249">
        <v>-1.2772616357637101</v>
      </c>
      <c r="AG6249">
        <v>-1.1221977109457999</v>
      </c>
      <c r="AH6249">
        <v>22.756150100742701</v>
      </c>
      <c r="AI6249">
        <v>92.818769899684199</v>
      </c>
      <c r="AJ6249">
        <v>93.212537962719495</v>
      </c>
      <c r="AK6249">
        <v>22.8195769548031</v>
      </c>
      <c r="AL6249">
        <v>95.640063891300599</v>
      </c>
      <c r="AM6249">
        <v>95.939984852834499</v>
      </c>
      <c r="AN6249">
        <v>1.00000004644899</v>
      </c>
    </row>
    <row r="6250" spans="1:40" x14ac:dyDescent="0.25">
      <c r="A6250" t="str">
        <f>"20190303154647494"</f>
        <v>20190303154647494</v>
      </c>
      <c r="B6250" t="str">
        <f>"1551599207488368"</f>
        <v>1551599207488368</v>
      </c>
      <c r="C6250" t="s">
        <v>40</v>
      </c>
      <c r="D6250">
        <v>5.4077000000000002</v>
      </c>
      <c r="E6250">
        <v>0.51857739999999997</v>
      </c>
      <c r="F6250" t="s">
        <v>41</v>
      </c>
      <c r="G6250">
        <v>-262.12849999999997</v>
      </c>
      <c r="H6250" s="1">
        <v>-6.6271810000000004E-7</v>
      </c>
      <c r="I6250">
        <v>-63.181080000000001</v>
      </c>
      <c r="J6250">
        <v>-284.96870000000001</v>
      </c>
      <c r="K6250">
        <v>1.1220779999999999</v>
      </c>
      <c r="L6250">
        <v>-61.766109999999998</v>
      </c>
      <c r="M6250">
        <v>0.99353999999999998</v>
      </c>
      <c r="N6250">
        <v>-7.197022E-3</v>
      </c>
      <c r="O6250">
        <v>-0.1132537</v>
      </c>
      <c r="P6250">
        <v>0.99445839999999996</v>
      </c>
      <c r="Q6250">
        <v>-0.10435609999999999</v>
      </c>
      <c r="R6250">
        <v>-1.2741880000000001E-2</v>
      </c>
      <c r="S6250">
        <v>2.9991759999999998</v>
      </c>
      <c r="T6250">
        <v>-0.14667259999999999</v>
      </c>
      <c r="U6250">
        <v>-0.18612670000000001</v>
      </c>
      <c r="V6250">
        <v>-9.9519460000000004E-2</v>
      </c>
      <c r="W6250">
        <v>-9.7692039999999994E-2</v>
      </c>
      <c r="X6250">
        <v>0.99022840000000001</v>
      </c>
      <c r="Y6250">
        <v>-5.1330149999999998E-2</v>
      </c>
      <c r="Z6250">
        <v>6.1384680000000002E-3</v>
      </c>
      <c r="AA6250">
        <v>0.99866290000000002</v>
      </c>
      <c r="AB6250">
        <v>17</v>
      </c>
      <c r="AC6250">
        <v>22.840199999999999</v>
      </c>
      <c r="AD6250">
        <v>-1.1220786627181001</v>
      </c>
      <c r="AE6250">
        <v>-1.4149700000000001</v>
      </c>
      <c r="AF6250">
        <v>-1.17810600694475</v>
      </c>
      <c r="AG6250">
        <v>-1.1220786627181001</v>
      </c>
      <c r="AH6250">
        <v>22.798681401905899</v>
      </c>
      <c r="AI6250">
        <v>92.813894313784701</v>
      </c>
      <c r="AJ6250">
        <v>92.958088505043904</v>
      </c>
      <c r="AK6250">
        <v>22.856659159958902</v>
      </c>
      <c r="AL6250">
        <v>95.606282897809606</v>
      </c>
      <c r="AM6250">
        <v>95.739042234502193</v>
      </c>
      <c r="AN6250">
        <v>1.0000000708823</v>
      </c>
    </row>
    <row r="6251" spans="1:40" x14ac:dyDescent="0.25">
      <c r="A6251" t="str">
        <f>"20190303154647509"</f>
        <v>20190303154647509</v>
      </c>
      <c r="B6251" t="str">
        <f>"1551599207498129"</f>
        <v>1551599207498129</v>
      </c>
      <c r="C6251" t="s">
        <v>40</v>
      </c>
      <c r="D6251">
        <v>5.4152529999999999</v>
      </c>
      <c r="E6251">
        <v>0.5188102</v>
      </c>
      <c r="F6251" t="s">
        <v>41</v>
      </c>
      <c r="G6251">
        <v>-262.00420000000003</v>
      </c>
      <c r="H6251" s="1">
        <v>-6.2119569999999899E-7</v>
      </c>
      <c r="I6251">
        <v>-63.225459999999998</v>
      </c>
      <c r="J6251">
        <v>-284.84699999999998</v>
      </c>
      <c r="K6251">
        <v>1.1219490000000001</v>
      </c>
      <c r="L6251">
        <v>-61.77628</v>
      </c>
      <c r="M6251">
        <v>0.99389019999999995</v>
      </c>
      <c r="N6251">
        <v>-7.1855869999999898E-3</v>
      </c>
      <c r="O6251">
        <v>-0.1101393</v>
      </c>
      <c r="P6251">
        <v>0.99443999999999999</v>
      </c>
      <c r="Q6251">
        <v>-0.1039238</v>
      </c>
      <c r="R6251">
        <v>-1.6995710000000001E-2</v>
      </c>
      <c r="S6251">
        <v>2.998901</v>
      </c>
      <c r="T6251">
        <v>-0.14653089999999999</v>
      </c>
      <c r="U6251">
        <v>-0.19058230000000001</v>
      </c>
      <c r="V6251">
        <v>-9.2222360000000003E-2</v>
      </c>
      <c r="W6251">
        <v>-9.7201369999999995E-2</v>
      </c>
      <c r="X6251">
        <v>0.99098280000000005</v>
      </c>
      <c r="Y6251">
        <v>-4.6725379999999997E-2</v>
      </c>
      <c r="Z6251">
        <v>5.8758119999999898E-3</v>
      </c>
      <c r="AA6251">
        <v>0.99889050000000001</v>
      </c>
      <c r="AB6251">
        <v>18</v>
      </c>
      <c r="AC6251">
        <v>22.842799999999901</v>
      </c>
      <c r="AD6251">
        <v>-1.1219496211957001</v>
      </c>
      <c r="AE6251">
        <v>-1.4491799999999899</v>
      </c>
      <c r="AF6251">
        <v>-1.0730138010332799</v>
      </c>
      <c r="AG6251">
        <v>-1.1219496211957001</v>
      </c>
      <c r="AH6251">
        <v>22.808633857394501</v>
      </c>
      <c r="AI6251">
        <v>92.812985718418503</v>
      </c>
      <c r="AJ6251">
        <v>92.693447943592403</v>
      </c>
      <c r="AK6251">
        <v>22.861406518637299</v>
      </c>
      <c r="AL6251">
        <v>95.5780355939537</v>
      </c>
      <c r="AM6251">
        <v>95.316718905507898</v>
      </c>
      <c r="AN6251">
        <v>0.99999998995484296</v>
      </c>
    </row>
    <row r="6252" spans="1:40" x14ac:dyDescent="0.25">
      <c r="A6252" t="str">
        <f>"20190303154647523"</f>
        <v>20190303154647523</v>
      </c>
      <c r="B6252" t="str">
        <f>"1551599207517649"</f>
        <v>1551599207517649</v>
      </c>
      <c r="C6252" t="s">
        <v>40</v>
      </c>
      <c r="D6252">
        <v>5.436903</v>
      </c>
      <c r="E6252">
        <v>0.51880439999999906</v>
      </c>
      <c r="F6252" t="s">
        <v>41</v>
      </c>
      <c r="G6252">
        <v>-261.80950000000001</v>
      </c>
      <c r="H6252" s="1">
        <v>-5.7131979999999997E-7</v>
      </c>
      <c r="I6252">
        <v>-63.351840000000003</v>
      </c>
      <c r="J6252">
        <v>-284.74369999999999</v>
      </c>
      <c r="K6252">
        <v>1.121834</v>
      </c>
      <c r="L6252">
        <v>-61.784820000000003</v>
      </c>
      <c r="M6252">
        <v>0.99416479999999996</v>
      </c>
      <c r="N6252">
        <v>-7.1762419999999898E-3</v>
      </c>
      <c r="O6252">
        <v>-0.107633199999999</v>
      </c>
      <c r="P6252">
        <v>0.99448150000000002</v>
      </c>
      <c r="Q6252">
        <v>-0.1033154</v>
      </c>
      <c r="R6252">
        <v>-1.822855E-2</v>
      </c>
      <c r="S6252">
        <v>2.9980159999999998</v>
      </c>
      <c r="T6252">
        <v>-0.1460069</v>
      </c>
      <c r="U6252">
        <v>-0.2050476</v>
      </c>
      <c r="V6252">
        <v>-8.85349E-2</v>
      </c>
      <c r="W6252">
        <v>-9.6557190000000001E-2</v>
      </c>
      <c r="X6252">
        <v>0.99138199999999999</v>
      </c>
      <c r="Y6252">
        <v>-3.9401560000000002E-2</v>
      </c>
      <c r="Z6252">
        <v>5.5466839999999996E-3</v>
      </c>
      <c r="AA6252">
        <v>0.99920799999999999</v>
      </c>
      <c r="AB6252">
        <v>18</v>
      </c>
      <c r="AC6252">
        <v>22.934199999999901</v>
      </c>
      <c r="AD6252">
        <v>-1.1218345713197999</v>
      </c>
      <c r="AE6252">
        <v>-1.5670200000000001</v>
      </c>
      <c r="AF6252">
        <v>-0.90846503989548999</v>
      </c>
      <c r="AG6252">
        <v>-1.1218345713197999</v>
      </c>
      <c r="AH6252">
        <v>22.915054228833899</v>
      </c>
      <c r="AI6252">
        <v>92.800550960246696</v>
      </c>
      <c r="AJ6252">
        <v>92.270296541504294</v>
      </c>
      <c r="AK6252">
        <v>22.9604776048871</v>
      </c>
      <c r="AL6252">
        <v>95.540952336995801</v>
      </c>
      <c r="AM6252">
        <v>95.103234581182406</v>
      </c>
      <c r="AN6252">
        <v>0.99999999469135203</v>
      </c>
    </row>
    <row r="6253" spans="1:40" x14ac:dyDescent="0.25">
      <c r="A6253" t="str">
        <f>"20190303154647534"</f>
        <v>20190303154647534</v>
      </c>
      <c r="B6253" t="str">
        <f>"1551599207527672"</f>
        <v>1551599207527672</v>
      </c>
      <c r="C6253" t="s">
        <v>40</v>
      </c>
      <c r="D6253">
        <v>5.42605</v>
      </c>
      <c r="E6253">
        <v>0.51880209999999904</v>
      </c>
      <c r="F6253" t="s">
        <v>41</v>
      </c>
      <c r="G6253">
        <v>-262.15159999999997</v>
      </c>
      <c r="H6253" s="1">
        <v>-7.1935729999999995E-7</v>
      </c>
      <c r="I6253">
        <v>-63.35671</v>
      </c>
      <c r="J6253">
        <v>-284.6508</v>
      </c>
      <c r="K6253">
        <v>1.1217269999999999</v>
      </c>
      <c r="L6253">
        <v>-61.792389999999997</v>
      </c>
      <c r="M6253">
        <v>0.99438680000000002</v>
      </c>
      <c r="N6253">
        <v>-7.1680959999999997E-3</v>
      </c>
      <c r="O6253">
        <v>-0.1055633</v>
      </c>
      <c r="P6253">
        <v>0.99457450000000003</v>
      </c>
      <c r="Q6253">
        <v>-0.10213990000000001</v>
      </c>
      <c r="R6253">
        <v>-1.9730310000000001E-2</v>
      </c>
      <c r="S6253">
        <v>2.9973749999999999</v>
      </c>
      <c r="T6253">
        <v>-0.14883769999999999</v>
      </c>
      <c r="U6253">
        <v>-0.2085571</v>
      </c>
      <c r="V6253">
        <v>-8.5020109999999996E-2</v>
      </c>
      <c r="W6253">
        <v>-9.5349009999999998E-2</v>
      </c>
      <c r="X6253">
        <v>0.99180650000000004</v>
      </c>
      <c r="Y6253">
        <v>-3.6142359999999998E-2</v>
      </c>
      <c r="Z6253">
        <v>5.4885450000000001E-3</v>
      </c>
      <c r="AA6253">
        <v>0.99933159999999999</v>
      </c>
      <c r="AB6253">
        <v>18</v>
      </c>
      <c r="AC6253">
        <v>22.499199999999998</v>
      </c>
      <c r="AD6253">
        <v>-1.1217277193573001</v>
      </c>
      <c r="AE6253">
        <v>-1.5643199999999899</v>
      </c>
      <c r="AF6253">
        <v>-0.81754928651187098</v>
      </c>
      <c r="AG6253">
        <v>-1.1217277193573001</v>
      </c>
      <c r="AH6253">
        <v>22.483004064553501</v>
      </c>
      <c r="AI6253">
        <v>92.854363750960502</v>
      </c>
      <c r="AJ6253">
        <v>92.082528382639495</v>
      </c>
      <c r="AK6253">
        <v>22.525810344557598</v>
      </c>
      <c r="AL6253">
        <v>95.471407837583897</v>
      </c>
      <c r="AM6253">
        <v>94.899558363213501</v>
      </c>
      <c r="AN6253">
        <v>0.99999999312732102</v>
      </c>
    </row>
    <row r="6254" spans="1:40" x14ac:dyDescent="0.25">
      <c r="A6254" t="str">
        <f>"20190303154647546"</f>
        <v>20190303154647546</v>
      </c>
      <c r="B6254" t="str">
        <f>"1551599207537975"</f>
        <v>1551599207537975</v>
      </c>
      <c r="C6254" t="s">
        <v>40</v>
      </c>
      <c r="D6254">
        <v>5.4413039999999997</v>
      </c>
      <c r="E6254">
        <v>0.51861629999999903</v>
      </c>
      <c r="F6254" t="s">
        <v>41</v>
      </c>
      <c r="G6254">
        <v>-261.76209999999998</v>
      </c>
      <c r="H6254" s="1">
        <v>-5.6891759999999996E-7</v>
      </c>
      <c r="I6254">
        <v>-63.419339999999998</v>
      </c>
      <c r="J6254">
        <v>-284.55930000000001</v>
      </c>
      <c r="K6254">
        <v>1.121626</v>
      </c>
      <c r="L6254">
        <v>-61.799770000000002</v>
      </c>
      <c r="M6254">
        <v>0.99459280000000005</v>
      </c>
      <c r="N6254">
        <v>-7.1606860000000003E-3</v>
      </c>
      <c r="O6254">
        <v>-0.1036048</v>
      </c>
      <c r="P6254">
        <v>0.9946817</v>
      </c>
      <c r="Q6254">
        <v>-0.1007789</v>
      </c>
      <c r="R6254">
        <v>-2.126805E-2</v>
      </c>
      <c r="S6254">
        <v>2.9970699999999999</v>
      </c>
      <c r="T6254">
        <v>-0.14688010000000001</v>
      </c>
      <c r="U6254">
        <v>-0.21304319999999999</v>
      </c>
      <c r="V6254">
        <v>-8.1579940000000004E-2</v>
      </c>
      <c r="W6254">
        <v>-9.395763E-2</v>
      </c>
      <c r="X6254">
        <v>0.9922282</v>
      </c>
      <c r="Y6254">
        <v>-3.2689019999999999E-2</v>
      </c>
      <c r="Z6254">
        <v>5.2310660000000004E-3</v>
      </c>
      <c r="AA6254">
        <v>0.99945189999999995</v>
      </c>
      <c r="AB6254">
        <v>18</v>
      </c>
      <c r="AC6254">
        <v>22.7972</v>
      </c>
      <c r="AD6254">
        <v>-1.1216265689175999</v>
      </c>
      <c r="AE6254">
        <v>-1.6195700000000099</v>
      </c>
      <c r="AF6254">
        <v>-0.74930122272222299</v>
      </c>
      <c r="AG6254">
        <v>-1.1216265689175999</v>
      </c>
      <c r="AH6254">
        <v>22.7874274788146</v>
      </c>
      <c r="AI6254">
        <v>92.816378228419893</v>
      </c>
      <c r="AJ6254">
        <v>91.883333891795402</v>
      </c>
      <c r="AK6254">
        <v>22.827315864654601</v>
      </c>
      <c r="AL6254">
        <v>95.391327722646196</v>
      </c>
      <c r="AM6254">
        <v>94.700225556562401</v>
      </c>
      <c r="AN6254">
        <v>1.0000000618604199</v>
      </c>
    </row>
    <row r="6255" spans="1:40" x14ac:dyDescent="0.25">
      <c r="A6255" t="str">
        <f>"20190303154647557"</f>
        <v>20190303154647557</v>
      </c>
      <c r="B6255" t="str">
        <f>"1551599207547735"</f>
        <v>1551599207547735</v>
      </c>
      <c r="C6255" t="s">
        <v>40</v>
      </c>
      <c r="D6255">
        <v>5.4721320000000002</v>
      </c>
      <c r="E6255">
        <v>0.51867249999999998</v>
      </c>
      <c r="F6255" t="s">
        <v>41</v>
      </c>
      <c r="G6255">
        <v>-261.48630000000003</v>
      </c>
      <c r="H6255" s="1">
        <v>-4.6237820000000002E-7</v>
      </c>
      <c r="I6255">
        <v>-63.463540000000002</v>
      </c>
      <c r="J6255">
        <v>-284.46440000000001</v>
      </c>
      <c r="K6255">
        <v>1.121523</v>
      </c>
      <c r="L6255">
        <v>-61.807400000000001</v>
      </c>
      <c r="M6255">
        <v>0.99479070000000003</v>
      </c>
      <c r="N6255">
        <v>-7.1535990000000001E-3</v>
      </c>
      <c r="O6255">
        <v>-0.101689</v>
      </c>
      <c r="P6255">
        <v>0.99480119999999905</v>
      </c>
      <c r="Q6255">
        <v>-9.9264909999999998E-2</v>
      </c>
      <c r="R6255">
        <v>-2.274638E-2</v>
      </c>
      <c r="S6255">
        <v>2.9966740000000001</v>
      </c>
      <c r="T6255">
        <v>-0.14567469999999999</v>
      </c>
      <c r="U6255">
        <v>-0.21609500000000001</v>
      </c>
      <c r="V6255">
        <v>-7.8241999999999895E-2</v>
      </c>
      <c r="W6255">
        <v>-9.2414780000000002E-2</v>
      </c>
      <c r="X6255">
        <v>0.99264180000000002</v>
      </c>
      <c r="Y6255">
        <v>-2.9749790000000002E-2</v>
      </c>
      <c r="Z6255">
        <v>5.0236889999999996E-3</v>
      </c>
      <c r="AA6255">
        <v>0.99954469999999995</v>
      </c>
      <c r="AB6255">
        <v>18</v>
      </c>
      <c r="AC6255">
        <v>22.978099999999898</v>
      </c>
      <c r="AD6255">
        <v>-1.1215234623782</v>
      </c>
      <c r="AE6255">
        <v>-1.6561399999999999</v>
      </c>
      <c r="AF6255">
        <v>-0.68749552198615405</v>
      </c>
      <c r="AG6255">
        <v>-1.1215234623782</v>
      </c>
      <c r="AH6255">
        <v>22.972951794331799</v>
      </c>
      <c r="AI6255">
        <v>92.793672228275696</v>
      </c>
      <c r="AJ6255">
        <v>91.7141392765527</v>
      </c>
      <c r="AK6255">
        <v>23.010584067209301</v>
      </c>
      <c r="AL6255">
        <v>95.302542803507507</v>
      </c>
      <c r="AM6255">
        <v>94.506849112948203</v>
      </c>
      <c r="AN6255">
        <v>1.00000002261684</v>
      </c>
    </row>
    <row r="6256" spans="1:40" x14ac:dyDescent="0.25">
      <c r="A6256" t="str">
        <f>"20190303154647570"</f>
        <v>20190303154647570</v>
      </c>
      <c r="B6256" t="str">
        <f>"1551599207558470"</f>
        <v>1551599207558470</v>
      </c>
      <c r="C6256" t="s">
        <v>40</v>
      </c>
      <c r="D6256">
        <v>5.4530219999999998</v>
      </c>
      <c r="E6256">
        <v>0.51843950000000005</v>
      </c>
      <c r="F6256" t="s">
        <v>41</v>
      </c>
      <c r="G6256">
        <v>-260.76900000000001</v>
      </c>
      <c r="H6256" s="1">
        <v>-1.7879670000000001E-7</v>
      </c>
      <c r="I6256">
        <v>-63.554270000000002</v>
      </c>
      <c r="J6256">
        <v>-284.37200000000001</v>
      </c>
      <c r="K6256">
        <v>1.121426</v>
      </c>
      <c r="L6256">
        <v>-61.81476</v>
      </c>
      <c r="M6256">
        <v>0.99496629999999997</v>
      </c>
      <c r="N6256">
        <v>-7.1486350000000004E-3</v>
      </c>
      <c r="O6256">
        <v>-9.995569E-2</v>
      </c>
      <c r="P6256">
        <v>0.99484570000000005</v>
      </c>
      <c r="Q6256">
        <v>-9.920561E-2</v>
      </c>
      <c r="R6256">
        <v>-2.0991360000000001E-2</v>
      </c>
      <c r="S6256">
        <v>2.996521</v>
      </c>
      <c r="T6256">
        <v>-0.1418276</v>
      </c>
      <c r="U6256">
        <v>-0.22091669999999999</v>
      </c>
      <c r="V6256">
        <v>-7.8287979999999993E-2</v>
      </c>
      <c r="W6256">
        <v>-9.234067E-2</v>
      </c>
      <c r="X6256">
        <v>0.992645</v>
      </c>
      <c r="Y6256">
        <v>-2.64175E-2</v>
      </c>
      <c r="Z6256">
        <v>4.7154650000000003E-3</v>
      </c>
      <c r="AA6256">
        <v>0.99963990000000003</v>
      </c>
      <c r="AB6256">
        <v>18</v>
      </c>
      <c r="AC6256">
        <v>23.603000000000002</v>
      </c>
      <c r="AD6256">
        <v>-1.1214261787966999</v>
      </c>
      <c r="AE6256">
        <v>-1.7395099999999899</v>
      </c>
      <c r="AF6256">
        <v>-0.62710834351950995</v>
      </c>
      <c r="AG6256">
        <v>-1.1214261787966999</v>
      </c>
      <c r="AH6256">
        <v>23.605666505889101</v>
      </c>
      <c r="AI6256">
        <v>92.718927886223895</v>
      </c>
      <c r="AJ6256">
        <v>91.521762252625606</v>
      </c>
      <c r="AK6256">
        <v>23.6406081295777</v>
      </c>
      <c r="AL6256">
        <v>95.298278756271003</v>
      </c>
      <c r="AM6256">
        <v>94.509472227408097</v>
      </c>
      <c r="AN6256">
        <v>0.99999995158676303</v>
      </c>
    </row>
    <row r="6257" spans="1:40" x14ac:dyDescent="0.25">
      <c r="A6257" t="str">
        <f>"20190303154647581"</f>
        <v>20190303154647581</v>
      </c>
      <c r="B6257" t="str">
        <f>"1551599207577990"</f>
        <v>1551599207577990</v>
      </c>
      <c r="C6257" t="s">
        <v>40</v>
      </c>
      <c r="D6257">
        <v>5.4763669999999998</v>
      </c>
      <c r="E6257">
        <v>0.51824729999999997</v>
      </c>
      <c r="F6257" t="s">
        <v>41</v>
      </c>
      <c r="G6257">
        <v>-260.97770000000003</v>
      </c>
      <c r="H6257" s="1">
        <v>-2.4949510000000002E-7</v>
      </c>
      <c r="I6257">
        <v>-63.48359</v>
      </c>
      <c r="J6257">
        <v>-284.27719999999999</v>
      </c>
      <c r="K6257">
        <v>1.121332</v>
      </c>
      <c r="L6257">
        <v>-61.822299999999998</v>
      </c>
      <c r="M6257">
        <v>0.99513750000000001</v>
      </c>
      <c r="N6257">
        <v>-7.1446460000000002E-3</v>
      </c>
      <c r="O6257">
        <v>-9.8236850000000001E-2</v>
      </c>
      <c r="P6257">
        <v>0.99494490000000002</v>
      </c>
      <c r="Q6257">
        <v>-9.7838900000000006E-2</v>
      </c>
      <c r="R6257">
        <v>-2.2632920000000001E-2</v>
      </c>
      <c r="S6257">
        <v>2.9966740000000001</v>
      </c>
      <c r="T6257">
        <v>-0.1436479</v>
      </c>
      <c r="U6257">
        <v>-0.21377560000000001</v>
      </c>
      <c r="V6257">
        <v>-7.4977279999999993E-2</v>
      </c>
      <c r="W6257">
        <v>-9.0946470000000001E-2</v>
      </c>
      <c r="X6257">
        <v>0.9930293</v>
      </c>
      <c r="Y6257">
        <v>-2.7061410000000001E-2</v>
      </c>
      <c r="Z6257">
        <v>4.7327530000000001E-3</v>
      </c>
      <c r="AA6257">
        <v>0.99962260000000003</v>
      </c>
      <c r="AB6257">
        <v>18</v>
      </c>
      <c r="AC6257">
        <v>23.299499999999899</v>
      </c>
      <c r="AD6257">
        <v>-1.1213322494950999</v>
      </c>
      <c r="AE6257">
        <v>-1.6612899999999999</v>
      </c>
      <c r="AF6257">
        <v>-0.634212150363339</v>
      </c>
      <c r="AG6257">
        <v>-1.1213322494950999</v>
      </c>
      <c r="AH6257">
        <v>23.296314169145699</v>
      </c>
      <c r="AI6257">
        <v>92.754698321235395</v>
      </c>
      <c r="AJ6257">
        <v>91.559418638938894</v>
      </c>
      <c r="AK6257">
        <v>23.331906585895801</v>
      </c>
      <c r="AL6257">
        <v>95.218059029359694</v>
      </c>
      <c r="AM6257">
        <v>94.317844601818393</v>
      </c>
      <c r="AN6257">
        <v>1.00000002179007</v>
      </c>
    </row>
    <row r="6258" spans="1:40" x14ac:dyDescent="0.25">
      <c r="A6258" t="str">
        <f>"20190303154647592"</f>
        <v>20190303154647592</v>
      </c>
      <c r="B6258" t="str">
        <f>"1551599207587750"</f>
        <v>1551599207587750</v>
      </c>
      <c r="C6258" t="s">
        <v>40</v>
      </c>
      <c r="D6258">
        <v>5.4401650000000004</v>
      </c>
      <c r="E6258">
        <v>0.51815859999999903</v>
      </c>
      <c r="F6258" t="s">
        <v>41</v>
      </c>
      <c r="G6258">
        <v>-260.92489999999998</v>
      </c>
      <c r="H6258" s="1">
        <v>-2.3497069999999999E-7</v>
      </c>
      <c r="I6258">
        <v>-63.514090000000003</v>
      </c>
      <c r="J6258">
        <v>-284.18459999999999</v>
      </c>
      <c r="K6258">
        <v>1.1212519999999999</v>
      </c>
      <c r="L6258">
        <v>-61.829590000000003</v>
      </c>
      <c r="M6258">
        <v>0.99528550000000005</v>
      </c>
      <c r="N6258">
        <v>-7.1440449999999999E-3</v>
      </c>
      <c r="O6258">
        <v>-9.6726000000000006E-2</v>
      </c>
      <c r="P6258">
        <v>0.99501070000000003</v>
      </c>
      <c r="Q6258">
        <v>-9.6676239999999997E-2</v>
      </c>
      <c r="R6258">
        <v>-2.4650640000000001E-2</v>
      </c>
      <c r="S6258">
        <v>2.9961850000000001</v>
      </c>
      <c r="T6258">
        <v>-0.14387079999999999</v>
      </c>
      <c r="U6258">
        <v>-0.2170715</v>
      </c>
      <c r="V6258">
        <v>-7.1491460000000007E-2</v>
      </c>
      <c r="W6258">
        <v>-8.9756890000000006E-2</v>
      </c>
      <c r="X6258">
        <v>0.99339449999999996</v>
      </c>
      <c r="Y6258">
        <v>-2.4442510000000001E-2</v>
      </c>
      <c r="Z6258">
        <v>4.6083729999999998E-3</v>
      </c>
      <c r="AA6258">
        <v>0.99969059999999998</v>
      </c>
      <c r="AB6258">
        <v>18</v>
      </c>
      <c r="AC6258">
        <v>23.259699999999999</v>
      </c>
      <c r="AD6258">
        <v>-1.1212522349706999</v>
      </c>
      <c r="AE6258">
        <v>-1.6845000000000001</v>
      </c>
      <c r="AF6258">
        <v>-0.57195172852096898</v>
      </c>
      <c r="AG6258">
        <v>-1.1212522349706999</v>
      </c>
      <c r="AH6258">
        <v>23.2598008239619</v>
      </c>
      <c r="AI6258">
        <v>92.759007259597595</v>
      </c>
      <c r="AJ6258">
        <v>91.408602672618102</v>
      </c>
      <c r="AK6258">
        <v>23.293833298205001</v>
      </c>
      <c r="AL6258">
        <v>95.149621411037302</v>
      </c>
      <c r="AM6258">
        <v>94.116299395542299</v>
      </c>
      <c r="AN6258">
        <v>0.999999980392826</v>
      </c>
    </row>
    <row r="6259" spans="1:40" x14ac:dyDescent="0.25">
      <c r="A6259" t="str">
        <f>"20190303154647609"</f>
        <v>20190303154647609</v>
      </c>
      <c r="B6259" t="str">
        <f>"1551599207598487"</f>
        <v>1551599207598487</v>
      </c>
      <c r="C6259" t="s">
        <v>40</v>
      </c>
      <c r="D6259">
        <v>5.4966670000000004</v>
      </c>
      <c r="E6259">
        <v>0.5192042</v>
      </c>
      <c r="F6259" t="s">
        <v>41</v>
      </c>
      <c r="G6259">
        <v>-260.86700000000002</v>
      </c>
      <c r="H6259" s="1">
        <v>-2.2218860000000001E-7</v>
      </c>
      <c r="I6259">
        <v>-63.559379999999997</v>
      </c>
      <c r="J6259">
        <v>-284.06040000000002</v>
      </c>
      <c r="K6259">
        <v>1.1211610000000001</v>
      </c>
      <c r="L6259">
        <v>-61.839359999999999</v>
      </c>
      <c r="M6259">
        <v>0.99547149999999995</v>
      </c>
      <c r="N6259">
        <v>-7.1453050000000002E-3</v>
      </c>
      <c r="O6259">
        <v>-9.4792080000000001E-2</v>
      </c>
      <c r="P6259">
        <v>0.99503819999999998</v>
      </c>
      <c r="Q6259">
        <v>-9.5076190000000005E-2</v>
      </c>
      <c r="R6259">
        <v>-2.9319379999999999E-2</v>
      </c>
      <c r="S6259">
        <v>2.9955440000000002</v>
      </c>
      <c r="T6259">
        <v>-0.14404420000000001</v>
      </c>
      <c r="U6259">
        <v>-0.22222900000000001</v>
      </c>
      <c r="V6259">
        <v>-6.494366E-2</v>
      </c>
      <c r="W6259">
        <v>-8.8118520000000006E-2</v>
      </c>
      <c r="X6259">
        <v>0.9939907</v>
      </c>
      <c r="Y6259">
        <v>-2.0778729999999999E-2</v>
      </c>
      <c r="Z6259">
        <v>4.4357670000000002E-3</v>
      </c>
      <c r="AA6259">
        <v>0.9997743</v>
      </c>
      <c r="AB6259">
        <v>18</v>
      </c>
      <c r="AC6259">
        <v>23.1934</v>
      </c>
      <c r="AD6259">
        <v>-1.1211612221886</v>
      </c>
      <c r="AE6259">
        <v>-1.7200200000000001</v>
      </c>
      <c r="AF6259">
        <v>-0.48520454193780099</v>
      </c>
      <c r="AG6259">
        <v>-1.1211612221886</v>
      </c>
      <c r="AH6259">
        <v>23.198094328383501</v>
      </c>
      <c r="AI6259">
        <v>92.766341344914395</v>
      </c>
      <c r="AJ6259">
        <v>91.198207026825202</v>
      </c>
      <c r="AK6259">
        <v>23.230239051766901</v>
      </c>
      <c r="AL6259">
        <v>95.055375974231296</v>
      </c>
      <c r="AM6259">
        <v>93.738180221818695</v>
      </c>
      <c r="AN6259">
        <v>1.00000003211383</v>
      </c>
    </row>
    <row r="6260" spans="1:40" x14ac:dyDescent="0.25">
      <c r="A6260" t="str">
        <f>"20190303154647643"</f>
        <v>20190303154647643</v>
      </c>
      <c r="B6260" t="str">
        <f>"1551599207638503"</f>
        <v>1551599207638503</v>
      </c>
      <c r="C6260" t="s">
        <v>40</v>
      </c>
      <c r="D6260">
        <v>4.582128</v>
      </c>
      <c r="E6260">
        <v>0.5192042</v>
      </c>
      <c r="F6260" t="s">
        <v>71</v>
      </c>
      <c r="G6260">
        <v>-258.87419999999997</v>
      </c>
      <c r="H6260" s="1">
        <v>-3.5124999999999998E-6</v>
      </c>
      <c r="I6260">
        <v>-63.895989999999998</v>
      </c>
      <c r="J6260">
        <v>-283.78410000000002</v>
      </c>
      <c r="K6260">
        <v>1.1210180000000001</v>
      </c>
      <c r="L6260">
        <v>-61.860840000000003</v>
      </c>
      <c r="M6260">
        <v>0.99583080000000002</v>
      </c>
      <c r="N6260">
        <v>-7.1596339999999998E-3</v>
      </c>
      <c r="O6260">
        <v>-9.0939740000000005E-2</v>
      </c>
      <c r="P6260">
        <v>0.99496949999999995</v>
      </c>
      <c r="Q6260">
        <v>-9.4298880000000002E-2</v>
      </c>
      <c r="R6260">
        <v>-3.381456E-2</v>
      </c>
      <c r="S6260">
        <v>2.9950559999999999</v>
      </c>
      <c r="T6260">
        <v>-0.1333249</v>
      </c>
      <c r="U6260">
        <v>-0.2445679</v>
      </c>
      <c r="V6260">
        <v>-5.6651159999999999E-2</v>
      </c>
      <c r="W6260">
        <v>-8.7283780000000005E-2</v>
      </c>
      <c r="X6260">
        <v>0.99457139999999999</v>
      </c>
      <c r="Y6260">
        <v>-9.5177990000000004E-3</v>
      </c>
      <c r="Z6260">
        <v>3.6260369999999999E-3</v>
      </c>
      <c r="AA6260">
        <v>0.99994810000000001</v>
      </c>
      <c r="AB6260">
        <v>18</v>
      </c>
      <c r="AC6260">
        <v>24.9099</v>
      </c>
      <c r="AD6260">
        <v>-1.1210215125</v>
      </c>
      <c r="AE6260">
        <v>-2.0351499999999998</v>
      </c>
      <c r="AF6260">
        <v>-0.23816171540255601</v>
      </c>
      <c r="AG6260">
        <v>-1.1210215125</v>
      </c>
      <c r="AH6260">
        <v>24.941580113662699</v>
      </c>
      <c r="AI6260">
        <v>92.573360646831006</v>
      </c>
      <c r="AJ6260">
        <v>90.547088290356498</v>
      </c>
      <c r="AK6260">
        <v>24.967895962624201</v>
      </c>
      <c r="AL6260">
        <v>95.007363852388096</v>
      </c>
      <c r="AM6260">
        <v>93.260066392776807</v>
      </c>
      <c r="AN6260">
        <v>1.00000004093919</v>
      </c>
    </row>
    <row r="6261" spans="1:40" x14ac:dyDescent="0.25">
      <c r="A6261" t="str">
        <f>"20190303154647689"</f>
        <v>20190303154647689</v>
      </c>
      <c r="B6261" t="str">
        <f>"1551599207678519"</f>
        <v>1551599207678519</v>
      </c>
      <c r="C6261" t="s">
        <v>40</v>
      </c>
      <c r="D6261">
        <v>4.1913910000000003</v>
      </c>
      <c r="E6261">
        <v>0.58303179999999999</v>
      </c>
      <c r="F6261" t="s">
        <v>71</v>
      </c>
      <c r="G6261">
        <v>-258.0727</v>
      </c>
      <c r="H6261" s="1">
        <v>-3.2635120000000001E-6</v>
      </c>
      <c r="I6261">
        <v>-64.073779999999999</v>
      </c>
      <c r="J6261">
        <v>-283.41000000000003</v>
      </c>
      <c r="K6261">
        <v>1.1209979999999999</v>
      </c>
      <c r="L6261">
        <v>-61.889130000000002</v>
      </c>
      <c r="M6261">
        <v>0.99622719999999998</v>
      </c>
      <c r="N6261">
        <v>-7.2060249999999996E-3</v>
      </c>
      <c r="O6261">
        <v>-8.6483489999999996E-2</v>
      </c>
      <c r="P6261">
        <v>0.9949093</v>
      </c>
      <c r="Q6261">
        <v>-9.2410400000000004E-2</v>
      </c>
      <c r="R6261">
        <v>-4.0195990000000001E-2</v>
      </c>
      <c r="S6261">
        <v>2.9940190000000002</v>
      </c>
      <c r="T6261">
        <v>-0.13053980000000001</v>
      </c>
      <c r="U6261">
        <v>-0.25769039999999999</v>
      </c>
      <c r="V6261">
        <v>-4.5855809999999997E-2</v>
      </c>
      <c r="W6261">
        <v>-8.5318240000000004E-2</v>
      </c>
      <c r="X6261">
        <v>0.99529800000000002</v>
      </c>
      <c r="Y6261">
        <v>-6.7980799999999995E-4</v>
      </c>
      <c r="Z6261">
        <v>3.149205E-3</v>
      </c>
      <c r="AA6261">
        <v>0.99999479999999996</v>
      </c>
      <c r="AB6261">
        <v>18</v>
      </c>
      <c r="AC6261">
        <v>25.337299999999999</v>
      </c>
      <c r="AD6261">
        <v>-1.1210012635119999</v>
      </c>
      <c r="AE6261">
        <v>-2.1846499999999902</v>
      </c>
      <c r="AF6261">
        <v>-1.4821965403370101E-2</v>
      </c>
      <c r="AG6261">
        <v>-1.1210012635119999</v>
      </c>
      <c r="AH6261">
        <v>25.381987030880801</v>
      </c>
      <c r="AI6261">
        <v>92.528837409823197</v>
      </c>
      <c r="AJ6261">
        <v>90.033458214446995</v>
      </c>
      <c r="AK6261">
        <v>25.4067339333346</v>
      </c>
      <c r="AL6261">
        <v>94.894324994467993</v>
      </c>
      <c r="AM6261">
        <v>92.637891112194794</v>
      </c>
      <c r="AN6261">
        <v>1.0000000330957199</v>
      </c>
    </row>
    <row r="6262" spans="1:40" x14ac:dyDescent="0.25">
      <c r="A6262" t="str">
        <f>"20190303154647765"</f>
        <v>20190303154647765</v>
      </c>
      <c r="B6262" t="str">
        <f>"1551599207758083"</f>
        <v>1551599207758083</v>
      </c>
      <c r="C6262" t="s">
        <v>40</v>
      </c>
      <c r="D6262">
        <v>5.466234</v>
      </c>
      <c r="E6262">
        <v>0.58303179999999999</v>
      </c>
      <c r="F6262" t="s">
        <v>72</v>
      </c>
      <c r="G6262">
        <v>-207.8631</v>
      </c>
      <c r="H6262">
        <v>27.05939</v>
      </c>
      <c r="I6262">
        <v>-81.824129999999997</v>
      </c>
      <c r="J6262">
        <v>-282.77910000000003</v>
      </c>
      <c r="K6262">
        <v>1.120865</v>
      </c>
      <c r="L6262">
        <v>-61.934840000000001</v>
      </c>
      <c r="M6262">
        <v>0.99673959999999995</v>
      </c>
      <c r="N6262">
        <v>-7.3561449999999997E-3</v>
      </c>
      <c r="O6262">
        <v>-8.0350790000000005E-2</v>
      </c>
      <c r="P6262">
        <v>0.99433210000000005</v>
      </c>
      <c r="Q6262">
        <v>-9.5079350000000007E-2</v>
      </c>
      <c r="R6262">
        <v>-4.757728E-2</v>
      </c>
      <c r="S6262">
        <v>3.0807190000000002</v>
      </c>
      <c r="T6262">
        <v>1.057739</v>
      </c>
      <c r="U6262">
        <v>-0.81292719999999996</v>
      </c>
      <c r="V6262">
        <v>-3.2357009999999999E-2</v>
      </c>
      <c r="W6262">
        <v>-8.7801160000000003E-2</v>
      </c>
      <c r="X6262">
        <v>0.99561239999999995</v>
      </c>
      <c r="Y6262">
        <v>0.17212339999999901</v>
      </c>
      <c r="Z6262">
        <v>7.3798750000000002E-4</v>
      </c>
      <c r="AA6262">
        <v>0.98507509999999998</v>
      </c>
      <c r="AB6262">
        <v>19</v>
      </c>
      <c r="AC6262">
        <v>74.915999999999997</v>
      </c>
      <c r="AD6262">
        <v>25.938524999999998</v>
      </c>
      <c r="AE6262">
        <v>-19.889289999999999</v>
      </c>
      <c r="AF6262">
        <v>12.4149613451918</v>
      </c>
      <c r="AG6262">
        <v>25.938524999999998</v>
      </c>
      <c r="AH6262">
        <v>68.590758922781703</v>
      </c>
      <c r="AI6262">
        <v>69.588901655763394</v>
      </c>
      <c r="AJ6262">
        <v>79.740510830352704</v>
      </c>
      <c r="AK6262">
        <v>74.374932295642395</v>
      </c>
      <c r="AL6262">
        <v>95.037121816836503</v>
      </c>
      <c r="AM6262">
        <v>91.861435037856495</v>
      </c>
      <c r="AN6262">
        <v>1.00000003541362</v>
      </c>
    </row>
    <row r="6263" spans="1:40" x14ac:dyDescent="0.25">
      <c r="A6263" t="str">
        <f>"20190303154647775"</f>
        <v>20190303154647775</v>
      </c>
      <c r="B6263" t="str">
        <f>"1551599207767842"</f>
        <v>1551599207767842</v>
      </c>
      <c r="C6263" t="s">
        <v>40</v>
      </c>
      <c r="D6263">
        <v>5.5296089999999998</v>
      </c>
      <c r="E6263">
        <v>0.52466480000000004</v>
      </c>
      <c r="F6263" t="s">
        <v>72</v>
      </c>
      <c r="G6263">
        <v>-209.83879999999999</v>
      </c>
      <c r="H6263">
        <v>25.959530000000001</v>
      </c>
      <c r="I6263">
        <v>-81.823779999999999</v>
      </c>
      <c r="J6263">
        <v>-282.6891</v>
      </c>
      <c r="K6263">
        <v>1.120816</v>
      </c>
      <c r="L6263">
        <v>-61.941249999999997</v>
      </c>
      <c r="M6263">
        <v>0.99679700000000004</v>
      </c>
      <c r="N6263">
        <v>-7.3850239999999996E-3</v>
      </c>
      <c r="O6263">
        <v>-7.9632389999999997E-2</v>
      </c>
      <c r="P6263">
        <v>0.99418130000000005</v>
      </c>
      <c r="Q6263">
        <v>-9.6476080000000006E-2</v>
      </c>
      <c r="R6263">
        <v>-4.7916790000000001E-2</v>
      </c>
      <c r="S6263">
        <v>3.077118</v>
      </c>
      <c r="T6263">
        <v>1.0478639999999999</v>
      </c>
      <c r="U6263">
        <v>-0.83905030000000003</v>
      </c>
      <c r="V6263">
        <v>-3.1297829999999999E-2</v>
      </c>
      <c r="W6263">
        <v>-8.9164859999999999E-2</v>
      </c>
      <c r="X6263">
        <v>0.99552499999999999</v>
      </c>
      <c r="Y6263">
        <v>0.18053230000000001</v>
      </c>
      <c r="Z6263">
        <v>2.2923290000000001E-3</v>
      </c>
      <c r="AA6263">
        <v>0.98356639999999995</v>
      </c>
      <c r="AB6263">
        <v>19</v>
      </c>
      <c r="AC6263">
        <v>72.850300000000004</v>
      </c>
      <c r="AD6263">
        <v>24.838714</v>
      </c>
      <c r="AE6263">
        <v>-19.882529999999999</v>
      </c>
      <c r="AF6263">
        <v>12.649420612690401</v>
      </c>
      <c r="AG6263">
        <v>24.838714</v>
      </c>
      <c r="AH6263">
        <v>66.957969717807202</v>
      </c>
      <c r="AI6263">
        <v>69.972583174756096</v>
      </c>
      <c r="AJ6263">
        <v>79.301998681217</v>
      </c>
      <c r="AK6263">
        <v>72.528196335917102</v>
      </c>
      <c r="AL6263">
        <v>95.115564053313307</v>
      </c>
      <c r="AM6263">
        <v>91.800701256198096</v>
      </c>
      <c r="AN6263">
        <v>0.99999997602326396</v>
      </c>
    </row>
    <row r="6264" spans="1:40" x14ac:dyDescent="0.25">
      <c r="A6264" t="str">
        <f>"20190303154647787"</f>
        <v>20190303154647787</v>
      </c>
      <c r="B6264" t="str">
        <f>"1551599207778579"</f>
        <v>1551599207778579</v>
      </c>
      <c r="C6264" t="s">
        <v>40</v>
      </c>
      <c r="D6264">
        <v>5.4398540000000004</v>
      </c>
      <c r="E6264">
        <v>0.52293670000000003</v>
      </c>
      <c r="F6264" t="s">
        <v>45</v>
      </c>
      <c r="G6264">
        <v>0</v>
      </c>
      <c r="H6264">
        <v>0</v>
      </c>
      <c r="I6264">
        <v>0</v>
      </c>
      <c r="J6264">
        <v>-282.59960000000001</v>
      </c>
      <c r="K6264">
        <v>1.120762</v>
      </c>
      <c r="L6264">
        <v>-61.947629999999997</v>
      </c>
      <c r="M6264">
        <v>0.9968494</v>
      </c>
      <c r="N6264">
        <v>-7.4169519999999897E-3</v>
      </c>
      <c r="O6264">
        <v>-7.896947E-2</v>
      </c>
      <c r="P6264">
        <v>0.9940367</v>
      </c>
      <c r="Q6264">
        <v>-9.8052029999999998E-2</v>
      </c>
      <c r="R6264">
        <v>-4.7716399999999999E-2</v>
      </c>
      <c r="S6264">
        <v>3.003387</v>
      </c>
      <c r="T6264">
        <v>2.6831870000000001E-2</v>
      </c>
      <c r="U6264">
        <v>-0.34823609999999999</v>
      </c>
      <c r="V6264">
        <v>-3.0833530000000001E-2</v>
      </c>
      <c r="W6264">
        <v>-9.0705610000000006E-2</v>
      </c>
      <c r="X6264">
        <v>0.99540030000000002</v>
      </c>
      <c r="Y6264">
        <v>3.638052E-2</v>
      </c>
      <c r="Z6264">
        <v>-1.260061E-3</v>
      </c>
      <c r="AA6264">
        <v>0.99933720000000004</v>
      </c>
      <c r="AB6264">
        <v>19</v>
      </c>
      <c r="AC6264">
        <v>3.003387</v>
      </c>
      <c r="AD6264">
        <v>2.6831870000000001E-2</v>
      </c>
      <c r="AE6264">
        <v>-0.34823609999999999</v>
      </c>
      <c r="AF6264">
        <v>0.109957437438451</v>
      </c>
      <c r="AG6264">
        <v>2.6831870000000001E-2</v>
      </c>
      <c r="AH6264">
        <v>3.0212698467118502</v>
      </c>
      <c r="AI6264">
        <v>89.491506715691301</v>
      </c>
      <c r="AJ6264">
        <v>87.915671883096493</v>
      </c>
      <c r="AK6264">
        <v>3.0233891701112499</v>
      </c>
      <c r="AL6264">
        <v>95.204201679915798</v>
      </c>
      <c r="AM6264">
        <v>91.774227339748506</v>
      </c>
      <c r="AN6264">
        <v>0.99999998574891102</v>
      </c>
    </row>
    <row r="6265" spans="1:40" x14ac:dyDescent="0.25">
      <c r="A6265" t="str">
        <f>"20190303154647799"</f>
        <v>20190303154647799</v>
      </c>
      <c r="B6265" t="str">
        <f>"1551599207788339"</f>
        <v>1551599207788339</v>
      </c>
      <c r="C6265" t="s">
        <v>40</v>
      </c>
      <c r="D6265">
        <v>5.3951279999999997</v>
      </c>
      <c r="E6265">
        <v>0.52372909999999995</v>
      </c>
      <c r="F6265" t="s">
        <v>45</v>
      </c>
      <c r="G6265">
        <v>0</v>
      </c>
      <c r="H6265">
        <v>0</v>
      </c>
      <c r="I6265">
        <v>0</v>
      </c>
      <c r="J6265">
        <v>-282.50040000000001</v>
      </c>
      <c r="K6265">
        <v>1.120706</v>
      </c>
      <c r="L6265">
        <v>-61.954680000000003</v>
      </c>
      <c r="M6265">
        <v>0.99690380000000001</v>
      </c>
      <c r="N6265">
        <v>-7.4554440000000003E-3</v>
      </c>
      <c r="O6265">
        <v>-7.8279609999999999E-2</v>
      </c>
      <c r="P6265">
        <v>0.99394910000000003</v>
      </c>
      <c r="Q6265">
        <v>-9.8985459999999997E-2</v>
      </c>
      <c r="R6265">
        <v>-4.7623459999999999E-2</v>
      </c>
      <c r="S6265">
        <v>3.0042110000000002</v>
      </c>
      <c r="T6265">
        <v>2.2206070000000001E-2</v>
      </c>
      <c r="U6265">
        <v>-0.33367920000000001</v>
      </c>
      <c r="V6265">
        <v>-3.0244389999999999E-2</v>
      </c>
      <c r="W6265">
        <v>-9.1595979999999994E-2</v>
      </c>
      <c r="X6265">
        <v>0.99533680000000002</v>
      </c>
      <c r="Y6265">
        <v>3.2258080000000001E-2</v>
      </c>
      <c r="Z6265">
        <v>-1.160428E-3</v>
      </c>
      <c r="AA6265">
        <v>0.99947889999999995</v>
      </c>
      <c r="AB6265">
        <v>19</v>
      </c>
      <c r="AC6265">
        <v>3.0042110000000002</v>
      </c>
      <c r="AD6265">
        <v>2.2206070000000001E-2</v>
      </c>
      <c r="AE6265">
        <v>-0.33367920000000001</v>
      </c>
      <c r="AF6265">
        <v>9.7475022642314196E-2</v>
      </c>
      <c r="AG6265">
        <v>2.2206070000000001E-2</v>
      </c>
      <c r="AH6265">
        <v>3.0209498542245599</v>
      </c>
      <c r="AI6265">
        <v>89.579063051184207</v>
      </c>
      <c r="AJ6265">
        <v>88.151915555250696</v>
      </c>
      <c r="AK6265">
        <v>3.02260359811262</v>
      </c>
      <c r="AL6265">
        <v>95.255429590509195</v>
      </c>
      <c r="AM6265">
        <v>91.740458974833899</v>
      </c>
      <c r="AN6265">
        <v>0.99999994605643405</v>
      </c>
    </row>
    <row r="6266" spans="1:40" x14ac:dyDescent="0.25">
      <c r="A6266" t="str">
        <f>"20190303154647810"</f>
        <v>20190303154647810</v>
      </c>
      <c r="B6266" t="str">
        <f>"1551599207798099"</f>
        <v>1551599207798099</v>
      </c>
      <c r="C6266" t="s">
        <v>40</v>
      </c>
      <c r="D6266">
        <v>5.4692730000000003</v>
      </c>
      <c r="E6266">
        <v>0.52356590000000003</v>
      </c>
      <c r="F6266" t="s">
        <v>45</v>
      </c>
      <c r="G6266">
        <v>0</v>
      </c>
      <c r="H6266">
        <v>0</v>
      </c>
      <c r="I6266">
        <v>0</v>
      </c>
      <c r="J6266">
        <v>-282.40629999999999</v>
      </c>
      <c r="K6266">
        <v>1.120649</v>
      </c>
      <c r="L6266">
        <v>-61.961399999999998</v>
      </c>
      <c r="M6266">
        <v>0.9969479</v>
      </c>
      <c r="N6266">
        <v>-7.4992749999999997E-3</v>
      </c>
      <c r="O6266">
        <v>-7.7710420000000002E-2</v>
      </c>
      <c r="P6266">
        <v>0.99387650000000005</v>
      </c>
      <c r="Q6266">
        <v>-9.9734420000000004E-2</v>
      </c>
      <c r="R6266">
        <v>-4.7571500000000003E-2</v>
      </c>
      <c r="S6266">
        <v>3.0028990000000002</v>
      </c>
      <c r="T6266">
        <v>9.1614720000000004E-3</v>
      </c>
      <c r="U6266">
        <v>-0.33950809999999998</v>
      </c>
      <c r="V6266">
        <v>-2.9736039999999998E-2</v>
      </c>
      <c r="W6266">
        <v>-9.2296749999999997E-2</v>
      </c>
      <c r="X6266">
        <v>0.99528740000000004</v>
      </c>
      <c r="Y6266">
        <v>3.4788479999999997E-2</v>
      </c>
      <c r="Z6266">
        <v>-8.9586119999999895E-4</v>
      </c>
      <c r="AA6266">
        <v>0.99939429999999996</v>
      </c>
      <c r="AB6266">
        <v>19</v>
      </c>
      <c r="AC6266">
        <v>3.0028990000000002</v>
      </c>
      <c r="AD6266">
        <v>9.1614720000000004E-3</v>
      </c>
      <c r="AE6266">
        <v>-0.33950809999999998</v>
      </c>
      <c r="AF6266">
        <v>0.105117320809152</v>
      </c>
      <c r="AG6266">
        <v>9.1614720000000004E-3</v>
      </c>
      <c r="AH6266">
        <v>3.0201739420450902</v>
      </c>
      <c r="AI6266">
        <v>89.826303241738898</v>
      </c>
      <c r="AJ6266">
        <v>88.006621891332799</v>
      </c>
      <c r="AK6266">
        <v>3.02201658233562</v>
      </c>
      <c r="AL6266">
        <v>95.295751459842705</v>
      </c>
      <c r="AM6266">
        <v>91.711307634385903</v>
      </c>
      <c r="AN6266">
        <v>0.99999996536710101</v>
      </c>
    </row>
    <row r="6267" spans="1:40" x14ac:dyDescent="0.25">
      <c r="A6267" t="str">
        <f>"20190303154647825"</f>
        <v>20190303154647825</v>
      </c>
      <c r="B6267" t="str">
        <f>"1551599207818595"</f>
        <v>1551599207818595</v>
      </c>
      <c r="C6267" t="s">
        <v>40</v>
      </c>
      <c r="D6267">
        <v>5.4972409999999998</v>
      </c>
      <c r="E6267">
        <v>0.52030350000000003</v>
      </c>
      <c r="F6267" t="s">
        <v>45</v>
      </c>
      <c r="G6267">
        <v>0</v>
      </c>
      <c r="H6267">
        <v>0</v>
      </c>
      <c r="I6267">
        <v>0</v>
      </c>
      <c r="J6267">
        <v>-282.28629999999998</v>
      </c>
      <c r="K6267">
        <v>1.1205750000000001</v>
      </c>
      <c r="L6267">
        <v>-61.969970000000004</v>
      </c>
      <c r="M6267">
        <v>0.99699899999999997</v>
      </c>
      <c r="N6267">
        <v>-7.5607740000000001E-3</v>
      </c>
      <c r="O6267">
        <v>-7.7044080000000001E-2</v>
      </c>
      <c r="P6267">
        <v>0.99385420000000002</v>
      </c>
      <c r="Q6267">
        <v>-0.1000852</v>
      </c>
      <c r="R6267">
        <v>-4.7295999999999998E-2</v>
      </c>
      <c r="S6267">
        <v>3.0031430000000001</v>
      </c>
      <c r="T6267">
        <v>8.0363750000000001E-3</v>
      </c>
      <c r="U6267">
        <v>-0.33807369999999998</v>
      </c>
      <c r="V6267">
        <v>-2.9362240000000001E-2</v>
      </c>
      <c r="W6267">
        <v>-9.258036E-2</v>
      </c>
      <c r="X6267">
        <v>0.99527220000000005</v>
      </c>
      <c r="Y6267">
        <v>3.4975729999999997E-2</v>
      </c>
      <c r="Z6267">
        <v>-8.728831E-4</v>
      </c>
      <c r="AA6267">
        <v>0.99938780000000005</v>
      </c>
      <c r="AB6267">
        <v>19</v>
      </c>
      <c r="AC6267">
        <v>3.0031430000000001</v>
      </c>
      <c r="AD6267">
        <v>8.0363750000000001E-3</v>
      </c>
      <c r="AE6267">
        <v>-0.33807369999999998</v>
      </c>
      <c r="AF6267">
        <v>0.105687026849219</v>
      </c>
      <c r="AG6267">
        <v>8.0363750000000001E-3</v>
      </c>
      <c r="AH6267">
        <v>3.0202421744224699</v>
      </c>
      <c r="AI6267">
        <v>89.847638829583801</v>
      </c>
      <c r="AJ6267">
        <v>87.9958723752043</v>
      </c>
      <c r="AK6267">
        <v>3.0221014415680298</v>
      </c>
      <c r="AL6267">
        <v>95.312070762459996</v>
      </c>
      <c r="AM6267">
        <v>91.689833806590499</v>
      </c>
      <c r="AN6267">
        <v>1.00000000814419</v>
      </c>
    </row>
    <row r="6268" spans="1:40" x14ac:dyDescent="0.25">
      <c r="A6268" t="str">
        <f>"20190303154647835"</f>
        <v>20190303154647835</v>
      </c>
      <c r="B6268" t="str">
        <f>"1551599207828355"</f>
        <v>1551599207828355</v>
      </c>
      <c r="C6268" t="s">
        <v>40</v>
      </c>
      <c r="D6268">
        <v>5.4472750000000003</v>
      </c>
      <c r="E6268">
        <v>0.51910529999999999</v>
      </c>
      <c r="F6268" t="s">
        <v>43</v>
      </c>
      <c r="G6268">
        <v>-110.63420000000001</v>
      </c>
      <c r="H6268">
        <v>-0.05</v>
      </c>
      <c r="I6268">
        <v>-79.732039999999998</v>
      </c>
      <c r="J6268">
        <v>-282.19130000000001</v>
      </c>
      <c r="K6268">
        <v>1.120522</v>
      </c>
      <c r="L6268">
        <v>-61.976779999999998</v>
      </c>
      <c r="M6268">
        <v>0.99703269999999999</v>
      </c>
      <c r="N6268">
        <v>-7.6177559999999998E-3</v>
      </c>
      <c r="O6268">
        <v>-7.6603160000000003E-2</v>
      </c>
      <c r="P6268">
        <v>0.99388659999999995</v>
      </c>
      <c r="Q6268">
        <v>-9.9903229999999996E-2</v>
      </c>
      <c r="R6268">
        <v>-4.6999640000000002E-2</v>
      </c>
      <c r="S6268">
        <v>3.001709</v>
      </c>
      <c r="T6268">
        <v>-2.0470019999999998E-2</v>
      </c>
      <c r="U6268">
        <v>-0.31060789999999999</v>
      </c>
      <c r="V6268">
        <v>-2.9234759999999999E-2</v>
      </c>
      <c r="W6268">
        <v>-9.2336779999999993E-2</v>
      </c>
      <c r="X6268">
        <v>0.99529860000000003</v>
      </c>
      <c r="Y6268">
        <v>2.6425219999999999E-2</v>
      </c>
      <c r="Z6268">
        <v>-2.5369349999999999E-4</v>
      </c>
      <c r="AA6268">
        <v>0.99965079999999995</v>
      </c>
      <c r="AB6268">
        <v>19</v>
      </c>
      <c r="AC6268">
        <v>171.55709999999999</v>
      </c>
      <c r="AD6268">
        <v>-1.1705219999999901</v>
      </c>
      <c r="AE6268">
        <v>-17.7552599999999</v>
      </c>
      <c r="AF6268">
        <v>4.5606804760027</v>
      </c>
      <c r="AG6268">
        <v>-1.1705219999999901</v>
      </c>
      <c r="AH6268">
        <v>172.405185413537</v>
      </c>
      <c r="AI6268">
        <v>90.388860042969995</v>
      </c>
      <c r="AJ6268">
        <v>88.484692814225895</v>
      </c>
      <c r="AK6268">
        <v>172.469469430484</v>
      </c>
      <c r="AL6268">
        <v>95.298054515242697</v>
      </c>
      <c r="AM6268">
        <v>91.682456796322398</v>
      </c>
      <c r="AN6268">
        <v>1.0000000276474901</v>
      </c>
    </row>
    <row r="6269" spans="1:40" x14ac:dyDescent="0.25">
      <c r="A6269" t="str">
        <f>"20190303154647847"</f>
        <v>20190303154647847</v>
      </c>
      <c r="B6269" t="str">
        <f>"1551599207837647"</f>
        <v>1551599207837647</v>
      </c>
      <c r="C6269" t="s">
        <v>40</v>
      </c>
      <c r="D6269">
        <v>5.5010180000000002</v>
      </c>
      <c r="E6269">
        <v>0.51837800000000001</v>
      </c>
      <c r="F6269" t="s">
        <v>43</v>
      </c>
      <c r="G6269">
        <v>-143.49950000000001</v>
      </c>
      <c r="H6269">
        <v>-0.05</v>
      </c>
      <c r="I6269">
        <v>-75.833129999999997</v>
      </c>
      <c r="J6269">
        <v>-282.09750000000003</v>
      </c>
      <c r="K6269">
        <v>1.120471</v>
      </c>
      <c r="L6269">
        <v>-61.983550000000001</v>
      </c>
      <c r="M6269">
        <v>0.99706130000000004</v>
      </c>
      <c r="N6269">
        <v>-7.6783700000000003E-3</v>
      </c>
      <c r="O6269">
        <v>-7.6224109999999998E-2</v>
      </c>
      <c r="P6269">
        <v>0.99395080000000002</v>
      </c>
      <c r="Q6269">
        <v>-9.9285590000000007E-2</v>
      </c>
      <c r="R6269">
        <v>-4.6953799999999997E-2</v>
      </c>
      <c r="S6269">
        <v>3.0017399999999999</v>
      </c>
      <c r="T6269">
        <v>-2.533388E-2</v>
      </c>
      <c r="U6269">
        <v>-0.2998962</v>
      </c>
      <c r="V6269">
        <v>-2.892194E-2</v>
      </c>
      <c r="W6269">
        <v>-9.1653769999999996E-2</v>
      </c>
      <c r="X6269">
        <v>0.99537089999999995</v>
      </c>
      <c r="Y6269">
        <v>2.3273039999999998E-2</v>
      </c>
      <c r="Z6269">
        <v>-1.3172719999999901E-4</v>
      </c>
      <c r="AA6269">
        <v>0.99972919999999998</v>
      </c>
      <c r="AB6269">
        <v>19</v>
      </c>
      <c r="AC6269">
        <v>138.59799999999899</v>
      </c>
      <c r="AD6269">
        <v>-1.17047099999999</v>
      </c>
      <c r="AE6269">
        <v>-13.84958</v>
      </c>
      <c r="AF6269">
        <v>3.2442370960037801</v>
      </c>
      <c r="AG6269">
        <v>-1.17047099999999</v>
      </c>
      <c r="AH6269">
        <v>139.240625111047</v>
      </c>
      <c r="AI6269">
        <v>90.481492195859701</v>
      </c>
      <c r="AJ6269">
        <v>88.665278413375404</v>
      </c>
      <c r="AK6269">
        <v>139.28333266407799</v>
      </c>
      <c r="AL6269">
        <v>95.258754097721393</v>
      </c>
      <c r="AM6269">
        <v>91.664343393518493</v>
      </c>
      <c r="AN6269">
        <v>1.00000006036769</v>
      </c>
    </row>
    <row r="6270" spans="1:40" x14ac:dyDescent="0.25">
      <c r="A6270" t="str">
        <f>"20190303154647857"</f>
        <v>20190303154647857</v>
      </c>
      <c r="B6270" t="str">
        <f>"1551599207848383"</f>
        <v>1551599207848383</v>
      </c>
      <c r="C6270" t="s">
        <v>40</v>
      </c>
      <c r="D6270">
        <v>5.4791089999999896</v>
      </c>
      <c r="E6270">
        <v>0.51783020000000002</v>
      </c>
      <c r="F6270" t="s">
        <v>43</v>
      </c>
      <c r="G6270">
        <v>-154.81809999999999</v>
      </c>
      <c r="H6270">
        <v>-0.05</v>
      </c>
      <c r="I6270">
        <v>-74.444149999999993</v>
      </c>
      <c r="J6270">
        <v>-282.00990000000002</v>
      </c>
      <c r="K6270">
        <v>1.120431</v>
      </c>
      <c r="L6270">
        <v>-61.989870000000003</v>
      </c>
      <c r="M6270">
        <v>0.99708410000000003</v>
      </c>
      <c r="N6270">
        <v>-7.7387630000000001E-3</v>
      </c>
      <c r="O6270">
        <v>-7.5917390000000001E-2</v>
      </c>
      <c r="P6270">
        <v>0.99401119999999998</v>
      </c>
      <c r="Q6270">
        <v>-9.8812430000000007E-2</v>
      </c>
      <c r="R6270">
        <v>-4.6670749999999997E-2</v>
      </c>
      <c r="S6270">
        <v>3.0015869999999998</v>
      </c>
      <c r="T6270">
        <v>-2.7602789999999999E-2</v>
      </c>
      <c r="U6270">
        <v>-0.2938538</v>
      </c>
      <c r="V6270">
        <v>-2.8914820000000001E-2</v>
      </c>
      <c r="W6270">
        <v>-9.1116249999999996E-2</v>
      </c>
      <c r="X6270">
        <v>0.99542039999999998</v>
      </c>
      <c r="Y6270">
        <v>2.1592440000000001E-2</v>
      </c>
      <c r="Z6270" s="1">
        <v>-7.456556E-5</v>
      </c>
      <c r="AA6270">
        <v>0.99976679999999996</v>
      </c>
      <c r="AB6270">
        <v>19</v>
      </c>
      <c r="AC6270">
        <v>127.1918</v>
      </c>
      <c r="AD6270">
        <v>-1.170431</v>
      </c>
      <c r="AE6270">
        <v>-12.454279999999899</v>
      </c>
      <c r="AF6270">
        <v>2.7617460896725601</v>
      </c>
      <c r="AG6270">
        <v>-1.170431</v>
      </c>
      <c r="AH6270">
        <v>127.759525528647</v>
      </c>
      <c r="AI6270">
        <v>90.524761021443695</v>
      </c>
      <c r="AJ6270">
        <v>88.761644157911107</v>
      </c>
      <c r="AK6270">
        <v>127.79473194734901</v>
      </c>
      <c r="AL6270">
        <v>95.227827350593998</v>
      </c>
      <c r="AM6270">
        <v>91.663851198859007</v>
      </c>
      <c r="AN6270">
        <v>1.0000000052829201</v>
      </c>
    </row>
    <row r="6271" spans="1:40" x14ac:dyDescent="0.25">
      <c r="A6271" t="str">
        <f>"20190303154647869"</f>
        <v>20190303154647869</v>
      </c>
      <c r="B6271" t="str">
        <f>"1551599207858143"</f>
        <v>1551599207858143</v>
      </c>
      <c r="C6271" t="s">
        <v>40</v>
      </c>
      <c r="D6271">
        <v>5.509811</v>
      </c>
      <c r="E6271">
        <v>0.51709300000000002</v>
      </c>
      <c r="F6271" t="s">
        <v>43</v>
      </c>
      <c r="G6271">
        <v>-161.2628</v>
      </c>
      <c r="H6271">
        <v>-0.05</v>
      </c>
      <c r="I6271">
        <v>-73.59357</v>
      </c>
      <c r="J6271">
        <v>-281.91370000000001</v>
      </c>
      <c r="K6271">
        <v>1.120387</v>
      </c>
      <c r="L6271">
        <v>-61.996920000000003</v>
      </c>
      <c r="M6271">
        <v>0.99710339999999997</v>
      </c>
      <c r="N6271">
        <v>-7.8099099999999998E-3</v>
      </c>
      <c r="O6271">
        <v>-7.5655799999999995E-2</v>
      </c>
      <c r="P6271">
        <v>0.99408419999999997</v>
      </c>
      <c r="Q6271">
        <v>-9.8165550000000004E-2</v>
      </c>
      <c r="R6271">
        <v>-4.6479109999999997E-2</v>
      </c>
      <c r="S6271">
        <v>3.001617</v>
      </c>
      <c r="T6271">
        <v>-2.9095409999999999E-2</v>
      </c>
      <c r="U6271">
        <v>-0.28845209999999999</v>
      </c>
      <c r="V6271">
        <v>-2.8863570000000002E-2</v>
      </c>
      <c r="W6271">
        <v>-9.0393989999999994E-2</v>
      </c>
      <c r="X6271">
        <v>0.99548769999999998</v>
      </c>
      <c r="Y6271">
        <v>2.007132E-2</v>
      </c>
      <c r="Z6271" s="1">
        <v>-3.5628399999999999E-5</v>
      </c>
      <c r="AA6271">
        <v>0.99979850000000003</v>
      </c>
      <c r="AB6271">
        <v>19</v>
      </c>
      <c r="AC6271">
        <v>120.65089999999999</v>
      </c>
      <c r="AD6271">
        <v>-1.1703870000000001</v>
      </c>
      <c r="AE6271">
        <v>-11.59665</v>
      </c>
      <c r="AF6271">
        <v>2.4349660324955398</v>
      </c>
      <c r="AG6271">
        <v>-1.1703870000000001</v>
      </c>
      <c r="AH6271">
        <v>121.171175095851</v>
      </c>
      <c r="AI6271">
        <v>90.5532884847037</v>
      </c>
      <c r="AJ6271">
        <v>88.848781469940704</v>
      </c>
      <c r="AK6271">
        <v>121.201289347179</v>
      </c>
      <c r="AL6271">
        <v>95.186273600633797</v>
      </c>
      <c r="AM6271">
        <v>91.660791540685693</v>
      </c>
      <c r="AN6271">
        <v>0.99999996997627605</v>
      </c>
    </row>
    <row r="6272" spans="1:40" x14ac:dyDescent="0.25">
      <c r="A6272" t="str">
        <f>"20190303154647882"</f>
        <v>20190303154647882</v>
      </c>
      <c r="B6272" t="str">
        <f>"1551599207878638"</f>
        <v>1551599207878638</v>
      </c>
      <c r="C6272" t="s">
        <v>40</v>
      </c>
      <c r="D6272">
        <v>5.4909689999999998</v>
      </c>
      <c r="E6272">
        <v>0.51616019999999996</v>
      </c>
      <c r="F6272" t="s">
        <v>60</v>
      </c>
      <c r="G6272">
        <v>-182.30709999999999</v>
      </c>
      <c r="H6272">
        <v>7.998769E-2</v>
      </c>
      <c r="I6272">
        <v>-71.348339999999993</v>
      </c>
      <c r="J6272">
        <v>-281.79939999999999</v>
      </c>
      <c r="K6272">
        <v>1.1203350000000001</v>
      </c>
      <c r="L6272">
        <v>-62.005249999999997</v>
      </c>
      <c r="M6272">
        <v>0.99712199999999995</v>
      </c>
      <c r="N6272">
        <v>-7.8977170000000003E-3</v>
      </c>
      <c r="O6272">
        <v>-7.5401430000000005E-2</v>
      </c>
      <c r="P6272">
        <v>0.99415560000000003</v>
      </c>
      <c r="Q6272">
        <v>-9.7530580000000006E-2</v>
      </c>
      <c r="R6272">
        <v>-4.6289379999999998E-2</v>
      </c>
      <c r="S6272">
        <v>3.0015869999999998</v>
      </c>
      <c r="T6272">
        <v>-3.1351799999999999E-2</v>
      </c>
      <c r="U6272">
        <v>-0.28179929999999997</v>
      </c>
      <c r="V6272">
        <v>-2.8818949999999999E-2</v>
      </c>
      <c r="W6272">
        <v>-8.9666430000000005E-2</v>
      </c>
      <c r="X6272">
        <v>0.99555479999999996</v>
      </c>
      <c r="Y6272">
        <v>1.813116E-2</v>
      </c>
      <c r="Z6272" s="1">
        <v>2.3182900000000001E-5</v>
      </c>
      <c r="AA6272">
        <v>0.99983560000000005</v>
      </c>
      <c r="AB6272">
        <v>19</v>
      </c>
      <c r="AC6272">
        <v>99.4923</v>
      </c>
      <c r="AD6272">
        <v>-1.04034731</v>
      </c>
      <c r="AE6272">
        <v>-9.3430900000000001</v>
      </c>
      <c r="AF6272">
        <v>1.8141988200235599</v>
      </c>
      <c r="AG6272">
        <v>-1.04034731</v>
      </c>
      <c r="AH6272">
        <v>99.902730090307003</v>
      </c>
      <c r="AI6272">
        <v>90.596535555387405</v>
      </c>
      <c r="AJ6272">
        <v>88.959642929028007</v>
      </c>
      <c r="AK6272">
        <v>99.924617184058903</v>
      </c>
      <c r="AL6272">
        <v>95.144417452326294</v>
      </c>
      <c r="AM6272">
        <v>91.658113867310902</v>
      </c>
      <c r="AN6272">
        <v>0.99999998017554304</v>
      </c>
    </row>
    <row r="6273" spans="1:40" x14ac:dyDescent="0.25">
      <c r="A6273" t="str">
        <f>"20190303154647895"</f>
        <v>20190303154647895</v>
      </c>
      <c r="B6273" t="str">
        <f>"1551599207888399"</f>
        <v>1551599207888399</v>
      </c>
      <c r="C6273" t="s">
        <v>40</v>
      </c>
      <c r="D6273">
        <v>5.5181469999999999</v>
      </c>
      <c r="E6273">
        <v>0.51574629999999999</v>
      </c>
      <c r="F6273" t="s">
        <v>60</v>
      </c>
      <c r="G6273">
        <v>-187.32169999999999</v>
      </c>
      <c r="H6273">
        <v>7.9987440000000007E-2</v>
      </c>
      <c r="I6273">
        <v>-70.621380000000002</v>
      </c>
      <c r="J6273">
        <v>-281.6866</v>
      </c>
      <c r="K6273">
        <v>1.120287</v>
      </c>
      <c r="L6273">
        <v>-62.013579999999997</v>
      </c>
      <c r="M6273">
        <v>0.99713130000000005</v>
      </c>
      <c r="N6273">
        <v>-7.9898290000000004E-3</v>
      </c>
      <c r="O6273">
        <v>-7.5268760000000004E-2</v>
      </c>
      <c r="P6273">
        <v>0.99414849999999999</v>
      </c>
      <c r="Q6273">
        <v>-9.768665E-2</v>
      </c>
      <c r="R6273">
        <v>-4.6112460000000001E-2</v>
      </c>
      <c r="S6273">
        <v>3.0016479999999999</v>
      </c>
      <c r="T6273">
        <v>-3.30528E-2</v>
      </c>
      <c r="U6273">
        <v>-0.27374270000000001</v>
      </c>
      <c r="V6273">
        <v>-2.8876240000000001E-2</v>
      </c>
      <c r="W6273">
        <v>-8.9726539999999994E-2</v>
      </c>
      <c r="X6273">
        <v>0.99554779999999998</v>
      </c>
      <c r="Y6273">
        <v>1.560155E-2</v>
      </c>
      <c r="Z6273" s="1">
        <v>7.6524929999999998E-5</v>
      </c>
      <c r="AA6273">
        <v>0.9998783</v>
      </c>
      <c r="AB6273">
        <v>19</v>
      </c>
      <c r="AC6273">
        <v>94.364900000000006</v>
      </c>
      <c r="AD6273">
        <v>-1.04029956</v>
      </c>
      <c r="AE6273">
        <v>-8.6077999999999903</v>
      </c>
      <c r="AF6273">
        <v>1.4802465933856199</v>
      </c>
      <c r="AG6273">
        <v>-1.04029956</v>
      </c>
      <c r="AH6273">
        <v>94.733697213735297</v>
      </c>
      <c r="AI6273">
        <v>90.629080318457895</v>
      </c>
      <c r="AJ6273">
        <v>89.104806593299202</v>
      </c>
      <c r="AK6273">
        <v>94.750972242692299</v>
      </c>
      <c r="AL6273">
        <v>95.147875050759197</v>
      </c>
      <c r="AM6273">
        <v>91.661419908194006</v>
      </c>
      <c r="AN6273">
        <v>1.0000000556508699</v>
      </c>
    </row>
    <row r="6274" spans="1:40" x14ac:dyDescent="0.25">
      <c r="A6274" t="str">
        <f>"20190303154647911"</f>
        <v>20190303154647911</v>
      </c>
      <c r="B6274" t="str">
        <f>"1551599207907919"</f>
        <v>1551599207907919</v>
      </c>
      <c r="C6274" t="s">
        <v>40</v>
      </c>
      <c r="D6274">
        <v>5.5581639999999997</v>
      </c>
      <c r="E6274">
        <v>0.51470819999999995</v>
      </c>
      <c r="F6274" t="s">
        <v>60</v>
      </c>
      <c r="G6274">
        <v>-188.5692</v>
      </c>
      <c r="H6274">
        <v>5.2442599999999902E-2</v>
      </c>
      <c r="I6274">
        <v>-70.386020000000002</v>
      </c>
      <c r="J6274">
        <v>-281.55709999999999</v>
      </c>
      <c r="K6274">
        <v>1.120239</v>
      </c>
      <c r="L6274">
        <v>-62.023249999999997</v>
      </c>
      <c r="M6274">
        <v>0.99713600000000002</v>
      </c>
      <c r="N6274">
        <v>-8.0966400000000004E-3</v>
      </c>
      <c r="O6274">
        <v>-7.5194490000000003E-2</v>
      </c>
      <c r="P6274">
        <v>0.99406059999999996</v>
      </c>
      <c r="Q6274">
        <v>-9.8439490000000004E-2</v>
      </c>
      <c r="R6274">
        <v>-4.6401110000000002E-2</v>
      </c>
      <c r="S6274">
        <v>3.00177</v>
      </c>
      <c r="T6274">
        <v>-3.4423469999999998E-2</v>
      </c>
      <c r="U6274">
        <v>-0.26989750000000001</v>
      </c>
      <c r="V6274">
        <v>-2.852186E-2</v>
      </c>
      <c r="W6274">
        <v>-9.0369249999999998E-2</v>
      </c>
      <c r="X6274">
        <v>0.99549980000000005</v>
      </c>
      <c r="Y6274">
        <v>1.440196E-2</v>
      </c>
      <c r="Z6274">
        <v>1.098285E-4</v>
      </c>
      <c r="AA6274">
        <v>0.99989629999999996</v>
      </c>
      <c r="AB6274">
        <v>19</v>
      </c>
      <c r="AC6274">
        <v>92.987899999999996</v>
      </c>
      <c r="AD6274">
        <v>-1.0677964</v>
      </c>
      <c r="AE6274">
        <v>-8.3627699999999994</v>
      </c>
      <c r="AF6274">
        <v>1.3465093421146701</v>
      </c>
      <c r="AG6274">
        <v>-1.0677964</v>
      </c>
      <c r="AH6274">
        <v>93.341268740687795</v>
      </c>
      <c r="AI6274">
        <v>90.655349936293604</v>
      </c>
      <c r="AJ6274">
        <v>89.1735279313625</v>
      </c>
      <c r="AK6274">
        <v>93.357087179718505</v>
      </c>
      <c r="AL6274">
        <v>95.184850252445997</v>
      </c>
      <c r="AM6274">
        <v>91.641120643785698</v>
      </c>
      <c r="AN6274">
        <v>0.99999997482172998</v>
      </c>
    </row>
    <row r="6275" spans="1:40" x14ac:dyDescent="0.25">
      <c r="A6275" t="str">
        <f>"20190303154647922"</f>
        <v>20190303154647922</v>
      </c>
      <c r="B6275" t="str">
        <f>"1551599207917679"</f>
        <v>1551599207917679</v>
      </c>
      <c r="C6275" t="s">
        <v>40</v>
      </c>
      <c r="D6275">
        <v>5.6311470000000003</v>
      </c>
      <c r="E6275">
        <v>0.51421090000000003</v>
      </c>
      <c r="F6275" t="s">
        <v>73</v>
      </c>
      <c r="G6275">
        <v>-210.6138</v>
      </c>
      <c r="H6275" s="1">
        <v>-1.317679E-6</v>
      </c>
      <c r="I6275">
        <v>-68.221009999999893</v>
      </c>
      <c r="J6275">
        <v>-281.46300000000002</v>
      </c>
      <c r="K6275">
        <v>1.1202110000000001</v>
      </c>
      <c r="L6275">
        <v>-62.030270000000002</v>
      </c>
      <c r="M6275">
        <v>0.99713669999999999</v>
      </c>
      <c r="N6275">
        <v>-8.1744119999999903E-3</v>
      </c>
      <c r="O6275">
        <v>-7.5177480000000005E-2</v>
      </c>
      <c r="P6275">
        <v>0.99396079999999998</v>
      </c>
      <c r="Q6275">
        <v>-9.9344639999999998E-2</v>
      </c>
      <c r="R6275">
        <v>-4.661324E-2</v>
      </c>
      <c r="S6275">
        <v>3.001007</v>
      </c>
      <c r="T6275">
        <v>-4.7387840000000001E-2</v>
      </c>
      <c r="U6275">
        <v>-0.26217649999999998</v>
      </c>
      <c r="V6275">
        <v>-2.8295669999999998E-2</v>
      </c>
      <c r="W6275">
        <v>-9.1194789999999998E-2</v>
      </c>
      <c r="X6275">
        <v>0.99543099999999995</v>
      </c>
      <c r="Y6275">
        <v>1.189023E-2</v>
      </c>
      <c r="Z6275">
        <v>4.2627849999999999E-4</v>
      </c>
      <c r="AA6275">
        <v>0.99992919999999996</v>
      </c>
      <c r="AB6275">
        <v>19</v>
      </c>
      <c r="AC6275">
        <v>70.849199999999897</v>
      </c>
      <c r="AD6275">
        <v>-1.120212317679</v>
      </c>
      <c r="AE6275">
        <v>-6.1907399999999901</v>
      </c>
      <c r="AF6275">
        <v>0.846567965122896</v>
      </c>
      <c r="AG6275">
        <v>-1.120212317679</v>
      </c>
      <c r="AH6275">
        <v>71.096476055366395</v>
      </c>
      <c r="AI6275">
        <v>90.9026267188529</v>
      </c>
      <c r="AJ6275">
        <v>89.317793483490405</v>
      </c>
      <c r="AK6275">
        <v>71.110340038896894</v>
      </c>
      <c r="AL6275">
        <v>95.232346174823803</v>
      </c>
      <c r="AM6275">
        <v>91.628225387295302</v>
      </c>
      <c r="AN6275">
        <v>1.00000000521244</v>
      </c>
    </row>
    <row r="6276" spans="1:40" x14ac:dyDescent="0.25">
      <c r="A6276" t="str">
        <f>"20190303154647932"</f>
        <v>20190303154647932</v>
      </c>
      <c r="B6276" t="str">
        <f>"1551599207928415"</f>
        <v>1551599207928415</v>
      </c>
      <c r="C6276" t="s">
        <v>40</v>
      </c>
      <c r="D6276">
        <v>5.5767429999999996</v>
      </c>
      <c r="E6276">
        <v>0.51377479999999998</v>
      </c>
      <c r="F6276" t="s">
        <v>73</v>
      </c>
      <c r="G6276">
        <v>-218.75829999999999</v>
      </c>
      <c r="H6276" s="1">
        <v>-4.0910320000000003E-6</v>
      </c>
      <c r="I6276">
        <v>-67.435389999999998</v>
      </c>
      <c r="J6276">
        <v>-281.3732</v>
      </c>
      <c r="K6276">
        <v>1.120188</v>
      </c>
      <c r="L6276">
        <v>-62.037080000000003</v>
      </c>
      <c r="M6276">
        <v>0.99713280000000004</v>
      </c>
      <c r="N6276">
        <v>-8.2461659999999992E-3</v>
      </c>
      <c r="O6276">
        <v>-7.5222460000000005E-2</v>
      </c>
      <c r="P6276">
        <v>0.99389280000000002</v>
      </c>
      <c r="Q6276">
        <v>-9.9937570000000003E-2</v>
      </c>
      <c r="R6276">
        <v>-4.6793349999999997E-2</v>
      </c>
      <c r="S6276">
        <v>3.0007630000000001</v>
      </c>
      <c r="T6276">
        <v>-5.3608299999999998E-2</v>
      </c>
      <c r="U6276">
        <v>-0.25866699999999998</v>
      </c>
      <c r="V6276">
        <v>-2.816283E-2</v>
      </c>
      <c r="W6276">
        <v>-9.1714680000000007E-2</v>
      </c>
      <c r="X6276">
        <v>0.99538700000000002</v>
      </c>
      <c r="Y6276">
        <v>1.0692460000000001E-2</v>
      </c>
      <c r="Z6276">
        <v>5.7963820000000001E-4</v>
      </c>
      <c r="AA6276">
        <v>0.99994269999999996</v>
      </c>
      <c r="AB6276">
        <v>19</v>
      </c>
      <c r="AC6276">
        <v>62.614899999999999</v>
      </c>
      <c r="AD6276">
        <v>-1.120192091032</v>
      </c>
      <c r="AE6276">
        <v>-5.3983099999999897</v>
      </c>
      <c r="AF6276">
        <v>0.67259426890051799</v>
      </c>
      <c r="AG6276">
        <v>-1.120192091032</v>
      </c>
      <c r="AH6276">
        <v>62.823615023619901</v>
      </c>
      <c r="AI6276">
        <v>91.021459869628202</v>
      </c>
      <c r="AJ6276">
        <v>89.386610581768807</v>
      </c>
      <c r="AK6276">
        <v>62.837200908437701</v>
      </c>
      <c r="AL6276">
        <v>95.262259043882494</v>
      </c>
      <c r="AM6276">
        <v>91.620657023140694</v>
      </c>
      <c r="AN6276">
        <v>1.00000000364505</v>
      </c>
    </row>
    <row r="6277" spans="1:40" x14ac:dyDescent="0.25">
      <c r="A6277" t="str">
        <f>"20190303154647944"</f>
        <v>20190303154647944</v>
      </c>
      <c r="B6277" t="str">
        <f>"1551599207938175"</f>
        <v>1551599207938175</v>
      </c>
      <c r="C6277" t="s">
        <v>40</v>
      </c>
      <c r="D6277">
        <v>5.5668870000000004</v>
      </c>
      <c r="E6277">
        <v>0.51343320000000003</v>
      </c>
      <c r="F6277" t="s">
        <v>74</v>
      </c>
      <c r="G6277">
        <v>-225.01300000000001</v>
      </c>
      <c r="H6277" s="1">
        <v>-2.5775669999999998E-6</v>
      </c>
      <c r="I6277">
        <v>-66.839190000000002</v>
      </c>
      <c r="J6277">
        <v>-281.27460000000002</v>
      </c>
      <c r="K6277">
        <v>1.120166</v>
      </c>
      <c r="L6277">
        <v>-62.044559999999997</v>
      </c>
      <c r="M6277">
        <v>0.99712730000000005</v>
      </c>
      <c r="N6277">
        <v>-8.3233230000000005E-3</v>
      </c>
      <c r="O6277">
        <v>-7.5285350000000001E-2</v>
      </c>
      <c r="P6277">
        <v>0.99385210000000002</v>
      </c>
      <c r="Q6277">
        <v>-0.100087</v>
      </c>
      <c r="R6277">
        <v>-4.7335490000000001E-2</v>
      </c>
      <c r="S6277">
        <v>3.000397</v>
      </c>
      <c r="T6277">
        <v>-5.9634569999999998E-2</v>
      </c>
      <c r="U6277">
        <v>-0.25564579999999998</v>
      </c>
      <c r="V6277">
        <v>-2.7689439999999999E-2</v>
      </c>
      <c r="W6277">
        <v>-9.1785510000000001E-2</v>
      </c>
      <c r="X6277">
        <v>0.9953938</v>
      </c>
      <c r="Y6277">
        <v>9.6415400000000005E-3</v>
      </c>
      <c r="Z6277">
        <v>7.2898080000000001E-4</v>
      </c>
      <c r="AA6277">
        <v>0.99995330000000004</v>
      </c>
      <c r="AB6277">
        <v>19</v>
      </c>
      <c r="AC6277">
        <v>56.261600000000001</v>
      </c>
      <c r="AD6277">
        <v>-1.1201685775669901</v>
      </c>
      <c r="AE6277">
        <v>-4.7946299999999997</v>
      </c>
      <c r="AF6277">
        <v>0.54498662097969497</v>
      </c>
      <c r="AG6277">
        <v>-1.1201685775669901</v>
      </c>
      <c r="AH6277">
        <v>56.440685913371603</v>
      </c>
      <c r="AI6277">
        <v>91.136937216189395</v>
      </c>
      <c r="AJ6277">
        <v>89.446773858793406</v>
      </c>
      <c r="AK6277">
        <v>56.454431309075098</v>
      </c>
      <c r="AL6277">
        <v>95.266334243793494</v>
      </c>
      <c r="AM6277">
        <v>91.593418626504501</v>
      </c>
      <c r="AN6277">
        <v>1.0000000510059499</v>
      </c>
    </row>
    <row r="6278" spans="1:40" x14ac:dyDescent="0.25">
      <c r="A6278" t="str">
        <f>"20190303154647954"</f>
        <v>20190303154647954</v>
      </c>
      <c r="B6278" t="str">
        <f>"1551599207947935"</f>
        <v>1551599207947935</v>
      </c>
      <c r="C6278" t="s">
        <v>40</v>
      </c>
      <c r="D6278">
        <v>5.5588129999999998</v>
      </c>
      <c r="E6278">
        <v>0.51314979999999999</v>
      </c>
      <c r="F6278" t="s">
        <v>74</v>
      </c>
      <c r="G6278">
        <v>-228.6337</v>
      </c>
      <c r="H6278" s="1">
        <v>-3.765508E-6</v>
      </c>
      <c r="I6278">
        <v>-66.508439999999993</v>
      </c>
      <c r="J6278">
        <v>-281.1823</v>
      </c>
      <c r="K6278">
        <v>1.120152</v>
      </c>
      <c r="L6278">
        <v>-62.051639999999999</v>
      </c>
      <c r="M6278">
        <v>0.99711950000000005</v>
      </c>
      <c r="N6278">
        <v>-8.3914100000000002E-3</v>
      </c>
      <c r="O6278">
        <v>-7.5381110000000001E-2</v>
      </c>
      <c r="P6278">
        <v>0.99383569999999999</v>
      </c>
      <c r="Q6278">
        <v>-9.998079E-2</v>
      </c>
      <c r="R6278">
        <v>-4.7897629999999997E-2</v>
      </c>
      <c r="S6278">
        <v>2.9999690000000001</v>
      </c>
      <c r="T6278">
        <v>-6.3837770000000002E-2</v>
      </c>
      <c r="U6278">
        <v>-0.25439450000000002</v>
      </c>
      <c r="V6278">
        <v>-2.722757E-2</v>
      </c>
      <c r="W6278">
        <v>-9.1610330000000004E-2</v>
      </c>
      <c r="X6278">
        <v>0.99542260000000005</v>
      </c>
      <c r="Y6278">
        <v>9.1444960000000002E-3</v>
      </c>
      <c r="Z6278">
        <v>8.3070349999999997E-4</v>
      </c>
      <c r="AA6278">
        <v>0.99995789999999996</v>
      </c>
      <c r="AB6278">
        <v>19</v>
      </c>
      <c r="AC6278">
        <v>52.548599999999901</v>
      </c>
      <c r="AD6278">
        <v>-1.1201557655079999</v>
      </c>
      <c r="AE6278">
        <v>-4.4568000000000003</v>
      </c>
      <c r="AF6278">
        <v>0.48258966287829003</v>
      </c>
      <c r="AG6278">
        <v>-1.1201557655079999</v>
      </c>
      <c r="AH6278">
        <v>52.711267626203899</v>
      </c>
      <c r="AI6278">
        <v>91.217345999817297</v>
      </c>
      <c r="AJ6278">
        <v>89.475452220175995</v>
      </c>
      <c r="AK6278">
        <v>52.725376968619301</v>
      </c>
      <c r="AL6278">
        <v>95.256255115138799</v>
      </c>
      <c r="AM6278">
        <v>91.566807871482794</v>
      </c>
      <c r="AN6278">
        <v>0.99999997286078601</v>
      </c>
    </row>
    <row r="6279" spans="1:40" x14ac:dyDescent="0.25">
      <c r="A6279" t="str">
        <f>"20190303154647966"</f>
        <v>20190303154647966</v>
      </c>
      <c r="B6279" t="str">
        <f>"1551599207957695"</f>
        <v>1551599207957695</v>
      </c>
      <c r="C6279" t="s">
        <v>40</v>
      </c>
      <c r="D6279">
        <v>5.5674869999999999</v>
      </c>
      <c r="E6279">
        <v>0.51291600000000004</v>
      </c>
      <c r="F6279" t="s">
        <v>74</v>
      </c>
      <c r="G6279">
        <v>-229.98820000000001</v>
      </c>
      <c r="H6279" s="1">
        <v>-4.2095579999999996E-6</v>
      </c>
      <c r="I6279">
        <v>-66.382180000000005</v>
      </c>
      <c r="J6279">
        <v>-281.09010000000001</v>
      </c>
      <c r="K6279">
        <v>1.1201449999999999</v>
      </c>
      <c r="L6279">
        <v>-62.058689999999999</v>
      </c>
      <c r="M6279">
        <v>0.99711070000000002</v>
      </c>
      <c r="N6279">
        <v>-8.4567410000000003E-3</v>
      </c>
      <c r="O6279">
        <v>-7.5491349999999999E-2</v>
      </c>
      <c r="P6279">
        <v>0.99387420000000004</v>
      </c>
      <c r="Q6279">
        <v>-9.9144609999999994E-2</v>
      </c>
      <c r="R6279">
        <v>-4.8834200000000001E-2</v>
      </c>
      <c r="S6279">
        <v>2.9997859999999998</v>
      </c>
      <c r="T6279">
        <v>-6.5636990000000006E-2</v>
      </c>
      <c r="U6279">
        <v>-0.25375370000000003</v>
      </c>
      <c r="V6279">
        <v>-2.6409559999999999E-2</v>
      </c>
      <c r="W6279">
        <v>-9.0707850000000007E-2</v>
      </c>
      <c r="X6279">
        <v>0.9955273</v>
      </c>
      <c r="Y6279">
        <v>8.8274219999999997E-3</v>
      </c>
      <c r="Z6279">
        <v>8.7416969999999997E-4</v>
      </c>
      <c r="AA6279">
        <v>0.99996070000000004</v>
      </c>
      <c r="AB6279">
        <v>19</v>
      </c>
      <c r="AC6279">
        <v>51.101900000000001</v>
      </c>
      <c r="AD6279">
        <v>-1.1201492095579999</v>
      </c>
      <c r="AE6279">
        <v>-4.3234899999999996</v>
      </c>
      <c r="AF6279">
        <v>0.45304674872751299</v>
      </c>
      <c r="AG6279">
        <v>-1.1201492095579999</v>
      </c>
      <c r="AH6279">
        <v>51.258012292403997</v>
      </c>
      <c r="AI6279">
        <v>91.251845323071095</v>
      </c>
      <c r="AJ6279">
        <v>89.493601301397604</v>
      </c>
      <c r="AK6279">
        <v>51.272251850064499</v>
      </c>
      <c r="AL6279">
        <v>95.204330521218594</v>
      </c>
      <c r="AM6279">
        <v>91.519598224307501</v>
      </c>
      <c r="AN6279">
        <v>0.99999999197815304</v>
      </c>
    </row>
    <row r="6280" spans="1:40" x14ac:dyDescent="0.25">
      <c r="A6280" t="str">
        <f>"20190303154647976"</f>
        <v>20190303154647976</v>
      </c>
      <c r="B6280" t="str">
        <f>"1551599207968431"</f>
        <v>1551599207968431</v>
      </c>
      <c r="C6280" t="s">
        <v>40</v>
      </c>
      <c r="D6280">
        <v>5.5832490000000004</v>
      </c>
      <c r="E6280">
        <v>0.51264480000000001</v>
      </c>
      <c r="F6280" t="s">
        <v>74</v>
      </c>
      <c r="G6280">
        <v>-229.74600000000001</v>
      </c>
      <c r="H6280" s="1">
        <v>-4.1319469999999996E-6</v>
      </c>
      <c r="I6280">
        <v>-66.418120000000002</v>
      </c>
      <c r="J6280">
        <v>-280.99740000000003</v>
      </c>
      <c r="K6280">
        <v>1.1201430000000001</v>
      </c>
      <c r="L6280">
        <v>-62.065860000000001</v>
      </c>
      <c r="M6280">
        <v>0.9971004</v>
      </c>
      <c r="N6280">
        <v>-8.5189419999999998E-3</v>
      </c>
      <c r="O6280">
        <v>-7.5620939999999998E-2</v>
      </c>
      <c r="P6280">
        <v>0.99395129999999998</v>
      </c>
      <c r="Q6280">
        <v>-9.8028569999999995E-2</v>
      </c>
      <c r="R6280">
        <v>-4.9515040000000003E-2</v>
      </c>
      <c r="S6280">
        <v>2.9994200000000002</v>
      </c>
      <c r="T6280">
        <v>-6.5436839999999996E-2</v>
      </c>
      <c r="U6280">
        <v>-0.25466919999999998</v>
      </c>
      <c r="V6280">
        <v>-2.5866420000000001E-2</v>
      </c>
      <c r="W6280">
        <v>-8.9528739999999996E-2</v>
      </c>
      <c r="X6280">
        <v>0.99564830000000004</v>
      </c>
      <c r="Y6280">
        <v>9.0105519999999998E-3</v>
      </c>
      <c r="Z6280">
        <v>8.6357389999999995E-4</v>
      </c>
      <c r="AA6280">
        <v>0.99995909999999999</v>
      </c>
      <c r="AB6280">
        <v>19</v>
      </c>
      <c r="AC6280">
        <v>51.251399999999997</v>
      </c>
      <c r="AD6280">
        <v>-1.120147131947</v>
      </c>
      <c r="AE6280">
        <v>-4.3522600000000002</v>
      </c>
      <c r="AF6280">
        <v>0.463757965106676</v>
      </c>
      <c r="AG6280">
        <v>-1.120147131947</v>
      </c>
      <c r="AH6280">
        <v>51.409390411726797</v>
      </c>
      <c r="AI6280">
        <v>91.248156009511803</v>
      </c>
      <c r="AJ6280">
        <v>89.483155641825604</v>
      </c>
      <c r="AK6280">
        <v>51.423683488765697</v>
      </c>
      <c r="AL6280">
        <v>95.136496425670998</v>
      </c>
      <c r="AM6280">
        <v>91.488179517663696</v>
      </c>
      <c r="AN6280">
        <v>1.0000000021312401</v>
      </c>
    </row>
    <row r="6281" spans="1:40" x14ac:dyDescent="0.25">
      <c r="A6281" t="str">
        <f>"20190303154647988"</f>
        <v>20190303154647988</v>
      </c>
      <c r="B6281" t="str">
        <f>"1551599207978191"</f>
        <v>1551599207978191</v>
      </c>
      <c r="C6281" t="s">
        <v>40</v>
      </c>
      <c r="D6281">
        <v>5.6554890000000002</v>
      </c>
      <c r="E6281">
        <v>0.51233379999999995</v>
      </c>
      <c r="F6281" t="s">
        <v>74</v>
      </c>
      <c r="G6281">
        <v>-229.00280000000001</v>
      </c>
      <c r="H6281" s="1">
        <v>-3.886939E-6</v>
      </c>
      <c r="I6281">
        <v>-66.477130000000002</v>
      </c>
      <c r="J6281">
        <v>-280.89789999999999</v>
      </c>
      <c r="K6281">
        <v>1.1201460000000001</v>
      </c>
      <c r="L6281">
        <v>-62.073549999999997</v>
      </c>
      <c r="M6281">
        <v>0.99708830000000004</v>
      </c>
      <c r="N6281">
        <v>-8.5805350000000002E-3</v>
      </c>
      <c r="O6281">
        <v>-7.5772030000000004E-2</v>
      </c>
      <c r="P6281">
        <v>0.99397530000000001</v>
      </c>
      <c r="Q6281">
        <v>-9.7340350000000006E-2</v>
      </c>
      <c r="R6281">
        <v>-5.0379239999999999E-2</v>
      </c>
      <c r="S6281">
        <v>2.9992070000000002</v>
      </c>
      <c r="T6281">
        <v>-6.4613459999999998E-2</v>
      </c>
      <c r="U6281">
        <v>-0.2544556</v>
      </c>
      <c r="V6281">
        <v>-2.515738E-2</v>
      </c>
      <c r="W6281">
        <v>-8.8778940000000001E-2</v>
      </c>
      <c r="X6281">
        <v>0.9957336</v>
      </c>
      <c r="Y6281">
        <v>8.7940850000000001E-3</v>
      </c>
      <c r="Z6281">
        <v>8.4449699999999896E-4</v>
      </c>
      <c r="AA6281">
        <v>0.99996099999999999</v>
      </c>
      <c r="AB6281">
        <v>19</v>
      </c>
      <c r="AC6281">
        <v>51.8950999999999</v>
      </c>
      <c r="AD6281">
        <v>-1.1201498869390001</v>
      </c>
      <c r="AE6281">
        <v>-4.4035799999999998</v>
      </c>
      <c r="AF6281">
        <v>0.45836585071188701</v>
      </c>
      <c r="AG6281">
        <v>-1.1201498869390001</v>
      </c>
      <c r="AH6281">
        <v>52.055500095530697</v>
      </c>
      <c r="AI6281">
        <v>91.232674181562203</v>
      </c>
      <c r="AJ6281">
        <v>89.495504798535606</v>
      </c>
      <c r="AK6281">
        <v>52.069568129744503</v>
      </c>
      <c r="AL6281">
        <v>95.093364312159693</v>
      </c>
      <c r="AM6281">
        <v>91.447279791280195</v>
      </c>
      <c r="AN6281">
        <v>0.99999999806247397</v>
      </c>
    </row>
    <row r="6282" spans="1:40" x14ac:dyDescent="0.25">
      <c r="A6282" t="str">
        <f>"20190303154648000"</f>
        <v>20190303154648000</v>
      </c>
      <c r="B6282" t="str">
        <f>"1551599207987951"</f>
        <v>1551599207987951</v>
      </c>
      <c r="C6282" t="s">
        <v>40</v>
      </c>
      <c r="D6282">
        <v>5.597048</v>
      </c>
      <c r="E6282">
        <v>0.51209799999999905</v>
      </c>
      <c r="F6282" t="s">
        <v>75</v>
      </c>
      <c r="G6282">
        <v>-230.37440000000001</v>
      </c>
      <c r="H6282" s="1">
        <v>-7.3903020000000001E-7</v>
      </c>
      <c r="I6282">
        <v>-66.364170000000001</v>
      </c>
      <c r="J6282">
        <v>-280.79649999999998</v>
      </c>
      <c r="K6282">
        <v>1.120152</v>
      </c>
      <c r="L6282">
        <v>-62.081420000000001</v>
      </c>
      <c r="M6282">
        <v>0.99707539999999995</v>
      </c>
      <c r="N6282">
        <v>-8.6400339999999996E-3</v>
      </c>
      <c r="O6282">
        <v>-7.5933310000000004E-2</v>
      </c>
      <c r="P6282">
        <v>0.99401810000000002</v>
      </c>
      <c r="Q6282">
        <v>-9.6430269999999998E-2</v>
      </c>
      <c r="R6282">
        <v>-5.1274199999999999E-2</v>
      </c>
      <c r="S6282">
        <v>2.9987789999999999</v>
      </c>
      <c r="T6282">
        <v>-6.6485290000000002E-2</v>
      </c>
      <c r="U6282">
        <v>-0.25466919999999998</v>
      </c>
      <c r="V6282">
        <v>-2.4427330000000001E-2</v>
      </c>
      <c r="W6282">
        <v>-8.7809499999999999E-2</v>
      </c>
      <c r="X6282">
        <v>0.99583770000000005</v>
      </c>
      <c r="Y6282">
        <v>8.7154729999999996E-3</v>
      </c>
      <c r="Z6282">
        <v>8.8769800000000002E-4</v>
      </c>
      <c r="AA6282">
        <v>0.99996160000000001</v>
      </c>
      <c r="AB6282">
        <v>19</v>
      </c>
      <c r="AC6282">
        <v>50.422099999999901</v>
      </c>
      <c r="AD6282">
        <v>-1.1201527390302</v>
      </c>
      <c r="AE6282">
        <v>-4.2827500000000001</v>
      </c>
      <c r="AF6282">
        <v>0.44130798968344997</v>
      </c>
      <c r="AG6282">
        <v>-1.1201527390302</v>
      </c>
      <c r="AH6282">
        <v>50.576948525558301</v>
      </c>
      <c r="AI6282">
        <v>91.268702320545401</v>
      </c>
      <c r="AJ6282">
        <v>89.500079693294097</v>
      </c>
      <c r="AK6282">
        <v>50.591276096353702</v>
      </c>
      <c r="AL6282">
        <v>95.037601878376904</v>
      </c>
      <c r="AM6282">
        <v>91.405150968588003</v>
      </c>
      <c r="AN6282">
        <v>0.99999996374123301</v>
      </c>
    </row>
    <row r="6283" spans="1:40" x14ac:dyDescent="0.25">
      <c r="A6283" t="str">
        <f>"20190303154648010"</f>
        <v>20190303154648010</v>
      </c>
      <c r="B6283" t="str">
        <f>"1551599208008447"</f>
        <v>1551599208008447</v>
      </c>
      <c r="C6283" t="s">
        <v>40</v>
      </c>
      <c r="D6283">
        <v>5.657203</v>
      </c>
      <c r="E6283">
        <v>0.51152869999999995</v>
      </c>
      <c r="F6283" t="s">
        <v>75</v>
      </c>
      <c r="G6283">
        <v>-230.63130000000001</v>
      </c>
      <c r="H6283" s="1">
        <v>-8.4678270000000002E-7</v>
      </c>
      <c r="I6283">
        <v>-66.354929999999996</v>
      </c>
      <c r="J6283">
        <v>-280.70600000000002</v>
      </c>
      <c r="K6283">
        <v>1.1201620000000001</v>
      </c>
      <c r="L6283">
        <v>-62.088500000000003</v>
      </c>
      <c r="M6283">
        <v>0.9970639</v>
      </c>
      <c r="N6283">
        <v>-8.6844469999999997E-3</v>
      </c>
      <c r="O6283">
        <v>-7.6080369999999994E-2</v>
      </c>
      <c r="P6283">
        <v>0.99402559999999995</v>
      </c>
      <c r="Q6283">
        <v>-9.5925960000000005E-2</v>
      </c>
      <c r="R6283">
        <v>-5.2069030000000002E-2</v>
      </c>
      <c r="S6283">
        <v>2.998383</v>
      </c>
      <c r="T6283">
        <v>-6.6951629999999998E-2</v>
      </c>
      <c r="U6283">
        <v>-0.2554321</v>
      </c>
      <c r="V6283">
        <v>-2.3779829999999998E-2</v>
      </c>
      <c r="W6283">
        <v>-8.7261569999999997E-2</v>
      </c>
      <c r="X6283">
        <v>0.99590160000000005</v>
      </c>
      <c r="Y6283">
        <v>8.8317869999999903E-3</v>
      </c>
      <c r="Z6283">
        <v>8.955988E-4</v>
      </c>
      <c r="AA6283">
        <v>0.99996059999999998</v>
      </c>
      <c r="AB6283">
        <v>19</v>
      </c>
      <c r="AC6283">
        <v>50.074699999999901</v>
      </c>
      <c r="AD6283">
        <v>-1.1201628467827001</v>
      </c>
      <c r="AE6283">
        <v>-4.2664299999999997</v>
      </c>
      <c r="AF6283">
        <v>0.443997789447244</v>
      </c>
      <c r="AG6283">
        <v>-1.1201628467827001</v>
      </c>
      <c r="AH6283">
        <v>50.229206745344598</v>
      </c>
      <c r="AI6283">
        <v>91.277493017467407</v>
      </c>
      <c r="AJ6283">
        <v>89.493550892821702</v>
      </c>
      <c r="AK6283">
        <v>50.243657401774797</v>
      </c>
      <c r="AL6283">
        <v>95.006086497080503</v>
      </c>
      <c r="AM6283">
        <v>91.367830966130199</v>
      </c>
      <c r="AN6283">
        <v>1.0000000293981199</v>
      </c>
    </row>
    <row r="6284" spans="1:40" x14ac:dyDescent="0.25">
      <c r="A6284" t="str">
        <f>"20190303154648023"</f>
        <v>20190303154648023</v>
      </c>
      <c r="B6284" t="str">
        <f>"1551599208018206"</f>
        <v>1551599208018206</v>
      </c>
      <c r="C6284" t="s">
        <v>40</v>
      </c>
      <c r="D6284">
        <v>5.5952820000000001</v>
      </c>
      <c r="E6284">
        <v>0.51139040000000002</v>
      </c>
      <c r="F6284" t="s">
        <v>75</v>
      </c>
      <c r="G6284">
        <v>-234.35169999999999</v>
      </c>
      <c r="H6284" s="1">
        <v>-2.3498540000000002E-6</v>
      </c>
      <c r="I6284">
        <v>-66.005619999999993</v>
      </c>
      <c r="J6284">
        <v>-280.6062</v>
      </c>
      <c r="K6284">
        <v>1.1201760000000001</v>
      </c>
      <c r="L6284">
        <v>-62.096249999999998</v>
      </c>
      <c r="M6284">
        <v>0.99705129999999997</v>
      </c>
      <c r="N6284">
        <v>-8.7311950000000006E-3</v>
      </c>
      <c r="O6284">
        <v>-7.6241229999999993E-2</v>
      </c>
      <c r="P6284">
        <v>0.9939578</v>
      </c>
      <c r="Q6284">
        <v>-9.6118750000000003E-2</v>
      </c>
      <c r="R6284">
        <v>-5.3004089999999997E-2</v>
      </c>
      <c r="S6284">
        <v>2.9977719999999999</v>
      </c>
      <c r="T6284">
        <v>-7.2441820000000004E-2</v>
      </c>
      <c r="U6284">
        <v>-0.25332640000000001</v>
      </c>
      <c r="V6284">
        <v>-2.2999769999999999E-2</v>
      </c>
      <c r="W6284">
        <v>-8.7409180000000003E-2</v>
      </c>
      <c r="X6284">
        <v>0.99590690000000004</v>
      </c>
      <c r="Y6284">
        <v>7.9921290000000006E-3</v>
      </c>
      <c r="Z6284">
        <v>1.03922E-3</v>
      </c>
      <c r="AA6284">
        <v>0.99996750000000001</v>
      </c>
      <c r="AB6284">
        <v>19</v>
      </c>
      <c r="AC6284">
        <v>46.2545</v>
      </c>
      <c r="AD6284">
        <v>-1.1201783498540001</v>
      </c>
      <c r="AE6284">
        <v>-3.9093699999999898</v>
      </c>
      <c r="AF6284">
        <v>0.37114044660678402</v>
      </c>
      <c r="AG6284">
        <v>-1.1201783498540001</v>
      </c>
      <c r="AH6284">
        <v>46.390912797615101</v>
      </c>
      <c r="AI6284">
        <v>91.3831797184435</v>
      </c>
      <c r="AJ6284">
        <v>89.5416273090689</v>
      </c>
      <c r="AK6284">
        <v>46.405919180235202</v>
      </c>
      <c r="AL6284">
        <v>95.014576746906499</v>
      </c>
      <c r="AM6284">
        <v>91.322970597119195</v>
      </c>
      <c r="AN6284">
        <v>0.99999995381796603</v>
      </c>
    </row>
    <row r="6285" spans="1:40" x14ac:dyDescent="0.25">
      <c r="A6285" t="str">
        <f>"20190303154648033"</f>
        <v>20190303154648033</v>
      </c>
      <c r="B6285" t="str">
        <f>"1551599208027967"</f>
        <v>1551599208027967</v>
      </c>
      <c r="C6285" t="s">
        <v>40</v>
      </c>
      <c r="D6285">
        <v>5.6037239999999997</v>
      </c>
      <c r="E6285">
        <v>0.51127100000000003</v>
      </c>
      <c r="F6285" t="s">
        <v>75</v>
      </c>
      <c r="G6285">
        <v>-235.78700000000001</v>
      </c>
      <c r="H6285" s="1">
        <v>-2.8237880000000001E-6</v>
      </c>
      <c r="I6285">
        <v>-65.910609999999906</v>
      </c>
      <c r="J6285">
        <v>-280.51049999999998</v>
      </c>
      <c r="K6285">
        <v>1.1201920000000001</v>
      </c>
      <c r="L6285">
        <v>-62.103760000000001</v>
      </c>
      <c r="M6285">
        <v>0.99704020000000004</v>
      </c>
      <c r="N6285">
        <v>-8.7659469999999996E-3</v>
      </c>
      <c r="O6285">
        <v>-7.6381909999999997E-2</v>
      </c>
      <c r="P6285">
        <v>0.99386070000000004</v>
      </c>
      <c r="Q6285">
        <v>-9.6564259999999999E-2</v>
      </c>
      <c r="R6285">
        <v>-5.4002550000000003E-2</v>
      </c>
      <c r="S6285">
        <v>2.9973749999999999</v>
      </c>
      <c r="T6285">
        <v>-7.4914099999999997E-2</v>
      </c>
      <c r="U6285">
        <v>-0.2550964</v>
      </c>
      <c r="V6285">
        <v>-2.213323E-2</v>
      </c>
      <c r="W6285">
        <v>-8.78221E-2</v>
      </c>
      <c r="X6285">
        <v>0.99589030000000001</v>
      </c>
      <c r="Y6285">
        <v>8.4489669999999999E-3</v>
      </c>
      <c r="Z6285">
        <v>1.090539E-3</v>
      </c>
      <c r="AA6285">
        <v>0.99996370000000001</v>
      </c>
      <c r="AB6285">
        <v>19</v>
      </c>
      <c r="AC6285">
        <v>44.723499999999902</v>
      </c>
      <c r="AD6285">
        <v>-1.1201948237879999</v>
      </c>
      <c r="AE6285">
        <v>-3.8068499999999901</v>
      </c>
      <c r="AF6285">
        <v>0.37929443622074099</v>
      </c>
      <c r="AG6285">
        <v>-1.1201948237879999</v>
      </c>
      <c r="AH6285">
        <v>44.855683751096898</v>
      </c>
      <c r="AI6285">
        <v>91.430516702103603</v>
      </c>
      <c r="AJ6285">
        <v>89.515525110005697</v>
      </c>
      <c r="AK6285">
        <v>44.871272162609799</v>
      </c>
      <c r="AL6285">
        <v>95.038326192671903</v>
      </c>
      <c r="AM6285">
        <v>91.273164259529196</v>
      </c>
      <c r="AN6285">
        <v>1.00000004537636</v>
      </c>
    </row>
    <row r="6286" spans="1:40" x14ac:dyDescent="0.25">
      <c r="A6286" t="str">
        <f>"20190303154648045"</f>
        <v>20190303154648045</v>
      </c>
      <c r="B6286" t="str">
        <f>"1551599208038182"</f>
        <v>1551599208038182</v>
      </c>
      <c r="C6286" t="s">
        <v>40</v>
      </c>
      <c r="D6286">
        <v>5.6467619999999998</v>
      </c>
      <c r="E6286">
        <v>0.51121709999999998</v>
      </c>
      <c r="F6286" t="s">
        <v>75</v>
      </c>
      <c r="G6286">
        <v>-237.5145</v>
      </c>
      <c r="H6286" s="1">
        <v>-3.3909200000000001E-6</v>
      </c>
      <c r="I6286">
        <v>-65.793669999999906</v>
      </c>
      <c r="J6286">
        <v>-280.41800000000001</v>
      </c>
      <c r="K6286">
        <v>1.1202080000000001</v>
      </c>
      <c r="L6286">
        <v>-62.110990000000001</v>
      </c>
      <c r="M6286">
        <v>0.99703010000000003</v>
      </c>
      <c r="N6286">
        <v>-8.7969039999999995E-3</v>
      </c>
      <c r="O6286">
        <v>-7.6509930000000004E-2</v>
      </c>
      <c r="P6286">
        <v>0.99373339999999999</v>
      </c>
      <c r="Q6286">
        <v>-9.7388130000000003E-2</v>
      </c>
      <c r="R6286">
        <v>-5.4861199999999999E-2</v>
      </c>
      <c r="S6286">
        <v>2.9969480000000002</v>
      </c>
      <c r="T6286">
        <v>-7.808089E-2</v>
      </c>
      <c r="U6286">
        <v>-0.25720209999999999</v>
      </c>
      <c r="V6286">
        <v>-2.1390909999999999E-2</v>
      </c>
      <c r="W6286">
        <v>-8.8617379999999996E-2</v>
      </c>
      <c r="X6286">
        <v>0.99583600000000005</v>
      </c>
      <c r="Y6286">
        <v>9.0308920000000004E-3</v>
      </c>
      <c r="Z6286">
        <v>1.1562569999999999E-3</v>
      </c>
      <c r="AA6286">
        <v>0.99995860000000003</v>
      </c>
      <c r="AB6286">
        <v>19</v>
      </c>
      <c r="AC6286">
        <v>42.903500000000001</v>
      </c>
      <c r="AD6286">
        <v>-1.12021139092</v>
      </c>
      <c r="AE6286">
        <v>-3.6826799999999902</v>
      </c>
      <c r="AF6286">
        <v>0.38895083151089199</v>
      </c>
      <c r="AG6286">
        <v>-1.12021139092</v>
      </c>
      <c r="AH6286">
        <v>43.030384146108901</v>
      </c>
      <c r="AI6286">
        <v>91.491185183283406</v>
      </c>
      <c r="AJ6286">
        <v>89.482118632435601</v>
      </c>
      <c r="AK6286">
        <v>43.046720154634102</v>
      </c>
      <c r="AL6286">
        <v>95.084071094432801</v>
      </c>
      <c r="AM6286">
        <v>91.230544401060598</v>
      </c>
      <c r="AN6286">
        <v>0.99999997498234505</v>
      </c>
    </row>
    <row r="6287" spans="1:40" x14ac:dyDescent="0.25">
      <c r="A6287" t="str">
        <f>"20190303154648055"</f>
        <v>20190303154648055</v>
      </c>
      <c r="B6287" t="str">
        <f>"1551599208047943"</f>
        <v>1551599208047943</v>
      </c>
      <c r="C6287" t="s">
        <v>40</v>
      </c>
      <c r="D6287">
        <v>5.6677739999999996</v>
      </c>
      <c r="E6287">
        <v>0.51109059999999995</v>
      </c>
      <c r="F6287" t="s">
        <v>75</v>
      </c>
      <c r="G6287">
        <v>-239.6103</v>
      </c>
      <c r="H6287" s="1">
        <v>-4.0776340000000002E-6</v>
      </c>
      <c r="I6287">
        <v>-65.644319999999993</v>
      </c>
      <c r="J6287">
        <v>-280.31729999999999</v>
      </c>
      <c r="K6287">
        <v>1.1202350000000001</v>
      </c>
      <c r="L6287">
        <v>-62.118870000000001</v>
      </c>
      <c r="M6287">
        <v>0.99702069999999998</v>
      </c>
      <c r="N6287">
        <v>-8.8237449999999992E-3</v>
      </c>
      <c r="O6287">
        <v>-7.6629149999999993E-2</v>
      </c>
      <c r="P6287">
        <v>0.99361250000000001</v>
      </c>
      <c r="Q6287">
        <v>-9.8266240000000005E-2</v>
      </c>
      <c r="R6287">
        <v>-5.5483629999999999E-2</v>
      </c>
      <c r="S6287">
        <v>2.9965519999999999</v>
      </c>
      <c r="T6287">
        <v>-8.2258220000000007E-2</v>
      </c>
      <c r="U6287">
        <v>-0.25946039999999998</v>
      </c>
      <c r="V6287">
        <v>-2.0874090000000001E-2</v>
      </c>
      <c r="W6287">
        <v>-8.9471239999999994E-2</v>
      </c>
      <c r="X6287">
        <v>0.99577059999999995</v>
      </c>
      <c r="Y6287">
        <v>9.6717910000000008E-3</v>
      </c>
      <c r="Z6287">
        <v>1.2448239999999901E-3</v>
      </c>
      <c r="AA6287">
        <v>0.99995239999999996</v>
      </c>
      <c r="AB6287">
        <v>19</v>
      </c>
      <c r="AC6287">
        <v>40.707000000000001</v>
      </c>
      <c r="AD6287">
        <v>-1.1202390776340001</v>
      </c>
      <c r="AE6287">
        <v>-3.5254500000000002</v>
      </c>
      <c r="AF6287">
        <v>0.39532202823985901</v>
      </c>
      <c r="AG6287">
        <v>-1.1202390776340001</v>
      </c>
      <c r="AH6287">
        <v>40.826772137202397</v>
      </c>
      <c r="AI6287">
        <v>91.571661450635204</v>
      </c>
      <c r="AJ6287">
        <v>89.445227365936404</v>
      </c>
      <c r="AK6287">
        <v>40.844051442530997</v>
      </c>
      <c r="AL6287">
        <v>95.133188865006204</v>
      </c>
      <c r="AM6287">
        <v>91.200901207484094</v>
      </c>
      <c r="AN6287">
        <v>0.99999995912241102</v>
      </c>
    </row>
    <row r="6288" spans="1:40" x14ac:dyDescent="0.25">
      <c r="A6288" t="str">
        <f>"20190303154648067"</f>
        <v>20190303154648067</v>
      </c>
      <c r="B6288" t="str">
        <f>"1551599208057702"</f>
        <v>1551599208057702</v>
      </c>
      <c r="C6288" t="s">
        <v>40</v>
      </c>
      <c r="D6288">
        <v>5.6298329999999996</v>
      </c>
      <c r="E6288">
        <v>0.51099030000000001</v>
      </c>
      <c r="F6288" t="s">
        <v>76</v>
      </c>
      <c r="G6288">
        <v>-240.87469999999999</v>
      </c>
      <c r="H6288" s="1">
        <v>-7.3616349999999999E-7</v>
      </c>
      <c r="I6288">
        <v>-65.546689999999998</v>
      </c>
      <c r="J6288">
        <v>-280.21969999999999</v>
      </c>
      <c r="K6288">
        <v>1.1202589999999999</v>
      </c>
      <c r="L6288">
        <v>-62.1265</v>
      </c>
      <c r="M6288">
        <v>0.99701320000000004</v>
      </c>
      <c r="N6288">
        <v>-8.8455219999999998E-3</v>
      </c>
      <c r="O6288">
        <v>-7.6724600000000004E-2</v>
      </c>
      <c r="P6288">
        <v>0.99349639999999995</v>
      </c>
      <c r="Q6288">
        <v>-9.9192370000000002E-2</v>
      </c>
      <c r="R6288">
        <v>-5.5908689999999997E-2</v>
      </c>
      <c r="S6288">
        <v>2.9963380000000002</v>
      </c>
      <c r="T6288">
        <v>-8.5101010000000005E-2</v>
      </c>
      <c r="U6288">
        <v>-0.26040649999999999</v>
      </c>
      <c r="V6288">
        <v>-2.0529579999999999E-2</v>
      </c>
      <c r="W6288">
        <v>-9.0378219999999995E-2</v>
      </c>
      <c r="X6288">
        <v>0.99569589999999997</v>
      </c>
      <c r="Y6288">
        <v>9.8964710000000004E-3</v>
      </c>
      <c r="Z6288">
        <v>1.3086720000000001E-3</v>
      </c>
      <c r="AA6288">
        <v>0.99995020000000001</v>
      </c>
      <c r="AB6288">
        <v>19</v>
      </c>
      <c r="AC6288">
        <v>39.344999999999999</v>
      </c>
      <c r="AD6288">
        <v>-1.1202597361635001</v>
      </c>
      <c r="AE6288">
        <v>-3.4201899999999901</v>
      </c>
      <c r="AF6288">
        <v>0.39094589033626298</v>
      </c>
      <c r="AG6288">
        <v>-1.1202597361635001</v>
      </c>
      <c r="AH6288">
        <v>39.459687635417602</v>
      </c>
      <c r="AI6288">
        <v>91.626109457713497</v>
      </c>
      <c r="AJ6288">
        <v>89.432362037796594</v>
      </c>
      <c r="AK6288">
        <v>39.477522324107099</v>
      </c>
      <c r="AL6288">
        <v>95.185366146311196</v>
      </c>
      <c r="AM6288">
        <v>91.181175547571399</v>
      </c>
      <c r="AN6288">
        <v>1.0000000057910701</v>
      </c>
    </row>
    <row r="6289" spans="1:40" x14ac:dyDescent="0.25">
      <c r="A6289" t="str">
        <f>"20190303154648080"</f>
        <v>20190303154648080</v>
      </c>
      <c r="B6289" t="str">
        <f>"1551599208068438"</f>
        <v>1551599208068438</v>
      </c>
      <c r="C6289" t="s">
        <v>40</v>
      </c>
      <c r="D6289">
        <v>5.6510280000000002</v>
      </c>
      <c r="E6289">
        <v>0.51093449999999996</v>
      </c>
      <c r="F6289" t="s">
        <v>76</v>
      </c>
      <c r="G6289">
        <v>-242.89500000000001</v>
      </c>
      <c r="H6289" s="1">
        <v>-1.5575450000000001E-6</v>
      </c>
      <c r="I6289">
        <v>-65.376390000000001</v>
      </c>
      <c r="J6289">
        <v>-280.1096</v>
      </c>
      <c r="K6289">
        <v>1.12029</v>
      </c>
      <c r="L6289">
        <v>-62.135100000000001</v>
      </c>
      <c r="M6289">
        <v>0.99700630000000001</v>
      </c>
      <c r="N6289">
        <v>-8.8660379999999997E-3</v>
      </c>
      <c r="O6289">
        <v>-7.6813049999999994E-2</v>
      </c>
      <c r="P6289">
        <v>0.99337569999999997</v>
      </c>
      <c r="Q6289">
        <v>-0.10030890000000001</v>
      </c>
      <c r="R6289">
        <v>-5.6069809999999998E-2</v>
      </c>
      <c r="S6289">
        <v>2.9959410000000002</v>
      </c>
      <c r="T6289">
        <v>-8.991992E-2</v>
      </c>
      <c r="U6289">
        <v>-0.26086429999999999</v>
      </c>
      <c r="V6289">
        <v>-2.0440159999999999E-2</v>
      </c>
      <c r="W6289">
        <v>-9.1477160000000002E-2</v>
      </c>
      <c r="X6289">
        <v>0.99559739999999997</v>
      </c>
      <c r="Y6289">
        <v>9.9727080000000003E-3</v>
      </c>
      <c r="Z6289">
        <v>1.422602E-3</v>
      </c>
      <c r="AA6289">
        <v>0.99994930000000004</v>
      </c>
      <c r="AB6289">
        <v>19</v>
      </c>
      <c r="AC6289">
        <v>37.214599999999898</v>
      </c>
      <c r="AD6289">
        <v>-1.1202915575450001</v>
      </c>
      <c r="AE6289">
        <v>-3.2412899999999998</v>
      </c>
      <c r="AF6289">
        <v>0.37269899841849402</v>
      </c>
      <c r="AG6289">
        <v>-1.1202915575450001</v>
      </c>
      <c r="AH6289">
        <v>37.320058754835003</v>
      </c>
      <c r="AI6289">
        <v>91.719330377388204</v>
      </c>
      <c r="AJ6289">
        <v>89.427831292273694</v>
      </c>
      <c r="AK6289">
        <v>37.338729801396099</v>
      </c>
      <c r="AL6289">
        <v>95.248592578092797</v>
      </c>
      <c r="AM6289">
        <v>91.176148507816094</v>
      </c>
      <c r="AN6289">
        <v>1.0000000269146201</v>
      </c>
    </row>
    <row r="6290" spans="1:40" x14ac:dyDescent="0.25">
      <c r="A6290" t="str">
        <f>"20190303154648092"</f>
        <v>20190303154648092</v>
      </c>
      <c r="B6290" t="str">
        <f>"1551599208087958"</f>
        <v>1551599208087958</v>
      </c>
      <c r="C6290" t="s">
        <v>40</v>
      </c>
      <c r="D6290">
        <v>5.6069110000000002</v>
      </c>
      <c r="E6290">
        <v>0.51069299999999995</v>
      </c>
      <c r="F6290" t="s">
        <v>76</v>
      </c>
      <c r="G6290">
        <v>-244.8458</v>
      </c>
      <c r="H6290" s="1">
        <v>-2.3491640000000002E-6</v>
      </c>
      <c r="I6290">
        <v>-65.206249999999997</v>
      </c>
      <c r="J6290">
        <v>-280.00450000000001</v>
      </c>
      <c r="K6290">
        <v>1.120331</v>
      </c>
      <c r="L6290">
        <v>-62.143279999999997</v>
      </c>
      <c r="M6290">
        <v>0.99700339999999998</v>
      </c>
      <c r="N6290">
        <v>-8.8780390000000008E-3</v>
      </c>
      <c r="O6290">
        <v>-7.6847299999999993E-2</v>
      </c>
      <c r="P6290">
        <v>0.99329080000000003</v>
      </c>
      <c r="Q6290">
        <v>-0.10109990000000001</v>
      </c>
      <c r="R6290">
        <v>-5.6145399999999998E-2</v>
      </c>
      <c r="S6290">
        <v>2.9956049999999999</v>
      </c>
      <c r="T6290">
        <v>-9.5167039999999994E-2</v>
      </c>
      <c r="U6290">
        <v>-0.26089479999999998</v>
      </c>
      <c r="V6290">
        <v>-2.0383140000000001E-2</v>
      </c>
      <c r="W6290">
        <v>-9.2259170000000001E-2</v>
      </c>
      <c r="X6290">
        <v>0.99552640000000003</v>
      </c>
      <c r="Y6290">
        <v>9.9604470000000007E-3</v>
      </c>
      <c r="Z6290">
        <v>1.548174E-3</v>
      </c>
      <c r="AA6290">
        <v>0.99994919999999998</v>
      </c>
      <c r="AB6290">
        <v>19</v>
      </c>
      <c r="AC6290">
        <v>35.158700000000003</v>
      </c>
      <c r="AD6290">
        <v>-1.120333349164</v>
      </c>
      <c r="AE6290">
        <v>-3.0629699999999902</v>
      </c>
      <c r="AF6290">
        <v>0.35159987093705097</v>
      </c>
      <c r="AG6290">
        <v>-1.120333349164</v>
      </c>
      <c r="AH6290">
        <v>35.254586145343097</v>
      </c>
      <c r="AI6290">
        <v>91.820063598132904</v>
      </c>
      <c r="AJ6290">
        <v>89.428598573489296</v>
      </c>
      <c r="AK6290">
        <v>35.274135192260999</v>
      </c>
      <c r="AL6290">
        <v>95.293588768147899</v>
      </c>
      <c r="AM6290">
        <v>91.172952058753097</v>
      </c>
      <c r="AN6290">
        <v>1.0000000199711501</v>
      </c>
    </row>
    <row r="6291" spans="1:40" x14ac:dyDescent="0.25">
      <c r="A6291" t="str">
        <f>"20190303154648112"</f>
        <v>20190303154648112</v>
      </c>
      <c r="B6291" t="str">
        <f>"1551599208108454"</f>
        <v>1551599208108454</v>
      </c>
      <c r="C6291" t="s">
        <v>40</v>
      </c>
      <c r="D6291">
        <v>5.6938779999999998</v>
      </c>
      <c r="E6291">
        <v>0.51043950000000005</v>
      </c>
      <c r="F6291" t="s">
        <v>76</v>
      </c>
      <c r="G6291">
        <v>-246.84119999999999</v>
      </c>
      <c r="H6291" s="1">
        <v>-3.0230469999999999E-6</v>
      </c>
      <c r="I6291">
        <v>-65.011510000000001</v>
      </c>
      <c r="J6291">
        <v>-279.83710000000002</v>
      </c>
      <c r="K6291">
        <v>1.1203989999999999</v>
      </c>
      <c r="L6291">
        <v>-62.15625</v>
      </c>
      <c r="M6291">
        <v>0.99700429999999995</v>
      </c>
      <c r="N6291">
        <v>-8.8901459999999998E-3</v>
      </c>
      <c r="O6291">
        <v>-7.683384E-2</v>
      </c>
      <c r="P6291">
        <v>0.99336089999999999</v>
      </c>
      <c r="Q6291">
        <v>-0.1008744</v>
      </c>
      <c r="R6291">
        <v>-5.5304689999999997E-2</v>
      </c>
      <c r="S6291">
        <v>2.9952999999999999</v>
      </c>
      <c r="T6291">
        <v>-0.10118820000000001</v>
      </c>
      <c r="U6291">
        <v>-0.25906370000000001</v>
      </c>
      <c r="V6291">
        <v>-2.119534E-2</v>
      </c>
      <c r="W6291">
        <v>-9.2025410000000002E-2</v>
      </c>
      <c r="X6291">
        <v>0.9955311</v>
      </c>
      <c r="Y6291">
        <v>9.3793339999999996E-3</v>
      </c>
      <c r="Z6291">
        <v>1.703385E-3</v>
      </c>
      <c r="AA6291">
        <v>0.99995460000000003</v>
      </c>
      <c r="AB6291">
        <v>19</v>
      </c>
      <c r="AC6291">
        <v>32.995899999999999</v>
      </c>
      <c r="AD6291">
        <v>-1.120402023047</v>
      </c>
      <c r="AE6291">
        <v>-2.8552599999999999</v>
      </c>
      <c r="AF6291">
        <v>0.31116099859813501</v>
      </c>
      <c r="AG6291">
        <v>-1.120402023047</v>
      </c>
      <c r="AH6291">
        <v>33.079885234914002</v>
      </c>
      <c r="AI6291">
        <v>91.939757057790004</v>
      </c>
      <c r="AJ6291">
        <v>89.461071703845406</v>
      </c>
      <c r="AK6291">
        <v>33.1003161467588</v>
      </c>
      <c r="AL6291">
        <v>95.280137954303498</v>
      </c>
      <c r="AM6291">
        <v>91.219670673303298</v>
      </c>
      <c r="AN6291">
        <v>1.0000000447952899</v>
      </c>
    </row>
    <row r="6292" spans="1:40" x14ac:dyDescent="0.25">
      <c r="A6292" t="str">
        <f>"20190303154648123"</f>
        <v>20190303154648123</v>
      </c>
      <c r="B6292" t="str">
        <f>"1551599208118214"</f>
        <v>1551599208118214</v>
      </c>
      <c r="C6292" t="s">
        <v>40</v>
      </c>
      <c r="D6292">
        <v>5.6792879999999997</v>
      </c>
      <c r="E6292">
        <v>0.51028419999999997</v>
      </c>
      <c r="F6292" t="s">
        <v>76</v>
      </c>
      <c r="G6292">
        <v>-247.58850000000001</v>
      </c>
      <c r="H6292" s="1">
        <v>-3.2568229999999999E-6</v>
      </c>
      <c r="I6292">
        <v>-64.89573</v>
      </c>
      <c r="J6292">
        <v>-279.73590000000002</v>
      </c>
      <c r="K6292">
        <v>1.1204430000000001</v>
      </c>
      <c r="L6292">
        <v>-62.164029999999997</v>
      </c>
      <c r="M6292">
        <v>0.99700829999999996</v>
      </c>
      <c r="N6292">
        <v>-8.8934689999999993E-3</v>
      </c>
      <c r="O6292">
        <v>-7.6782729999999993E-2</v>
      </c>
      <c r="P6292">
        <v>0.99350260000000001</v>
      </c>
      <c r="Q6292">
        <v>-9.9726250000000002E-2</v>
      </c>
      <c r="R6292">
        <v>-5.4840729999999997E-2</v>
      </c>
      <c r="S6292">
        <v>2.9953310000000002</v>
      </c>
      <c r="T6292">
        <v>-0.1040657</v>
      </c>
      <c r="U6292">
        <v>-0.2544556</v>
      </c>
      <c r="V6292">
        <v>-2.1605880000000001E-2</v>
      </c>
      <c r="W6292">
        <v>-9.0875769999999995E-2</v>
      </c>
      <c r="X6292">
        <v>0.99562779999999995</v>
      </c>
      <c r="Y6292">
        <v>7.9051469999999995E-3</v>
      </c>
      <c r="Z6292">
        <v>1.8030850000000001E-3</v>
      </c>
      <c r="AA6292">
        <v>0.99996719999999895</v>
      </c>
      <c r="AB6292">
        <v>19</v>
      </c>
      <c r="AC6292">
        <v>32.147399999999998</v>
      </c>
      <c r="AD6292">
        <v>-1.120446256823</v>
      </c>
      <c r="AE6292">
        <v>-2.7316999999999898</v>
      </c>
      <c r="AF6292">
        <v>0.25486512024242097</v>
      </c>
      <c r="AG6292">
        <v>-1.120446256823</v>
      </c>
      <c r="AH6292">
        <v>32.223381118805101</v>
      </c>
      <c r="AI6292">
        <v>91.991379569827203</v>
      </c>
      <c r="AJ6292">
        <v>89.546838638986401</v>
      </c>
      <c r="AK6292">
        <v>32.243862156567197</v>
      </c>
      <c r="AL6292">
        <v>95.213991655590107</v>
      </c>
      <c r="AM6292">
        <v>91.243166843063406</v>
      </c>
      <c r="AN6292">
        <v>0.99999996787825296</v>
      </c>
    </row>
    <row r="6293" spans="1:40" x14ac:dyDescent="0.25">
      <c r="A6293" t="str">
        <f>"20190303154648134"</f>
        <v>20190303154648134</v>
      </c>
      <c r="B6293" t="str">
        <f>"1551599208127974"</f>
        <v>1551599208127974</v>
      </c>
      <c r="C6293" t="s">
        <v>40</v>
      </c>
      <c r="D6293">
        <v>5.6503730000000001</v>
      </c>
      <c r="E6293">
        <v>0.51016130000000004</v>
      </c>
      <c r="F6293" t="s">
        <v>76</v>
      </c>
      <c r="G6293">
        <v>-246.90280000000001</v>
      </c>
      <c r="H6293" s="1">
        <v>-3.0282489999999999E-6</v>
      </c>
      <c r="I6293">
        <v>-64.922579999999996</v>
      </c>
      <c r="J6293">
        <v>-279.63929999999999</v>
      </c>
      <c r="K6293">
        <v>1.1204940000000001</v>
      </c>
      <c r="L6293">
        <v>-62.171390000000002</v>
      </c>
      <c r="M6293">
        <v>0.99701620000000002</v>
      </c>
      <c r="N6293">
        <v>-8.8921250000000007E-3</v>
      </c>
      <c r="O6293">
        <v>-7.6679869999999997E-2</v>
      </c>
      <c r="P6293">
        <v>0.99367740000000004</v>
      </c>
      <c r="Q6293">
        <v>-9.8471110000000001E-2</v>
      </c>
      <c r="R6293">
        <v>-5.3932870000000001E-2</v>
      </c>
      <c r="S6293">
        <v>2.9954830000000001</v>
      </c>
      <c r="T6293">
        <v>-0.1022223</v>
      </c>
      <c r="U6293">
        <v>-0.25167850000000003</v>
      </c>
      <c r="V6293">
        <v>-2.2410280000000001E-2</v>
      </c>
      <c r="W6293">
        <v>-8.9624019999999999E-2</v>
      </c>
      <c r="X6293">
        <v>0.99572349999999998</v>
      </c>
      <c r="Y6293">
        <v>7.0830809999999998E-3</v>
      </c>
      <c r="Z6293">
        <v>1.77362299999999E-3</v>
      </c>
      <c r="AA6293">
        <v>0.99997340000000001</v>
      </c>
      <c r="AB6293">
        <v>19</v>
      </c>
      <c r="AC6293">
        <v>32.7364999999999</v>
      </c>
      <c r="AD6293">
        <v>-1.1204970282490001</v>
      </c>
      <c r="AE6293">
        <v>-2.7511899999999998</v>
      </c>
      <c r="AF6293">
        <v>0.23248915690659899</v>
      </c>
      <c r="AG6293">
        <v>-1.1204970282490001</v>
      </c>
      <c r="AH6293">
        <v>32.8129056195109</v>
      </c>
      <c r="AI6293">
        <v>91.955730623655498</v>
      </c>
      <c r="AJ6293">
        <v>89.594049221689602</v>
      </c>
      <c r="AK6293">
        <v>32.832854581856303</v>
      </c>
      <c r="AL6293">
        <v>95.141977679957407</v>
      </c>
      <c r="AM6293">
        <v>91.2893114648422</v>
      </c>
      <c r="AN6293">
        <v>0.99999998703144399</v>
      </c>
    </row>
    <row r="6294" spans="1:40" x14ac:dyDescent="0.25">
      <c r="A6294" t="str">
        <f>"20190303154648146"</f>
        <v>20190303154648146</v>
      </c>
      <c r="B6294" t="str">
        <f>"1551599208138241"</f>
        <v>1551599208138241</v>
      </c>
      <c r="C6294" t="s">
        <v>40</v>
      </c>
      <c r="D6294">
        <v>5.60663</v>
      </c>
      <c r="E6294">
        <v>0.51022979999999996</v>
      </c>
      <c r="F6294" t="s">
        <v>76</v>
      </c>
      <c r="G6294">
        <v>-245.9982</v>
      </c>
      <c r="H6294" s="1">
        <v>-2.726376E-6</v>
      </c>
      <c r="I6294">
        <v>-64.956119999999999</v>
      </c>
      <c r="J6294">
        <v>-279.5403</v>
      </c>
      <c r="K6294">
        <v>1.120552</v>
      </c>
      <c r="L6294">
        <v>-62.178890000000003</v>
      </c>
      <c r="M6294">
        <v>0.99702659999999999</v>
      </c>
      <c r="N6294">
        <v>-8.8891850000000008E-3</v>
      </c>
      <c r="O6294">
        <v>-7.6547190000000001E-2</v>
      </c>
      <c r="P6294">
        <v>0.99386319999999995</v>
      </c>
      <c r="Q6294">
        <v>-9.7022499999999998E-2</v>
      </c>
      <c r="R6294">
        <v>-5.3130240000000002E-2</v>
      </c>
      <c r="S6294">
        <v>2.9957280000000002</v>
      </c>
      <c r="T6294">
        <v>-9.9779839999999995E-2</v>
      </c>
      <c r="U6294">
        <v>-0.24798580000000001</v>
      </c>
      <c r="V6294">
        <v>-2.3080349999999999E-2</v>
      </c>
      <c r="W6294">
        <v>-8.8180540000000002E-2</v>
      </c>
      <c r="X6294">
        <v>0.99583710000000003</v>
      </c>
      <c r="Y6294">
        <v>5.9846949999999999E-3</v>
      </c>
      <c r="Z6294">
        <v>1.7343339999999999E-3</v>
      </c>
      <c r="AA6294">
        <v>0.9999806</v>
      </c>
      <c r="AB6294">
        <v>19</v>
      </c>
      <c r="AC6294">
        <v>33.542099999999998</v>
      </c>
      <c r="AD6294">
        <v>-1.1205547263760001</v>
      </c>
      <c r="AE6294">
        <v>-2.7772299999999901</v>
      </c>
      <c r="AF6294">
        <v>0.20120356211596099</v>
      </c>
      <c r="AG6294">
        <v>-1.1205547263760001</v>
      </c>
      <c r="AH6294">
        <v>33.6190106863978</v>
      </c>
      <c r="AI6294">
        <v>91.908983845599394</v>
      </c>
      <c r="AJ6294">
        <v>89.657099448740894</v>
      </c>
      <c r="AK6294">
        <v>33.638281842275198</v>
      </c>
      <c r="AL6294">
        <v>95.058943406861005</v>
      </c>
      <c r="AM6294">
        <v>91.327697007063804</v>
      </c>
      <c r="AN6294">
        <v>1.0000000199636101</v>
      </c>
    </row>
    <row r="6295" spans="1:40" x14ac:dyDescent="0.25">
      <c r="A6295" t="str">
        <f>"20190303154648156"</f>
        <v>20190303154648156</v>
      </c>
      <c r="B6295" t="str">
        <f>"1551599208148001"</f>
        <v>1551599208148001</v>
      </c>
      <c r="C6295" t="s">
        <v>40</v>
      </c>
      <c r="D6295">
        <v>5.5999299999999996</v>
      </c>
      <c r="E6295">
        <v>0.51033260000000003</v>
      </c>
      <c r="F6295" t="s">
        <v>76</v>
      </c>
      <c r="G6295">
        <v>-244.20849999999999</v>
      </c>
      <c r="H6295" s="1">
        <v>-2.042412E-6</v>
      </c>
      <c r="I6295">
        <v>-65.080919999999907</v>
      </c>
      <c r="J6295">
        <v>-279.44130000000001</v>
      </c>
      <c r="K6295">
        <v>1.1206119999999999</v>
      </c>
      <c r="L6295">
        <v>-62.186399999999999</v>
      </c>
      <c r="M6295">
        <v>0.99703969999999997</v>
      </c>
      <c r="N6295">
        <v>-8.8838659999999903E-3</v>
      </c>
      <c r="O6295">
        <v>-7.6372410000000002E-2</v>
      </c>
      <c r="P6295">
        <v>0.99404970000000004</v>
      </c>
      <c r="Q6295">
        <v>-9.5859269999999996E-2</v>
      </c>
      <c r="R6295">
        <v>-5.1730539999999998E-2</v>
      </c>
      <c r="S6295">
        <v>2.9960939999999998</v>
      </c>
      <c r="T6295">
        <v>-9.5021610000000006E-2</v>
      </c>
      <c r="U6295">
        <v>-0.2460938</v>
      </c>
      <c r="V6295">
        <v>-2.430365E-2</v>
      </c>
      <c r="W6295">
        <v>-8.7025690000000003E-2</v>
      </c>
      <c r="X6295">
        <v>0.99590959999999995</v>
      </c>
      <c r="Y6295">
        <v>5.5204420000000004E-3</v>
      </c>
      <c r="Z6295">
        <v>1.623626E-3</v>
      </c>
      <c r="AA6295">
        <v>0.99998339999999997</v>
      </c>
      <c r="AB6295">
        <v>20</v>
      </c>
      <c r="AC6295">
        <v>35.232799999999997</v>
      </c>
      <c r="AD6295">
        <v>-1.1206140424119999</v>
      </c>
      <c r="AE6295">
        <v>-2.8945199999999902</v>
      </c>
      <c r="AF6295">
        <v>0.194949330041259</v>
      </c>
      <c r="AG6295">
        <v>-1.1206140424119999</v>
      </c>
      <c r="AH6295">
        <v>35.315473456503398</v>
      </c>
      <c r="AI6295">
        <v>91.817445299061404</v>
      </c>
      <c r="AJ6295">
        <v>89.683717665919801</v>
      </c>
      <c r="AK6295">
        <v>35.333786190137197</v>
      </c>
      <c r="AL6295">
        <v>94.992519931802207</v>
      </c>
      <c r="AM6295">
        <v>91.397938373424196</v>
      </c>
      <c r="AN6295">
        <v>1.00000003474772</v>
      </c>
    </row>
    <row r="6296" spans="1:40" x14ac:dyDescent="0.25">
      <c r="A6296" t="str">
        <f>"20190303154648167"</f>
        <v>20190303154648167</v>
      </c>
      <c r="B6296" t="str">
        <f>"1551599208157761"</f>
        <v>1551599208157761</v>
      </c>
      <c r="C6296" t="s">
        <v>40</v>
      </c>
      <c r="D6296">
        <v>5.637111</v>
      </c>
      <c r="E6296">
        <v>0.5102835</v>
      </c>
      <c r="F6296" t="s">
        <v>76</v>
      </c>
      <c r="G6296">
        <v>-242.53909999999999</v>
      </c>
      <c r="H6296" s="1">
        <v>-1.351636E-6</v>
      </c>
      <c r="I6296">
        <v>-65.176369999999906</v>
      </c>
      <c r="J6296">
        <v>-279.35250000000002</v>
      </c>
      <c r="K6296">
        <v>1.1206640000000001</v>
      </c>
      <c r="L6296">
        <v>-62.192990000000002</v>
      </c>
      <c r="M6296">
        <v>0.99705460000000001</v>
      </c>
      <c r="N6296">
        <v>-8.8771170000000003E-3</v>
      </c>
      <c r="O6296">
        <v>-7.6179469999999999E-2</v>
      </c>
      <c r="P6296">
        <v>0.99420310000000001</v>
      </c>
      <c r="Q6296">
        <v>-9.5075010000000001E-2</v>
      </c>
      <c r="R6296">
        <v>-5.0211260000000001E-2</v>
      </c>
      <c r="S6296">
        <v>2.9965519999999999</v>
      </c>
      <c r="T6296">
        <v>-9.099662E-2</v>
      </c>
      <c r="U6296">
        <v>-0.24279790000000001</v>
      </c>
      <c r="V6296">
        <v>-2.562745E-2</v>
      </c>
      <c r="W6296">
        <v>-8.6251549999999996E-2</v>
      </c>
      <c r="X6296">
        <v>0.99594369999999999</v>
      </c>
      <c r="Y6296">
        <v>4.6074139999999998E-3</v>
      </c>
      <c r="Z6296">
        <v>1.539199E-3</v>
      </c>
      <c r="AA6296">
        <v>0.99998819999999999</v>
      </c>
      <c r="AB6296">
        <v>20</v>
      </c>
      <c r="AC6296">
        <v>36.813400000000001</v>
      </c>
      <c r="AD6296">
        <v>-1.1206653516359999</v>
      </c>
      <c r="AE6296">
        <v>-2.9833799999999799</v>
      </c>
      <c r="AF6296">
        <v>0.170017630102722</v>
      </c>
      <c r="AG6296">
        <v>-1.1206653516359999</v>
      </c>
      <c r="AH6296">
        <v>36.899725644020101</v>
      </c>
      <c r="AI6296">
        <v>91.7395517754059</v>
      </c>
      <c r="AJ6296">
        <v>89.736008234641005</v>
      </c>
      <c r="AK6296">
        <v>36.917130839609698</v>
      </c>
      <c r="AL6296">
        <v>94.947997861949702</v>
      </c>
      <c r="AM6296">
        <v>91.473999761771296</v>
      </c>
      <c r="AN6296">
        <v>0.99999997482029701</v>
      </c>
    </row>
    <row r="6297" spans="1:40" x14ac:dyDescent="0.25">
      <c r="A6297" t="str">
        <f>"20190303154648178"</f>
        <v>20190303154648178</v>
      </c>
      <c r="B6297" t="str">
        <f>"1551599208168497"</f>
        <v>1551599208168497</v>
      </c>
      <c r="C6297" t="s">
        <v>40</v>
      </c>
      <c r="D6297">
        <v>5.6609800000000003</v>
      </c>
      <c r="E6297">
        <v>0.5102835</v>
      </c>
      <c r="F6297" t="s">
        <v>76</v>
      </c>
      <c r="G6297">
        <v>-241.45570000000001</v>
      </c>
      <c r="H6297" s="1">
        <v>-8.9311980000000001E-7</v>
      </c>
      <c r="I6297">
        <v>-65.199819999999903</v>
      </c>
      <c r="J6297">
        <v>-279.25139999999999</v>
      </c>
      <c r="K6297">
        <v>1.1207180000000001</v>
      </c>
      <c r="L6297">
        <v>-62.200499999999998</v>
      </c>
      <c r="M6297">
        <v>0.99707369999999995</v>
      </c>
      <c r="N6297">
        <v>-8.8678539999999997E-3</v>
      </c>
      <c r="O6297">
        <v>-7.5930570000000003E-2</v>
      </c>
      <c r="P6297">
        <v>0.99429990000000001</v>
      </c>
      <c r="Q6297">
        <v>-9.491658E-2</v>
      </c>
      <c r="R6297">
        <v>-4.8564789999999997E-2</v>
      </c>
      <c r="S6297">
        <v>2.9969790000000001</v>
      </c>
      <c r="T6297">
        <v>-8.862507E-2</v>
      </c>
      <c r="U6297">
        <v>-0.237793</v>
      </c>
      <c r="V6297">
        <v>-2.701638E-2</v>
      </c>
      <c r="W6297">
        <v>-8.6107080000000003E-2</v>
      </c>
      <c r="X6297">
        <v>0.99591949999999996</v>
      </c>
      <c r="Y6297">
        <v>3.185907E-3</v>
      </c>
      <c r="Z6297">
        <v>1.503702E-3</v>
      </c>
      <c r="AA6297">
        <v>0.99999380000000004</v>
      </c>
      <c r="AB6297">
        <v>20</v>
      </c>
      <c r="AC6297">
        <v>37.795699999999897</v>
      </c>
      <c r="AD6297">
        <v>-1.1207188931198</v>
      </c>
      <c r="AE6297">
        <v>-2.9993199999999902</v>
      </c>
      <c r="AF6297">
        <v>0.12059342070012199</v>
      </c>
      <c r="AG6297">
        <v>-1.1207188931198</v>
      </c>
      <c r="AH6297">
        <v>37.881229955667997</v>
      </c>
      <c r="AI6297">
        <v>91.694596845477406</v>
      </c>
      <c r="AJ6297">
        <v>89.817601732833296</v>
      </c>
      <c r="AK6297">
        <v>37.897996471643602</v>
      </c>
      <c r="AL6297">
        <v>94.939689393349397</v>
      </c>
      <c r="AM6297">
        <v>91.553885655134806</v>
      </c>
      <c r="AN6297">
        <v>0.99999998224733999</v>
      </c>
    </row>
    <row r="6298" spans="1:40" x14ac:dyDescent="0.25">
      <c r="A6298" t="str">
        <f>"20190303154648189"</f>
        <v>20190303154648189</v>
      </c>
      <c r="B6298" t="str">
        <f>"1551599208178258"</f>
        <v>1551599208178258</v>
      </c>
      <c r="C6298" t="s">
        <v>40</v>
      </c>
      <c r="D6298">
        <v>5.6323689999999997</v>
      </c>
      <c r="E6298">
        <v>0.49082009999999998</v>
      </c>
      <c r="F6298" t="s">
        <v>76</v>
      </c>
      <c r="G6298">
        <v>-241.1326</v>
      </c>
      <c r="H6298" s="1">
        <v>-7.4413069999999903E-7</v>
      </c>
      <c r="I6298">
        <v>-65.16086</v>
      </c>
      <c r="J6298">
        <v>-279.15949999999998</v>
      </c>
      <c r="K6298">
        <v>1.12076</v>
      </c>
      <c r="L6298">
        <v>-62.207210000000003</v>
      </c>
      <c r="M6298">
        <v>0.99709449999999999</v>
      </c>
      <c r="N6298">
        <v>-8.8560749999999997E-3</v>
      </c>
      <c r="O6298">
        <v>-7.5657779999999994E-2</v>
      </c>
      <c r="P6298">
        <v>0.99434009999999995</v>
      </c>
      <c r="Q6298">
        <v>-9.5318700000000006E-2</v>
      </c>
      <c r="R6298">
        <v>-4.6927650000000001E-2</v>
      </c>
      <c r="S6298">
        <v>2.9974059999999998</v>
      </c>
      <c r="T6298">
        <v>-8.8125819999999994E-2</v>
      </c>
      <c r="U6298">
        <v>-0.2327881</v>
      </c>
      <c r="V6298">
        <v>-2.8369229999999999E-2</v>
      </c>
      <c r="W6298">
        <v>-8.6525859999999996E-2</v>
      </c>
      <c r="X6298">
        <v>0.9958456</v>
      </c>
      <c r="Y6298">
        <v>1.7892540000000001E-3</v>
      </c>
      <c r="Z6298">
        <v>1.5132469999999999E-3</v>
      </c>
      <c r="AA6298">
        <v>0.99999729999999998</v>
      </c>
      <c r="AB6298">
        <v>20</v>
      </c>
      <c r="AC6298">
        <v>38.026899999999898</v>
      </c>
      <c r="AD6298">
        <v>-1.1207607441306999</v>
      </c>
      <c r="AE6298">
        <v>-2.9536500000000001</v>
      </c>
      <c r="AF6298">
        <v>6.7981307128659393E-2</v>
      </c>
      <c r="AG6298">
        <v>-1.1207607441306999</v>
      </c>
      <c r="AH6298">
        <v>38.108471383029197</v>
      </c>
      <c r="AI6298">
        <v>91.6845664967868</v>
      </c>
      <c r="AJ6298">
        <v>89.897790761181895</v>
      </c>
      <c r="AK6298">
        <v>38.125009078751198</v>
      </c>
      <c r="AL6298">
        <v>94.963773528236302</v>
      </c>
      <c r="AM6298">
        <v>91.631776710597805</v>
      </c>
      <c r="AN6298">
        <v>0.99999999834944597</v>
      </c>
    </row>
    <row r="6299" spans="1:40" x14ac:dyDescent="0.25">
      <c r="A6299" t="str">
        <f>"20190303154648200"</f>
        <v>20190303154648200</v>
      </c>
      <c r="B6299" t="str">
        <f>"1551599208197776"</f>
        <v>1551599208197776</v>
      </c>
      <c r="C6299" t="s">
        <v>40</v>
      </c>
      <c r="D6299">
        <v>5.6995329999999997</v>
      </c>
      <c r="E6299">
        <v>0.48714819999999998</v>
      </c>
      <c r="F6299" t="s">
        <v>71</v>
      </c>
      <c r="G6299">
        <v>-258.95580000000001</v>
      </c>
      <c r="H6299" s="1">
        <v>-3.3782889999999998E-6</v>
      </c>
      <c r="I6299">
        <v>-62.684170000000002</v>
      </c>
      <c r="J6299">
        <v>-279.05759999999998</v>
      </c>
      <c r="K6299">
        <v>1.120806</v>
      </c>
      <c r="L6299">
        <v>-62.214660000000002</v>
      </c>
      <c r="M6299">
        <v>0.99711870000000002</v>
      </c>
      <c r="N6299">
        <v>-8.8418980000000008E-3</v>
      </c>
      <c r="O6299">
        <v>-7.5340260000000006E-2</v>
      </c>
      <c r="P6299">
        <v>0.99430390000000002</v>
      </c>
      <c r="Q6299">
        <v>-9.6350420000000006E-2</v>
      </c>
      <c r="R6299">
        <v>-4.5568289999999997E-2</v>
      </c>
      <c r="S6299">
        <v>2.9978030000000002</v>
      </c>
      <c r="T6299">
        <v>-0.1662979</v>
      </c>
      <c r="U6299">
        <v>-7.0770260000000001E-2</v>
      </c>
      <c r="V6299">
        <v>-2.9393619999999999E-2</v>
      </c>
      <c r="W6299">
        <v>-8.7577329999999995E-2</v>
      </c>
      <c r="X6299">
        <v>0.99572400000000005</v>
      </c>
      <c r="Y6299">
        <v>-5.1614989999999999E-2</v>
      </c>
      <c r="Z6299">
        <v>5.16417E-3</v>
      </c>
      <c r="AA6299">
        <v>0.99865369999999998</v>
      </c>
      <c r="AB6299">
        <v>20</v>
      </c>
      <c r="AC6299">
        <v>20.101799999999901</v>
      </c>
      <c r="AD6299">
        <v>-1.1208093782889901</v>
      </c>
      <c r="AE6299">
        <v>-0.46950999999999898</v>
      </c>
      <c r="AF6299">
        <v>-1.0431174397908001</v>
      </c>
      <c r="AG6299">
        <v>-1.1208093782889901</v>
      </c>
      <c r="AH6299">
        <v>20.017840613430199</v>
      </c>
      <c r="AI6299">
        <v>93.200341577898698</v>
      </c>
      <c r="AJ6299">
        <v>92.982950048470997</v>
      </c>
      <c r="AK6299">
        <v>20.076310679015499</v>
      </c>
      <c r="AL6299">
        <v>95.024247743122302</v>
      </c>
      <c r="AM6299">
        <v>91.690871597454901</v>
      </c>
      <c r="AN6299">
        <v>1.00000002890131</v>
      </c>
    </row>
    <row r="6300" spans="1:40" x14ac:dyDescent="0.25">
      <c r="A6300" t="str">
        <f>"20190303154648212"</f>
        <v>20190303154648212</v>
      </c>
      <c r="B6300" t="str">
        <f>"1551599208208513"</f>
        <v>1551599208208513</v>
      </c>
      <c r="C6300" t="s">
        <v>40</v>
      </c>
      <c r="D6300">
        <v>5.6920989999999998</v>
      </c>
      <c r="E6300">
        <v>0.486987</v>
      </c>
      <c r="F6300" t="s">
        <v>41</v>
      </c>
      <c r="G6300">
        <v>-262.75110000000001</v>
      </c>
      <c r="H6300" s="1">
        <v>-7.2543729999999996E-7</v>
      </c>
      <c r="I6300">
        <v>-62.412939999999999</v>
      </c>
      <c r="J6300">
        <v>-278.95949999999999</v>
      </c>
      <c r="K6300">
        <v>1.1208450000000001</v>
      </c>
      <c r="L6300">
        <v>-62.221679999999999</v>
      </c>
      <c r="M6300">
        <v>0.99714619999999998</v>
      </c>
      <c r="N6300">
        <v>-8.8246560000000002E-3</v>
      </c>
      <c r="O6300">
        <v>-7.4979809999999994E-2</v>
      </c>
      <c r="P6300">
        <v>0.99424979999999996</v>
      </c>
      <c r="Q6300">
        <v>-9.7310679999999997E-2</v>
      </c>
      <c r="R6300">
        <v>-4.4705259999999997E-2</v>
      </c>
      <c r="S6300">
        <v>2.9955750000000001</v>
      </c>
      <c r="T6300">
        <v>-0.20589750000000001</v>
      </c>
      <c r="U6300">
        <v>-3.6437990000000003E-2</v>
      </c>
      <c r="V6300">
        <v>-2.9880529999999999E-2</v>
      </c>
      <c r="W6300">
        <v>-8.8559079999999998E-2</v>
      </c>
      <c r="X6300">
        <v>0.99562260000000002</v>
      </c>
      <c r="Y6300">
        <v>-6.2547800000000001E-2</v>
      </c>
      <c r="Z6300">
        <v>6.904978E-3</v>
      </c>
      <c r="AA6300">
        <v>0.99801810000000002</v>
      </c>
      <c r="AB6300">
        <v>20</v>
      </c>
      <c r="AC6300">
        <v>16.208399999999902</v>
      </c>
      <c r="AD6300">
        <v>-1.1208457254373001</v>
      </c>
      <c r="AE6300">
        <v>-0.19125999999999199</v>
      </c>
      <c r="AF6300">
        <v>-1.01975246927859</v>
      </c>
      <c r="AG6300">
        <v>-1.1208457254373001</v>
      </c>
      <c r="AH6300">
        <v>16.100131420118998</v>
      </c>
      <c r="AI6300">
        <v>93.974406738902204</v>
      </c>
      <c r="AJ6300">
        <v>93.624167220916107</v>
      </c>
      <c r="AK6300">
        <v>16.171283869375799</v>
      </c>
      <c r="AL6300">
        <v>95.0807176459587</v>
      </c>
      <c r="AM6300">
        <v>91.719039443321805</v>
      </c>
      <c r="AN6300">
        <v>0.99999995917714202</v>
      </c>
    </row>
    <row r="6301" spans="1:40" x14ac:dyDescent="0.25">
      <c r="A6301" t="str">
        <f>"20190303154648224"</f>
        <v>20190303154648224</v>
      </c>
      <c r="B6301" t="str">
        <f>"1551599208218273"</f>
        <v>1551599208218273</v>
      </c>
      <c r="C6301" t="s">
        <v>40</v>
      </c>
      <c r="D6301">
        <v>5.6888379999999996</v>
      </c>
      <c r="E6301">
        <v>0.48702129999999999</v>
      </c>
      <c r="F6301" t="s">
        <v>70</v>
      </c>
      <c r="G6301">
        <v>-263.49630000000002</v>
      </c>
      <c r="H6301" s="1">
        <v>-1.0387539999999999E-6</v>
      </c>
      <c r="I6301">
        <v>-62.388959999999997</v>
      </c>
      <c r="J6301">
        <v>-278.85730000000001</v>
      </c>
      <c r="K6301">
        <v>1.120878</v>
      </c>
      <c r="L6301">
        <v>-62.228969999999997</v>
      </c>
      <c r="M6301">
        <v>0.99717529999999999</v>
      </c>
      <c r="N6301">
        <v>-8.8059190000000006E-3</v>
      </c>
      <c r="O6301">
        <v>-7.4592430000000001E-2</v>
      </c>
      <c r="P6301">
        <v>0.99420989999999998</v>
      </c>
      <c r="Q6301">
        <v>-9.8117819999999994E-2</v>
      </c>
      <c r="R6301">
        <v>-4.381401E-2</v>
      </c>
      <c r="S6301">
        <v>2.9946899999999999</v>
      </c>
      <c r="T6301">
        <v>-0.21706990000000001</v>
      </c>
      <c r="U6301">
        <v>-3.2409670000000002E-2</v>
      </c>
      <c r="V6301">
        <v>-3.0370109999999999E-2</v>
      </c>
      <c r="W6301">
        <v>-8.9389170000000004E-2</v>
      </c>
      <c r="X6301">
        <v>0.99553360000000002</v>
      </c>
      <c r="Y6301">
        <v>-6.3461939999999994E-2</v>
      </c>
      <c r="Z6301">
        <v>7.315434E-3</v>
      </c>
      <c r="AA6301">
        <v>0.99795750000000005</v>
      </c>
      <c r="AB6301">
        <v>20</v>
      </c>
      <c r="AC6301">
        <v>15.360999999999899</v>
      </c>
      <c r="AD6301">
        <v>-1.120879038754</v>
      </c>
      <c r="AE6301">
        <v>-0.15998999999999999</v>
      </c>
      <c r="AF6301">
        <v>-0.98109115790873302</v>
      </c>
      <c r="AG6301">
        <v>-1.120879038754</v>
      </c>
      <c r="AH6301">
        <v>15.248952856905101</v>
      </c>
      <c r="AI6301">
        <v>94.195340527038496</v>
      </c>
      <c r="AJ6301">
        <v>93.681237209311604</v>
      </c>
      <c r="AK6301">
        <v>15.321536245160299</v>
      </c>
      <c r="AL6301">
        <v>95.128467688552604</v>
      </c>
      <c r="AM6301">
        <v>91.747343969952894</v>
      </c>
      <c r="AN6301">
        <v>0.99999995801182895</v>
      </c>
    </row>
    <row r="6302" spans="1:40" x14ac:dyDescent="0.25">
      <c r="A6302" t="str">
        <f>"20190303154648234"</f>
        <v>20190303154648234</v>
      </c>
      <c r="B6302" t="str">
        <f>"1551599208228032"</f>
        <v>1551599208228032</v>
      </c>
      <c r="C6302" t="s">
        <v>40</v>
      </c>
      <c r="D6302">
        <v>5.6493089999999997</v>
      </c>
      <c r="E6302">
        <v>0.48757260000000002</v>
      </c>
      <c r="F6302" t="s">
        <v>70</v>
      </c>
      <c r="G6302">
        <v>-263.86259999999999</v>
      </c>
      <c r="H6302" s="1">
        <v>-1.193128E-6</v>
      </c>
      <c r="I6302">
        <v>-62.378680000000003</v>
      </c>
      <c r="J6302">
        <v>-278.76049999999998</v>
      </c>
      <c r="K6302">
        <v>1.1209020000000001</v>
      </c>
      <c r="L6302">
        <v>-62.235810000000001</v>
      </c>
      <c r="M6302">
        <v>0.99720560000000003</v>
      </c>
      <c r="N6302">
        <v>-8.7859169999999903E-3</v>
      </c>
      <c r="O6302">
        <v>-7.4190710000000007E-2</v>
      </c>
      <c r="P6302">
        <v>0.99411559999999999</v>
      </c>
      <c r="Q6302">
        <v>-9.9225690000000005E-2</v>
      </c>
      <c r="R6302">
        <v>-4.3461939999999998E-2</v>
      </c>
      <c r="S6302">
        <v>2.9940799999999999</v>
      </c>
      <c r="T6302">
        <v>-0.22381190000000001</v>
      </c>
      <c r="U6302">
        <v>-2.990723E-2</v>
      </c>
      <c r="V6302">
        <v>-3.0305760000000001E-2</v>
      </c>
      <c r="W6302">
        <v>-9.0520009999999998E-2</v>
      </c>
      <c r="X6302">
        <v>0.99543340000000002</v>
      </c>
      <c r="Y6302">
        <v>-6.3869140000000005E-2</v>
      </c>
      <c r="Z6302">
        <v>7.546919E-3</v>
      </c>
      <c r="AA6302">
        <v>0.99792979999999998</v>
      </c>
      <c r="AB6302">
        <v>20</v>
      </c>
      <c r="AC6302">
        <v>14.8978999999999</v>
      </c>
      <c r="AD6302">
        <v>-1.120903193128</v>
      </c>
      <c r="AE6302">
        <v>-0.142870000000002</v>
      </c>
      <c r="AF6302">
        <v>-0.95743251584598998</v>
      </c>
      <c r="AG6302">
        <v>-1.120903193128</v>
      </c>
      <c r="AH6302">
        <v>14.783757537777401</v>
      </c>
      <c r="AI6302">
        <v>94.326835448712998</v>
      </c>
      <c r="AJ6302">
        <v>93.705441023323601</v>
      </c>
      <c r="AK6302">
        <v>14.857071983622999</v>
      </c>
      <c r="AL6302">
        <v>95.193523672356605</v>
      </c>
      <c r="AM6302">
        <v>91.743819287530698</v>
      </c>
      <c r="AN6302">
        <v>0.99999998256756795</v>
      </c>
    </row>
    <row r="6303" spans="1:40" x14ac:dyDescent="0.25">
      <c r="A6303" t="str">
        <f>"20190303154648245"</f>
        <v>20190303154648245</v>
      </c>
      <c r="B6303" t="str">
        <f>"1551599208237793"</f>
        <v>1551599208237793</v>
      </c>
      <c r="C6303" t="s">
        <v>40</v>
      </c>
      <c r="D6303">
        <v>5.6737580000000003</v>
      </c>
      <c r="E6303">
        <v>0.4879945</v>
      </c>
      <c r="F6303" t="s">
        <v>41</v>
      </c>
      <c r="G6303">
        <v>-263.67790000000002</v>
      </c>
      <c r="H6303" s="1">
        <v>-1.1207220000000001E-6</v>
      </c>
      <c r="I6303">
        <v>-62.404229999999998</v>
      </c>
      <c r="J6303">
        <v>-278.66469999999998</v>
      </c>
      <c r="K6303">
        <v>1.120919</v>
      </c>
      <c r="L6303">
        <v>-62.242489999999997</v>
      </c>
      <c r="M6303">
        <v>0.99723600000000001</v>
      </c>
      <c r="N6303">
        <v>-8.7647160000000005E-3</v>
      </c>
      <c r="O6303">
        <v>-7.3780940000000003E-2</v>
      </c>
      <c r="P6303">
        <v>0.99409340000000002</v>
      </c>
      <c r="Q6303">
        <v>-9.9477830000000003E-2</v>
      </c>
      <c r="R6303">
        <v>-4.3386870000000001E-2</v>
      </c>
      <c r="S6303">
        <v>2.99411</v>
      </c>
      <c r="T6303">
        <v>-0.2225163</v>
      </c>
      <c r="U6303">
        <v>-3.3447270000000001E-2</v>
      </c>
      <c r="V6303">
        <v>-2.99642E-2</v>
      </c>
      <c r="W6303">
        <v>-9.0794769999999997E-2</v>
      </c>
      <c r="X6303">
        <v>0.99541869999999999</v>
      </c>
      <c r="Y6303">
        <v>-6.2289320000000002E-2</v>
      </c>
      <c r="Z6303">
        <v>7.40960199999999E-3</v>
      </c>
      <c r="AA6303">
        <v>0.99803059999999999</v>
      </c>
      <c r="AB6303">
        <v>20</v>
      </c>
      <c r="AC6303">
        <v>14.986799999999899</v>
      </c>
      <c r="AD6303">
        <v>-1.1209201207220001</v>
      </c>
      <c r="AE6303">
        <v>-0.16174000000000099</v>
      </c>
      <c r="AF6303">
        <v>-0.93922992851037901</v>
      </c>
      <c r="AG6303">
        <v>-1.1209201207220001</v>
      </c>
      <c r="AH6303">
        <v>14.874682690780601</v>
      </c>
      <c r="AI6303">
        <v>94.300992818526893</v>
      </c>
      <c r="AJ6303">
        <v>93.613022446797899</v>
      </c>
      <c r="AK6303">
        <v>14.9463975568382</v>
      </c>
      <c r="AL6303">
        <v>95.209331441814797</v>
      </c>
      <c r="AM6303">
        <v>91.724203010879094</v>
      </c>
      <c r="AN6303">
        <v>0.99999996592534002</v>
      </c>
    </row>
    <row r="6304" spans="1:40" x14ac:dyDescent="0.25">
      <c r="A6304" t="str">
        <f>"20190303154648256"</f>
        <v>20190303154648256</v>
      </c>
      <c r="B6304" t="str">
        <f>"1551599208248529"</f>
        <v>1551599208248529</v>
      </c>
      <c r="C6304" t="s">
        <v>40</v>
      </c>
      <c r="D6304">
        <v>5.6389610000000001</v>
      </c>
      <c r="E6304">
        <v>0.48861500000000002</v>
      </c>
      <c r="F6304" t="s">
        <v>41</v>
      </c>
      <c r="G6304">
        <v>-263.27839999999998</v>
      </c>
      <c r="H6304" s="1">
        <v>-9.5655699999999995E-7</v>
      </c>
      <c r="I6304">
        <v>-62.431379999999997</v>
      </c>
      <c r="J6304">
        <v>-278.5684</v>
      </c>
      <c r="K6304">
        <v>1.120933</v>
      </c>
      <c r="L6304">
        <v>-62.24915</v>
      </c>
      <c r="M6304">
        <v>0.99726800000000004</v>
      </c>
      <c r="N6304">
        <v>-8.7412540000000004E-3</v>
      </c>
      <c r="O6304">
        <v>-7.3350120000000005E-2</v>
      </c>
      <c r="P6304">
        <v>0.99407540000000005</v>
      </c>
      <c r="Q6304">
        <v>-9.9683229999999998E-2</v>
      </c>
      <c r="R6304">
        <v>-4.3328739999999998E-2</v>
      </c>
      <c r="S6304">
        <v>2.994415</v>
      </c>
      <c r="T6304">
        <v>-0.21814910000000001</v>
      </c>
      <c r="U6304">
        <v>-3.6773680000000003E-2</v>
      </c>
      <c r="V6304">
        <v>-2.9586709999999999E-2</v>
      </c>
      <c r="W6304">
        <v>-9.1024439999999998E-2</v>
      </c>
      <c r="X6304">
        <v>0.99540910000000005</v>
      </c>
      <c r="Y6304">
        <v>-6.0770089999999999E-2</v>
      </c>
      <c r="Z6304">
        <v>7.167919E-3</v>
      </c>
      <c r="AA6304">
        <v>0.99812599999999996</v>
      </c>
      <c r="AB6304">
        <v>20</v>
      </c>
      <c r="AC6304">
        <v>15.29</v>
      </c>
      <c r="AD6304">
        <v>-1.120933956557</v>
      </c>
      <c r="AE6304">
        <v>-0.182230000000004</v>
      </c>
      <c r="AF6304">
        <v>-0.934803571034729</v>
      </c>
      <c r="AG6304">
        <v>-1.120933956557</v>
      </c>
      <c r="AH6304">
        <v>15.1805986880952</v>
      </c>
      <c r="AI6304">
        <v>94.215095552138195</v>
      </c>
      <c r="AJ6304">
        <v>93.523757832524197</v>
      </c>
      <c r="AK6304">
        <v>15.250604157881099</v>
      </c>
      <c r="AL6304">
        <v>95.222544844279099</v>
      </c>
      <c r="AM6304">
        <v>91.7025107179429</v>
      </c>
      <c r="AN6304">
        <v>1.0000000492243699</v>
      </c>
    </row>
    <row r="6305" spans="1:40" x14ac:dyDescent="0.25">
      <c r="A6305" t="str">
        <f>"20190303154648268"</f>
        <v>20190303154648268</v>
      </c>
      <c r="B6305" t="str">
        <f>"1551599208258289"</f>
        <v>1551599208258289</v>
      </c>
      <c r="C6305" t="s">
        <v>40</v>
      </c>
      <c r="D6305">
        <v>5.6659569999999997</v>
      </c>
      <c r="E6305">
        <v>0.48903079999999999</v>
      </c>
      <c r="F6305" t="s">
        <v>41</v>
      </c>
      <c r="G6305">
        <v>-263.08580000000001</v>
      </c>
      <c r="H6305" s="1">
        <v>-8.8275809999999904E-7</v>
      </c>
      <c r="I6305">
        <v>-62.46463</v>
      </c>
      <c r="J6305">
        <v>-278.4701</v>
      </c>
      <c r="K6305">
        <v>1.1209420000000001</v>
      </c>
      <c r="L6305">
        <v>-62.255920000000003</v>
      </c>
      <c r="M6305">
        <v>0.99730129999999995</v>
      </c>
      <c r="N6305">
        <v>-8.7160099999999997E-3</v>
      </c>
      <c r="O6305">
        <v>-7.2898969999999993E-2</v>
      </c>
      <c r="P6305">
        <v>0.99410220000000005</v>
      </c>
      <c r="Q6305">
        <v>-9.9538210000000002E-2</v>
      </c>
      <c r="R6305">
        <v>-4.3048450000000002E-2</v>
      </c>
      <c r="S6305">
        <v>2.9943240000000002</v>
      </c>
      <c r="T6305">
        <v>-0.2167877</v>
      </c>
      <c r="U6305">
        <v>-4.1687009999999997E-2</v>
      </c>
      <c r="V6305">
        <v>-2.9415670000000001E-2</v>
      </c>
      <c r="W6305">
        <v>-9.0905050000000001E-2</v>
      </c>
      <c r="X6305">
        <v>0.995425</v>
      </c>
      <c r="Y6305">
        <v>-5.8691670000000001E-2</v>
      </c>
      <c r="Z6305">
        <v>7.009291E-3</v>
      </c>
      <c r="AA6305">
        <v>0.99825160000000002</v>
      </c>
      <c r="AB6305">
        <v>20</v>
      </c>
      <c r="AC6305">
        <v>15.3842999999999</v>
      </c>
      <c r="AD6305">
        <v>-1.1209428827581001</v>
      </c>
      <c r="AE6305">
        <v>-0.20871000000001</v>
      </c>
      <c r="AF6305">
        <v>-0.90856484460457598</v>
      </c>
      <c r="AG6305">
        <v>-1.1209428827581001</v>
      </c>
      <c r="AH6305">
        <v>15.277486653615201</v>
      </c>
      <c r="AI6305">
        <v>94.1890231803673</v>
      </c>
      <c r="AJ6305">
        <v>93.403419082773794</v>
      </c>
      <c r="AK6305">
        <v>15.3454749510938</v>
      </c>
      <c r="AL6305">
        <v>95.2156762366712</v>
      </c>
      <c r="AM6305">
        <v>91.692647268619595</v>
      </c>
      <c r="AN6305">
        <v>0.99999997019102504</v>
      </c>
    </row>
    <row r="6306" spans="1:40" x14ac:dyDescent="0.25">
      <c r="A6306" t="str">
        <f>"20190303154648283"</f>
        <v>20190303154648283</v>
      </c>
      <c r="B6306" t="str">
        <f>"1551599208277809"</f>
        <v>1551599208277809</v>
      </c>
      <c r="C6306" t="s">
        <v>40</v>
      </c>
      <c r="D6306">
        <v>5.6785199999999998</v>
      </c>
      <c r="E6306">
        <v>0.48950090000000002</v>
      </c>
      <c r="F6306" t="s">
        <v>70</v>
      </c>
      <c r="G6306">
        <v>-262.83929999999998</v>
      </c>
      <c r="H6306" s="1">
        <v>-7.8288820000000003E-7</v>
      </c>
      <c r="I6306">
        <v>-62.48668</v>
      </c>
      <c r="J6306">
        <v>-278.33690000000001</v>
      </c>
      <c r="K6306">
        <v>1.1209480000000001</v>
      </c>
      <c r="L6306">
        <v>-62.264980000000001</v>
      </c>
      <c r="M6306">
        <v>0.99734710000000004</v>
      </c>
      <c r="N6306">
        <v>-8.6800509999999994E-3</v>
      </c>
      <c r="O6306">
        <v>-7.2275539999999999E-2</v>
      </c>
      <c r="P6306">
        <v>0.99417639999999996</v>
      </c>
      <c r="Q6306">
        <v>-9.888603E-2</v>
      </c>
      <c r="R6306">
        <v>-4.2837100000000003E-2</v>
      </c>
      <c r="S6306">
        <v>2.9943849999999999</v>
      </c>
      <c r="T6306">
        <v>-0.21473900000000001</v>
      </c>
      <c r="U6306">
        <v>-4.4219969999999997E-2</v>
      </c>
      <c r="V6306">
        <v>-2.9009099999999999E-2</v>
      </c>
      <c r="W6306">
        <v>-9.0288190000000004E-2</v>
      </c>
      <c r="X6306">
        <v>0.99549310000000002</v>
      </c>
      <c r="Y6306">
        <v>-5.7235170000000002E-2</v>
      </c>
      <c r="Z6306">
        <v>6.8433410000000002E-3</v>
      </c>
      <c r="AA6306">
        <v>0.99833729999999998</v>
      </c>
      <c r="AB6306">
        <v>20</v>
      </c>
      <c r="AC6306">
        <v>15.4976</v>
      </c>
      <c r="AD6306">
        <v>-1.1209487828881901</v>
      </c>
      <c r="AE6306">
        <v>-0.221700000000005</v>
      </c>
      <c r="AF6306">
        <v>-0.89434130820702895</v>
      </c>
      <c r="AG6306">
        <v>-1.1209487828881901</v>
      </c>
      <c r="AH6306">
        <v>15.3925773855147</v>
      </c>
      <c r="AI6306">
        <v>94.158166039966105</v>
      </c>
      <c r="AJ6306">
        <v>93.3252674836925</v>
      </c>
      <c r="AK6306">
        <v>15.4592306121127</v>
      </c>
      <c r="AL6306">
        <v>95.180186668508497</v>
      </c>
      <c r="AM6306">
        <v>91.669151470450302</v>
      </c>
      <c r="AN6306">
        <v>0.999999998641948</v>
      </c>
    </row>
    <row r="6307" spans="1:40" x14ac:dyDescent="0.25">
      <c r="A6307" t="str">
        <f>"20190303154648297"</f>
        <v>20190303154648297</v>
      </c>
      <c r="B6307" t="str">
        <f>"1551599208288546"</f>
        <v>1551599208288546</v>
      </c>
      <c r="C6307" t="s">
        <v>40</v>
      </c>
      <c r="D6307">
        <v>5.667859</v>
      </c>
      <c r="E6307">
        <v>0.48964249999999998</v>
      </c>
      <c r="F6307" t="s">
        <v>70</v>
      </c>
      <c r="G6307">
        <v>-262.39370000000002</v>
      </c>
      <c r="H6307" s="1">
        <v>-5.9984349999999999E-7</v>
      </c>
      <c r="I6307">
        <v>-62.517240000000001</v>
      </c>
      <c r="J6307">
        <v>-278.20690000000002</v>
      </c>
      <c r="K6307">
        <v>1.12094</v>
      </c>
      <c r="L6307">
        <v>-62.273739999999997</v>
      </c>
      <c r="M6307">
        <v>0.9973921</v>
      </c>
      <c r="N6307">
        <v>-8.6403859999999999E-3</v>
      </c>
      <c r="O6307">
        <v>-7.1655049999999998E-2</v>
      </c>
      <c r="P6307">
        <v>0.99424049999999997</v>
      </c>
      <c r="Q6307">
        <v>-9.840488E-2</v>
      </c>
      <c r="R6307">
        <v>-4.2457340000000003E-2</v>
      </c>
      <c r="S6307">
        <v>2.9945680000000001</v>
      </c>
      <c r="T6307">
        <v>-0.21054410000000001</v>
      </c>
      <c r="U6307">
        <v>-4.73938E-2</v>
      </c>
      <c r="V6307">
        <v>-2.8773859999999998E-2</v>
      </c>
      <c r="W6307">
        <v>-8.9845789999999995E-2</v>
      </c>
      <c r="X6307">
        <v>0.99553999999999998</v>
      </c>
      <c r="Y6307">
        <v>-5.5575050000000001E-2</v>
      </c>
      <c r="Z6307">
        <v>6.6001990000000002E-3</v>
      </c>
      <c r="AA6307">
        <v>0.99843269999999995</v>
      </c>
      <c r="AB6307">
        <v>20</v>
      </c>
      <c r="AC6307">
        <v>15.813199999999901</v>
      </c>
      <c r="AD6307">
        <v>-1.1209405998435</v>
      </c>
      <c r="AE6307">
        <v>-0.243499999999997</v>
      </c>
      <c r="AF6307">
        <v>-0.88581379409761796</v>
      </c>
      <c r="AG6307">
        <v>-1.1209405998435</v>
      </c>
      <c r="AH6307">
        <v>15.711069843104699</v>
      </c>
      <c r="AI6307">
        <v>94.074528079034806</v>
      </c>
      <c r="AJ6307">
        <v>93.227005871261696</v>
      </c>
      <c r="AK6307">
        <v>15.775895838940601</v>
      </c>
      <c r="AL6307">
        <v>95.154735328433603</v>
      </c>
      <c r="AM6307">
        <v>91.655545632397704</v>
      </c>
      <c r="AN6307">
        <v>1.00000004630001</v>
      </c>
    </row>
    <row r="6308" spans="1:40" x14ac:dyDescent="0.25">
      <c r="A6308" t="str">
        <f>"20190303154648314"</f>
        <v>20190303154648314</v>
      </c>
      <c r="B6308" t="str">
        <f>"1551599208308064"</f>
        <v>1551599208308064</v>
      </c>
      <c r="C6308" t="s">
        <v>40</v>
      </c>
      <c r="D6308">
        <v>5.6233339999999998</v>
      </c>
      <c r="E6308">
        <v>0.48978379999999999</v>
      </c>
      <c r="F6308" t="s">
        <v>41</v>
      </c>
      <c r="G6308">
        <v>-262.05880000000002</v>
      </c>
      <c r="H6308" s="1">
        <v>-4.5934510000000001E-7</v>
      </c>
      <c r="I6308">
        <v>-62.529060000000001</v>
      </c>
      <c r="J6308">
        <v>-278.05930000000001</v>
      </c>
      <c r="K6308">
        <v>1.1209249999999999</v>
      </c>
      <c r="L6308">
        <v>-62.283569999999997</v>
      </c>
      <c r="M6308">
        <v>0.99744310000000003</v>
      </c>
      <c r="N6308">
        <v>-8.5918790000000002E-3</v>
      </c>
      <c r="O6308">
        <v>-7.0949230000000002E-2</v>
      </c>
      <c r="P6308">
        <v>0.99436239999999998</v>
      </c>
      <c r="Q6308">
        <v>-9.7334820000000002E-2</v>
      </c>
      <c r="R6308">
        <v>-4.2067649999999998E-2</v>
      </c>
      <c r="S6308">
        <v>2.9947810000000001</v>
      </c>
      <c r="T6308">
        <v>-0.20788680000000001</v>
      </c>
      <c r="U6308">
        <v>-4.7363280000000001E-2</v>
      </c>
      <c r="V6308">
        <v>-2.84703E-2</v>
      </c>
      <c r="W6308">
        <v>-8.8822310000000002E-2</v>
      </c>
      <c r="X6308">
        <v>0.99564050000000004</v>
      </c>
      <c r="Y6308">
        <v>-5.4890340000000003E-2</v>
      </c>
      <c r="Z6308">
        <v>6.4445049999999997E-3</v>
      </c>
      <c r="AA6308">
        <v>0.99847160000000001</v>
      </c>
      <c r="AB6308">
        <v>20</v>
      </c>
      <c r="AC6308">
        <v>16.000499999999899</v>
      </c>
      <c r="AD6308">
        <v>-1.1209254593450999</v>
      </c>
      <c r="AE6308">
        <v>-0.24549000000000301</v>
      </c>
      <c r="AF6308">
        <v>-0.88604604834912803</v>
      </c>
      <c r="AG6308">
        <v>-1.1209254593450999</v>
      </c>
      <c r="AH6308">
        <v>15.8995790872263</v>
      </c>
      <c r="AI6308">
        <v>94.026471751264907</v>
      </c>
      <c r="AJ6308">
        <v>93.189659504447505</v>
      </c>
      <c r="AK6308">
        <v>15.963651419276401</v>
      </c>
      <c r="AL6308">
        <v>95.095859162943597</v>
      </c>
      <c r="AM6308">
        <v>91.637924176905699</v>
      </c>
      <c r="AN6308">
        <v>0.99999998298803705</v>
      </c>
    </row>
    <row r="6309" spans="1:40" x14ac:dyDescent="0.25">
      <c r="A6309" t="str">
        <f>"20190303154648326"</f>
        <v>20190303154648326</v>
      </c>
      <c r="B6309" t="str">
        <f>"1551599208317824"</f>
        <v>1551599208317824</v>
      </c>
      <c r="C6309" t="s">
        <v>40</v>
      </c>
      <c r="D6309">
        <v>5.6508459999999996</v>
      </c>
      <c r="E6309">
        <v>0.48996509999999999</v>
      </c>
      <c r="F6309" t="s">
        <v>41</v>
      </c>
      <c r="G6309">
        <v>-261.59300000000002</v>
      </c>
      <c r="H6309" s="1">
        <v>-2.632964E-7</v>
      </c>
      <c r="I6309">
        <v>-62.543230000000001</v>
      </c>
      <c r="J6309">
        <v>-277.95089999999999</v>
      </c>
      <c r="K6309">
        <v>1.1209020000000001</v>
      </c>
      <c r="L6309">
        <v>-62.290709999999997</v>
      </c>
      <c r="M6309">
        <v>0.99748000000000003</v>
      </c>
      <c r="N6309">
        <v>-8.5529009999999999E-3</v>
      </c>
      <c r="O6309">
        <v>-7.0431309999999997E-2</v>
      </c>
      <c r="P6309">
        <v>0.99435169999999995</v>
      </c>
      <c r="Q6309">
        <v>-9.7630739999999994E-2</v>
      </c>
      <c r="R6309">
        <v>-4.1629850000000003E-2</v>
      </c>
      <c r="S6309">
        <v>2.9950559999999999</v>
      </c>
      <c r="T6309">
        <v>-0.2038856</v>
      </c>
      <c r="U6309">
        <v>-4.7241209999999999E-2</v>
      </c>
      <c r="V6309">
        <v>-2.8390160000000001E-2</v>
      </c>
      <c r="W6309">
        <v>-8.9156750000000007E-2</v>
      </c>
      <c r="X6309">
        <v>0.99561290000000002</v>
      </c>
      <c r="Y6309">
        <v>-5.4427120000000002E-2</v>
      </c>
      <c r="Z6309">
        <v>6.2662029999999997E-3</v>
      </c>
      <c r="AA6309">
        <v>0.99849810000000006</v>
      </c>
      <c r="AB6309">
        <v>20</v>
      </c>
      <c r="AC6309">
        <v>16.357899999999901</v>
      </c>
      <c r="AD6309">
        <v>-1.1209022632963901</v>
      </c>
      <c r="AE6309">
        <v>-0.25252000000000402</v>
      </c>
      <c r="AF6309">
        <v>-0.89605118048556198</v>
      </c>
      <c r="AG6309">
        <v>-1.1209022632963901</v>
      </c>
      <c r="AH6309">
        <v>16.258735851243902</v>
      </c>
      <c r="AI6309">
        <v>93.937861931161905</v>
      </c>
      <c r="AJ6309">
        <v>93.154492886569898</v>
      </c>
      <c r="AK6309">
        <v>16.321942932213599</v>
      </c>
      <c r="AL6309">
        <v>95.115097470422796</v>
      </c>
      <c r="AM6309">
        <v>91.633361398941801</v>
      </c>
      <c r="AN6309">
        <v>0.99999998695089898</v>
      </c>
    </row>
    <row r="6310" spans="1:40" x14ac:dyDescent="0.25">
      <c r="A6310" t="str">
        <f>"20190303154648337"</f>
        <v>20190303154648337</v>
      </c>
      <c r="B6310" t="str">
        <f>"1551599208328561"</f>
        <v>1551599208328561</v>
      </c>
      <c r="C6310" t="s">
        <v>40</v>
      </c>
      <c r="D6310">
        <v>5.6941189999999997</v>
      </c>
      <c r="E6310">
        <v>0.49018909999999999</v>
      </c>
      <c r="F6310" t="s">
        <v>41</v>
      </c>
      <c r="G6310">
        <v>-261.47149999999999</v>
      </c>
      <c r="H6310" s="1">
        <v>-2.1319409999999999E-7</v>
      </c>
      <c r="I6310">
        <v>-62.550910000000002</v>
      </c>
      <c r="J6310">
        <v>-277.84949999999998</v>
      </c>
      <c r="K6310">
        <v>1.120886</v>
      </c>
      <c r="L6310">
        <v>-62.297330000000002</v>
      </c>
      <c r="M6310">
        <v>0.99751429999999996</v>
      </c>
      <c r="N6310">
        <v>-8.5127740000000007E-3</v>
      </c>
      <c r="O6310">
        <v>-6.9949880000000006E-2</v>
      </c>
      <c r="P6310">
        <v>0.99428289999999997</v>
      </c>
      <c r="Q6310">
        <v>-9.8429760000000005E-2</v>
      </c>
      <c r="R6310">
        <v>-4.1394430000000003E-2</v>
      </c>
      <c r="S6310">
        <v>2.9950559999999999</v>
      </c>
      <c r="T6310">
        <v>-0.20371929999999999</v>
      </c>
      <c r="U6310">
        <v>-4.7302249999999997E-2</v>
      </c>
      <c r="V6310">
        <v>-2.8140209999999999E-2</v>
      </c>
      <c r="W6310">
        <v>-8.9995500000000006E-2</v>
      </c>
      <c r="X6310">
        <v>0.9955446</v>
      </c>
      <c r="Y6310">
        <v>-5.3927320000000001E-2</v>
      </c>
      <c r="Z6310">
        <v>6.2148910000000002E-3</v>
      </c>
      <c r="AA6310">
        <v>0.99852549999999995</v>
      </c>
      <c r="AB6310">
        <v>20</v>
      </c>
      <c r="AC6310">
        <v>16.377999999999901</v>
      </c>
      <c r="AD6310">
        <v>-1.1208862131941</v>
      </c>
      <c r="AE6310">
        <v>-0.25357999999999198</v>
      </c>
      <c r="AF6310">
        <v>-0.88856082985551599</v>
      </c>
      <c r="AG6310">
        <v>-1.1208862131941</v>
      </c>
      <c r="AH6310">
        <v>16.279386197752299</v>
      </c>
      <c r="AI6310">
        <v>93.932939942961099</v>
      </c>
      <c r="AJ6310">
        <v>93.124215944704005</v>
      </c>
      <c r="AK6310">
        <v>16.342103329340699</v>
      </c>
      <c r="AL6310">
        <v>95.163347919283197</v>
      </c>
      <c r="AM6310">
        <v>91.619099810740096</v>
      </c>
      <c r="AN6310">
        <v>1.00000005601412</v>
      </c>
    </row>
    <row r="6311" spans="1:40" x14ac:dyDescent="0.25">
      <c r="A6311" t="str">
        <f>"20190303154648349"</f>
        <v>20190303154648349</v>
      </c>
      <c r="B6311" t="str">
        <f>"1551599208338321"</f>
        <v>1551599208338321</v>
      </c>
      <c r="C6311" t="s">
        <v>40</v>
      </c>
      <c r="D6311">
        <v>5.6901210000000004</v>
      </c>
      <c r="E6311">
        <v>0.49040099999999998</v>
      </c>
      <c r="F6311" t="s">
        <v>41</v>
      </c>
      <c r="G6311">
        <v>-261.49400000000003</v>
      </c>
      <c r="H6311" s="1">
        <v>-2.2578049999999999E-7</v>
      </c>
      <c r="I6311">
        <v>-62.561919999999901</v>
      </c>
      <c r="J6311">
        <v>-277.7527</v>
      </c>
      <c r="K6311">
        <v>1.120868</v>
      </c>
      <c r="L6311">
        <v>-62.303620000000002</v>
      </c>
      <c r="M6311">
        <v>0.9975465</v>
      </c>
      <c r="N6311">
        <v>-8.4702400000000004E-3</v>
      </c>
      <c r="O6311">
        <v>-6.9494189999999997E-2</v>
      </c>
      <c r="P6311">
        <v>0.994228</v>
      </c>
      <c r="Q6311">
        <v>-9.9050760000000002E-2</v>
      </c>
      <c r="R6311">
        <v>-4.122953E-2</v>
      </c>
      <c r="S6311">
        <v>2.9949340000000002</v>
      </c>
      <c r="T6311">
        <v>-0.20525070000000001</v>
      </c>
      <c r="U6311">
        <v>-4.8461909999999997E-2</v>
      </c>
      <c r="V6311">
        <v>-2.784706E-2</v>
      </c>
      <c r="W6311">
        <v>-9.0658470000000005E-2</v>
      </c>
      <c r="X6311">
        <v>0.99549259999999995</v>
      </c>
      <c r="Y6311">
        <v>-5.3082749999999998E-2</v>
      </c>
      <c r="Z6311">
        <v>6.2065690000000003E-3</v>
      </c>
      <c r="AA6311">
        <v>0.99857079999999998</v>
      </c>
      <c r="AB6311">
        <v>20</v>
      </c>
      <c r="AC6311">
        <v>16.258699999999902</v>
      </c>
      <c r="AD6311">
        <v>-1.1208682257805</v>
      </c>
      <c r="AE6311">
        <v>-0.25829999999999798</v>
      </c>
      <c r="AF6311">
        <v>-0.86812525596330503</v>
      </c>
      <c r="AG6311">
        <v>-1.1208682257805</v>
      </c>
      <c r="AH6311">
        <v>16.160554063397601</v>
      </c>
      <c r="AI6311">
        <v>93.961888641437696</v>
      </c>
      <c r="AJ6311">
        <v>93.074903916361393</v>
      </c>
      <c r="AK6311">
        <v>16.222622928355399</v>
      </c>
      <c r="AL6311">
        <v>95.201489681573605</v>
      </c>
      <c r="AM6311">
        <v>91.602325363573598</v>
      </c>
      <c r="AN6311">
        <v>0.99999996679407099</v>
      </c>
    </row>
    <row r="6312" spans="1:40" x14ac:dyDescent="0.25">
      <c r="A6312" t="str">
        <f>"20190303154648359"</f>
        <v>20190303154648359</v>
      </c>
      <c r="B6312" t="str">
        <f>"1551599208348082"</f>
        <v>1551599208348082</v>
      </c>
      <c r="C6312" t="s">
        <v>40</v>
      </c>
      <c r="D6312">
        <v>5.7440449999999998</v>
      </c>
      <c r="E6312">
        <v>0.49056290000000002</v>
      </c>
      <c r="F6312" t="s">
        <v>70</v>
      </c>
      <c r="G6312">
        <v>-261.50290000000001</v>
      </c>
      <c r="H6312" s="1">
        <v>-2.3245269999999999E-7</v>
      </c>
      <c r="I6312">
        <v>-62.572629999999997</v>
      </c>
      <c r="J6312">
        <v>-277.6472</v>
      </c>
      <c r="K6312">
        <v>1.120854</v>
      </c>
      <c r="L6312">
        <v>-62.310419999999901</v>
      </c>
      <c r="M6312">
        <v>0.9975811</v>
      </c>
      <c r="N6312">
        <v>-8.4212660000000002E-3</v>
      </c>
      <c r="O6312">
        <v>-6.9000919999999993E-2</v>
      </c>
      <c r="P6312">
        <v>0.9941913</v>
      </c>
      <c r="Q6312">
        <v>-9.9603880000000006E-2</v>
      </c>
      <c r="R6312">
        <v>-4.0777870000000001E-2</v>
      </c>
      <c r="S6312">
        <v>2.9947810000000001</v>
      </c>
      <c r="T6312">
        <v>-0.2065729</v>
      </c>
      <c r="U6312">
        <v>-4.9591059999999999E-2</v>
      </c>
      <c r="V6312">
        <v>-2.7804220000000001E-2</v>
      </c>
      <c r="W6312">
        <v>-9.1260250000000001E-2</v>
      </c>
      <c r="X6312">
        <v>0.99543890000000002</v>
      </c>
      <c r="Y6312">
        <v>-5.2211239999999999E-2</v>
      </c>
      <c r="Z6312">
        <v>6.1877570000000003E-3</v>
      </c>
      <c r="AA6312">
        <v>0.99861690000000003</v>
      </c>
      <c r="AB6312">
        <v>20</v>
      </c>
      <c r="AC6312">
        <v>16.144299999999902</v>
      </c>
      <c r="AD6312">
        <v>-1.1208542324527</v>
      </c>
      <c r="AE6312">
        <v>-0.26221000000000999</v>
      </c>
      <c r="AF6312">
        <v>-0.84833796720944399</v>
      </c>
      <c r="AG6312">
        <v>-1.1208542324527</v>
      </c>
      <c r="AH6312">
        <v>16.046585833104899</v>
      </c>
      <c r="AI6312">
        <v>93.9900670716154</v>
      </c>
      <c r="AJ6312">
        <v>93.0262497967596</v>
      </c>
      <c r="AK6312">
        <v>16.108038627226399</v>
      </c>
      <c r="AL6312">
        <v>95.236112196269104</v>
      </c>
      <c r="AM6312">
        <v>91.599947884908502</v>
      </c>
      <c r="AN6312">
        <v>1.0000000557565301</v>
      </c>
    </row>
    <row r="6313" spans="1:40" x14ac:dyDescent="0.25">
      <c r="A6313" t="str">
        <f>"20190303154648371"</f>
        <v>20190303154648371</v>
      </c>
      <c r="B6313" t="str">
        <f>"1551599208367601"</f>
        <v>1551599208367601</v>
      </c>
      <c r="C6313" t="s">
        <v>40</v>
      </c>
      <c r="D6313">
        <v>5.6877329999999997</v>
      </c>
      <c r="E6313">
        <v>0.49079450000000002</v>
      </c>
      <c r="F6313" t="s">
        <v>41</v>
      </c>
      <c r="G6313">
        <v>-261.53879999999998</v>
      </c>
      <c r="H6313" s="1">
        <v>-2.4897329999999999E-7</v>
      </c>
      <c r="I6313">
        <v>-62.576949999999997</v>
      </c>
      <c r="J6313">
        <v>-277.54340000000002</v>
      </c>
      <c r="K6313">
        <v>1.1208370000000001</v>
      </c>
      <c r="L6313">
        <v>-62.317079999999997</v>
      </c>
      <c r="M6313">
        <v>0.99761469999999997</v>
      </c>
      <c r="N6313">
        <v>-8.3649869999999904E-3</v>
      </c>
      <c r="O6313">
        <v>-6.8520979999999995E-2</v>
      </c>
      <c r="P6313">
        <v>0.99422509999999997</v>
      </c>
      <c r="Q6313">
        <v>-9.9543080000000006E-2</v>
      </c>
      <c r="R6313">
        <v>-4.0100719999999999E-2</v>
      </c>
      <c r="S6313">
        <v>2.9946290000000002</v>
      </c>
      <c r="T6313">
        <v>-0.2083709</v>
      </c>
      <c r="U6313">
        <v>-4.9560550000000002E-2</v>
      </c>
      <c r="V6313">
        <v>-2.8004540000000001E-2</v>
      </c>
      <c r="W6313">
        <v>-9.1255340000000004E-2</v>
      </c>
      <c r="X6313">
        <v>0.99543369999999998</v>
      </c>
      <c r="Y6313">
        <v>-5.17373E-2</v>
      </c>
      <c r="Z6313">
        <v>6.199665E-3</v>
      </c>
      <c r="AA6313">
        <v>0.99864149999999996</v>
      </c>
      <c r="AB6313">
        <v>20</v>
      </c>
      <c r="AC6313">
        <v>16.0046</v>
      </c>
      <c r="AD6313">
        <v>-1.1208372489733001</v>
      </c>
      <c r="AE6313">
        <v>-0.259869999999992</v>
      </c>
      <c r="AF6313">
        <v>-0.83334390053376795</v>
      </c>
      <c r="AG6313">
        <v>-1.1208372489733001</v>
      </c>
      <c r="AH6313">
        <v>15.9067941001843</v>
      </c>
      <c r="AI6313">
        <v>94.025057595042696</v>
      </c>
      <c r="AJ6313">
        <v>92.998937261743606</v>
      </c>
      <c r="AK6313">
        <v>15.967994136424901</v>
      </c>
      <c r="AL6313">
        <v>95.235829876561894</v>
      </c>
      <c r="AM6313">
        <v>91.611477325614302</v>
      </c>
      <c r="AN6313">
        <v>1.0000000212174001</v>
      </c>
    </row>
    <row r="6314" spans="1:40" x14ac:dyDescent="0.25">
      <c r="A6314" t="str">
        <f>"20190303154648382"</f>
        <v>20190303154648382</v>
      </c>
      <c r="B6314" t="str">
        <f>"1551599208378337"</f>
        <v>1551599208378337</v>
      </c>
      <c r="C6314" t="s">
        <v>40</v>
      </c>
      <c r="D6314">
        <v>5.6911160000000001</v>
      </c>
      <c r="E6314">
        <v>0.49093550000000002</v>
      </c>
      <c r="F6314" t="s">
        <v>70</v>
      </c>
      <c r="G6314">
        <v>-261.41019999999997</v>
      </c>
      <c r="H6314" s="1">
        <v>-1.954536E-7</v>
      </c>
      <c r="I6314">
        <v>-62.583030000000001</v>
      </c>
      <c r="J6314">
        <v>-277.44619999999998</v>
      </c>
      <c r="K6314">
        <v>1.1208260000000001</v>
      </c>
      <c r="L6314">
        <v>-62.323270000000001</v>
      </c>
      <c r="M6314">
        <v>0.99764569999999997</v>
      </c>
      <c r="N6314">
        <v>-8.3104570000000003E-3</v>
      </c>
      <c r="O6314">
        <v>-6.8073339999999996E-2</v>
      </c>
      <c r="P6314">
        <v>0.99426150000000002</v>
      </c>
      <c r="Q6314">
        <v>-9.9326189999999995E-2</v>
      </c>
      <c r="R6314">
        <v>-3.9724759999999998E-2</v>
      </c>
      <c r="S6314">
        <v>2.9945979999999999</v>
      </c>
      <c r="T6314">
        <v>-0.20804739999999999</v>
      </c>
      <c r="U6314">
        <v>-4.9377440000000002E-2</v>
      </c>
      <c r="V6314">
        <v>-2.7937090000000001E-2</v>
      </c>
      <c r="W6314">
        <v>-9.1092160000000005E-2</v>
      </c>
      <c r="X6314">
        <v>0.99545050000000002</v>
      </c>
      <c r="Y6314">
        <v>-5.135265E-2</v>
      </c>
      <c r="Z6314">
        <v>6.1496839999999999E-3</v>
      </c>
      <c r="AA6314">
        <v>0.99866160000000004</v>
      </c>
      <c r="AB6314">
        <v>20</v>
      </c>
      <c r="AC6314">
        <v>16.035999999999898</v>
      </c>
      <c r="AD6314">
        <v>-1.1208261954536001</v>
      </c>
      <c r="AE6314">
        <v>-0.25976000000001398</v>
      </c>
      <c r="AF6314">
        <v>-0.82845824530521905</v>
      </c>
      <c r="AG6314">
        <v>-1.1208261954536001</v>
      </c>
      <c r="AH6314">
        <v>15.938638985683401</v>
      </c>
      <c r="AI6314">
        <v>94.017088210035595</v>
      </c>
      <c r="AJ6314">
        <v>92.975441168884402</v>
      </c>
      <c r="AK6314">
        <v>15.999462714121901</v>
      </c>
      <c r="AL6314">
        <v>95.226441462360697</v>
      </c>
      <c r="AM6314">
        <v>91.607570943484404</v>
      </c>
      <c r="AN6314">
        <v>0.99999998028069104</v>
      </c>
    </row>
    <row r="6315" spans="1:40" x14ac:dyDescent="0.25">
      <c r="A6315" t="str">
        <f>"20190303154648392"</f>
        <v>20190303154648392</v>
      </c>
      <c r="B6315" t="str">
        <f>"1551599208388098"</f>
        <v>1551599208388098</v>
      </c>
      <c r="C6315" t="s">
        <v>40</v>
      </c>
      <c r="D6315">
        <v>5.7146839999999903</v>
      </c>
      <c r="E6315">
        <v>0.49106129999999998</v>
      </c>
      <c r="F6315" t="s">
        <v>41</v>
      </c>
      <c r="G6315">
        <v>-261.24720000000002</v>
      </c>
      <c r="H6315" s="1">
        <v>-1.2749739999999999E-7</v>
      </c>
      <c r="I6315">
        <v>-62.590470000000003</v>
      </c>
      <c r="J6315">
        <v>-277.3519</v>
      </c>
      <c r="K6315">
        <v>1.1208199999999999</v>
      </c>
      <c r="L6315">
        <v>-62.3292199999999</v>
      </c>
      <c r="M6315">
        <v>0.99767570000000005</v>
      </c>
      <c r="N6315">
        <v>-8.247473E-3</v>
      </c>
      <c r="O6315">
        <v>-6.7642930000000004E-2</v>
      </c>
      <c r="P6315">
        <v>0.99430479999999999</v>
      </c>
      <c r="Q6315">
        <v>-9.9183590000000002E-2</v>
      </c>
      <c r="R6315">
        <v>-3.899888E-2</v>
      </c>
      <c r="S6315">
        <v>2.9946290000000002</v>
      </c>
      <c r="T6315">
        <v>-0.2072012</v>
      </c>
      <c r="U6315">
        <v>-4.9407960000000001E-2</v>
      </c>
      <c r="V6315">
        <v>-2.8235860000000002E-2</v>
      </c>
      <c r="W6315">
        <v>-9.1012389999999999E-2</v>
      </c>
      <c r="X6315">
        <v>0.99544940000000004</v>
      </c>
      <c r="Y6315">
        <v>-5.0915799999999997E-2</v>
      </c>
      <c r="Z6315">
        <v>6.0828699999999998E-3</v>
      </c>
      <c r="AA6315">
        <v>0.99868440000000003</v>
      </c>
      <c r="AB6315">
        <v>20</v>
      </c>
      <c r="AC6315">
        <v>16.104699999999902</v>
      </c>
      <c r="AD6315">
        <v>-1.1208201274973999</v>
      </c>
      <c r="AE6315">
        <v>-0.26125000000000398</v>
      </c>
      <c r="AF6315">
        <v>-0.82476059984755201</v>
      </c>
      <c r="AG6315">
        <v>-1.1208201274973999</v>
      </c>
      <c r="AH6315">
        <v>16.007968023423</v>
      </c>
      <c r="AI6315">
        <v>93.999819425336298</v>
      </c>
      <c r="AJ6315">
        <v>92.949378381484706</v>
      </c>
      <c r="AK6315">
        <v>16.068338683392199</v>
      </c>
      <c r="AL6315">
        <v>95.221851739830996</v>
      </c>
      <c r="AM6315">
        <v>91.624755554447304</v>
      </c>
      <c r="AN6315">
        <v>1.0000000134419</v>
      </c>
    </row>
    <row r="6316" spans="1:40" x14ac:dyDescent="0.25">
      <c r="A6316" t="str">
        <f>"20190303154648402"</f>
        <v>20190303154648402</v>
      </c>
      <c r="B6316" t="str">
        <f>"1551599208397857"</f>
        <v>1551599208397857</v>
      </c>
      <c r="C6316" t="s">
        <v>40</v>
      </c>
      <c r="D6316">
        <v>5.7300870000000002</v>
      </c>
      <c r="E6316">
        <v>0.49111569999999999</v>
      </c>
      <c r="F6316" t="s">
        <v>70</v>
      </c>
      <c r="G6316">
        <v>-261.13580000000002</v>
      </c>
      <c r="H6316" s="1">
        <v>-7.9560320000000002E-8</v>
      </c>
      <c r="I6316">
        <v>-62.5899199999999</v>
      </c>
      <c r="J6316">
        <v>-277.25799999999998</v>
      </c>
      <c r="K6316">
        <v>1.1208089999999999</v>
      </c>
      <c r="L6316">
        <v>-62.335140000000003</v>
      </c>
      <c r="M6316">
        <v>0.99770499999999995</v>
      </c>
      <c r="N6316">
        <v>-8.1832829999999995E-3</v>
      </c>
      <c r="O6316">
        <v>-6.721444E-2</v>
      </c>
      <c r="P6316">
        <v>0.99439040000000001</v>
      </c>
      <c r="Q6316">
        <v>-9.8589360000000001E-2</v>
      </c>
      <c r="R6316">
        <v>-3.8312140000000001E-2</v>
      </c>
      <c r="S6316">
        <v>2.9946899999999999</v>
      </c>
      <c r="T6316">
        <v>-0.20698639999999999</v>
      </c>
      <c r="U6316">
        <v>-4.8156740000000003E-2</v>
      </c>
      <c r="V6316">
        <v>-2.850068E-2</v>
      </c>
      <c r="W6316">
        <v>-9.0481889999999995E-2</v>
      </c>
      <c r="X6316">
        <v>0.99549019999999999</v>
      </c>
      <c r="Y6316">
        <v>-5.0905569999999997E-2</v>
      </c>
      <c r="Z6316">
        <v>6.0524239999999998E-3</v>
      </c>
      <c r="AA6316">
        <v>0.99868509999999999</v>
      </c>
      <c r="AB6316">
        <v>20</v>
      </c>
      <c r="AC6316">
        <v>16.1221999999999</v>
      </c>
      <c r="AD6316">
        <v>-1.1208090795603201</v>
      </c>
      <c r="AE6316">
        <v>-0.25477999999998902</v>
      </c>
      <c r="AF6316">
        <v>-0.82548856209542298</v>
      </c>
      <c r="AG6316">
        <v>-1.1208090795603201</v>
      </c>
      <c r="AH6316">
        <v>16.025432316368001</v>
      </c>
      <c r="AI6316">
        <v>93.995437541190498</v>
      </c>
      <c r="AJ6316">
        <v>92.948765659875207</v>
      </c>
      <c r="AK6316">
        <v>16.085774003307002</v>
      </c>
      <c r="AL6316">
        <v>95.191330468090996</v>
      </c>
      <c r="AM6316">
        <v>91.6399184382188</v>
      </c>
      <c r="AN6316">
        <v>0.99999999973723697</v>
      </c>
    </row>
    <row r="6317" spans="1:40" x14ac:dyDescent="0.25">
      <c r="A6317" t="str">
        <f>"20190303154648413"</f>
        <v>20190303154648413</v>
      </c>
      <c r="B6317" t="str">
        <f>"1551599208407617"</f>
        <v>1551599208407617</v>
      </c>
      <c r="C6317" t="s">
        <v>40</v>
      </c>
      <c r="D6317">
        <v>5.8016579999999998</v>
      </c>
      <c r="E6317">
        <v>0.49104540000000002</v>
      </c>
      <c r="F6317" t="s">
        <v>41</v>
      </c>
      <c r="G6317">
        <v>-260.89609999999999</v>
      </c>
      <c r="H6317" s="1">
        <v>2.342006E-8</v>
      </c>
      <c r="I6317">
        <v>-62.58934</v>
      </c>
      <c r="J6317">
        <v>-277.16329999999999</v>
      </c>
      <c r="K6317">
        <v>1.1208</v>
      </c>
      <c r="L6317">
        <v>-62.341030000000003</v>
      </c>
      <c r="M6317">
        <v>0.99773449999999997</v>
      </c>
      <c r="N6317">
        <v>-8.1098509999999995E-3</v>
      </c>
      <c r="O6317">
        <v>-6.6783149999999999E-2</v>
      </c>
      <c r="P6317">
        <v>0.99451120000000004</v>
      </c>
      <c r="Q6317">
        <v>-9.7714250000000002E-2</v>
      </c>
      <c r="R6317">
        <v>-3.7407589999999998E-2</v>
      </c>
      <c r="S6317">
        <v>2.9948429999999999</v>
      </c>
      <c r="T6317">
        <v>-0.20515069999999999</v>
      </c>
      <c r="U6317">
        <v>-4.653931E-2</v>
      </c>
      <c r="V6317">
        <v>-2.898222E-2</v>
      </c>
      <c r="W6317">
        <v>-8.9679919999999996E-2</v>
      </c>
      <c r="X6317">
        <v>0.99554880000000001</v>
      </c>
      <c r="Y6317">
        <v>-5.1018969999999997E-2</v>
      </c>
      <c r="Z6317">
        <v>5.9770149999999996E-3</v>
      </c>
      <c r="AA6317">
        <v>0.99867980000000001</v>
      </c>
      <c r="AB6317">
        <v>20</v>
      </c>
      <c r="AC6317">
        <v>16.267199999999999</v>
      </c>
      <c r="AD6317">
        <v>-1.1207999765799399</v>
      </c>
      <c r="AE6317">
        <v>-0.24830999999999601</v>
      </c>
      <c r="AF6317">
        <v>-0.83469355793014799</v>
      </c>
      <c r="AG6317">
        <v>-1.1207999765799399</v>
      </c>
      <c r="AH6317">
        <v>16.170718240441499</v>
      </c>
      <c r="AI6317">
        <v>93.959601547508697</v>
      </c>
      <c r="AJ6317">
        <v>92.954847833014696</v>
      </c>
      <c r="AK6317">
        <v>16.230989936996998</v>
      </c>
      <c r="AL6317">
        <v>95.145193731175894</v>
      </c>
      <c r="AM6317">
        <v>91.6675124504862</v>
      </c>
      <c r="AN6317">
        <v>0.99999993515438501</v>
      </c>
    </row>
    <row r="6318" spans="1:40" x14ac:dyDescent="0.25">
      <c r="A6318" t="str">
        <f>"20190303154648425"</f>
        <v>20190303154648425</v>
      </c>
      <c r="B6318" t="str">
        <f>"1551599208418353"</f>
        <v>1551599208418353</v>
      </c>
      <c r="C6318" t="s">
        <v>40</v>
      </c>
      <c r="D6318">
        <v>5.7247349999999999</v>
      </c>
      <c r="E6318">
        <v>0.4911391</v>
      </c>
      <c r="F6318" t="s">
        <v>70</v>
      </c>
      <c r="G6318">
        <v>-260.7294</v>
      </c>
      <c r="H6318" s="1">
        <v>9.8125779999999997E-8</v>
      </c>
      <c r="I6318">
        <v>-62.577419999999996</v>
      </c>
      <c r="J6318">
        <v>-277.05880000000002</v>
      </c>
      <c r="K6318">
        <v>1.1207940000000001</v>
      </c>
      <c r="L6318">
        <v>-62.347499999999997</v>
      </c>
      <c r="M6318">
        <v>0.99776719999999997</v>
      </c>
      <c r="N6318">
        <v>-8.0256960000000006E-3</v>
      </c>
      <c r="O6318">
        <v>-6.6306879999999999E-2</v>
      </c>
      <c r="P6318">
        <v>0.99460110000000002</v>
      </c>
      <c r="Q6318">
        <v>-9.7147869999999997E-2</v>
      </c>
      <c r="R6318">
        <v>-3.6488470000000002E-2</v>
      </c>
      <c r="S6318">
        <v>2.9948730000000001</v>
      </c>
      <c r="T6318">
        <v>-0.2042513</v>
      </c>
      <c r="U6318">
        <v>-4.3090820000000002E-2</v>
      </c>
      <c r="V6318">
        <v>-2.943115E-2</v>
      </c>
      <c r="W6318">
        <v>-8.9197609999999997E-2</v>
      </c>
      <c r="X6318">
        <v>0.99557899999999999</v>
      </c>
      <c r="Y6318">
        <v>-5.1693259999999998E-2</v>
      </c>
      <c r="Z6318">
        <v>5.9500229999999996E-3</v>
      </c>
      <c r="AA6318">
        <v>0.99864529999999996</v>
      </c>
      <c r="AB6318">
        <v>20</v>
      </c>
      <c r="AC6318">
        <v>16.3294</v>
      </c>
      <c r="AD6318">
        <v>-1.1207939018742199</v>
      </c>
      <c r="AE6318">
        <v>-0.22991999999999899</v>
      </c>
      <c r="AF6318">
        <v>-0.84937166722301805</v>
      </c>
      <c r="AG6318">
        <v>-1.1207939018742199</v>
      </c>
      <c r="AH6318">
        <v>16.2322523561309</v>
      </c>
      <c r="AI6318">
        <v>93.944473021591406</v>
      </c>
      <c r="AJ6318">
        <v>92.9953371698425</v>
      </c>
      <c r="AK6318">
        <v>16.293054586316099</v>
      </c>
      <c r="AL6318">
        <v>95.117447998372697</v>
      </c>
      <c r="AM6318">
        <v>91.693275695470604</v>
      </c>
      <c r="AN6318">
        <v>0.99999997573051702</v>
      </c>
    </row>
    <row r="6319" spans="1:40" x14ac:dyDescent="0.25">
      <c r="A6319" t="str">
        <f>"20190303154648446"</f>
        <v>20190303154648446</v>
      </c>
      <c r="B6319" t="str">
        <f>"1551599208437873"</f>
        <v>1551599208437873</v>
      </c>
      <c r="C6319" t="s">
        <v>40</v>
      </c>
      <c r="D6319">
        <v>5.7401039999999997</v>
      </c>
      <c r="E6319">
        <v>0.49123280000000002</v>
      </c>
      <c r="F6319" t="s">
        <v>41</v>
      </c>
      <c r="G6319">
        <v>-260.47070000000002</v>
      </c>
      <c r="H6319" s="1">
        <v>2.0973429999999999E-7</v>
      </c>
      <c r="I6319">
        <v>-62.574939999999998</v>
      </c>
      <c r="J6319">
        <v>-276.85919999999999</v>
      </c>
      <c r="K6319">
        <v>1.1207780000000001</v>
      </c>
      <c r="L6319">
        <v>-62.35971</v>
      </c>
      <c r="M6319">
        <v>0.99782899999999997</v>
      </c>
      <c r="N6319">
        <v>-7.8465419999999998E-3</v>
      </c>
      <c r="O6319">
        <v>-6.5389810000000007E-2</v>
      </c>
      <c r="P6319">
        <v>0.99483239999999995</v>
      </c>
      <c r="Q6319">
        <v>-9.5331949999999999E-2</v>
      </c>
      <c r="R6319">
        <v>-3.4934840000000002E-2</v>
      </c>
      <c r="S6319">
        <v>2.9950260000000002</v>
      </c>
      <c r="T6319">
        <v>-0.20236229999999999</v>
      </c>
      <c r="U6319">
        <v>-4.1076660000000001E-2</v>
      </c>
      <c r="V6319">
        <v>-3.0082589999999999E-2</v>
      </c>
      <c r="W6319">
        <v>-8.7560209999999999E-2</v>
      </c>
      <c r="X6319">
        <v>0.9957049</v>
      </c>
      <c r="Y6319">
        <v>-5.1454189999999997E-2</v>
      </c>
      <c r="Z6319">
        <v>5.835514E-3</v>
      </c>
      <c r="AA6319">
        <v>0.9986583</v>
      </c>
      <c r="AB6319">
        <v>20</v>
      </c>
      <c r="AC6319">
        <v>16.388499999999901</v>
      </c>
      <c r="AD6319">
        <v>-1.1207777902656999</v>
      </c>
      <c r="AE6319">
        <v>-0.215230000000005</v>
      </c>
      <c r="AF6319">
        <v>-0.85291615938145804</v>
      </c>
      <c r="AG6319">
        <v>-1.1207777902656999</v>
      </c>
      <c r="AH6319">
        <v>16.291317224696499</v>
      </c>
      <c r="AI6319">
        <v>93.930155046930494</v>
      </c>
      <c r="AJ6319">
        <v>92.996928990177906</v>
      </c>
      <c r="AK6319">
        <v>16.3520832234239</v>
      </c>
      <c r="AL6319">
        <v>95.023263201052103</v>
      </c>
      <c r="AM6319">
        <v>91.730514033806998</v>
      </c>
      <c r="AN6319">
        <v>1.0000000002401801</v>
      </c>
    </row>
    <row r="6320" spans="1:40" x14ac:dyDescent="0.25">
      <c r="A6320" t="str">
        <f>"20190303154648458"</f>
        <v>20190303154648458</v>
      </c>
      <c r="B6320" t="str">
        <f>"1551599208447633"</f>
        <v>1551599208447633</v>
      </c>
      <c r="C6320" t="s">
        <v>40</v>
      </c>
      <c r="D6320">
        <v>5.7259760000000002</v>
      </c>
      <c r="E6320">
        <v>0.49140040000000001</v>
      </c>
      <c r="F6320" t="s">
        <v>71</v>
      </c>
      <c r="G6320">
        <v>-259.93279999999999</v>
      </c>
      <c r="H6320" s="1">
        <v>-3.6954330000000001E-6</v>
      </c>
      <c r="I6320">
        <v>-62.569409999999998</v>
      </c>
      <c r="J6320">
        <v>-276.74669999999998</v>
      </c>
      <c r="K6320">
        <v>1.1207689999999999</v>
      </c>
      <c r="L6320">
        <v>-62.366489999999999</v>
      </c>
      <c r="M6320">
        <v>0.99786390000000003</v>
      </c>
      <c r="N6320">
        <v>-7.7383800000000004E-3</v>
      </c>
      <c r="O6320">
        <v>-6.4867789999999995E-2</v>
      </c>
      <c r="P6320">
        <v>0.99499360000000003</v>
      </c>
      <c r="Q6320">
        <v>-9.3927469999999999E-2</v>
      </c>
      <c r="R6320">
        <v>-3.4143140000000002E-2</v>
      </c>
      <c r="S6320">
        <v>2.9952700000000001</v>
      </c>
      <c r="T6320">
        <v>-0.1983318</v>
      </c>
      <c r="U6320">
        <v>-3.7109379999999997E-2</v>
      </c>
      <c r="V6320">
        <v>-3.0362839999999999E-2</v>
      </c>
      <c r="W6320">
        <v>-8.6263270000000003E-2</v>
      </c>
      <c r="X6320">
        <v>0.99580959999999996</v>
      </c>
      <c r="Y6320">
        <v>-5.2264079999999997E-2</v>
      </c>
      <c r="Z6320">
        <v>5.7167279999999999E-3</v>
      </c>
      <c r="AA6320">
        <v>0.99861690000000003</v>
      </c>
      <c r="AB6320">
        <v>21</v>
      </c>
      <c r="AC6320">
        <v>16.813899999999901</v>
      </c>
      <c r="AD6320">
        <v>-1.120772695433</v>
      </c>
      <c r="AE6320">
        <v>-0.20291999999999799</v>
      </c>
      <c r="AF6320">
        <v>-0.88429201802717605</v>
      </c>
      <c r="AG6320">
        <v>-1.120772695433</v>
      </c>
      <c r="AH6320">
        <v>16.7173806936012</v>
      </c>
      <c r="AI6320">
        <v>93.830166057448395</v>
      </c>
      <c r="AJ6320">
        <v>93.027927946959494</v>
      </c>
      <c r="AK6320">
        <v>16.778227590027701</v>
      </c>
      <c r="AL6320">
        <v>94.948671722849895</v>
      </c>
      <c r="AM6320">
        <v>91.746442069201507</v>
      </c>
      <c r="AN6320">
        <v>1.0000000066280501</v>
      </c>
    </row>
    <row r="6321" spans="1:40" x14ac:dyDescent="0.25">
      <c r="A6321" t="str">
        <f>"20190303154648469"</f>
        <v>20190303154648469</v>
      </c>
      <c r="B6321" t="str">
        <f>"1551599208458370"</f>
        <v>1551599208458370</v>
      </c>
      <c r="C6321" t="s">
        <v>40</v>
      </c>
      <c r="D6321">
        <v>5.6873120000000004</v>
      </c>
      <c r="E6321">
        <v>0.49155260000000001</v>
      </c>
      <c r="F6321" t="s">
        <v>71</v>
      </c>
      <c r="G6321">
        <v>-259.44900000000001</v>
      </c>
      <c r="H6321" s="1">
        <v>-3.531486E-6</v>
      </c>
      <c r="I6321">
        <v>-62.574599999999997</v>
      </c>
      <c r="J6321">
        <v>-276.65440000000001</v>
      </c>
      <c r="K6321">
        <v>1.120762</v>
      </c>
      <c r="L6321">
        <v>-62.372010000000003</v>
      </c>
      <c r="M6321">
        <v>0.99789269999999997</v>
      </c>
      <c r="N6321">
        <v>-7.6463089999999996E-3</v>
      </c>
      <c r="O6321">
        <v>-6.4434149999999996E-2</v>
      </c>
      <c r="P6321">
        <v>0.99513149999999995</v>
      </c>
      <c r="Q6321">
        <v>-9.2763330000000005E-2</v>
      </c>
      <c r="R6321">
        <v>-3.3288949999999998E-2</v>
      </c>
      <c r="S6321">
        <v>2.9955750000000001</v>
      </c>
      <c r="T6321">
        <v>-0.1940926</v>
      </c>
      <c r="U6321">
        <v>-3.6041259999999999E-2</v>
      </c>
      <c r="V6321">
        <v>-3.0792090000000001E-2</v>
      </c>
      <c r="W6321">
        <v>-8.5191119999999995E-2</v>
      </c>
      <c r="X6321">
        <v>0.99588869999999896</v>
      </c>
      <c r="Y6321">
        <v>-5.2198469999999997E-2</v>
      </c>
      <c r="Z6321">
        <v>5.5642969999999898E-3</v>
      </c>
      <c r="AA6321">
        <v>0.99862119999999999</v>
      </c>
      <c r="AB6321">
        <v>21</v>
      </c>
      <c r="AC6321">
        <v>17.205399999999901</v>
      </c>
      <c r="AD6321">
        <v>-1.1207655314859899</v>
      </c>
      <c r="AE6321">
        <v>-0.20258999999999999</v>
      </c>
      <c r="AF6321">
        <v>-0.90264906498546404</v>
      </c>
      <c r="AG6321">
        <v>-1.1207655314859899</v>
      </c>
      <c r="AH6321">
        <v>17.110105893424201</v>
      </c>
      <c r="AI6321">
        <v>93.742509621597094</v>
      </c>
      <c r="AJ6321">
        <v>93.019857557302203</v>
      </c>
      <c r="AK6321">
        <v>17.170515845345999</v>
      </c>
      <c r="AL6321">
        <v>94.887015145658495</v>
      </c>
      <c r="AM6321">
        <v>91.770975926652795</v>
      </c>
      <c r="AN6321">
        <v>0.99999999126055605</v>
      </c>
    </row>
    <row r="6322" spans="1:40" x14ac:dyDescent="0.25">
      <c r="A6322" t="str">
        <f>"20190303154648480"</f>
        <v>20190303154648480</v>
      </c>
      <c r="B6322" t="str">
        <f>"1551599208468129"</f>
        <v>1551599208468129</v>
      </c>
      <c r="C6322" t="s">
        <v>40</v>
      </c>
      <c r="D6322">
        <v>5.7490449999999997</v>
      </c>
      <c r="E6322">
        <v>0.49172500000000002</v>
      </c>
      <c r="F6322" t="s">
        <v>71</v>
      </c>
      <c r="G6322">
        <v>-259.05410000000001</v>
      </c>
      <c r="H6322" s="1">
        <v>-3.3971929999999999E-6</v>
      </c>
      <c r="I6322">
        <v>-62.575330000000001</v>
      </c>
      <c r="J6322">
        <v>-276.54509999999999</v>
      </c>
      <c r="K6322">
        <v>1.120754</v>
      </c>
      <c r="L6322">
        <v>-62.378509999999999</v>
      </c>
      <c r="M6322">
        <v>0.9979268</v>
      </c>
      <c r="N6322">
        <v>-7.5360509999999898E-3</v>
      </c>
      <c r="O6322">
        <v>-6.3919039999999996E-2</v>
      </c>
      <c r="P6322">
        <v>0.99524829999999997</v>
      </c>
      <c r="Q6322">
        <v>-9.1815259999999996E-2</v>
      </c>
      <c r="R6322">
        <v>-3.241368E-2</v>
      </c>
      <c r="S6322">
        <v>2.9957280000000002</v>
      </c>
      <c r="T6322">
        <v>-0.1907645</v>
      </c>
      <c r="U6322">
        <v>-3.4606930000000001E-2</v>
      </c>
      <c r="V6322">
        <v>-3.115855E-2</v>
      </c>
      <c r="W6322">
        <v>-8.4353330000000004E-2</v>
      </c>
      <c r="X6322">
        <v>0.99594859999999996</v>
      </c>
      <c r="Y6322">
        <v>-5.2170269999999998E-2</v>
      </c>
      <c r="Z6322">
        <v>5.4381780000000001E-3</v>
      </c>
      <c r="AA6322">
        <v>0.99862340000000005</v>
      </c>
      <c r="AB6322">
        <v>21</v>
      </c>
      <c r="AC6322">
        <v>17.4909999999999</v>
      </c>
      <c r="AD6322">
        <v>-1.120757397193</v>
      </c>
      <c r="AE6322">
        <v>-0.19682000000000899</v>
      </c>
      <c r="AF6322">
        <v>-0.91785397836306604</v>
      </c>
      <c r="AG6322">
        <v>-1.120757397193</v>
      </c>
      <c r="AH6322">
        <v>17.396394868235699</v>
      </c>
      <c r="AI6322">
        <v>93.681062874109699</v>
      </c>
      <c r="AJ6322">
        <v>93.020191409081207</v>
      </c>
      <c r="AK6322">
        <v>17.456606413634301</v>
      </c>
      <c r="AL6322">
        <v>94.838839969661606</v>
      </c>
      <c r="AM6322">
        <v>91.791931131548793</v>
      </c>
      <c r="AN6322">
        <v>0.99999997668107499</v>
      </c>
    </row>
    <row r="6323" spans="1:40" x14ac:dyDescent="0.25">
      <c r="A6323" t="str">
        <f>"20190303154648493"</f>
        <v>20190303154648493</v>
      </c>
      <c r="B6323" t="str">
        <f>"1551599208487650"</f>
        <v>1551599208487650</v>
      </c>
      <c r="C6323" t="s">
        <v>40</v>
      </c>
      <c r="D6323">
        <v>5.743805</v>
      </c>
      <c r="E6323">
        <v>0.49182890000000001</v>
      </c>
      <c r="F6323" t="s">
        <v>71</v>
      </c>
      <c r="G6323">
        <v>-258.68889999999999</v>
      </c>
      <c r="H6323" s="1">
        <v>-3.2731640000000001E-6</v>
      </c>
      <c r="I6323">
        <v>-62.577129999999997</v>
      </c>
      <c r="J6323">
        <v>-276.43430000000001</v>
      </c>
      <c r="K6323">
        <v>1.120746</v>
      </c>
      <c r="L6323">
        <v>-62.384979999999999</v>
      </c>
      <c r="M6323">
        <v>0.9979616</v>
      </c>
      <c r="N6323">
        <v>-7.4202449999999998E-3</v>
      </c>
      <c r="O6323">
        <v>-6.3386029999999996E-2</v>
      </c>
      <c r="P6323">
        <v>0.99532750000000003</v>
      </c>
      <c r="Q6323">
        <v>-9.135617E-2</v>
      </c>
      <c r="R6323">
        <v>-3.1267459999999997E-2</v>
      </c>
      <c r="S6323">
        <v>2.9958800000000001</v>
      </c>
      <c r="T6323">
        <v>-0.18803829999999999</v>
      </c>
      <c r="U6323">
        <v>-3.3325199999999902E-2</v>
      </c>
      <c r="V6323">
        <v>-3.1774940000000002E-2</v>
      </c>
      <c r="W6323">
        <v>-8.4010840000000003E-2</v>
      </c>
      <c r="X6323">
        <v>0.99595809999999996</v>
      </c>
      <c r="Y6323">
        <v>-5.2071840000000001E-2</v>
      </c>
      <c r="Z6323">
        <v>5.3277960000000001E-3</v>
      </c>
      <c r="AA6323">
        <v>0.99862919999999999</v>
      </c>
      <c r="AB6323">
        <v>21</v>
      </c>
      <c r="AC6323">
        <v>17.7454</v>
      </c>
      <c r="AD6323">
        <v>-1.1207492731640001</v>
      </c>
      <c r="AE6323">
        <v>-0.19214999999999799</v>
      </c>
      <c r="AF6323">
        <v>-0.92937106117639701</v>
      </c>
      <c r="AG6323">
        <v>-1.1207492731640001</v>
      </c>
      <c r="AH6323">
        <v>17.651492965433398</v>
      </c>
      <c r="AI6323">
        <v>93.628002240420599</v>
      </c>
      <c r="AJ6323">
        <v>93.013904634915093</v>
      </c>
      <c r="AK6323">
        <v>17.711437361529899</v>
      </c>
      <c r="AL6323">
        <v>94.819146709864398</v>
      </c>
      <c r="AM6323">
        <v>91.827338558854905</v>
      </c>
      <c r="AN6323">
        <v>1.0000000025025499</v>
      </c>
    </row>
    <row r="6324" spans="1:40" x14ac:dyDescent="0.25">
      <c r="A6324" t="str">
        <f>"20190303154648507"</f>
        <v>20190303154648507</v>
      </c>
      <c r="B6324" t="str">
        <f>"1551599208498385"</f>
        <v>1551599208498385</v>
      </c>
      <c r="C6324" t="s">
        <v>40</v>
      </c>
      <c r="D6324">
        <v>5.7837699999999996</v>
      </c>
      <c r="E6324">
        <v>0.4917916</v>
      </c>
      <c r="F6324" t="s">
        <v>71</v>
      </c>
      <c r="G6324">
        <v>-258.73160000000001</v>
      </c>
      <c r="H6324" s="1">
        <v>-3.2861390000000002E-6</v>
      </c>
      <c r="I6324">
        <v>-62.565489999999997</v>
      </c>
      <c r="J6324">
        <v>-276.30189999999999</v>
      </c>
      <c r="K6324">
        <v>1.120735</v>
      </c>
      <c r="L6324">
        <v>-62.392699999999998</v>
      </c>
      <c r="M6324">
        <v>0.99800319999999998</v>
      </c>
      <c r="N6324">
        <v>-7.280445E-3</v>
      </c>
      <c r="O6324">
        <v>-6.2743750000000001E-2</v>
      </c>
      <c r="P6324">
        <v>0.99540890000000004</v>
      </c>
      <c r="Q6324">
        <v>-9.0831369999999995E-2</v>
      </c>
      <c r="R6324">
        <v>-3.0181800000000002E-2</v>
      </c>
      <c r="S6324">
        <v>2.9957280000000002</v>
      </c>
      <c r="T6324">
        <v>-0.18965850000000001</v>
      </c>
      <c r="U6324">
        <v>-3.0548100000000002E-2</v>
      </c>
      <c r="V6324">
        <v>-3.2220980000000003E-2</v>
      </c>
      <c r="W6324">
        <v>-8.3626480000000003E-2</v>
      </c>
      <c r="X6324">
        <v>0.99597610000000003</v>
      </c>
      <c r="Y6324">
        <v>-5.2350479999999998E-2</v>
      </c>
      <c r="Z6324">
        <v>5.3555149999999999E-3</v>
      </c>
      <c r="AA6324">
        <v>0.99861440000000001</v>
      </c>
      <c r="AB6324">
        <v>21</v>
      </c>
      <c r="AC6324">
        <v>17.5702999999999</v>
      </c>
      <c r="AD6324">
        <v>-1.1207382861390001</v>
      </c>
      <c r="AE6324">
        <v>-0.17279000000000599</v>
      </c>
      <c r="AF6324">
        <v>-0.92623793506792496</v>
      </c>
      <c r="AG6324">
        <v>-1.1207382861390001</v>
      </c>
      <c r="AH6324">
        <v>17.475426182506698</v>
      </c>
      <c r="AI6324">
        <v>93.664352215888798</v>
      </c>
      <c r="AJ6324">
        <v>93.033969669873002</v>
      </c>
      <c r="AK6324">
        <v>17.535805977445602</v>
      </c>
      <c r="AL6324">
        <v>94.797046815293996</v>
      </c>
      <c r="AM6324">
        <v>91.852938559088599</v>
      </c>
      <c r="AN6324">
        <v>0.99999998574028004</v>
      </c>
    </row>
    <row r="6325" spans="1:40" x14ac:dyDescent="0.25">
      <c r="A6325" t="str">
        <f>"20190303154648523"</f>
        <v>20190303154648523</v>
      </c>
      <c r="B6325" t="str">
        <f>"1551599208517905"</f>
        <v>1551599208517905</v>
      </c>
      <c r="C6325" t="s">
        <v>40</v>
      </c>
      <c r="D6325">
        <v>5.766572</v>
      </c>
      <c r="E6325">
        <v>0.49183460000000001</v>
      </c>
      <c r="F6325" t="s">
        <v>71</v>
      </c>
      <c r="G6325">
        <v>-258.59469999999999</v>
      </c>
      <c r="H6325" s="1">
        <v>-3.237704E-6</v>
      </c>
      <c r="I6325">
        <v>-62.5516199999999</v>
      </c>
      <c r="J6325">
        <v>-276.149</v>
      </c>
      <c r="K6325">
        <v>1.1207240000000001</v>
      </c>
      <c r="L6325">
        <v>-62.401490000000003</v>
      </c>
      <c r="M6325">
        <v>0.99805129999999997</v>
      </c>
      <c r="N6325">
        <v>-7.1168550000000001E-3</v>
      </c>
      <c r="O6325">
        <v>-6.1991869999999998E-2</v>
      </c>
      <c r="P6325">
        <v>0.99544980000000005</v>
      </c>
      <c r="Q6325">
        <v>-9.0626239999999997E-2</v>
      </c>
      <c r="R6325">
        <v>-2.9444990000000001E-2</v>
      </c>
      <c r="S6325">
        <v>2.9956969999999998</v>
      </c>
      <c r="T6325">
        <v>-0.18960669999999999</v>
      </c>
      <c r="U6325">
        <v>-2.6885989999999999E-2</v>
      </c>
      <c r="V6325">
        <v>-3.220684E-2</v>
      </c>
      <c r="W6325">
        <v>-8.3585060000000003E-2</v>
      </c>
      <c r="X6325">
        <v>0.99597999999999998</v>
      </c>
      <c r="Y6325">
        <v>-5.2818560000000001E-2</v>
      </c>
      <c r="Z6325">
        <v>5.3344400000000002E-3</v>
      </c>
      <c r="AA6325">
        <v>0.99858990000000003</v>
      </c>
      <c r="AB6325">
        <v>21</v>
      </c>
      <c r="AC6325">
        <v>17.554300000000001</v>
      </c>
      <c r="AD6325">
        <v>-1.1207272377040001</v>
      </c>
      <c r="AE6325">
        <v>-0.15012999999998999</v>
      </c>
      <c r="AF6325">
        <v>-0.93460104555461399</v>
      </c>
      <c r="AG6325">
        <v>-1.1207272377040001</v>
      </c>
      <c r="AH6325">
        <v>17.458686200119001</v>
      </c>
      <c r="AI6325">
        <v>93.667717133368498</v>
      </c>
      <c r="AJ6325">
        <v>93.064241561626304</v>
      </c>
      <c r="AK6325">
        <v>17.519567131921701</v>
      </c>
      <c r="AL6325">
        <v>94.794665450200696</v>
      </c>
      <c r="AM6325">
        <v>91.852118726264905</v>
      </c>
      <c r="AN6325">
        <v>0.99999995159899302</v>
      </c>
    </row>
    <row r="6326" spans="1:40" x14ac:dyDescent="0.25">
      <c r="A6326" t="str">
        <f>"20190303154648536"</f>
        <v>20190303154648536</v>
      </c>
      <c r="B6326" t="str">
        <f>"1551599208527665"</f>
        <v>1551599208527665</v>
      </c>
      <c r="C6326" t="s">
        <v>40</v>
      </c>
      <c r="D6326">
        <v>5.7356199999999999</v>
      </c>
      <c r="E6326">
        <v>0.49188979999999999</v>
      </c>
      <c r="F6326" t="s">
        <v>71</v>
      </c>
      <c r="G6326">
        <v>-258.71890000000002</v>
      </c>
      <c r="H6326" s="1">
        <v>-3.2792720000000002E-6</v>
      </c>
      <c r="I6326">
        <v>-62.546570000000003</v>
      </c>
      <c r="J6326">
        <v>-276.02289999999999</v>
      </c>
      <c r="K6326">
        <v>1.120711</v>
      </c>
      <c r="L6326">
        <v>-62.4086</v>
      </c>
      <c r="M6326">
        <v>0.99809119999999996</v>
      </c>
      <c r="N6326">
        <v>-6.9823079999999996E-3</v>
      </c>
      <c r="O6326">
        <v>-6.1362750000000001E-2</v>
      </c>
      <c r="P6326">
        <v>0.99548680000000001</v>
      </c>
      <c r="Q6326">
        <v>-9.0496049999999995E-2</v>
      </c>
      <c r="R6326">
        <v>-2.8578360000000001E-2</v>
      </c>
      <c r="S6326">
        <v>2.9954529999999999</v>
      </c>
      <c r="T6326">
        <v>-0.19260250000000001</v>
      </c>
      <c r="U6326">
        <v>-2.4932860000000001E-2</v>
      </c>
      <c r="V6326">
        <v>-3.2444769999999998E-2</v>
      </c>
      <c r="W6326">
        <v>-8.3589899999999995E-2</v>
      </c>
      <c r="X6326">
        <v>0.99597190000000002</v>
      </c>
      <c r="Y6326">
        <v>-5.2833049999999999E-2</v>
      </c>
      <c r="Z6326">
        <v>5.3924059999999998E-3</v>
      </c>
      <c r="AA6326">
        <v>0.99858880000000005</v>
      </c>
      <c r="AB6326">
        <v>21</v>
      </c>
      <c r="AC6326">
        <v>17.303999999999899</v>
      </c>
      <c r="AD6326">
        <v>-1.120714279272</v>
      </c>
      <c r="AE6326">
        <v>-0.13796999999999501</v>
      </c>
      <c r="AF6326">
        <v>-0.92027682251348797</v>
      </c>
      <c r="AG6326">
        <v>-1.120714279272</v>
      </c>
      <c r="AH6326">
        <v>17.2076801996966</v>
      </c>
      <c r="AI6326">
        <v>93.721035674716802</v>
      </c>
      <c r="AJ6326">
        <v>93.061295480539698</v>
      </c>
      <c r="AK6326">
        <v>17.268675912786499</v>
      </c>
      <c r="AL6326">
        <v>94.794943598989903</v>
      </c>
      <c r="AM6326">
        <v>91.865806894430094</v>
      </c>
      <c r="AN6326">
        <v>0.999999980035986</v>
      </c>
    </row>
    <row r="6327" spans="1:40" x14ac:dyDescent="0.25">
      <c r="A6327" t="str">
        <f>"20190303154648549"</f>
        <v>20190303154648549</v>
      </c>
      <c r="B6327" t="str">
        <f>"1551599208538401"</f>
        <v>1551599208538401</v>
      </c>
      <c r="C6327" t="s">
        <v>40</v>
      </c>
      <c r="D6327">
        <v>5.7339460000000004</v>
      </c>
      <c r="E6327">
        <v>0.49194549999999998</v>
      </c>
      <c r="F6327" t="s">
        <v>71</v>
      </c>
      <c r="G6327">
        <v>-258.6927</v>
      </c>
      <c r="H6327" s="1">
        <v>-3.2694770000000002E-6</v>
      </c>
      <c r="I6327">
        <v>-62.539960000000001</v>
      </c>
      <c r="J6327">
        <v>-275.9101</v>
      </c>
      <c r="K6327">
        <v>1.1207100000000001</v>
      </c>
      <c r="L6327">
        <v>-62.414949999999997</v>
      </c>
      <c r="M6327">
        <v>0.99812659999999997</v>
      </c>
      <c r="N6327">
        <v>-6.864724E-3</v>
      </c>
      <c r="O6327">
        <v>-6.0796169999999997E-2</v>
      </c>
      <c r="P6327">
        <v>0.99556299999999998</v>
      </c>
      <c r="Q6327">
        <v>-8.9842569999999997E-2</v>
      </c>
      <c r="R6327">
        <v>-2.7979670000000002E-2</v>
      </c>
      <c r="S6327">
        <v>2.9953310000000002</v>
      </c>
      <c r="T6327">
        <v>-0.19370270000000001</v>
      </c>
      <c r="U6327">
        <v>-2.2705079999999999E-2</v>
      </c>
      <c r="V6327">
        <v>-3.24809E-2</v>
      </c>
      <c r="W6327">
        <v>-8.3053740000000001E-2</v>
      </c>
      <c r="X6327">
        <v>0.9960156</v>
      </c>
      <c r="Y6327">
        <v>-5.3006150000000002E-2</v>
      </c>
      <c r="Z6327">
        <v>5.402446E-3</v>
      </c>
      <c r="AA6327">
        <v>0.99857960000000001</v>
      </c>
      <c r="AB6327">
        <v>21</v>
      </c>
      <c r="AC6327">
        <v>17.217399999999898</v>
      </c>
      <c r="AD6327">
        <v>-1.1207132694769999</v>
      </c>
      <c r="AE6327">
        <v>-0.12501000000000301</v>
      </c>
      <c r="AF6327">
        <v>-0.91810811376713397</v>
      </c>
      <c r="AG6327">
        <v>-1.1207132694769999</v>
      </c>
      <c r="AH6327">
        <v>17.1206146374941</v>
      </c>
      <c r="AI6327">
        <v>93.739872849818298</v>
      </c>
      <c r="AJ6327">
        <v>93.069596693751805</v>
      </c>
      <c r="AK6327">
        <v>17.181803348499901</v>
      </c>
      <c r="AL6327">
        <v>94.764116583683006</v>
      </c>
      <c r="AM6327">
        <v>91.867801262472497</v>
      </c>
      <c r="AN6327">
        <v>1.0000000040180701</v>
      </c>
    </row>
    <row r="6328" spans="1:40" x14ac:dyDescent="0.25">
      <c r="A6328" t="str">
        <f>"20190303154648559"</f>
        <v>20190303154648559</v>
      </c>
      <c r="B6328" t="str">
        <f>"1551599208548162"</f>
        <v>1551599208548162</v>
      </c>
      <c r="C6328" t="s">
        <v>40</v>
      </c>
      <c r="D6328">
        <v>5.7644669999999998</v>
      </c>
      <c r="E6328">
        <v>0.492004</v>
      </c>
      <c r="F6328" t="s">
        <v>71</v>
      </c>
      <c r="G6328">
        <v>-258.55509999999998</v>
      </c>
      <c r="H6328" s="1">
        <v>-3.222459E-6</v>
      </c>
      <c r="I6328">
        <v>-62.538369999999901</v>
      </c>
      <c r="J6328">
        <v>-275.80189999999999</v>
      </c>
      <c r="K6328">
        <v>1.120703</v>
      </c>
      <c r="L6328">
        <v>-62.420929999999998</v>
      </c>
      <c r="M6328">
        <v>0.99816059999999995</v>
      </c>
      <c r="N6328">
        <v>-6.7537999999999999E-3</v>
      </c>
      <c r="O6328">
        <v>-6.0250829999999998E-2</v>
      </c>
      <c r="P6328">
        <v>0.99561580000000005</v>
      </c>
      <c r="Q6328">
        <v>-8.9498649999999999E-2</v>
      </c>
      <c r="R6328">
        <v>-2.7202299999999902E-2</v>
      </c>
      <c r="S6328">
        <v>2.9953310000000002</v>
      </c>
      <c r="T6328">
        <v>-0.19342680000000001</v>
      </c>
      <c r="U6328">
        <v>-2.1301270000000001E-2</v>
      </c>
      <c r="V6328">
        <v>-3.2715670000000002E-2</v>
      </c>
      <c r="W6328">
        <v>-8.2820950000000004E-2</v>
      </c>
      <c r="X6328">
        <v>0.99602729999999995</v>
      </c>
      <c r="Y6328">
        <v>-5.2930020000000001E-2</v>
      </c>
      <c r="Z6328">
        <v>5.3640989999999998E-3</v>
      </c>
      <c r="AA6328">
        <v>0.99858380000000002</v>
      </c>
      <c r="AB6328">
        <v>21</v>
      </c>
      <c r="AC6328">
        <v>17.2468</v>
      </c>
      <c r="AD6328">
        <v>-1.1207062224590001</v>
      </c>
      <c r="AE6328">
        <v>-0.117439999999987</v>
      </c>
      <c r="AF6328">
        <v>-0.918054616983769</v>
      </c>
      <c r="AG6328">
        <v>-1.1207062224590001</v>
      </c>
      <c r="AH6328">
        <v>17.150129254616399</v>
      </c>
      <c r="AI6328">
        <v>93.733450478429305</v>
      </c>
      <c r="AJ6328">
        <v>93.064145916195997</v>
      </c>
      <c r="AK6328">
        <v>17.2112097240976</v>
      </c>
      <c r="AL6328">
        <v>94.750732590231806</v>
      </c>
      <c r="AM6328">
        <v>91.881269868635798</v>
      </c>
      <c r="AN6328">
        <v>1.0000000035838701</v>
      </c>
    </row>
    <row r="6329" spans="1:40" x14ac:dyDescent="0.25">
      <c r="A6329" t="str">
        <f>"20190303154648572"</f>
        <v>20190303154648572</v>
      </c>
      <c r="B6329" t="str">
        <f>"1551599208567682"</f>
        <v>1551599208567682</v>
      </c>
      <c r="C6329" t="s">
        <v>40</v>
      </c>
      <c r="D6329">
        <v>5.7697940000000001</v>
      </c>
      <c r="E6329">
        <v>0.49212139999999999</v>
      </c>
      <c r="F6329" t="s">
        <v>71</v>
      </c>
      <c r="G6329">
        <v>-258.51159999999999</v>
      </c>
      <c r="H6329" s="1">
        <v>-3.206864E-6</v>
      </c>
      <c r="I6329">
        <v>-62.532620000000001</v>
      </c>
      <c r="J6329">
        <v>-275.68540000000002</v>
      </c>
      <c r="K6329">
        <v>1.1206969999999901</v>
      </c>
      <c r="L6329">
        <v>-62.427340000000001</v>
      </c>
      <c r="M6329">
        <v>0.9981968</v>
      </c>
      <c r="N6329">
        <v>-6.6401740000000004E-3</v>
      </c>
      <c r="O6329">
        <v>-5.9658900000000001E-2</v>
      </c>
      <c r="P6329">
        <v>0.99568679999999998</v>
      </c>
      <c r="Q6329">
        <v>-8.8936520000000005E-2</v>
      </c>
      <c r="R6329">
        <v>-2.6431389999999999E-2</v>
      </c>
      <c r="S6329">
        <v>2.9952390000000002</v>
      </c>
      <c r="T6329">
        <v>-0.19414190000000001</v>
      </c>
      <c r="U6329">
        <v>-1.934814E-2</v>
      </c>
      <c r="V6329">
        <v>-3.2898810000000001E-2</v>
      </c>
      <c r="W6329">
        <v>-8.237245E-2</v>
      </c>
      <c r="X6329">
        <v>0.99605849999999996</v>
      </c>
      <c r="Y6329">
        <v>-5.2987659999999999E-2</v>
      </c>
      <c r="Z6329">
        <v>5.3564869999999896E-3</v>
      </c>
      <c r="AA6329">
        <v>0.99858080000000005</v>
      </c>
      <c r="AB6329">
        <v>21</v>
      </c>
      <c r="AC6329">
        <v>17.1738</v>
      </c>
      <c r="AD6329">
        <v>-1.12070020686399</v>
      </c>
      <c r="AE6329">
        <v>-0.105279999999993</v>
      </c>
      <c r="AF6329">
        <v>-0.91560122386190002</v>
      </c>
      <c r="AG6329">
        <v>-1.12070020686399</v>
      </c>
      <c r="AH6329">
        <v>17.076773138833399</v>
      </c>
      <c r="AI6329">
        <v>93.7494051845363</v>
      </c>
      <c r="AJ6329">
        <v>93.069075284461505</v>
      </c>
      <c r="AK6329">
        <v>17.137983410832899</v>
      </c>
      <c r="AL6329">
        <v>94.724947135610407</v>
      </c>
      <c r="AM6329">
        <v>91.891734238378206</v>
      </c>
      <c r="AN6329">
        <v>1.00000004382033</v>
      </c>
    </row>
    <row r="6330" spans="1:40" x14ac:dyDescent="0.25">
      <c r="A6330" t="str">
        <f>"20190303154648584"</f>
        <v>20190303154648584</v>
      </c>
      <c r="B6330" t="str">
        <f>"1551599208578418"</f>
        <v>1551599208578418</v>
      </c>
      <c r="C6330" t="s">
        <v>40</v>
      </c>
      <c r="D6330">
        <v>5.7607100000000004</v>
      </c>
      <c r="E6330">
        <v>0.49232799999999999</v>
      </c>
      <c r="F6330" t="s">
        <v>71</v>
      </c>
      <c r="G6330">
        <v>-258.54469999999998</v>
      </c>
      <c r="H6330" s="1">
        <v>-3.2177609999999999E-6</v>
      </c>
      <c r="I6330">
        <v>-62.529690000000002</v>
      </c>
      <c r="J6330">
        <v>-275.56889999999999</v>
      </c>
      <c r="K6330">
        <v>1.120687</v>
      </c>
      <c r="L6330">
        <v>-62.43365</v>
      </c>
      <c r="M6330">
        <v>0.99823269999999997</v>
      </c>
      <c r="N6330">
        <v>-6.5290210000000003E-3</v>
      </c>
      <c r="O6330">
        <v>-5.9066019999999997E-2</v>
      </c>
      <c r="P6330">
        <v>0.99576969999999998</v>
      </c>
      <c r="Q6330">
        <v>-8.8239090000000006E-2</v>
      </c>
      <c r="R6330">
        <v>-2.562594E-2</v>
      </c>
      <c r="S6330">
        <v>2.9949949999999999</v>
      </c>
      <c r="T6330">
        <v>-0.1958202</v>
      </c>
      <c r="U6330">
        <v>-1.7883300000000001E-2</v>
      </c>
      <c r="V6330">
        <v>-3.3116039999999999E-2</v>
      </c>
      <c r="W6330">
        <v>-8.1786079999999997E-2</v>
      </c>
      <c r="X6330">
        <v>0.99609959999999997</v>
      </c>
      <c r="Y6330">
        <v>-5.2879469999999998E-2</v>
      </c>
      <c r="Z6330">
        <v>5.3700830000000003E-3</v>
      </c>
      <c r="AA6330">
        <v>0.99858650000000004</v>
      </c>
      <c r="AB6330">
        <v>21</v>
      </c>
      <c r="AC6330">
        <v>17.0242</v>
      </c>
      <c r="AD6330">
        <v>-1.1206902177609901</v>
      </c>
      <c r="AE6330">
        <v>-9.6040000000002096E-2</v>
      </c>
      <c r="AF6330">
        <v>-0.90577583821713303</v>
      </c>
      <c r="AG6330">
        <v>-1.1206902177609901</v>
      </c>
      <c r="AH6330">
        <v>16.926798866584999</v>
      </c>
      <c r="AI6330">
        <v>93.782517141516095</v>
      </c>
      <c r="AJ6330">
        <v>93.063053023605093</v>
      </c>
      <c r="AK6330">
        <v>16.9880221421773</v>
      </c>
      <c r="AL6330">
        <v>94.691236958261996</v>
      </c>
      <c r="AM6330">
        <v>91.904137633325405</v>
      </c>
      <c r="AN6330">
        <v>1.0000000240536</v>
      </c>
    </row>
    <row r="6331" spans="1:40" x14ac:dyDescent="0.25">
      <c r="A6331" t="str">
        <f>"20190303154648595"</f>
        <v>20190303154648595</v>
      </c>
      <c r="B6331" t="str">
        <f>"1551599208588177"</f>
        <v>1551599208588177</v>
      </c>
      <c r="C6331" t="s">
        <v>40</v>
      </c>
      <c r="D6331">
        <v>5.6876899999999999</v>
      </c>
      <c r="E6331">
        <v>0.49252849999999998</v>
      </c>
      <c r="F6331" t="s">
        <v>71</v>
      </c>
      <c r="G6331">
        <v>-258.22070000000002</v>
      </c>
      <c r="H6331" s="1">
        <v>-3.107918E-6</v>
      </c>
      <c r="I6331">
        <v>-62.532809999999998</v>
      </c>
      <c r="J6331">
        <v>-275.46159999999998</v>
      </c>
      <c r="K6331">
        <v>1.120681</v>
      </c>
      <c r="L6331">
        <v>-62.439419999999998</v>
      </c>
      <c r="M6331">
        <v>0.99826559999999998</v>
      </c>
      <c r="N6331">
        <v>-6.4310590000000003E-3</v>
      </c>
      <c r="O6331">
        <v>-5.8518969999999997E-2</v>
      </c>
      <c r="P6331">
        <v>0.9958245</v>
      </c>
      <c r="Q6331">
        <v>-8.7722530000000007E-2</v>
      </c>
      <c r="R6331">
        <v>-2.5265639999999999E-2</v>
      </c>
      <c r="S6331">
        <v>2.9951479999999999</v>
      </c>
      <c r="T6331">
        <v>-0.1934862</v>
      </c>
      <c r="U6331">
        <v>-1.7120360000000001E-2</v>
      </c>
      <c r="V6331">
        <v>-3.293335E-2</v>
      </c>
      <c r="W6331">
        <v>-8.1366759999999996E-2</v>
      </c>
      <c r="X6331">
        <v>0.99613989999999997</v>
      </c>
      <c r="Y6331">
        <v>-5.2593760000000003E-2</v>
      </c>
      <c r="Z6331">
        <v>5.2647170000000004E-3</v>
      </c>
      <c r="AA6331">
        <v>0.99860210000000005</v>
      </c>
      <c r="AB6331">
        <v>21</v>
      </c>
      <c r="AC6331">
        <v>17.2408999999999</v>
      </c>
      <c r="AD6331">
        <v>-1.1206841079180001</v>
      </c>
      <c r="AE6331">
        <v>-9.3389999999999404E-2</v>
      </c>
      <c r="AF6331">
        <v>-0.91185794234866502</v>
      </c>
      <c r="AG6331">
        <v>-1.1206841079180001</v>
      </c>
      <c r="AH6331">
        <v>17.1443819910988</v>
      </c>
      <c r="AI6331">
        <v>93.734693067292497</v>
      </c>
      <c r="AJ6331">
        <v>93.044520939903904</v>
      </c>
      <c r="AK6331">
        <v>17.205151892194301</v>
      </c>
      <c r="AL6331">
        <v>94.667131800917701</v>
      </c>
      <c r="AM6331">
        <v>91.893564264919803</v>
      </c>
      <c r="AN6331">
        <v>0.99999992777356195</v>
      </c>
    </row>
    <row r="6332" spans="1:40" x14ac:dyDescent="0.25">
      <c r="A6332" t="str">
        <f>"20190303154648606"</f>
        <v>20190303154648606</v>
      </c>
      <c r="B6332" t="str">
        <f>"1551599208597937"</f>
        <v>1551599208597937</v>
      </c>
      <c r="C6332" t="s">
        <v>40</v>
      </c>
      <c r="D6332">
        <v>5.6971639999999999</v>
      </c>
      <c r="E6332">
        <v>0.49271209999999999</v>
      </c>
      <c r="F6332" t="s">
        <v>71</v>
      </c>
      <c r="G6332">
        <v>-257.97309999999999</v>
      </c>
      <c r="H6332" s="1">
        <v>-3.0248930000000001E-6</v>
      </c>
      <c r="I6332">
        <v>-62.542059999999999</v>
      </c>
      <c r="J6332">
        <v>-275.3603</v>
      </c>
      <c r="K6332">
        <v>1.1206799999999999</v>
      </c>
      <c r="L6332">
        <v>-62.444789999999998</v>
      </c>
      <c r="M6332">
        <v>0.99829630000000003</v>
      </c>
      <c r="N6332">
        <v>-6.3414419999999897E-3</v>
      </c>
      <c r="O6332">
        <v>-5.8002100000000001E-2</v>
      </c>
      <c r="P6332">
        <v>0.99586339999999995</v>
      </c>
      <c r="Q6332">
        <v>-8.7425719999999998E-2</v>
      </c>
      <c r="R6332">
        <v>-2.4761499999999999E-2</v>
      </c>
      <c r="S6332">
        <v>2.9952390000000002</v>
      </c>
      <c r="T6332">
        <v>-0.19193840000000001</v>
      </c>
      <c r="U6332">
        <v>-1.7578130000000001E-2</v>
      </c>
      <c r="V6332">
        <v>-3.2922989999999999E-2</v>
      </c>
      <c r="W6332">
        <v>-8.1159289999999995E-2</v>
      </c>
      <c r="X6332">
        <v>0.99615719999999996</v>
      </c>
      <c r="Y6332">
        <v>-5.1930030000000002E-2</v>
      </c>
      <c r="Z6332">
        <v>5.1706230000000001E-3</v>
      </c>
      <c r="AA6332">
        <v>0.99863729999999995</v>
      </c>
      <c r="AB6332">
        <v>21</v>
      </c>
      <c r="AC6332">
        <v>17.3872</v>
      </c>
      <c r="AD6332">
        <v>-1.120683024893</v>
      </c>
      <c r="AE6332">
        <v>-9.7269999999994597E-2</v>
      </c>
      <c r="AF6332">
        <v>-0.90763762184811203</v>
      </c>
      <c r="AG6332">
        <v>-1.120683024893</v>
      </c>
      <c r="AH6332">
        <v>17.291734570449901</v>
      </c>
      <c r="AI6332">
        <v>93.703088684231403</v>
      </c>
      <c r="AJ6332">
        <v>93.004679717311006</v>
      </c>
      <c r="AK6332">
        <v>17.351767084356801</v>
      </c>
      <c r="AL6332">
        <v>94.655205047635405</v>
      </c>
      <c r="AM6332">
        <v>91.892936180095006</v>
      </c>
      <c r="AN6332">
        <v>0.999999960367841</v>
      </c>
    </row>
    <row r="6333" spans="1:40" x14ac:dyDescent="0.25">
      <c r="A6333" t="str">
        <f>"20190303154648616"</f>
        <v>20190303154648616</v>
      </c>
      <c r="B6333" t="str">
        <f>"1551599208607697"</f>
        <v>1551599208607697</v>
      </c>
      <c r="C6333" t="s">
        <v>40</v>
      </c>
      <c r="D6333">
        <v>5.7279650000000002</v>
      </c>
      <c r="E6333">
        <v>0.49278719999999998</v>
      </c>
      <c r="F6333" t="s">
        <v>71</v>
      </c>
      <c r="G6333">
        <v>-257.81740000000002</v>
      </c>
      <c r="H6333" s="1">
        <v>-2.9710099999999999E-6</v>
      </c>
      <c r="I6333">
        <v>-62.547750000000001</v>
      </c>
      <c r="J6333">
        <v>-275.25639999999999</v>
      </c>
      <c r="K6333">
        <v>1.120676</v>
      </c>
      <c r="L6333">
        <v>-62.45026</v>
      </c>
      <c r="M6333">
        <v>0.99832770000000004</v>
      </c>
      <c r="N6333">
        <v>-6.252723E-3</v>
      </c>
      <c r="O6333">
        <v>-5.7471059999999997E-2</v>
      </c>
      <c r="P6333">
        <v>0.99589830000000001</v>
      </c>
      <c r="Q6333">
        <v>-8.7161600000000006E-2</v>
      </c>
      <c r="R6333">
        <v>-2.4285089999999999E-2</v>
      </c>
      <c r="S6333">
        <v>2.995209</v>
      </c>
      <c r="T6333">
        <v>-0.19134080000000001</v>
      </c>
      <c r="U6333">
        <v>-1.7578130000000001E-2</v>
      </c>
      <c r="V6333">
        <v>-3.2871209999999998E-2</v>
      </c>
      <c r="W6333">
        <v>-8.0983509999999995E-2</v>
      </c>
      <c r="X6333">
        <v>0.99617330000000004</v>
      </c>
      <c r="Y6333">
        <v>-5.140198E-2</v>
      </c>
      <c r="Z6333">
        <v>5.1077930000000002E-3</v>
      </c>
      <c r="AA6333">
        <v>0.99866500000000002</v>
      </c>
      <c r="AB6333">
        <v>21</v>
      </c>
      <c r="AC6333">
        <v>17.438999999999901</v>
      </c>
      <c r="AD6333">
        <v>-1.12067897101</v>
      </c>
      <c r="AE6333">
        <v>-9.7490000000000507E-2</v>
      </c>
      <c r="AF6333">
        <v>-0.90120683585122796</v>
      </c>
      <c r="AG6333">
        <v>-1.12067897101</v>
      </c>
      <c r="AH6333">
        <v>17.3441541411859</v>
      </c>
      <c r="AI6333">
        <v>93.692015969501895</v>
      </c>
      <c r="AJ6333">
        <v>92.974428923706895</v>
      </c>
      <c r="AK6333">
        <v>17.403671393998</v>
      </c>
      <c r="AL6333">
        <v>94.645099941778298</v>
      </c>
      <c r="AM6333">
        <v>91.889930681280404</v>
      </c>
      <c r="AN6333">
        <v>1.0000000444858299</v>
      </c>
    </row>
    <row r="6334" spans="1:40" x14ac:dyDescent="0.25">
      <c r="A6334" t="str">
        <f>"20190303154648627"</f>
        <v>20190303154648627</v>
      </c>
      <c r="B6334" t="str">
        <f>"1551599208618433"</f>
        <v>1551599208618433</v>
      </c>
      <c r="C6334" t="s">
        <v>40</v>
      </c>
      <c r="D6334">
        <v>5.7602890000000002</v>
      </c>
      <c r="E6334">
        <v>0.49283890000000002</v>
      </c>
      <c r="F6334" t="s">
        <v>71</v>
      </c>
      <c r="G6334">
        <v>-257.78089999999997</v>
      </c>
      <c r="H6334" s="1">
        <v>-2.9553170000000002E-6</v>
      </c>
      <c r="I6334">
        <v>-62.547649999999997</v>
      </c>
      <c r="J6334">
        <v>-275.15989999999999</v>
      </c>
      <c r="K6334">
        <v>1.1206719999999999</v>
      </c>
      <c r="L6334">
        <v>-62.455319999999901</v>
      </c>
      <c r="M6334">
        <v>0.99835629999999997</v>
      </c>
      <c r="N6334">
        <v>-6.1746190000000001E-3</v>
      </c>
      <c r="O6334">
        <v>-5.6978540000000001E-2</v>
      </c>
      <c r="P6334">
        <v>0.9959346</v>
      </c>
      <c r="Q6334">
        <v>-8.6883749999999996E-2</v>
      </c>
      <c r="R6334">
        <v>-2.3783869999999999E-2</v>
      </c>
      <c r="S6334">
        <v>2.9951780000000001</v>
      </c>
      <c r="T6334">
        <v>-0.19207630000000001</v>
      </c>
      <c r="U6334">
        <v>-1.6693119999999999E-2</v>
      </c>
      <c r="V6334">
        <v>-3.2881720000000003E-2</v>
      </c>
      <c r="W6334">
        <v>-8.0783519999999998E-2</v>
      </c>
      <c r="X6334">
        <v>0.99618910000000005</v>
      </c>
      <c r="Y6334">
        <v>-5.1203779999999997E-2</v>
      </c>
      <c r="Z6334">
        <v>5.0952669999999997E-3</v>
      </c>
      <c r="AA6334">
        <v>0.99867519999999999</v>
      </c>
      <c r="AB6334">
        <v>21</v>
      </c>
      <c r="AC6334">
        <v>17.379000000000001</v>
      </c>
      <c r="AD6334">
        <v>-1.1206749553169999</v>
      </c>
      <c r="AE6334">
        <v>-9.2330000000004006E-2</v>
      </c>
      <c r="AF6334">
        <v>-0.89435011840701395</v>
      </c>
      <c r="AG6334">
        <v>-1.1206749553169999</v>
      </c>
      <c r="AH6334">
        <v>17.284156308437598</v>
      </c>
      <c r="AI6334">
        <v>93.704824386166905</v>
      </c>
      <c r="AJ6334">
        <v>92.962066924995895</v>
      </c>
      <c r="AK6334">
        <v>17.343524260780299</v>
      </c>
      <c r="AL6334">
        <v>94.6336041137519</v>
      </c>
      <c r="AM6334">
        <v>91.890504552491095</v>
      </c>
      <c r="AN6334">
        <v>0.99999995378627804</v>
      </c>
    </row>
    <row r="6335" spans="1:40" x14ac:dyDescent="0.25">
      <c r="A6335" t="str">
        <f>"20190303154648637"</f>
        <v>20190303154648637</v>
      </c>
      <c r="B6335" t="str">
        <f>"1551599208628193"</f>
        <v>1551599208628193</v>
      </c>
      <c r="C6335" t="s">
        <v>40</v>
      </c>
      <c r="D6335">
        <v>5.7915299999999998</v>
      </c>
      <c r="E6335">
        <v>0.49289280000000002</v>
      </c>
      <c r="F6335" t="s">
        <v>71</v>
      </c>
      <c r="G6335">
        <v>-257.78680000000003</v>
      </c>
      <c r="H6335" s="1">
        <v>-2.9574299999999998E-6</v>
      </c>
      <c r="I6335">
        <v>-62.5456</v>
      </c>
      <c r="J6335">
        <v>-275.05489999999998</v>
      </c>
      <c r="K6335">
        <v>1.1206700000000001</v>
      </c>
      <c r="L6335">
        <v>-62.460720000000002</v>
      </c>
      <c r="M6335">
        <v>0.99838720000000003</v>
      </c>
      <c r="N6335">
        <v>-6.0928149999999997E-3</v>
      </c>
      <c r="O6335">
        <v>-5.6442989999999998E-2</v>
      </c>
      <c r="P6335">
        <v>0.99596759999999995</v>
      </c>
      <c r="Q6335">
        <v>-8.6698620000000004E-2</v>
      </c>
      <c r="R6335">
        <v>-2.306391E-2</v>
      </c>
      <c r="S6335">
        <v>2.9950260000000002</v>
      </c>
      <c r="T6335">
        <v>-0.1931986</v>
      </c>
      <c r="U6335">
        <v>-1.556396E-2</v>
      </c>
      <c r="V6335">
        <v>-3.3068199999999999E-2</v>
      </c>
      <c r="W6335">
        <v>-8.0680290000000002E-2</v>
      </c>
      <c r="X6335">
        <v>0.9961913</v>
      </c>
      <c r="Y6335">
        <v>-5.1042829999999997E-2</v>
      </c>
      <c r="Z6335">
        <v>5.0920779999999999E-3</v>
      </c>
      <c r="AA6335">
        <v>0.99868349999999995</v>
      </c>
      <c r="AB6335">
        <v>22</v>
      </c>
      <c r="AC6335">
        <v>17.268099999999901</v>
      </c>
      <c r="AD6335">
        <v>-1.1206729574299901</v>
      </c>
      <c r="AE6335">
        <v>-8.4880000000005396E-2</v>
      </c>
      <c r="AF6335">
        <v>-0.88620420489134399</v>
      </c>
      <c r="AG6335">
        <v>-1.1206729574299901</v>
      </c>
      <c r="AH6335">
        <v>17.173033758801299</v>
      </c>
      <c r="AI6335">
        <v>93.728750102275896</v>
      </c>
      <c r="AJ6335">
        <v>92.954094257331406</v>
      </c>
      <c r="AK6335">
        <v>17.232363571234501</v>
      </c>
      <c r="AL6335">
        <v>94.627670068963994</v>
      </c>
      <c r="AM6335">
        <v>91.901214008455995</v>
      </c>
      <c r="AN6335">
        <v>0.99999996062070595</v>
      </c>
    </row>
    <row r="6336" spans="1:40" x14ac:dyDescent="0.25">
      <c r="A6336" t="str">
        <f>"20190303154648648"</f>
        <v>20190303154648648</v>
      </c>
      <c r="B6336" t="str">
        <f>"1551599208637954"</f>
        <v>1551599208637954</v>
      </c>
      <c r="C6336" t="s">
        <v>40</v>
      </c>
      <c r="D6336">
        <v>5.6580349999999999</v>
      </c>
      <c r="E6336">
        <v>0.49305919999999998</v>
      </c>
      <c r="F6336" t="s">
        <v>71</v>
      </c>
      <c r="G6336">
        <v>-257.78570000000002</v>
      </c>
      <c r="H6336" s="1">
        <v>-2.9556769999999999E-6</v>
      </c>
      <c r="I6336">
        <v>-62.539909999999999</v>
      </c>
      <c r="J6336">
        <v>-274.95819999999998</v>
      </c>
      <c r="K6336">
        <v>1.120668</v>
      </c>
      <c r="L6336">
        <v>-62.465670000000003</v>
      </c>
      <c r="M6336">
        <v>0.99841550000000001</v>
      </c>
      <c r="N6336">
        <v>-6.0227340000000001E-3</v>
      </c>
      <c r="O6336">
        <v>-5.59505E-2</v>
      </c>
      <c r="P6336">
        <v>0.99601189999999995</v>
      </c>
      <c r="Q6336">
        <v>-8.6384039999999995E-2</v>
      </c>
      <c r="R6336">
        <v>-2.2328830000000001E-2</v>
      </c>
      <c r="S6336">
        <v>2.994904</v>
      </c>
      <c r="T6336">
        <v>-0.19435189999999999</v>
      </c>
      <c r="U6336">
        <v>-1.3732909999999999E-2</v>
      </c>
      <c r="V6336">
        <v>-3.3313500000000003E-2</v>
      </c>
      <c r="W6336">
        <v>-8.0435950000000006E-2</v>
      </c>
      <c r="X6336">
        <v>0.9962029</v>
      </c>
      <c r="Y6336">
        <v>-5.1158380000000003E-2</v>
      </c>
      <c r="Z6336">
        <v>5.101118E-3</v>
      </c>
      <c r="AA6336">
        <v>0.99867760000000005</v>
      </c>
      <c r="AB6336">
        <v>22</v>
      </c>
      <c r="AC6336">
        <v>17.1724999999999</v>
      </c>
      <c r="AD6336">
        <v>-1.120670955677</v>
      </c>
      <c r="AE6336">
        <v>-7.4240000000003095E-2</v>
      </c>
      <c r="AF6336">
        <v>-0.88294334343358305</v>
      </c>
      <c r="AG6336">
        <v>-1.120670955677</v>
      </c>
      <c r="AH6336">
        <v>17.077026297451301</v>
      </c>
      <c r="AI6336">
        <v>93.749627808821003</v>
      </c>
      <c r="AJ6336">
        <v>92.959761219453796</v>
      </c>
      <c r="AK6336">
        <v>17.136520052287601</v>
      </c>
      <c r="AL6336">
        <v>94.613624704289293</v>
      </c>
      <c r="AM6336">
        <v>91.915284468124497</v>
      </c>
      <c r="AN6336">
        <v>0.99999997465153001</v>
      </c>
    </row>
    <row r="6337" spans="1:40" x14ac:dyDescent="0.25">
      <c r="A6337" t="str">
        <f>"20190303154648658"</f>
        <v>20190303154648658</v>
      </c>
      <c r="B6337" t="str">
        <f>"1551599208647713"</f>
        <v>1551599208647713</v>
      </c>
      <c r="C6337" t="s">
        <v>40</v>
      </c>
      <c r="D6337">
        <v>5.6856809999999998</v>
      </c>
      <c r="E6337">
        <v>0.49313240000000003</v>
      </c>
      <c r="F6337" t="s">
        <v>71</v>
      </c>
      <c r="G6337">
        <v>-257.63830000000002</v>
      </c>
      <c r="H6337" s="1">
        <v>-2.892428E-6</v>
      </c>
      <c r="I6337">
        <v>-62.539790000000004</v>
      </c>
      <c r="J6337">
        <v>-274.85629999999998</v>
      </c>
      <c r="K6337">
        <v>1.120668</v>
      </c>
      <c r="L6337">
        <v>-62.470829999999999</v>
      </c>
      <c r="M6337">
        <v>0.99844480000000002</v>
      </c>
      <c r="N6337">
        <v>-5.9515849999999997E-3</v>
      </c>
      <c r="O6337">
        <v>-5.5431670000000002E-2</v>
      </c>
      <c r="P6337">
        <v>0.99606530000000004</v>
      </c>
      <c r="Q6337">
        <v>-8.6004209999999998E-2</v>
      </c>
      <c r="R6337">
        <v>-2.138899E-2</v>
      </c>
      <c r="S6337">
        <v>2.9949340000000002</v>
      </c>
      <c r="T6337">
        <v>-0.1937855</v>
      </c>
      <c r="U6337">
        <v>-1.281738E-2</v>
      </c>
      <c r="V6337">
        <v>-3.3737120000000002E-2</v>
      </c>
      <c r="W6337">
        <v>-8.0127740000000003E-2</v>
      </c>
      <c r="X6337">
        <v>0.99621349999999997</v>
      </c>
      <c r="Y6337">
        <v>-5.0947260000000001E-2</v>
      </c>
      <c r="Z6337">
        <v>5.0500069999999996E-3</v>
      </c>
      <c r="AA6337">
        <v>0.99868860000000004</v>
      </c>
      <c r="AB6337">
        <v>22</v>
      </c>
      <c r="AC6337">
        <v>17.2179999999999</v>
      </c>
      <c r="AD6337">
        <v>-1.120670892428</v>
      </c>
      <c r="AE6337">
        <v>-6.8959999999996996E-2</v>
      </c>
      <c r="AF6337">
        <v>-0.88184962174997605</v>
      </c>
      <c r="AG6337">
        <v>-1.120670892428</v>
      </c>
      <c r="AH6337">
        <v>17.122811848277198</v>
      </c>
      <c r="AI6337">
        <v>93.739668559646702</v>
      </c>
      <c r="AJ6337">
        <v>92.9482108988676</v>
      </c>
      <c r="AK6337">
        <v>17.182090897094501</v>
      </c>
      <c r="AL6337">
        <v>94.595908303384405</v>
      </c>
      <c r="AM6337">
        <v>91.939600434694498</v>
      </c>
      <c r="AN6337">
        <v>0.99999999278282603</v>
      </c>
    </row>
    <row r="6338" spans="1:40" x14ac:dyDescent="0.25">
      <c r="A6338" t="str">
        <f>"20190303154648671"</f>
        <v>20190303154648671</v>
      </c>
      <c r="B6338" t="str">
        <f>"1551599208668209"</f>
        <v>1551599208668209</v>
      </c>
      <c r="C6338" t="s">
        <v>40</v>
      </c>
      <c r="D6338">
        <v>5.6585799999999997</v>
      </c>
      <c r="E6338">
        <v>0.49310680000000001</v>
      </c>
      <c r="F6338" t="s">
        <v>71</v>
      </c>
      <c r="G6338">
        <v>-257.55619999999999</v>
      </c>
      <c r="H6338" s="1">
        <v>-2.855376E-6</v>
      </c>
      <c r="I6338">
        <v>-62.531640000000003</v>
      </c>
      <c r="J6338">
        <v>-274.73939999999999</v>
      </c>
      <c r="K6338">
        <v>1.1206670000000001</v>
      </c>
      <c r="L6338">
        <v>-62.476649999999999</v>
      </c>
      <c r="M6338">
        <v>0.99847810000000004</v>
      </c>
      <c r="N6338">
        <v>-5.8775160000000002E-3</v>
      </c>
      <c r="O6338">
        <v>-5.4838079999999997E-2</v>
      </c>
      <c r="P6338">
        <v>0.99613490000000005</v>
      </c>
      <c r="Q6338">
        <v>-8.5436780000000004E-2</v>
      </c>
      <c r="R6338">
        <v>-2.0398699999999999E-2</v>
      </c>
      <c r="S6338">
        <v>2.9948730000000001</v>
      </c>
      <c r="T6338">
        <v>-0.1940027</v>
      </c>
      <c r="U6338">
        <v>-1.0528559999999999E-2</v>
      </c>
      <c r="V6338">
        <v>-3.4137969999999997E-2</v>
      </c>
      <c r="W6338">
        <v>-7.9634700000000003E-2</v>
      </c>
      <c r="X6338">
        <v>0.9962394</v>
      </c>
      <c r="Y6338">
        <v>-5.1116670000000003E-2</v>
      </c>
      <c r="Z6338">
        <v>5.0293079999999997E-3</v>
      </c>
      <c r="AA6338">
        <v>0.99868000000000001</v>
      </c>
      <c r="AB6338">
        <v>22</v>
      </c>
      <c r="AC6338">
        <v>17.183199999999999</v>
      </c>
      <c r="AD6338">
        <v>-1.1206698553759999</v>
      </c>
      <c r="AE6338">
        <v>-5.4990000000003599E-2</v>
      </c>
      <c r="AF6338">
        <v>-0.88364404195660196</v>
      </c>
      <c r="AG6338">
        <v>-1.1206698553759999</v>
      </c>
      <c r="AH6338">
        <v>17.087676637938401</v>
      </c>
      <c r="AI6338">
        <v>93.747292055620605</v>
      </c>
      <c r="AJ6338">
        <v>92.960262961784395</v>
      </c>
      <c r="AK6338">
        <v>17.1471694632198</v>
      </c>
      <c r="AL6338">
        <v>94.567568530810306</v>
      </c>
      <c r="AM6338">
        <v>91.962577034518205</v>
      </c>
      <c r="AN6338">
        <v>1.0000000142760801</v>
      </c>
    </row>
    <row r="6339" spans="1:40" x14ac:dyDescent="0.25">
      <c r="A6339" t="str">
        <f>"20190303154648682"</f>
        <v>20190303154648682</v>
      </c>
      <c r="B6339" t="str">
        <f>"1551599208677969"</f>
        <v>1551599208677969</v>
      </c>
      <c r="C6339" t="s">
        <v>40</v>
      </c>
      <c r="D6339">
        <v>5.6346930000000004</v>
      </c>
      <c r="E6339">
        <v>0.49308429999999998</v>
      </c>
      <c r="F6339" t="s">
        <v>71</v>
      </c>
      <c r="G6339">
        <v>-257.19779999999997</v>
      </c>
      <c r="H6339" s="1">
        <v>-2.6990010000000001E-6</v>
      </c>
      <c r="I6339">
        <v>-62.519730000000003</v>
      </c>
      <c r="J6339">
        <v>-274.62670000000003</v>
      </c>
      <c r="K6339">
        <v>1.1206659999999999</v>
      </c>
      <c r="L6339">
        <v>-62.482239999999997</v>
      </c>
      <c r="M6339">
        <v>0.9985096</v>
      </c>
      <c r="N6339">
        <v>-5.8089329999999996E-3</v>
      </c>
      <c r="O6339">
        <v>-5.4266679999999998E-2</v>
      </c>
      <c r="P6339">
        <v>0.99623470000000003</v>
      </c>
      <c r="Q6339">
        <v>-8.4478659999999997E-2</v>
      </c>
      <c r="R6339">
        <v>-1.9486449999999999E-2</v>
      </c>
      <c r="S6339">
        <v>2.9950869999999998</v>
      </c>
      <c r="T6339">
        <v>-0.19134599999999999</v>
      </c>
      <c r="U6339">
        <v>-7.3547359999999997E-3</v>
      </c>
      <c r="V6339">
        <v>-3.4485290000000002E-2</v>
      </c>
      <c r="W6339">
        <v>-7.8745309999999999E-2</v>
      </c>
      <c r="X6339">
        <v>0.99629809999999996</v>
      </c>
      <c r="Y6339">
        <v>-5.1609330000000002E-2</v>
      </c>
      <c r="Z6339">
        <v>4.94394E-3</v>
      </c>
      <c r="AA6339">
        <v>0.99865510000000002</v>
      </c>
      <c r="AB6339">
        <v>22</v>
      </c>
      <c r="AC6339">
        <v>17.428899999999999</v>
      </c>
      <c r="AD6339">
        <v>-1.120668699001</v>
      </c>
      <c r="AE6339">
        <v>-3.7489999999998198E-2</v>
      </c>
      <c r="AF6339">
        <v>-0.90464954015135901</v>
      </c>
      <c r="AG6339">
        <v>-1.120668699001</v>
      </c>
      <c r="AH6339">
        <v>17.333587770132301</v>
      </c>
      <c r="AI6339">
        <v>93.694182525097403</v>
      </c>
      <c r="AJ6339">
        <v>92.987587830229899</v>
      </c>
      <c r="AK6339">
        <v>17.393319237807798</v>
      </c>
      <c r="AL6339">
        <v>94.516449847880097</v>
      </c>
      <c r="AM6339">
        <v>91.982411742917705</v>
      </c>
      <c r="AN6339">
        <v>0.99999998156849401</v>
      </c>
    </row>
    <row r="6340" spans="1:40" x14ac:dyDescent="0.25">
      <c r="A6340" t="str">
        <f>"20190303154648695"</f>
        <v>20190303154648695</v>
      </c>
      <c r="B6340" t="str">
        <f>"1551599208687729"</f>
        <v>1551599208687729</v>
      </c>
      <c r="C6340" t="s">
        <v>40</v>
      </c>
      <c r="D6340">
        <v>5.6478960000000002</v>
      </c>
      <c r="E6340">
        <v>0.49305559999999998</v>
      </c>
      <c r="F6340" t="s">
        <v>71</v>
      </c>
      <c r="G6340">
        <v>-256.7165</v>
      </c>
      <c r="H6340" s="1">
        <v>-2.4900899999999998E-6</v>
      </c>
      <c r="I6340">
        <v>-62.508879999999998</v>
      </c>
      <c r="J6340">
        <v>-274.4966</v>
      </c>
      <c r="K6340">
        <v>1.1206670000000001</v>
      </c>
      <c r="L6340">
        <v>-62.488619999999997</v>
      </c>
      <c r="M6340">
        <v>0.99854560000000003</v>
      </c>
      <c r="N6340">
        <v>-5.7390590000000003E-3</v>
      </c>
      <c r="O6340">
        <v>-5.3608259999999998E-2</v>
      </c>
      <c r="P6340">
        <v>0.99629650000000003</v>
      </c>
      <c r="Q6340">
        <v>-8.3899920000000003E-2</v>
      </c>
      <c r="R6340">
        <v>-1.8821649999999999E-2</v>
      </c>
      <c r="S6340">
        <v>2.9953609999999999</v>
      </c>
      <c r="T6340">
        <v>-0.1874239</v>
      </c>
      <c r="U6340">
        <v>-4.4555659999999898E-3</v>
      </c>
      <c r="V6340">
        <v>-3.4495699999999997E-2</v>
      </c>
      <c r="W6340">
        <v>-7.8236219999999995E-2</v>
      </c>
      <c r="X6340">
        <v>0.9963379</v>
      </c>
      <c r="Y6340">
        <v>-5.1926439999999997E-2</v>
      </c>
      <c r="Z6340">
        <v>4.8144520000000003E-3</v>
      </c>
      <c r="AA6340">
        <v>0.99863930000000001</v>
      </c>
      <c r="AB6340">
        <v>22</v>
      </c>
      <c r="AC6340">
        <v>17.780100000000001</v>
      </c>
      <c r="AD6340">
        <v>-1.1206694900900001</v>
      </c>
      <c r="AE6340">
        <v>-2.0260000000007401E-2</v>
      </c>
      <c r="AF6340">
        <v>-0.92925336054770202</v>
      </c>
      <c r="AG6340">
        <v>-1.1206694900900001</v>
      </c>
      <c r="AH6340">
        <v>17.685359581320402</v>
      </c>
      <c r="AI6340">
        <v>93.620836562344493</v>
      </c>
      <c r="AJ6340">
        <v>93.007763494013901</v>
      </c>
      <c r="AK6340">
        <v>17.7451783714538</v>
      </c>
      <c r="AL6340">
        <v>94.487190628837993</v>
      </c>
      <c r="AM6340">
        <v>91.982930540933395</v>
      </c>
      <c r="AN6340">
        <v>1.0000000352073899</v>
      </c>
    </row>
    <row r="6341" spans="1:40" x14ac:dyDescent="0.25">
      <c r="A6341" t="str">
        <f>"20190303154648708"</f>
        <v>20190303154648708</v>
      </c>
      <c r="B6341" t="str">
        <f>"1551599208698465"</f>
        <v>1551599208698465</v>
      </c>
      <c r="C6341" t="s">
        <v>40</v>
      </c>
      <c r="D6341">
        <v>5.6462440000000003</v>
      </c>
      <c r="E6341">
        <v>0.49303570000000002</v>
      </c>
      <c r="F6341" t="s">
        <v>71</v>
      </c>
      <c r="G6341">
        <v>-256.32679999999999</v>
      </c>
      <c r="H6341" s="1">
        <v>-2.3214490000000002E-6</v>
      </c>
      <c r="I6341">
        <v>-62.502319999999997</v>
      </c>
      <c r="J6341">
        <v>-274.37740000000002</v>
      </c>
      <c r="K6341">
        <v>1.120668</v>
      </c>
      <c r="L6341">
        <v>-62.494349999999997</v>
      </c>
      <c r="M6341">
        <v>0.99857810000000002</v>
      </c>
      <c r="N6341">
        <v>-5.6794710000000002E-3</v>
      </c>
      <c r="O6341">
        <v>-5.300589E-2</v>
      </c>
      <c r="P6341">
        <v>0.9963767</v>
      </c>
      <c r="Q6341">
        <v>-8.3057019999999995E-2</v>
      </c>
      <c r="R6341">
        <v>-1.8309780000000001E-2</v>
      </c>
      <c r="S6341">
        <v>2.9955440000000002</v>
      </c>
      <c r="T6341">
        <v>-0.18475829999999999</v>
      </c>
      <c r="U6341">
        <v>-2.2583009999999999E-3</v>
      </c>
      <c r="V6341">
        <v>-3.4410870000000003E-2</v>
      </c>
      <c r="W6341">
        <v>-7.7452439999999997E-2</v>
      </c>
      <c r="X6341">
        <v>0.99640200000000001</v>
      </c>
      <c r="Y6341">
        <v>-5.2062879999999999E-2</v>
      </c>
      <c r="Z6341">
        <v>4.7161499999999997E-3</v>
      </c>
      <c r="AA6341">
        <v>0.99863270000000004</v>
      </c>
      <c r="AB6341">
        <v>22</v>
      </c>
      <c r="AC6341">
        <v>18.050599999999999</v>
      </c>
      <c r="AD6341">
        <v>-1.1206703214489999</v>
      </c>
      <c r="AE6341">
        <v>-7.9700000000002495E-3</v>
      </c>
      <c r="AF6341">
        <v>-0.94520139017744398</v>
      </c>
      <c r="AG6341">
        <v>-1.1206703214489999</v>
      </c>
      <c r="AH6341">
        <v>17.956432350580702</v>
      </c>
      <c r="AI6341">
        <v>93.566302991385001</v>
      </c>
      <c r="AJ6341">
        <v>93.013188447506707</v>
      </c>
      <c r="AK6341">
        <v>18.016180793896201</v>
      </c>
      <c r="AL6341">
        <v>94.442146961939599</v>
      </c>
      <c r="AM6341">
        <v>91.977930951288201</v>
      </c>
      <c r="AN6341">
        <v>0.999999967020054</v>
      </c>
    </row>
    <row r="6342" spans="1:40" x14ac:dyDescent="0.25">
      <c r="A6342" t="str">
        <f>"20190303154648720"</f>
        <v>20190303154648720</v>
      </c>
      <c r="B6342" t="str">
        <f>"1551599208708226"</f>
        <v>1551599208708226</v>
      </c>
      <c r="C6342" t="s">
        <v>40</v>
      </c>
      <c r="D6342">
        <v>5.6218729999999999</v>
      </c>
      <c r="E6342">
        <v>0.49299989999999999</v>
      </c>
      <c r="F6342" t="s">
        <v>71</v>
      </c>
      <c r="G6342">
        <v>-255.8818</v>
      </c>
      <c r="H6342" s="1">
        <v>-2.1295020000000002E-6</v>
      </c>
      <c r="I6342">
        <v>-62.49756</v>
      </c>
      <c r="J6342">
        <v>-274.24770000000001</v>
      </c>
      <c r="K6342">
        <v>1.1206700000000001</v>
      </c>
      <c r="L6342">
        <v>-62.500549999999997</v>
      </c>
      <c r="M6342">
        <v>0.99861290000000003</v>
      </c>
      <c r="N6342">
        <v>-5.6192769999999998E-3</v>
      </c>
      <c r="O6342">
        <v>-5.2351420000000003E-2</v>
      </c>
      <c r="P6342">
        <v>0.99644849999999996</v>
      </c>
      <c r="Q6342">
        <v>-8.2331180000000004E-2</v>
      </c>
      <c r="R6342">
        <v>-1.7661929999999999E-2</v>
      </c>
      <c r="S6342">
        <v>2.9957579999999999</v>
      </c>
      <c r="T6342">
        <v>-0.18151700000000001</v>
      </c>
      <c r="U6342">
        <v>-5.1879879999999995E-4</v>
      </c>
      <c r="V6342">
        <v>-3.4409790000000003E-2</v>
      </c>
      <c r="W6342">
        <v>-7.6786569999999998E-2</v>
      </c>
      <c r="X6342">
        <v>0.99645360000000005</v>
      </c>
      <c r="Y6342">
        <v>-5.199612E-2</v>
      </c>
      <c r="Z6342">
        <v>4.594061E-3</v>
      </c>
      <c r="AA6342">
        <v>0.99863670000000004</v>
      </c>
      <c r="AB6342">
        <v>22</v>
      </c>
      <c r="AC6342">
        <v>18.3659</v>
      </c>
      <c r="AD6342">
        <v>-1.1206721295019999</v>
      </c>
      <c r="AE6342">
        <v>2.98999999999694E-3</v>
      </c>
      <c r="AF6342">
        <v>-0.960904265064776</v>
      </c>
      <c r="AG6342">
        <v>-1.1206721295019999</v>
      </c>
      <c r="AH6342">
        <v>18.272523139244001</v>
      </c>
      <c r="AI6342">
        <v>93.504780764015607</v>
      </c>
      <c r="AJ6342">
        <v>93.010262541036198</v>
      </c>
      <c r="AK6342">
        <v>18.332057846915902</v>
      </c>
      <c r="AL6342">
        <v>94.403881340178003</v>
      </c>
      <c r="AM6342">
        <v>91.977766582456397</v>
      </c>
      <c r="AN6342">
        <v>0.99999999396658401</v>
      </c>
    </row>
    <row r="6343" spans="1:40" x14ac:dyDescent="0.25">
      <c r="A6343" t="str">
        <f>"20190303154648732"</f>
        <v>20190303154648732</v>
      </c>
      <c r="B6343" t="str">
        <f>"1551599208727745"</f>
        <v>1551599208727745</v>
      </c>
      <c r="C6343" t="s">
        <v>40</v>
      </c>
      <c r="D6343">
        <v>5.6588079999999996</v>
      </c>
      <c r="E6343">
        <v>0.49293999999999999</v>
      </c>
      <c r="F6343" t="s">
        <v>71</v>
      </c>
      <c r="G6343">
        <v>-255.46449999999999</v>
      </c>
      <c r="H6343" s="1">
        <v>-1.9487200000000002E-6</v>
      </c>
      <c r="I6343">
        <v>-62.489649999999997</v>
      </c>
      <c r="J6343">
        <v>-274.12869999999998</v>
      </c>
      <c r="K6343">
        <v>1.1206700000000001</v>
      </c>
      <c r="L6343">
        <v>-62.506129999999999</v>
      </c>
      <c r="M6343">
        <v>0.99864450000000005</v>
      </c>
      <c r="N6343">
        <v>-5.5714639999999999E-3</v>
      </c>
      <c r="O6343">
        <v>-5.1751810000000002E-2</v>
      </c>
      <c r="P6343">
        <v>0.99653579999999997</v>
      </c>
      <c r="Q6343">
        <v>-8.1426090000000007E-2</v>
      </c>
      <c r="R6343">
        <v>-1.69295E-2</v>
      </c>
      <c r="S6343">
        <v>2.9959410000000002</v>
      </c>
      <c r="T6343">
        <v>-0.17874860000000001</v>
      </c>
      <c r="U6343">
        <v>1.739502E-3</v>
      </c>
      <c r="V6343">
        <v>-3.454844E-2</v>
      </c>
      <c r="W6343">
        <v>-7.5929259999999998E-2</v>
      </c>
      <c r="X6343">
        <v>0.99651449999999997</v>
      </c>
      <c r="Y6343">
        <v>-5.2155439999999997E-2</v>
      </c>
      <c r="Z6343">
        <v>4.4956739999999999E-3</v>
      </c>
      <c r="AA6343">
        <v>0.99862890000000004</v>
      </c>
      <c r="AB6343">
        <v>22</v>
      </c>
      <c r="AC6343">
        <v>18.664199999999902</v>
      </c>
      <c r="AD6343">
        <v>-1.1206719487200001</v>
      </c>
      <c r="AE6343">
        <v>1.6480000000008401E-2</v>
      </c>
      <c r="AF6343">
        <v>-0.97884995842770195</v>
      </c>
      <c r="AG6343">
        <v>-1.1206719487200001</v>
      </c>
      <c r="AH6343">
        <v>18.5713810308233</v>
      </c>
      <c r="AI6343">
        <v>93.448495449862506</v>
      </c>
      <c r="AJ6343">
        <v>93.017122019729399</v>
      </c>
      <c r="AK6343">
        <v>18.6308949395832</v>
      </c>
      <c r="AL6343">
        <v>94.354617248321404</v>
      </c>
      <c r="AM6343">
        <v>91.985608124848198</v>
      </c>
      <c r="AN6343">
        <v>0.99999999797041506</v>
      </c>
    </row>
    <row r="6344" spans="1:40" x14ac:dyDescent="0.25">
      <c r="A6344" t="str">
        <f>"20190303154648748"</f>
        <v>20190303154648748</v>
      </c>
      <c r="B6344" t="str">
        <f>"1551599208738482"</f>
        <v>1551599208738482</v>
      </c>
      <c r="C6344" t="s">
        <v>40</v>
      </c>
      <c r="D6344">
        <v>5.6211949999999904</v>
      </c>
      <c r="E6344">
        <v>0.49293500000000001</v>
      </c>
      <c r="F6344" t="s">
        <v>71</v>
      </c>
      <c r="G6344">
        <v>-254.9401</v>
      </c>
      <c r="H6344" s="1">
        <v>-1.7210670000000001E-6</v>
      </c>
      <c r="I6344">
        <v>-62.477600000000002</v>
      </c>
      <c r="J6344">
        <v>-273.97320000000002</v>
      </c>
      <c r="K6344">
        <v>1.1206739999999999</v>
      </c>
      <c r="L6344">
        <v>-62.513370000000002</v>
      </c>
      <c r="M6344">
        <v>0.99868509999999999</v>
      </c>
      <c r="N6344">
        <v>-5.5137190000000003E-3</v>
      </c>
      <c r="O6344">
        <v>-5.0968720000000002E-2</v>
      </c>
      <c r="P6344">
        <v>0.99660839999999995</v>
      </c>
      <c r="Q6344">
        <v>-8.0760699999999894E-2</v>
      </c>
      <c r="R6344">
        <v>-1.5805030000000001E-2</v>
      </c>
      <c r="S6344">
        <v>2.996216</v>
      </c>
      <c r="T6344">
        <v>-0.174988</v>
      </c>
      <c r="U6344">
        <v>4.4555659999999898E-3</v>
      </c>
      <c r="V6344">
        <v>-3.4893609999999999E-2</v>
      </c>
      <c r="W6344">
        <v>-7.5322139999999996E-2</v>
      </c>
      <c r="X6344">
        <v>0.99654849999999995</v>
      </c>
      <c r="Y6344">
        <v>-5.228588E-2</v>
      </c>
      <c r="Z6344">
        <v>4.3621570000000002E-3</v>
      </c>
      <c r="AA6344">
        <v>0.99862269999999997</v>
      </c>
      <c r="AB6344">
        <v>22</v>
      </c>
      <c r="AC6344">
        <v>19.033100000000001</v>
      </c>
      <c r="AD6344">
        <v>-1.120675721067</v>
      </c>
      <c r="AE6344">
        <v>3.5769999999992301E-2</v>
      </c>
      <c r="AF6344">
        <v>-1.0023558775683401</v>
      </c>
      <c r="AG6344">
        <v>-1.120675721067</v>
      </c>
      <c r="AH6344">
        <v>18.9408719931196</v>
      </c>
      <c r="AI6344">
        <v>93.381354761629495</v>
      </c>
      <c r="AJ6344">
        <v>93.029281789888998</v>
      </c>
      <c r="AK6344">
        <v>19.000454290275002</v>
      </c>
      <c r="AL6344">
        <v>94.319732136191504</v>
      </c>
      <c r="AM6344">
        <v>92.005361653308398</v>
      </c>
      <c r="AN6344">
        <v>0.99999995082262905</v>
      </c>
    </row>
    <row r="6345" spans="1:40" x14ac:dyDescent="0.25">
      <c r="A6345" t="str">
        <f>"20190303154648758"</f>
        <v>20190303154648758</v>
      </c>
      <c r="B6345" t="str">
        <f>"1551599208748242"</f>
        <v>1551599208748242</v>
      </c>
      <c r="C6345" t="s">
        <v>40</v>
      </c>
      <c r="D6345">
        <v>5.6057930000000002</v>
      </c>
      <c r="E6345">
        <v>0.49294189999999999</v>
      </c>
      <c r="F6345" t="s">
        <v>71</v>
      </c>
      <c r="G6345">
        <v>-254.5256</v>
      </c>
      <c r="H6345" s="1">
        <v>-1.539744E-6</v>
      </c>
      <c r="I6345">
        <v>-62.461869999999998</v>
      </c>
      <c r="J6345">
        <v>-273.86559999999997</v>
      </c>
      <c r="K6345">
        <v>1.1206739999999999</v>
      </c>
      <c r="L6345">
        <v>-62.518279999999997</v>
      </c>
      <c r="M6345">
        <v>0.99871290000000001</v>
      </c>
      <c r="N6345">
        <v>-5.4772619999999897E-3</v>
      </c>
      <c r="O6345">
        <v>-5.0427079999999999E-2</v>
      </c>
      <c r="P6345">
        <v>0.99665579999999998</v>
      </c>
      <c r="Q6345">
        <v>-8.0276230000000004E-2</v>
      </c>
      <c r="R6345">
        <v>-1.5278720000000001E-2</v>
      </c>
      <c r="S6345">
        <v>2.9963069999999998</v>
      </c>
      <c r="T6345">
        <v>-0.17266300000000001</v>
      </c>
      <c r="U6345">
        <v>7.9345700000000002E-3</v>
      </c>
      <c r="V6345">
        <v>-3.4881950000000002E-2</v>
      </c>
      <c r="W6345">
        <v>-7.4874049999999998E-2</v>
      </c>
      <c r="X6345">
        <v>0.99658270000000004</v>
      </c>
      <c r="Y6345">
        <v>-5.2907799999999998E-2</v>
      </c>
      <c r="Z6345">
        <v>4.2946779999999997E-3</v>
      </c>
      <c r="AA6345">
        <v>0.99859019999999998</v>
      </c>
      <c r="AB6345">
        <v>22</v>
      </c>
      <c r="AC6345">
        <v>19.3399999999999</v>
      </c>
      <c r="AD6345">
        <v>-1.120675539744</v>
      </c>
      <c r="AE6345">
        <v>5.6410000000006698E-2</v>
      </c>
      <c r="AF6345">
        <v>-1.02816015381893</v>
      </c>
      <c r="AG6345">
        <v>-1.120675539744</v>
      </c>
      <c r="AH6345">
        <v>19.247920304155301</v>
      </c>
      <c r="AI6345">
        <v>93.327448693474906</v>
      </c>
      <c r="AJ6345">
        <v>93.057644818945704</v>
      </c>
      <c r="AK6345">
        <v>19.307911927559498</v>
      </c>
      <c r="AL6345">
        <v>94.293985657243894</v>
      </c>
      <c r="AM6345">
        <v>92.004623351875694</v>
      </c>
      <c r="AN6345">
        <v>0.99999997586924705</v>
      </c>
    </row>
    <row r="6346" spans="1:40" x14ac:dyDescent="0.25">
      <c r="A6346" t="str">
        <f>"20190303154648771"</f>
        <v>20190303154648771</v>
      </c>
      <c r="B6346" t="str">
        <f>"1551599208767761"</f>
        <v>1551599208767761</v>
      </c>
      <c r="C6346" t="s">
        <v>40</v>
      </c>
      <c r="D6346">
        <v>5.6132970000000002</v>
      </c>
      <c r="E6346">
        <v>0.49293090000000001</v>
      </c>
      <c r="F6346" t="s">
        <v>71</v>
      </c>
      <c r="G6346">
        <v>-254.17609999999999</v>
      </c>
      <c r="H6346" s="1">
        <v>-1.3884990000000001E-6</v>
      </c>
      <c r="I6346">
        <v>-62.4559199999999</v>
      </c>
      <c r="J6346">
        <v>-273.7423</v>
      </c>
      <c r="K6346">
        <v>1.120676</v>
      </c>
      <c r="L6346">
        <v>-62.523800000000001</v>
      </c>
      <c r="M6346">
        <v>0.99874410000000002</v>
      </c>
      <c r="N6346">
        <v>-5.4411640000000001E-3</v>
      </c>
      <c r="O6346">
        <v>-4.9808070000000003E-2</v>
      </c>
      <c r="P6346">
        <v>0.99665020000000004</v>
      </c>
      <c r="Q6346">
        <v>-8.0470529999999998E-2</v>
      </c>
      <c r="R6346">
        <v>-1.4601019999999999E-2</v>
      </c>
      <c r="S6346">
        <v>2.9964900000000001</v>
      </c>
      <c r="T6346">
        <v>-0.17055300000000001</v>
      </c>
      <c r="U6346">
        <v>9.4909669999999995E-3</v>
      </c>
      <c r="V6346">
        <v>-3.4940270000000002E-2</v>
      </c>
      <c r="W6346">
        <v>-7.5104790000000005E-2</v>
      </c>
      <c r="X6346">
        <v>0.99656330000000004</v>
      </c>
      <c r="Y6346">
        <v>-5.2812419999999999E-2</v>
      </c>
      <c r="Z6346">
        <v>4.2065030000000003E-3</v>
      </c>
      <c r="AA6346">
        <v>0.99859560000000003</v>
      </c>
      <c r="AB6346">
        <v>22</v>
      </c>
      <c r="AC6346">
        <v>19.566199999999998</v>
      </c>
      <c r="AD6346">
        <v>-1.120677388499</v>
      </c>
      <c r="AE6346">
        <v>6.7880000000009405E-2</v>
      </c>
      <c r="AF6346">
        <v>-1.0389564008038801</v>
      </c>
      <c r="AG6346">
        <v>-1.120677388499</v>
      </c>
      <c r="AH6346">
        <v>19.474645836833901</v>
      </c>
      <c r="AI6346">
        <v>93.288812983423398</v>
      </c>
      <c r="AJ6346">
        <v>93.053787928755</v>
      </c>
      <c r="AK6346">
        <v>19.534512501774302</v>
      </c>
      <c r="AL6346">
        <v>94.307243391251305</v>
      </c>
      <c r="AM6346">
        <v>92.008011247208103</v>
      </c>
      <c r="AN6346">
        <v>0.99999998142775304</v>
      </c>
    </row>
    <row r="6347" spans="1:40" x14ac:dyDescent="0.25">
      <c r="A6347" t="str">
        <f>"20190303154648782"</f>
        <v>20190303154648782</v>
      </c>
      <c r="B6347" t="str">
        <f>"1551599208778497"</f>
        <v>1551599208778497</v>
      </c>
      <c r="C6347" t="s">
        <v>40</v>
      </c>
      <c r="D6347">
        <v>5.5976610000000004</v>
      </c>
      <c r="E6347">
        <v>0.49293789999999998</v>
      </c>
      <c r="F6347" t="s">
        <v>71</v>
      </c>
      <c r="G6347">
        <v>-254.0412</v>
      </c>
      <c r="H6347" s="1">
        <v>-1.3285669999999901E-6</v>
      </c>
      <c r="I6347">
        <v>-62.446750000000002</v>
      </c>
      <c r="J6347">
        <v>-273.63459999999998</v>
      </c>
      <c r="K6347">
        <v>1.1206700000000001</v>
      </c>
      <c r="L6347">
        <v>-62.528660000000002</v>
      </c>
      <c r="M6347">
        <v>0.99877110000000002</v>
      </c>
      <c r="N6347">
        <v>-5.4110869999999898E-3</v>
      </c>
      <c r="O6347">
        <v>-4.926751E-2</v>
      </c>
      <c r="P6347">
        <v>0.99663809999999997</v>
      </c>
      <c r="Q6347">
        <v>-8.0745739999999996E-2</v>
      </c>
      <c r="R6347">
        <v>-1.388203E-2</v>
      </c>
      <c r="S6347">
        <v>2.9964900000000001</v>
      </c>
      <c r="T6347">
        <v>-0.17045189999999999</v>
      </c>
      <c r="U6347">
        <v>1.171875E-2</v>
      </c>
      <c r="V6347">
        <v>-3.5117179999999998E-2</v>
      </c>
      <c r="W6347">
        <v>-7.5410669999999999E-2</v>
      </c>
      <c r="X6347">
        <v>0.99653400000000003</v>
      </c>
      <c r="Y6347">
        <v>-5.3014859999999997E-2</v>
      </c>
      <c r="Z6347">
        <v>4.1831780000000001E-3</v>
      </c>
      <c r="AA6347">
        <v>0.99858499999999994</v>
      </c>
      <c r="AB6347">
        <v>22</v>
      </c>
      <c r="AC6347">
        <v>19.5933999999999</v>
      </c>
      <c r="AD6347">
        <v>-1.120671328567</v>
      </c>
      <c r="AE6347">
        <v>8.1909999999993405E-2</v>
      </c>
      <c r="AF6347">
        <v>-1.0437281378827199</v>
      </c>
      <c r="AG6347">
        <v>-1.120671328567</v>
      </c>
      <c r="AH6347">
        <v>19.501772431203001</v>
      </c>
      <c r="AI6347">
        <v>93.284200841719297</v>
      </c>
      <c r="AJ6347">
        <v>93.063527590781206</v>
      </c>
      <c r="AK6347">
        <v>19.5618097478457</v>
      </c>
      <c r="AL6347">
        <v>94.324818789175595</v>
      </c>
      <c r="AM6347">
        <v>92.018229136863695</v>
      </c>
      <c r="AN6347">
        <v>0.99999999931850003</v>
      </c>
    </row>
    <row r="6348" spans="1:40" x14ac:dyDescent="0.25">
      <c r="A6348" t="str">
        <f>"20190303154648793"</f>
        <v>20190303154648793</v>
      </c>
      <c r="B6348" t="str">
        <f>"1551599208788258"</f>
        <v>1551599208788258</v>
      </c>
      <c r="C6348" t="s">
        <v>40</v>
      </c>
      <c r="D6348">
        <v>5.6330989999999996</v>
      </c>
      <c r="E6348">
        <v>0.4929114</v>
      </c>
      <c r="F6348" t="s">
        <v>71</v>
      </c>
      <c r="G6348">
        <v>-253.9881</v>
      </c>
      <c r="H6348" s="1">
        <v>-1.30392E-6</v>
      </c>
      <c r="I6348">
        <v>-62.438220000000001</v>
      </c>
      <c r="J6348">
        <v>-273.52100000000002</v>
      </c>
      <c r="K6348">
        <v>1.1206689999999999</v>
      </c>
      <c r="L6348">
        <v>-62.533630000000002</v>
      </c>
      <c r="M6348">
        <v>0.99879890000000005</v>
      </c>
      <c r="N6348">
        <v>-5.3842469999999896E-3</v>
      </c>
      <c r="O6348">
        <v>-4.870062E-2</v>
      </c>
      <c r="P6348">
        <v>0.9966294</v>
      </c>
      <c r="Q6348">
        <v>-8.0929879999999996E-2</v>
      </c>
      <c r="R6348">
        <v>-1.342725E-2</v>
      </c>
      <c r="S6348">
        <v>2.996429</v>
      </c>
      <c r="T6348">
        <v>-0.17092160000000001</v>
      </c>
      <c r="U6348">
        <v>1.3793949999999999E-2</v>
      </c>
      <c r="V6348">
        <v>-3.500495E-2</v>
      </c>
      <c r="W6348">
        <v>-7.5621579999999994E-2</v>
      </c>
      <c r="X6348">
        <v>0.99652189999999996</v>
      </c>
      <c r="Y6348">
        <v>-5.3139329999999999E-2</v>
      </c>
      <c r="Z6348">
        <v>4.1703840000000001E-3</v>
      </c>
      <c r="AA6348">
        <v>0.99857839999999998</v>
      </c>
      <c r="AB6348">
        <v>22</v>
      </c>
      <c r="AC6348">
        <v>19.532899999999898</v>
      </c>
      <c r="AD6348">
        <v>-1.1206703039200001</v>
      </c>
      <c r="AE6348">
        <v>9.5410000000008197E-2</v>
      </c>
      <c r="AF6348">
        <v>-1.0431412802856199</v>
      </c>
      <c r="AG6348">
        <v>-1.1206703039200001</v>
      </c>
      <c r="AH6348">
        <v>19.4410824184083</v>
      </c>
      <c r="AI6348">
        <v>93.294403667540493</v>
      </c>
      <c r="AJ6348">
        <v>93.071348237232499</v>
      </c>
      <c r="AK6348">
        <v>19.5012751188241</v>
      </c>
      <c r="AL6348">
        <v>94.336937932336895</v>
      </c>
      <c r="AM6348">
        <v>92.011808851586196</v>
      </c>
      <c r="AN6348">
        <v>0.99999993353290195</v>
      </c>
    </row>
    <row r="6349" spans="1:40" x14ac:dyDescent="0.25">
      <c r="A6349" t="str">
        <f>"20190303154648804"</f>
        <v>20190303154648804</v>
      </c>
      <c r="B6349" t="str">
        <f>"1551599208798017"</f>
        <v>1551599208798017</v>
      </c>
      <c r="C6349" t="s">
        <v>40</v>
      </c>
      <c r="D6349">
        <v>5.5893079999999999</v>
      </c>
      <c r="E6349">
        <v>0.49293569999999998</v>
      </c>
      <c r="F6349" t="s">
        <v>71</v>
      </c>
      <c r="G6349">
        <v>-253.9211</v>
      </c>
      <c r="H6349" s="1">
        <v>-1.274029E-6</v>
      </c>
      <c r="I6349">
        <v>-62.433030000000002</v>
      </c>
      <c r="J6349">
        <v>-273.41120000000001</v>
      </c>
      <c r="K6349">
        <v>1.1206659999999999</v>
      </c>
      <c r="L6349">
        <v>-62.538420000000002</v>
      </c>
      <c r="M6349">
        <v>0.99882570000000004</v>
      </c>
      <c r="N6349">
        <v>-5.3595960000000003E-3</v>
      </c>
      <c r="O6349">
        <v>-4.8154349999999999E-2</v>
      </c>
      <c r="P6349">
        <v>0.9966332</v>
      </c>
      <c r="Q6349">
        <v>-8.0971139999999997E-2</v>
      </c>
      <c r="R6349">
        <v>-1.288387E-2</v>
      </c>
      <c r="S6349">
        <v>2.996429</v>
      </c>
      <c r="T6349">
        <v>-0.17132809999999901</v>
      </c>
      <c r="U6349">
        <v>1.538086E-2</v>
      </c>
      <c r="V6349">
        <v>-3.5002869999999998E-2</v>
      </c>
      <c r="W6349">
        <v>-7.5687539999999998E-2</v>
      </c>
      <c r="X6349">
        <v>0.99651699999999999</v>
      </c>
      <c r="Y6349">
        <v>-5.3121979999999999E-2</v>
      </c>
      <c r="Z6349">
        <v>4.152322E-3</v>
      </c>
      <c r="AA6349">
        <v>0.99857940000000001</v>
      </c>
      <c r="AB6349">
        <v>22</v>
      </c>
      <c r="AC6349">
        <v>19.490100000000002</v>
      </c>
      <c r="AD6349">
        <v>-1.120667274029</v>
      </c>
      <c r="AE6349">
        <v>0.105389999999992</v>
      </c>
      <c r="AF6349">
        <v>-1.0403745938687401</v>
      </c>
      <c r="AG6349">
        <v>-1.120667274029</v>
      </c>
      <c r="AH6349">
        <v>19.398281806699899</v>
      </c>
      <c r="AI6349">
        <v>93.301651782230493</v>
      </c>
      <c r="AJ6349">
        <v>93.069963551888094</v>
      </c>
      <c r="AK6349">
        <v>19.458458610249401</v>
      </c>
      <c r="AL6349">
        <v>94.340727874580296</v>
      </c>
      <c r="AM6349">
        <v>92.0116992913931</v>
      </c>
      <c r="AN6349">
        <v>0.99999996795424295</v>
      </c>
    </row>
    <row r="6350" spans="1:40" x14ac:dyDescent="0.25">
      <c r="A6350" t="str">
        <f>"20190303154648815"</f>
        <v>20190303154648815</v>
      </c>
      <c r="B6350" t="str">
        <f>"1551599208807777"</f>
        <v>1551599208807777</v>
      </c>
      <c r="C6350" t="s">
        <v>40</v>
      </c>
      <c r="D6350">
        <v>5.6459390000000003</v>
      </c>
      <c r="E6350">
        <v>0.49289699999999997</v>
      </c>
      <c r="F6350" t="s">
        <v>71</v>
      </c>
      <c r="G6350">
        <v>-253.79339999999999</v>
      </c>
      <c r="H6350" s="1">
        <v>-1.218128E-6</v>
      </c>
      <c r="I6350">
        <v>-62.428139999999999</v>
      </c>
      <c r="J6350">
        <v>-273.29199999999997</v>
      </c>
      <c r="K6350">
        <v>1.120668</v>
      </c>
      <c r="L6350">
        <v>-62.543520000000001</v>
      </c>
      <c r="M6350">
        <v>0.99885400000000002</v>
      </c>
      <c r="N6350">
        <v>-5.3364850000000002E-3</v>
      </c>
      <c r="O6350">
        <v>-4.7565179999999999E-2</v>
      </c>
      <c r="P6350">
        <v>0.99664699999999995</v>
      </c>
      <c r="Q6350">
        <v>-8.0908889999999997E-2</v>
      </c>
      <c r="R6350">
        <v>-1.2200559999999999E-2</v>
      </c>
      <c r="S6350">
        <v>2.9964900000000001</v>
      </c>
      <c r="T6350">
        <v>-0.17117449999999901</v>
      </c>
      <c r="U6350">
        <v>1.6845699999999901E-2</v>
      </c>
      <c r="V6350">
        <v>-3.5098490000000003E-2</v>
      </c>
      <c r="W6350">
        <v>-7.5648480000000004E-2</v>
      </c>
      <c r="X6350">
        <v>0.99651659999999997</v>
      </c>
      <c r="Y6350">
        <v>-5.3022239999999998E-2</v>
      </c>
      <c r="Z6350">
        <v>4.1153470000000001E-3</v>
      </c>
      <c r="AA6350">
        <v>0.9985849</v>
      </c>
      <c r="AB6350">
        <v>23</v>
      </c>
      <c r="AC6350">
        <v>19.4986</v>
      </c>
      <c r="AD6350">
        <v>-1.120669218128</v>
      </c>
      <c r="AE6350">
        <v>0.115379999999994</v>
      </c>
      <c r="AF6350">
        <v>-1.0392839701071599</v>
      </c>
      <c r="AG6350">
        <v>-1.120669218128</v>
      </c>
      <c r="AH6350">
        <v>19.406936779323601</v>
      </c>
      <c r="AI6350">
        <v>93.300202399809805</v>
      </c>
      <c r="AJ6350">
        <v>93.065386378356294</v>
      </c>
      <c r="AK6350">
        <v>19.467028685026499</v>
      </c>
      <c r="AL6350">
        <v>94.338483478325102</v>
      </c>
      <c r="AM6350">
        <v>92.017191078409795</v>
      </c>
      <c r="AN6350">
        <v>0.99999996530107405</v>
      </c>
    </row>
    <row r="6351" spans="1:40" x14ac:dyDescent="0.25">
      <c r="A6351" t="str">
        <f>"20190303154648828"</f>
        <v>20190303154648828</v>
      </c>
      <c r="B6351" t="str">
        <f>"1551599208818514"</f>
        <v>1551599208818514</v>
      </c>
      <c r="C6351" t="s">
        <v>40</v>
      </c>
      <c r="D6351">
        <v>5.5818589999999997</v>
      </c>
      <c r="E6351">
        <v>0.49289110000000003</v>
      </c>
      <c r="F6351" t="s">
        <v>71</v>
      </c>
      <c r="G6351">
        <v>-253.71639999999999</v>
      </c>
      <c r="H6351" s="1">
        <v>-1.1828529999999999E-6</v>
      </c>
      <c r="I6351">
        <v>-62.417920000000002</v>
      </c>
      <c r="J6351">
        <v>-273.1737</v>
      </c>
      <c r="K6351">
        <v>1.1206659999999999</v>
      </c>
      <c r="L6351">
        <v>-62.548520000000003</v>
      </c>
      <c r="M6351">
        <v>0.99888149999999998</v>
      </c>
      <c r="N6351">
        <v>-5.3160799999999999E-3</v>
      </c>
      <c r="O6351">
        <v>-4.6984249999999998E-2</v>
      </c>
      <c r="P6351">
        <v>0.99671080000000001</v>
      </c>
      <c r="Q6351">
        <v>-8.0189270000000007E-2</v>
      </c>
      <c r="R6351">
        <v>-1.1732070000000001E-2</v>
      </c>
      <c r="S6351">
        <v>2.9963989999999998</v>
      </c>
      <c r="T6351">
        <v>-0.1715392</v>
      </c>
      <c r="U6351">
        <v>1.9226070000000001E-2</v>
      </c>
      <c r="V6351">
        <v>-3.499153E-2</v>
      </c>
      <c r="W6351">
        <v>-7.4948619999999994E-2</v>
      </c>
      <c r="X6351">
        <v>0.9965733</v>
      </c>
      <c r="Y6351">
        <v>-5.3234579999999997E-2</v>
      </c>
      <c r="Z6351">
        <v>4.1014249999999997E-3</v>
      </c>
      <c r="AA6351">
        <v>0.99857359999999995</v>
      </c>
      <c r="AB6351">
        <v>23</v>
      </c>
      <c r="AC6351">
        <v>19.4573</v>
      </c>
      <c r="AD6351">
        <v>-1.1206671828529999</v>
      </c>
      <c r="AE6351">
        <v>0.13060000000000099</v>
      </c>
      <c r="AF6351">
        <v>-1.0412014672839001</v>
      </c>
      <c r="AG6351">
        <v>-1.1206671828529999</v>
      </c>
      <c r="AH6351">
        <v>19.365436538107598</v>
      </c>
      <c r="AI6351">
        <v>93.307215331974703</v>
      </c>
      <c r="AJ6351">
        <v>93.077599853435402</v>
      </c>
      <c r="AK6351">
        <v>19.4257593864866</v>
      </c>
      <c r="AL6351">
        <v>94.298270041470602</v>
      </c>
      <c r="AM6351">
        <v>92.010934571459799</v>
      </c>
      <c r="AN6351">
        <v>1.0000000225422601</v>
      </c>
    </row>
    <row r="6352" spans="1:40" x14ac:dyDescent="0.25">
      <c r="A6352" t="str">
        <f>"20190303154648838"</f>
        <v>20190303154648838</v>
      </c>
      <c r="B6352" t="str">
        <f>"1551599208828273"</f>
        <v>1551599208828273</v>
      </c>
      <c r="C6352" t="s">
        <v>40</v>
      </c>
      <c r="D6352">
        <v>5.6583059999999996</v>
      </c>
      <c r="E6352">
        <v>0.49286000000000002</v>
      </c>
      <c r="F6352" t="s">
        <v>71</v>
      </c>
      <c r="G6352">
        <v>-253.29689999999999</v>
      </c>
      <c r="H6352" s="1">
        <v>-1.0013320000000001E-6</v>
      </c>
      <c r="I6352">
        <v>-62.411079999999998</v>
      </c>
      <c r="J6352">
        <v>-273.0659</v>
      </c>
      <c r="K6352">
        <v>1.1206659999999999</v>
      </c>
      <c r="L6352">
        <v>-62.553040000000003</v>
      </c>
      <c r="M6352">
        <v>0.99890619999999997</v>
      </c>
      <c r="N6352">
        <v>-5.299369E-3</v>
      </c>
      <c r="O6352">
        <v>-4.6458159999999998E-2</v>
      </c>
      <c r="P6352">
        <v>0.99677190000000004</v>
      </c>
      <c r="Q6352">
        <v>-7.9530779999999995E-2</v>
      </c>
      <c r="R6352">
        <v>-1.0998900000000001E-2</v>
      </c>
      <c r="S6352">
        <v>2.996521</v>
      </c>
      <c r="T6352">
        <v>-0.1689454</v>
      </c>
      <c r="U6352">
        <v>2.0721440000000001E-2</v>
      </c>
      <c r="V6352">
        <v>-3.520326E-2</v>
      </c>
      <c r="W6352">
        <v>-7.4306759999999999E-2</v>
      </c>
      <c r="X6352">
        <v>0.99661390000000005</v>
      </c>
      <c r="Y6352">
        <v>-5.3212240000000001E-2</v>
      </c>
      <c r="Z6352">
        <v>4.0105260000000004E-3</v>
      </c>
      <c r="AA6352">
        <v>0.9985752</v>
      </c>
      <c r="AB6352">
        <v>23</v>
      </c>
      <c r="AC6352">
        <v>19.768999999999998</v>
      </c>
      <c r="AD6352">
        <v>-1.1206670013319999</v>
      </c>
      <c r="AE6352">
        <v>0.14195999999999701</v>
      </c>
      <c r="AF6352">
        <v>-1.05685488483239</v>
      </c>
      <c r="AG6352">
        <v>-1.1206670013319999</v>
      </c>
      <c r="AH6352">
        <v>19.6778260397992</v>
      </c>
      <c r="AI6352">
        <v>93.254835980279594</v>
      </c>
      <c r="AJ6352">
        <v>93.074282803336402</v>
      </c>
      <c r="AK6352">
        <v>19.7380261026291</v>
      </c>
      <c r="AL6352">
        <v>94.261391367785095</v>
      </c>
      <c r="AM6352">
        <v>92.023010092148795</v>
      </c>
      <c r="AN6352">
        <v>1.0000000148847601</v>
      </c>
    </row>
    <row r="6353" spans="1:40" x14ac:dyDescent="0.25">
      <c r="A6353" t="str">
        <f>"20190303154648848"</f>
        <v>20190303154648848</v>
      </c>
      <c r="B6353" t="str">
        <f>"1551599208838035"</f>
        <v>1551599208838035</v>
      </c>
      <c r="C6353" t="s">
        <v>40</v>
      </c>
      <c r="D6353">
        <v>5.6359079999999997</v>
      </c>
      <c r="E6353">
        <v>0.49283749999999998</v>
      </c>
      <c r="F6353" t="s">
        <v>71</v>
      </c>
      <c r="G6353">
        <v>-253.00700000000001</v>
      </c>
      <c r="H6353" s="1">
        <v>-8.7401269999999897E-7</v>
      </c>
      <c r="I6353">
        <v>-62.397790000000001</v>
      </c>
      <c r="J6353">
        <v>-272.96559999999999</v>
      </c>
      <c r="K6353">
        <v>1.1206640000000001</v>
      </c>
      <c r="L6353">
        <v>-62.557189999999999</v>
      </c>
      <c r="M6353">
        <v>0.99892879999999995</v>
      </c>
      <c r="N6353">
        <v>-5.2860619999999898E-3</v>
      </c>
      <c r="O6353">
        <v>-4.5972970000000002E-2</v>
      </c>
      <c r="P6353">
        <v>0.99682090000000001</v>
      </c>
      <c r="Q6353">
        <v>-7.8992599999999996E-2</v>
      </c>
      <c r="R6353">
        <v>-1.0420479999999999E-2</v>
      </c>
      <c r="S6353">
        <v>2.9965820000000001</v>
      </c>
      <c r="T6353">
        <v>-0.16741500000000001</v>
      </c>
      <c r="U6353">
        <v>2.319336E-2</v>
      </c>
      <c r="V6353">
        <v>-3.5300640000000001E-2</v>
      </c>
      <c r="W6353">
        <v>-7.3781609999999997E-2</v>
      </c>
      <c r="X6353">
        <v>0.99664940000000002</v>
      </c>
      <c r="Y6353">
        <v>-5.3553599999999903E-2</v>
      </c>
      <c r="Z6353">
        <v>3.9594110000000004E-3</v>
      </c>
      <c r="AA6353">
        <v>0.99855720000000003</v>
      </c>
      <c r="AB6353">
        <v>23</v>
      </c>
      <c r="AC6353">
        <v>19.958599999999901</v>
      </c>
      <c r="AD6353">
        <v>-1.1206648740127001</v>
      </c>
      <c r="AE6353">
        <v>0.15940000000000501</v>
      </c>
      <c r="AF6353">
        <v>-1.0734162926328099</v>
      </c>
      <c r="AG6353">
        <v>-1.1206648740127001</v>
      </c>
      <c r="AH6353">
        <v>19.867535034411201</v>
      </c>
      <c r="AI6353">
        <v>93.223760889971203</v>
      </c>
      <c r="AJ6353">
        <v>93.092607315629195</v>
      </c>
      <c r="AK6353">
        <v>19.928047085469601</v>
      </c>
      <c r="AL6353">
        <v>94.231219967952399</v>
      </c>
      <c r="AM6353">
        <v>92.028529319112096</v>
      </c>
      <c r="AN6353">
        <v>0.99999994383947899</v>
      </c>
    </row>
    <row r="6354" spans="1:40" x14ac:dyDescent="0.25">
      <c r="A6354" t="str">
        <f>"20190303154648859"</f>
        <v>20190303154648859</v>
      </c>
      <c r="B6354" t="str">
        <f>"1551599208847794"</f>
        <v>1551599208847794</v>
      </c>
      <c r="C6354" t="s">
        <v>40</v>
      </c>
      <c r="D6354">
        <v>5.5842229999999997</v>
      </c>
      <c r="E6354">
        <v>0.49288110000000002</v>
      </c>
      <c r="F6354" t="s">
        <v>71</v>
      </c>
      <c r="G6354">
        <v>-252.78200000000001</v>
      </c>
      <c r="H6354" s="1">
        <v>-7.7534379999999997E-7</v>
      </c>
      <c r="I6354">
        <v>-62.388030000000001</v>
      </c>
      <c r="J6354">
        <v>-272.84449999999998</v>
      </c>
      <c r="K6354">
        <v>1.1206609999999999</v>
      </c>
      <c r="L6354">
        <v>-62.562130000000003</v>
      </c>
      <c r="M6354">
        <v>0.9989555</v>
      </c>
      <c r="N6354">
        <v>-5.2711579999999997E-3</v>
      </c>
      <c r="O6354">
        <v>-4.538847E-2</v>
      </c>
      <c r="P6354">
        <v>0.99692670000000005</v>
      </c>
      <c r="Q6354">
        <v>-7.7736120000000006E-2</v>
      </c>
      <c r="R6354">
        <v>-9.7133410000000003E-3</v>
      </c>
      <c r="S6354">
        <v>2.9966430000000002</v>
      </c>
      <c r="T6354">
        <v>-0.16638420000000001</v>
      </c>
      <c r="U6354">
        <v>2.5115970000000001E-2</v>
      </c>
      <c r="V6354">
        <v>-3.5431240000000003E-2</v>
      </c>
      <c r="W6354">
        <v>-7.2539480000000003E-2</v>
      </c>
      <c r="X6354">
        <v>0.99673599999999996</v>
      </c>
      <c r="Y6354">
        <v>-5.361229E-2</v>
      </c>
      <c r="Z6354">
        <v>3.9071069999999999E-3</v>
      </c>
      <c r="AA6354">
        <v>0.99855419999999995</v>
      </c>
      <c r="AB6354">
        <v>23</v>
      </c>
      <c r="AC6354">
        <v>20.062499999999901</v>
      </c>
      <c r="AD6354">
        <v>-1.1206617753438</v>
      </c>
      <c r="AE6354">
        <v>0.17409999999999501</v>
      </c>
      <c r="AF6354">
        <v>-1.08116623052372</v>
      </c>
      <c r="AG6354">
        <v>-1.1206617753438</v>
      </c>
      <c r="AH6354">
        <v>19.971610779864001</v>
      </c>
      <c r="AI6354">
        <v>93.206969208378695</v>
      </c>
      <c r="AJ6354">
        <v>93.098691201198093</v>
      </c>
      <c r="AK6354">
        <v>20.032225048034999</v>
      </c>
      <c r="AL6354">
        <v>94.159859680832199</v>
      </c>
      <c r="AM6354">
        <v>92.035851113650295</v>
      </c>
      <c r="AN6354">
        <v>1.0000000013113</v>
      </c>
    </row>
    <row r="6355" spans="1:40" x14ac:dyDescent="0.25">
      <c r="A6355" t="str">
        <f>"20190303154648871"</f>
        <v>20190303154648871</v>
      </c>
      <c r="B6355" t="str">
        <f>"1551599208868290"</f>
        <v>1551599208868290</v>
      </c>
      <c r="C6355" t="s">
        <v>40</v>
      </c>
      <c r="D6355">
        <v>5.5864370000000001</v>
      </c>
      <c r="E6355">
        <v>0.49299199999999999</v>
      </c>
      <c r="F6355" t="s">
        <v>71</v>
      </c>
      <c r="G6355">
        <v>-252.1601</v>
      </c>
      <c r="H6355" s="1">
        <v>-5.057498E-7</v>
      </c>
      <c r="I6355">
        <v>-62.375509999999998</v>
      </c>
      <c r="J6355">
        <v>-272.73070000000001</v>
      </c>
      <c r="K6355">
        <v>1.1206579999999999</v>
      </c>
      <c r="L6355">
        <v>-62.56671</v>
      </c>
      <c r="M6355">
        <v>0.99898019999999998</v>
      </c>
      <c r="N6355">
        <v>-5.2601069999999896E-3</v>
      </c>
      <c r="O6355">
        <v>-4.4846660000000003E-2</v>
      </c>
      <c r="P6355">
        <v>0.99701419999999996</v>
      </c>
      <c r="Q6355">
        <v>-7.6678300000000005E-2</v>
      </c>
      <c r="R6355">
        <v>-9.1159250000000004E-3</v>
      </c>
      <c r="S6355">
        <v>2.9968569999999999</v>
      </c>
      <c r="T6355">
        <v>-0.16236689999999901</v>
      </c>
      <c r="U6355">
        <v>2.7038570000000001E-2</v>
      </c>
      <c r="V6355">
        <v>-3.5493329999999997E-2</v>
      </c>
      <c r="W6355">
        <v>-7.1492109999999998E-2</v>
      </c>
      <c r="X6355">
        <v>0.99680950000000001</v>
      </c>
      <c r="Y6355">
        <v>-5.3718290000000002E-2</v>
      </c>
      <c r="Z6355">
        <v>3.7871519999999998E-3</v>
      </c>
      <c r="AA6355">
        <v>0.99854889999999996</v>
      </c>
      <c r="AB6355">
        <v>23</v>
      </c>
      <c r="AC6355">
        <v>20.570599999999999</v>
      </c>
      <c r="AD6355">
        <v>-1.1206585057498</v>
      </c>
      <c r="AE6355">
        <v>0.19120000000000201</v>
      </c>
      <c r="AF6355">
        <v>-1.1102480925892799</v>
      </c>
      <c r="AG6355">
        <v>-1.1206585057498</v>
      </c>
      <c r="AH6355">
        <v>20.480548747076298</v>
      </c>
      <c r="AI6355">
        <v>93.127415100444907</v>
      </c>
      <c r="AJ6355">
        <v>93.102960149898394</v>
      </c>
      <c r="AK6355">
        <v>20.5412123131761</v>
      </c>
      <c r="AL6355">
        <v>94.099693421864899</v>
      </c>
      <c r="AM6355">
        <v>92.039265496226193</v>
      </c>
      <c r="AN6355">
        <v>1.00000003877849</v>
      </c>
    </row>
    <row r="6356" spans="1:40" x14ac:dyDescent="0.25">
      <c r="A6356" t="str">
        <f>"20190303154648881"</f>
        <v>20190303154648881</v>
      </c>
      <c r="B6356" t="str">
        <f>"1551599208878050"</f>
        <v>1551599208878050</v>
      </c>
      <c r="C6356" t="s">
        <v>40</v>
      </c>
      <c r="D6356">
        <v>5.5425440000000004</v>
      </c>
      <c r="E6356">
        <v>0.49306990000000001</v>
      </c>
      <c r="F6356" t="s">
        <v>71</v>
      </c>
      <c r="G6356">
        <v>-251.57929999999999</v>
      </c>
      <c r="H6356" s="1">
        <v>-2.5524050000000001E-7</v>
      </c>
      <c r="I6356">
        <v>-62.369430000000001</v>
      </c>
      <c r="J6356">
        <v>-272.6173</v>
      </c>
      <c r="K6356">
        <v>1.120657</v>
      </c>
      <c r="L6356">
        <v>-62.571260000000002</v>
      </c>
      <c r="M6356">
        <v>0.99900409999999995</v>
      </c>
      <c r="N6356">
        <v>-5.2496859999999999E-3</v>
      </c>
      <c r="O6356">
        <v>-4.4307359999999997E-2</v>
      </c>
      <c r="P6356">
        <v>0.99709749999999997</v>
      </c>
      <c r="Q6356">
        <v>-7.5678239999999994E-2</v>
      </c>
      <c r="R6356">
        <v>-8.3262309999999999E-3</v>
      </c>
      <c r="S6356">
        <v>2.9970400000000001</v>
      </c>
      <c r="T6356">
        <v>-0.15879079999999901</v>
      </c>
      <c r="U6356">
        <v>2.7954099999999999E-2</v>
      </c>
      <c r="V6356">
        <v>-3.5750629999999999E-2</v>
      </c>
      <c r="W6356">
        <v>-7.0502300000000004E-2</v>
      </c>
      <c r="X6356">
        <v>0.99687079999999995</v>
      </c>
      <c r="Y6356">
        <v>-5.3490830000000003E-2</v>
      </c>
      <c r="Z6356">
        <v>3.6694050000000001E-3</v>
      </c>
      <c r="AA6356">
        <v>0.99856160000000005</v>
      </c>
      <c r="AB6356">
        <v>23</v>
      </c>
      <c r="AC6356">
        <v>21.038</v>
      </c>
      <c r="AD6356">
        <v>-1.1206572552405001</v>
      </c>
      <c r="AE6356">
        <v>0.20182999999999399</v>
      </c>
      <c r="AF6356">
        <v>-1.13057520279671</v>
      </c>
      <c r="AG6356">
        <v>-1.1206572552405001</v>
      </c>
      <c r="AH6356">
        <v>20.948958996796101</v>
      </c>
      <c r="AI6356">
        <v>93.057657956257202</v>
      </c>
      <c r="AJ6356">
        <v>93.089146730454402</v>
      </c>
      <c r="AK6356">
        <v>21.009354012495098</v>
      </c>
      <c r="AL6356">
        <v>94.042838020110807</v>
      </c>
      <c r="AM6356">
        <v>92.053909823424206</v>
      </c>
      <c r="AN6356">
        <v>1.0000000368716599</v>
      </c>
    </row>
    <row r="6357" spans="1:40" x14ac:dyDescent="0.25">
      <c r="A6357" t="str">
        <f>"20190303154648893"</f>
        <v>20190303154648893</v>
      </c>
      <c r="B6357" t="str">
        <f>"1551599208887810"</f>
        <v>1551599208887810</v>
      </c>
      <c r="C6357" t="s">
        <v>40</v>
      </c>
      <c r="D6357">
        <v>5.5514960000000002</v>
      </c>
      <c r="E6357">
        <v>0.49313659999999998</v>
      </c>
      <c r="F6357" t="s">
        <v>71</v>
      </c>
      <c r="G6357">
        <v>-251.04220000000001</v>
      </c>
      <c r="H6357" s="1">
        <v>-2.218064E-8</v>
      </c>
      <c r="I6357">
        <v>-62.357500000000002</v>
      </c>
      <c r="J6357">
        <v>-272.49239999999998</v>
      </c>
      <c r="K6357">
        <v>1.1206560000000001</v>
      </c>
      <c r="L6357">
        <v>-62.576169999999998</v>
      </c>
      <c r="M6357">
        <v>0.99903010000000003</v>
      </c>
      <c r="N6357">
        <v>-5.2411180000000003E-3</v>
      </c>
      <c r="O6357">
        <v>-4.3720250000000002E-2</v>
      </c>
      <c r="P6357">
        <v>0.99715489999999996</v>
      </c>
      <c r="Q6357">
        <v>-7.4986010000000006E-2</v>
      </c>
      <c r="R6357">
        <v>-7.7060009999999996E-3</v>
      </c>
      <c r="S6357">
        <v>2.997131</v>
      </c>
      <c r="T6357">
        <v>-0.15567739999999999</v>
      </c>
      <c r="U6357">
        <v>2.9693600000000001E-2</v>
      </c>
      <c r="V6357">
        <v>-3.578895E-2</v>
      </c>
      <c r="W6357">
        <v>-6.9818179999999994E-2</v>
      </c>
      <c r="X6357">
        <v>0.99691750000000001</v>
      </c>
      <c r="Y6357">
        <v>-5.348907E-2</v>
      </c>
      <c r="Z6357">
        <v>3.5683540000000001E-3</v>
      </c>
      <c r="AA6357">
        <v>0.99856199999999995</v>
      </c>
      <c r="AB6357">
        <v>23</v>
      </c>
      <c r="AC6357">
        <v>21.450199999999899</v>
      </c>
      <c r="AD6357">
        <v>-1.1206560221806401</v>
      </c>
      <c r="AE6357">
        <v>0.21866999999999501</v>
      </c>
      <c r="AF6357">
        <v>-1.15313471319529</v>
      </c>
      <c r="AG6357">
        <v>-1.1206560221806401</v>
      </c>
      <c r="AH6357">
        <v>21.361827693502299</v>
      </c>
      <c r="AI6357">
        <v>92.998664890238899</v>
      </c>
      <c r="AJ6357">
        <v>93.089889608965393</v>
      </c>
      <c r="AK6357">
        <v>21.4222611316758</v>
      </c>
      <c r="AL6357">
        <v>94.003544291392501</v>
      </c>
      <c r="AM6357">
        <v>92.056013223027094</v>
      </c>
      <c r="AN6357">
        <v>0.99999996450343098</v>
      </c>
    </row>
    <row r="6358" spans="1:40" x14ac:dyDescent="0.25">
      <c r="A6358" t="str">
        <f>"20190303154648907"</f>
        <v>20190303154648907</v>
      </c>
      <c r="B6358" t="str">
        <f>"1551599208897570"</f>
        <v>1551599208897570</v>
      </c>
      <c r="C6358" t="s">
        <v>40</v>
      </c>
      <c r="D6358">
        <v>5.5450629999999999</v>
      </c>
      <c r="E6358">
        <v>0.49319200000000002</v>
      </c>
      <c r="F6358" t="s">
        <v>71</v>
      </c>
      <c r="G6358">
        <v>-250.6534</v>
      </c>
      <c r="H6358" s="1">
        <v>1.4640629999999899E-7</v>
      </c>
      <c r="I6358">
        <v>-62.349359999999997</v>
      </c>
      <c r="J6358">
        <v>-272.36219999999997</v>
      </c>
      <c r="K6358">
        <v>1.120657</v>
      </c>
      <c r="L6358">
        <v>-62.581209999999999</v>
      </c>
      <c r="M6358">
        <v>0.99905670000000002</v>
      </c>
      <c r="N6358">
        <v>-5.2334800000000004E-3</v>
      </c>
      <c r="O6358">
        <v>-4.3110969999999998E-2</v>
      </c>
      <c r="P6358">
        <v>0.99719720000000001</v>
      </c>
      <c r="Q6358">
        <v>-7.4490899999999999E-2</v>
      </c>
      <c r="R6358">
        <v>-7.0150819999999997E-3</v>
      </c>
      <c r="S6358">
        <v>2.9972530000000002</v>
      </c>
      <c r="T6358">
        <v>-0.15380260000000001</v>
      </c>
      <c r="U6358">
        <v>3.1127930000000002E-2</v>
      </c>
      <c r="V6358">
        <v>-3.5873849999999999E-2</v>
      </c>
      <c r="W6358">
        <v>-6.9330530000000001E-2</v>
      </c>
      <c r="X6358">
        <v>0.99694850000000002</v>
      </c>
      <c r="Y6358">
        <v>-5.3361409999999998E-2</v>
      </c>
      <c r="Z6358">
        <v>3.4927019999999999E-3</v>
      </c>
      <c r="AA6358">
        <v>0.99856909999999999</v>
      </c>
      <c r="AB6358">
        <v>23</v>
      </c>
      <c r="AC6358">
        <v>21.708799999999901</v>
      </c>
      <c r="AD6358">
        <v>-1.1206568535937</v>
      </c>
      <c r="AE6358">
        <v>0.231850000000001</v>
      </c>
      <c r="AF6358">
        <v>-1.16443188458427</v>
      </c>
      <c r="AG6358">
        <v>-1.1206568535937</v>
      </c>
      <c r="AH6358">
        <v>21.6210108491629</v>
      </c>
      <c r="AI6358">
        <v>92.962804654076095</v>
      </c>
      <c r="AJ6358">
        <v>93.082771673569397</v>
      </c>
      <c r="AK6358">
        <v>21.6813256867969</v>
      </c>
      <c r="AL6358">
        <v>93.975536057029601</v>
      </c>
      <c r="AM6358">
        <v>92.060822352501603</v>
      </c>
      <c r="AN6358">
        <v>0.99999998357807596</v>
      </c>
    </row>
    <row r="6359" spans="1:40" x14ac:dyDescent="0.25">
      <c r="A6359" t="str">
        <f>"20190303154648919"</f>
        <v>20190303154648919</v>
      </c>
      <c r="B6359" t="str">
        <f>"1551599208908305"</f>
        <v>1551599208908305</v>
      </c>
      <c r="C6359" t="s">
        <v>40</v>
      </c>
      <c r="D6359">
        <v>5.5138850000000001</v>
      </c>
      <c r="E6359">
        <v>0.49326189999999998</v>
      </c>
      <c r="F6359" t="s">
        <v>71</v>
      </c>
      <c r="G6359">
        <v>-250.31630000000001</v>
      </c>
      <c r="H6359" s="1">
        <v>2.9301559999999999E-7</v>
      </c>
      <c r="I6359">
        <v>-62.340580000000003</v>
      </c>
      <c r="J6359">
        <v>-272.23820000000001</v>
      </c>
      <c r="K6359">
        <v>1.1206579999999999</v>
      </c>
      <c r="L6359">
        <v>-62.585940000000001</v>
      </c>
      <c r="M6359">
        <v>0.99908140000000001</v>
      </c>
      <c r="N6359">
        <v>-5.2277729999999998E-3</v>
      </c>
      <c r="O6359">
        <v>-4.2533269999999998E-2</v>
      </c>
      <c r="P6359">
        <v>0.99722509999999998</v>
      </c>
      <c r="Q6359">
        <v>-7.417203E-2</v>
      </c>
      <c r="R6359">
        <v>-6.3803599999999999E-3</v>
      </c>
      <c r="S6359">
        <v>2.9972530000000002</v>
      </c>
      <c r="T6359">
        <v>-0.15235839999999901</v>
      </c>
      <c r="U6359">
        <v>3.2714840000000002E-2</v>
      </c>
      <c r="V6359">
        <v>-3.593358E-2</v>
      </c>
      <c r="W6359">
        <v>-6.901728E-2</v>
      </c>
      <c r="X6359">
        <v>0.99696810000000002</v>
      </c>
      <c r="Y6359">
        <v>-5.3315639999999997E-2</v>
      </c>
      <c r="Z6359">
        <v>3.4316379999999999E-3</v>
      </c>
      <c r="AA6359">
        <v>0.99857180000000001</v>
      </c>
      <c r="AB6359">
        <v>23</v>
      </c>
      <c r="AC6359">
        <v>21.921899999999901</v>
      </c>
      <c r="AD6359">
        <v>-1.1206577069843999</v>
      </c>
      <c r="AE6359">
        <v>0.245359999999998</v>
      </c>
      <c r="AF6359">
        <v>-1.1744918469610399</v>
      </c>
      <c r="AG6359">
        <v>-1.1206577069843999</v>
      </c>
      <c r="AH6359">
        <v>21.834571971065699</v>
      </c>
      <c r="AI6359">
        <v>92.933889332290093</v>
      </c>
      <c r="AJ6359">
        <v>93.078999480444097</v>
      </c>
      <c r="AK6359">
        <v>21.894835874115401</v>
      </c>
      <c r="AL6359">
        <v>93.957544994226694</v>
      </c>
      <c r="AM6359">
        <v>92.064210110762303</v>
      </c>
      <c r="AN6359">
        <v>0.99999999976391196</v>
      </c>
    </row>
    <row r="6360" spans="1:40" x14ac:dyDescent="0.25">
      <c r="A6360" t="str">
        <f>"20190303154648932"</f>
        <v>20190303154648932</v>
      </c>
      <c r="B6360" t="str">
        <f>"1551599208927826"</f>
        <v>1551599208927826</v>
      </c>
      <c r="C6360" t="s">
        <v>40</v>
      </c>
      <c r="D6360">
        <v>5.5119790000000002</v>
      </c>
      <c r="E6360">
        <v>0.49342000000000003</v>
      </c>
      <c r="F6360" t="s">
        <v>71</v>
      </c>
      <c r="G6360">
        <v>-250.08789999999999</v>
      </c>
      <c r="H6360" s="1">
        <v>3.9250330000000001E-7</v>
      </c>
      <c r="I6360">
        <v>-62.33379</v>
      </c>
      <c r="J6360">
        <v>-272.10070000000002</v>
      </c>
      <c r="K6360">
        <v>1.1206590000000001</v>
      </c>
      <c r="L6360">
        <v>-62.59113</v>
      </c>
      <c r="M6360">
        <v>0.99910840000000001</v>
      </c>
      <c r="N6360">
        <v>-5.2237619999999998E-3</v>
      </c>
      <c r="O6360">
        <v>-4.189681E-2</v>
      </c>
      <c r="P6360">
        <v>0.99726599999999999</v>
      </c>
      <c r="Q6360">
        <v>-7.3677870000000006E-2</v>
      </c>
      <c r="R6360">
        <v>-5.6898039999999997E-3</v>
      </c>
      <c r="S6360">
        <v>2.9972840000000001</v>
      </c>
      <c r="T6360">
        <v>-0.15164259999999999</v>
      </c>
      <c r="U6360">
        <v>3.411865E-2</v>
      </c>
      <c r="V6360">
        <v>-3.5990899999999999E-2</v>
      </c>
      <c r="W6360">
        <v>-6.8527119999999997E-2</v>
      </c>
      <c r="X6360">
        <v>0.99699990000000005</v>
      </c>
      <c r="Y6360">
        <v>-5.3149059999999998E-2</v>
      </c>
      <c r="Z6360">
        <v>3.381687E-3</v>
      </c>
      <c r="AA6360">
        <v>0.99858089999999999</v>
      </c>
      <c r="AB6360">
        <v>23</v>
      </c>
      <c r="AC6360">
        <v>22.012799999999999</v>
      </c>
      <c r="AD6360">
        <v>-1.1206586074967</v>
      </c>
      <c r="AE6360">
        <v>0.25734000000000601</v>
      </c>
      <c r="AF6360">
        <v>-1.17634421907463</v>
      </c>
      <c r="AG6360">
        <v>-1.1206586074967</v>
      </c>
      <c r="AH6360">
        <v>21.925870117717501</v>
      </c>
      <c r="AI6360">
        <v>92.921718123307301</v>
      </c>
      <c r="AJ6360">
        <v>93.071029878088595</v>
      </c>
      <c r="AK6360">
        <v>21.9859828494276</v>
      </c>
      <c r="AL6360">
        <v>93.929394023987598</v>
      </c>
      <c r="AM6360">
        <v>92.067434124669205</v>
      </c>
      <c r="AN6360">
        <v>1.00000005582915</v>
      </c>
    </row>
    <row r="6361" spans="1:40" x14ac:dyDescent="0.25">
      <c r="A6361" t="str">
        <f>"20190303154648945"</f>
        <v>20190303154648945</v>
      </c>
      <c r="B6361" t="str">
        <f>"1551599208937587"</f>
        <v>1551599208937587</v>
      </c>
      <c r="C6361" t="s">
        <v>40</v>
      </c>
      <c r="D6361">
        <v>5.498958</v>
      </c>
      <c r="E6361">
        <v>0.493508</v>
      </c>
      <c r="F6361" t="s">
        <v>76</v>
      </c>
      <c r="G6361">
        <v>-249.745</v>
      </c>
      <c r="H6361" s="1">
        <v>-3.5357069999999999E-6</v>
      </c>
      <c r="I6361">
        <v>-62.330669999999998</v>
      </c>
      <c r="J6361">
        <v>-271.96129999999999</v>
      </c>
      <c r="K6361">
        <v>1.1206609999999999</v>
      </c>
      <c r="L6361">
        <v>-62.59628</v>
      </c>
      <c r="M6361">
        <v>0.99913510000000005</v>
      </c>
      <c r="N6361">
        <v>-5.2209910000000003E-3</v>
      </c>
      <c r="O6361">
        <v>-4.1253430000000001E-2</v>
      </c>
      <c r="P6361">
        <v>0.99729290000000004</v>
      </c>
      <c r="Q6361">
        <v>-7.3365E-2</v>
      </c>
      <c r="R6361">
        <v>-4.9667610000000001E-3</v>
      </c>
      <c r="S6361">
        <v>2.9973139999999998</v>
      </c>
      <c r="T6361">
        <v>-0.15025169999999999</v>
      </c>
      <c r="U6361">
        <v>3.4912110000000003E-2</v>
      </c>
      <c r="V6361">
        <v>-3.6072949999999999E-2</v>
      </c>
      <c r="W6361">
        <v>-6.821721E-2</v>
      </c>
      <c r="X6361">
        <v>0.99701819999999997</v>
      </c>
      <c r="Y6361">
        <v>-5.2773559999999997E-2</v>
      </c>
      <c r="Z6361">
        <v>3.31074E-3</v>
      </c>
      <c r="AA6361">
        <v>0.99860099999999996</v>
      </c>
      <c r="AB6361">
        <v>23</v>
      </c>
      <c r="AC6361">
        <v>22.216299999999901</v>
      </c>
      <c r="AD6361">
        <v>-1.120664535707</v>
      </c>
      <c r="AE6361">
        <v>0.26561000000000901</v>
      </c>
      <c r="AF6361">
        <v>-1.1788956204462</v>
      </c>
      <c r="AG6361">
        <v>-1.120664535707</v>
      </c>
      <c r="AH6361">
        <v>22.1301268554454</v>
      </c>
      <c r="AI6361">
        <v>92.894871131368802</v>
      </c>
      <c r="AJ6361">
        <v>93.049325411248404</v>
      </c>
      <c r="AK6361">
        <v>22.189821957906801</v>
      </c>
      <c r="AL6361">
        <v>93.911595791249994</v>
      </c>
      <c r="AM6361">
        <v>92.072105238475601</v>
      </c>
      <c r="AN6361">
        <v>1.00000006829656</v>
      </c>
    </row>
    <row r="6362" spans="1:40" x14ac:dyDescent="0.25">
      <c r="A6362" t="str">
        <f>"20190303154648956"</f>
        <v>20190303154648956</v>
      </c>
      <c r="B6362" t="str">
        <f>"1551599208948321"</f>
        <v>1551599208948321</v>
      </c>
      <c r="C6362" t="s">
        <v>40</v>
      </c>
      <c r="D6362">
        <v>5.4893869999999998</v>
      </c>
      <c r="E6362">
        <v>0.49358649999999998</v>
      </c>
      <c r="F6362" t="s">
        <v>76</v>
      </c>
      <c r="G6362">
        <v>-249.4931</v>
      </c>
      <c r="H6362" s="1">
        <v>-3.4486680000000001E-6</v>
      </c>
      <c r="I6362">
        <v>-62.323300000000003</v>
      </c>
      <c r="J6362">
        <v>-271.8467</v>
      </c>
      <c r="K6362">
        <v>1.120671</v>
      </c>
      <c r="L6362">
        <v>-62.600490000000001</v>
      </c>
      <c r="M6362">
        <v>0.99915670000000001</v>
      </c>
      <c r="N6362">
        <v>-5.2201189999999996E-3</v>
      </c>
      <c r="O6362">
        <v>-4.0726039999999998E-2</v>
      </c>
      <c r="P6362">
        <v>0.99733539999999998</v>
      </c>
      <c r="Q6362">
        <v>-7.2812920000000003E-2</v>
      </c>
      <c r="R6362">
        <v>-4.507067E-3</v>
      </c>
      <c r="S6362">
        <v>2.9972840000000001</v>
      </c>
      <c r="T6362">
        <v>-0.14949789999999999</v>
      </c>
      <c r="U6362">
        <v>3.6407469999999997E-2</v>
      </c>
      <c r="V6362">
        <v>-3.6008230000000002E-2</v>
      </c>
      <c r="W6362">
        <v>-6.7665900000000001E-2</v>
      </c>
      <c r="X6362">
        <v>0.997058</v>
      </c>
      <c r="Y6362">
        <v>-5.2746439999999999E-2</v>
      </c>
      <c r="Z6362">
        <v>3.2695350000000001E-3</v>
      </c>
      <c r="AA6362">
        <v>0.99860260000000001</v>
      </c>
      <c r="AB6362">
        <v>23</v>
      </c>
      <c r="AC6362">
        <v>22.3536</v>
      </c>
      <c r="AD6362">
        <v>-1.120674448668</v>
      </c>
      <c r="AE6362">
        <v>0.27718999999999699</v>
      </c>
      <c r="AF6362">
        <v>-1.18436969460888</v>
      </c>
      <c r="AG6362">
        <v>-1.120674448668</v>
      </c>
      <c r="AH6362">
        <v>22.267805236125799</v>
      </c>
      <c r="AI6362">
        <v>92.877040898459498</v>
      </c>
      <c r="AJ6362">
        <v>93.044552577331601</v>
      </c>
      <c r="AK6362">
        <v>22.3274224402961</v>
      </c>
      <c r="AL6362">
        <v>93.879935314985104</v>
      </c>
      <c r="AM6362">
        <v>92.068308325999993</v>
      </c>
      <c r="AN6362">
        <v>0.99999996100726996</v>
      </c>
    </row>
    <row r="6363" spans="1:40" x14ac:dyDescent="0.25">
      <c r="A6363" t="str">
        <f>"20190303154648966"</f>
        <v>20190303154648966</v>
      </c>
      <c r="B6363" t="str">
        <f>"1551599208958081"</f>
        <v>1551599208958081</v>
      </c>
      <c r="C6363" t="s">
        <v>40</v>
      </c>
      <c r="D6363">
        <v>5.503647</v>
      </c>
      <c r="E6363">
        <v>0.49365680000000001</v>
      </c>
      <c r="F6363" t="s">
        <v>76</v>
      </c>
      <c r="G6363">
        <v>-249.1497</v>
      </c>
      <c r="H6363" s="1">
        <v>-3.3310599999999999E-6</v>
      </c>
      <c r="I6363">
        <v>-62.318969999999901</v>
      </c>
      <c r="J6363">
        <v>-271.73020000000002</v>
      </c>
      <c r="K6363">
        <v>1.1206750000000001</v>
      </c>
      <c r="L6363">
        <v>-62.604680000000002</v>
      </c>
      <c r="M6363">
        <v>0.99917849999999997</v>
      </c>
      <c r="N6363">
        <v>-5.2219079999999999E-3</v>
      </c>
      <c r="O6363">
        <v>-4.0191259999999999E-2</v>
      </c>
      <c r="P6363">
        <v>0.99737659999999995</v>
      </c>
      <c r="Q6363">
        <v>-7.2289619999999999E-2</v>
      </c>
      <c r="R6363">
        <v>-3.8190820000000001E-3</v>
      </c>
      <c r="S6363">
        <v>2.9973749999999999</v>
      </c>
      <c r="T6363">
        <v>-0.14799709999999999</v>
      </c>
      <c r="U6363">
        <v>3.7170410000000001E-2</v>
      </c>
      <c r="V6363">
        <v>-3.6164500000000002E-2</v>
      </c>
      <c r="W6363">
        <v>-6.7141160000000005E-2</v>
      </c>
      <c r="X6363">
        <v>0.99708779999999997</v>
      </c>
      <c r="Y6363">
        <v>-5.2468910000000001E-2</v>
      </c>
      <c r="Z6363">
        <v>3.2047170000000002E-3</v>
      </c>
      <c r="AA6363">
        <v>0.99861739999999999</v>
      </c>
      <c r="AB6363">
        <v>23</v>
      </c>
      <c r="AC6363">
        <v>22.580500000000001</v>
      </c>
      <c r="AD6363">
        <v>-1.1206783310599999</v>
      </c>
      <c r="AE6363">
        <v>0.28571000000000801</v>
      </c>
      <c r="AF6363">
        <v>-1.1900991839407999</v>
      </c>
      <c r="AG6363">
        <v>-1.1206783310599999</v>
      </c>
      <c r="AH6363">
        <v>22.495370264202101</v>
      </c>
      <c r="AI6363">
        <v>92.848037142373201</v>
      </c>
      <c r="AJ6363">
        <v>93.028363193088197</v>
      </c>
      <c r="AK6363">
        <v>22.554687745851702</v>
      </c>
      <c r="AL6363">
        <v>93.849801462291097</v>
      </c>
      <c r="AM6363">
        <v>92.077214579689795</v>
      </c>
      <c r="AN6363">
        <v>0.99999994366761602</v>
      </c>
    </row>
    <row r="6364" spans="1:40" x14ac:dyDescent="0.25">
      <c r="A6364" t="str">
        <f>"20190303154648982"</f>
        <v>20190303154648982</v>
      </c>
      <c r="B6364" t="str">
        <f>"1551599208977601"</f>
        <v>1551599208977601</v>
      </c>
      <c r="C6364" t="s">
        <v>40</v>
      </c>
      <c r="D6364">
        <v>5.4653340000000004</v>
      </c>
      <c r="E6364">
        <v>0.49378179999999999</v>
      </c>
      <c r="F6364" t="s">
        <v>76</v>
      </c>
      <c r="G6364">
        <v>-248.83269999999999</v>
      </c>
      <c r="H6364" s="1">
        <v>-3.2213669999999999E-6</v>
      </c>
      <c r="I6364">
        <v>-62.308779999999999</v>
      </c>
      <c r="J6364">
        <v>-271.57190000000003</v>
      </c>
      <c r="K6364">
        <v>1.1206830000000001</v>
      </c>
      <c r="L6364">
        <v>-62.610259999999997</v>
      </c>
      <c r="M6364">
        <v>0.99920730000000002</v>
      </c>
      <c r="N6364">
        <v>-5.2281999999999997E-3</v>
      </c>
      <c r="O6364">
        <v>-3.9465390000000003E-2</v>
      </c>
      <c r="P6364">
        <v>0.99747620000000004</v>
      </c>
      <c r="Q6364">
        <v>-7.0940489999999995E-2</v>
      </c>
      <c r="R6364">
        <v>-3.036501E-3</v>
      </c>
      <c r="S6364">
        <v>2.9974370000000001</v>
      </c>
      <c r="T6364">
        <v>-0.14670439999999901</v>
      </c>
      <c r="U6364">
        <v>3.872681E-2</v>
      </c>
      <c r="V6364">
        <v>-3.6227679999999998E-2</v>
      </c>
      <c r="W6364">
        <v>-6.5785839999999998E-2</v>
      </c>
      <c r="X6364">
        <v>0.9971759</v>
      </c>
      <c r="Y6364">
        <v>-5.2264539999999998E-2</v>
      </c>
      <c r="Z6364">
        <v>3.138737E-3</v>
      </c>
      <c r="AA6364">
        <v>0.99862830000000002</v>
      </c>
      <c r="AB6364">
        <v>23</v>
      </c>
      <c r="AC6364">
        <v>22.7392</v>
      </c>
      <c r="AD6364">
        <v>-1.1206862213669999</v>
      </c>
      <c r="AE6364">
        <v>0.30147999999998998</v>
      </c>
      <c r="AF6364">
        <v>-1.1957648111847801</v>
      </c>
      <c r="AG6364">
        <v>-1.1206862213669999</v>
      </c>
      <c r="AH6364">
        <v>22.654569049012</v>
      </c>
      <c r="AI6364">
        <v>92.828093929722002</v>
      </c>
      <c r="AJ6364">
        <v>93.021410739379505</v>
      </c>
      <c r="AK6364">
        <v>22.713768729272601</v>
      </c>
      <c r="AL6364">
        <v>93.771975043793304</v>
      </c>
      <c r="AM6364">
        <v>92.080656642129597</v>
      </c>
      <c r="AN6364">
        <v>0.99999999854174804</v>
      </c>
    </row>
    <row r="6365" spans="1:40" x14ac:dyDescent="0.25">
      <c r="A6365" t="str">
        <f>"20190303154648994"</f>
        <v>20190303154648994</v>
      </c>
      <c r="B6365" t="str">
        <f>"1551599208988338"</f>
        <v>1551599208988338</v>
      </c>
      <c r="C6365" t="s">
        <v>40</v>
      </c>
      <c r="D6365">
        <v>5.463965</v>
      </c>
      <c r="E6365">
        <v>0.49383860000000002</v>
      </c>
      <c r="F6365" t="s">
        <v>76</v>
      </c>
      <c r="G6365">
        <v>-248.1018</v>
      </c>
      <c r="H6365" s="1">
        <v>-2.9704349999999999E-6</v>
      </c>
      <c r="I6365">
        <v>-62.296460000000003</v>
      </c>
      <c r="J6365">
        <v>-271.44189999999998</v>
      </c>
      <c r="K6365">
        <v>1.12069</v>
      </c>
      <c r="L6365">
        <v>-62.614750000000001</v>
      </c>
      <c r="M6365">
        <v>0.99923070000000003</v>
      </c>
      <c r="N6365">
        <v>-5.242277E-3</v>
      </c>
      <c r="O6365">
        <v>-3.8870059999999998E-2</v>
      </c>
      <c r="P6365">
        <v>0.99751579999999995</v>
      </c>
      <c r="Q6365">
        <v>-7.0402309999999996E-2</v>
      </c>
      <c r="R6365">
        <v>-2.5118620000000001E-3</v>
      </c>
      <c r="S6365">
        <v>2.997528</v>
      </c>
      <c r="T6365">
        <v>-0.14313029999999999</v>
      </c>
      <c r="U6365">
        <v>4.006958E-2</v>
      </c>
      <c r="V6365">
        <v>-3.6159579999999997E-2</v>
      </c>
      <c r="W6365">
        <v>-6.5233689999999997E-2</v>
      </c>
      <c r="X6365">
        <v>0.99721470000000001</v>
      </c>
      <c r="Y6365">
        <v>-5.2122380000000003E-2</v>
      </c>
      <c r="Z6365">
        <v>3.0313290000000001E-3</v>
      </c>
      <c r="AA6365">
        <v>0.99863610000000003</v>
      </c>
      <c r="AB6365">
        <v>24</v>
      </c>
      <c r="AC6365">
        <v>23.3400999999999</v>
      </c>
      <c r="AD6365">
        <v>-1.1206929704349999</v>
      </c>
      <c r="AE6365">
        <v>0.31829000000000401</v>
      </c>
      <c r="AF6365">
        <v>-1.22247493631333</v>
      </c>
      <c r="AG6365">
        <v>-1.1206929704349999</v>
      </c>
      <c r="AH6365">
        <v>23.256480488588299</v>
      </c>
      <c r="AI6365">
        <v>92.755061027362601</v>
      </c>
      <c r="AJ6365">
        <v>93.008978519188602</v>
      </c>
      <c r="AK6365">
        <v>23.315537360738301</v>
      </c>
      <c r="AL6365">
        <v>93.740270869620701</v>
      </c>
      <c r="AM6365">
        <v>92.076668165076001</v>
      </c>
      <c r="AN6365">
        <v>1.00000005371644</v>
      </c>
    </row>
    <row r="6366" spans="1:40" x14ac:dyDescent="0.25">
      <c r="A6366" t="str">
        <f>"20190303154649005"</f>
        <v>20190303154649005</v>
      </c>
      <c r="B6366" t="str">
        <f>"1551599208998098"</f>
        <v>1551599208998098</v>
      </c>
      <c r="C6366" t="s">
        <v>40</v>
      </c>
      <c r="D6366">
        <v>5.4828010000000003</v>
      </c>
      <c r="E6366">
        <v>0.49389539999999998</v>
      </c>
      <c r="F6366" t="s">
        <v>76</v>
      </c>
      <c r="G6366">
        <v>-247.7962</v>
      </c>
      <c r="H6366" s="1">
        <v>-2.8387270000000001E-6</v>
      </c>
      <c r="I6366">
        <v>-62.289209999999997</v>
      </c>
      <c r="J6366">
        <v>-271.32319999999999</v>
      </c>
      <c r="K6366">
        <v>1.1207009999999999</v>
      </c>
      <c r="L6366">
        <v>-62.6188</v>
      </c>
      <c r="M6366">
        <v>0.99925149999999996</v>
      </c>
      <c r="N6366">
        <v>-5.2590780000000004E-3</v>
      </c>
      <c r="O6366">
        <v>-3.8326010000000001E-2</v>
      </c>
      <c r="P6366">
        <v>0.99753049999999999</v>
      </c>
      <c r="Q6366">
        <v>-7.0212999999999998E-2</v>
      </c>
      <c r="R6366">
        <v>-1.8826100000000001E-3</v>
      </c>
      <c r="S6366">
        <v>2.997528</v>
      </c>
      <c r="T6366">
        <v>-0.14206869999999999</v>
      </c>
      <c r="U6366">
        <v>4.1259770000000001E-2</v>
      </c>
      <c r="V6366">
        <v>-3.6246130000000001E-2</v>
      </c>
      <c r="W6366">
        <v>-6.5028099999999894E-2</v>
      </c>
      <c r="X6366">
        <v>0.99722489999999997</v>
      </c>
      <c r="Y6366">
        <v>-5.1977280000000001E-2</v>
      </c>
      <c r="Z6366">
        <v>2.9814379999999999E-3</v>
      </c>
      <c r="AA6366">
        <v>0.99864379999999997</v>
      </c>
      <c r="AB6366">
        <v>24</v>
      </c>
      <c r="AC6366">
        <v>23.526999999999902</v>
      </c>
      <c r="AD6366">
        <v>-1.1207038387270001</v>
      </c>
      <c r="AE6366">
        <v>0.32959000000000299</v>
      </c>
      <c r="AF6366">
        <v>-1.2282698132479799</v>
      </c>
      <c r="AG6366">
        <v>-1.1207038387270001</v>
      </c>
      <c r="AH6366">
        <v>23.443896431669</v>
      </c>
      <c r="AI6366">
        <v>92.733121136871404</v>
      </c>
      <c r="AJ6366">
        <v>92.999091543977698</v>
      </c>
      <c r="AK6366">
        <v>23.5027850206544</v>
      </c>
      <c r="AL6366">
        <v>93.728466685112494</v>
      </c>
      <c r="AM6366">
        <v>92.081613147087197</v>
      </c>
      <c r="AN6366">
        <v>0.99999996845479799</v>
      </c>
    </row>
    <row r="6367" spans="1:40" x14ac:dyDescent="0.25">
      <c r="A6367" t="str">
        <f>"20190303154649015"</f>
        <v>20190303154649015</v>
      </c>
      <c r="B6367" t="str">
        <f>"1551599209007858"</f>
        <v>1551599209007858</v>
      </c>
      <c r="C6367" t="s">
        <v>40</v>
      </c>
      <c r="D6367">
        <v>5.4610539999999999</v>
      </c>
      <c r="E6367">
        <v>0.49395729999999999</v>
      </c>
      <c r="F6367" t="s">
        <v>76</v>
      </c>
      <c r="G6367">
        <v>-247.66370000000001</v>
      </c>
      <c r="H6367" s="1">
        <v>-2.7797970000000002E-6</v>
      </c>
      <c r="I6367">
        <v>-62.281519999999901</v>
      </c>
      <c r="J6367">
        <v>-271.21120000000002</v>
      </c>
      <c r="K6367">
        <v>1.120709</v>
      </c>
      <c r="L6367">
        <v>-62.622529999999998</v>
      </c>
      <c r="M6367">
        <v>0.99927100000000002</v>
      </c>
      <c r="N6367">
        <v>-5.2802530000000004E-3</v>
      </c>
      <c r="O6367">
        <v>-3.7813670000000001E-2</v>
      </c>
      <c r="P6367">
        <v>0.99756290000000003</v>
      </c>
      <c r="Q6367">
        <v>-6.9765179999999996E-2</v>
      </c>
      <c r="R6367">
        <v>-1.1882609999999999E-3</v>
      </c>
      <c r="S6367">
        <v>2.9974980000000002</v>
      </c>
      <c r="T6367">
        <v>-0.14198540000000001</v>
      </c>
      <c r="U6367">
        <v>4.2724610000000003E-2</v>
      </c>
      <c r="V6367">
        <v>-3.6429360000000001E-2</v>
      </c>
      <c r="W6367">
        <v>-6.4559699999999998E-2</v>
      </c>
      <c r="X6367">
        <v>0.99724869999999999</v>
      </c>
      <c r="Y6367">
        <v>-5.1953930000000002E-2</v>
      </c>
      <c r="Z6367">
        <v>2.9572660000000001E-3</v>
      </c>
      <c r="AA6367">
        <v>0.99864509999999995</v>
      </c>
      <c r="AB6367">
        <v>24</v>
      </c>
      <c r="AC6367">
        <v>23.547499999999999</v>
      </c>
      <c r="AD6367">
        <v>-1.1207117797970001</v>
      </c>
      <c r="AE6367">
        <v>0.34101000000001103</v>
      </c>
      <c r="AF6367">
        <v>-1.2284138191021201</v>
      </c>
      <c r="AG6367">
        <v>-1.1207117797970001</v>
      </c>
      <c r="AH6367">
        <v>23.4646236143811</v>
      </c>
      <c r="AI6367">
        <v>92.730735560798607</v>
      </c>
      <c r="AJ6367">
        <v>92.996797835523395</v>
      </c>
      <c r="AK6367">
        <v>23.523468213018798</v>
      </c>
      <c r="AL6367">
        <v>93.701572668791798</v>
      </c>
      <c r="AM6367">
        <v>92.092076822229004</v>
      </c>
      <c r="AN6367">
        <v>1.00000001139289</v>
      </c>
    </row>
    <row r="6368" spans="1:40" x14ac:dyDescent="0.25">
      <c r="A6368" t="str">
        <f>"20190303154649028"</f>
        <v>20190303154649028</v>
      </c>
      <c r="B6368" t="str">
        <f>"1551599209017618"</f>
        <v>1551599209017618</v>
      </c>
      <c r="C6368" t="s">
        <v>40</v>
      </c>
      <c r="D6368">
        <v>5.462764</v>
      </c>
      <c r="E6368">
        <v>0.4940039</v>
      </c>
      <c r="F6368" t="s">
        <v>76</v>
      </c>
      <c r="G6368">
        <v>-247.38589999999999</v>
      </c>
      <c r="H6368" s="1">
        <v>-2.6575820000000001E-6</v>
      </c>
      <c r="I6368">
        <v>-62.270020000000002</v>
      </c>
      <c r="J6368">
        <v>-271.08870000000002</v>
      </c>
      <c r="K6368">
        <v>1.120722</v>
      </c>
      <c r="L6368">
        <v>-62.626620000000003</v>
      </c>
      <c r="M6368">
        <v>0.99929190000000001</v>
      </c>
      <c r="N6368">
        <v>-5.3132589999999999E-3</v>
      </c>
      <c r="O6368">
        <v>-3.7252109999999998E-2</v>
      </c>
      <c r="P6368">
        <v>0.99758420000000003</v>
      </c>
      <c r="Q6368">
        <v>-6.9467100000000004E-2</v>
      </c>
      <c r="R6368">
        <v>-5.212064E-4</v>
      </c>
      <c r="S6368">
        <v>2.997528</v>
      </c>
      <c r="T6368">
        <v>-0.1409996</v>
      </c>
      <c r="U6368">
        <v>4.4342039999999999E-2</v>
      </c>
      <c r="V6368">
        <v>-3.6536659999999999E-2</v>
      </c>
      <c r="W6368">
        <v>-6.4229179999999997E-2</v>
      </c>
      <c r="X6368">
        <v>0.99726610000000004</v>
      </c>
      <c r="Y6368">
        <v>-5.1933239999999999E-2</v>
      </c>
      <c r="Z6368">
        <v>2.911949E-3</v>
      </c>
      <c r="AA6368">
        <v>0.99864629999999999</v>
      </c>
      <c r="AB6368">
        <v>24</v>
      </c>
      <c r="AC6368">
        <v>23.7028</v>
      </c>
      <c r="AD6368">
        <v>-1.120724657582</v>
      </c>
      <c r="AE6368">
        <v>0.35659999999999997</v>
      </c>
      <c r="AF6368">
        <v>-1.2365802407850699</v>
      </c>
      <c r="AG6368">
        <v>-1.120724657582</v>
      </c>
      <c r="AH6368">
        <v>23.620269055260099</v>
      </c>
      <c r="AI6368">
        <v>92.712799401402194</v>
      </c>
      <c r="AJ6368">
        <v>92.996841650752998</v>
      </c>
      <c r="AK6368">
        <v>23.6791525332494</v>
      </c>
      <c r="AL6368">
        <v>93.6825959437639</v>
      </c>
      <c r="AM6368">
        <v>92.098196804230398</v>
      </c>
      <c r="AN6368">
        <v>0.99999999464831801</v>
      </c>
    </row>
    <row r="6369" spans="1:40" x14ac:dyDescent="0.25">
      <c r="A6369" t="str">
        <f>"20190303154649040"</f>
        <v>20190303154649040</v>
      </c>
      <c r="B6369" t="str">
        <f>"1551599209028354"</f>
        <v>1551599209028354</v>
      </c>
      <c r="C6369" t="s">
        <v>40</v>
      </c>
      <c r="D6369">
        <v>5.4240870000000001</v>
      </c>
      <c r="E6369">
        <v>0.49405589999999999</v>
      </c>
      <c r="F6369" t="s">
        <v>76</v>
      </c>
      <c r="G6369">
        <v>-247.1721</v>
      </c>
      <c r="H6369" s="1">
        <v>-2.5630389999999999E-6</v>
      </c>
      <c r="I6369">
        <v>-62.259360000000001</v>
      </c>
      <c r="J6369">
        <v>-270.95999999999998</v>
      </c>
      <c r="K6369">
        <v>1.1207370000000001</v>
      </c>
      <c r="L6369">
        <v>-62.630769999999998</v>
      </c>
      <c r="M6369">
        <v>0.99931340000000002</v>
      </c>
      <c r="N6369">
        <v>-5.3553799999999999E-3</v>
      </c>
      <c r="O6369">
        <v>-3.666316E-2</v>
      </c>
      <c r="P6369">
        <v>0.99761610000000001</v>
      </c>
      <c r="Q6369">
        <v>-6.9008659999999999E-2</v>
      </c>
      <c r="R6369">
        <v>2.9416419999999998E-4</v>
      </c>
      <c r="S6369">
        <v>2.9974669999999999</v>
      </c>
      <c r="T6369">
        <v>-0.14046069999999999</v>
      </c>
      <c r="U6369">
        <v>4.6020510000000001E-2</v>
      </c>
      <c r="V6369">
        <v>-3.6765619999999999E-2</v>
      </c>
      <c r="W6369">
        <v>-6.372941E-2</v>
      </c>
      <c r="X6369">
        <v>0.9972898</v>
      </c>
      <c r="Y6369">
        <v>-5.1905359999999998E-2</v>
      </c>
      <c r="Z6369">
        <v>2.8750379999999999E-3</v>
      </c>
      <c r="AA6369">
        <v>0.99864790000000003</v>
      </c>
      <c r="AB6369">
        <v>24</v>
      </c>
      <c r="AC6369">
        <v>23.787899999999901</v>
      </c>
      <c r="AD6369">
        <v>-1.120739563039</v>
      </c>
      <c r="AE6369">
        <v>0.37140999999999702</v>
      </c>
      <c r="AF6369">
        <v>-1.2405592998053101</v>
      </c>
      <c r="AG6369">
        <v>-1.120739563039</v>
      </c>
      <c r="AH6369">
        <v>23.705682180414701</v>
      </c>
      <c r="AI6369">
        <v>92.703078354139706</v>
      </c>
      <c r="AJ6369">
        <v>92.995654471185205</v>
      </c>
      <c r="AK6369">
        <v>23.764562107964998</v>
      </c>
      <c r="AL6369">
        <v>93.653902254097304</v>
      </c>
      <c r="AM6369">
        <v>92.111283336056601</v>
      </c>
      <c r="AN6369">
        <v>1.00000004684848</v>
      </c>
    </row>
    <row r="6370" spans="1:40" x14ac:dyDescent="0.25">
      <c r="A6370" t="str">
        <f>"20190303154649050"</f>
        <v>20190303154649050</v>
      </c>
      <c r="B6370" t="str">
        <f>"1551599209038114"</f>
        <v>1551599209038114</v>
      </c>
      <c r="C6370" t="s">
        <v>40</v>
      </c>
      <c r="D6370">
        <v>5.4141180000000002</v>
      </c>
      <c r="E6370">
        <v>0.49409619999999999</v>
      </c>
      <c r="F6370" t="s">
        <v>76</v>
      </c>
      <c r="G6370">
        <v>-246.8689</v>
      </c>
      <c r="H6370" s="1">
        <v>-2.4289830000000001E-6</v>
      </c>
      <c r="I6370">
        <v>-62.244399999999999</v>
      </c>
      <c r="J6370">
        <v>-270.84690000000001</v>
      </c>
      <c r="K6370">
        <v>1.1207499999999999</v>
      </c>
      <c r="L6370">
        <v>-62.634369999999997</v>
      </c>
      <c r="M6370">
        <v>0.999332</v>
      </c>
      <c r="N6370">
        <v>-5.416639E-3</v>
      </c>
      <c r="O6370">
        <v>-3.6145169999999997E-2</v>
      </c>
      <c r="P6370">
        <v>0.99764560000000002</v>
      </c>
      <c r="Q6370">
        <v>-6.8575549999999999E-2</v>
      </c>
      <c r="R6370">
        <v>1.004425E-3</v>
      </c>
      <c r="S6370">
        <v>2.9974980000000002</v>
      </c>
      <c r="T6370">
        <v>-0.13944609999999999</v>
      </c>
      <c r="U6370">
        <v>4.8065190000000001E-2</v>
      </c>
      <c r="V6370">
        <v>-3.6959859999999997E-2</v>
      </c>
      <c r="W6370">
        <v>-6.3235739999999999E-2</v>
      </c>
      <c r="X6370">
        <v>0.99731400000000003</v>
      </c>
      <c r="Y6370">
        <v>-5.2070249999999998E-2</v>
      </c>
      <c r="Z6370">
        <v>2.8361979999999998E-3</v>
      </c>
      <c r="AA6370">
        <v>0.99863939999999995</v>
      </c>
      <c r="AB6370">
        <v>24</v>
      </c>
      <c r="AC6370">
        <v>23.978000000000002</v>
      </c>
      <c r="AD6370">
        <v>-1.120752428983</v>
      </c>
      <c r="AE6370">
        <v>0.38996999999999798</v>
      </c>
      <c r="AF6370">
        <v>-1.25367845751517</v>
      </c>
      <c r="AG6370">
        <v>-1.120752428983</v>
      </c>
      <c r="AH6370">
        <v>23.896043299605999</v>
      </c>
      <c r="AI6370">
        <v>92.681588849193005</v>
      </c>
      <c r="AJ6370">
        <v>93.003203869291994</v>
      </c>
      <c r="AK6370">
        <v>23.955138927974399</v>
      </c>
      <c r="AL6370">
        <v>93.625560041213802</v>
      </c>
      <c r="AM6370">
        <v>92.122376032621602</v>
      </c>
      <c r="AN6370">
        <v>1.00000000233028</v>
      </c>
    </row>
    <row r="6371" spans="1:40" x14ac:dyDescent="0.25">
      <c r="A6371" t="str">
        <f>"20190303154649061"</f>
        <v>20190303154649061</v>
      </c>
      <c r="B6371" t="str">
        <f>"1551599209057634"</f>
        <v>1551599209057634</v>
      </c>
      <c r="C6371" t="s">
        <v>40</v>
      </c>
      <c r="D6371">
        <v>5.4348919999999996</v>
      </c>
      <c r="E6371">
        <v>0.49416769999999999</v>
      </c>
      <c r="F6371" t="s">
        <v>76</v>
      </c>
      <c r="G6371">
        <v>-246.60149999999999</v>
      </c>
      <c r="H6371" s="1">
        <v>-2.3104899999999999E-6</v>
      </c>
      <c r="I6371">
        <v>-62.230220000000003</v>
      </c>
      <c r="J6371">
        <v>-270.73160000000001</v>
      </c>
      <c r="K6371">
        <v>1.120768</v>
      </c>
      <c r="L6371">
        <v>-62.637999999999998</v>
      </c>
      <c r="M6371">
        <v>0.99935039999999997</v>
      </c>
      <c r="N6371">
        <v>-5.4828269999999896E-3</v>
      </c>
      <c r="O6371">
        <v>-3.5617179999999998E-2</v>
      </c>
      <c r="P6371">
        <v>0.99762110000000004</v>
      </c>
      <c r="Q6371">
        <v>-6.8908590000000006E-2</v>
      </c>
      <c r="R6371">
        <v>1.924996E-3</v>
      </c>
      <c r="S6371">
        <v>2.9974370000000001</v>
      </c>
      <c r="T6371">
        <v>-0.1385574</v>
      </c>
      <c r="U6371">
        <v>4.995728E-2</v>
      </c>
      <c r="V6371">
        <v>-3.7350599999999998E-2</v>
      </c>
      <c r="W6371">
        <v>-6.3503970000000007E-2</v>
      </c>
      <c r="X6371">
        <v>0.99728240000000001</v>
      </c>
      <c r="Y6371">
        <v>-5.2174699999999997E-2</v>
      </c>
      <c r="Z6371">
        <v>2.798385E-3</v>
      </c>
      <c r="AA6371">
        <v>0.99863400000000002</v>
      </c>
      <c r="AB6371">
        <v>24</v>
      </c>
      <c r="AC6371">
        <v>24.130099999999999</v>
      </c>
      <c r="AD6371">
        <v>-1.12077031049</v>
      </c>
      <c r="AE6371">
        <v>0.40778000000000902</v>
      </c>
      <c r="AF6371">
        <v>-1.26425372547801</v>
      </c>
      <c r="AG6371">
        <v>-1.12077031049</v>
      </c>
      <c r="AH6371">
        <v>24.048399631886301</v>
      </c>
      <c r="AI6371">
        <v>92.664651953623107</v>
      </c>
      <c r="AJ6371">
        <v>93.009338775922004</v>
      </c>
      <c r="AK6371">
        <v>24.107674886354602</v>
      </c>
      <c r="AL6371">
        <v>93.640959435207094</v>
      </c>
      <c r="AM6371">
        <v>92.144860863609196</v>
      </c>
      <c r="AN6371">
        <v>1.0000000034379399</v>
      </c>
    </row>
    <row r="6372" spans="1:40" x14ac:dyDescent="0.25">
      <c r="A6372" t="str">
        <f>"20190303154649072"</f>
        <v>20190303154649072</v>
      </c>
      <c r="B6372" t="str">
        <f>"1551599209068370"</f>
        <v>1551599209068370</v>
      </c>
      <c r="C6372" t="s">
        <v>40</v>
      </c>
      <c r="D6372">
        <v>5.4260219999999997</v>
      </c>
      <c r="E6372">
        <v>0.49422369999999999</v>
      </c>
      <c r="F6372" t="s">
        <v>76</v>
      </c>
      <c r="G6372">
        <v>-246.82050000000001</v>
      </c>
      <c r="H6372" s="1">
        <v>-2.4021599999999998E-6</v>
      </c>
      <c r="I6372">
        <v>-62.221629999999998</v>
      </c>
      <c r="J6372">
        <v>-270.61599999999999</v>
      </c>
      <c r="K6372">
        <v>1.1207959999999999</v>
      </c>
      <c r="L6372">
        <v>-62.641509999999997</v>
      </c>
      <c r="M6372">
        <v>0.9993687</v>
      </c>
      <c r="N6372">
        <v>-5.5924059999999899E-3</v>
      </c>
      <c r="O6372">
        <v>-3.5088309999999998E-2</v>
      </c>
      <c r="P6372">
        <v>0.99759100000000001</v>
      </c>
      <c r="Q6372">
        <v>-6.9322709999999996E-2</v>
      </c>
      <c r="R6372">
        <v>2.6260860000000001E-3</v>
      </c>
      <c r="S6372">
        <v>2.9973139999999998</v>
      </c>
      <c r="T6372">
        <v>-0.14049110000000001</v>
      </c>
      <c r="U6372">
        <v>5.2185059999999998E-2</v>
      </c>
      <c r="V6372">
        <v>-3.7522010000000001E-2</v>
      </c>
      <c r="W6372">
        <v>-6.3809580000000005E-2</v>
      </c>
      <c r="X6372">
        <v>0.99725649999999999</v>
      </c>
      <c r="Y6372">
        <v>-5.2386549999999997E-2</v>
      </c>
      <c r="Z6372">
        <v>2.8209400000000001E-3</v>
      </c>
      <c r="AA6372">
        <v>0.99862289999999998</v>
      </c>
      <c r="AB6372">
        <v>24</v>
      </c>
      <c r="AC6372">
        <v>23.795499999999901</v>
      </c>
      <c r="AD6372">
        <v>-1.1207984021599999</v>
      </c>
      <c r="AE6372">
        <v>0.41987999999999198</v>
      </c>
      <c r="AF6372">
        <v>-1.2518019679842101</v>
      </c>
      <c r="AG6372">
        <v>-1.1207984021599999</v>
      </c>
      <c r="AH6372">
        <v>23.713520755274899</v>
      </c>
      <c r="AI6372">
        <v>92.702263216530696</v>
      </c>
      <c r="AJ6372">
        <v>93.0217553810933</v>
      </c>
      <c r="AK6372">
        <v>23.772973390726399</v>
      </c>
      <c r="AL6372">
        <v>93.658505030562495</v>
      </c>
      <c r="AM6372">
        <v>92.154750745690905</v>
      </c>
      <c r="AN6372">
        <v>1.0000000452632301</v>
      </c>
    </row>
    <row r="6373" spans="1:40" x14ac:dyDescent="0.25">
      <c r="A6373" t="str">
        <f>"20190303154649083"</f>
        <v>20190303154649083</v>
      </c>
      <c r="B6373" t="str">
        <f>"1551599209078129"</f>
        <v>1551599209078129</v>
      </c>
      <c r="C6373" t="s">
        <v>40</v>
      </c>
      <c r="D6373">
        <v>5.3996029999999999</v>
      </c>
      <c r="E6373">
        <v>0.49428280000000002</v>
      </c>
      <c r="F6373" t="s">
        <v>76</v>
      </c>
      <c r="G6373">
        <v>-246.9727</v>
      </c>
      <c r="H6373" s="1">
        <v>-2.4660830000000002E-6</v>
      </c>
      <c r="I6373">
        <v>-62.216549999999998</v>
      </c>
      <c r="J6373">
        <v>-270.49369999999999</v>
      </c>
      <c r="K6373">
        <v>1.1208180000000001</v>
      </c>
      <c r="L6373">
        <v>-62.64526</v>
      </c>
      <c r="M6373">
        <v>0.99938740000000004</v>
      </c>
      <c r="N6373">
        <v>-5.7173229999999998E-3</v>
      </c>
      <c r="O6373">
        <v>-3.4529209999999998E-2</v>
      </c>
      <c r="P6373">
        <v>0.99755720000000003</v>
      </c>
      <c r="Q6373">
        <v>-6.976889E-2</v>
      </c>
      <c r="R6373">
        <v>3.4739329999999998E-3</v>
      </c>
      <c r="S6373">
        <v>2.997223</v>
      </c>
      <c r="T6373">
        <v>-0.14208170000000001</v>
      </c>
      <c r="U6373">
        <v>5.386353E-2</v>
      </c>
      <c r="V6373">
        <v>-3.7809389999999998E-2</v>
      </c>
      <c r="W6373">
        <v>-6.4132239999999993E-2</v>
      </c>
      <c r="X6373">
        <v>0.99722489999999997</v>
      </c>
      <c r="Y6373">
        <v>-5.2385840000000003E-2</v>
      </c>
      <c r="Z6373">
        <v>2.829079E-3</v>
      </c>
      <c r="AA6373">
        <v>0.99862289999999998</v>
      </c>
      <c r="AB6373">
        <v>24</v>
      </c>
      <c r="AC6373">
        <v>23.520999999999901</v>
      </c>
      <c r="AD6373">
        <v>-1.1208204660829999</v>
      </c>
      <c r="AE6373">
        <v>0.42871000000000198</v>
      </c>
      <c r="AF6373">
        <v>-1.2378193293029101</v>
      </c>
      <c r="AG6373">
        <v>-1.1208204660829999</v>
      </c>
      <c r="AH6373">
        <v>23.438965175852601</v>
      </c>
      <c r="AI6373">
        <v>92.733919413018597</v>
      </c>
      <c r="AJ6373">
        <v>93.023000415740995</v>
      </c>
      <c r="AK6373">
        <v>23.498372788855399</v>
      </c>
      <c r="AL6373">
        <v>93.677030204803202</v>
      </c>
      <c r="AM6373">
        <v>92.171306921028801</v>
      </c>
      <c r="AN6373">
        <v>0.99999999767979897</v>
      </c>
    </row>
    <row r="6374" spans="1:40" x14ac:dyDescent="0.25">
      <c r="A6374" t="str">
        <f>"20190303154649094"</f>
        <v>20190303154649094</v>
      </c>
      <c r="B6374" t="str">
        <f>"1551599209087890"</f>
        <v>1551599209087890</v>
      </c>
      <c r="C6374" t="s">
        <v>40</v>
      </c>
      <c r="D6374">
        <v>5.3937369999999998</v>
      </c>
      <c r="E6374">
        <v>0.49433709999999997</v>
      </c>
      <c r="F6374" t="s">
        <v>76</v>
      </c>
      <c r="G6374">
        <v>-247.15379999999999</v>
      </c>
      <c r="H6374" s="1">
        <v>-2.5418770000000002E-6</v>
      </c>
      <c r="I6374">
        <v>-62.209339999999997</v>
      </c>
      <c r="J6374">
        <v>-270.37509999999997</v>
      </c>
      <c r="K6374">
        <v>1.120852</v>
      </c>
      <c r="L6374">
        <v>-62.648769999999899</v>
      </c>
      <c r="M6374">
        <v>0.99940510000000005</v>
      </c>
      <c r="N6374">
        <v>-5.8736760000000004E-3</v>
      </c>
      <c r="O6374">
        <v>-3.3987219999999999E-2</v>
      </c>
      <c r="P6374">
        <v>0.99754549999999997</v>
      </c>
      <c r="Q6374">
        <v>-6.9909570000000004E-2</v>
      </c>
      <c r="R6374">
        <v>4.0034520000000002E-3</v>
      </c>
      <c r="S6374">
        <v>2.9970699999999999</v>
      </c>
      <c r="T6374">
        <v>-0.1439242</v>
      </c>
      <c r="U6374">
        <v>5.5969240000000003E-2</v>
      </c>
      <c r="V6374">
        <v>-3.7797070000000002E-2</v>
      </c>
      <c r="W6374">
        <v>-6.411733E-2</v>
      </c>
      <c r="X6374">
        <v>0.99722639999999996</v>
      </c>
      <c r="Y6374">
        <v>-5.2544390000000003E-2</v>
      </c>
      <c r="Z6374">
        <v>2.8466339999999998E-3</v>
      </c>
      <c r="AA6374">
        <v>0.99861449999999996</v>
      </c>
      <c r="AB6374">
        <v>24</v>
      </c>
      <c r="AC6374">
        <v>23.2212999999999</v>
      </c>
      <c r="AD6374">
        <v>-1.120854541877</v>
      </c>
      <c r="AE6374">
        <v>0.439429999999987</v>
      </c>
      <c r="AF6374">
        <v>-1.2255627528594499</v>
      </c>
      <c r="AG6374">
        <v>-1.120854541877</v>
      </c>
      <c r="AH6374">
        <v>23.139057656875799</v>
      </c>
      <c r="AI6374">
        <v>92.769360683227106</v>
      </c>
      <c r="AJ6374">
        <v>93.031844348029296</v>
      </c>
      <c r="AK6374">
        <v>23.198584185537399</v>
      </c>
      <c r="AL6374">
        <v>93.676173890480001</v>
      </c>
      <c r="AM6374">
        <v>92.170596826595599</v>
      </c>
      <c r="AN6374">
        <v>1.0000000716819299</v>
      </c>
    </row>
    <row r="6375" spans="1:40" x14ac:dyDescent="0.25">
      <c r="A6375" t="str">
        <f>"20190303154649107"</f>
        <v>20190303154649107</v>
      </c>
      <c r="B6375" t="str">
        <f>"1551599209097650"</f>
        <v>1551599209097650</v>
      </c>
      <c r="C6375" t="s">
        <v>40</v>
      </c>
      <c r="D6375">
        <v>5.4130719999999997</v>
      </c>
      <c r="E6375">
        <v>0.4944056</v>
      </c>
      <c r="F6375" t="s">
        <v>76</v>
      </c>
      <c r="G6375">
        <v>-247.16650000000001</v>
      </c>
      <c r="H6375" s="1">
        <v>-2.5465830000000001E-6</v>
      </c>
      <c r="I6375">
        <v>-62.20655</v>
      </c>
      <c r="J6375">
        <v>-270.24930000000001</v>
      </c>
      <c r="K6375">
        <v>1.1208929999999999</v>
      </c>
      <c r="L6375">
        <v>-62.6524</v>
      </c>
      <c r="M6375">
        <v>0.99942339999999996</v>
      </c>
      <c r="N6375">
        <v>-6.0569219999999898E-3</v>
      </c>
      <c r="O6375">
        <v>-3.341239E-2</v>
      </c>
      <c r="P6375">
        <v>0.9975058</v>
      </c>
      <c r="Q6375">
        <v>-7.0413080000000003E-2</v>
      </c>
      <c r="R6375">
        <v>4.9362829999999996E-3</v>
      </c>
      <c r="S6375">
        <v>2.9970699999999999</v>
      </c>
      <c r="T6375">
        <v>-0.14474300000000001</v>
      </c>
      <c r="U6375">
        <v>5.7098389999999999E-2</v>
      </c>
      <c r="V6375">
        <v>-3.8153859999999998E-2</v>
      </c>
      <c r="W6375">
        <v>-6.4439369999999996E-2</v>
      </c>
      <c r="X6375">
        <v>0.99719199999999997</v>
      </c>
      <c r="Y6375">
        <v>-5.2345820000000001E-2</v>
      </c>
      <c r="Z6375">
        <v>2.8320060000000002E-3</v>
      </c>
      <c r="AA6375">
        <v>0.99862499999999998</v>
      </c>
      <c r="AB6375">
        <v>24</v>
      </c>
      <c r="AC6375">
        <v>23.082799999999899</v>
      </c>
      <c r="AD6375">
        <v>-1.1208955465829999</v>
      </c>
      <c r="AE6375">
        <v>0.44585000000000002</v>
      </c>
      <c r="AF6375">
        <v>-1.2140050155678399</v>
      </c>
      <c r="AG6375">
        <v>-1.1208955465829999</v>
      </c>
      <c r="AH6375">
        <v>23.000797227316401</v>
      </c>
      <c r="AI6375">
        <v>92.786110242599506</v>
      </c>
      <c r="AJ6375">
        <v>93.021324826920093</v>
      </c>
      <c r="AK6375">
        <v>23.060071294258801</v>
      </c>
      <c r="AL6375">
        <v>93.694663860501194</v>
      </c>
      <c r="AM6375">
        <v>92.191142071420998</v>
      </c>
      <c r="AN6375">
        <v>1.00000001715144</v>
      </c>
    </row>
    <row r="6376" spans="1:40" x14ac:dyDescent="0.25">
      <c r="A6376" t="str">
        <f>"20190303154649119"</f>
        <v>20190303154649119</v>
      </c>
      <c r="B6376" t="str">
        <f>"1551599209108386"</f>
        <v>1551599209108386</v>
      </c>
      <c r="C6376" t="s">
        <v>40</v>
      </c>
      <c r="D6376">
        <v>5.3761559999999999</v>
      </c>
      <c r="E6376">
        <v>0.49447200000000002</v>
      </c>
      <c r="F6376" t="s">
        <v>76</v>
      </c>
      <c r="G6376">
        <v>-247.33430000000001</v>
      </c>
      <c r="H6376" s="1">
        <v>-2.6165970000000002E-6</v>
      </c>
      <c r="I6376">
        <v>-62.199190000000002</v>
      </c>
      <c r="J6376">
        <v>-270.1096</v>
      </c>
      <c r="K6376">
        <v>1.1209420000000001</v>
      </c>
      <c r="L6376">
        <v>-62.656399999999998</v>
      </c>
      <c r="M6376">
        <v>0.99944310000000003</v>
      </c>
      <c r="N6376">
        <v>-6.285779E-3</v>
      </c>
      <c r="O6376">
        <v>-3.2774020000000001E-2</v>
      </c>
      <c r="P6376">
        <v>0.99744960000000005</v>
      </c>
      <c r="Q6376">
        <v>-7.1165099999999995E-2</v>
      </c>
      <c r="R6376">
        <v>5.5004420000000004E-3</v>
      </c>
      <c r="S6376">
        <v>2.9968870000000001</v>
      </c>
      <c r="T6376">
        <v>-0.14659349999999999</v>
      </c>
      <c r="U6376">
        <v>5.9265140000000001E-2</v>
      </c>
      <c r="V6376">
        <v>-3.8077439999999997E-2</v>
      </c>
      <c r="W6376">
        <v>-6.4963740000000006E-2</v>
      </c>
      <c r="X6376">
        <v>0.99716090000000002</v>
      </c>
      <c r="Y6376">
        <v>-5.2428860000000001E-2</v>
      </c>
      <c r="Z6376">
        <v>2.8423540000000001E-3</v>
      </c>
      <c r="AA6376">
        <v>0.99862059999999997</v>
      </c>
      <c r="AB6376">
        <v>24</v>
      </c>
      <c r="AC6376">
        <v>22.775299999999898</v>
      </c>
      <c r="AD6376">
        <v>-1.1209446165970001</v>
      </c>
      <c r="AE6376">
        <v>0.45720999999999601</v>
      </c>
      <c r="AF6376">
        <v>-1.20051029092842</v>
      </c>
      <c r="AG6376">
        <v>-1.1209446165970001</v>
      </c>
      <c r="AH6376">
        <v>22.6931304722061</v>
      </c>
      <c r="AI6376">
        <v>92.823928225714894</v>
      </c>
      <c r="AJ6376">
        <v>93.028234195024694</v>
      </c>
      <c r="AK6376">
        <v>22.752492444140501</v>
      </c>
      <c r="AL6376">
        <v>93.724771123653298</v>
      </c>
      <c r="AM6376">
        <v>92.186825739649905</v>
      </c>
      <c r="AN6376">
        <v>1.0000000197202701</v>
      </c>
    </row>
    <row r="6377" spans="1:40" x14ac:dyDescent="0.25">
      <c r="A6377" t="str">
        <f>"20190303154649131"</f>
        <v>20190303154649131</v>
      </c>
      <c r="B6377" t="str">
        <f>"1551599209127905"</f>
        <v>1551599209127905</v>
      </c>
      <c r="C6377" t="s">
        <v>40</v>
      </c>
      <c r="D6377">
        <v>5.3433099999999998</v>
      </c>
      <c r="E6377">
        <v>0.49458489999999999</v>
      </c>
      <c r="F6377" t="s">
        <v>76</v>
      </c>
      <c r="G6377">
        <v>-247.5924</v>
      </c>
      <c r="H6377" s="1">
        <v>-2.7281760000000002E-6</v>
      </c>
      <c r="I6377">
        <v>-62.202309999999997</v>
      </c>
      <c r="J6377">
        <v>-269.9787</v>
      </c>
      <c r="K6377">
        <v>1.1209899999999999</v>
      </c>
      <c r="L6377">
        <v>-62.660029999999999</v>
      </c>
      <c r="M6377">
        <v>0.99946109999999999</v>
      </c>
      <c r="N6377">
        <v>-6.5282719999999999E-3</v>
      </c>
      <c r="O6377">
        <v>-3.2175870000000002E-2</v>
      </c>
      <c r="P6377">
        <v>0.99741630000000003</v>
      </c>
      <c r="Q6377">
        <v>-7.1561040000000006E-2</v>
      </c>
      <c r="R6377">
        <v>6.3024789999999997E-3</v>
      </c>
      <c r="S6377">
        <v>2.9967350000000001</v>
      </c>
      <c r="T6377">
        <v>-0.14918239999999999</v>
      </c>
      <c r="U6377">
        <v>6.0424800000000001E-2</v>
      </c>
      <c r="V6377">
        <v>-3.8280069999999999E-2</v>
      </c>
      <c r="W6377">
        <v>-6.5118899999999993E-2</v>
      </c>
      <c r="X6377">
        <v>0.997143</v>
      </c>
      <c r="Y6377">
        <v>-5.2215829999999998E-2</v>
      </c>
      <c r="Z6377">
        <v>2.8599430000000002E-3</v>
      </c>
      <c r="AA6377">
        <v>0.99863170000000001</v>
      </c>
      <c r="AB6377">
        <v>24</v>
      </c>
      <c r="AC6377">
        <v>22.386299999999999</v>
      </c>
      <c r="AD6377">
        <v>-1.1209927281759999</v>
      </c>
      <c r="AE6377">
        <v>0.45772000000000801</v>
      </c>
      <c r="AF6377">
        <v>-1.17485216775733</v>
      </c>
      <c r="AG6377">
        <v>-1.1209927281759999</v>
      </c>
      <c r="AH6377">
        <v>22.3040764392745</v>
      </c>
      <c r="AI6377">
        <v>92.873262164288803</v>
      </c>
      <c r="AJ6377">
        <v>93.015229892663797</v>
      </c>
      <c r="AK6377">
        <v>22.363110877552501</v>
      </c>
      <c r="AL6377">
        <v>93.733680079240798</v>
      </c>
      <c r="AM6377">
        <v>92.198491022393597</v>
      </c>
      <c r="AN6377">
        <v>0.99999999867270695</v>
      </c>
    </row>
    <row r="6378" spans="1:40" x14ac:dyDescent="0.25">
      <c r="A6378" t="str">
        <f>"20190303154649145"</f>
        <v>20190303154649145</v>
      </c>
      <c r="B6378" t="str">
        <f>"1551599209137666"</f>
        <v>1551599209137666</v>
      </c>
      <c r="C6378" t="s">
        <v>40</v>
      </c>
      <c r="D6378">
        <v>5.324325</v>
      </c>
      <c r="E6378">
        <v>0.49467090000000002</v>
      </c>
      <c r="F6378" t="s">
        <v>76</v>
      </c>
      <c r="G6378">
        <v>-247.71979999999999</v>
      </c>
      <c r="H6378" s="1">
        <v>-2.7821239999999998E-6</v>
      </c>
      <c r="I6378">
        <v>-62.19979</v>
      </c>
      <c r="J6378">
        <v>-269.82979999999998</v>
      </c>
      <c r="K6378">
        <v>1.1210450000000001</v>
      </c>
      <c r="L6378">
        <v>-62.664059999999999</v>
      </c>
      <c r="M6378">
        <v>0.99948060000000005</v>
      </c>
      <c r="N6378">
        <v>-6.8172220000000004E-3</v>
      </c>
      <c r="O6378">
        <v>-3.1496200000000002E-2</v>
      </c>
      <c r="P6378">
        <v>0.99738450000000001</v>
      </c>
      <c r="Q6378">
        <v>-7.1933460000000005E-2</v>
      </c>
      <c r="R6378">
        <v>7.0667339999999999E-3</v>
      </c>
      <c r="S6378">
        <v>2.9965820000000001</v>
      </c>
      <c r="T6378">
        <v>-0.1509122</v>
      </c>
      <c r="U6378">
        <v>6.1950680000000001E-2</v>
      </c>
      <c r="V6378">
        <v>-3.8364969999999998E-2</v>
      </c>
      <c r="W6378">
        <v>-6.5204079999999998E-2</v>
      </c>
      <c r="X6378">
        <v>0.99713410000000002</v>
      </c>
      <c r="Y6378">
        <v>-5.2044609999999998E-2</v>
      </c>
      <c r="Z6378">
        <v>2.8574640000000001E-3</v>
      </c>
      <c r="AA6378">
        <v>0.99864070000000005</v>
      </c>
      <c r="AB6378">
        <v>24</v>
      </c>
      <c r="AC6378">
        <v>22.1099999999999</v>
      </c>
      <c r="AD6378">
        <v>-1.1210477821239999</v>
      </c>
      <c r="AE6378">
        <v>0.46426999999999902</v>
      </c>
      <c r="AF6378">
        <v>-1.1574625218715999</v>
      </c>
      <c r="AG6378">
        <v>-1.1210477821239999</v>
      </c>
      <c r="AH6378">
        <v>22.0278025713665</v>
      </c>
      <c r="AI6378">
        <v>92.909399503936896</v>
      </c>
      <c r="AJ6378">
        <v>93.007870758825305</v>
      </c>
      <c r="AK6378">
        <v>22.086660085727001</v>
      </c>
      <c r="AL6378">
        <v>93.738571192040595</v>
      </c>
      <c r="AM6378">
        <v>92.203381823510398</v>
      </c>
      <c r="AN6378">
        <v>0.99999992817727601</v>
      </c>
    </row>
    <row r="6379" spans="1:40" x14ac:dyDescent="0.25">
      <c r="A6379" t="str">
        <f>"20190303154649162"</f>
        <v>20190303154649162</v>
      </c>
      <c r="B6379" t="str">
        <f>"1551599209157689"</f>
        <v>1551599209157689</v>
      </c>
      <c r="C6379" t="s">
        <v>40</v>
      </c>
      <c r="D6379">
        <v>5.304983</v>
      </c>
      <c r="E6379">
        <v>0.4948244</v>
      </c>
      <c r="F6379" t="s">
        <v>76</v>
      </c>
      <c r="G6379">
        <v>-247.75980000000001</v>
      </c>
      <c r="H6379" s="1">
        <v>-2.7981240000000002E-6</v>
      </c>
      <c r="I6379">
        <v>-62.195340000000002</v>
      </c>
      <c r="J6379">
        <v>-269.65280000000001</v>
      </c>
      <c r="K6379">
        <v>1.1211169999999999</v>
      </c>
      <c r="L6379">
        <v>-62.668759999999999</v>
      </c>
      <c r="M6379">
        <v>0.99950320000000004</v>
      </c>
      <c r="N6379">
        <v>-7.1819830000000003E-3</v>
      </c>
      <c r="O6379">
        <v>-3.0689560000000001E-2</v>
      </c>
      <c r="P6379">
        <v>0.99735110000000005</v>
      </c>
      <c r="Q6379">
        <v>-7.2309899999999996E-2</v>
      </c>
      <c r="R6379">
        <v>7.893143E-3</v>
      </c>
      <c r="S6379">
        <v>2.996429</v>
      </c>
      <c r="T6379">
        <v>-0.152203799999999</v>
      </c>
      <c r="U6379">
        <v>6.3629149999999995E-2</v>
      </c>
      <c r="V6379">
        <v>-3.8383960000000002E-2</v>
      </c>
      <c r="W6379">
        <v>-6.5217670000000005E-2</v>
      </c>
      <c r="X6379">
        <v>0.99713249999999998</v>
      </c>
      <c r="Y6379">
        <v>-5.179827E-2</v>
      </c>
      <c r="Z6379">
        <v>2.8380850000000002E-3</v>
      </c>
      <c r="AA6379">
        <v>0.99865349999999997</v>
      </c>
      <c r="AB6379">
        <v>24</v>
      </c>
      <c r="AC6379">
        <v>21.893000000000001</v>
      </c>
      <c r="AD6379">
        <v>-1.121119798124</v>
      </c>
      <c r="AE6379">
        <v>0.47341999999999701</v>
      </c>
      <c r="AF6379">
        <v>-1.1421072065629201</v>
      </c>
      <c r="AG6379">
        <v>-1.121119798124</v>
      </c>
      <c r="AH6379">
        <v>21.810987978681499</v>
      </c>
      <c r="AI6379">
        <v>92.938486589216694</v>
      </c>
      <c r="AJ6379">
        <v>92.997489673522495</v>
      </c>
      <c r="AK6379">
        <v>21.869625398694399</v>
      </c>
      <c r="AL6379">
        <v>93.739351429480095</v>
      </c>
      <c r="AM6379">
        <v>92.204474917644205</v>
      </c>
      <c r="AN6379">
        <v>0.99999994771087797</v>
      </c>
    </row>
    <row r="6380" spans="1:40" x14ac:dyDescent="0.25">
      <c r="A6380" t="str">
        <f>"20190303154649171"</f>
        <v>20190303154649171</v>
      </c>
      <c r="B6380" t="str">
        <f>"1551599209168013"</f>
        <v>1551599209168013</v>
      </c>
      <c r="C6380" t="s">
        <v>40</v>
      </c>
      <c r="D6380">
        <v>5.2758089999999997</v>
      </c>
      <c r="E6380">
        <v>0.4948244</v>
      </c>
      <c r="F6380" t="s">
        <v>76</v>
      </c>
      <c r="G6380">
        <v>-247.79900000000001</v>
      </c>
      <c r="H6380" s="1">
        <v>-2.8148309999999999E-6</v>
      </c>
      <c r="I6380">
        <v>-62.195039999999999</v>
      </c>
      <c r="J6380">
        <v>-269.53960000000001</v>
      </c>
      <c r="K6380">
        <v>1.1211549999999999</v>
      </c>
      <c r="L6380">
        <v>-62.67163</v>
      </c>
      <c r="M6380">
        <v>0.99951710000000005</v>
      </c>
      <c r="N6380">
        <v>-7.4209030000000004E-3</v>
      </c>
      <c r="O6380">
        <v>-3.0174840000000001E-2</v>
      </c>
      <c r="P6380">
        <v>0.9973516</v>
      </c>
      <c r="Q6380">
        <v>-7.2234839999999995E-2</v>
      </c>
      <c r="R6380">
        <v>8.4984610000000006E-3</v>
      </c>
      <c r="S6380">
        <v>2.9963069999999998</v>
      </c>
      <c r="T6380">
        <v>-0.15371299999999999</v>
      </c>
      <c r="U6380">
        <v>6.4941410000000005E-2</v>
      </c>
      <c r="V6380">
        <v>-3.8476030000000001E-2</v>
      </c>
      <c r="W6380">
        <v>-6.4904779999999995E-2</v>
      </c>
      <c r="X6380">
        <v>0.99714939999999996</v>
      </c>
      <c r="Y6380">
        <v>-5.1720589999999997E-2</v>
      </c>
      <c r="Z6380">
        <v>2.8406659999999999E-3</v>
      </c>
      <c r="AA6380">
        <v>0.99865760000000003</v>
      </c>
      <c r="AB6380">
        <v>24</v>
      </c>
      <c r="AC6380">
        <v>21.740600000000001</v>
      </c>
      <c r="AD6380">
        <v>-1.121157814831</v>
      </c>
      <c r="AE6380">
        <v>0.47659000000000101</v>
      </c>
      <c r="AF6380">
        <v>-1.1294079970404201</v>
      </c>
      <c r="AG6380">
        <v>-1.121157814831</v>
      </c>
      <c r="AH6380">
        <v>21.658745641412199</v>
      </c>
      <c r="AI6380">
        <v>92.959238800704</v>
      </c>
      <c r="AJ6380">
        <v>92.985018409841501</v>
      </c>
      <c r="AK6380">
        <v>21.7171319475875</v>
      </c>
      <c r="AL6380">
        <v>93.721385965677996</v>
      </c>
      <c r="AM6380">
        <v>92.209720049186402</v>
      </c>
      <c r="AN6380">
        <v>0.99999998063588402</v>
      </c>
    </row>
    <row r="6381" spans="1:40" x14ac:dyDescent="0.25">
      <c r="A6381" t="str">
        <f>"20190303154649183"</f>
        <v>20190303154649183</v>
      </c>
      <c r="B6381" t="str">
        <f>"1551599209177761"</f>
        <v>1551599209177761</v>
      </c>
      <c r="C6381" t="s">
        <v>40</v>
      </c>
      <c r="D6381">
        <v>5.2642860000000002</v>
      </c>
      <c r="E6381">
        <v>0.50365859999999996</v>
      </c>
      <c r="F6381" t="s">
        <v>76</v>
      </c>
      <c r="G6381">
        <v>-247.65119999999999</v>
      </c>
      <c r="H6381" s="1">
        <v>-2.748468E-6</v>
      </c>
      <c r="I6381">
        <v>-62.183799999999998</v>
      </c>
      <c r="J6381">
        <v>-269.41460000000001</v>
      </c>
      <c r="K6381">
        <v>1.1211960000000001</v>
      </c>
      <c r="L6381">
        <v>-62.67474</v>
      </c>
      <c r="M6381">
        <v>0.99953219999999998</v>
      </c>
      <c r="N6381">
        <v>-7.6838150000000001E-3</v>
      </c>
      <c r="O6381">
        <v>-2.9606339999999998E-2</v>
      </c>
      <c r="P6381">
        <v>0.99735560000000001</v>
      </c>
      <c r="Q6381">
        <v>-7.2148989999999996E-2</v>
      </c>
      <c r="R6381">
        <v>8.7535919999999993E-3</v>
      </c>
      <c r="S6381">
        <v>2.9963380000000002</v>
      </c>
      <c r="T6381">
        <v>-0.15347710000000001</v>
      </c>
      <c r="U6381">
        <v>6.6772460000000006E-2</v>
      </c>
      <c r="V6381">
        <v>-3.8164509999999999E-2</v>
      </c>
      <c r="W6381">
        <v>-6.4556290000000002E-2</v>
      </c>
      <c r="X6381">
        <v>0.99718399999999996</v>
      </c>
      <c r="Y6381">
        <v>-5.1763209999999997E-2</v>
      </c>
      <c r="Z6381">
        <v>2.8116259999999998E-3</v>
      </c>
      <c r="AA6381">
        <v>0.99865539999999997</v>
      </c>
      <c r="AB6381">
        <v>24</v>
      </c>
      <c r="AC6381">
        <v>21.763400000000001</v>
      </c>
      <c r="AD6381">
        <v>-1.1211987484679999</v>
      </c>
      <c r="AE6381">
        <v>0.49094000000000099</v>
      </c>
      <c r="AF6381">
        <v>-1.1320752816456301</v>
      </c>
      <c r="AG6381">
        <v>-1.1211987484679999</v>
      </c>
      <c r="AH6381">
        <v>21.681808106062199</v>
      </c>
      <c r="AI6381">
        <v>92.956194071571403</v>
      </c>
      <c r="AJ6381">
        <v>92.988878422310904</v>
      </c>
      <c r="AK6381">
        <v>21.740273315323901</v>
      </c>
      <c r="AL6381">
        <v>93.701376971700498</v>
      </c>
      <c r="AM6381">
        <v>92.191770661387196</v>
      </c>
      <c r="AN6381">
        <v>0.99999998712905103</v>
      </c>
    </row>
    <row r="6382" spans="1:40" x14ac:dyDescent="0.25">
      <c r="A6382" t="str">
        <f>"20190303154649194"</f>
        <v>20190303154649194</v>
      </c>
      <c r="B6382" t="str">
        <f>"1551599209187860"</f>
        <v>1551599209187860</v>
      </c>
      <c r="C6382" t="s">
        <v>40</v>
      </c>
      <c r="D6382">
        <v>5.2356280000000002</v>
      </c>
      <c r="E6382">
        <v>0.50391709999999901</v>
      </c>
      <c r="F6382" t="s">
        <v>76</v>
      </c>
      <c r="G6382">
        <v>-247.2329</v>
      </c>
      <c r="H6382" s="1">
        <v>-2.7053830000000001E-6</v>
      </c>
      <c r="I6382">
        <v>-62.696370000000002</v>
      </c>
      <c r="J6382">
        <v>-269.29500000000002</v>
      </c>
      <c r="K6382">
        <v>1.121229</v>
      </c>
      <c r="L6382">
        <v>-62.6776699999999</v>
      </c>
      <c r="M6382">
        <v>0.99954620000000005</v>
      </c>
      <c r="N6382">
        <v>-7.9317350000000005E-3</v>
      </c>
      <c r="O6382">
        <v>-2.9063229999999999E-2</v>
      </c>
      <c r="P6382">
        <v>0.99735859999999998</v>
      </c>
      <c r="Q6382">
        <v>-7.2092610000000001E-2</v>
      </c>
      <c r="R6382">
        <v>8.8895050000000007E-3</v>
      </c>
      <c r="S6382">
        <v>2.9969790000000001</v>
      </c>
      <c r="T6382">
        <v>-0.1514858</v>
      </c>
      <c r="U6382">
        <v>-2.9296880000000002E-3</v>
      </c>
      <c r="V6382">
        <v>-3.7759649999999999E-2</v>
      </c>
      <c r="W6382">
        <v>-6.4251779999999994E-2</v>
      </c>
      <c r="X6382">
        <v>0.99721910000000002</v>
      </c>
      <c r="Y6382">
        <v>-2.8019249999999999E-2</v>
      </c>
      <c r="Z6382">
        <v>2.0563959999999998E-3</v>
      </c>
      <c r="AA6382">
        <v>0.99960530000000003</v>
      </c>
      <c r="AB6382">
        <v>24</v>
      </c>
      <c r="AC6382">
        <v>22.062100000000001</v>
      </c>
      <c r="AD6382">
        <v>-1.1212317053829901</v>
      </c>
      <c r="AE6382">
        <v>-1.87000000000026E-2</v>
      </c>
      <c r="AF6382">
        <v>-0.62092016157304997</v>
      </c>
      <c r="AG6382">
        <v>-1.1212317053829901</v>
      </c>
      <c r="AH6382">
        <v>21.996509969914801</v>
      </c>
      <c r="AI6382">
        <v>92.916861761180996</v>
      </c>
      <c r="AJ6382">
        <v>91.616922862062296</v>
      </c>
      <c r="AK6382">
        <v>22.033818399014901</v>
      </c>
      <c r="AL6382">
        <v>93.683893459680206</v>
      </c>
      <c r="AM6382">
        <v>92.168465795159506</v>
      </c>
      <c r="AN6382">
        <v>1.00000000790305</v>
      </c>
    </row>
    <row r="6383" spans="1:40" x14ac:dyDescent="0.25">
      <c r="A6383" t="str">
        <f>"20190303154649206"</f>
        <v>20190303154649206</v>
      </c>
      <c r="B6383" t="str">
        <f>"1551599209197604"</f>
        <v>1551599209197604</v>
      </c>
      <c r="C6383" t="s">
        <v>40</v>
      </c>
      <c r="D6383">
        <v>5.2755450000000002</v>
      </c>
      <c r="E6383">
        <v>0.50305</v>
      </c>
      <c r="F6383" t="s">
        <v>76</v>
      </c>
      <c r="G6383">
        <v>-247.435</v>
      </c>
      <c r="H6383" s="1">
        <v>-2.7959959999999999E-6</v>
      </c>
      <c r="I6383">
        <v>-62.710999999999999</v>
      </c>
      <c r="J6383">
        <v>-269.18110000000001</v>
      </c>
      <c r="K6383">
        <v>1.121256</v>
      </c>
      <c r="L6383">
        <v>-62.680419999999998</v>
      </c>
      <c r="M6383">
        <v>0.99955899999999998</v>
      </c>
      <c r="N6383">
        <v>-8.1662060000000005E-3</v>
      </c>
      <c r="O6383">
        <v>-2.8545999999999998E-2</v>
      </c>
      <c r="P6383">
        <v>0.99736100000000005</v>
      </c>
      <c r="Q6383">
        <v>-7.2006600000000004E-2</v>
      </c>
      <c r="R6383">
        <v>9.2751529999999995E-3</v>
      </c>
      <c r="S6383">
        <v>2.9968870000000001</v>
      </c>
      <c r="T6383">
        <v>-0.15371470000000001</v>
      </c>
      <c r="U6383">
        <v>-4.5776369999999999E-3</v>
      </c>
      <c r="V6383">
        <v>-3.7630129999999998E-2</v>
      </c>
      <c r="W6383">
        <v>-6.3931509999999997E-2</v>
      </c>
      <c r="X6383">
        <v>0.99724460000000004</v>
      </c>
      <c r="Y6383">
        <v>-2.6952489999999999E-2</v>
      </c>
      <c r="Z6383">
        <v>2.0309299999999998E-3</v>
      </c>
      <c r="AA6383">
        <v>0.99963460000000004</v>
      </c>
      <c r="AB6383">
        <v>24</v>
      </c>
      <c r="AC6383">
        <v>21.746099999999998</v>
      </c>
      <c r="AD6383">
        <v>-1.1212587959960001</v>
      </c>
      <c r="AE6383">
        <v>-3.0580000000007601E-2</v>
      </c>
      <c r="AF6383">
        <v>-0.58865243502502196</v>
      </c>
      <c r="AG6383">
        <v>-1.1212587959960001</v>
      </c>
      <c r="AH6383">
        <v>21.680471348383598</v>
      </c>
      <c r="AI6383">
        <v>92.959465532019294</v>
      </c>
      <c r="AJ6383">
        <v>91.555271350898195</v>
      </c>
      <c r="AK6383">
        <v>21.717425511900402</v>
      </c>
      <c r="AL6383">
        <v>93.665505459792797</v>
      </c>
      <c r="AM6383">
        <v>92.160979562835394</v>
      </c>
      <c r="AN6383">
        <v>1.0000000284419199</v>
      </c>
    </row>
    <row r="6384" spans="1:40" x14ac:dyDescent="0.25">
      <c r="A6384" t="str">
        <f>"20190303154649216"</f>
        <v>20190303154649216</v>
      </c>
      <c r="B6384" t="str">
        <f>"1551599209208340"</f>
        <v>1551599209208340</v>
      </c>
      <c r="C6384" t="s">
        <v>40</v>
      </c>
      <c r="D6384">
        <v>5.2469859999999997</v>
      </c>
      <c r="E6384">
        <v>0.50221349999999998</v>
      </c>
      <c r="F6384" t="s">
        <v>76</v>
      </c>
      <c r="G6384">
        <v>-249.32910000000001</v>
      </c>
      <c r="H6384" s="1">
        <v>-3.4520740000000001E-6</v>
      </c>
      <c r="I6384">
        <v>-62.6571</v>
      </c>
      <c r="J6384">
        <v>-269.06459999999998</v>
      </c>
      <c r="K6384">
        <v>1.1212770000000001</v>
      </c>
      <c r="L6384">
        <v>-62.683140000000002</v>
      </c>
      <c r="M6384">
        <v>0.99957209999999996</v>
      </c>
      <c r="N6384">
        <v>-8.4031179999999994E-3</v>
      </c>
      <c r="O6384">
        <v>-2.8019039999999999E-2</v>
      </c>
      <c r="P6384">
        <v>0.99734800000000001</v>
      </c>
      <c r="Q6384">
        <v>-7.2125410000000001E-2</v>
      </c>
      <c r="R6384">
        <v>9.7397579999999994E-3</v>
      </c>
      <c r="S6384">
        <v>2.9956969999999998</v>
      </c>
      <c r="T6384">
        <v>-0.1691995</v>
      </c>
      <c r="U6384">
        <v>3.5095209999999998E-3</v>
      </c>
      <c r="V6384">
        <v>-3.7570029999999997E-2</v>
      </c>
      <c r="W6384">
        <v>-6.3813610000000007E-2</v>
      </c>
      <c r="X6384">
        <v>0.99725439999999999</v>
      </c>
      <c r="Y6384">
        <v>-2.9105430000000002E-2</v>
      </c>
      <c r="Z6384">
        <v>2.2895120000000001E-3</v>
      </c>
      <c r="AA6384">
        <v>0.99957370000000001</v>
      </c>
      <c r="AB6384">
        <v>24</v>
      </c>
      <c r="AC6384">
        <v>19.735499999999899</v>
      </c>
      <c r="AD6384">
        <v>-1.1212804520739901</v>
      </c>
      <c r="AE6384">
        <v>2.6040000000001801E-2</v>
      </c>
      <c r="AF6384">
        <v>-0.57715599597743705</v>
      </c>
      <c r="AG6384">
        <v>-1.1212804520739901</v>
      </c>
      <c r="AH6384">
        <v>19.663547816595301</v>
      </c>
      <c r="AI6384">
        <v>93.262258340487804</v>
      </c>
      <c r="AJ6384">
        <v>91.6812383778542</v>
      </c>
      <c r="AK6384">
        <v>19.703946092887801</v>
      </c>
      <c r="AL6384">
        <v>93.658736529081906</v>
      </c>
      <c r="AM6384">
        <v>92.157510291899399</v>
      </c>
      <c r="AN6384">
        <v>1.0000000111473899</v>
      </c>
    </row>
    <row r="6385" spans="1:40" x14ac:dyDescent="0.25">
      <c r="A6385" t="str">
        <f>"20190303154649227"</f>
        <v>20190303154649227</v>
      </c>
      <c r="B6385" t="str">
        <f>"1551599209218101"</f>
        <v>1551599209218101</v>
      </c>
      <c r="C6385" t="s">
        <v>40</v>
      </c>
      <c r="D6385">
        <v>5.2383550000000003</v>
      </c>
      <c r="E6385">
        <v>0.50186379999999997</v>
      </c>
      <c r="F6385" t="s">
        <v>71</v>
      </c>
      <c r="G6385">
        <v>-250.23689999999999</v>
      </c>
      <c r="H6385" s="1">
        <v>2.6709980000000002E-7</v>
      </c>
      <c r="I6385">
        <v>-62.610230000000001</v>
      </c>
      <c r="J6385">
        <v>-268.94380000000001</v>
      </c>
      <c r="K6385">
        <v>1.1212979999999999</v>
      </c>
      <c r="L6385">
        <v>-62.685879999999997</v>
      </c>
      <c r="M6385">
        <v>0.99958519999999895</v>
      </c>
      <c r="N6385">
        <v>-8.649973E-3</v>
      </c>
      <c r="O6385">
        <v>-2.747608E-2</v>
      </c>
      <c r="P6385">
        <v>0.99732399999999999</v>
      </c>
      <c r="Q6385">
        <v>-7.2399530000000004E-2</v>
      </c>
      <c r="R6385">
        <v>1.016472E-2</v>
      </c>
      <c r="S6385">
        <v>2.9949340000000002</v>
      </c>
      <c r="T6385">
        <v>-0.17836199999999999</v>
      </c>
      <c r="U6385">
        <v>1.159668E-2</v>
      </c>
      <c r="V6385">
        <v>-3.7453460000000001E-2</v>
      </c>
      <c r="W6385">
        <v>-6.3840869999999994E-2</v>
      </c>
      <c r="X6385">
        <v>0.99725710000000001</v>
      </c>
      <c r="Y6385">
        <v>-3.124853E-2</v>
      </c>
      <c r="Z6385">
        <v>2.4621880000000001E-3</v>
      </c>
      <c r="AA6385">
        <v>0.99950859999999997</v>
      </c>
      <c r="AB6385">
        <v>24</v>
      </c>
      <c r="AC6385">
        <v>18.706900000000001</v>
      </c>
      <c r="AD6385">
        <v>-1.1212977329002001</v>
      </c>
      <c r="AE6385">
        <v>7.5650000000003104E-2</v>
      </c>
      <c r="AF6385">
        <v>-0.58752202362723804</v>
      </c>
      <c r="AG6385">
        <v>-1.1212977329002001</v>
      </c>
      <c r="AH6385">
        <v>18.630821728541498</v>
      </c>
      <c r="AI6385">
        <v>93.442490081496302</v>
      </c>
      <c r="AJ6385">
        <v>91.806220942149196</v>
      </c>
      <c r="AK6385">
        <v>18.6737786485422</v>
      </c>
      <c r="AL6385">
        <v>93.660301384158501</v>
      </c>
      <c r="AM6385">
        <v>92.150816579534904</v>
      </c>
      <c r="AN6385">
        <v>1.0000000709243599</v>
      </c>
    </row>
    <row r="6386" spans="1:40" x14ac:dyDescent="0.25">
      <c r="A6386" t="str">
        <f>"20190303154649239"</f>
        <v>20190303154649239</v>
      </c>
      <c r="B6386" t="str">
        <f>"1551599209227861"</f>
        <v>1551599209227861</v>
      </c>
      <c r="C6386" t="s">
        <v>40</v>
      </c>
      <c r="D6386">
        <v>5.207236</v>
      </c>
      <c r="E6386">
        <v>0.50171860000000001</v>
      </c>
      <c r="F6386" t="s">
        <v>71</v>
      </c>
      <c r="G6386">
        <v>-250.83330000000001</v>
      </c>
      <c r="H6386" s="1">
        <v>1.556532E-8</v>
      </c>
      <c r="I6386">
        <v>-62.590829999999997</v>
      </c>
      <c r="J6386">
        <v>-268.81599999999997</v>
      </c>
      <c r="K6386">
        <v>1.1213200000000001</v>
      </c>
      <c r="L6386">
        <v>-62.688749999999999</v>
      </c>
      <c r="M6386">
        <v>0.99959830000000005</v>
      </c>
      <c r="N6386">
        <v>-8.9120940000000006E-3</v>
      </c>
      <c r="O6386">
        <v>-2.6904020000000001E-2</v>
      </c>
      <c r="P6386">
        <v>0.9972896</v>
      </c>
      <c r="Q6386">
        <v>-7.2796369999999999E-2</v>
      </c>
      <c r="R6386">
        <v>1.0685480000000001E-2</v>
      </c>
      <c r="S6386">
        <v>2.994415</v>
      </c>
      <c r="T6386">
        <v>-0.1853967</v>
      </c>
      <c r="U6386">
        <v>1.5716549999999999E-2</v>
      </c>
      <c r="V6386">
        <v>-3.7403680000000002E-2</v>
      </c>
      <c r="W6386">
        <v>-6.3975669999999998E-2</v>
      </c>
      <c r="X6386">
        <v>0.99725030000000003</v>
      </c>
      <c r="Y6386">
        <v>-3.2043410000000001E-2</v>
      </c>
      <c r="Z6386">
        <v>2.5583789999999999E-3</v>
      </c>
      <c r="AA6386">
        <v>0.99948320000000002</v>
      </c>
      <c r="AB6386">
        <v>24</v>
      </c>
      <c r="AC6386">
        <v>17.982699999999902</v>
      </c>
      <c r="AD6386">
        <v>-1.12131998443468</v>
      </c>
      <c r="AE6386">
        <v>9.79199999999949E-2</v>
      </c>
      <c r="AF6386">
        <v>-0.57945769953882598</v>
      </c>
      <c r="AG6386">
        <v>-1.12131998443468</v>
      </c>
      <c r="AH6386">
        <v>17.903943417199599</v>
      </c>
      <c r="AI6386">
        <v>93.581870466602695</v>
      </c>
      <c r="AJ6386">
        <v>91.853719865382601</v>
      </c>
      <c r="AK6386">
        <v>17.948379303417099</v>
      </c>
      <c r="AL6386">
        <v>93.668040784562706</v>
      </c>
      <c r="AM6386">
        <v>92.147975206555998</v>
      </c>
      <c r="AN6386">
        <v>1.00000004123978</v>
      </c>
    </row>
    <row r="6387" spans="1:40" x14ac:dyDescent="0.25">
      <c r="A6387" t="str">
        <f>"20190303154649251"</f>
        <v>20190303154649251</v>
      </c>
      <c r="B6387" t="str">
        <f>"1551599209248357"</f>
        <v>1551599209248357</v>
      </c>
      <c r="C6387" t="s">
        <v>40</v>
      </c>
      <c r="D6387">
        <v>5.2004710000000003</v>
      </c>
      <c r="E6387">
        <v>0.5018186</v>
      </c>
      <c r="F6387" t="s">
        <v>71</v>
      </c>
      <c r="G6387">
        <v>-251.08779999999999</v>
      </c>
      <c r="H6387" s="1">
        <v>-9.1182639999999994E-8</v>
      </c>
      <c r="I6387">
        <v>-62.579799999999999</v>
      </c>
      <c r="J6387">
        <v>-268.69529999999997</v>
      </c>
      <c r="K6387">
        <v>1.12134</v>
      </c>
      <c r="L6387">
        <v>-62.691380000000002</v>
      </c>
      <c r="M6387">
        <v>0.9996102</v>
      </c>
      <c r="N6387">
        <v>-9.1664789999999999E-3</v>
      </c>
      <c r="O6387">
        <v>-2.6370620000000001E-2</v>
      </c>
      <c r="P6387">
        <v>0.99725719999999995</v>
      </c>
      <c r="Q6387">
        <v>-7.3129899999999998E-2</v>
      </c>
      <c r="R6387">
        <v>1.1404930000000001E-2</v>
      </c>
      <c r="S6387">
        <v>2.9941710000000001</v>
      </c>
      <c r="T6387">
        <v>-0.18938369999999999</v>
      </c>
      <c r="U6387">
        <v>1.8402100000000001E-2</v>
      </c>
      <c r="V6387">
        <v>-3.7592269999999997E-2</v>
      </c>
      <c r="W6387">
        <v>-6.4055059999999997E-2</v>
      </c>
      <c r="X6387">
        <v>0.99723810000000002</v>
      </c>
      <c r="Y6387">
        <v>-3.2402279999999999E-2</v>
      </c>
      <c r="Z6387">
        <v>2.5970170000000001E-3</v>
      </c>
      <c r="AA6387">
        <v>0.99947149999999996</v>
      </c>
      <c r="AB6387">
        <v>24</v>
      </c>
      <c r="AC6387">
        <v>17.607499999999899</v>
      </c>
      <c r="AD6387">
        <v>-1.1213400911826299</v>
      </c>
      <c r="AE6387">
        <v>0.111580000000003</v>
      </c>
      <c r="AF6387">
        <v>-0.57355524953891301</v>
      </c>
      <c r="AG6387">
        <v>-1.1213400911826299</v>
      </c>
      <c r="AH6387">
        <v>17.527348630814299</v>
      </c>
      <c r="AI6387">
        <v>93.658647021169202</v>
      </c>
      <c r="AJ6387">
        <v>91.874246551949994</v>
      </c>
      <c r="AK6387">
        <v>17.572544472855299</v>
      </c>
      <c r="AL6387">
        <v>93.672598891099796</v>
      </c>
      <c r="AM6387">
        <v>92.158821498534607</v>
      </c>
      <c r="AN6387">
        <v>1.00000002878348</v>
      </c>
    </row>
    <row r="6388" spans="1:40" x14ac:dyDescent="0.25">
      <c r="A6388" t="str">
        <f>"20190303154649262"</f>
        <v>20190303154649262</v>
      </c>
      <c r="B6388" t="str">
        <f>"1551599209258116"</f>
        <v>1551599209258116</v>
      </c>
      <c r="C6388" t="s">
        <v>40</v>
      </c>
      <c r="D6388">
        <v>5.1054680000000001</v>
      </c>
      <c r="E6388">
        <v>0.50208109999999995</v>
      </c>
      <c r="F6388" t="s">
        <v>71</v>
      </c>
      <c r="G6388">
        <v>-250.78360000000001</v>
      </c>
      <c r="H6388" s="1">
        <v>4.0862860000000002E-8</v>
      </c>
      <c r="I6388">
        <v>-62.572899999999997</v>
      </c>
      <c r="J6388">
        <v>-268.57819999999998</v>
      </c>
      <c r="K6388">
        <v>1.1213580000000001</v>
      </c>
      <c r="L6388">
        <v>-62.693910000000002</v>
      </c>
      <c r="M6388">
        <v>0.99962130000000005</v>
      </c>
      <c r="N6388">
        <v>-9.4149750000000008E-3</v>
      </c>
      <c r="O6388">
        <v>-2.5854760000000001E-2</v>
      </c>
      <c r="P6388">
        <v>0.99722670000000002</v>
      </c>
      <c r="Q6388">
        <v>-7.3474199999999906E-2</v>
      </c>
      <c r="R6388">
        <v>1.1858830000000001E-2</v>
      </c>
      <c r="S6388">
        <v>2.9942929999999999</v>
      </c>
      <c r="T6388">
        <v>-0.18745400000000001</v>
      </c>
      <c r="U6388">
        <v>1.9805909999999999E-2</v>
      </c>
      <c r="V6388">
        <v>-3.7532610000000001E-2</v>
      </c>
      <c r="W6388">
        <v>-6.4150620000000005E-2</v>
      </c>
      <c r="X6388">
        <v>0.99723419999999896</v>
      </c>
      <c r="Y6388">
        <v>-3.2358119999999997E-2</v>
      </c>
      <c r="Z6388">
        <v>2.538036E-3</v>
      </c>
      <c r="AA6388">
        <v>0.9994731</v>
      </c>
      <c r="AB6388">
        <v>24</v>
      </c>
      <c r="AC6388">
        <v>17.7945999999999</v>
      </c>
      <c r="AD6388">
        <v>-1.1213579591371301</v>
      </c>
      <c r="AE6388">
        <v>0.12100999999999799</v>
      </c>
      <c r="AF6388">
        <v>-0.57876684080991703</v>
      </c>
      <c r="AG6388">
        <v>-1.1213579591371301</v>
      </c>
      <c r="AH6388">
        <v>17.7151764008802</v>
      </c>
      <c r="AI6388">
        <v>93.620023125705799</v>
      </c>
      <c r="AJ6388">
        <v>91.871226441603397</v>
      </c>
      <c r="AK6388">
        <v>17.760064460548602</v>
      </c>
      <c r="AL6388">
        <v>93.678085376345294</v>
      </c>
      <c r="AM6388">
        <v>92.155407042942898</v>
      </c>
      <c r="AN6388">
        <v>1.00000002425471</v>
      </c>
    </row>
    <row r="6389" spans="1:40" x14ac:dyDescent="0.25">
      <c r="A6389" t="str">
        <f>"20190303154649272"</f>
        <v>20190303154649272</v>
      </c>
      <c r="B6389" t="str">
        <f>"1551599209267877"</f>
        <v>1551599209267877</v>
      </c>
      <c r="C6389" t="s">
        <v>40</v>
      </c>
      <c r="D6389">
        <v>5.2153</v>
      </c>
      <c r="E6389">
        <v>0.50201870000000004</v>
      </c>
      <c r="F6389" t="s">
        <v>71</v>
      </c>
      <c r="G6389">
        <v>-250.35679999999999</v>
      </c>
      <c r="H6389" s="1">
        <v>2.228813E-7</v>
      </c>
      <c r="I6389">
        <v>-62.577660000000002</v>
      </c>
      <c r="J6389">
        <v>-268.4538</v>
      </c>
      <c r="K6389">
        <v>1.1213820000000001</v>
      </c>
      <c r="L6389">
        <v>-62.696469999999998</v>
      </c>
      <c r="M6389">
        <v>0.99963259999999998</v>
      </c>
      <c r="N6389">
        <v>-9.6892560000000003E-3</v>
      </c>
      <c r="O6389">
        <v>-2.5313550000000001E-2</v>
      </c>
      <c r="P6389">
        <v>0.9971835</v>
      </c>
      <c r="Q6389">
        <v>-7.3924470000000006E-2</v>
      </c>
      <c r="R6389">
        <v>1.2666490000000001E-2</v>
      </c>
      <c r="S6389">
        <v>2.9945369999999998</v>
      </c>
      <c r="T6389">
        <v>-0.18428659999999999</v>
      </c>
      <c r="U6389">
        <v>1.9103999999999999E-2</v>
      </c>
      <c r="V6389">
        <v>-3.7801309999999998E-2</v>
      </c>
      <c r="W6389">
        <v>-6.4326869999999994E-2</v>
      </c>
      <c r="X6389">
        <v>0.9972126</v>
      </c>
      <c r="Y6389">
        <v>-3.1588489999999997E-2</v>
      </c>
      <c r="Z6389">
        <v>2.4354170000000001E-3</v>
      </c>
      <c r="AA6389">
        <v>0.999498</v>
      </c>
      <c r="AB6389">
        <v>24</v>
      </c>
      <c r="AC6389">
        <v>18.097000000000001</v>
      </c>
      <c r="AD6389">
        <v>-1.12138177711869</v>
      </c>
      <c r="AE6389">
        <v>0.118810000000003</v>
      </c>
      <c r="AF6389">
        <v>-0.57468623622529802</v>
      </c>
      <c r="AG6389">
        <v>-1.12138177711869</v>
      </c>
      <c r="AH6389">
        <v>18.019008770282898</v>
      </c>
      <c r="AI6389">
        <v>93.559305772165203</v>
      </c>
      <c r="AJ6389">
        <v>91.826734133723406</v>
      </c>
      <c r="AK6389">
        <v>18.063012994063101</v>
      </c>
      <c r="AL6389">
        <v>93.688205015672693</v>
      </c>
      <c r="AM6389">
        <v>92.170870099463698</v>
      </c>
      <c r="AN6389">
        <v>0.99999992742023303</v>
      </c>
    </row>
    <row r="6390" spans="1:40" x14ac:dyDescent="0.25">
      <c r="A6390" t="str">
        <f>"20190303154649285"</f>
        <v>20190303154649285</v>
      </c>
      <c r="B6390" t="str">
        <f>"1551599209277636"</f>
        <v>1551599209277636</v>
      </c>
      <c r="C6390" t="s">
        <v>40</v>
      </c>
      <c r="D6390">
        <v>5.1191509999999996</v>
      </c>
      <c r="E6390">
        <v>0.50130439999999998</v>
      </c>
      <c r="F6390" t="s">
        <v>71</v>
      </c>
      <c r="G6390">
        <v>-250.072</v>
      </c>
      <c r="H6390" s="1">
        <v>3.4869469999999998E-7</v>
      </c>
      <c r="I6390">
        <v>-62.561410000000002</v>
      </c>
      <c r="J6390">
        <v>-268.33260000000001</v>
      </c>
      <c r="K6390">
        <v>1.1213930000000001</v>
      </c>
      <c r="L6390">
        <v>-62.698970000000003</v>
      </c>
      <c r="M6390">
        <v>0.99964310000000001</v>
      </c>
      <c r="N6390">
        <v>-9.9574769999999993E-3</v>
      </c>
      <c r="O6390">
        <v>-2.47887E-2</v>
      </c>
      <c r="P6390">
        <v>0.99716450000000001</v>
      </c>
      <c r="Q6390">
        <v>-7.4093220000000001E-2</v>
      </c>
      <c r="R6390">
        <v>1.3153110000000001E-2</v>
      </c>
      <c r="S6390">
        <v>2.9946290000000002</v>
      </c>
      <c r="T6390">
        <v>-0.1826873</v>
      </c>
      <c r="U6390">
        <v>2.2003169999999999E-2</v>
      </c>
      <c r="V6390">
        <v>-3.776637E-2</v>
      </c>
      <c r="W6390">
        <v>-6.4226950000000005E-2</v>
      </c>
      <c r="X6390">
        <v>0.99722049999999995</v>
      </c>
      <c r="Y6390">
        <v>-3.20328E-2</v>
      </c>
      <c r="Z6390">
        <v>2.3998919999999998E-3</v>
      </c>
      <c r="AA6390">
        <v>0.99948389999999998</v>
      </c>
      <c r="AB6390">
        <v>24</v>
      </c>
      <c r="AC6390">
        <v>18.2606</v>
      </c>
      <c r="AD6390">
        <v>-1.1213926513053001</v>
      </c>
      <c r="AE6390">
        <v>0.13755999999999999</v>
      </c>
      <c r="AF6390">
        <v>-0.58797942089392596</v>
      </c>
      <c r="AG6390">
        <v>-1.1213926513053001</v>
      </c>
      <c r="AH6390">
        <v>18.1830093119376</v>
      </c>
      <c r="AI6390">
        <v>93.527268316525706</v>
      </c>
      <c r="AJ6390">
        <v>91.852113897039601</v>
      </c>
      <c r="AK6390">
        <v>18.227042242662598</v>
      </c>
      <c r="AL6390">
        <v>93.682467658818098</v>
      </c>
      <c r="AM6390">
        <v>92.168848301679603</v>
      </c>
      <c r="AN6390">
        <v>1.0000000627147601</v>
      </c>
    </row>
    <row r="6391" spans="1:40" x14ac:dyDescent="0.25">
      <c r="A6391" t="str">
        <f>"20190303154649296"</f>
        <v>20190303154649296</v>
      </c>
      <c r="B6391" t="str">
        <f>"1551599209288373"</f>
        <v>1551599209288373</v>
      </c>
      <c r="C6391" t="s">
        <v>40</v>
      </c>
      <c r="D6391">
        <v>5.0912490000000004</v>
      </c>
      <c r="E6391">
        <v>0.50059439999999999</v>
      </c>
      <c r="F6391" t="s">
        <v>76</v>
      </c>
      <c r="G6391">
        <v>-249.8663</v>
      </c>
      <c r="H6391" s="1">
        <v>-3.6104289999999999E-6</v>
      </c>
      <c r="I6391">
        <v>-62.519199999999998</v>
      </c>
      <c r="J6391">
        <v>-268.21140000000003</v>
      </c>
      <c r="K6391">
        <v>1.121413</v>
      </c>
      <c r="L6391">
        <v>-62.701390000000004</v>
      </c>
      <c r="M6391">
        <v>0.99965329999999997</v>
      </c>
      <c r="N6391">
        <v>-1.0227740000000001E-2</v>
      </c>
      <c r="O6391">
        <v>-2.4269140000000002E-2</v>
      </c>
      <c r="P6391">
        <v>0.99715549999999997</v>
      </c>
      <c r="Q6391">
        <v>-7.4073630000000001E-2</v>
      </c>
      <c r="R6391">
        <v>1.394275E-2</v>
      </c>
      <c r="S6391">
        <v>2.9946290000000002</v>
      </c>
      <c r="T6391">
        <v>-0.18185390000000001</v>
      </c>
      <c r="U6391">
        <v>2.914429E-2</v>
      </c>
      <c r="V6391">
        <v>-3.8040020000000001E-2</v>
      </c>
      <c r="W6391">
        <v>-6.3937090000000002E-2</v>
      </c>
      <c r="X6391">
        <v>0.99722869999999997</v>
      </c>
      <c r="Y6391">
        <v>-3.3894229999999997E-2</v>
      </c>
      <c r="Z6391">
        <v>2.425984E-3</v>
      </c>
      <c r="AA6391">
        <v>0.99942249999999999</v>
      </c>
      <c r="AB6391">
        <v>24</v>
      </c>
      <c r="AC6391">
        <v>18.345099999999999</v>
      </c>
      <c r="AD6391">
        <v>-1.121416610429</v>
      </c>
      <c r="AE6391">
        <v>0.18219000000000499</v>
      </c>
      <c r="AF6391">
        <v>-0.62504394872540403</v>
      </c>
      <c r="AG6391">
        <v>-1.121416610429</v>
      </c>
      <c r="AH6391">
        <v>18.2670217407004</v>
      </c>
      <c r="AI6391">
        <v>93.510942552235406</v>
      </c>
      <c r="AJ6391">
        <v>91.959729074537094</v>
      </c>
      <c r="AK6391">
        <v>18.312081761154499</v>
      </c>
      <c r="AL6391">
        <v>93.665825792961201</v>
      </c>
      <c r="AM6391">
        <v>92.184530365828095</v>
      </c>
      <c r="AN6391">
        <v>1.0000000373514699</v>
      </c>
    </row>
    <row r="6392" spans="1:40" x14ac:dyDescent="0.25">
      <c r="A6392" t="str">
        <f>"20190303154649306"</f>
        <v>20190303154649306</v>
      </c>
      <c r="B6392" t="str">
        <f>"1551599209298132"</f>
        <v>1551599209298132</v>
      </c>
      <c r="C6392" t="s">
        <v>40</v>
      </c>
      <c r="D6392">
        <v>5.0897230000000002</v>
      </c>
      <c r="E6392">
        <v>0.50005319999999998</v>
      </c>
      <c r="F6392" t="s">
        <v>76</v>
      </c>
      <c r="G6392">
        <v>-249.60669999999999</v>
      </c>
      <c r="H6392" s="1">
        <v>-3.5133840000000001E-6</v>
      </c>
      <c r="I6392">
        <v>-62.470199999999998</v>
      </c>
      <c r="J6392">
        <v>-268.1003</v>
      </c>
      <c r="K6392">
        <v>1.1214329999999999</v>
      </c>
      <c r="L6392">
        <v>-62.703580000000002</v>
      </c>
      <c r="M6392">
        <v>0.99966200000000005</v>
      </c>
      <c r="N6392">
        <v>-1.0471579999999999E-2</v>
      </c>
      <c r="O6392">
        <v>-2.3797530000000001E-2</v>
      </c>
      <c r="P6392">
        <v>0.99713309999999999</v>
      </c>
      <c r="Q6392">
        <v>-7.4251559999999994E-2</v>
      </c>
      <c r="R6392">
        <v>1.457963E-2</v>
      </c>
      <c r="S6392">
        <v>2.9946290000000002</v>
      </c>
      <c r="T6392">
        <v>-0.18050369999999999</v>
      </c>
      <c r="U6392">
        <v>3.720093E-2</v>
      </c>
      <c r="V6392">
        <v>-3.8208039999999999E-2</v>
      </c>
      <c r="W6392">
        <v>-6.3871280000000002E-2</v>
      </c>
      <c r="X6392">
        <v>0.99722650000000002</v>
      </c>
      <c r="Y6392">
        <v>-3.6108649999999999E-2</v>
      </c>
      <c r="Z6392">
        <v>2.4604760000000001E-3</v>
      </c>
      <c r="AA6392">
        <v>0.99934480000000003</v>
      </c>
      <c r="AB6392">
        <v>24</v>
      </c>
      <c r="AC6392">
        <v>18.493600000000001</v>
      </c>
      <c r="AD6392">
        <v>-1.1214365133840001</v>
      </c>
      <c r="AE6392">
        <v>0.233380000000003</v>
      </c>
      <c r="AF6392">
        <v>-0.67097316315549305</v>
      </c>
      <c r="AG6392">
        <v>-1.1214365133840001</v>
      </c>
      <c r="AH6392">
        <v>18.4151042845881</v>
      </c>
      <c r="AI6392">
        <v>93.482569232196596</v>
      </c>
      <c r="AJ6392">
        <v>92.086707240278002</v>
      </c>
      <c r="AK6392">
        <v>18.461416268842498</v>
      </c>
      <c r="AL6392">
        <v>93.6620474124297</v>
      </c>
      <c r="AM6392">
        <v>92.194174703109397</v>
      </c>
      <c r="AN6392">
        <v>1.00000004351586</v>
      </c>
    </row>
    <row r="6393" spans="1:40" x14ac:dyDescent="0.25">
      <c r="A6393" t="str">
        <f>"20190303154649318"</f>
        <v>20190303154649318</v>
      </c>
      <c r="B6393" t="str">
        <f>"1551599209307892"</f>
        <v>1551599209307892</v>
      </c>
      <c r="C6393" t="s">
        <v>40</v>
      </c>
      <c r="D6393">
        <v>5.0700979999999998</v>
      </c>
      <c r="E6393">
        <v>0.49959750000000003</v>
      </c>
      <c r="F6393" t="s">
        <v>76</v>
      </c>
      <c r="G6393">
        <v>-249.3509</v>
      </c>
      <c r="H6393" s="1">
        <v>-3.4194810000000002E-6</v>
      </c>
      <c r="I6393">
        <v>-62.431629999999998</v>
      </c>
      <c r="J6393">
        <v>-267.97519999999997</v>
      </c>
      <c r="K6393">
        <v>1.1214580000000001</v>
      </c>
      <c r="L6393">
        <v>-62.70599</v>
      </c>
      <c r="M6393">
        <v>0.99967159999999999</v>
      </c>
      <c r="N6393">
        <v>-1.074191E-2</v>
      </c>
      <c r="O6393">
        <v>-2.3271590000000002E-2</v>
      </c>
      <c r="P6393">
        <v>0.99711139999999998</v>
      </c>
      <c r="Q6393">
        <v>-7.4365749999999994E-2</v>
      </c>
      <c r="R6393">
        <v>1.545581E-2</v>
      </c>
      <c r="S6393">
        <v>2.9946290000000002</v>
      </c>
      <c r="T6393">
        <v>-0.179114</v>
      </c>
      <c r="U6393">
        <v>4.3426510000000001E-2</v>
      </c>
      <c r="V6393">
        <v>-3.8561249999999998E-2</v>
      </c>
      <c r="W6393">
        <v>-6.3715610000000006E-2</v>
      </c>
      <c r="X6393">
        <v>0.99722279999999996</v>
      </c>
      <c r="Y6393">
        <v>-3.7659119999999997E-2</v>
      </c>
      <c r="Z6393">
        <v>2.4684239999999999E-3</v>
      </c>
      <c r="AA6393">
        <v>0.99928760000000005</v>
      </c>
      <c r="AB6393">
        <v>24</v>
      </c>
      <c r="AC6393">
        <v>18.624299999999899</v>
      </c>
      <c r="AD6393">
        <v>-1.121461419481</v>
      </c>
      <c r="AE6393">
        <v>0.274359999999994</v>
      </c>
      <c r="AF6393">
        <v>-0.70517142890048401</v>
      </c>
      <c r="AG6393">
        <v>-1.121461419481</v>
      </c>
      <c r="AH6393">
        <v>18.545641464851901</v>
      </c>
      <c r="AI6393">
        <v>93.457989180474797</v>
      </c>
      <c r="AJ6393">
        <v>92.177540855248395</v>
      </c>
      <c r="AK6393">
        <v>18.5928954120211</v>
      </c>
      <c r="AL6393">
        <v>93.653110203412993</v>
      </c>
      <c r="AM6393">
        <v>92.214446615432905</v>
      </c>
      <c r="AN6393">
        <v>0.99999998089953701</v>
      </c>
    </row>
    <row r="6394" spans="1:40" x14ac:dyDescent="0.25">
      <c r="A6394" t="str">
        <f>"20190303154649331"</f>
        <v>20190303154649331</v>
      </c>
      <c r="B6394" t="str">
        <f>"1551599209317652"</f>
        <v>1551599209317652</v>
      </c>
      <c r="C6394" t="s">
        <v>40</v>
      </c>
      <c r="D6394">
        <v>5.0610169999999997</v>
      </c>
      <c r="E6394">
        <v>0.49917869999999998</v>
      </c>
      <c r="F6394" t="s">
        <v>76</v>
      </c>
      <c r="G6394">
        <v>-249.17769999999999</v>
      </c>
      <c r="H6394" s="1">
        <v>-3.3538239999999998E-6</v>
      </c>
      <c r="I6394">
        <v>-62.393680000000003</v>
      </c>
      <c r="J6394">
        <v>-267.8492</v>
      </c>
      <c r="K6394">
        <v>1.1214770000000001</v>
      </c>
      <c r="L6394">
        <v>-62.708309999999997</v>
      </c>
      <c r="M6394">
        <v>0.99968060000000003</v>
      </c>
      <c r="N6394">
        <v>-1.100055E-2</v>
      </c>
      <c r="O6394">
        <v>-2.275218E-2</v>
      </c>
      <c r="P6394">
        <v>0.99711110000000003</v>
      </c>
      <c r="Q6394">
        <v>-7.4215470000000006E-2</v>
      </c>
      <c r="R6394">
        <v>1.6176630000000001E-2</v>
      </c>
      <c r="S6394">
        <v>2.9945979999999999</v>
      </c>
      <c r="T6394">
        <v>-0.1786585</v>
      </c>
      <c r="U6394">
        <v>4.974365E-2</v>
      </c>
      <c r="V6394">
        <v>-3.8766259999999997E-2</v>
      </c>
      <c r="W6394">
        <v>-6.3306849999999998E-2</v>
      </c>
      <c r="X6394">
        <v>0.99724089999999999</v>
      </c>
      <c r="Y6394">
        <v>-3.92454E-2</v>
      </c>
      <c r="Z6394">
        <v>2.491662E-3</v>
      </c>
      <c r="AA6394">
        <v>0.99922650000000002</v>
      </c>
      <c r="AB6394">
        <v>24</v>
      </c>
      <c r="AC6394">
        <v>18.671500000000002</v>
      </c>
      <c r="AD6394">
        <v>-1.1214803538239999</v>
      </c>
      <c r="AE6394">
        <v>0.31462999999999403</v>
      </c>
      <c r="AF6394">
        <v>-0.73673445523224701</v>
      </c>
      <c r="AG6394">
        <v>-1.1214803538239999</v>
      </c>
      <c r="AH6394">
        <v>18.592450981190499</v>
      </c>
      <c r="AI6394">
        <v>93.449148594703402</v>
      </c>
      <c r="AJ6394">
        <v>92.269184542578998</v>
      </c>
      <c r="AK6394">
        <v>18.640808172649301</v>
      </c>
      <c r="AL6394">
        <v>93.629642545440305</v>
      </c>
      <c r="AM6394">
        <v>92.226167490597007</v>
      </c>
      <c r="AN6394">
        <v>0.99999999640205905</v>
      </c>
    </row>
    <row r="6395" spans="1:40" x14ac:dyDescent="0.25">
      <c r="A6395" t="str">
        <f>"20190303154649344"</f>
        <v>20190303154649344</v>
      </c>
      <c r="B6395" t="str">
        <f>"1551599209338149"</f>
        <v>1551599209338149</v>
      </c>
      <c r="C6395" t="s">
        <v>40</v>
      </c>
      <c r="D6395">
        <v>5.0335039999999998</v>
      </c>
      <c r="E6395">
        <v>0.49856329999999999</v>
      </c>
      <c r="F6395" t="s">
        <v>76</v>
      </c>
      <c r="G6395">
        <v>-248.87129999999999</v>
      </c>
      <c r="H6395" s="1">
        <v>-3.2432609999999999E-6</v>
      </c>
      <c r="I6395">
        <v>-62.358199999999997</v>
      </c>
      <c r="J6395">
        <v>-267.69819999999999</v>
      </c>
      <c r="K6395">
        <v>1.121499</v>
      </c>
      <c r="L6395">
        <v>-62.711089999999999</v>
      </c>
      <c r="M6395">
        <v>0.99969110000000005</v>
      </c>
      <c r="N6395">
        <v>-1.129904E-2</v>
      </c>
      <c r="O6395">
        <v>-2.213656E-2</v>
      </c>
      <c r="P6395">
        <v>0.99709579999999998</v>
      </c>
      <c r="Q6395">
        <v>-7.4216889999999994E-2</v>
      </c>
      <c r="R6395">
        <v>1.7085019999999999E-2</v>
      </c>
      <c r="S6395">
        <v>2.994659</v>
      </c>
      <c r="T6395">
        <v>-0.17696629999999899</v>
      </c>
      <c r="U6395">
        <v>5.5236819999999999E-2</v>
      </c>
      <c r="V6395">
        <v>-3.906229E-2</v>
      </c>
      <c r="W6395">
        <v>-6.301031E-2</v>
      </c>
      <c r="X6395">
        <v>0.99724809999999997</v>
      </c>
      <c r="Y6395">
        <v>-4.0462329999999998E-2</v>
      </c>
      <c r="Z6395">
        <v>2.4801910000000001E-3</v>
      </c>
      <c r="AA6395">
        <v>0.99917800000000001</v>
      </c>
      <c r="AB6395">
        <v>24</v>
      </c>
      <c r="AC6395">
        <v>18.826899999999899</v>
      </c>
      <c r="AD6395">
        <v>-1.121502243261</v>
      </c>
      <c r="AE6395">
        <v>0.35289000000000897</v>
      </c>
      <c r="AF6395">
        <v>-0.76687264668241995</v>
      </c>
      <c r="AG6395">
        <v>-1.121502243261</v>
      </c>
      <c r="AH6395">
        <v>18.7479702503915</v>
      </c>
      <c r="AI6395">
        <v>93.420496407764205</v>
      </c>
      <c r="AJ6395">
        <v>92.3423381101084</v>
      </c>
      <c r="AK6395">
        <v>18.79713407537</v>
      </c>
      <c r="AL6395">
        <v>93.612618170789105</v>
      </c>
      <c r="AM6395">
        <v>92.243133649489096</v>
      </c>
      <c r="AN6395">
        <v>0.99999996730997398</v>
      </c>
    </row>
    <row r="6396" spans="1:40" x14ac:dyDescent="0.25">
      <c r="A6396" t="str">
        <f>"20190303154649356"</f>
        <v>20190303154649356</v>
      </c>
      <c r="B6396" t="str">
        <f>"1551599209347909"</f>
        <v>1551599209347909</v>
      </c>
      <c r="C6396" t="s">
        <v>40</v>
      </c>
      <c r="D6396">
        <v>5.284389</v>
      </c>
      <c r="E6396">
        <v>0.49828430000000001</v>
      </c>
      <c r="F6396" t="s">
        <v>76</v>
      </c>
      <c r="G6396">
        <v>-248.36609999999999</v>
      </c>
      <c r="H6396" s="1">
        <v>-3.0619209999999998E-6</v>
      </c>
      <c r="I6396">
        <v>-62.305190000000003</v>
      </c>
      <c r="J6396">
        <v>-267.56240000000003</v>
      </c>
      <c r="K6396">
        <v>1.1215170000000001</v>
      </c>
      <c r="L6396">
        <v>-62.713470000000001</v>
      </c>
      <c r="M6396">
        <v>0.99970029999999999</v>
      </c>
      <c r="N6396">
        <v>-1.1547099999999999E-2</v>
      </c>
      <c r="O6396">
        <v>-2.1593910000000001E-2</v>
      </c>
      <c r="P6396">
        <v>0.99708450000000004</v>
      </c>
      <c r="Q6396">
        <v>-7.4184920000000001E-2</v>
      </c>
      <c r="R6396">
        <v>1.7873119999999999E-2</v>
      </c>
      <c r="S6396">
        <v>2.9946899999999999</v>
      </c>
      <c r="T6396">
        <v>-0.17372870000000001</v>
      </c>
      <c r="U6396">
        <v>6.2866210000000006E-2</v>
      </c>
      <c r="V6396">
        <v>-3.9310730000000002E-2</v>
      </c>
      <c r="W6396">
        <v>-6.2730820000000007E-2</v>
      </c>
      <c r="X6396">
        <v>0.99725600000000003</v>
      </c>
      <c r="Y6396">
        <v>-4.2464740000000001E-2</v>
      </c>
      <c r="Z6396">
        <v>2.478381E-3</v>
      </c>
      <c r="AA6396">
        <v>0.99909490000000001</v>
      </c>
      <c r="AB6396">
        <v>24</v>
      </c>
      <c r="AC6396">
        <v>19.196300000000001</v>
      </c>
      <c r="AD6396">
        <v>-1.121520061921</v>
      </c>
      <c r="AE6396">
        <v>0.40827999999998998</v>
      </c>
      <c r="AF6396">
        <v>-0.81993807352814896</v>
      </c>
      <c r="AG6396">
        <v>-1.121520061921</v>
      </c>
      <c r="AH6396">
        <v>19.117780444430199</v>
      </c>
      <c r="AI6396">
        <v>93.354259054119694</v>
      </c>
      <c r="AJ6396">
        <v>92.455840407170797</v>
      </c>
      <c r="AK6396">
        <v>19.168193311189999</v>
      </c>
      <c r="AL6396">
        <v>93.5965726785317</v>
      </c>
      <c r="AM6396">
        <v>92.257367623330694</v>
      </c>
      <c r="AN6396">
        <v>1.0000000094035</v>
      </c>
    </row>
    <row r="6397" spans="1:40" x14ac:dyDescent="0.25">
      <c r="A6397" t="str">
        <f>"20190303154649368"</f>
        <v>20190303154649368</v>
      </c>
      <c r="B6397" t="str">
        <f>"1551599209357668"</f>
        <v>1551599209357668</v>
      </c>
      <c r="C6397" t="s">
        <v>40</v>
      </c>
      <c r="D6397">
        <v>5.0197479999999999</v>
      </c>
      <c r="E6397">
        <v>0.4980426</v>
      </c>
      <c r="F6397" t="s">
        <v>76</v>
      </c>
      <c r="G6397">
        <v>-248.0848</v>
      </c>
      <c r="H6397" s="1">
        <v>-2.9586240000000002E-6</v>
      </c>
      <c r="I6397">
        <v>-62.274560000000001</v>
      </c>
      <c r="J6397">
        <v>-267.45280000000002</v>
      </c>
      <c r="K6397">
        <v>1.1215269999999999</v>
      </c>
      <c r="L6397">
        <v>-62.715359999999997</v>
      </c>
      <c r="M6397">
        <v>0.99970720000000002</v>
      </c>
      <c r="N6397">
        <v>-1.173371E-2</v>
      </c>
      <c r="O6397">
        <v>-2.1161099999999999E-2</v>
      </c>
      <c r="P6397">
        <v>0.9970987</v>
      </c>
      <c r="Q6397">
        <v>-7.3866500000000002E-2</v>
      </c>
      <c r="R6397">
        <v>1.8385479999999999E-2</v>
      </c>
      <c r="S6397">
        <v>2.99472</v>
      </c>
      <c r="T6397">
        <v>-0.17243620000000001</v>
      </c>
      <c r="U6397">
        <v>6.7474370000000006E-2</v>
      </c>
      <c r="V6397">
        <v>-3.9393289999999997E-2</v>
      </c>
      <c r="W6397">
        <v>-6.222577E-2</v>
      </c>
      <c r="X6397">
        <v>0.99728439999999996</v>
      </c>
      <c r="Y6397">
        <v>-4.3568460000000003E-2</v>
      </c>
      <c r="Z6397">
        <v>2.4782350000000001E-3</v>
      </c>
      <c r="AA6397">
        <v>0.99904740000000003</v>
      </c>
      <c r="AB6397">
        <v>24</v>
      </c>
      <c r="AC6397">
        <v>19.367999999999999</v>
      </c>
      <c r="AD6397">
        <v>-1.121529958624</v>
      </c>
      <c r="AE6397">
        <v>0.44079999999999497</v>
      </c>
      <c r="AF6397">
        <v>-0.84773658106165595</v>
      </c>
      <c r="AG6397">
        <v>-1.121529958624</v>
      </c>
      <c r="AH6397">
        <v>19.289686432300599</v>
      </c>
      <c r="AI6397">
        <v>93.324310946937501</v>
      </c>
      <c r="AJ6397">
        <v>92.516396218483195</v>
      </c>
      <c r="AK6397">
        <v>19.3408502764341</v>
      </c>
      <c r="AL6397">
        <v>93.567578740672403</v>
      </c>
      <c r="AM6397">
        <v>92.262039252428394</v>
      </c>
      <c r="AN6397">
        <v>1.0000000261162301</v>
      </c>
    </row>
    <row r="6398" spans="1:40" x14ac:dyDescent="0.25">
      <c r="A6398" t="str">
        <f>"20190303154649378"</f>
        <v>20190303154649378</v>
      </c>
      <c r="B6398" t="str">
        <f>"1551599209368405"</f>
        <v>1551599209368405</v>
      </c>
      <c r="C6398" t="s">
        <v>40</v>
      </c>
      <c r="D6398">
        <v>5.0113289999999999</v>
      </c>
      <c r="E6398">
        <v>0.49787880000000001</v>
      </c>
      <c r="F6398" t="s">
        <v>76</v>
      </c>
      <c r="G6398">
        <v>-247.75069999999999</v>
      </c>
      <c r="H6398" s="1">
        <v>-2.8083529999999998E-6</v>
      </c>
      <c r="I6398">
        <v>-62.248510000000003</v>
      </c>
      <c r="J6398">
        <v>-267.34030000000001</v>
      </c>
      <c r="K6398">
        <v>1.1215360000000001</v>
      </c>
      <c r="L6398">
        <v>-62.71725</v>
      </c>
      <c r="M6398">
        <v>0.99971429999999994</v>
      </c>
      <c r="N6398">
        <v>-1.191642E-2</v>
      </c>
      <c r="O6398">
        <v>-2.072042E-2</v>
      </c>
      <c r="P6398">
        <v>0.99708799999999997</v>
      </c>
      <c r="Q6398">
        <v>-7.3928569999999999E-2</v>
      </c>
      <c r="R6398">
        <v>1.8723690000000001E-2</v>
      </c>
      <c r="S6398">
        <v>2.9947810000000001</v>
      </c>
      <c r="T6398">
        <v>-0.17047570000000001</v>
      </c>
      <c r="U6398">
        <v>7.0953370000000002E-2</v>
      </c>
      <c r="V6398">
        <v>-3.9292300000000002E-2</v>
      </c>
      <c r="W6398">
        <v>-6.210508E-2</v>
      </c>
      <c r="X6398">
        <v>0.99729590000000001</v>
      </c>
      <c r="Y6398">
        <v>-4.4289019999999998E-2</v>
      </c>
      <c r="Z6398">
        <v>2.4552089999999999E-3</v>
      </c>
      <c r="AA6398">
        <v>0.99901569999999995</v>
      </c>
      <c r="AB6398">
        <v>24</v>
      </c>
      <c r="AC6398">
        <v>19.589600000000001</v>
      </c>
      <c r="AD6398">
        <v>-1.121538808353</v>
      </c>
      <c r="AE6398">
        <v>0.46874000000000299</v>
      </c>
      <c r="AF6398">
        <v>-0.871717262761879</v>
      </c>
      <c r="AG6398">
        <v>-1.121538808353</v>
      </c>
      <c r="AH6398">
        <v>19.5117621886425</v>
      </c>
      <c r="AI6398">
        <v>93.286478442721901</v>
      </c>
      <c r="AJ6398">
        <v>92.558073892076493</v>
      </c>
      <c r="AK6398">
        <v>19.563399602088101</v>
      </c>
      <c r="AL6398">
        <v>93.560650338113106</v>
      </c>
      <c r="AM6398">
        <v>92.256220220988297</v>
      </c>
      <c r="AN6398">
        <v>1.00000001897895</v>
      </c>
    </row>
    <row r="6399" spans="1:40" x14ac:dyDescent="0.25">
      <c r="A6399" t="str">
        <f>"20190303154649388"</f>
        <v>20190303154649388</v>
      </c>
      <c r="B6399" t="str">
        <f>"1551599209378164"</f>
        <v>1551599209378164</v>
      </c>
      <c r="C6399" t="s">
        <v>40</v>
      </c>
      <c r="D6399">
        <v>5.030951</v>
      </c>
      <c r="E6399">
        <v>0.4977567</v>
      </c>
      <c r="F6399" t="s">
        <v>76</v>
      </c>
      <c r="G6399">
        <v>-247.54949999999999</v>
      </c>
      <c r="H6399" s="1">
        <v>-2.7179209999999998E-6</v>
      </c>
      <c r="I6399">
        <v>-62.232979999999998</v>
      </c>
      <c r="J6399">
        <v>-267.23390000000001</v>
      </c>
      <c r="K6399">
        <v>1.1215379999999999</v>
      </c>
      <c r="L6399">
        <v>-62.718960000000003</v>
      </c>
      <c r="M6399">
        <v>0.99972079999999997</v>
      </c>
      <c r="N6399">
        <v>-1.20734E-2</v>
      </c>
      <c r="O6399">
        <v>-2.03068E-2</v>
      </c>
      <c r="P6399">
        <v>0.99707199999999996</v>
      </c>
      <c r="Q6399">
        <v>-7.4018929999999997E-2</v>
      </c>
      <c r="R6399">
        <v>1.9195230000000001E-2</v>
      </c>
      <c r="S6399">
        <v>2.994812</v>
      </c>
      <c r="T6399">
        <v>-0.1697149</v>
      </c>
      <c r="U6399">
        <v>7.3272710000000005E-2</v>
      </c>
      <c r="V6399">
        <v>-3.9351909999999997E-2</v>
      </c>
      <c r="W6399">
        <v>-6.2038719999999999E-2</v>
      </c>
      <c r="X6399">
        <v>0.99729760000000001</v>
      </c>
      <c r="Y6399">
        <v>-4.4649340000000003E-2</v>
      </c>
      <c r="Z6399">
        <v>2.4384860000000001E-3</v>
      </c>
      <c r="AA6399">
        <v>0.99899979999999999</v>
      </c>
      <c r="AB6399">
        <v>24</v>
      </c>
      <c r="AC6399">
        <v>19.6844</v>
      </c>
      <c r="AD6399">
        <v>-1.121540717921</v>
      </c>
      <c r="AE6399">
        <v>0.48597999999998998</v>
      </c>
      <c r="AF6399">
        <v>-0.88277214433353401</v>
      </c>
      <c r="AG6399">
        <v>-1.121540717921</v>
      </c>
      <c r="AH6399">
        <v>19.606860429939498</v>
      </c>
      <c r="AI6399">
        <v>93.270527727020706</v>
      </c>
      <c r="AJ6399">
        <v>92.577923327009302</v>
      </c>
      <c r="AK6399">
        <v>19.658741469379301</v>
      </c>
      <c r="AL6399">
        <v>93.556841128165999</v>
      </c>
      <c r="AM6399">
        <v>92.259635719430307</v>
      </c>
      <c r="AN6399">
        <v>0.99999993928282105</v>
      </c>
    </row>
    <row r="6400" spans="1:40" x14ac:dyDescent="0.25">
      <c r="A6400" t="str">
        <f>"20190303154649397"</f>
        <v>20190303154649397</v>
      </c>
      <c r="B6400" t="str">
        <f>"1551599209387925"</f>
        <v>1551599209387925</v>
      </c>
      <c r="C6400" t="s">
        <v>40</v>
      </c>
      <c r="D6400">
        <v>5.0489169999999897</v>
      </c>
      <c r="E6400">
        <v>0.49761339999999998</v>
      </c>
      <c r="F6400" t="s">
        <v>76</v>
      </c>
      <c r="G6400">
        <v>-247.3887</v>
      </c>
      <c r="H6400" s="1">
        <v>-2.6448129999999998E-6</v>
      </c>
      <c r="I6400">
        <v>-62.217570000000002</v>
      </c>
      <c r="J6400">
        <v>-267.12950000000001</v>
      </c>
      <c r="K6400">
        <v>1.121542</v>
      </c>
      <c r="L6400">
        <v>-62.720669999999998</v>
      </c>
      <c r="M6400">
        <v>0.99972729999999999</v>
      </c>
      <c r="N6400">
        <v>-1.2220379999999999E-2</v>
      </c>
      <c r="O6400">
        <v>-1.990304E-2</v>
      </c>
      <c r="P6400">
        <v>0.9970599</v>
      </c>
      <c r="Q6400">
        <v>-7.4063290000000004E-2</v>
      </c>
      <c r="R6400">
        <v>1.9647419999999999E-2</v>
      </c>
      <c r="S6400">
        <v>2.99472</v>
      </c>
      <c r="T6400">
        <v>-0.169244899999999</v>
      </c>
      <c r="U6400">
        <v>7.5653079999999998E-2</v>
      </c>
      <c r="V6400">
        <v>-3.9401609999999997E-2</v>
      </c>
      <c r="W6400">
        <v>-6.1936270000000002E-2</v>
      </c>
      <c r="X6400">
        <v>0.99730209999999997</v>
      </c>
      <c r="Y6400">
        <v>-4.5040379999999998E-2</v>
      </c>
      <c r="Z6400">
        <v>2.4277349999999999E-3</v>
      </c>
      <c r="AA6400">
        <v>0.99898220000000004</v>
      </c>
      <c r="AB6400">
        <v>24</v>
      </c>
      <c r="AC6400">
        <v>19.7408</v>
      </c>
      <c r="AD6400">
        <v>-1.121544644813</v>
      </c>
      <c r="AE6400">
        <v>0.50310000000000299</v>
      </c>
      <c r="AF6400">
        <v>-0.89305087444253095</v>
      </c>
      <c r="AG6400">
        <v>-1.121544644813</v>
      </c>
      <c r="AH6400">
        <v>19.663447049233</v>
      </c>
      <c r="AI6400">
        <v>93.261089943846002</v>
      </c>
      <c r="AJ6400">
        <v>92.6004040971427</v>
      </c>
      <c r="AK6400">
        <v>19.715642320569799</v>
      </c>
      <c r="AL6400">
        <v>93.5509595299647</v>
      </c>
      <c r="AM6400">
        <v>92.2624763934068</v>
      </c>
      <c r="AN6400">
        <v>1.00000003353825</v>
      </c>
    </row>
    <row r="6401" spans="1:40" x14ac:dyDescent="0.25">
      <c r="A6401" t="str">
        <f>"20190303154649408"</f>
        <v>20190303154649408</v>
      </c>
      <c r="B6401" t="str">
        <f>"1551599209398661"</f>
        <v>1551599209398661</v>
      </c>
      <c r="C6401" t="s">
        <v>40</v>
      </c>
      <c r="D6401">
        <v>5.0390969999999999</v>
      </c>
      <c r="E6401">
        <v>0.49746200000000002</v>
      </c>
      <c r="F6401" t="s">
        <v>76</v>
      </c>
      <c r="G6401">
        <v>-247.1995</v>
      </c>
      <c r="H6401" s="1">
        <v>-2.5590270000000001E-6</v>
      </c>
      <c r="I6401">
        <v>-62.200090000000003</v>
      </c>
      <c r="J6401">
        <v>-267.02319999999997</v>
      </c>
      <c r="K6401">
        <v>1.121543</v>
      </c>
      <c r="L6401">
        <v>-62.722290000000001</v>
      </c>
      <c r="M6401">
        <v>0.99973369999999995</v>
      </c>
      <c r="N6401">
        <v>-1.235149E-2</v>
      </c>
      <c r="O6401">
        <v>-1.949408E-2</v>
      </c>
      <c r="P6401">
        <v>0.99707279999999998</v>
      </c>
      <c r="Q6401">
        <v>-7.381451E-2</v>
      </c>
      <c r="R6401">
        <v>1.99358E-2</v>
      </c>
      <c r="S6401">
        <v>2.9947810000000001</v>
      </c>
      <c r="T6401">
        <v>-0.1685295</v>
      </c>
      <c r="U6401">
        <v>7.8216549999999996E-2</v>
      </c>
      <c r="V6401">
        <v>-3.9284119999999999E-2</v>
      </c>
      <c r="W6401">
        <v>-6.1555909999999998E-2</v>
      </c>
      <c r="X6401">
        <v>0.99733019999999994</v>
      </c>
      <c r="Y6401">
        <v>-4.5486159999999998E-2</v>
      </c>
      <c r="Z6401">
        <v>2.415249E-3</v>
      </c>
      <c r="AA6401">
        <v>0.99896200000000002</v>
      </c>
      <c r="AB6401">
        <v>24</v>
      </c>
      <c r="AC6401">
        <v>19.823699999999899</v>
      </c>
      <c r="AD6401">
        <v>-1.121545559027</v>
      </c>
      <c r="AE6401">
        <v>0.522199999999998</v>
      </c>
      <c r="AF6401">
        <v>-0.90567809442799896</v>
      </c>
      <c r="AG6401">
        <v>-1.121545559027</v>
      </c>
      <c r="AH6401">
        <v>19.746589879509099</v>
      </c>
      <c r="AI6401">
        <v>93.247325091084804</v>
      </c>
      <c r="AJ6401">
        <v>92.626032758521902</v>
      </c>
      <c r="AK6401">
        <v>19.799139605579601</v>
      </c>
      <c r="AL6401">
        <v>93.529125140122403</v>
      </c>
      <c r="AM6401">
        <v>92.255673499682999</v>
      </c>
      <c r="AN6401">
        <v>0.999999949986069</v>
      </c>
    </row>
    <row r="6402" spans="1:40" x14ac:dyDescent="0.25">
      <c r="A6402" t="str">
        <f>"20190303154649418"</f>
        <v>20190303154649418</v>
      </c>
      <c r="B6402" t="str">
        <f>"1551599209408421"</f>
        <v>1551599209408421</v>
      </c>
      <c r="C6402" t="s">
        <v>40</v>
      </c>
      <c r="D6402">
        <v>5.0241379999999998</v>
      </c>
      <c r="E6402">
        <v>0.49737340000000002</v>
      </c>
      <c r="F6402" t="s">
        <v>76</v>
      </c>
      <c r="G6402">
        <v>-246.9059</v>
      </c>
      <c r="H6402" s="1">
        <v>-2.4285979999999999E-6</v>
      </c>
      <c r="I6402">
        <v>-62.183300000000003</v>
      </c>
      <c r="J6402">
        <v>-266.91570000000002</v>
      </c>
      <c r="K6402">
        <v>1.1215469999999901</v>
      </c>
      <c r="L6402">
        <v>-62.723939999999999</v>
      </c>
      <c r="M6402">
        <v>0.99974019999999997</v>
      </c>
      <c r="N6402">
        <v>-1.2475679999999999E-2</v>
      </c>
      <c r="O6402">
        <v>-1.9081040000000001E-2</v>
      </c>
      <c r="P6402">
        <v>0.99705060000000001</v>
      </c>
      <c r="Q6402">
        <v>-7.4036580000000005E-2</v>
      </c>
      <c r="R6402">
        <v>2.0216169999999999E-2</v>
      </c>
      <c r="S6402">
        <v>2.9948730000000001</v>
      </c>
      <c r="T6402">
        <v>-0.1669649</v>
      </c>
      <c r="U6402">
        <v>8.0230709999999997E-2</v>
      </c>
      <c r="V6402">
        <v>-3.9152630000000001E-2</v>
      </c>
      <c r="W6402">
        <v>-6.1653670000000001E-2</v>
      </c>
      <c r="X6402">
        <v>0.99732940000000003</v>
      </c>
      <c r="Y6402">
        <v>-4.5745809999999998E-2</v>
      </c>
      <c r="Z6402">
        <v>2.38455E-3</v>
      </c>
      <c r="AA6402">
        <v>0.99895020000000001</v>
      </c>
      <c r="AB6402">
        <v>24</v>
      </c>
      <c r="AC6402">
        <v>20.009799999999998</v>
      </c>
      <c r="AD6402">
        <v>-1.1215494285980001</v>
      </c>
      <c r="AE6402">
        <v>0.54063999999999601</v>
      </c>
      <c r="AF6402">
        <v>-0.91949245568935201</v>
      </c>
      <c r="AG6402">
        <v>-1.1215494285980001</v>
      </c>
      <c r="AH6402">
        <v>19.9332629593315</v>
      </c>
      <c r="AI6402">
        <v>93.2169506276974</v>
      </c>
      <c r="AJ6402">
        <v>92.641098834271105</v>
      </c>
      <c r="AK6402">
        <v>19.985952859513901</v>
      </c>
      <c r="AL6402">
        <v>93.534736794978997</v>
      </c>
      <c r="AM6402">
        <v>92.248132974375693</v>
      </c>
      <c r="AN6402">
        <v>1.00000001778237</v>
      </c>
    </row>
    <row r="6403" spans="1:40" x14ac:dyDescent="0.25">
      <c r="A6403" t="str">
        <f>"20190303154649428"</f>
        <v>20190303154649428</v>
      </c>
      <c r="B6403" t="str">
        <f>"1551599209418181"</f>
        <v>1551599209418181</v>
      </c>
      <c r="C6403" t="s">
        <v>40</v>
      </c>
      <c r="D6403">
        <v>5.0378619999999996</v>
      </c>
      <c r="E6403">
        <v>0.4972742</v>
      </c>
      <c r="F6403" t="s">
        <v>76</v>
      </c>
      <c r="G6403">
        <v>-246.81389999999999</v>
      </c>
      <c r="H6403" s="1">
        <v>-2.3868499999999999E-6</v>
      </c>
      <c r="I6403">
        <v>-62.174700000000001</v>
      </c>
      <c r="J6403">
        <v>-266.79969999999997</v>
      </c>
      <c r="K6403">
        <v>1.121542</v>
      </c>
      <c r="L6403">
        <v>-62.7256199999999</v>
      </c>
      <c r="M6403">
        <v>0.99974719999999995</v>
      </c>
      <c r="N6403">
        <v>-1.258286E-2</v>
      </c>
      <c r="O6403">
        <v>-1.8636679999999999E-2</v>
      </c>
      <c r="P6403">
        <v>0.99706479999999997</v>
      </c>
      <c r="Q6403">
        <v>-7.3788359999999997E-2</v>
      </c>
      <c r="R6403">
        <v>2.0421870000000002E-2</v>
      </c>
      <c r="S6403">
        <v>2.9947810000000001</v>
      </c>
      <c r="T6403">
        <v>-0.16708970000000001</v>
      </c>
      <c r="U6403">
        <v>8.1817630000000002E-2</v>
      </c>
      <c r="V6403">
        <v>-3.8917130000000001E-2</v>
      </c>
      <c r="W6403">
        <v>-6.1297549999999999E-2</v>
      </c>
      <c r="X6403">
        <v>0.99736049999999998</v>
      </c>
      <c r="Y6403">
        <v>-4.583164E-2</v>
      </c>
      <c r="Z6403">
        <v>2.3705169999999999E-3</v>
      </c>
      <c r="AA6403">
        <v>0.99894640000000001</v>
      </c>
      <c r="AB6403">
        <v>24</v>
      </c>
      <c r="AC6403">
        <v>19.985799999999902</v>
      </c>
      <c r="AD6403">
        <v>-1.1215443868499999</v>
      </c>
      <c r="AE6403">
        <v>0.55091999999998997</v>
      </c>
      <c r="AF6403">
        <v>-0.920426392344324</v>
      </c>
      <c r="AG6403">
        <v>-1.1215443868499999</v>
      </c>
      <c r="AH6403">
        <v>19.909410613115998</v>
      </c>
      <c r="AI6403">
        <v>93.220766985874107</v>
      </c>
      <c r="AJ6403">
        <v>92.646940477052695</v>
      </c>
      <c r="AK6403">
        <v>19.962206228697699</v>
      </c>
      <c r="AL6403">
        <v>93.514294195565299</v>
      </c>
      <c r="AM6403">
        <v>92.234554770665397</v>
      </c>
      <c r="AN6403">
        <v>0.99999994980184304</v>
      </c>
    </row>
    <row r="6404" spans="1:40" x14ac:dyDescent="0.25">
      <c r="A6404" t="str">
        <f>"20190303154649440"</f>
        <v>20190303154649440</v>
      </c>
      <c r="B6404" t="str">
        <f>"1551599209427940"</f>
        <v>1551599209427940</v>
      </c>
      <c r="C6404" t="s">
        <v>40</v>
      </c>
      <c r="D6404">
        <v>5.0251979999999996</v>
      </c>
      <c r="E6404">
        <v>0.49716519999999997</v>
      </c>
      <c r="F6404" t="s">
        <v>76</v>
      </c>
      <c r="G6404">
        <v>-246.5264</v>
      </c>
      <c r="H6404" s="1">
        <v>-2.260184E-6</v>
      </c>
      <c r="I6404">
        <v>-62.162210000000002</v>
      </c>
      <c r="J6404">
        <v>-266.67610000000002</v>
      </c>
      <c r="K6404">
        <v>1.1215389999999901</v>
      </c>
      <c r="L6404">
        <v>-62.727449999999997</v>
      </c>
      <c r="M6404">
        <v>0.9997547</v>
      </c>
      <c r="N6404">
        <v>-1.268676E-2</v>
      </c>
      <c r="O6404">
        <v>-1.816299E-2</v>
      </c>
      <c r="P6404">
        <v>0.99706919999999999</v>
      </c>
      <c r="Q6404">
        <v>-7.3633519999999994E-2</v>
      </c>
      <c r="R6404">
        <v>2.076739E-2</v>
      </c>
      <c r="S6404">
        <v>2.994904</v>
      </c>
      <c r="T6404">
        <v>-0.16568179999999999</v>
      </c>
      <c r="U6404">
        <v>8.3221439999999994E-2</v>
      </c>
      <c r="V6404">
        <v>-3.8791239999999998E-2</v>
      </c>
      <c r="W6404">
        <v>-6.1038349999999998E-2</v>
      </c>
      <c r="X6404">
        <v>0.99738130000000003</v>
      </c>
      <c r="Y6404">
        <v>-4.5827220000000002E-2</v>
      </c>
      <c r="Z6404">
        <v>2.3310449999999999E-3</v>
      </c>
      <c r="AA6404">
        <v>0.99894669999999997</v>
      </c>
      <c r="AB6404">
        <v>24</v>
      </c>
      <c r="AC6404">
        <v>20.149699999999999</v>
      </c>
      <c r="AD6404">
        <v>-1.12154126018399</v>
      </c>
      <c r="AE6404">
        <v>0.56524000000000196</v>
      </c>
      <c r="AF6404">
        <v>-0.92828130904286499</v>
      </c>
      <c r="AG6404">
        <v>-1.12154126018399</v>
      </c>
      <c r="AH6404">
        <v>20.073966328630501</v>
      </c>
      <c r="AI6404">
        <v>93.194409052636999</v>
      </c>
      <c r="AJ6404">
        <v>92.647645072185895</v>
      </c>
      <c r="AK6404">
        <v>20.1266908643723</v>
      </c>
      <c r="AL6404">
        <v>93.499415270453497</v>
      </c>
      <c r="AM6404">
        <v>92.227287271672907</v>
      </c>
      <c r="AN6404">
        <v>0.99999994903057299</v>
      </c>
    </row>
    <row r="6405" spans="1:40" x14ac:dyDescent="0.25">
      <c r="A6405" t="str">
        <f>"20190303154649452"</f>
        <v>20190303154649452</v>
      </c>
      <c r="B6405" t="str">
        <f>"1551599209448437"</f>
        <v>1551599209448437</v>
      </c>
      <c r="C6405" t="s">
        <v>40</v>
      </c>
      <c r="D6405">
        <v>5.0481020000000001</v>
      </c>
      <c r="E6405">
        <v>0.49701269999999997</v>
      </c>
      <c r="F6405" t="s">
        <v>76</v>
      </c>
      <c r="G6405">
        <v>-246.30609999999999</v>
      </c>
      <c r="H6405" s="1">
        <v>-2.1620229999999998E-6</v>
      </c>
      <c r="I6405">
        <v>-62.148479999999999</v>
      </c>
      <c r="J6405">
        <v>-266.56009999999998</v>
      </c>
      <c r="K6405">
        <v>1.121526</v>
      </c>
      <c r="L6405">
        <v>-62.728999999999999</v>
      </c>
      <c r="M6405">
        <v>0.99976189999999998</v>
      </c>
      <c r="N6405">
        <v>-1.27417E-2</v>
      </c>
      <c r="O6405">
        <v>-1.7718680000000001E-2</v>
      </c>
      <c r="P6405">
        <v>0.99711110000000003</v>
      </c>
      <c r="Q6405">
        <v>-7.3079699999999997E-2</v>
      </c>
      <c r="R6405">
        <v>2.0715589999999999E-2</v>
      </c>
      <c r="S6405">
        <v>2.9948730000000001</v>
      </c>
      <c r="T6405">
        <v>-0.1648936</v>
      </c>
      <c r="U6405">
        <v>8.5113530000000007E-2</v>
      </c>
      <c r="V6405">
        <v>-3.8299010000000001E-2</v>
      </c>
      <c r="W6405">
        <v>-6.0428219999999998E-2</v>
      </c>
      <c r="X6405">
        <v>0.99743749999999998</v>
      </c>
      <c r="Y6405">
        <v>-4.6015149999999998E-2</v>
      </c>
      <c r="Z6405">
        <v>2.308114E-3</v>
      </c>
      <c r="AA6405">
        <v>0.99893810000000005</v>
      </c>
      <c r="AB6405">
        <v>24</v>
      </c>
      <c r="AC6405">
        <v>20.253999999999898</v>
      </c>
      <c r="AD6405">
        <v>-1.121528162023</v>
      </c>
      <c r="AE6405">
        <v>0.58051999999999204</v>
      </c>
      <c r="AF6405">
        <v>-0.93646308712992399</v>
      </c>
      <c r="AG6405">
        <v>-1.121528162023</v>
      </c>
      <c r="AH6405">
        <v>20.178712029417301</v>
      </c>
      <c r="AI6405">
        <v>93.177799977182403</v>
      </c>
      <c r="AJ6405">
        <v>92.657102800566093</v>
      </c>
      <c r="AK6405">
        <v>20.231539924037399</v>
      </c>
      <c r="AL6405">
        <v>93.464392652957699</v>
      </c>
      <c r="AM6405">
        <v>92.198928909173503</v>
      </c>
      <c r="AN6405">
        <v>0.99999997517279804</v>
      </c>
    </row>
    <row r="6406" spans="1:40" x14ac:dyDescent="0.25">
      <c r="A6406" t="str">
        <f>"20190303154649463"</f>
        <v>20190303154649463</v>
      </c>
      <c r="B6406" t="str">
        <f>"1551599209458197"</f>
        <v>1551599209458197</v>
      </c>
      <c r="C6406" t="s">
        <v>40</v>
      </c>
      <c r="D6406">
        <v>5.07437</v>
      </c>
      <c r="E6406">
        <v>0.49695459999999902</v>
      </c>
      <c r="F6406" t="s">
        <v>76</v>
      </c>
      <c r="G6406">
        <v>-245.8879</v>
      </c>
      <c r="H6406" s="1">
        <v>-1.9788809999999999E-6</v>
      </c>
      <c r="I6406">
        <v>-62.134520000000002</v>
      </c>
      <c r="J6406">
        <v>-266.44869999999997</v>
      </c>
      <c r="K6406">
        <v>1.121515</v>
      </c>
      <c r="L6406">
        <v>-62.730530000000002</v>
      </c>
      <c r="M6406">
        <v>0.99976889999999996</v>
      </c>
      <c r="N6406">
        <v>-1.2787979999999999E-2</v>
      </c>
      <c r="O6406">
        <v>-1.729267E-2</v>
      </c>
      <c r="P6406">
        <v>0.99715390000000004</v>
      </c>
      <c r="Q6406">
        <v>-7.2477330000000006E-2</v>
      </c>
      <c r="R6406">
        <v>2.0766179999999999E-2</v>
      </c>
      <c r="S6406">
        <v>2.9949949999999999</v>
      </c>
      <c r="T6406">
        <v>-0.162487299999999</v>
      </c>
      <c r="U6406">
        <v>8.612061E-2</v>
      </c>
      <c r="V6406">
        <v>-3.7925699999999903E-2</v>
      </c>
      <c r="W6406">
        <v>-5.9778409999999997E-2</v>
      </c>
      <c r="X6406">
        <v>0.99749089999999996</v>
      </c>
      <c r="Y6406">
        <v>-4.5927330000000002E-2</v>
      </c>
      <c r="Z6406">
        <v>2.255019E-3</v>
      </c>
      <c r="AA6406">
        <v>0.99894229999999995</v>
      </c>
      <c r="AB6406">
        <v>24</v>
      </c>
      <c r="AC6406">
        <v>20.560799999999901</v>
      </c>
      <c r="AD6406">
        <v>-1.121516978881</v>
      </c>
      <c r="AE6406">
        <v>0.59601000000000603</v>
      </c>
      <c r="AF6406">
        <v>-0.94868074829080196</v>
      </c>
      <c r="AG6406">
        <v>-1.121516978881</v>
      </c>
      <c r="AH6406">
        <v>20.486515126516402</v>
      </c>
      <c r="AI6406">
        <v>93.130133682138407</v>
      </c>
      <c r="AJ6406">
        <v>92.651334279124001</v>
      </c>
      <c r="AK6406">
        <v>20.539111410308902</v>
      </c>
      <c r="AL6406">
        <v>93.427093915420699</v>
      </c>
      <c r="AM6406">
        <v>92.177399675158199</v>
      </c>
      <c r="AN6406">
        <v>0.99999995630271299</v>
      </c>
    </row>
    <row r="6407" spans="1:40" x14ac:dyDescent="0.25">
      <c r="A6407" t="str">
        <f>"20190303154649473"</f>
        <v>20190303154649473</v>
      </c>
      <c r="B6407" t="str">
        <f>"1551599209467956"</f>
        <v>1551599209467956</v>
      </c>
      <c r="C6407" t="s">
        <v>40</v>
      </c>
      <c r="D6407">
        <v>5.0707110000000002</v>
      </c>
      <c r="E6407">
        <v>0.49691289999999999</v>
      </c>
      <c r="F6407" t="s">
        <v>76</v>
      </c>
      <c r="G6407">
        <v>-245.54759999999999</v>
      </c>
      <c r="H6407" s="1">
        <v>-1.830319E-6</v>
      </c>
      <c r="I6407">
        <v>-62.1248</v>
      </c>
      <c r="J6407">
        <v>-266.3229</v>
      </c>
      <c r="K6407">
        <v>1.121502</v>
      </c>
      <c r="L6407">
        <v>-62.732149999999997</v>
      </c>
      <c r="M6407">
        <v>0.99977680000000002</v>
      </c>
      <c r="N6407">
        <v>-1.2796439999999999E-2</v>
      </c>
      <c r="O6407">
        <v>-1.6813149999999999E-2</v>
      </c>
      <c r="P6407">
        <v>0.99716649999999996</v>
      </c>
      <c r="Q6407">
        <v>-7.2284329999999994E-2</v>
      </c>
      <c r="R6407">
        <v>2.0836819999999999E-2</v>
      </c>
      <c r="S6407">
        <v>2.9950869999999998</v>
      </c>
      <c r="T6407">
        <v>-0.16071079999999999</v>
      </c>
      <c r="U6407">
        <v>8.6791989999999999E-2</v>
      </c>
      <c r="V6407">
        <v>-3.7519009999999998E-2</v>
      </c>
      <c r="W6407">
        <v>-5.9576160000000003E-2</v>
      </c>
      <c r="X6407">
        <v>0.99751840000000003</v>
      </c>
      <c r="Y6407">
        <v>-4.5673970000000001E-2</v>
      </c>
      <c r="Z6407">
        <v>2.2031780000000001E-3</v>
      </c>
      <c r="AA6407">
        <v>0.99895400000000001</v>
      </c>
      <c r="AB6407">
        <v>24</v>
      </c>
      <c r="AC6407">
        <v>20.775300000000001</v>
      </c>
      <c r="AD6407">
        <v>-1.1215038303189999</v>
      </c>
      <c r="AE6407">
        <v>0.60734999999999595</v>
      </c>
      <c r="AF6407">
        <v>-0.95381380850129405</v>
      </c>
      <c r="AG6407">
        <v>-1.1215038303189999</v>
      </c>
      <c r="AH6407">
        <v>20.701874447367601</v>
      </c>
      <c r="AI6407">
        <v>93.0976320603028</v>
      </c>
      <c r="AJ6407">
        <v>92.637968127139303</v>
      </c>
      <c r="AK6407">
        <v>20.754159517004801</v>
      </c>
      <c r="AL6407">
        <v>93.415485083889806</v>
      </c>
      <c r="AM6407">
        <v>92.154013474098207</v>
      </c>
      <c r="AN6407">
        <v>0.99999997664514195</v>
      </c>
    </row>
    <row r="6408" spans="1:40" x14ac:dyDescent="0.25">
      <c r="A6408" t="str">
        <f>"20190303154649485"</f>
        <v>20190303154649485</v>
      </c>
      <c r="B6408" t="str">
        <f>"1551599209478692"</f>
        <v>1551599209478692</v>
      </c>
      <c r="C6408" t="s">
        <v>40</v>
      </c>
      <c r="D6408">
        <v>5.0565259999999999</v>
      </c>
      <c r="E6408">
        <v>0.49683050000000001</v>
      </c>
      <c r="F6408" t="s">
        <v>76</v>
      </c>
      <c r="G6408">
        <v>-245.2773</v>
      </c>
      <c r="H6408" s="1">
        <v>-1.712702E-6</v>
      </c>
      <c r="I6408">
        <v>-62.118569999999998</v>
      </c>
      <c r="J6408">
        <v>-266.20830000000001</v>
      </c>
      <c r="K6408">
        <v>1.1214930000000001</v>
      </c>
      <c r="L6408">
        <v>-62.733580000000003</v>
      </c>
      <c r="M6408">
        <v>0.99978420000000001</v>
      </c>
      <c r="N6408">
        <v>-1.279014E-2</v>
      </c>
      <c r="O6408">
        <v>-1.6376580000000002E-2</v>
      </c>
      <c r="P6408">
        <v>0.99720209999999998</v>
      </c>
      <c r="Q6408">
        <v>-7.1804699999999999E-2</v>
      </c>
      <c r="R6408">
        <v>2.078837E-2</v>
      </c>
      <c r="S6408">
        <v>2.9950559999999999</v>
      </c>
      <c r="T6408">
        <v>-0.15960369999999999</v>
      </c>
      <c r="U6408">
        <v>8.7310789999999999E-2</v>
      </c>
      <c r="V6408">
        <v>-3.7036310000000003E-2</v>
      </c>
      <c r="W6408">
        <v>-5.9101529999999999E-2</v>
      </c>
      <c r="X6408">
        <v>0.99756469999999997</v>
      </c>
      <c r="Y6408">
        <v>-4.541303E-2</v>
      </c>
      <c r="Z6408">
        <v>2.1622500000000001E-3</v>
      </c>
      <c r="AA6408">
        <v>0.99896600000000002</v>
      </c>
      <c r="AB6408">
        <v>24</v>
      </c>
      <c r="AC6408">
        <v>20.931000000000001</v>
      </c>
      <c r="AD6408">
        <v>-1.1214947127020001</v>
      </c>
      <c r="AE6408">
        <v>0.61501000000000505</v>
      </c>
      <c r="AF6408">
        <v>-0.95499440222283905</v>
      </c>
      <c r="AG6408">
        <v>-1.1214947127020001</v>
      </c>
      <c r="AH6408">
        <v>20.858290082331099</v>
      </c>
      <c r="AI6408">
        <v>93.074463434865905</v>
      </c>
      <c r="AJ6408">
        <v>92.621449926919794</v>
      </c>
      <c r="AK6408">
        <v>20.910237441444</v>
      </c>
      <c r="AL6408">
        <v>93.388242687623702</v>
      </c>
      <c r="AM6408">
        <v>92.126228065564504</v>
      </c>
      <c r="AN6408">
        <v>1.0000000048964199</v>
      </c>
    </row>
    <row r="6409" spans="1:40" x14ac:dyDescent="0.25">
      <c r="A6409" t="str">
        <f>"20190303154649496"</f>
        <v>20190303154649496</v>
      </c>
      <c r="B6409" t="str">
        <f>"1551599209488452"</f>
        <v>1551599209488452</v>
      </c>
      <c r="C6409" t="s">
        <v>40</v>
      </c>
      <c r="D6409">
        <v>5.0966149999999999</v>
      </c>
      <c r="E6409">
        <v>0.49680950000000001</v>
      </c>
      <c r="F6409" t="s">
        <v>76</v>
      </c>
      <c r="G6409">
        <v>-244.9315</v>
      </c>
      <c r="H6409" s="1">
        <v>-1.5620489999999999E-6</v>
      </c>
      <c r="I6409">
        <v>-62.109839999999998</v>
      </c>
      <c r="J6409">
        <v>-266.09609999999998</v>
      </c>
      <c r="K6409">
        <v>1.1214729999999999</v>
      </c>
      <c r="L6409">
        <v>-62.734920000000002</v>
      </c>
      <c r="M6409">
        <v>0.9997914</v>
      </c>
      <c r="N6409">
        <v>-1.276163E-2</v>
      </c>
      <c r="O6409">
        <v>-1.5949700000000001E-2</v>
      </c>
      <c r="P6409">
        <v>0.99722549999999999</v>
      </c>
      <c r="Q6409">
        <v>-7.1530640000000006E-2</v>
      </c>
      <c r="R6409">
        <v>2.0614790000000001E-2</v>
      </c>
      <c r="S6409">
        <v>2.9952390000000002</v>
      </c>
      <c r="T6409">
        <v>-0.1578785</v>
      </c>
      <c r="U6409">
        <v>8.7799070000000007E-2</v>
      </c>
      <c r="V6409">
        <v>-3.6438430000000001E-2</v>
      </c>
      <c r="W6409">
        <v>-5.8854419999999998E-2</v>
      </c>
      <c r="X6409">
        <v>0.99760130000000002</v>
      </c>
      <c r="Y6409">
        <v>-4.5150179999999998E-2</v>
      </c>
      <c r="Z6409">
        <v>2.1138340000000002E-3</v>
      </c>
      <c r="AA6409">
        <v>0.99897800000000003</v>
      </c>
      <c r="AB6409">
        <v>24</v>
      </c>
      <c r="AC6409">
        <v>21.164599999999901</v>
      </c>
      <c r="AD6409">
        <v>-1.1214745620490001</v>
      </c>
      <c r="AE6409">
        <v>0.62507999999998898</v>
      </c>
      <c r="AF6409">
        <v>-0.95990414618670605</v>
      </c>
      <c r="AG6409">
        <v>-1.1214745620490001</v>
      </c>
      <c r="AH6409">
        <v>21.092765041515399</v>
      </c>
      <c r="AI6409">
        <v>93.040334698114705</v>
      </c>
      <c r="AJ6409">
        <v>92.605658162676804</v>
      </c>
      <c r="AK6409">
        <v>21.1443575986541</v>
      </c>
      <c r="AL6409">
        <v>93.374059730292601</v>
      </c>
      <c r="AM6409">
        <v>92.091858267325605</v>
      </c>
      <c r="AN6409">
        <v>0.99999997784804495</v>
      </c>
    </row>
    <row r="6410" spans="1:40" x14ac:dyDescent="0.25">
      <c r="A6410" t="str">
        <f>"20190303154649508"</f>
        <v>20190303154649508</v>
      </c>
      <c r="B6410" t="str">
        <f>"1551599209498213"</f>
        <v>1551599209498213</v>
      </c>
      <c r="C6410" t="s">
        <v>40</v>
      </c>
      <c r="D6410">
        <v>5.0927119999999997</v>
      </c>
      <c r="E6410">
        <v>0.49673899999999999</v>
      </c>
      <c r="F6410" t="s">
        <v>76</v>
      </c>
      <c r="G6410">
        <v>-244.6816</v>
      </c>
      <c r="H6410" s="1">
        <v>-1.454767E-6</v>
      </c>
      <c r="I6410">
        <v>-62.109560000000002</v>
      </c>
      <c r="J6410">
        <v>-265.96800000000002</v>
      </c>
      <c r="K6410">
        <v>1.121448</v>
      </c>
      <c r="L6410">
        <v>-62.736449999999998</v>
      </c>
      <c r="M6410">
        <v>0.99979969999999996</v>
      </c>
      <c r="N6410">
        <v>-1.271217E-2</v>
      </c>
      <c r="O6410">
        <v>-1.546121E-2</v>
      </c>
      <c r="P6410">
        <v>0.99727220000000005</v>
      </c>
      <c r="Q6410">
        <v>-7.0859409999999998E-2</v>
      </c>
      <c r="R6410">
        <v>2.0669570000000002E-2</v>
      </c>
      <c r="S6410">
        <v>2.9953310000000002</v>
      </c>
      <c r="T6410">
        <v>-0.156865</v>
      </c>
      <c r="U6410">
        <v>8.7463379999999993E-2</v>
      </c>
      <c r="V6410">
        <v>-3.60083E-2</v>
      </c>
      <c r="W6410">
        <v>-5.8230839999999999E-2</v>
      </c>
      <c r="X6410">
        <v>0.99765349999999997</v>
      </c>
      <c r="Y6410">
        <v>-4.455187E-2</v>
      </c>
      <c r="Z6410">
        <v>2.0616200000000001E-3</v>
      </c>
      <c r="AA6410">
        <v>0.99900500000000003</v>
      </c>
      <c r="AB6410">
        <v>24</v>
      </c>
      <c r="AC6410">
        <v>21.2864</v>
      </c>
      <c r="AD6410">
        <v>-1.121449454767</v>
      </c>
      <c r="AE6410">
        <v>0.62689000000000294</v>
      </c>
      <c r="AF6410">
        <v>-0.95331142952156001</v>
      </c>
      <c r="AG6410">
        <v>-1.121449454767</v>
      </c>
      <c r="AH6410">
        <v>21.215327951902601</v>
      </c>
      <c r="AI6410">
        <v>93.0228136353915</v>
      </c>
      <c r="AJ6410">
        <v>92.572856920497898</v>
      </c>
      <c r="AK6410">
        <v>21.266325297710299</v>
      </c>
      <c r="AL6410">
        <v>93.3382698793164</v>
      </c>
      <c r="AM6410">
        <v>92.0670788376666</v>
      </c>
      <c r="AN6410">
        <v>0.99999996722912199</v>
      </c>
    </row>
    <row r="6411" spans="1:40" x14ac:dyDescent="0.25">
      <c r="A6411" t="str">
        <f>"20190303154649522"</f>
        <v>20190303154649522</v>
      </c>
      <c r="B6411" t="str">
        <f>"1551599209518709"</f>
        <v>1551599209518709</v>
      </c>
      <c r="C6411" t="s">
        <v>40</v>
      </c>
      <c r="D6411">
        <v>5.0773580000000003</v>
      </c>
      <c r="E6411">
        <v>0.49666959999999999</v>
      </c>
      <c r="F6411" t="s">
        <v>76</v>
      </c>
      <c r="G6411">
        <v>-244.20830000000001</v>
      </c>
      <c r="H6411" s="1">
        <v>-1.2480679999999999E-6</v>
      </c>
      <c r="I6411">
        <v>-62.095930000000003</v>
      </c>
      <c r="J6411">
        <v>-265.82100000000003</v>
      </c>
      <c r="K6411">
        <v>1.121421</v>
      </c>
      <c r="L6411">
        <v>-62.738100000000003</v>
      </c>
      <c r="M6411">
        <v>0.99980919999999895</v>
      </c>
      <c r="N6411">
        <v>-1.263944E-2</v>
      </c>
      <c r="O6411">
        <v>-1.490122E-2</v>
      </c>
      <c r="P6411">
        <v>0.99729699999999999</v>
      </c>
      <c r="Q6411">
        <v>-7.0541439999999997E-2</v>
      </c>
      <c r="R6411">
        <v>2.055821E-2</v>
      </c>
      <c r="S6411">
        <v>2.995422</v>
      </c>
      <c r="T6411">
        <v>-0.15437770000000001</v>
      </c>
      <c r="U6411">
        <v>8.8165279999999999E-2</v>
      </c>
      <c r="V6411">
        <v>-3.533994E-2</v>
      </c>
      <c r="W6411">
        <v>-5.7983449999999999E-2</v>
      </c>
      <c r="X6411">
        <v>0.99769189999999996</v>
      </c>
      <c r="Y6411">
        <v>-4.4228969999999999E-2</v>
      </c>
      <c r="Z6411">
        <v>1.997661E-3</v>
      </c>
      <c r="AA6411">
        <v>0.9990194</v>
      </c>
      <c r="AB6411">
        <v>24</v>
      </c>
      <c r="AC6411">
        <v>21.612699999999901</v>
      </c>
      <c r="AD6411">
        <v>-1.1214222480679901</v>
      </c>
      <c r="AE6411">
        <v>0.64217000000000002</v>
      </c>
      <c r="AF6411">
        <v>-0.96159338075088197</v>
      </c>
      <c r="AG6411">
        <v>-1.1214222480679901</v>
      </c>
      <c r="AH6411">
        <v>21.542782043051499</v>
      </c>
      <c r="AI6411">
        <v>92.976917182551503</v>
      </c>
      <c r="AJ6411">
        <v>92.555783884841901</v>
      </c>
      <c r="AK6411">
        <v>21.593371849778102</v>
      </c>
      <c r="AL6411">
        <v>93.324071178314398</v>
      </c>
      <c r="AM6411">
        <v>92.028665561317197</v>
      </c>
      <c r="AN6411">
        <v>1.0000000595793499</v>
      </c>
    </row>
    <row r="6412" spans="1:40" x14ac:dyDescent="0.25">
      <c r="A6412" t="str">
        <f>"20190303154649536"</f>
        <v>20190303154649536</v>
      </c>
      <c r="B6412" t="str">
        <f>"1551599209528469"</f>
        <v>1551599209528469</v>
      </c>
      <c r="C6412" t="s">
        <v>40</v>
      </c>
      <c r="D6412">
        <v>5.0937659999999996</v>
      </c>
      <c r="E6412">
        <v>0.49662420000000002</v>
      </c>
      <c r="F6412" t="s">
        <v>76</v>
      </c>
      <c r="G6412">
        <v>-243.84520000000001</v>
      </c>
      <c r="H6412" s="1">
        <v>-1.090607E-6</v>
      </c>
      <c r="I6412">
        <v>-62.089449999999999</v>
      </c>
      <c r="J6412">
        <v>-265.67129999999997</v>
      </c>
      <c r="K6412">
        <v>1.121389</v>
      </c>
      <c r="L6412">
        <v>-62.739649999999997</v>
      </c>
      <c r="M6412">
        <v>0.99981880000000001</v>
      </c>
      <c r="N6412">
        <v>-1.2542589999999999E-2</v>
      </c>
      <c r="O6412">
        <v>-1.433063E-2</v>
      </c>
      <c r="P6412">
        <v>0.99732019999999999</v>
      </c>
      <c r="Q6412">
        <v>-7.0207530000000004E-2</v>
      </c>
      <c r="R6412">
        <v>2.0589570000000001E-2</v>
      </c>
      <c r="S6412">
        <v>2.995514</v>
      </c>
      <c r="T6412">
        <v>-0.15286089999999999</v>
      </c>
      <c r="U6412">
        <v>8.8409420000000002E-2</v>
      </c>
      <c r="V6412">
        <v>-3.4804259999999997E-2</v>
      </c>
      <c r="W6412">
        <v>-5.774431E-2</v>
      </c>
      <c r="X6412">
        <v>0.99772450000000001</v>
      </c>
      <c r="Y6412">
        <v>-4.3742110000000001E-2</v>
      </c>
      <c r="Z6412">
        <v>1.9407809999999999E-3</v>
      </c>
      <c r="AA6412">
        <v>0.99904099999999996</v>
      </c>
      <c r="AB6412">
        <v>24</v>
      </c>
      <c r="AC6412">
        <v>21.826099999999901</v>
      </c>
      <c r="AD6412">
        <v>-1.121390090607</v>
      </c>
      <c r="AE6412">
        <v>0.650199999999998</v>
      </c>
      <c r="AF6412">
        <v>-0.96040656531475899</v>
      </c>
      <c r="AG6412">
        <v>-1.121390090607</v>
      </c>
      <c r="AH6412">
        <v>21.757157531464198</v>
      </c>
      <c r="AI6412">
        <v>92.947617363400099</v>
      </c>
      <c r="AJ6412">
        <v>92.527515085930702</v>
      </c>
      <c r="AK6412">
        <v>21.8071960681551</v>
      </c>
      <c r="AL6412">
        <v>93.310346800813505</v>
      </c>
      <c r="AM6412">
        <v>91.997875094540206</v>
      </c>
      <c r="AN6412">
        <v>0.99999995987588597</v>
      </c>
    </row>
    <row r="6413" spans="1:40" x14ac:dyDescent="0.25">
      <c r="A6413" t="str">
        <f>"20190303154649550"</f>
        <v>20190303154649550</v>
      </c>
      <c r="B6413" t="str">
        <f>"1551599209538229"</f>
        <v>1551599209538229</v>
      </c>
      <c r="C6413" t="s">
        <v>40</v>
      </c>
      <c r="D6413">
        <v>5.1017650000000003</v>
      </c>
      <c r="E6413">
        <v>0.49659120000000001</v>
      </c>
      <c r="F6413" t="s">
        <v>76</v>
      </c>
      <c r="G6413">
        <v>-243.4897</v>
      </c>
      <c r="H6413" s="1">
        <v>-9.3594280000000005E-7</v>
      </c>
      <c r="I6413">
        <v>-62.081330000000001</v>
      </c>
      <c r="J6413">
        <v>-265.52670000000001</v>
      </c>
      <c r="K6413">
        <v>1.1213630000000001</v>
      </c>
      <c r="L6413">
        <v>-62.741149999999998</v>
      </c>
      <c r="M6413">
        <v>0.99982780000000004</v>
      </c>
      <c r="N6413">
        <v>-1.2441219999999999E-2</v>
      </c>
      <c r="O6413">
        <v>-1.3782310000000001E-2</v>
      </c>
      <c r="P6413">
        <v>0.99734009999999995</v>
      </c>
      <c r="Q6413">
        <v>-6.9903220000000002E-2</v>
      </c>
      <c r="R6413">
        <v>2.065705E-2</v>
      </c>
      <c r="S6413">
        <v>2.9955750000000001</v>
      </c>
      <c r="T6413">
        <v>-0.15144170000000001</v>
      </c>
      <c r="U6413">
        <v>8.8897710000000005E-2</v>
      </c>
      <c r="V6413">
        <v>-3.4326049999999997E-2</v>
      </c>
      <c r="W6413">
        <v>-5.7539479999999997E-2</v>
      </c>
      <c r="X6413">
        <v>0.997753</v>
      </c>
      <c r="Y6413">
        <v>-4.3358800000000003E-2</v>
      </c>
      <c r="Z6413">
        <v>1.889904E-3</v>
      </c>
      <c r="AA6413">
        <v>0.9990578</v>
      </c>
      <c r="AB6413">
        <v>24</v>
      </c>
      <c r="AC6413">
        <v>22.036999999999999</v>
      </c>
      <c r="AD6413">
        <v>-1.12136393594279</v>
      </c>
      <c r="AE6413">
        <v>0.65981999999999597</v>
      </c>
      <c r="AF6413">
        <v>-0.96101537662396896</v>
      </c>
      <c r="AG6413">
        <v>-1.12136393594279</v>
      </c>
      <c r="AH6413">
        <v>21.968977954237001</v>
      </c>
      <c r="AI6413">
        <v>92.919229320052807</v>
      </c>
      <c r="AJ6413">
        <v>92.504761215643299</v>
      </c>
      <c r="AK6413">
        <v>22.018560352227698</v>
      </c>
      <c r="AL6413">
        <v>93.298591032192505</v>
      </c>
      <c r="AM6413">
        <v>91.970389871387198</v>
      </c>
      <c r="AN6413">
        <v>1.00000005923813</v>
      </c>
    </row>
    <row r="6414" spans="1:40" x14ac:dyDescent="0.25">
      <c r="A6414" t="str">
        <f>"20190303154649565"</f>
        <v>20190303154649565</v>
      </c>
      <c r="B6414" t="str">
        <f>"1551599209558724"</f>
        <v>1551599209558724</v>
      </c>
      <c r="C6414" t="s">
        <v>40</v>
      </c>
      <c r="D6414">
        <v>5.0926</v>
      </c>
      <c r="E6414">
        <v>0.49651240000000002</v>
      </c>
      <c r="F6414" t="s">
        <v>76</v>
      </c>
      <c r="G6414">
        <v>-243.17339999999999</v>
      </c>
      <c r="H6414" s="1">
        <v>-7.9844719999999996E-7</v>
      </c>
      <c r="I6414">
        <v>-62.074550000000002</v>
      </c>
      <c r="J6414">
        <v>-265.36349999999999</v>
      </c>
      <c r="K6414">
        <v>1.1213340000000001</v>
      </c>
      <c r="L6414">
        <v>-62.742739999999998</v>
      </c>
      <c r="M6414">
        <v>0.99983730000000004</v>
      </c>
      <c r="N6414">
        <v>-1.2320080000000001E-2</v>
      </c>
      <c r="O6414">
        <v>-1.3167720000000001E-2</v>
      </c>
      <c r="P6414">
        <v>0.99737169999999997</v>
      </c>
      <c r="Q6414">
        <v>-6.9396479999999997E-2</v>
      </c>
      <c r="R6414">
        <v>2.0830520000000002E-2</v>
      </c>
      <c r="S6414">
        <v>2.9956049999999999</v>
      </c>
      <c r="T6414">
        <v>-0.1502763</v>
      </c>
      <c r="U6414">
        <v>8.932495E-2</v>
      </c>
      <c r="V6414">
        <v>-3.3889099999999998E-2</v>
      </c>
      <c r="W6414">
        <v>-5.7151859999999999E-2</v>
      </c>
      <c r="X6414">
        <v>0.99779019999999996</v>
      </c>
      <c r="Y6414">
        <v>-4.2889129999999998E-2</v>
      </c>
      <c r="Z6414">
        <v>1.8372449999999999E-3</v>
      </c>
      <c r="AA6414">
        <v>0.99907820000000003</v>
      </c>
      <c r="AB6414">
        <v>24</v>
      </c>
      <c r="AC6414">
        <v>22.190100000000001</v>
      </c>
      <c r="AD6414">
        <v>-1.1213347984472</v>
      </c>
      <c r="AE6414">
        <v>0.66819000000000195</v>
      </c>
      <c r="AF6414">
        <v>-0.95790340912482996</v>
      </c>
      <c r="AG6414">
        <v>-1.1213347984472</v>
      </c>
      <c r="AH6414">
        <v>22.122934812850701</v>
      </c>
      <c r="AI6414">
        <v>92.898929490247895</v>
      </c>
      <c r="AJ6414">
        <v>92.479307675531501</v>
      </c>
      <c r="AK6414">
        <v>22.1720367897282</v>
      </c>
      <c r="AL6414">
        <v>93.276345483242807</v>
      </c>
      <c r="AM6414">
        <v>91.945254916315207</v>
      </c>
      <c r="AN6414">
        <v>1.0000000447081501</v>
      </c>
    </row>
    <row r="6415" spans="1:40" x14ac:dyDescent="0.25">
      <c r="A6415" t="str">
        <f>"20190303154649578"</f>
        <v>20190303154649578</v>
      </c>
      <c r="B6415" t="str">
        <f>"1551599209568485"</f>
        <v>1551599209568485</v>
      </c>
      <c r="C6415" t="s">
        <v>40</v>
      </c>
      <c r="D6415">
        <v>5.1175449999999998</v>
      </c>
      <c r="E6415">
        <v>0.49650100000000003</v>
      </c>
      <c r="F6415" t="s">
        <v>76</v>
      </c>
      <c r="G6415">
        <v>-242.6585</v>
      </c>
      <c r="H6415" s="1">
        <v>-5.7290329999999995E-7</v>
      </c>
      <c r="I6415">
        <v>-62.057119999999998</v>
      </c>
      <c r="J6415">
        <v>-265.22829999999999</v>
      </c>
      <c r="K6415">
        <v>1.1213109999999999</v>
      </c>
      <c r="L6415">
        <v>-62.743960000000001</v>
      </c>
      <c r="M6415">
        <v>0.99984519999999999</v>
      </c>
      <c r="N6415">
        <v>-1.2216110000000001E-2</v>
      </c>
      <c r="O6415">
        <v>-1.2665259999999999E-2</v>
      </c>
      <c r="P6415">
        <v>0.99739809999999995</v>
      </c>
      <c r="Q6415">
        <v>-6.8878339999999996E-2</v>
      </c>
      <c r="R6415">
        <v>2.1289780000000001E-2</v>
      </c>
      <c r="S6415">
        <v>2.9957579999999999</v>
      </c>
      <c r="T6415">
        <v>-0.14795159999999999</v>
      </c>
      <c r="U6415">
        <v>9.0454099999999996E-2</v>
      </c>
      <c r="V6415">
        <v>-3.3848999999999997E-2</v>
      </c>
      <c r="W6415">
        <v>-5.6736540000000002E-2</v>
      </c>
      <c r="X6415">
        <v>0.99781520000000001</v>
      </c>
      <c r="Y6415">
        <v>-4.2764599999999903E-2</v>
      </c>
      <c r="Z6415">
        <v>1.786979E-3</v>
      </c>
      <c r="AA6415">
        <v>0.99908359999999996</v>
      </c>
      <c r="AB6415">
        <v>24</v>
      </c>
      <c r="AC6415">
        <v>22.569799999999901</v>
      </c>
      <c r="AD6415">
        <v>-1.1213115729033001</v>
      </c>
      <c r="AE6415">
        <v>0.68683999999999601</v>
      </c>
      <c r="AF6415">
        <v>-0.970265922062719</v>
      </c>
      <c r="AG6415">
        <v>-1.1213115729033001</v>
      </c>
      <c r="AH6415">
        <v>22.5037951761953</v>
      </c>
      <c r="AI6415">
        <v>92.849912375852696</v>
      </c>
      <c r="AJ6415">
        <v>92.468816145068104</v>
      </c>
      <c r="AK6415">
        <v>22.552595259419501</v>
      </c>
      <c r="AL6415">
        <v>93.252510931425704</v>
      </c>
      <c r="AM6415">
        <v>91.942906274300597</v>
      </c>
      <c r="AN6415">
        <v>0.99999998156160497</v>
      </c>
    </row>
    <row r="6416" spans="1:40" x14ac:dyDescent="0.25">
      <c r="A6416" t="str">
        <f>"20190303154649590"</f>
        <v>20190303154649590</v>
      </c>
      <c r="B6416" t="str">
        <f>"1551599209578245"</f>
        <v>1551599209578245</v>
      </c>
      <c r="C6416" t="s">
        <v>40</v>
      </c>
      <c r="D6416">
        <v>5.1128150000000003</v>
      </c>
      <c r="E6416">
        <v>0.49649100000000002</v>
      </c>
      <c r="F6416" t="s">
        <v>76</v>
      </c>
      <c r="G6416">
        <v>-242.23240000000001</v>
      </c>
      <c r="H6416" s="1">
        <v>-3.8499289999999999E-7</v>
      </c>
      <c r="I6416">
        <v>-62.037860000000002</v>
      </c>
      <c r="J6416">
        <v>-265.1037</v>
      </c>
      <c r="K6416">
        <v>1.121297</v>
      </c>
      <c r="L6416">
        <v>-62.745060000000002</v>
      </c>
      <c r="M6416">
        <v>0.99985190000000002</v>
      </c>
      <c r="N6416">
        <v>-1.212076E-2</v>
      </c>
      <c r="O6416">
        <v>-1.22104E-2</v>
      </c>
      <c r="P6416">
        <v>0.99738970000000005</v>
      </c>
      <c r="Q6416">
        <v>-6.8753030000000007E-2</v>
      </c>
      <c r="R6416">
        <v>2.2061609999999999E-2</v>
      </c>
      <c r="S6416">
        <v>2.995819</v>
      </c>
      <c r="T6416">
        <v>-0.1460803</v>
      </c>
      <c r="U6416">
        <v>9.1979980000000003E-2</v>
      </c>
      <c r="V6416">
        <v>-3.4167349999999999E-2</v>
      </c>
      <c r="W6416">
        <v>-5.670642E-2</v>
      </c>
      <c r="X6416">
        <v>0.99780610000000003</v>
      </c>
      <c r="Y6416">
        <v>-4.2819910000000003E-2</v>
      </c>
      <c r="Z6416">
        <v>1.7499010000000001E-3</v>
      </c>
      <c r="AA6416">
        <v>0.99908129999999995</v>
      </c>
      <c r="AB6416">
        <v>24</v>
      </c>
      <c r="AC6416">
        <v>22.871299999999898</v>
      </c>
      <c r="AD6416">
        <v>-1.1212973849929</v>
      </c>
      <c r="AE6416">
        <v>0.70720000000000005</v>
      </c>
      <c r="AF6416">
        <v>-0.98407248748633303</v>
      </c>
      <c r="AG6416">
        <v>-1.1212973849929</v>
      </c>
      <c r="AH6416">
        <v>22.806194548703001</v>
      </c>
      <c r="AI6416">
        <v>92.812145351582998</v>
      </c>
      <c r="AJ6416">
        <v>92.470743048487805</v>
      </c>
      <c r="AK6416">
        <v>22.854938553396</v>
      </c>
      <c r="AL6416">
        <v>93.250782276069401</v>
      </c>
      <c r="AM6416">
        <v>91.961182985734496</v>
      </c>
      <c r="AN6416">
        <v>1.00000001953622</v>
      </c>
    </row>
    <row r="6417" spans="1:40" x14ac:dyDescent="0.25">
      <c r="A6417" t="str">
        <f>"20190303154649603"</f>
        <v>20190303154649603</v>
      </c>
      <c r="B6417" t="str">
        <f>"1551599209598741"</f>
        <v>1551599209598741</v>
      </c>
      <c r="C6417" t="s">
        <v>40</v>
      </c>
      <c r="D6417">
        <v>5.0995030000000003</v>
      </c>
      <c r="E6417">
        <v>0.50655790000000001</v>
      </c>
      <c r="F6417" t="s">
        <v>76</v>
      </c>
      <c r="G6417">
        <v>-242.09289999999999</v>
      </c>
      <c r="H6417" s="1">
        <v>-3.2043029999999999E-7</v>
      </c>
      <c r="I6417">
        <v>-62.020200000000003</v>
      </c>
      <c r="J6417">
        <v>-264.96230000000003</v>
      </c>
      <c r="K6417">
        <v>1.1212789999999999</v>
      </c>
      <c r="L6417">
        <v>-62.746220000000001</v>
      </c>
      <c r="M6417">
        <v>0.99985959999999996</v>
      </c>
      <c r="N6417">
        <v>-1.201344E-2</v>
      </c>
      <c r="O6417">
        <v>-1.170006E-2</v>
      </c>
      <c r="P6417">
        <v>0.99742059999999999</v>
      </c>
      <c r="Q6417">
        <v>-6.8088200000000001E-2</v>
      </c>
      <c r="R6417">
        <v>2.2727420000000002E-2</v>
      </c>
      <c r="S6417">
        <v>2.9957280000000002</v>
      </c>
      <c r="T6417">
        <v>-0.1459792</v>
      </c>
      <c r="U6417">
        <v>9.4360349999999996E-2</v>
      </c>
      <c r="V6417">
        <v>-3.43264E-2</v>
      </c>
      <c r="W6417">
        <v>-5.6147969999999998E-2</v>
      </c>
      <c r="X6417">
        <v>0.99783219999999995</v>
      </c>
      <c r="Y6417">
        <v>-4.310406E-2</v>
      </c>
      <c r="Z6417">
        <v>1.737717E-3</v>
      </c>
      <c r="AA6417">
        <v>0.99906910000000004</v>
      </c>
      <c r="AB6417">
        <v>24</v>
      </c>
      <c r="AC6417">
        <v>22.869399999999999</v>
      </c>
      <c r="AD6417">
        <v>-1.1212793204303</v>
      </c>
      <c r="AE6417">
        <v>0.72601999999999101</v>
      </c>
      <c r="AF6417">
        <v>-0.99118258873225096</v>
      </c>
      <c r="AG6417">
        <v>-1.1212793204303</v>
      </c>
      <c r="AH6417">
        <v>22.804574384798201</v>
      </c>
      <c r="AI6417">
        <v>92.812261373454703</v>
      </c>
      <c r="AJ6417">
        <v>92.488748830023397</v>
      </c>
      <c r="AK6417">
        <v>22.8536282263982</v>
      </c>
      <c r="AL6417">
        <v>93.218734456825203</v>
      </c>
      <c r="AM6417">
        <v>91.970253674076005</v>
      </c>
      <c r="AN6417">
        <v>0.99999999781446003</v>
      </c>
    </row>
    <row r="6418" spans="1:40" x14ac:dyDescent="0.25">
      <c r="A6418" t="str">
        <f>"20190303154649614"</f>
        <v>20190303154649614</v>
      </c>
      <c r="B6418" t="str">
        <f>"1551599209608502"</f>
        <v>1551599209608502</v>
      </c>
      <c r="C6418" t="s">
        <v>40</v>
      </c>
      <c r="D6418">
        <v>5.1527129999999897</v>
      </c>
      <c r="E6418">
        <v>0.50750200000000001</v>
      </c>
      <c r="F6418" t="s">
        <v>75</v>
      </c>
      <c r="G6418">
        <v>-232.83510000000001</v>
      </c>
      <c r="H6418" s="1">
        <v>-7.8567939999999997E-7</v>
      </c>
      <c r="I6418">
        <v>-62.571980000000003</v>
      </c>
      <c r="J6418">
        <v>-264.84269999999998</v>
      </c>
      <c r="K6418">
        <v>1.1212660000000001</v>
      </c>
      <c r="L6418">
        <v>-62.747160000000001</v>
      </c>
      <c r="M6418">
        <v>0.99986529999999996</v>
      </c>
      <c r="N6418">
        <v>-1.1926050000000001E-2</v>
      </c>
      <c r="O6418">
        <v>-1.127971E-2</v>
      </c>
      <c r="P6418">
        <v>0.99743879999999996</v>
      </c>
      <c r="Q6418">
        <v>-6.7504750000000002E-2</v>
      </c>
      <c r="R6418">
        <v>2.3642489999999999E-2</v>
      </c>
      <c r="S6418">
        <v>3.0002439999999999</v>
      </c>
      <c r="T6418">
        <v>-0.1047124</v>
      </c>
      <c r="U6418">
        <v>1.6265870000000002E-2</v>
      </c>
      <c r="V6418">
        <v>-3.4823630000000001E-2</v>
      </c>
      <c r="W6418">
        <v>-5.565167E-2</v>
      </c>
      <c r="X6418">
        <v>0.99784280000000003</v>
      </c>
      <c r="Y6418">
        <v>-1.6684839999999999E-2</v>
      </c>
      <c r="Z6418">
        <v>6.4965750000000005E-4</v>
      </c>
      <c r="AA6418">
        <v>0.99986059999999999</v>
      </c>
      <c r="AB6418">
        <v>24</v>
      </c>
      <c r="AC6418">
        <v>32.007599999999897</v>
      </c>
      <c r="AD6418">
        <v>-1.1212667856793901</v>
      </c>
      <c r="AE6418">
        <v>0.175179999999997</v>
      </c>
      <c r="AF6418">
        <v>-0.53557373215170101</v>
      </c>
      <c r="AG6418">
        <v>-1.1212667856793901</v>
      </c>
      <c r="AH6418">
        <v>31.964362172163501</v>
      </c>
      <c r="AI6418">
        <v>92.008753301551707</v>
      </c>
      <c r="AJ6418">
        <v>90.959920400346704</v>
      </c>
      <c r="AK6418">
        <v>31.988506178008301</v>
      </c>
      <c r="AL6418">
        <v>93.190253946427106</v>
      </c>
      <c r="AM6418">
        <v>91.998749293195104</v>
      </c>
      <c r="AN6418">
        <v>1.000000023546</v>
      </c>
    </row>
    <row r="6419" spans="1:40" x14ac:dyDescent="0.25">
      <c r="A6419" t="str">
        <f>"20190303154649625"</f>
        <v>20190303154649625</v>
      </c>
      <c r="B6419" t="str">
        <f>"1551599209618261"</f>
        <v>1551599209618261</v>
      </c>
      <c r="C6419" t="s">
        <v>40</v>
      </c>
      <c r="D6419">
        <v>5.1293300000000004</v>
      </c>
      <c r="E6419">
        <v>0.50816839999999996</v>
      </c>
      <c r="F6419" t="s">
        <v>75</v>
      </c>
      <c r="G6419">
        <v>-230.02709999999999</v>
      </c>
      <c r="H6419" s="1">
        <v>4.0806140000000001E-7</v>
      </c>
      <c r="I6419">
        <v>-62.612920000000003</v>
      </c>
      <c r="J6419">
        <v>-264.73450000000003</v>
      </c>
      <c r="K6419">
        <v>1.121256</v>
      </c>
      <c r="L6419">
        <v>-62.747959999999999</v>
      </c>
      <c r="M6419">
        <v>0.9998705</v>
      </c>
      <c r="N6419">
        <v>-1.184897E-2</v>
      </c>
      <c r="O6419">
        <v>-1.090376E-2</v>
      </c>
      <c r="P6419">
        <v>0.99745399999999995</v>
      </c>
      <c r="Q6419">
        <v>-6.6929859999999994E-2</v>
      </c>
      <c r="R6419">
        <v>2.4615060000000001E-2</v>
      </c>
      <c r="S6419">
        <v>3.0008539999999999</v>
      </c>
      <c r="T6419">
        <v>-9.6645239999999993E-2</v>
      </c>
      <c r="U6419">
        <v>1.1566160000000001E-2</v>
      </c>
      <c r="V6419">
        <v>-3.542269E-2</v>
      </c>
      <c r="W6419">
        <v>-5.5153800000000003E-2</v>
      </c>
      <c r="X6419">
        <v>0.99784930000000005</v>
      </c>
      <c r="Y6419">
        <v>-1.474576E-2</v>
      </c>
      <c r="Z6419">
        <v>5.4667080000000002E-4</v>
      </c>
      <c r="AA6419">
        <v>0.99989110000000003</v>
      </c>
      <c r="AB6419">
        <v>24</v>
      </c>
      <c r="AC6419">
        <v>34.7074</v>
      </c>
      <c r="AD6419">
        <v>-1.1212555919386</v>
      </c>
      <c r="AE6419">
        <v>0.13504000000000299</v>
      </c>
      <c r="AF6419">
        <v>-0.51296428215879397</v>
      </c>
      <c r="AG6419">
        <v>-1.1212555919386</v>
      </c>
      <c r="AH6419">
        <v>34.667682657467999</v>
      </c>
      <c r="AI6419">
        <v>91.852266929817304</v>
      </c>
      <c r="AJ6419">
        <v>90.847721610085998</v>
      </c>
      <c r="AK6419">
        <v>34.689603158527603</v>
      </c>
      <c r="AL6419">
        <v>93.161684395246795</v>
      </c>
      <c r="AM6419">
        <v>92.033091306929293</v>
      </c>
      <c r="AN6419">
        <v>0.99999996706588201</v>
      </c>
    </row>
    <row r="6420" spans="1:40" x14ac:dyDescent="0.25">
      <c r="A6420" t="str">
        <f>"20190303154649635"</f>
        <v>20190303154649635</v>
      </c>
      <c r="B6420" t="str">
        <f>"1551599209628020"</f>
        <v>1551599209628020</v>
      </c>
      <c r="C6420" t="s">
        <v>40</v>
      </c>
      <c r="D6420">
        <v>5.1482919999999996</v>
      </c>
      <c r="E6420">
        <v>0.50861020000000001</v>
      </c>
      <c r="F6420" t="s">
        <v>74</v>
      </c>
      <c r="G6420">
        <v>-227.04939999999999</v>
      </c>
      <c r="H6420" s="1">
        <v>-2.6423859999999999E-6</v>
      </c>
      <c r="I6420">
        <v>-62.633009999999999</v>
      </c>
      <c r="J6420">
        <v>-264.61880000000002</v>
      </c>
      <c r="K6420">
        <v>1.1212470000000001</v>
      </c>
      <c r="L6420">
        <v>-62.748809999999999</v>
      </c>
      <c r="M6420">
        <v>0.99987550000000003</v>
      </c>
      <c r="N6420">
        <v>-1.177048E-2</v>
      </c>
      <c r="O6420">
        <v>-1.050946E-2</v>
      </c>
      <c r="P6420">
        <v>0.99746159999999995</v>
      </c>
      <c r="Q6420">
        <v>-6.6486039999999996E-2</v>
      </c>
      <c r="R6420">
        <v>2.549208E-2</v>
      </c>
      <c r="S6420">
        <v>3.0014340000000002</v>
      </c>
      <c r="T6420">
        <v>-8.9302779999999998E-2</v>
      </c>
      <c r="U6420">
        <v>9.1552730000000002E-3</v>
      </c>
      <c r="V6420">
        <v>-3.5907309999999998E-2</v>
      </c>
      <c r="W6420">
        <v>-5.4788219999999999E-2</v>
      </c>
      <c r="X6420">
        <v>0.99785210000000002</v>
      </c>
      <c r="Y6420">
        <v>-1.355019E-2</v>
      </c>
      <c r="Z6420">
        <v>4.7023939999999998E-4</v>
      </c>
      <c r="AA6420">
        <v>0.99990809999999997</v>
      </c>
      <c r="AB6420">
        <v>24</v>
      </c>
      <c r="AC6420">
        <v>37.569400000000002</v>
      </c>
      <c r="AD6420">
        <v>-1.1212496423859999</v>
      </c>
      <c r="AE6420">
        <v>0.1158</v>
      </c>
      <c r="AF6420">
        <v>-0.51020062637913299</v>
      </c>
      <c r="AG6420">
        <v>-1.1212496423859999</v>
      </c>
      <c r="AH6420">
        <v>37.532677431604903</v>
      </c>
      <c r="AI6420">
        <v>91.710984834041199</v>
      </c>
      <c r="AJ6420">
        <v>90.778802479494502</v>
      </c>
      <c r="AK6420">
        <v>37.552887780097699</v>
      </c>
      <c r="AL6420">
        <v>93.140706541412001</v>
      </c>
      <c r="AM6420">
        <v>92.060876553147494</v>
      </c>
      <c r="AN6420">
        <v>0.999999948718306</v>
      </c>
    </row>
    <row r="6421" spans="1:40" x14ac:dyDescent="0.25">
      <c r="A6421" t="str">
        <f>"20190303154649652"</f>
        <v>20190303154649652</v>
      </c>
      <c r="B6421" t="str">
        <f>"1551599209648539"</f>
        <v>1551599209648539</v>
      </c>
      <c r="C6421" t="s">
        <v>40</v>
      </c>
      <c r="D6421">
        <v>5.1593059999999999</v>
      </c>
      <c r="E6421">
        <v>0.50939619999999997</v>
      </c>
      <c r="F6421" t="s">
        <v>74</v>
      </c>
      <c r="G6421">
        <v>-224.74080000000001</v>
      </c>
      <c r="H6421" s="1">
        <v>-1.653235E-6</v>
      </c>
      <c r="I6421">
        <v>-62.638530000000003</v>
      </c>
      <c r="J6421">
        <v>-264.44009999999997</v>
      </c>
      <c r="K6421">
        <v>1.1212279999999999</v>
      </c>
      <c r="L6421">
        <v>-62.75</v>
      </c>
      <c r="M6421">
        <v>0.99988290000000002</v>
      </c>
      <c r="N6421">
        <v>-1.165616E-2</v>
      </c>
      <c r="O6421">
        <v>-9.914183E-3</v>
      </c>
      <c r="P6421">
        <v>0.99750729999999999</v>
      </c>
      <c r="Q6421">
        <v>-6.5425070000000002E-2</v>
      </c>
      <c r="R6421">
        <v>2.643763E-2</v>
      </c>
      <c r="S6421">
        <v>3.0018009999999999</v>
      </c>
      <c r="T6421">
        <v>-8.4401610000000002E-2</v>
      </c>
      <c r="U6421">
        <v>8.3007810000000001E-3</v>
      </c>
      <c r="V6421">
        <v>-3.6262719999999998E-2</v>
      </c>
      <c r="W6421">
        <v>-5.384013E-2</v>
      </c>
      <c r="X6421">
        <v>0.99789090000000003</v>
      </c>
      <c r="Y6421">
        <v>-1.267151E-2</v>
      </c>
      <c r="Z6421">
        <v>4.1512709999999998E-4</v>
      </c>
      <c r="AA6421">
        <v>0.99991969999999997</v>
      </c>
      <c r="AB6421">
        <v>24</v>
      </c>
      <c r="AC6421">
        <v>39.699299999999901</v>
      </c>
      <c r="AD6421">
        <v>-1.1212296532349999</v>
      </c>
      <c r="AE6421">
        <v>0.111469999999997</v>
      </c>
      <c r="AF6421">
        <v>-0.50467483103574695</v>
      </c>
      <c r="AG6421">
        <v>-1.1212296532349999</v>
      </c>
      <c r="AH6421">
        <v>39.6646044057319</v>
      </c>
      <c r="AI6421">
        <v>91.619061372015096</v>
      </c>
      <c r="AJ6421">
        <v>90.728966746314498</v>
      </c>
      <c r="AK6421">
        <v>39.683657786090997</v>
      </c>
      <c r="AL6421">
        <v>93.086304530893898</v>
      </c>
      <c r="AM6421">
        <v>92.081176373908704</v>
      </c>
      <c r="AN6421">
        <v>0.99999999638151205</v>
      </c>
    </row>
    <row r="6422" spans="1:40" x14ac:dyDescent="0.25">
      <c r="A6422" t="str">
        <f>"20190303154649664"</f>
        <v>20190303154649664</v>
      </c>
      <c r="B6422" t="str">
        <f>"1551599209658300"</f>
        <v>1551599209658300</v>
      </c>
      <c r="C6422" t="s">
        <v>40</v>
      </c>
      <c r="D6422">
        <v>5.1654799999999996</v>
      </c>
      <c r="E6422">
        <v>0.50952410000000004</v>
      </c>
      <c r="F6422" t="s">
        <v>74</v>
      </c>
      <c r="G6422">
        <v>-221.24969999999999</v>
      </c>
      <c r="H6422" s="1">
        <v>-1.648179E-7</v>
      </c>
      <c r="I6422">
        <v>-62.680190000000003</v>
      </c>
      <c r="J6422">
        <v>-264.31099999999998</v>
      </c>
      <c r="K6422">
        <v>1.121218</v>
      </c>
      <c r="L6422">
        <v>-62.750819999999997</v>
      </c>
      <c r="M6422">
        <v>0.99988790000000005</v>
      </c>
      <c r="N6422">
        <v>-1.157823E-2</v>
      </c>
      <c r="O6422">
        <v>-9.4940619999999993E-3</v>
      </c>
      <c r="P6422">
        <v>0.99750179999999999</v>
      </c>
      <c r="Q6422">
        <v>-6.5296800000000002E-2</v>
      </c>
      <c r="R6422">
        <v>2.696001E-2</v>
      </c>
      <c r="S6422">
        <v>3.0022579999999999</v>
      </c>
      <c r="T6422">
        <v>-7.7939030000000006E-2</v>
      </c>
      <c r="U6422">
        <v>4.8522950000000004E-3</v>
      </c>
      <c r="V6422">
        <v>-3.6367499999999997E-2</v>
      </c>
      <c r="W6422">
        <v>-5.3788839999999997E-2</v>
      </c>
      <c r="X6422">
        <v>0.9978899</v>
      </c>
      <c r="Y6422">
        <v>-1.110443E-2</v>
      </c>
      <c r="Z6422">
        <v>3.4491900000000001E-4</v>
      </c>
      <c r="AA6422">
        <v>0.99993829999999995</v>
      </c>
      <c r="AB6422">
        <v>24</v>
      </c>
      <c r="AC6422">
        <v>43.061299999999903</v>
      </c>
      <c r="AD6422">
        <v>-1.1212181648178901</v>
      </c>
      <c r="AE6422">
        <v>7.0629999999994197E-2</v>
      </c>
      <c r="AF6422">
        <v>-0.47915602354383502</v>
      </c>
      <c r="AG6422">
        <v>-1.1212181648178901</v>
      </c>
      <c r="AH6422">
        <v>43.029516032517797</v>
      </c>
      <c r="AI6422">
        <v>91.492523309299003</v>
      </c>
      <c r="AJ6422">
        <v>90.637991912186493</v>
      </c>
      <c r="AK6422">
        <v>43.046788157314701</v>
      </c>
      <c r="AL6422">
        <v>93.083361420601307</v>
      </c>
      <c r="AM6422">
        <v>92.087186647026101</v>
      </c>
      <c r="AN6422">
        <v>1.0000000434434</v>
      </c>
    </row>
    <row r="6423" spans="1:40" x14ac:dyDescent="0.25">
      <c r="A6423" t="str">
        <f>"20190303154649674"</f>
        <v>20190303154649674</v>
      </c>
      <c r="B6423" t="str">
        <f>"1551599209668059"</f>
        <v>1551599209668059</v>
      </c>
      <c r="C6423" t="s">
        <v>40</v>
      </c>
      <c r="D6423">
        <v>5.1412469999999999</v>
      </c>
      <c r="E6423">
        <v>0.50967719999999905</v>
      </c>
      <c r="F6423" t="s">
        <v>74</v>
      </c>
      <c r="G6423">
        <v>-221.17859999999999</v>
      </c>
      <c r="H6423" s="1">
        <v>-1.32759299999999E-7</v>
      </c>
      <c r="I6423">
        <v>-62.673219999999901</v>
      </c>
      <c r="J6423">
        <v>-264.19670000000002</v>
      </c>
      <c r="K6423">
        <v>1.1212089999999999</v>
      </c>
      <c r="L6423">
        <v>-62.751530000000002</v>
      </c>
      <c r="M6423">
        <v>0.99989209999999995</v>
      </c>
      <c r="N6423">
        <v>-1.151421E-2</v>
      </c>
      <c r="O6423">
        <v>-9.1325450000000006E-3</v>
      </c>
      <c r="P6423">
        <v>0.99749500000000002</v>
      </c>
      <c r="Q6423">
        <v>-6.5294530000000003E-2</v>
      </c>
      <c r="R6423">
        <v>2.721639E-2</v>
      </c>
      <c r="S6423">
        <v>3.0022579999999999</v>
      </c>
      <c r="T6423">
        <v>-7.8042979999999998E-2</v>
      </c>
      <c r="U6423">
        <v>5.4016109999999997E-3</v>
      </c>
      <c r="V6423">
        <v>-3.6264129999999999E-2</v>
      </c>
      <c r="W6423">
        <v>-5.3849439999999998E-2</v>
      </c>
      <c r="X6423">
        <v>0.99789039999999996</v>
      </c>
      <c r="Y6423">
        <v>-1.092596E-2</v>
      </c>
      <c r="Z6423">
        <v>3.3711160000000001E-4</v>
      </c>
      <c r="AA6423">
        <v>0.9999403</v>
      </c>
      <c r="AB6423">
        <v>24</v>
      </c>
      <c r="AC6423">
        <v>43.018099999999997</v>
      </c>
      <c r="AD6423">
        <v>-1.1212091327592999</v>
      </c>
      <c r="AE6423">
        <v>7.83100000000089E-2</v>
      </c>
      <c r="AF6423">
        <v>-0.47087760231859299</v>
      </c>
      <c r="AG6423">
        <v>-1.1212091327592999</v>
      </c>
      <c r="AH6423">
        <v>42.986389405281599</v>
      </c>
      <c r="AI6423">
        <v>91.494010985467796</v>
      </c>
      <c r="AJ6423">
        <v>90.627599122104201</v>
      </c>
      <c r="AK6423">
        <v>43.003587172912198</v>
      </c>
      <c r="AL6423">
        <v>93.086838564308493</v>
      </c>
      <c r="AM6423">
        <v>92.081258266845495</v>
      </c>
      <c r="AN6423">
        <v>1.0000000498625601</v>
      </c>
    </row>
    <row r="6424" spans="1:40" x14ac:dyDescent="0.25">
      <c r="A6424" t="str">
        <f>"20190303154649686"</f>
        <v>20190303154649686</v>
      </c>
      <c r="B6424" t="str">
        <f>"1551599209677820"</f>
        <v>1551599209677820</v>
      </c>
      <c r="C6424" t="s">
        <v>40</v>
      </c>
      <c r="D6424">
        <v>5.1616280000000003</v>
      </c>
      <c r="E6424">
        <v>0.50972399999999995</v>
      </c>
      <c r="F6424" t="s">
        <v>74</v>
      </c>
      <c r="G6424">
        <v>-221.38300000000001</v>
      </c>
      <c r="H6424" s="1">
        <v>-2.2221260000000001E-7</v>
      </c>
      <c r="I6424">
        <v>-62.681019999999997</v>
      </c>
      <c r="J6424">
        <v>-264.08030000000002</v>
      </c>
      <c r="K6424">
        <v>1.121197</v>
      </c>
      <c r="L6424">
        <v>-62.7521699999999</v>
      </c>
      <c r="M6424">
        <v>0.99989600000000001</v>
      </c>
      <c r="N6424">
        <v>-1.145198E-2</v>
      </c>
      <c r="O6424">
        <v>-8.7711660000000004E-3</v>
      </c>
      <c r="P6424">
        <v>0.99748340000000002</v>
      </c>
      <c r="Q6424">
        <v>-6.5292749999999997E-2</v>
      </c>
      <c r="R6424">
        <v>2.7639980000000001E-2</v>
      </c>
      <c r="S6424">
        <v>3.0022579999999999</v>
      </c>
      <c r="T6424">
        <v>-7.8623410000000005E-2</v>
      </c>
      <c r="U6424">
        <v>4.9438479999999998E-3</v>
      </c>
      <c r="V6424">
        <v>-3.6328720000000002E-2</v>
      </c>
      <c r="W6424">
        <v>-5.3908930000000001E-2</v>
      </c>
      <c r="X6424">
        <v>0.99788480000000002</v>
      </c>
      <c r="Y6424">
        <v>-1.0412289999999999E-2</v>
      </c>
      <c r="Z6424">
        <v>3.2517020000000002E-4</v>
      </c>
      <c r="AA6424">
        <v>0.9999458</v>
      </c>
      <c r="AB6424">
        <v>24</v>
      </c>
      <c r="AC6424">
        <v>42.697299999999998</v>
      </c>
      <c r="AD6424">
        <v>-1.1211972222126001</v>
      </c>
      <c r="AE6424">
        <v>7.11499999999958E-2</v>
      </c>
      <c r="AF6424">
        <v>-0.44536980960023198</v>
      </c>
      <c r="AG6424">
        <v>-1.1211972222126001</v>
      </c>
      <c r="AH6424">
        <v>42.665613402093001</v>
      </c>
      <c r="AI6424">
        <v>91.505230681456894</v>
      </c>
      <c r="AJ6424">
        <v>90.598066723814995</v>
      </c>
      <c r="AK6424">
        <v>42.682666323172199</v>
      </c>
      <c r="AL6424">
        <v>93.090252167404302</v>
      </c>
      <c r="AM6424">
        <v>92.084973615061998</v>
      </c>
      <c r="AN6424">
        <v>1.0000000113508101</v>
      </c>
    </row>
    <row r="6425" spans="1:40" x14ac:dyDescent="0.25">
      <c r="A6425" t="str">
        <f>"20190303154649696"</f>
        <v>20190303154649696</v>
      </c>
      <c r="B6425" t="str">
        <f>"1551599209688556"</f>
        <v>1551599209688556</v>
      </c>
      <c r="C6425" t="s">
        <v>40</v>
      </c>
      <c r="D6425">
        <v>5.1638669999999998</v>
      </c>
      <c r="E6425">
        <v>0.50985059999999904</v>
      </c>
      <c r="F6425" t="s">
        <v>74</v>
      </c>
      <c r="G6425">
        <v>-221.97749999999999</v>
      </c>
      <c r="H6425" s="1">
        <v>-4.7478169999999999E-7</v>
      </c>
      <c r="I6425">
        <v>-62.669989999999999</v>
      </c>
      <c r="J6425">
        <v>-263.96609999999998</v>
      </c>
      <c r="K6425">
        <v>1.121186</v>
      </c>
      <c r="L6425">
        <v>-62.752809999999997</v>
      </c>
      <c r="M6425">
        <v>0.9998996</v>
      </c>
      <c r="N6425">
        <v>-1.139454E-2</v>
      </c>
      <c r="O6425">
        <v>-8.4253169999999999E-3</v>
      </c>
      <c r="P6425">
        <v>0.99747839999999999</v>
      </c>
      <c r="Q6425">
        <v>-6.5263180000000004E-2</v>
      </c>
      <c r="R6425">
        <v>2.788334E-2</v>
      </c>
      <c r="S6425">
        <v>3.002167</v>
      </c>
      <c r="T6425">
        <v>-7.9947710000000005E-2</v>
      </c>
      <c r="U6425">
        <v>5.859375E-3</v>
      </c>
      <c r="V6425">
        <v>-3.6228740000000002E-2</v>
      </c>
      <c r="W6425">
        <v>-5.3935530000000002E-2</v>
      </c>
      <c r="X6425">
        <v>0.99788699999999997</v>
      </c>
      <c r="Y6425">
        <v>-1.037126E-2</v>
      </c>
      <c r="Z6425">
        <v>3.2550180000000001E-4</v>
      </c>
      <c r="AA6425">
        <v>0.99994620000000001</v>
      </c>
      <c r="AB6425">
        <v>24</v>
      </c>
      <c r="AC6425">
        <v>41.988599999999899</v>
      </c>
      <c r="AD6425">
        <v>-1.1211864747817</v>
      </c>
      <c r="AE6425">
        <v>8.2819999999990998E-2</v>
      </c>
      <c r="AF6425">
        <v>-0.43629620744609898</v>
      </c>
      <c r="AG6425">
        <v>-1.1211864747817</v>
      </c>
      <c r="AH6425">
        <v>41.956496550775903</v>
      </c>
      <c r="AI6425">
        <v>91.530644915025107</v>
      </c>
      <c r="AJ6425">
        <v>90.595784499924093</v>
      </c>
      <c r="AK6425">
        <v>41.973741985997997</v>
      </c>
      <c r="AL6425">
        <v>93.091778447821795</v>
      </c>
      <c r="AM6425">
        <v>92.079236038060401</v>
      </c>
      <c r="AN6425">
        <v>1.00000001388368</v>
      </c>
    </row>
    <row r="6426" spans="1:40" x14ac:dyDescent="0.25">
      <c r="A6426" t="str">
        <f>"20190303154649709"</f>
        <v>20190303154649709</v>
      </c>
      <c r="B6426" t="str">
        <f>"1551599209698316"</f>
        <v>1551599209698316</v>
      </c>
      <c r="C6426" t="s">
        <v>40</v>
      </c>
      <c r="D6426">
        <v>5.2037440000000004</v>
      </c>
      <c r="E6426">
        <v>0.51003209999999999</v>
      </c>
      <c r="F6426" t="s">
        <v>74</v>
      </c>
      <c r="G6426">
        <v>-222.49039999999999</v>
      </c>
      <c r="H6426" s="1">
        <v>-6.9626359999999905E-7</v>
      </c>
      <c r="I6426">
        <v>-62.676490000000001</v>
      </c>
      <c r="J6426">
        <v>-263.84249999999997</v>
      </c>
      <c r="K6426">
        <v>1.1211739999999999</v>
      </c>
      <c r="L6426">
        <v>-62.753419999999998</v>
      </c>
      <c r="M6426">
        <v>0.99990330000000005</v>
      </c>
      <c r="N6426">
        <v>-1.133663E-2</v>
      </c>
      <c r="O6426">
        <v>-8.0620780000000003E-3</v>
      </c>
      <c r="P6426">
        <v>0.99748720000000002</v>
      </c>
      <c r="Q6426">
        <v>-6.5003370000000005E-2</v>
      </c>
      <c r="R6426">
        <v>2.8179070000000001E-2</v>
      </c>
      <c r="S6426">
        <v>3.0021059999999999</v>
      </c>
      <c r="T6426">
        <v>-8.1153989999999995E-2</v>
      </c>
      <c r="U6426">
        <v>5.5236819999999898E-3</v>
      </c>
      <c r="V6426">
        <v>-3.616395E-2</v>
      </c>
      <c r="W6426">
        <v>-5.3732130000000003E-2</v>
      </c>
      <c r="X6426">
        <v>0.99790029999999996</v>
      </c>
      <c r="Y6426">
        <v>-9.8963300000000001E-3</v>
      </c>
      <c r="Z6426">
        <v>3.1635300000000001E-4</v>
      </c>
      <c r="AA6426">
        <v>0.99995100000000003</v>
      </c>
      <c r="AB6426">
        <v>24</v>
      </c>
      <c r="AC6426">
        <v>41.352099999999901</v>
      </c>
      <c r="AD6426">
        <v>-1.1211746962636</v>
      </c>
      <c r="AE6426">
        <v>7.6929999999997195E-2</v>
      </c>
      <c r="AF6426">
        <v>-0.41003134294099097</v>
      </c>
      <c r="AG6426">
        <v>-1.1211746962636</v>
      </c>
      <c r="AH6426">
        <v>41.319761264746298</v>
      </c>
      <c r="AI6426">
        <v>91.554211772587493</v>
      </c>
      <c r="AJ6426">
        <v>90.568548645938606</v>
      </c>
      <c r="AK6426">
        <v>41.337003149446701</v>
      </c>
      <c r="AL6426">
        <v>93.080107633392203</v>
      </c>
      <c r="AM6426">
        <v>92.075493233869594</v>
      </c>
      <c r="AN6426">
        <v>0.99999999090701397</v>
      </c>
    </row>
    <row r="6427" spans="1:40" x14ac:dyDescent="0.25">
      <c r="A6427" t="str">
        <f>"20190303154649720"</f>
        <v>20190303154649720</v>
      </c>
      <c r="B6427" t="str">
        <f>"1551599209708076"</f>
        <v>1551599209708076</v>
      </c>
      <c r="C6427" t="s">
        <v>40</v>
      </c>
      <c r="D6427">
        <v>5.1782680000000001</v>
      </c>
      <c r="E6427">
        <v>0.51008419999999999</v>
      </c>
      <c r="F6427" t="s">
        <v>74</v>
      </c>
      <c r="G6427">
        <v>-222.2346</v>
      </c>
      <c r="H6427" s="1">
        <v>-5.8829130000000004E-7</v>
      </c>
      <c r="I6427">
        <v>-62.684480000000001</v>
      </c>
      <c r="J6427">
        <v>-263.71289999999999</v>
      </c>
      <c r="K6427">
        <v>1.121164</v>
      </c>
      <c r="L6427">
        <v>-62.754089999999998</v>
      </c>
      <c r="M6427">
        <v>0.99990690000000004</v>
      </c>
      <c r="N6427">
        <v>-1.127861E-2</v>
      </c>
      <c r="O6427">
        <v>-7.6878830000000004E-3</v>
      </c>
      <c r="P6427">
        <v>0.99749180000000004</v>
      </c>
      <c r="Q6427">
        <v>-6.4916769999999999E-2</v>
      </c>
      <c r="R6427">
        <v>2.8210200000000001E-2</v>
      </c>
      <c r="S6427">
        <v>3.0021059999999999</v>
      </c>
      <c r="T6427">
        <v>-8.0895300000000003E-2</v>
      </c>
      <c r="U6427">
        <v>4.9743649999999997E-3</v>
      </c>
      <c r="V6427">
        <v>-3.582378E-2</v>
      </c>
      <c r="W6427">
        <v>-5.3701699999999901E-2</v>
      </c>
      <c r="X6427">
        <v>0.99791419999999997</v>
      </c>
      <c r="Y6427">
        <v>-9.3395160000000008E-3</v>
      </c>
      <c r="Z6427">
        <v>2.989105E-4</v>
      </c>
      <c r="AA6427">
        <v>0.99995639999999997</v>
      </c>
      <c r="AB6427">
        <v>24</v>
      </c>
      <c r="AC6427">
        <v>41.478299999999898</v>
      </c>
      <c r="AD6427">
        <v>-1.1211645882912999</v>
      </c>
      <c r="AE6427">
        <v>6.9609999999997202E-2</v>
      </c>
      <c r="AF6427">
        <v>-0.38822487735988698</v>
      </c>
      <c r="AG6427">
        <v>-1.1211645882912999</v>
      </c>
      <c r="AH6427">
        <v>41.446257133218197</v>
      </c>
      <c r="AI6427">
        <v>91.549464911639802</v>
      </c>
      <c r="AJ6427">
        <v>90.536670811727006</v>
      </c>
      <c r="AK6427">
        <v>41.463236233346301</v>
      </c>
      <c r="AL6427">
        <v>93.078361625705298</v>
      </c>
      <c r="AM6427">
        <v>92.055958682996405</v>
      </c>
      <c r="AN6427">
        <v>0.99999998317900896</v>
      </c>
    </row>
    <row r="6428" spans="1:40" x14ac:dyDescent="0.25">
      <c r="A6428" t="str">
        <f>"20190303154649733"</f>
        <v>20190303154649733</v>
      </c>
      <c r="B6428" t="str">
        <f>"1551599209728571"</f>
        <v>1551599209728571</v>
      </c>
      <c r="C6428" t="s">
        <v>40</v>
      </c>
      <c r="D6428">
        <v>5.173934</v>
      </c>
      <c r="E6428">
        <v>0.51029619999999998</v>
      </c>
      <c r="F6428" t="s">
        <v>74</v>
      </c>
      <c r="G6428">
        <v>-222.46639999999999</v>
      </c>
      <c r="H6428" s="1">
        <v>-6.8894639999999995E-7</v>
      </c>
      <c r="I6428">
        <v>-62.68994</v>
      </c>
      <c r="J6428">
        <v>-263.58589999999998</v>
      </c>
      <c r="K6428">
        <v>1.1211530000000001</v>
      </c>
      <c r="L6428">
        <v>-62.754640000000002</v>
      </c>
      <c r="M6428">
        <v>0.99991010000000002</v>
      </c>
      <c r="N6428">
        <v>-1.122775E-2</v>
      </c>
      <c r="O6428">
        <v>-7.3392359999999999E-3</v>
      </c>
      <c r="P6428">
        <v>0.99750419999999995</v>
      </c>
      <c r="Q6428">
        <v>-6.4640059999999999E-2</v>
      </c>
      <c r="R6428">
        <v>2.841233E-2</v>
      </c>
      <c r="S6428">
        <v>3.0021059999999999</v>
      </c>
      <c r="T6428">
        <v>-8.1603410000000001E-2</v>
      </c>
      <c r="U6428">
        <v>4.6691889999999998E-3</v>
      </c>
      <c r="V6428">
        <v>-3.5680509999999999E-2</v>
      </c>
      <c r="W6428">
        <v>-5.347416E-2</v>
      </c>
      <c r="X6428">
        <v>0.99793149999999997</v>
      </c>
      <c r="Y6428">
        <v>-8.8893770000000004E-3</v>
      </c>
      <c r="Z6428">
        <v>2.8777220000000001E-4</v>
      </c>
      <c r="AA6428">
        <v>0.99996039999999997</v>
      </c>
      <c r="AB6428">
        <v>24</v>
      </c>
      <c r="AC6428">
        <v>41.119499999999903</v>
      </c>
      <c r="AD6428">
        <v>-1.12115368894639</v>
      </c>
      <c r="AE6428">
        <v>6.4700000000001895E-2</v>
      </c>
      <c r="AF6428">
        <v>-0.36623071248730199</v>
      </c>
      <c r="AG6428">
        <v>-1.12115368894639</v>
      </c>
      <c r="AH6428">
        <v>41.087372401273399</v>
      </c>
      <c r="AI6428">
        <v>91.562983583190501</v>
      </c>
      <c r="AJ6428">
        <v>90.510690200975603</v>
      </c>
      <c r="AK6428">
        <v>41.104297602196397</v>
      </c>
      <c r="AL6428">
        <v>93.065305942442805</v>
      </c>
      <c r="AM6428">
        <v>92.047707834850399</v>
      </c>
      <c r="AN6428">
        <v>0.99999993163690504</v>
      </c>
    </row>
    <row r="6429" spans="1:40" x14ac:dyDescent="0.25">
      <c r="A6429" t="str">
        <f>"20190303154649746"</f>
        <v>20190303154649746</v>
      </c>
      <c r="B6429" t="str">
        <f>"1551599209738331"</f>
        <v>1551599209738331</v>
      </c>
      <c r="C6429" t="s">
        <v>40</v>
      </c>
      <c r="D6429">
        <v>5.1652399999999998</v>
      </c>
      <c r="E6429">
        <v>0.5103434</v>
      </c>
      <c r="F6429" t="s">
        <v>74</v>
      </c>
      <c r="G6429">
        <v>-222.39699999999999</v>
      </c>
      <c r="H6429" s="1">
        <v>-6.6258439999999997E-7</v>
      </c>
      <c r="I6429">
        <v>-62.705240000000003</v>
      </c>
      <c r="J6429">
        <v>-263.45139999999998</v>
      </c>
      <c r="K6429">
        <v>1.1211420000000001</v>
      </c>
      <c r="L6429">
        <v>-62.755249999999997</v>
      </c>
      <c r="M6429">
        <v>0.99991350000000001</v>
      </c>
      <c r="N6429">
        <v>-1.1176119999999999E-2</v>
      </c>
      <c r="O6429">
        <v>-6.9776029999999998E-3</v>
      </c>
      <c r="P6429">
        <v>0.99752859999999999</v>
      </c>
      <c r="Q6429">
        <v>-6.4222089999999996E-2</v>
      </c>
      <c r="R6429">
        <v>2.8507339999999999E-2</v>
      </c>
      <c r="S6429">
        <v>3.0021360000000001</v>
      </c>
      <c r="T6429">
        <v>-8.1717609999999996E-2</v>
      </c>
      <c r="U6429">
        <v>3.6010740000000001E-3</v>
      </c>
      <c r="V6429">
        <v>-3.5417110000000002E-2</v>
      </c>
      <c r="W6429">
        <v>-5.3105850000000003E-2</v>
      </c>
      <c r="X6429">
        <v>0.99796059999999998</v>
      </c>
      <c r="Y6429">
        <v>-8.1723390000000007E-3</v>
      </c>
      <c r="Z6429">
        <v>2.6880110000000002E-4</v>
      </c>
      <c r="AA6429">
        <v>0.99996660000000004</v>
      </c>
      <c r="AB6429">
        <v>24</v>
      </c>
      <c r="AC6429">
        <v>41.054399999999902</v>
      </c>
      <c r="AD6429">
        <v>-1.1211426625843901</v>
      </c>
      <c r="AE6429">
        <v>5.0009999999993199E-2</v>
      </c>
      <c r="AF6429">
        <v>-0.33623713933301802</v>
      </c>
      <c r="AG6429">
        <v>-1.1211426625843901</v>
      </c>
      <c r="AH6429">
        <v>41.0224583929717</v>
      </c>
      <c r="AI6429">
        <v>91.565449830416796</v>
      </c>
      <c r="AJ6429">
        <v>90.469609534790905</v>
      </c>
      <c r="AK6429">
        <v>41.039153364644697</v>
      </c>
      <c r="AL6429">
        <v>93.044173153875803</v>
      </c>
      <c r="AM6429">
        <v>92.032544790951803</v>
      </c>
      <c r="AN6429">
        <v>0.99999998106866705</v>
      </c>
    </row>
    <row r="6430" spans="1:40" x14ac:dyDescent="0.25">
      <c r="A6430" t="str">
        <f>"20190303154649758"</f>
        <v>20190303154649758</v>
      </c>
      <c r="B6430" t="str">
        <f>"1551599209748091"</f>
        <v>1551599209748091</v>
      </c>
      <c r="C6430" t="s">
        <v>40</v>
      </c>
      <c r="D6430">
        <v>5.1836129999999896</v>
      </c>
      <c r="E6430">
        <v>0.51039799999999902</v>
      </c>
      <c r="F6430" t="s">
        <v>74</v>
      </c>
      <c r="G6430">
        <v>-221.56049999999999</v>
      </c>
      <c r="H6430" s="1">
        <v>-3.0397020000000003E-7</v>
      </c>
      <c r="I6430">
        <v>-62.70628</v>
      </c>
      <c r="J6430">
        <v>-263.30900000000003</v>
      </c>
      <c r="K6430">
        <v>1.121129</v>
      </c>
      <c r="L6430">
        <v>-62.755859999999998</v>
      </c>
      <c r="M6430">
        <v>0.99991640000000004</v>
      </c>
      <c r="N6430">
        <v>-1.1125970000000001E-2</v>
      </c>
      <c r="O6430">
        <v>-6.610388E-3</v>
      </c>
      <c r="P6430">
        <v>0.99755229999999995</v>
      </c>
      <c r="Q6430">
        <v>-6.3809249999999998E-2</v>
      </c>
      <c r="R6430">
        <v>2.860213E-2</v>
      </c>
      <c r="S6430">
        <v>3.0021360000000001</v>
      </c>
      <c r="T6430">
        <v>-8.0347420000000003E-2</v>
      </c>
      <c r="U6430">
        <v>3.5095209999999998E-3</v>
      </c>
      <c r="V6430">
        <v>-3.5147980000000002E-2</v>
      </c>
      <c r="W6430">
        <v>-5.2741099999999902E-2</v>
      </c>
      <c r="X6430">
        <v>0.99798949999999997</v>
      </c>
      <c r="Y6430">
        <v>-7.7750249999999996E-3</v>
      </c>
      <c r="Z6430">
        <v>2.5063130000000001E-4</v>
      </c>
      <c r="AA6430">
        <v>0.99996969999999996</v>
      </c>
      <c r="AB6430">
        <v>24</v>
      </c>
      <c r="AC6430">
        <v>41.7485</v>
      </c>
      <c r="AD6430">
        <v>-1.1211293039701999</v>
      </c>
      <c r="AE6430">
        <v>4.95799999999917E-2</v>
      </c>
      <c r="AF6430">
        <v>-0.32533512511396601</v>
      </c>
      <c r="AG6430">
        <v>-1.1211293039701999</v>
      </c>
      <c r="AH6430">
        <v>41.7171753881616</v>
      </c>
      <c r="AI6430">
        <v>91.539379573356001</v>
      </c>
      <c r="AJ6430">
        <v>90.446817205325303</v>
      </c>
      <c r="AK6430">
        <v>41.733505678608999</v>
      </c>
      <c r="AL6430">
        <v>93.023245061479201</v>
      </c>
      <c r="AM6430">
        <v>92.017054191863807</v>
      </c>
      <c r="AN6430">
        <v>1.00000002311877</v>
      </c>
    </row>
    <row r="6431" spans="1:40" x14ac:dyDescent="0.25">
      <c r="A6431" t="str">
        <f>"20190303154649770"</f>
        <v>20190303154649770</v>
      </c>
      <c r="B6431" t="str">
        <f>"1551599209768588"</f>
        <v>1551599209768588</v>
      </c>
      <c r="C6431" t="s">
        <v>40</v>
      </c>
      <c r="D6431">
        <v>5.1783419999999998</v>
      </c>
      <c r="E6431">
        <v>0.51043570000000005</v>
      </c>
      <c r="F6431" t="s">
        <v>74</v>
      </c>
      <c r="G6431">
        <v>-221.53229999999999</v>
      </c>
      <c r="H6431" s="1">
        <v>-2.9260600000000002E-7</v>
      </c>
      <c r="I6431">
        <v>-62.7095699999999</v>
      </c>
      <c r="J6431">
        <v>-263.1816</v>
      </c>
      <c r="K6431">
        <v>1.121119</v>
      </c>
      <c r="L6431">
        <v>-62.756320000000002</v>
      </c>
      <c r="M6431">
        <v>0.99991870000000005</v>
      </c>
      <c r="N6431">
        <v>-1.108693E-2</v>
      </c>
      <c r="O6431">
        <v>-6.2962499999999998E-3</v>
      </c>
      <c r="P6431">
        <v>0.99756940000000005</v>
      </c>
      <c r="Q6431">
        <v>-6.3607430000000006E-2</v>
      </c>
      <c r="R6431">
        <v>2.8454409999999999E-2</v>
      </c>
      <c r="S6431">
        <v>3.0021059999999999</v>
      </c>
      <c r="T6431">
        <v>-8.0565330000000004E-2</v>
      </c>
      <c r="U6431">
        <v>3.326416E-3</v>
      </c>
      <c r="V6431">
        <v>-3.4689060000000001E-2</v>
      </c>
      <c r="W6431">
        <v>-5.2576379999999999E-2</v>
      </c>
      <c r="X6431">
        <v>0.99801419999999996</v>
      </c>
      <c r="Y6431">
        <v>-7.4000929999999999E-3</v>
      </c>
      <c r="Z6431">
        <v>2.3944710000000001E-4</v>
      </c>
      <c r="AA6431">
        <v>0.99997259999999999</v>
      </c>
      <c r="AB6431">
        <v>24</v>
      </c>
      <c r="AC6431">
        <v>41.649299999999997</v>
      </c>
      <c r="AD6431">
        <v>-1.1211192926060001</v>
      </c>
      <c r="AE6431">
        <v>4.67500000000029E-2</v>
      </c>
      <c r="AF6431">
        <v>-0.30877586726804501</v>
      </c>
      <c r="AG6431">
        <v>-1.1211192926060001</v>
      </c>
      <c r="AH6431">
        <v>41.618024294087597</v>
      </c>
      <c r="AI6431">
        <v>91.543035910575398</v>
      </c>
      <c r="AJ6431">
        <v>90.4250857580531</v>
      </c>
      <c r="AK6431">
        <v>41.634267102324799</v>
      </c>
      <c r="AL6431">
        <v>93.013794333548802</v>
      </c>
      <c r="AM6431">
        <v>91.990690028075605</v>
      </c>
      <c r="AN6431">
        <v>0.99999997500961302</v>
      </c>
    </row>
    <row r="6432" spans="1:40" x14ac:dyDescent="0.25">
      <c r="A6432" t="str">
        <f>"20190303154649782"</f>
        <v>20190303154649782</v>
      </c>
      <c r="B6432" t="str">
        <f>"1551599209778347"</f>
        <v>1551599209778347</v>
      </c>
      <c r="C6432" t="s">
        <v>40</v>
      </c>
      <c r="D6432">
        <v>5.1526370000000004</v>
      </c>
      <c r="E6432">
        <v>0.51056570000000001</v>
      </c>
      <c r="F6432" t="s">
        <v>74</v>
      </c>
      <c r="G6432">
        <v>-221.45060000000001</v>
      </c>
      <c r="H6432" s="1">
        <v>-2.5992210000000001E-7</v>
      </c>
      <c r="I6432">
        <v>-62.7202699999999</v>
      </c>
      <c r="J6432">
        <v>-263.0616</v>
      </c>
      <c r="K6432">
        <v>1.1211100000000001</v>
      </c>
      <c r="L6432">
        <v>-62.756770000000003</v>
      </c>
      <c r="M6432">
        <v>0.9999209</v>
      </c>
      <c r="N6432">
        <v>-1.10521E-2</v>
      </c>
      <c r="O6432">
        <v>-6.0052480000000004E-3</v>
      </c>
      <c r="P6432">
        <v>0.9975832</v>
      </c>
      <c r="Q6432">
        <v>-6.3395380000000001E-2</v>
      </c>
      <c r="R6432">
        <v>2.8444210000000001E-2</v>
      </c>
      <c r="S6432">
        <v>3.0021360000000001</v>
      </c>
      <c r="T6432">
        <v>-8.0653550000000004E-2</v>
      </c>
      <c r="U6432">
        <v>2.5939940000000001E-3</v>
      </c>
      <c r="V6432">
        <v>-3.4390049999999998E-2</v>
      </c>
      <c r="W6432">
        <v>-5.2397520000000003E-2</v>
      </c>
      <c r="X6432">
        <v>0.99803399999999998</v>
      </c>
      <c r="Y6432">
        <v>-6.8653990000000003E-3</v>
      </c>
      <c r="Z6432">
        <v>2.2509130000000001E-4</v>
      </c>
      <c r="AA6432">
        <v>0.99997639999999999</v>
      </c>
      <c r="AB6432">
        <v>24</v>
      </c>
      <c r="AC6432">
        <v>41.610999999999898</v>
      </c>
      <c r="AD6432">
        <v>-1.1211102599220999</v>
      </c>
      <c r="AE6432">
        <v>3.6500000000003703E-2</v>
      </c>
      <c r="AF6432">
        <v>-0.286191229218973</v>
      </c>
      <c r="AG6432">
        <v>-1.1211102599220999</v>
      </c>
      <c r="AH6432">
        <v>41.579847353007999</v>
      </c>
      <c r="AI6432">
        <v>91.544445461282905</v>
      </c>
      <c r="AJ6432">
        <v>90.394356681803799</v>
      </c>
      <c r="AK6432">
        <v>41.595943306217102</v>
      </c>
      <c r="AL6432">
        <v>93.0035321285702</v>
      </c>
      <c r="AM6432">
        <v>91.973505342343898</v>
      </c>
      <c r="AN6432">
        <v>1.0000000203985699</v>
      </c>
    </row>
    <row r="6433" spans="1:40" x14ac:dyDescent="0.25">
      <c r="A6433" t="str">
        <f>"20190303154649792"</f>
        <v>20190303154649792</v>
      </c>
      <c r="B6433" t="str">
        <f>"1551599209788107"</f>
        <v>1551599209788107</v>
      </c>
      <c r="C6433" t="s">
        <v>40</v>
      </c>
      <c r="D6433">
        <v>5.1329710000000004</v>
      </c>
      <c r="E6433">
        <v>0.51056570000000001</v>
      </c>
      <c r="F6433" t="s">
        <v>74</v>
      </c>
      <c r="G6433">
        <v>-221.30690000000001</v>
      </c>
      <c r="H6433" s="1">
        <v>-2.018753E-7</v>
      </c>
      <c r="I6433">
        <v>-62.736400000000003</v>
      </c>
      <c r="J6433">
        <v>-262.93680000000001</v>
      </c>
      <c r="K6433">
        <v>1.121097</v>
      </c>
      <c r="L6433">
        <v>-62.757170000000002</v>
      </c>
      <c r="M6433">
        <v>0.99992289999999995</v>
      </c>
      <c r="N6433">
        <v>-1.102643E-2</v>
      </c>
      <c r="O6433">
        <v>-5.7204939999999996E-3</v>
      </c>
      <c r="P6433">
        <v>0.99758539999999996</v>
      </c>
      <c r="Q6433">
        <v>-6.3407530000000004E-2</v>
      </c>
      <c r="R6433">
        <v>2.833745E-2</v>
      </c>
      <c r="S6433">
        <v>3.0021059999999999</v>
      </c>
      <c r="T6433">
        <v>-8.0606220000000006E-2</v>
      </c>
      <c r="U6433">
        <v>1.4648440000000001E-3</v>
      </c>
      <c r="V6433">
        <v>-3.4001160000000002E-2</v>
      </c>
      <c r="W6433">
        <v>-5.2433769999999998E-2</v>
      </c>
      <c r="X6433">
        <v>0.99804539999999997</v>
      </c>
      <c r="Y6433">
        <v>-6.2049009999999996E-3</v>
      </c>
      <c r="Z6433">
        <v>2.0799849999999999E-4</v>
      </c>
      <c r="AA6433">
        <v>0.99998069999999895</v>
      </c>
      <c r="AB6433">
        <v>24</v>
      </c>
      <c r="AC6433">
        <v>41.6298999999999</v>
      </c>
      <c r="AD6433">
        <v>-1.1210972018753</v>
      </c>
      <c r="AE6433">
        <v>2.0769999999991701E-2</v>
      </c>
      <c r="AF6433">
        <v>-0.258740072223069</v>
      </c>
      <c r="AG6433">
        <v>-1.1210972018753</v>
      </c>
      <c r="AH6433">
        <v>41.598931152121999</v>
      </c>
      <c r="AI6433">
        <v>91.543726009582898</v>
      </c>
      <c r="AJ6433">
        <v>90.356367881324402</v>
      </c>
      <c r="AK6433">
        <v>41.614839641166597</v>
      </c>
      <c r="AL6433">
        <v>93.005612021563806</v>
      </c>
      <c r="AM6433">
        <v>91.951183603104198</v>
      </c>
      <c r="AN6433">
        <v>0.99999999978945897</v>
      </c>
    </row>
    <row r="6434" spans="1:40" x14ac:dyDescent="0.25">
      <c r="A6434" t="str">
        <f>"20190303154649803"</f>
        <v>20190303154649803</v>
      </c>
      <c r="B6434" t="str">
        <f>"1551599209797868"</f>
        <v>1551599209797868</v>
      </c>
      <c r="C6434" t="s">
        <v>40</v>
      </c>
      <c r="D6434">
        <v>5.207408</v>
      </c>
      <c r="E6434">
        <v>0.52695509999999901</v>
      </c>
      <c r="F6434" t="s">
        <v>74</v>
      </c>
      <c r="G6434">
        <v>-221.21199999999999</v>
      </c>
      <c r="H6434" s="1">
        <v>-1.62207499999999E-7</v>
      </c>
      <c r="I6434">
        <v>-62.741059999999997</v>
      </c>
      <c r="J6434">
        <v>-262.82459999999998</v>
      </c>
      <c r="K6434">
        <v>1.1210880000000001</v>
      </c>
      <c r="L6434">
        <v>-62.757539999999999</v>
      </c>
      <c r="M6434">
        <v>0.99992460000000005</v>
      </c>
      <c r="N6434">
        <v>-1.1005940000000001E-2</v>
      </c>
      <c r="O6434">
        <v>-5.4685280000000003E-3</v>
      </c>
      <c r="P6434">
        <v>0.99759390000000003</v>
      </c>
      <c r="Q6434">
        <v>-6.3228610000000005E-2</v>
      </c>
      <c r="R6434">
        <v>2.8440799999999999E-2</v>
      </c>
      <c r="S6434">
        <v>3.0021059999999999</v>
      </c>
      <c r="T6434">
        <v>-8.0663199999999893E-2</v>
      </c>
      <c r="U6434">
        <v>1.159668E-3</v>
      </c>
      <c r="V6434">
        <v>-3.38544E-2</v>
      </c>
      <c r="W6434">
        <v>-5.2274090000000002E-2</v>
      </c>
      <c r="X6434">
        <v>0.99805869999999997</v>
      </c>
      <c r="Y6434">
        <v>-5.8514730000000003E-3</v>
      </c>
      <c r="Z6434">
        <v>1.97531E-4</v>
      </c>
      <c r="AA6434">
        <v>0.99998279999999995</v>
      </c>
      <c r="AB6434">
        <v>24</v>
      </c>
      <c r="AC6434">
        <v>41.612599999999901</v>
      </c>
      <c r="AD6434">
        <v>-1.1210881622075</v>
      </c>
      <c r="AE6434">
        <v>1.6480000000008401E-2</v>
      </c>
      <c r="AF6434">
        <v>-0.24387616730362099</v>
      </c>
      <c r="AG6434">
        <v>-1.1210881622075</v>
      </c>
      <c r="AH6434">
        <v>41.581706693035102</v>
      </c>
      <c r="AI6434">
        <v>91.544356023546896</v>
      </c>
      <c r="AJ6434">
        <v>90.336035146444701</v>
      </c>
      <c r="AK6434">
        <v>41.597531726750603</v>
      </c>
      <c r="AL6434">
        <v>92.996450662276104</v>
      </c>
      <c r="AM6434">
        <v>91.942742262373599</v>
      </c>
      <c r="AN6434">
        <v>0.999999934765186</v>
      </c>
    </row>
    <row r="6435" spans="1:40" x14ac:dyDescent="0.25">
      <c r="A6435" t="str">
        <f>"20190303154649921"</f>
        <v>20190303154649921</v>
      </c>
      <c r="B6435" t="str">
        <f>"1551599209918366"</f>
        <v>1551599209918366</v>
      </c>
      <c r="C6435" t="s">
        <v>40</v>
      </c>
      <c r="D6435">
        <v>5.1401019999999997</v>
      </c>
      <c r="E6435">
        <v>0.52695509999999901</v>
      </c>
      <c r="F6435" t="s">
        <v>52</v>
      </c>
      <c r="G6435">
        <v>-168.45060000000001</v>
      </c>
      <c r="H6435">
        <v>0.71912189999999998</v>
      </c>
      <c r="I6435">
        <v>-66.799019999999999</v>
      </c>
      <c r="J6435">
        <v>-261.56610000000001</v>
      </c>
      <c r="K6435">
        <v>1.1210850000000001</v>
      </c>
      <c r="L6435">
        <v>-62.760379999999998</v>
      </c>
      <c r="M6435">
        <v>0.99993220000000005</v>
      </c>
      <c r="N6435">
        <v>-1.121803E-2</v>
      </c>
      <c r="O6435">
        <v>-3.158475E-3</v>
      </c>
      <c r="P6435">
        <v>0.99748599999999998</v>
      </c>
      <c r="Q6435">
        <v>-6.3785410000000001E-2</v>
      </c>
      <c r="R6435">
        <v>3.0872190000000001E-2</v>
      </c>
      <c r="S6435">
        <v>3.010132</v>
      </c>
      <c r="T6435">
        <v>-1.282167E-2</v>
      </c>
      <c r="U6435">
        <v>-0.1289063</v>
      </c>
      <c r="V6435">
        <v>-3.3993229999999999E-2</v>
      </c>
      <c r="W6435">
        <v>-5.261192E-2</v>
      </c>
      <c r="X6435">
        <v>0.99803629999999999</v>
      </c>
      <c r="Y6435">
        <v>3.9627679999999998E-2</v>
      </c>
      <c r="Z6435">
        <v>-3.2871339999999998E-4</v>
      </c>
      <c r="AA6435">
        <v>0.99921450000000001</v>
      </c>
      <c r="AB6435">
        <v>24</v>
      </c>
      <c r="AC6435">
        <v>93.115499999999997</v>
      </c>
      <c r="AD6435">
        <v>-0.40196310000000002</v>
      </c>
      <c r="AE6435">
        <v>-4.0386399999999902</v>
      </c>
      <c r="AF6435">
        <v>3.7444287533698999</v>
      </c>
      <c r="AG6435">
        <v>-0.40196310000000002</v>
      </c>
      <c r="AH6435">
        <v>93.126060085019205</v>
      </c>
      <c r="AI6435">
        <v>90.247106471452597</v>
      </c>
      <c r="AJ6435">
        <v>87.697481664170795</v>
      </c>
      <c r="AK6435">
        <v>93.202174802852298</v>
      </c>
      <c r="AL6435">
        <v>93.015833357375897</v>
      </c>
      <c r="AM6435">
        <v>91.950746658195797</v>
      </c>
      <c r="AN6435">
        <v>1.0000000049647999</v>
      </c>
    </row>
    <row r="6436" spans="1:40" x14ac:dyDescent="0.25">
      <c r="A6436" t="str">
        <f>"20190303154649933"</f>
        <v>20190303154649933</v>
      </c>
      <c r="B6436" t="str">
        <f>"1551599209928126"</f>
        <v>1551599209928126</v>
      </c>
      <c r="C6436" t="s">
        <v>40</v>
      </c>
      <c r="D6436">
        <v>5.037547</v>
      </c>
      <c r="E6436">
        <v>0.5245339</v>
      </c>
      <c r="F6436" t="s">
        <v>52</v>
      </c>
      <c r="G6436">
        <v>-168.45060000000001</v>
      </c>
      <c r="H6436">
        <v>0.67188359999999903</v>
      </c>
      <c r="I6436">
        <v>-66.521969999999996</v>
      </c>
      <c r="J6436">
        <v>-261.43729999999999</v>
      </c>
      <c r="K6436">
        <v>1.1210929999999999</v>
      </c>
      <c r="L6436">
        <v>-62.760559999999998</v>
      </c>
      <c r="M6436">
        <v>0.99993180000000004</v>
      </c>
      <c r="N6436">
        <v>-1.1304160000000001E-2</v>
      </c>
      <c r="O6436">
        <v>-2.973332E-3</v>
      </c>
      <c r="P6436">
        <v>0.99745980000000001</v>
      </c>
      <c r="Q6436">
        <v>-6.4122970000000001E-2</v>
      </c>
      <c r="R6436">
        <v>3.102357E-2</v>
      </c>
      <c r="S6436">
        <v>3.010437</v>
      </c>
      <c r="T6436">
        <v>-1.4523390000000001E-2</v>
      </c>
      <c r="U6436">
        <v>-0.1216125</v>
      </c>
      <c r="V6436">
        <v>-3.3960890000000001E-2</v>
      </c>
      <c r="W6436">
        <v>-5.2862920000000001E-2</v>
      </c>
      <c r="X6436">
        <v>0.99802409999999997</v>
      </c>
      <c r="Y6436">
        <v>3.7391389999999997E-2</v>
      </c>
      <c r="Z6436">
        <v>-3.2085430000000002E-4</v>
      </c>
      <c r="AA6436">
        <v>0.99930070000000004</v>
      </c>
      <c r="AB6436">
        <v>24</v>
      </c>
      <c r="AC6436">
        <v>92.9866999999999</v>
      </c>
      <c r="AD6436">
        <v>-0.44920939999999998</v>
      </c>
      <c r="AE6436">
        <v>-3.7614099999999899</v>
      </c>
      <c r="AF6436">
        <v>3.4848142112336502</v>
      </c>
      <c r="AG6436">
        <v>-0.44920939999999998</v>
      </c>
      <c r="AH6436">
        <v>92.995306805910801</v>
      </c>
      <c r="AI6436">
        <v>90.2765682701435</v>
      </c>
      <c r="AJ6436">
        <v>87.853958722878104</v>
      </c>
      <c r="AK6436">
        <v>93.061661317093098</v>
      </c>
      <c r="AL6436">
        <v>93.030234752950093</v>
      </c>
      <c r="AM6436">
        <v>91.948916021360304</v>
      </c>
      <c r="AN6436">
        <v>0.99999996727066298</v>
      </c>
    </row>
    <row r="6437" spans="1:40" x14ac:dyDescent="0.25">
      <c r="A6437" t="str">
        <f>"20190303154649947"</f>
        <v>20190303154649947</v>
      </c>
      <c r="B6437" t="str">
        <f>"1551599209937886"</f>
        <v>1551599209937886</v>
      </c>
      <c r="C6437" t="s">
        <v>40</v>
      </c>
      <c r="D6437">
        <v>5.088508</v>
      </c>
      <c r="E6437">
        <v>0.52438099999999999</v>
      </c>
      <c r="F6437" t="s">
        <v>52</v>
      </c>
      <c r="G6437">
        <v>-168.45060000000001</v>
      </c>
      <c r="H6437">
        <v>0.2212267</v>
      </c>
      <c r="I6437">
        <v>-65.913340000000005</v>
      </c>
      <c r="J6437">
        <v>-261.29899999999998</v>
      </c>
      <c r="K6437">
        <v>1.121102</v>
      </c>
      <c r="L6437">
        <v>-62.760710000000003</v>
      </c>
      <c r="M6437">
        <v>0.99993120000000002</v>
      </c>
      <c r="N6437">
        <v>-1.140246E-2</v>
      </c>
      <c r="O6437">
        <v>-2.7767159999999998E-3</v>
      </c>
      <c r="P6437">
        <v>0.99742730000000002</v>
      </c>
      <c r="Q6437">
        <v>-6.4532610000000004E-2</v>
      </c>
      <c r="R6437">
        <v>3.121415E-2</v>
      </c>
      <c r="S6437">
        <v>3.0089419999999998</v>
      </c>
      <c r="T6437">
        <v>-2.9119249999999999E-2</v>
      </c>
      <c r="U6437">
        <v>-0.10202029999999999</v>
      </c>
      <c r="V6437">
        <v>-3.3956050000000002E-2</v>
      </c>
      <c r="W6437">
        <v>-5.3173869999999998E-2</v>
      </c>
      <c r="X6437">
        <v>0.9980078</v>
      </c>
      <c r="Y6437">
        <v>3.1107630000000001E-2</v>
      </c>
      <c r="Z6437">
        <v>-3.3268449999999998E-4</v>
      </c>
      <c r="AA6437">
        <v>0.99951599999999996</v>
      </c>
      <c r="AB6437">
        <v>24</v>
      </c>
      <c r="AC6437">
        <v>92.848399999999998</v>
      </c>
      <c r="AD6437">
        <v>-0.89987530000000004</v>
      </c>
      <c r="AE6437">
        <v>-3.1526299999999998</v>
      </c>
      <c r="AF6437">
        <v>2.89451588623968</v>
      </c>
      <c r="AG6437">
        <v>-0.89987530000000004</v>
      </c>
      <c r="AH6437">
        <v>92.848085134005402</v>
      </c>
      <c r="AI6437">
        <v>90.555018542400802</v>
      </c>
      <c r="AJ6437">
        <v>88.2143966756704</v>
      </c>
      <c r="AK6437">
        <v>92.897550617994</v>
      </c>
      <c r="AL6437">
        <v>93.048075804371706</v>
      </c>
      <c r="AM6437">
        <v>91.948670283757806</v>
      </c>
      <c r="AN6437">
        <v>1.0000000213216</v>
      </c>
    </row>
    <row r="6438" spans="1:40" x14ac:dyDescent="0.25">
      <c r="A6438" t="str">
        <f>"20190303154649958"</f>
        <v>20190303154649958</v>
      </c>
      <c r="B6438" t="str">
        <f>"1551599209948152"</f>
        <v>1551599209948152</v>
      </c>
      <c r="C6438" t="s">
        <v>40</v>
      </c>
      <c r="D6438">
        <v>5.0847129999999998</v>
      </c>
      <c r="E6438">
        <v>0.524819699999999</v>
      </c>
      <c r="F6438" t="s">
        <v>52</v>
      </c>
      <c r="G6438">
        <v>-168.45060000000001</v>
      </c>
      <c r="H6438">
        <v>0.54012969999999905</v>
      </c>
      <c r="I6438">
        <v>-65.852519999999998</v>
      </c>
      <c r="J6438">
        <v>-261.16149999999999</v>
      </c>
      <c r="K6438">
        <v>1.121116</v>
      </c>
      <c r="L6438">
        <v>-62.760860000000001</v>
      </c>
      <c r="M6438">
        <v>0.9999304</v>
      </c>
      <c r="N6438">
        <v>-1.150953E-2</v>
      </c>
      <c r="O6438">
        <v>-2.5843429999999998E-3</v>
      </c>
      <c r="P6438">
        <v>0.99741690000000005</v>
      </c>
      <c r="Q6438">
        <v>-6.4591170000000003E-2</v>
      </c>
      <c r="R6438">
        <v>3.1425649999999999E-2</v>
      </c>
      <c r="S6438">
        <v>3.0096440000000002</v>
      </c>
      <c r="T6438">
        <v>-1.8832560000000002E-2</v>
      </c>
      <c r="U6438">
        <v>-0.10021969999999999</v>
      </c>
      <c r="V6438">
        <v>-3.3977550000000002E-2</v>
      </c>
      <c r="W6438">
        <v>-5.3124659999999997E-2</v>
      </c>
      <c r="X6438">
        <v>0.9980097</v>
      </c>
      <c r="Y6438">
        <v>3.069622E-2</v>
      </c>
      <c r="Z6438">
        <v>-2.8629250000000001E-4</v>
      </c>
      <c r="AA6438">
        <v>0.99952870000000005</v>
      </c>
      <c r="AB6438">
        <v>24</v>
      </c>
      <c r="AC6438">
        <v>92.710899999999896</v>
      </c>
      <c r="AD6438">
        <v>-0.58098629999999996</v>
      </c>
      <c r="AE6438">
        <v>-3.0916599999999899</v>
      </c>
      <c r="AF6438">
        <v>2.8519251589338701</v>
      </c>
      <c r="AG6438">
        <v>-0.58098629999999996</v>
      </c>
      <c r="AH6438">
        <v>92.714943848403607</v>
      </c>
      <c r="AI6438">
        <v>90.358862220995803</v>
      </c>
      <c r="AJ6438">
        <v>88.238129034095095</v>
      </c>
      <c r="AK6438">
        <v>92.760615753699994</v>
      </c>
      <c r="AL6438">
        <v>93.045252254691604</v>
      </c>
      <c r="AM6438">
        <v>91.949899464563799</v>
      </c>
      <c r="AN6438">
        <v>1.0000000323491001</v>
      </c>
    </row>
    <row r="6439" spans="1:40" x14ac:dyDescent="0.25">
      <c r="A6439" t="str">
        <f>"20190303154649970"</f>
        <v>20190303154649970</v>
      </c>
      <c r="B6439" t="str">
        <f>"1551599209957912"</f>
        <v>1551599209957912</v>
      </c>
      <c r="C6439" t="s">
        <v>40</v>
      </c>
      <c r="D6439">
        <v>5.2504770000000001</v>
      </c>
      <c r="E6439">
        <v>0.52486929999999998</v>
      </c>
      <c r="F6439" t="s">
        <v>52</v>
      </c>
      <c r="G6439">
        <v>-168.45060000000001</v>
      </c>
      <c r="H6439">
        <v>1.0727009999999999</v>
      </c>
      <c r="I6439">
        <v>-65.934169999999995</v>
      </c>
      <c r="J6439">
        <v>-261.0428</v>
      </c>
      <c r="K6439">
        <v>1.1211230000000001</v>
      </c>
      <c r="L6439">
        <v>-62.76099</v>
      </c>
      <c r="M6439">
        <v>0.99992970000000003</v>
      </c>
      <c r="N6439">
        <v>-1.160479E-2</v>
      </c>
      <c r="O6439">
        <v>-2.4202519999999999E-3</v>
      </c>
      <c r="P6439">
        <v>0.99739580000000005</v>
      </c>
      <c r="Q6439">
        <v>-6.4822409999999997E-2</v>
      </c>
      <c r="R6439">
        <v>3.1620820000000001E-2</v>
      </c>
      <c r="S6439">
        <v>3.0109249999999999</v>
      </c>
      <c r="T6439">
        <v>-1.572967E-3</v>
      </c>
      <c r="U6439">
        <v>-0.10305789999999999</v>
      </c>
      <c r="V6439">
        <v>-3.4010150000000003E-2</v>
      </c>
      <c r="W6439">
        <v>-5.326024E-2</v>
      </c>
      <c r="X6439">
        <v>0.99800129999999998</v>
      </c>
      <c r="Y6439">
        <v>3.178889E-2</v>
      </c>
      <c r="Z6439">
        <v>-2.1962899999999999E-4</v>
      </c>
      <c r="AA6439">
        <v>0.99949460000000001</v>
      </c>
      <c r="AB6439">
        <v>24</v>
      </c>
      <c r="AC6439">
        <v>92.592200000000005</v>
      </c>
      <c r="AD6439">
        <v>-4.8421999999999701E-2</v>
      </c>
      <c r="AE6439">
        <v>-3.1731799999999901</v>
      </c>
      <c r="AF6439">
        <v>2.9490583436587401</v>
      </c>
      <c r="AG6439">
        <v>-4.8421999999999701E-2</v>
      </c>
      <c r="AH6439">
        <v>92.599583895716506</v>
      </c>
      <c r="AI6439">
        <v>90.0299458158281</v>
      </c>
      <c r="AJ6439">
        <v>88.175893472552502</v>
      </c>
      <c r="AK6439">
        <v>92.646544606176406</v>
      </c>
      <c r="AL6439">
        <v>93.053031622547195</v>
      </c>
      <c r="AM6439">
        <v>91.951785278075207</v>
      </c>
      <c r="AN6439">
        <v>0.99999996913478395</v>
      </c>
    </row>
    <row r="6440" spans="1:40" x14ac:dyDescent="0.25">
      <c r="A6440" t="str">
        <f>"20190303154649981"</f>
        <v>20190303154649981</v>
      </c>
      <c r="B6440" t="str">
        <f>"1551599209978408"</f>
        <v>1551599209978408</v>
      </c>
      <c r="C6440" t="s">
        <v>40</v>
      </c>
      <c r="D6440">
        <v>5.1423269999999999</v>
      </c>
      <c r="E6440">
        <v>0.5241962</v>
      </c>
      <c r="F6440" t="s">
        <v>52</v>
      </c>
      <c r="G6440">
        <v>-168.45060000000001</v>
      </c>
      <c r="H6440">
        <v>0.93579100000000004</v>
      </c>
      <c r="I6440">
        <v>-65.925759999999997</v>
      </c>
      <c r="J6440">
        <v>-260.92140000000001</v>
      </c>
      <c r="K6440">
        <v>1.1211310000000001</v>
      </c>
      <c r="L6440">
        <v>-62.761110000000002</v>
      </c>
      <c r="M6440">
        <v>0.99992899999999996</v>
      </c>
      <c r="N6440">
        <v>-1.170297E-2</v>
      </c>
      <c r="O6440">
        <v>-2.252965E-3</v>
      </c>
      <c r="P6440">
        <v>0.99738059999999995</v>
      </c>
      <c r="Q6440">
        <v>-6.4898070000000002E-2</v>
      </c>
      <c r="R6440">
        <v>3.1946839999999997E-2</v>
      </c>
      <c r="S6440">
        <v>3.0107119999999998</v>
      </c>
      <c r="T6440">
        <v>-6.0268639999999998E-3</v>
      </c>
      <c r="U6440">
        <v>-0.10290530000000001</v>
      </c>
      <c r="V6440">
        <v>-3.4170560000000003E-2</v>
      </c>
      <c r="W6440">
        <v>-5.3237340000000001E-2</v>
      </c>
      <c r="X6440">
        <v>0.99799700000000002</v>
      </c>
      <c r="Y6440">
        <v>3.190755E-2</v>
      </c>
      <c r="Z6440">
        <v>-2.4054710000000001E-4</v>
      </c>
      <c r="AA6440">
        <v>0.99949080000000001</v>
      </c>
      <c r="AB6440">
        <v>24</v>
      </c>
      <c r="AC6440">
        <v>92.470799999999997</v>
      </c>
      <c r="AD6440">
        <v>-0.18533999999999901</v>
      </c>
      <c r="AE6440">
        <v>-3.16465</v>
      </c>
      <c r="AF6440">
        <v>2.95628236520183</v>
      </c>
      <c r="AG6440">
        <v>-0.18533999999999901</v>
      </c>
      <c r="AH6440">
        <v>92.477324547274804</v>
      </c>
      <c r="AI6440">
        <v>90.114771526366098</v>
      </c>
      <c r="AJ6440">
        <v>88.169012352868194</v>
      </c>
      <c r="AK6440">
        <v>92.524750806259405</v>
      </c>
      <c r="AL6440">
        <v>93.051717814434696</v>
      </c>
      <c r="AM6440">
        <v>91.960992210170701</v>
      </c>
      <c r="AN6440">
        <v>0.99999992677499105</v>
      </c>
    </row>
    <row r="6441" spans="1:40" x14ac:dyDescent="0.25">
      <c r="A6441" t="str">
        <f>"20190303154649992"</f>
        <v>20190303154649992</v>
      </c>
      <c r="B6441" t="str">
        <f>"1551599209988169"</f>
        <v>1551599209988169</v>
      </c>
      <c r="C6441" t="s">
        <v>40</v>
      </c>
      <c r="D6441">
        <v>5.1680440000000001</v>
      </c>
      <c r="E6441">
        <v>0.52254639999999997</v>
      </c>
      <c r="F6441" t="s">
        <v>52</v>
      </c>
      <c r="G6441">
        <v>-168.45060000000001</v>
      </c>
      <c r="H6441">
        <v>0.64799399999999996</v>
      </c>
      <c r="I6441">
        <v>-65.726590000000002</v>
      </c>
      <c r="J6441">
        <v>-260.7996</v>
      </c>
      <c r="K6441">
        <v>1.1211370000000001</v>
      </c>
      <c r="L6441">
        <v>-62.761200000000002</v>
      </c>
      <c r="M6441">
        <v>0.99992829999999999</v>
      </c>
      <c r="N6441">
        <v>-1.179856E-2</v>
      </c>
      <c r="O6441">
        <v>-2.0883669999999998E-3</v>
      </c>
      <c r="P6441">
        <v>0.9973746</v>
      </c>
      <c r="Q6441">
        <v>-6.4890760000000006E-2</v>
      </c>
      <c r="R6441">
        <v>3.2144190000000003E-2</v>
      </c>
      <c r="S6441">
        <v>3.0099490000000002</v>
      </c>
      <c r="T6441">
        <v>-1.5401359999999999E-2</v>
      </c>
      <c r="U6441">
        <v>-9.6527100000000005E-2</v>
      </c>
      <c r="V6441">
        <v>-3.4204529999999997E-2</v>
      </c>
      <c r="W6441">
        <v>-5.3134170000000001E-2</v>
      </c>
      <c r="X6441">
        <v>0.99800140000000004</v>
      </c>
      <c r="Y6441">
        <v>2.9964109999999999E-2</v>
      </c>
      <c r="Z6441">
        <v>-2.6741420000000001E-4</v>
      </c>
      <c r="AA6441">
        <v>0.99955090000000002</v>
      </c>
      <c r="AB6441">
        <v>24</v>
      </c>
      <c r="AC6441">
        <v>92.349000000000004</v>
      </c>
      <c r="AD6441">
        <v>-0.47314299999999998</v>
      </c>
      <c r="AE6441">
        <v>-2.9653900000000002</v>
      </c>
      <c r="AF6441">
        <v>2.7724388201851</v>
      </c>
      <c r="AG6441">
        <v>-0.47314299999999998</v>
      </c>
      <c r="AH6441">
        <v>92.352570136697906</v>
      </c>
      <c r="AI6441">
        <v>90.293404426809204</v>
      </c>
      <c r="AJ6441">
        <v>88.280488024021906</v>
      </c>
      <c r="AK6441">
        <v>92.395386747195403</v>
      </c>
      <c r="AL6441">
        <v>93.045798030758704</v>
      </c>
      <c r="AM6441">
        <v>91.962931520777701</v>
      </c>
      <c r="AN6441">
        <v>0.99999999214803403</v>
      </c>
    </row>
    <row r="6442" spans="1:40" x14ac:dyDescent="0.25">
      <c r="A6442" t="str">
        <f>"20190303154650002"</f>
        <v>20190303154650002</v>
      </c>
      <c r="B6442" t="str">
        <f>"1551599209997928"</f>
        <v>1551599209997928</v>
      </c>
      <c r="C6442" t="s">
        <v>40</v>
      </c>
      <c r="D6442">
        <v>5.1669429999999998</v>
      </c>
      <c r="E6442">
        <v>0.52130859999999901</v>
      </c>
      <c r="F6442" t="s">
        <v>52</v>
      </c>
      <c r="G6442">
        <v>-157.3501</v>
      </c>
      <c r="H6442">
        <v>0.1738701</v>
      </c>
      <c r="I6442">
        <v>-65.606840000000005</v>
      </c>
      <c r="J6442">
        <v>-260.6884</v>
      </c>
      <c r="K6442">
        <v>1.1211409999999999</v>
      </c>
      <c r="L6442">
        <v>-62.76126</v>
      </c>
      <c r="M6442">
        <v>0.99992749999999997</v>
      </c>
      <c r="N6442">
        <v>-1.1884810000000001E-2</v>
      </c>
      <c r="O6442">
        <v>-1.9388439999999999E-3</v>
      </c>
      <c r="P6442">
        <v>0.99738919999999998</v>
      </c>
      <c r="Q6442">
        <v>-6.4615560000000002E-2</v>
      </c>
      <c r="R6442">
        <v>3.2249409999999999E-2</v>
      </c>
      <c r="S6442">
        <v>3.008759</v>
      </c>
      <c r="T6442">
        <v>-2.755117E-2</v>
      </c>
      <c r="U6442">
        <v>-8.2763669999999998E-2</v>
      </c>
      <c r="V6442">
        <v>-3.4161410000000003E-2</v>
      </c>
      <c r="W6442">
        <v>-5.277225E-2</v>
      </c>
      <c r="X6442">
        <v>0.99802210000000002</v>
      </c>
      <c r="Y6442">
        <v>2.5556430000000002E-2</v>
      </c>
      <c r="Z6442">
        <v>-2.7418290000000002E-4</v>
      </c>
      <c r="AA6442">
        <v>0.99967340000000005</v>
      </c>
      <c r="AB6442">
        <v>24</v>
      </c>
      <c r="AC6442">
        <v>103.3383</v>
      </c>
      <c r="AD6442">
        <v>-0.94727090000000003</v>
      </c>
      <c r="AE6442">
        <v>-2.84558</v>
      </c>
      <c r="AF6442">
        <v>2.6449815726169499</v>
      </c>
      <c r="AG6442">
        <v>-0.94727090000000003</v>
      </c>
      <c r="AH6442">
        <v>103.334946782759</v>
      </c>
      <c r="AI6442">
        <v>90.525043432939299</v>
      </c>
      <c r="AJ6442">
        <v>88.533766138474107</v>
      </c>
      <c r="AK6442">
        <v>103.373132274654</v>
      </c>
      <c r="AL6442">
        <v>93.025032346975905</v>
      </c>
      <c r="AM6442">
        <v>91.960418249756202</v>
      </c>
      <c r="AN6442">
        <v>1.0000000121958299</v>
      </c>
    </row>
    <row r="6443" spans="1:40" x14ac:dyDescent="0.25">
      <c r="A6443" t="str">
        <f>"20190303154650012"</f>
        <v>20190303154650012</v>
      </c>
      <c r="B6443" t="str">
        <f>"1551599210008664"</f>
        <v>1551599210008664</v>
      </c>
      <c r="C6443" t="s">
        <v>40</v>
      </c>
      <c r="D6443">
        <v>5.1557820000000003</v>
      </c>
      <c r="E6443">
        <v>0.52036199999999999</v>
      </c>
      <c r="F6443" t="s">
        <v>60</v>
      </c>
      <c r="G6443">
        <v>-175.46099999999899</v>
      </c>
      <c r="H6443">
        <v>7.9986539999999995E-2</v>
      </c>
      <c r="I6443">
        <v>-64.819310000000002</v>
      </c>
      <c r="J6443">
        <v>-260.58260000000001</v>
      </c>
      <c r="K6443">
        <v>1.1211500000000001</v>
      </c>
      <c r="L6443">
        <v>-62.761319999999998</v>
      </c>
      <c r="M6443">
        <v>0.9999268</v>
      </c>
      <c r="N6443">
        <v>-1.196269E-2</v>
      </c>
      <c r="O6443">
        <v>-1.8001999999999901E-3</v>
      </c>
      <c r="P6443">
        <v>0.99738789999999999</v>
      </c>
      <c r="Q6443">
        <v>-6.4656099999999994E-2</v>
      </c>
      <c r="R6443">
        <v>3.2203629999999997E-2</v>
      </c>
      <c r="S6443">
        <v>3.0078130000000001</v>
      </c>
      <c r="T6443">
        <v>-3.6743999999999999E-2</v>
      </c>
      <c r="U6443">
        <v>-7.2631840000000003E-2</v>
      </c>
      <c r="V6443">
        <v>-3.3977779999999999E-2</v>
      </c>
      <c r="W6443">
        <v>-5.2734830000000003E-2</v>
      </c>
      <c r="X6443">
        <v>0.99803039999999998</v>
      </c>
      <c r="Y6443">
        <v>2.2337550000000001E-2</v>
      </c>
      <c r="Z6443">
        <v>-2.696032E-4</v>
      </c>
      <c r="AA6443">
        <v>0.99975040000000004</v>
      </c>
      <c r="AB6443">
        <v>24</v>
      </c>
      <c r="AC6443">
        <v>85.121600000000001</v>
      </c>
      <c r="AD6443">
        <v>-1.0411634599999999</v>
      </c>
      <c r="AE6443">
        <v>-2.0579900000000002</v>
      </c>
      <c r="AF6443">
        <v>1.9044550336463999</v>
      </c>
      <c r="AG6443">
        <v>-1.0411634599999999</v>
      </c>
      <c r="AH6443">
        <v>85.112440946559403</v>
      </c>
      <c r="AI6443">
        <v>90.700677482848704</v>
      </c>
      <c r="AJ6443">
        <v>88.718177633944805</v>
      </c>
      <c r="AK6443">
        <v>85.140111429379701</v>
      </c>
      <c r="AL6443">
        <v>93.022885187859202</v>
      </c>
      <c r="AM6443">
        <v>91.949872241957394</v>
      </c>
      <c r="AN6443">
        <v>1.0000000655765</v>
      </c>
    </row>
    <row r="6444" spans="1:40" x14ac:dyDescent="0.25">
      <c r="A6444" t="str">
        <f>"20190303154650022"</f>
        <v>20190303154650022</v>
      </c>
      <c r="B6444" t="str">
        <f>"1551599210018425"</f>
        <v>1551599210018425</v>
      </c>
      <c r="C6444" t="s">
        <v>40</v>
      </c>
      <c r="D6444">
        <v>5.1733120000000001</v>
      </c>
      <c r="E6444">
        <v>0.5195497</v>
      </c>
      <c r="F6444" t="s">
        <v>60</v>
      </c>
      <c r="G6444">
        <v>-184.00790000000001</v>
      </c>
      <c r="H6444" s="1">
        <v>-9.1702790000000002E-6</v>
      </c>
      <c r="I6444">
        <v>-64.425129999999996</v>
      </c>
      <c r="J6444">
        <v>-260.483</v>
      </c>
      <c r="K6444">
        <v>1.1211610000000001</v>
      </c>
      <c r="L6444">
        <v>-62.76135</v>
      </c>
      <c r="M6444">
        <v>0.99992630000000005</v>
      </c>
      <c r="N6444">
        <v>-1.2034970000000001E-2</v>
      </c>
      <c r="O6444">
        <v>-1.6699849999999999E-3</v>
      </c>
      <c r="P6444">
        <v>0.99737290000000001</v>
      </c>
      <c r="Q6444">
        <v>-6.4903799999999998E-2</v>
      </c>
      <c r="R6444">
        <v>3.217805E-2</v>
      </c>
      <c r="S6444">
        <v>3.0071110000000001</v>
      </c>
      <c r="T6444">
        <v>-4.4028280000000003E-2</v>
      </c>
      <c r="U6444">
        <v>-6.5338129999999994E-2</v>
      </c>
      <c r="V6444">
        <v>-3.3821850000000001E-2</v>
      </c>
      <c r="W6444">
        <v>-5.2910329999999998E-2</v>
      </c>
      <c r="X6444">
        <v>0.99802639999999998</v>
      </c>
      <c r="Y6444">
        <v>2.00491E-2</v>
      </c>
      <c r="Z6444">
        <v>-2.6307369999999997E-4</v>
      </c>
      <c r="AA6444">
        <v>0.99979899999999999</v>
      </c>
      <c r="AB6444">
        <v>24</v>
      </c>
      <c r="AC6444">
        <v>76.475099999999998</v>
      </c>
      <c r="AD6444">
        <v>-1.121170170279</v>
      </c>
      <c r="AE6444">
        <v>-1.66378</v>
      </c>
      <c r="AF6444">
        <v>1.5357262528214299</v>
      </c>
      <c r="AG6444">
        <v>-1.121170170279</v>
      </c>
      <c r="AH6444">
        <v>76.461345747930096</v>
      </c>
      <c r="AI6444">
        <v>90.839911519636402</v>
      </c>
      <c r="AJ6444">
        <v>88.849368883640906</v>
      </c>
      <c r="AK6444">
        <v>76.484984613052305</v>
      </c>
      <c r="AL6444">
        <v>93.032954677891198</v>
      </c>
      <c r="AM6444">
        <v>91.940938568895305</v>
      </c>
      <c r="AN6444">
        <v>1.0000000578275401</v>
      </c>
    </row>
    <row r="6445" spans="1:40" x14ac:dyDescent="0.25">
      <c r="A6445" t="str">
        <f>"20190303154650032"</f>
        <v>20190303154650032</v>
      </c>
      <c r="B6445" t="str">
        <f>"1551599210028185"</f>
        <v>1551599210028185</v>
      </c>
      <c r="C6445" t="s">
        <v>40</v>
      </c>
      <c r="D6445">
        <v>5.1584820000000002</v>
      </c>
      <c r="E6445">
        <v>0.51876429999999996</v>
      </c>
      <c r="F6445" t="s">
        <v>60</v>
      </c>
      <c r="G6445">
        <v>-194.334</v>
      </c>
      <c r="H6445" s="1">
        <v>-8.2281009999999994E-6</v>
      </c>
      <c r="I6445">
        <v>-64.058599999999998</v>
      </c>
      <c r="J6445">
        <v>-260.37549999999999</v>
      </c>
      <c r="K6445">
        <v>1.1211690000000001</v>
      </c>
      <c r="L6445">
        <v>-62.761380000000003</v>
      </c>
      <c r="M6445">
        <v>0.99992570000000003</v>
      </c>
      <c r="N6445">
        <v>-1.2104520000000001E-2</v>
      </c>
      <c r="O6445">
        <v>-1.5330459999999999E-3</v>
      </c>
      <c r="P6445">
        <v>0.99737710000000002</v>
      </c>
      <c r="Q6445">
        <v>-6.4915539999999994E-2</v>
      </c>
      <c r="R6445">
        <v>3.2015330000000002E-2</v>
      </c>
      <c r="S6445">
        <v>3.0064700000000002</v>
      </c>
      <c r="T6445">
        <v>-5.0957080000000002E-2</v>
      </c>
      <c r="U6445">
        <v>-5.8959959999999999E-2</v>
      </c>
      <c r="V6445">
        <v>-3.3522139999999999E-2</v>
      </c>
      <c r="W6445">
        <v>-5.285252E-2</v>
      </c>
      <c r="X6445">
        <v>0.99803949999999997</v>
      </c>
      <c r="Y6445">
        <v>1.806994E-2</v>
      </c>
      <c r="Z6445">
        <v>-2.5507729999999998E-4</v>
      </c>
      <c r="AA6445">
        <v>0.99983670000000002</v>
      </c>
      <c r="AB6445">
        <v>24</v>
      </c>
      <c r="AC6445">
        <v>66.0414999999999</v>
      </c>
      <c r="AD6445">
        <v>-1.121177228101</v>
      </c>
      <c r="AE6445">
        <v>-1.29721999999999</v>
      </c>
      <c r="AF6445">
        <v>1.1956219521778899</v>
      </c>
      <c r="AG6445">
        <v>-1.121177228101</v>
      </c>
      <c r="AH6445">
        <v>66.024389428627302</v>
      </c>
      <c r="AI6445">
        <v>90.972701496558599</v>
      </c>
      <c r="AJ6445">
        <v>88.962556024008705</v>
      </c>
      <c r="AK6445">
        <v>66.044731429935993</v>
      </c>
      <c r="AL6445">
        <v>93.029637994499893</v>
      </c>
      <c r="AM6445">
        <v>91.923726824618896</v>
      </c>
      <c r="AN6445">
        <v>0.99999998315038896</v>
      </c>
    </row>
    <row r="6446" spans="1:40" x14ac:dyDescent="0.25">
      <c r="A6446" t="str">
        <f>"20190303154650044"</f>
        <v>20190303154650044</v>
      </c>
      <c r="B6446" t="str">
        <f>"1551599210037944"</f>
        <v>1551599210037944</v>
      </c>
      <c r="C6446" t="s">
        <v>40</v>
      </c>
      <c r="D6446">
        <v>5.1535760000000002</v>
      </c>
      <c r="E6446">
        <v>0.51818469999999905</v>
      </c>
      <c r="F6446" t="s">
        <v>60</v>
      </c>
      <c r="G6446">
        <v>-200.51140000000001</v>
      </c>
      <c r="H6446" s="1">
        <v>-5.6416520000000001E-6</v>
      </c>
      <c r="I6446">
        <v>-63.821309999999997</v>
      </c>
      <c r="J6446">
        <v>-260.25389999999999</v>
      </c>
      <c r="K6446">
        <v>1.121176</v>
      </c>
      <c r="L6446">
        <v>-62.761409999999998</v>
      </c>
      <c r="M6446">
        <v>0.99992510000000001</v>
      </c>
      <c r="N6446">
        <v>-1.218004E-2</v>
      </c>
      <c r="O6446">
        <v>-1.378375E-3</v>
      </c>
      <c r="P6446">
        <v>0.99739580000000005</v>
      </c>
      <c r="Q6446">
        <v>-6.476527E-2</v>
      </c>
      <c r="R6446">
        <v>3.1746789999999997E-2</v>
      </c>
      <c r="S6446">
        <v>3.0059809999999998</v>
      </c>
      <c r="T6446">
        <v>-5.6298019999999997E-2</v>
      </c>
      <c r="U6446">
        <v>-5.3222659999999998E-2</v>
      </c>
      <c r="V6446">
        <v>-3.309993E-2</v>
      </c>
      <c r="W6446">
        <v>-5.2626560000000003E-2</v>
      </c>
      <c r="X6446">
        <v>0.99806550000000005</v>
      </c>
      <c r="Y6446">
        <v>1.6319839999999999E-2</v>
      </c>
      <c r="Z6446">
        <v>-2.4318979999999999E-4</v>
      </c>
      <c r="AA6446">
        <v>0.99986679999999994</v>
      </c>
      <c r="AB6446">
        <v>24</v>
      </c>
      <c r="AC6446">
        <v>59.7424999999999</v>
      </c>
      <c r="AD6446">
        <v>-1.121181641652</v>
      </c>
      <c r="AE6446">
        <v>-1.0598999999999901</v>
      </c>
      <c r="AF6446">
        <v>0.97720127581628202</v>
      </c>
      <c r="AG6446">
        <v>-1.121181641652</v>
      </c>
      <c r="AH6446">
        <v>59.722876710041803</v>
      </c>
      <c r="AI6446">
        <v>91.075347343231101</v>
      </c>
      <c r="AJ6446">
        <v>89.062595170308299</v>
      </c>
      <c r="AK6446">
        <v>59.741392460587001</v>
      </c>
      <c r="AL6446">
        <v>93.016673493472695</v>
      </c>
      <c r="AM6446">
        <v>91.899465978932895</v>
      </c>
      <c r="AN6446">
        <v>0.99999995123684304</v>
      </c>
    </row>
    <row r="6447" spans="1:40" x14ac:dyDescent="0.25">
      <c r="A6447" t="str">
        <f>"20190303154650054"</f>
        <v>20190303154650054</v>
      </c>
      <c r="B6447" t="str">
        <f>"1551599210048183"</f>
        <v>1551599210048183</v>
      </c>
      <c r="C6447" t="s">
        <v>40</v>
      </c>
      <c r="D6447">
        <v>5.193943</v>
      </c>
      <c r="E6447">
        <v>0.51768459999999905</v>
      </c>
      <c r="F6447" t="s">
        <v>60</v>
      </c>
      <c r="G6447">
        <v>-203.24799999999999</v>
      </c>
      <c r="H6447" s="1">
        <v>-4.2401460000000003E-6</v>
      </c>
      <c r="I6447">
        <v>-63.699109999999997</v>
      </c>
      <c r="J6447">
        <v>-260.1361</v>
      </c>
      <c r="K6447">
        <v>1.121184</v>
      </c>
      <c r="L6447">
        <v>-62.761409999999998</v>
      </c>
      <c r="M6447">
        <v>0.99992429999999999</v>
      </c>
      <c r="N6447">
        <v>-1.2242690000000001E-2</v>
      </c>
      <c r="O6447">
        <v>-1.2299310000000001E-3</v>
      </c>
      <c r="P6447">
        <v>0.99737549999999997</v>
      </c>
      <c r="Q6447">
        <v>-6.5102930000000003E-2</v>
      </c>
      <c r="R6447">
        <v>3.1680100000000003E-2</v>
      </c>
      <c r="S6447">
        <v>3.0055540000000001</v>
      </c>
      <c r="T6447">
        <v>-5.9112669999999999E-2</v>
      </c>
      <c r="U6447">
        <v>-4.943848E-2</v>
      </c>
      <c r="V6447">
        <v>-3.2884330000000003E-2</v>
      </c>
      <c r="W6447">
        <v>-5.2902039999999997E-2</v>
      </c>
      <c r="X6447">
        <v>0.99805809999999995</v>
      </c>
      <c r="Y6447">
        <v>1.521221E-2</v>
      </c>
      <c r="Z6447">
        <v>-2.3358499999999999E-4</v>
      </c>
      <c r="AA6447">
        <v>0.9998842</v>
      </c>
      <c r="AB6447">
        <v>24</v>
      </c>
      <c r="AC6447">
        <v>56.888100000000001</v>
      </c>
      <c r="AD6447">
        <v>-1.121188240146</v>
      </c>
      <c r="AE6447">
        <v>-0.93769999999999898</v>
      </c>
      <c r="AF6447">
        <v>0.867388779421712</v>
      </c>
      <c r="AG6447">
        <v>-1.121188240146</v>
      </c>
      <c r="AH6447">
        <v>56.867127386195499</v>
      </c>
      <c r="AI6447">
        <v>91.129361846840695</v>
      </c>
      <c r="AJ6447">
        <v>89.126140795138298</v>
      </c>
      <c r="AK6447">
        <v>56.884792374784098</v>
      </c>
      <c r="AL6447">
        <v>93.032479241747197</v>
      </c>
      <c r="AM6447">
        <v>91.887116556935396</v>
      </c>
      <c r="AN6447">
        <v>0.99999998798566003</v>
      </c>
    </row>
    <row r="6448" spans="1:40" x14ac:dyDescent="0.25">
      <c r="A6448" t="str">
        <f>"20190303154650066"</f>
        <v>20190303154650066</v>
      </c>
      <c r="B6448" t="str">
        <f>"1551599210057943"</f>
        <v>1551599210057943</v>
      </c>
      <c r="C6448" t="s">
        <v>40</v>
      </c>
      <c r="D6448">
        <v>5.1819730000000002</v>
      </c>
      <c r="E6448">
        <v>0.51725209999999999</v>
      </c>
      <c r="F6448" t="s">
        <v>60</v>
      </c>
      <c r="G6448">
        <v>-206.91399999999999</v>
      </c>
      <c r="H6448" s="1">
        <v>-2.376744E-6</v>
      </c>
      <c r="I6448">
        <v>-63.569929999999999</v>
      </c>
      <c r="J6448">
        <v>-260.01560000000001</v>
      </c>
      <c r="K6448">
        <v>1.121189</v>
      </c>
      <c r="L6448">
        <v>-62.76135</v>
      </c>
      <c r="M6448">
        <v>0.99992380000000003</v>
      </c>
      <c r="N6448">
        <v>-1.229966E-2</v>
      </c>
      <c r="O6448">
        <v>-1.0782330000000001E-3</v>
      </c>
      <c r="P6448">
        <v>0.99734889999999998</v>
      </c>
      <c r="Q6448">
        <v>-6.5540749999999995E-2</v>
      </c>
      <c r="R6448">
        <v>3.1616789999999999E-2</v>
      </c>
      <c r="S6448">
        <v>3.0052189999999999</v>
      </c>
      <c r="T6448">
        <v>-6.330848E-2</v>
      </c>
      <c r="U6448">
        <v>-4.5654300000000002E-2</v>
      </c>
      <c r="V6448">
        <v>-3.2669030000000002E-2</v>
      </c>
      <c r="W6448">
        <v>-5.3283400000000002E-2</v>
      </c>
      <c r="X6448">
        <v>0.99804490000000001</v>
      </c>
      <c r="Y6448">
        <v>1.4106809999999999E-2</v>
      </c>
      <c r="Z6448">
        <v>-2.2589189999999999E-4</v>
      </c>
      <c r="AA6448">
        <v>0.99990049999999997</v>
      </c>
      <c r="AB6448">
        <v>24</v>
      </c>
      <c r="AC6448">
        <v>53.101599999999898</v>
      </c>
      <c r="AD6448">
        <v>-1.121191376744</v>
      </c>
      <c r="AE6448">
        <v>-0.80858000000000596</v>
      </c>
      <c r="AF6448">
        <v>0.75098458791773803</v>
      </c>
      <c r="AG6448">
        <v>-1.121191376744</v>
      </c>
      <c r="AH6448">
        <v>53.078783764818802</v>
      </c>
      <c r="AI6448">
        <v>91.209966614244806</v>
      </c>
      <c r="AJ6448">
        <v>89.189405379469704</v>
      </c>
      <c r="AK6448">
        <v>53.095935191942601</v>
      </c>
      <c r="AL6448">
        <v>93.054360372164993</v>
      </c>
      <c r="AM6448">
        <v>91.874794867546996</v>
      </c>
      <c r="AN6448">
        <v>1.0000000043263499</v>
      </c>
    </row>
    <row r="6449" spans="1:40" x14ac:dyDescent="0.25">
      <c r="A6449" t="str">
        <f>"20190303154650076"</f>
        <v>20190303154650076</v>
      </c>
      <c r="B6449" t="str">
        <f>"1551599210068679"</f>
        <v>1551599210068679</v>
      </c>
      <c r="C6449" t="s">
        <v>40</v>
      </c>
      <c r="D6449">
        <v>5.1849509999999999</v>
      </c>
      <c r="E6449">
        <v>0.51679529999999996</v>
      </c>
      <c r="F6449" t="s">
        <v>43</v>
      </c>
      <c r="G6449">
        <v>-207.79429999999999</v>
      </c>
      <c r="H6449">
        <v>-0.05</v>
      </c>
      <c r="I6449">
        <v>-63.497500000000002</v>
      </c>
      <c r="J6449">
        <v>-259.89870000000002</v>
      </c>
      <c r="K6449">
        <v>1.121191</v>
      </c>
      <c r="L6449">
        <v>-62.761319999999998</v>
      </c>
      <c r="M6449">
        <v>0.99992349999999997</v>
      </c>
      <c r="N6449">
        <v>-1.2346019999999999E-2</v>
      </c>
      <c r="O6449">
        <v>-9.3052460000000005E-4</v>
      </c>
      <c r="P6449">
        <v>0.99736130000000001</v>
      </c>
      <c r="Q6449">
        <v>-6.5388249999999995E-2</v>
      </c>
      <c r="R6449">
        <v>3.15427E-2</v>
      </c>
      <c r="S6449">
        <v>3.004883</v>
      </c>
      <c r="T6449">
        <v>-6.739175E-2</v>
      </c>
      <c r="U6449">
        <v>-4.2358399999999997E-2</v>
      </c>
      <c r="V6449">
        <v>-3.24476E-2</v>
      </c>
      <c r="W6449">
        <v>-5.3084590000000001E-2</v>
      </c>
      <c r="X6449">
        <v>0.99806269999999997</v>
      </c>
      <c r="Y6449">
        <v>1.3159529999999999E-2</v>
      </c>
      <c r="Z6449">
        <v>-2.1942009999999999E-4</v>
      </c>
      <c r="AA6449">
        <v>0.99991339999999995</v>
      </c>
      <c r="AB6449">
        <v>24</v>
      </c>
      <c r="AC6449">
        <v>52.104399999999998</v>
      </c>
      <c r="AD6449">
        <v>-1.1711910000000001</v>
      </c>
      <c r="AE6449">
        <v>-0.73618000000000405</v>
      </c>
      <c r="AF6449">
        <v>0.68734435522780901</v>
      </c>
      <c r="AG6449">
        <v>-1.1711910000000001</v>
      </c>
      <c r="AH6449">
        <v>52.078754964926098</v>
      </c>
      <c r="AI6449">
        <v>91.288186542970607</v>
      </c>
      <c r="AJ6449">
        <v>89.243844361809593</v>
      </c>
      <c r="AK6449">
        <v>52.0964571666631</v>
      </c>
      <c r="AL6449">
        <v>93.042953307540699</v>
      </c>
      <c r="AM6449">
        <v>91.8620633375035</v>
      </c>
      <c r="AN6449">
        <v>0.99999998678625801</v>
      </c>
    </row>
    <row r="6450" spans="1:40" x14ac:dyDescent="0.25">
      <c r="A6450" t="str">
        <f>"20190303154650089"</f>
        <v>20190303154650089</v>
      </c>
      <c r="B6450" t="str">
        <f>"1551599210078439"</f>
        <v>1551599210078439</v>
      </c>
      <c r="C6450" t="s">
        <v>40</v>
      </c>
      <c r="D6450">
        <v>5.1698339999999998</v>
      </c>
      <c r="E6450">
        <v>0.51625730000000003</v>
      </c>
      <c r="F6450" t="s">
        <v>73</v>
      </c>
      <c r="G6450">
        <v>-211.78639999999999</v>
      </c>
      <c r="H6450" s="1">
        <v>-5.3364949999999995E-7</v>
      </c>
      <c r="I6450">
        <v>-63.383839999999999</v>
      </c>
      <c r="J6450">
        <v>-259.77940000000001</v>
      </c>
      <c r="K6450">
        <v>1.121194</v>
      </c>
      <c r="L6450">
        <v>-62.76126</v>
      </c>
      <c r="M6450">
        <v>0.99992309999999995</v>
      </c>
      <c r="N6450">
        <v>-1.238213E-2</v>
      </c>
      <c r="O6450">
        <v>-7.7929050000000004E-4</v>
      </c>
      <c r="P6450">
        <v>0.9973417</v>
      </c>
      <c r="Q6450">
        <v>-6.550512E-2</v>
      </c>
      <c r="R6450">
        <v>3.1918019999999998E-2</v>
      </c>
      <c r="S6450">
        <v>3.0045470000000001</v>
      </c>
      <c r="T6450">
        <v>-7.001686E-2</v>
      </c>
      <c r="U6450">
        <v>-3.887939E-2</v>
      </c>
      <c r="V6450">
        <v>-3.2671140000000001E-2</v>
      </c>
      <c r="W6450">
        <v>-5.3166020000000001E-2</v>
      </c>
      <c r="X6450">
        <v>0.99805109999999997</v>
      </c>
      <c r="Y6450">
        <v>1.215481E-2</v>
      </c>
      <c r="Z6450">
        <v>-2.0836490000000001E-4</v>
      </c>
      <c r="AA6450">
        <v>0.99992610000000004</v>
      </c>
      <c r="AB6450">
        <v>24</v>
      </c>
      <c r="AC6450">
        <v>47.993000000000002</v>
      </c>
      <c r="AD6450">
        <v>-1.1211945336494999</v>
      </c>
      <c r="AE6450">
        <v>-0.62257999999999902</v>
      </c>
      <c r="AF6450">
        <v>0.58485731571016597</v>
      </c>
      <c r="AG6450">
        <v>-1.1211945336494999</v>
      </c>
      <c r="AH6450">
        <v>47.967296137868502</v>
      </c>
      <c r="AI6450">
        <v>91.338896554378096</v>
      </c>
      <c r="AJ6450">
        <v>89.301436643917</v>
      </c>
      <c r="AK6450">
        <v>47.983962258654699</v>
      </c>
      <c r="AL6450">
        <v>93.047625418827295</v>
      </c>
      <c r="AM6450">
        <v>91.874904229944804</v>
      </c>
      <c r="AN6450">
        <v>1.00000001364137</v>
      </c>
    </row>
    <row r="6451" spans="1:40" x14ac:dyDescent="0.25">
      <c r="A6451" t="str">
        <f>"20190303154650099"</f>
        <v>20190303154650099</v>
      </c>
      <c r="B6451" t="str">
        <f>"1551599210088199"</f>
        <v>1551599210088199</v>
      </c>
      <c r="C6451" t="s">
        <v>40</v>
      </c>
      <c r="D6451">
        <v>5.2064890000000004</v>
      </c>
      <c r="E6451">
        <v>0.51580199999999998</v>
      </c>
      <c r="F6451" t="s">
        <v>73</v>
      </c>
      <c r="G6451">
        <v>-213.72710000000001</v>
      </c>
      <c r="H6451" s="1">
        <v>-1.337196E-6</v>
      </c>
      <c r="I6451">
        <v>-63.274850000000001</v>
      </c>
      <c r="J6451">
        <v>-259.65269999999998</v>
      </c>
      <c r="K6451">
        <v>1.121192</v>
      </c>
      <c r="L6451">
        <v>-62.761139999999997</v>
      </c>
      <c r="M6451">
        <v>0.9999228</v>
      </c>
      <c r="N6451">
        <v>-1.241368E-2</v>
      </c>
      <c r="O6451">
        <v>-6.1788920000000001E-4</v>
      </c>
      <c r="P6451">
        <v>0.99734310000000004</v>
      </c>
      <c r="Q6451">
        <v>-6.5454659999999998E-2</v>
      </c>
      <c r="R6451">
        <v>3.1975530000000002E-2</v>
      </c>
      <c r="S6451">
        <v>3.0042719999999998</v>
      </c>
      <c r="T6451">
        <v>-7.3142289999999999E-2</v>
      </c>
      <c r="U6451">
        <v>-3.3508299999999998E-2</v>
      </c>
      <c r="V6451">
        <v>-3.256705E-2</v>
      </c>
      <c r="W6451">
        <v>-5.3084319999999997E-2</v>
      </c>
      <c r="X6451">
        <v>0.99805889999999997</v>
      </c>
      <c r="Y6451">
        <v>1.0530289999999999E-2</v>
      </c>
      <c r="Z6451">
        <v>-1.86171E-4</v>
      </c>
      <c r="AA6451">
        <v>0.99994450000000001</v>
      </c>
      <c r="AB6451">
        <v>24</v>
      </c>
      <c r="AC6451">
        <v>45.925599999999903</v>
      </c>
      <c r="AD6451">
        <v>-1.1211933371959999</v>
      </c>
      <c r="AE6451">
        <v>-0.513709999999996</v>
      </c>
      <c r="AF6451">
        <v>0.48504173214037899</v>
      </c>
      <c r="AG6451">
        <v>-1.1211933371959999</v>
      </c>
      <c r="AH6451">
        <v>45.898556234955102</v>
      </c>
      <c r="AI6451">
        <v>91.399244203614202</v>
      </c>
      <c r="AJ6451">
        <v>89.394538478678101</v>
      </c>
      <c r="AK6451">
        <v>45.914810295095698</v>
      </c>
      <c r="AL6451">
        <v>93.042937584246104</v>
      </c>
      <c r="AM6451">
        <v>91.868920446874</v>
      </c>
      <c r="AN6451">
        <v>1.00000006282238</v>
      </c>
    </row>
    <row r="6452" spans="1:40" x14ac:dyDescent="0.25">
      <c r="A6452" t="str">
        <f>"20190303154650110"</f>
        <v>20190303154650110</v>
      </c>
      <c r="B6452" t="str">
        <f>"1551599210107719"</f>
        <v>1551599210107719</v>
      </c>
      <c r="C6452" t="s">
        <v>40</v>
      </c>
      <c r="D6452">
        <v>5.1907110000000003</v>
      </c>
      <c r="E6452">
        <v>0.51516740000000005</v>
      </c>
      <c r="F6452" t="s">
        <v>73</v>
      </c>
      <c r="G6452">
        <v>-214.3657</v>
      </c>
      <c r="H6452" s="1">
        <v>-1.5939370000000001E-6</v>
      </c>
      <c r="I6452">
        <v>-63.210099999999997</v>
      </c>
      <c r="J6452">
        <v>-259.53829999999999</v>
      </c>
      <c r="K6452">
        <v>1.1211880000000001</v>
      </c>
      <c r="L6452">
        <v>-62.761049999999997</v>
      </c>
      <c r="M6452">
        <v>0.9999228</v>
      </c>
      <c r="N6452">
        <v>-1.24286E-2</v>
      </c>
      <c r="O6452">
        <v>-4.6666550000000001E-4</v>
      </c>
      <c r="P6452">
        <v>0.99735050000000003</v>
      </c>
      <c r="Q6452">
        <v>-6.5290340000000002E-2</v>
      </c>
      <c r="R6452">
        <v>3.2085339999999997E-2</v>
      </c>
      <c r="S6452">
        <v>3.0040589999999998</v>
      </c>
      <c r="T6452">
        <v>-7.4373010000000003E-2</v>
      </c>
      <c r="U6452">
        <v>-2.9785160000000001E-2</v>
      </c>
      <c r="V6452">
        <v>-3.252596E-2</v>
      </c>
      <c r="W6452">
        <v>-5.290516E-2</v>
      </c>
      <c r="X6452">
        <v>0.99806969999999995</v>
      </c>
      <c r="Y6452">
        <v>9.4434940000000002E-3</v>
      </c>
      <c r="Z6452">
        <v>-1.6982799999999999E-4</v>
      </c>
      <c r="AA6452">
        <v>0.99995540000000005</v>
      </c>
      <c r="AB6452">
        <v>24</v>
      </c>
      <c r="AC6452">
        <v>45.172599999999903</v>
      </c>
      <c r="AD6452">
        <v>-1.12118959393699</v>
      </c>
      <c r="AE6452">
        <v>-0.44904999999999901</v>
      </c>
      <c r="AF6452">
        <v>0.427704375507372</v>
      </c>
      <c r="AG6452">
        <v>-1.12118959393699</v>
      </c>
      <c r="AH6452">
        <v>45.144996339422001</v>
      </c>
      <c r="AI6452">
        <v>91.422601692379004</v>
      </c>
      <c r="AJ6452">
        <v>89.457195161415001</v>
      </c>
      <c r="AK6452">
        <v>45.160942102936701</v>
      </c>
      <c r="AL6452">
        <v>93.0326581883118</v>
      </c>
      <c r="AM6452">
        <v>91.866543906661704</v>
      </c>
      <c r="AN6452">
        <v>1.00000001004331</v>
      </c>
    </row>
    <row r="6453" spans="1:40" x14ac:dyDescent="0.25">
      <c r="A6453" t="str">
        <f>"20190303154650122"</f>
        <v>20190303154650122</v>
      </c>
      <c r="B6453" t="str">
        <f>"1551599210118456"</f>
        <v>1551599210118456</v>
      </c>
      <c r="C6453" t="s">
        <v>40</v>
      </c>
      <c r="D6453">
        <v>5.2056500000000003</v>
      </c>
      <c r="E6453">
        <v>0.51502720000000002</v>
      </c>
      <c r="F6453" t="s">
        <v>73</v>
      </c>
      <c r="G6453">
        <v>-215.94200000000001</v>
      </c>
      <c r="H6453" s="1">
        <v>-2.2449439999999998E-6</v>
      </c>
      <c r="I6453">
        <v>-63.115340000000003</v>
      </c>
      <c r="J6453">
        <v>-259.41930000000002</v>
      </c>
      <c r="K6453">
        <v>1.1211880000000001</v>
      </c>
      <c r="L6453">
        <v>-62.760959999999997</v>
      </c>
      <c r="M6453">
        <v>0.99992259999999999</v>
      </c>
      <c r="N6453">
        <v>-1.244147E-2</v>
      </c>
      <c r="O6453">
        <v>-3.0768549999999999E-4</v>
      </c>
      <c r="P6453">
        <v>0.99732920000000003</v>
      </c>
      <c r="Q6453">
        <v>-6.5547110000000006E-2</v>
      </c>
      <c r="R6453">
        <v>3.2219070000000002E-2</v>
      </c>
      <c r="S6453">
        <v>3.0036930000000002</v>
      </c>
      <c r="T6453">
        <v>-7.7247499999999997E-2</v>
      </c>
      <c r="U6453">
        <v>-2.4414060000000001E-2</v>
      </c>
      <c r="V6453">
        <v>-3.2500790000000002E-2</v>
      </c>
      <c r="W6453">
        <v>-5.3149460000000003E-2</v>
      </c>
      <c r="X6453">
        <v>0.99805750000000004</v>
      </c>
      <c r="Y6453">
        <v>7.8162409999999998E-3</v>
      </c>
      <c r="Z6453">
        <v>-1.450426E-4</v>
      </c>
      <c r="AA6453">
        <v>0.99996940000000001</v>
      </c>
      <c r="AB6453">
        <v>24</v>
      </c>
      <c r="AC6453">
        <v>43.4773</v>
      </c>
      <c r="AD6453">
        <v>-1.1211902449440001</v>
      </c>
      <c r="AE6453">
        <v>-0.35438000000000602</v>
      </c>
      <c r="AF6453">
        <v>0.34077500707644498</v>
      </c>
      <c r="AG6453">
        <v>-1.1211902449440001</v>
      </c>
      <c r="AH6453">
        <v>43.4485148568764</v>
      </c>
      <c r="AI6453">
        <v>91.478145835363705</v>
      </c>
      <c r="AJ6453">
        <v>89.5506274636912</v>
      </c>
      <c r="AK6453">
        <v>43.464314540079997</v>
      </c>
      <c r="AL6453">
        <v>93.0466753907845</v>
      </c>
      <c r="AM6453">
        <v>91.865123296910696</v>
      </c>
      <c r="AN6453">
        <v>0.999999969877582</v>
      </c>
    </row>
    <row r="6454" spans="1:40" x14ac:dyDescent="0.25">
      <c r="A6454" t="str">
        <f>"20190303154650132"</f>
        <v>20190303154650132</v>
      </c>
      <c r="B6454" t="str">
        <f>"1551599210128216"</f>
        <v>1551599210128216</v>
      </c>
      <c r="C6454" t="s">
        <v>40</v>
      </c>
      <c r="D6454">
        <v>5.2003570000000003</v>
      </c>
      <c r="E6454">
        <v>0.51479620000000004</v>
      </c>
      <c r="F6454" t="s">
        <v>73</v>
      </c>
      <c r="G6454">
        <v>-217.0907</v>
      </c>
      <c r="H6454" s="1">
        <v>-2.7294929999999999E-6</v>
      </c>
      <c r="I6454">
        <v>-63.084319999999998</v>
      </c>
      <c r="J6454">
        <v>-259.31150000000002</v>
      </c>
      <c r="K6454">
        <v>1.1211799999999901</v>
      </c>
      <c r="L6454">
        <v>-62.760770000000001</v>
      </c>
      <c r="M6454">
        <v>0.99992259999999999</v>
      </c>
      <c r="N6454">
        <v>-1.2441239999999999E-2</v>
      </c>
      <c r="O6454">
        <v>-1.5832429999999999E-4</v>
      </c>
      <c r="P6454">
        <v>0.99730739999999996</v>
      </c>
      <c r="Q6454">
        <v>-6.5740209999999993E-2</v>
      </c>
      <c r="R6454">
        <v>3.2497749999999999E-2</v>
      </c>
      <c r="S6454">
        <v>3.0035400000000001</v>
      </c>
      <c r="T6454">
        <v>-7.9557059999999999E-2</v>
      </c>
      <c r="U6454">
        <v>-2.2949219999999999E-2</v>
      </c>
      <c r="V6454">
        <v>-3.2629909999999998E-2</v>
      </c>
      <c r="W6454">
        <v>-5.3343040000000001E-2</v>
      </c>
      <c r="X6454">
        <v>0.99804300000000001</v>
      </c>
      <c r="Y6454">
        <v>7.47833E-3</v>
      </c>
      <c r="Z6454">
        <v>-1.4333440000000001E-4</v>
      </c>
      <c r="AA6454">
        <v>0.99997199999999997</v>
      </c>
      <c r="AB6454">
        <v>24</v>
      </c>
      <c r="AC6454">
        <v>42.220799999999997</v>
      </c>
      <c r="AD6454">
        <v>-1.1211827294929999</v>
      </c>
      <c r="AE6454">
        <v>-0.323550000000004</v>
      </c>
      <c r="AF6454">
        <v>0.31664162382143102</v>
      </c>
      <c r="AG6454">
        <v>-1.1211827294929999</v>
      </c>
      <c r="AH6454">
        <v>42.191100134804202</v>
      </c>
      <c r="AI6454">
        <v>91.522172107861905</v>
      </c>
      <c r="AJ6454">
        <v>89.570006754937793</v>
      </c>
      <c r="AK6454">
        <v>42.207182365279102</v>
      </c>
      <c r="AL6454">
        <v>93.057782340479704</v>
      </c>
      <c r="AM6454">
        <v>91.8725550289887</v>
      </c>
      <c r="AN6454">
        <v>1.00000001039602</v>
      </c>
    </row>
    <row r="6455" spans="1:40" x14ac:dyDescent="0.25">
      <c r="A6455" t="str">
        <f>"20190303154650157"</f>
        <v>20190303154650157</v>
      </c>
      <c r="B6455" t="str">
        <f>"1551599210148242"</f>
        <v>1551599210148242</v>
      </c>
      <c r="C6455" t="s">
        <v>40</v>
      </c>
      <c r="D6455">
        <v>5.1927589999999997</v>
      </c>
      <c r="E6455">
        <v>0.51425029999999905</v>
      </c>
      <c r="F6455" t="s">
        <v>73</v>
      </c>
      <c r="G6455">
        <v>-217.5865</v>
      </c>
      <c r="H6455" s="1">
        <v>-2.9129169999999999E-6</v>
      </c>
      <c r="I6455">
        <v>-63.041800000000002</v>
      </c>
      <c r="J6455">
        <v>-259.05410000000001</v>
      </c>
      <c r="K6455">
        <v>1.1211519999999999</v>
      </c>
      <c r="L6455">
        <v>-62.760379999999998</v>
      </c>
      <c r="M6455">
        <v>0.9999228</v>
      </c>
      <c r="N6455">
        <v>-1.2423989999999999E-2</v>
      </c>
      <c r="O6455">
        <v>2.0148719999999999E-4</v>
      </c>
      <c r="P6455">
        <v>0.99727330000000003</v>
      </c>
      <c r="Q6455">
        <v>-6.6139130000000004E-2</v>
      </c>
      <c r="R6455">
        <v>3.2733730000000003E-2</v>
      </c>
      <c r="S6455">
        <v>3.003479</v>
      </c>
      <c r="T6455">
        <v>-8.0705760000000001E-2</v>
      </c>
      <c r="U6455">
        <v>-2.0233149999999998E-2</v>
      </c>
      <c r="V6455">
        <v>-3.2507349999999997E-2</v>
      </c>
      <c r="W6455">
        <v>-5.3759099999999997E-2</v>
      </c>
      <c r="X6455">
        <v>0.99802460000000004</v>
      </c>
      <c r="Y6455">
        <v>6.9342359999999999E-3</v>
      </c>
      <c r="Z6455">
        <v>-1.3914520000000001E-4</v>
      </c>
      <c r="AA6455">
        <v>0.99997590000000003</v>
      </c>
      <c r="AB6455">
        <v>24</v>
      </c>
      <c r="AC6455">
        <v>41.467599999999997</v>
      </c>
      <c r="AD6455">
        <v>-1.121154912917</v>
      </c>
      <c r="AE6455">
        <v>-0.28141999999999701</v>
      </c>
      <c r="AF6455">
        <v>0.28956417005753399</v>
      </c>
      <c r="AG6455">
        <v>-1.121154912917</v>
      </c>
      <c r="AH6455">
        <v>41.4372534880129</v>
      </c>
      <c r="AI6455">
        <v>91.549818185840493</v>
      </c>
      <c r="AJ6455">
        <v>89.599622721154503</v>
      </c>
      <c r="AK6455">
        <v>41.453429440483902</v>
      </c>
      <c r="AL6455">
        <v>93.081655308403001</v>
      </c>
      <c r="AM6455">
        <v>91.865560942710999</v>
      </c>
      <c r="AN6455">
        <v>0.99999993542099397</v>
      </c>
    </row>
    <row r="6456" spans="1:40" x14ac:dyDescent="0.25">
      <c r="A6456" t="str">
        <f>"20190303154650168"</f>
        <v>20190303154650168</v>
      </c>
      <c r="B6456" t="str">
        <f>"1551599210158002"</f>
        <v>1551599210158002</v>
      </c>
      <c r="C6456" t="s">
        <v>40</v>
      </c>
      <c r="D6456">
        <v>5.255566</v>
      </c>
      <c r="E6456">
        <v>0.51400849999999998</v>
      </c>
      <c r="F6456" t="s">
        <v>73</v>
      </c>
      <c r="G6456">
        <v>-218.6703</v>
      </c>
      <c r="H6456" s="1">
        <v>-3.2680549999999999E-6</v>
      </c>
      <c r="I6456">
        <v>-62.964680000000001</v>
      </c>
      <c r="J6456">
        <v>-258.9246</v>
      </c>
      <c r="K6456">
        <v>1.121138</v>
      </c>
      <c r="L6456">
        <v>-62.760159999999999</v>
      </c>
      <c r="M6456">
        <v>0.99992309999999995</v>
      </c>
      <c r="N6456">
        <v>-1.2403920000000001E-2</v>
      </c>
      <c r="O6456">
        <v>3.8293460000000002E-4</v>
      </c>
      <c r="P6456">
        <v>0.99725469999999905</v>
      </c>
      <c r="Q6456">
        <v>-6.6332199999999994E-2</v>
      </c>
      <c r="R6456">
        <v>3.2911879999999998E-2</v>
      </c>
      <c r="S6456">
        <v>3.003174</v>
      </c>
      <c r="T6456">
        <v>-8.3375569999999996E-2</v>
      </c>
      <c r="U6456">
        <v>-1.5197749999999999E-2</v>
      </c>
      <c r="V6456">
        <v>-3.2505069999999997E-2</v>
      </c>
      <c r="W6456">
        <v>-5.3972100000000002E-2</v>
      </c>
      <c r="X6456">
        <v>0.99801329999999999</v>
      </c>
      <c r="Y6456">
        <v>5.4403799999999999E-3</v>
      </c>
      <c r="Z6456">
        <v>-1.151357E-4</v>
      </c>
      <c r="AA6456">
        <v>0.99998520000000002</v>
      </c>
      <c r="AB6456">
        <v>24</v>
      </c>
      <c r="AC6456">
        <v>40.254300000000001</v>
      </c>
      <c r="AD6456">
        <v>-1.1211412680549999</v>
      </c>
      <c r="AE6456">
        <v>-0.20452000000000201</v>
      </c>
      <c r="AF6456">
        <v>0.21976546504247599</v>
      </c>
      <c r="AG6456">
        <v>-1.1211412680549999</v>
      </c>
      <c r="AH6456">
        <v>40.223018367089203</v>
      </c>
      <c r="AI6456">
        <v>91.596575290445102</v>
      </c>
      <c r="AJ6456">
        <v>89.686957646416303</v>
      </c>
      <c r="AK6456">
        <v>40.239240315415501</v>
      </c>
      <c r="AL6456">
        <v>93.093876677128506</v>
      </c>
      <c r="AM6456">
        <v>91.865451294877005</v>
      </c>
      <c r="AN6456">
        <v>1.0000000570655001</v>
      </c>
    </row>
    <row r="6457" spans="1:40" x14ac:dyDescent="0.25">
      <c r="A6457" t="str">
        <f>"20190303154650181"</f>
        <v>20190303154650181</v>
      </c>
      <c r="B6457" t="str">
        <f>"1551599210178498"</f>
        <v>1551599210178498</v>
      </c>
      <c r="C6457" t="s">
        <v>40</v>
      </c>
      <c r="D6457">
        <v>5.2043089999999896</v>
      </c>
      <c r="E6457">
        <v>0.51364520000000002</v>
      </c>
      <c r="F6457" t="s">
        <v>73</v>
      </c>
      <c r="G6457">
        <v>-218.95650000000001</v>
      </c>
      <c r="H6457" s="1">
        <v>-3.3592789999999998E-6</v>
      </c>
      <c r="I6457">
        <v>-62.929870000000001</v>
      </c>
      <c r="J6457">
        <v>-258.79109999999997</v>
      </c>
      <c r="K6457">
        <v>1.121122</v>
      </c>
      <c r="L6457">
        <v>-62.759920000000001</v>
      </c>
      <c r="M6457">
        <v>0.99992329999999996</v>
      </c>
      <c r="N6457">
        <v>-1.2379009999999999E-2</v>
      </c>
      <c r="O6457">
        <v>5.6977129999999897E-4</v>
      </c>
      <c r="P6457">
        <v>0.99726250000000005</v>
      </c>
      <c r="Q6457">
        <v>-6.6329639999999995E-2</v>
      </c>
      <c r="R6457">
        <v>3.2680639999999997E-2</v>
      </c>
      <c r="S6457">
        <v>3.003082</v>
      </c>
      <c r="T6457">
        <v>-8.4239129999999995E-2</v>
      </c>
      <c r="U6457">
        <v>-1.275635E-2</v>
      </c>
      <c r="V6457">
        <v>-3.2087669999999999E-2</v>
      </c>
      <c r="W6457">
        <v>-5.3993800000000002E-2</v>
      </c>
      <c r="X6457">
        <v>0.99802559999999996</v>
      </c>
      <c r="Y6457">
        <v>4.8147229999999999E-3</v>
      </c>
      <c r="Z6457">
        <v>-1.062522E-4</v>
      </c>
      <c r="AA6457">
        <v>0.9999884</v>
      </c>
      <c r="AB6457">
        <v>24</v>
      </c>
      <c r="AC6457">
        <v>39.834599999999902</v>
      </c>
      <c r="AD6457">
        <v>-1.121125359279</v>
      </c>
      <c r="AE6457">
        <v>-0.16994999999999999</v>
      </c>
      <c r="AF6457">
        <v>0.192495845726807</v>
      </c>
      <c r="AG6457">
        <v>-1.121125359279</v>
      </c>
      <c r="AH6457">
        <v>39.802968796795099</v>
      </c>
      <c r="AI6457">
        <v>91.613397773616697</v>
      </c>
      <c r="AJ6457">
        <v>89.722907263422499</v>
      </c>
      <c r="AK6457">
        <v>39.819220255556097</v>
      </c>
      <c r="AL6457">
        <v>93.095121914643499</v>
      </c>
      <c r="AM6457">
        <v>91.841490817988699</v>
      </c>
      <c r="AN6457">
        <v>1.00000002362991</v>
      </c>
    </row>
    <row r="6458" spans="1:40" x14ac:dyDescent="0.25">
      <c r="A6458" t="str">
        <f>"20190303154650191"</f>
        <v>20190303154650191</v>
      </c>
      <c r="B6458" t="str">
        <f>"1551599210188258"</f>
        <v>1551599210188258</v>
      </c>
      <c r="C6458" t="s">
        <v>40</v>
      </c>
      <c r="D6458">
        <v>5.2301570000000002</v>
      </c>
      <c r="E6458">
        <v>0.5135132</v>
      </c>
      <c r="F6458" t="s">
        <v>73</v>
      </c>
      <c r="G6458">
        <v>-218.9718</v>
      </c>
      <c r="H6458" s="1">
        <v>-3.3592360000000001E-6</v>
      </c>
      <c r="I6458">
        <v>-62.900280000000002</v>
      </c>
      <c r="J6458">
        <v>-258.68439999999998</v>
      </c>
      <c r="K6458">
        <v>1.121113</v>
      </c>
      <c r="L6458">
        <v>-62.759700000000002</v>
      </c>
      <c r="M6458">
        <v>0.99992349999999997</v>
      </c>
      <c r="N6458">
        <v>-1.2352200000000001E-2</v>
      </c>
      <c r="O6458">
        <v>7.1736390000000003E-4</v>
      </c>
      <c r="P6458">
        <v>0.99723779999999995</v>
      </c>
      <c r="Q6458">
        <v>-6.6641820000000004E-2</v>
      </c>
      <c r="R6458">
        <v>3.2802749999999999E-2</v>
      </c>
      <c r="S6458">
        <v>3.0029599999999999</v>
      </c>
      <c r="T6458">
        <v>-8.4549189999999996E-2</v>
      </c>
      <c r="U6458">
        <v>-1.0589599999999999E-2</v>
      </c>
      <c r="V6458">
        <v>-3.2063290000000001E-2</v>
      </c>
      <c r="W6458">
        <v>-5.4332800000000001E-2</v>
      </c>
      <c r="X6458">
        <v>0.99800800000000001</v>
      </c>
      <c r="Y6458">
        <v>4.2412700000000001E-3</v>
      </c>
      <c r="Z6458" s="1">
        <v>-9.7231309999999999E-5</v>
      </c>
      <c r="AA6458">
        <v>0.99999099999999996</v>
      </c>
      <c r="AB6458">
        <v>24</v>
      </c>
      <c r="AC6458">
        <v>39.712599999999902</v>
      </c>
      <c r="AD6458">
        <v>-1.1211163592360001</v>
      </c>
      <c r="AE6458">
        <v>-0.14057999999999901</v>
      </c>
      <c r="AF6458">
        <v>0.16893588563174999</v>
      </c>
      <c r="AG6458">
        <v>-1.1211163592360001</v>
      </c>
      <c r="AH6458">
        <v>39.680864661845298</v>
      </c>
      <c r="AI6458">
        <v>91.618351083280402</v>
      </c>
      <c r="AJ6458">
        <v>89.756072483337704</v>
      </c>
      <c r="AK6458">
        <v>39.697058600557398</v>
      </c>
      <c r="AL6458">
        <v>93.114573692569294</v>
      </c>
      <c r="AM6458">
        <v>91.840125055614294</v>
      </c>
      <c r="AN6458">
        <v>1.0000000378927301</v>
      </c>
    </row>
    <row r="6459" spans="1:40" x14ac:dyDescent="0.25">
      <c r="A6459" t="str">
        <f>"20190303154650202"</f>
        <v>20190303154650202</v>
      </c>
      <c r="B6459" t="str">
        <f>"1551599210198018"</f>
        <v>1551599210198018</v>
      </c>
      <c r="C6459" t="s">
        <v>40</v>
      </c>
      <c r="D6459">
        <v>5.2447540000000004</v>
      </c>
      <c r="E6459">
        <v>0.51337889999999997</v>
      </c>
      <c r="F6459" t="s">
        <v>73</v>
      </c>
      <c r="G6459">
        <v>-219.44460000000001</v>
      </c>
      <c r="H6459" s="1">
        <v>-3.5164130000000001E-6</v>
      </c>
      <c r="I6459">
        <v>-62.879280000000001</v>
      </c>
      <c r="J6459">
        <v>-258.57060000000001</v>
      </c>
      <c r="K6459">
        <v>1.1211009999999999</v>
      </c>
      <c r="L6459">
        <v>-62.759459999999997</v>
      </c>
      <c r="M6459">
        <v>0.99992380000000003</v>
      </c>
      <c r="N6459">
        <v>-1.2323219999999999E-2</v>
      </c>
      <c r="O6459">
        <v>8.7438610000000003E-4</v>
      </c>
      <c r="P6459">
        <v>0.9972375</v>
      </c>
      <c r="Q6459">
        <v>-6.6674960000000005E-2</v>
      </c>
      <c r="R6459">
        <v>3.2741159999999998E-2</v>
      </c>
      <c r="S6459">
        <v>3.0028839999999999</v>
      </c>
      <c r="T6459">
        <v>-8.5794930000000005E-2</v>
      </c>
      <c r="U6459">
        <v>-9.1552730000000002E-3</v>
      </c>
      <c r="V6459">
        <v>-3.1844749999999998E-2</v>
      </c>
      <c r="W6459">
        <v>-5.4394579999999998E-2</v>
      </c>
      <c r="X6459">
        <v>0.9980116</v>
      </c>
      <c r="Y6459">
        <v>3.9208539999999997E-3</v>
      </c>
      <c r="Z6459" s="1">
        <v>-9.4368699999999997E-5</v>
      </c>
      <c r="AA6459">
        <v>0.99999229999999995</v>
      </c>
      <c r="AB6459">
        <v>24</v>
      </c>
      <c r="AC6459">
        <v>39.125999999999998</v>
      </c>
      <c r="AD6459">
        <v>-1.121104516413</v>
      </c>
      <c r="AE6459">
        <v>-0.11982000000000401</v>
      </c>
      <c r="AF6459">
        <v>0.15390741666702701</v>
      </c>
      <c r="AG6459">
        <v>-1.121104516413</v>
      </c>
      <c r="AH6459">
        <v>39.093783227833498</v>
      </c>
      <c r="AI6459">
        <v>91.642625875935593</v>
      </c>
      <c r="AJ6459">
        <v>89.7744347278487</v>
      </c>
      <c r="AK6459">
        <v>39.110157886340197</v>
      </c>
      <c r="AL6459">
        <v>93.118118767276599</v>
      </c>
      <c r="AM6459">
        <v>91.827584904240098</v>
      </c>
      <c r="AN6459">
        <v>1.0000000060852401</v>
      </c>
    </row>
    <row r="6460" spans="1:40" x14ac:dyDescent="0.25">
      <c r="A6460" t="str">
        <f>"20190303154650212"</f>
        <v>20190303154650212</v>
      </c>
      <c r="B6460" t="str">
        <f>"1551599210207778"</f>
        <v>1551599210207778</v>
      </c>
      <c r="C6460" t="s">
        <v>40</v>
      </c>
      <c r="D6460">
        <v>5.2346510000000004</v>
      </c>
      <c r="E6460">
        <v>0.51324069999999999</v>
      </c>
      <c r="F6460" t="s">
        <v>73</v>
      </c>
      <c r="G6460">
        <v>-219.59809999999999</v>
      </c>
      <c r="H6460" s="1">
        <v>-3.5666229999999999E-6</v>
      </c>
      <c r="I6460">
        <v>-62.867939999999997</v>
      </c>
      <c r="J6460">
        <v>-258.45299999999997</v>
      </c>
      <c r="K6460">
        <v>1.1210910000000001</v>
      </c>
      <c r="L6460">
        <v>-62.759189999999997</v>
      </c>
      <c r="M6460">
        <v>0.99992409999999998</v>
      </c>
      <c r="N6460">
        <v>-1.228775E-2</v>
      </c>
      <c r="O6460">
        <v>1.0346820000000001E-3</v>
      </c>
      <c r="P6460">
        <v>0.99722330000000003</v>
      </c>
      <c r="Q6460">
        <v>-6.6862809999999995E-2</v>
      </c>
      <c r="R6460">
        <v>3.2794900000000002E-2</v>
      </c>
      <c r="S6460">
        <v>3.0027469999999998</v>
      </c>
      <c r="T6460">
        <v>-8.6378460000000004E-2</v>
      </c>
      <c r="U6460">
        <v>-8.3618159999999993E-3</v>
      </c>
      <c r="V6460">
        <v>-3.173919E-2</v>
      </c>
      <c r="W6460">
        <v>-5.4617850000000003E-2</v>
      </c>
      <c r="X6460">
        <v>0.99800279999999997</v>
      </c>
      <c r="Y6460">
        <v>3.8170719999999999E-3</v>
      </c>
      <c r="Z6460" s="1">
        <v>-9.539495E-5</v>
      </c>
      <c r="AA6460">
        <v>0.99999269999999996</v>
      </c>
      <c r="AB6460">
        <v>24</v>
      </c>
      <c r="AC6460">
        <v>38.854900000000001</v>
      </c>
      <c r="AD6460">
        <v>-1.1210945666230001</v>
      </c>
      <c r="AE6460">
        <v>-0.10875</v>
      </c>
      <c r="AF6460">
        <v>0.148831533742563</v>
      </c>
      <c r="AG6460">
        <v>-1.1210945666230001</v>
      </c>
      <c r="AH6460">
        <v>38.822446590086898</v>
      </c>
      <c r="AI6460">
        <v>91.654086100952895</v>
      </c>
      <c r="AJ6460">
        <v>89.780349315514997</v>
      </c>
      <c r="AK6460">
        <v>38.838915575655498</v>
      </c>
      <c r="AL6460">
        <v>93.130930143336798</v>
      </c>
      <c r="AM6460">
        <v>91.821546905814699</v>
      </c>
      <c r="AN6460">
        <v>1.00000003726415</v>
      </c>
    </row>
    <row r="6461" spans="1:40" x14ac:dyDescent="0.25">
      <c r="A6461" t="str">
        <f>"20190303154650224"</f>
        <v>20190303154650224</v>
      </c>
      <c r="B6461" t="str">
        <f>"1551599210218514"</f>
        <v>1551599210218514</v>
      </c>
      <c r="C6461" t="s">
        <v>40</v>
      </c>
      <c r="D6461">
        <v>5.2466080000000002</v>
      </c>
      <c r="E6461">
        <v>0.51311209999999996</v>
      </c>
      <c r="F6461" t="s">
        <v>73</v>
      </c>
      <c r="G6461">
        <v>-219.9665</v>
      </c>
      <c r="H6461" s="1">
        <v>-3.688801E-6</v>
      </c>
      <c r="I6461">
        <v>-62.849879999999999</v>
      </c>
      <c r="J6461">
        <v>-258.33969999999999</v>
      </c>
      <c r="K6461">
        <v>1.1210819999999999</v>
      </c>
      <c r="L6461">
        <v>-62.758879999999998</v>
      </c>
      <c r="M6461">
        <v>0.99992420000000004</v>
      </c>
      <c r="N6461">
        <v>-1.2252910000000001E-2</v>
      </c>
      <c r="O6461">
        <v>1.1888370000000001E-3</v>
      </c>
      <c r="P6461">
        <v>0.99721519999999997</v>
      </c>
      <c r="Q6461">
        <v>-6.6914479999999998E-2</v>
      </c>
      <c r="R6461">
        <v>3.2930620000000001E-2</v>
      </c>
      <c r="S6461">
        <v>3.0026860000000002</v>
      </c>
      <c r="T6461">
        <v>-8.7466840000000004E-2</v>
      </c>
      <c r="U6461">
        <v>-7.0800780000000001E-3</v>
      </c>
      <c r="V6461">
        <v>-3.1720949999999998E-2</v>
      </c>
      <c r="W6461">
        <v>-5.4704320000000001E-2</v>
      </c>
      <c r="X6461">
        <v>0.99799859999999896</v>
      </c>
      <c r="Y6461">
        <v>3.5445250000000002E-3</v>
      </c>
      <c r="Z6461" s="1">
        <v>-9.3394379999999993E-5</v>
      </c>
      <c r="AA6461">
        <v>0.99999369999999999</v>
      </c>
      <c r="AB6461">
        <v>24</v>
      </c>
      <c r="AC6461">
        <v>38.373199999999997</v>
      </c>
      <c r="AD6461">
        <v>-1.1210856888009999</v>
      </c>
      <c r="AE6461">
        <v>-9.1000000000000997E-2</v>
      </c>
      <c r="AF6461">
        <v>0.13650632928452699</v>
      </c>
      <c r="AG6461">
        <v>-1.1210856888009999</v>
      </c>
      <c r="AH6461">
        <v>38.340340029753598</v>
      </c>
      <c r="AI6461">
        <v>91.674861894336402</v>
      </c>
      <c r="AJ6461">
        <v>89.796005891162906</v>
      </c>
      <c r="AK6461">
        <v>38.356969910261398</v>
      </c>
      <c r="AL6461">
        <v>93.135892064784301</v>
      </c>
      <c r="AM6461">
        <v>91.820508453116403</v>
      </c>
      <c r="AN6461">
        <v>0.999999993448762</v>
      </c>
    </row>
    <row r="6462" spans="1:40" x14ac:dyDescent="0.25">
      <c r="A6462" t="str">
        <f>"20190303154650234"</f>
        <v>20190303154650234</v>
      </c>
      <c r="B6462" t="str">
        <f>"1551599210228274"</f>
        <v>1551599210228274</v>
      </c>
      <c r="C6462" t="s">
        <v>40</v>
      </c>
      <c r="D6462">
        <v>5.2692509999999997</v>
      </c>
      <c r="E6462">
        <v>0.51298049999999995</v>
      </c>
      <c r="F6462" t="s">
        <v>74</v>
      </c>
      <c r="G6462">
        <v>-220.16630000000001</v>
      </c>
      <c r="H6462" s="1">
        <v>2.663886E-7</v>
      </c>
      <c r="I6462">
        <v>-62.831040000000002</v>
      </c>
      <c r="J6462">
        <v>-258.22050000000002</v>
      </c>
      <c r="K6462">
        <v>1.121073</v>
      </c>
      <c r="L6462">
        <v>-62.758580000000002</v>
      </c>
      <c r="M6462">
        <v>0.9999247</v>
      </c>
      <c r="N6462">
        <v>-1.221382E-2</v>
      </c>
      <c r="O6462">
        <v>1.34934799999999E-3</v>
      </c>
      <c r="P6462">
        <v>0.99720509999999996</v>
      </c>
      <c r="Q6462">
        <v>-6.6993670000000005E-2</v>
      </c>
      <c r="R6462">
        <v>3.3081279999999998E-2</v>
      </c>
      <c r="S6462">
        <v>3.0026860000000002</v>
      </c>
      <c r="T6462">
        <v>-8.8183280000000003E-2</v>
      </c>
      <c r="U6462">
        <v>-5.6762699999999998E-3</v>
      </c>
      <c r="V6462">
        <v>-3.1711240000000002E-2</v>
      </c>
      <c r="W6462">
        <v>-5.4822599999999999E-2</v>
      </c>
      <c r="X6462">
        <v>0.9979924</v>
      </c>
      <c r="Y6462">
        <v>3.2376639999999999E-3</v>
      </c>
      <c r="Z6462" s="1">
        <v>-9.0450750000000001E-5</v>
      </c>
      <c r="AA6462">
        <v>0.99999479999999996</v>
      </c>
      <c r="AB6462">
        <v>24</v>
      </c>
      <c r="AC6462">
        <v>38.054200000000002</v>
      </c>
      <c r="AD6462">
        <v>-1.1210727336113999</v>
      </c>
      <c r="AE6462">
        <v>-7.2459999999999497E-2</v>
      </c>
      <c r="AF6462">
        <v>0.123704751592717</v>
      </c>
      <c r="AG6462">
        <v>-1.1210727336113999</v>
      </c>
      <c r="AH6462">
        <v>38.021069758350201</v>
      </c>
      <c r="AI6462">
        <v>91.688900180334102</v>
      </c>
      <c r="AJ6462">
        <v>89.813584015197605</v>
      </c>
      <c r="AK6462">
        <v>38.037795053196099</v>
      </c>
      <c r="AL6462">
        <v>93.142679251682594</v>
      </c>
      <c r="AM6462">
        <v>91.819962856632202</v>
      </c>
      <c r="AN6462">
        <v>0.99999997533542795</v>
      </c>
    </row>
    <row r="6463" spans="1:40" x14ac:dyDescent="0.25">
      <c r="A6463" t="str">
        <f>"20190303154650245"</f>
        <v>20190303154650245</v>
      </c>
      <c r="B6463" t="str">
        <f>"1551599210238035"</f>
        <v>1551599210238035</v>
      </c>
      <c r="C6463" t="s">
        <v>40</v>
      </c>
      <c r="D6463">
        <v>5.2611210000000002</v>
      </c>
      <c r="E6463">
        <v>0.51289830000000003</v>
      </c>
      <c r="F6463" t="s">
        <v>74</v>
      </c>
      <c r="G6463">
        <v>-220.42760000000001</v>
      </c>
      <c r="H6463" s="1">
        <v>1.5873139999999999E-7</v>
      </c>
      <c r="I6463">
        <v>-62.811210000000003</v>
      </c>
      <c r="J6463">
        <v>-258.11</v>
      </c>
      <c r="K6463">
        <v>1.121067</v>
      </c>
      <c r="L6463">
        <v>-62.758299999999998</v>
      </c>
      <c r="M6463">
        <v>0.9999247</v>
      </c>
      <c r="N6463">
        <v>-1.2177510000000001E-2</v>
      </c>
      <c r="O6463">
        <v>1.4981009999999999E-3</v>
      </c>
      <c r="P6463">
        <v>0.99718770000000001</v>
      </c>
      <c r="Q6463">
        <v>-6.7268190000000005E-2</v>
      </c>
      <c r="R6463">
        <v>3.3041769999999998E-2</v>
      </c>
      <c r="S6463">
        <v>3.0025629999999999</v>
      </c>
      <c r="T6463">
        <v>-8.9066619999999999E-2</v>
      </c>
      <c r="U6463">
        <v>-4.1809079999999997E-3</v>
      </c>
      <c r="V6463">
        <v>-3.152319E-2</v>
      </c>
      <c r="W6463">
        <v>-5.5133469999999997E-2</v>
      </c>
      <c r="X6463">
        <v>0.99798129999999996</v>
      </c>
      <c r="Y6463">
        <v>2.8886329999999998E-3</v>
      </c>
      <c r="Z6463" s="1">
        <v>-8.6616090000000005E-5</v>
      </c>
      <c r="AA6463">
        <v>0.99999579999999999</v>
      </c>
      <c r="AB6463">
        <v>24</v>
      </c>
      <c r="AC6463">
        <v>37.682400000000001</v>
      </c>
      <c r="AD6463">
        <v>-1.1210668412686</v>
      </c>
      <c r="AE6463">
        <v>-5.2909999999997098E-2</v>
      </c>
      <c r="AF6463">
        <v>0.109269456765096</v>
      </c>
      <c r="AG6463">
        <v>-1.1210668412686</v>
      </c>
      <c r="AH6463">
        <v>37.648955906580802</v>
      </c>
      <c r="AI6463">
        <v>91.705575963904394</v>
      </c>
      <c r="AJ6463">
        <v>89.833709568492495</v>
      </c>
      <c r="AK6463">
        <v>37.665801618078397</v>
      </c>
      <c r="AL6463">
        <v>93.160517556445896</v>
      </c>
      <c r="AM6463">
        <v>91.809197645051498</v>
      </c>
      <c r="AN6463">
        <v>1.00000004308585</v>
      </c>
    </row>
    <row r="6464" spans="1:40" x14ac:dyDescent="0.25">
      <c r="A6464" t="str">
        <f>"20190303154650256"</f>
        <v>20190303154650256</v>
      </c>
      <c r="B6464" t="str">
        <f>"1551599210247795"</f>
        <v>1551599210247795</v>
      </c>
      <c r="C6464" t="s">
        <v>40</v>
      </c>
      <c r="D6464">
        <v>5.2663570000000002</v>
      </c>
      <c r="E6464">
        <v>0.5128142</v>
      </c>
      <c r="F6464" t="s">
        <v>74</v>
      </c>
      <c r="G6464">
        <v>-220.7636</v>
      </c>
      <c r="H6464" s="1">
        <v>1.613978E-8</v>
      </c>
      <c r="I6464">
        <v>-62.80424</v>
      </c>
      <c r="J6464">
        <v>-257.98489999999998</v>
      </c>
      <c r="K6464">
        <v>1.1210599999999999</v>
      </c>
      <c r="L6464">
        <v>-62.757899999999999</v>
      </c>
      <c r="M6464">
        <v>0.99992499999999995</v>
      </c>
      <c r="N6464">
        <v>-1.213639E-2</v>
      </c>
      <c r="O6464">
        <v>1.665305E-3</v>
      </c>
      <c r="P6464">
        <v>0.99719360000000001</v>
      </c>
      <c r="Q6464">
        <v>-6.7167149999999995E-2</v>
      </c>
      <c r="R6464">
        <v>3.3066270000000002E-2</v>
      </c>
      <c r="S6464">
        <v>3.002472</v>
      </c>
      <c r="T6464">
        <v>-9.0128420000000001E-2</v>
      </c>
      <c r="U6464">
        <v>-3.692627E-3</v>
      </c>
      <c r="V6464">
        <v>-3.1380529999999997E-2</v>
      </c>
      <c r="W6464">
        <v>-5.5073370000000003E-2</v>
      </c>
      <c r="X6464">
        <v>0.99798909999999996</v>
      </c>
      <c r="Y6464">
        <v>2.893189E-3</v>
      </c>
      <c r="Z6464" s="1">
        <v>-9.074598E-5</v>
      </c>
      <c r="AA6464">
        <v>0.99999579999999999</v>
      </c>
      <c r="AB6464">
        <v>24</v>
      </c>
      <c r="AC6464">
        <v>37.2212999999999</v>
      </c>
      <c r="AD6464">
        <v>-1.12105998386022</v>
      </c>
      <c r="AE6464">
        <v>-4.63400000000007E-2</v>
      </c>
      <c r="AF6464">
        <v>0.10823113526259</v>
      </c>
      <c r="AG6464">
        <v>-1.12105998386022</v>
      </c>
      <c r="AH6464">
        <v>37.187437021272203</v>
      </c>
      <c r="AI6464">
        <v>91.726719874635705</v>
      </c>
      <c r="AJ6464">
        <v>89.833245572965097</v>
      </c>
      <c r="AK6464">
        <v>37.204488461436199</v>
      </c>
      <c r="AL6464">
        <v>93.157068885807206</v>
      </c>
      <c r="AM6464">
        <v>91.801001355137501</v>
      </c>
      <c r="AN6464">
        <v>1.0000000287325199</v>
      </c>
    </row>
    <row r="6465" spans="1:40" x14ac:dyDescent="0.25">
      <c r="A6465" t="str">
        <f>"20190303154650279"</f>
        <v>20190303154650279</v>
      </c>
      <c r="B6465" t="str">
        <f>"1551599210268290"</f>
        <v>1551599210268290</v>
      </c>
      <c r="C6465" t="s">
        <v>40</v>
      </c>
      <c r="D6465">
        <v>5.2473780000000003</v>
      </c>
      <c r="E6465">
        <v>0.51267870000000004</v>
      </c>
      <c r="F6465" t="s">
        <v>74</v>
      </c>
      <c r="G6465">
        <v>-220.63149999999999</v>
      </c>
      <c r="H6465" s="1">
        <v>7.50883399999999E-8</v>
      </c>
      <c r="I6465">
        <v>-62.793970000000002</v>
      </c>
      <c r="J6465">
        <v>-257.7595</v>
      </c>
      <c r="K6465">
        <v>1.121054</v>
      </c>
      <c r="L6465">
        <v>-62.757170000000002</v>
      </c>
      <c r="M6465">
        <v>0.99992530000000002</v>
      </c>
      <c r="N6465">
        <v>-1.206513E-2</v>
      </c>
      <c r="O6465">
        <v>1.966565E-3</v>
      </c>
      <c r="P6465">
        <v>0.99717489999999998</v>
      </c>
      <c r="Q6465">
        <v>-6.7516160000000006E-2</v>
      </c>
      <c r="R6465">
        <v>3.2926419999999998E-2</v>
      </c>
      <c r="S6465">
        <v>3.0024410000000001</v>
      </c>
      <c r="T6465">
        <v>-9.0109939999999999E-2</v>
      </c>
      <c r="U6465">
        <v>-2.89917E-3</v>
      </c>
      <c r="V6465">
        <v>-3.0940100000000002E-2</v>
      </c>
      <c r="W6465">
        <v>-5.5493559999999997E-2</v>
      </c>
      <c r="X6465">
        <v>0.99797950000000002</v>
      </c>
      <c r="Y6465">
        <v>2.9301430000000001E-3</v>
      </c>
      <c r="Z6465" s="1">
        <v>-9.69258E-5</v>
      </c>
      <c r="AA6465">
        <v>0.99999570000000004</v>
      </c>
      <c r="AB6465">
        <v>24</v>
      </c>
      <c r="AC6465">
        <v>37.128</v>
      </c>
      <c r="AD6465">
        <v>-1.12105392491166</v>
      </c>
      <c r="AE6465">
        <v>-3.67999999999995E-2</v>
      </c>
      <c r="AF6465">
        <v>0.109719836528443</v>
      </c>
      <c r="AG6465">
        <v>-1.12105392491166</v>
      </c>
      <c r="AH6465">
        <v>37.094037380265</v>
      </c>
      <c r="AI6465">
        <v>91.731055375858304</v>
      </c>
      <c r="AJ6465">
        <v>89.830526260488696</v>
      </c>
      <c r="AK6465">
        <v>37.1111359232453</v>
      </c>
      <c r="AL6465">
        <v>93.181181112274103</v>
      </c>
      <c r="AM6465">
        <v>91.775757425688099</v>
      </c>
      <c r="AN6465">
        <v>0.99999995370486505</v>
      </c>
    </row>
    <row r="6466" spans="1:40" x14ac:dyDescent="0.25">
      <c r="A6466" t="str">
        <f>"20190303154650290"</f>
        <v>20190303154650290</v>
      </c>
      <c r="B6466" t="str">
        <f>"1551599210287810"</f>
        <v>1551599210287810</v>
      </c>
      <c r="C6466" t="s">
        <v>40</v>
      </c>
      <c r="D6466">
        <v>5.2774020000000004</v>
      </c>
      <c r="E6466">
        <v>0.51252710000000001</v>
      </c>
      <c r="F6466" t="s">
        <v>74</v>
      </c>
      <c r="G6466">
        <v>-221.04329999999999</v>
      </c>
      <c r="H6466" s="1">
        <v>-9.9610249999999997E-8</v>
      </c>
      <c r="I6466">
        <v>-62.785159999999998</v>
      </c>
      <c r="J6466">
        <v>-257.62759999999997</v>
      </c>
      <c r="K6466">
        <v>1.121051</v>
      </c>
      <c r="L6466">
        <v>-62.756740000000001</v>
      </c>
      <c r="M6466">
        <v>0.99992539999999996</v>
      </c>
      <c r="N6466">
        <v>-1.202755E-2</v>
      </c>
      <c r="O6466">
        <v>2.1429259999999999E-3</v>
      </c>
      <c r="P6466">
        <v>0.99717109999999998</v>
      </c>
      <c r="Q6466">
        <v>-6.7694950000000004E-2</v>
      </c>
      <c r="R6466">
        <v>3.2672220000000002E-2</v>
      </c>
      <c r="S6466">
        <v>3.0023650000000002</v>
      </c>
      <c r="T6466">
        <v>-9.167111E-2</v>
      </c>
      <c r="U6466">
        <v>-2.2888180000000002E-3</v>
      </c>
      <c r="V6466">
        <v>-3.0509540000000002E-2</v>
      </c>
      <c r="W6466">
        <v>-5.5709719999999997E-2</v>
      </c>
      <c r="X6466">
        <v>0.9979808</v>
      </c>
      <c r="Y6466">
        <v>2.9031640000000002E-3</v>
      </c>
      <c r="Z6466">
        <v>-1.014192E-4</v>
      </c>
      <c r="AA6466">
        <v>0.99999579999999999</v>
      </c>
      <c r="AB6466">
        <v>24</v>
      </c>
      <c r="AC6466">
        <v>36.584299999999899</v>
      </c>
      <c r="AD6466">
        <v>-1.1210510996102501</v>
      </c>
      <c r="AE6466">
        <v>-2.8419999999997E-2</v>
      </c>
      <c r="AF6466">
        <v>0.106722839538921</v>
      </c>
      <c r="AG6466">
        <v>-1.1210510996102501</v>
      </c>
      <c r="AH6466">
        <v>36.549835144667398</v>
      </c>
      <c r="AI6466">
        <v>91.756809353082204</v>
      </c>
      <c r="AJ6466">
        <v>89.832700999033094</v>
      </c>
      <c r="AK6466">
        <v>36.567179197126698</v>
      </c>
      <c r="AL6466">
        <v>93.193585078303698</v>
      </c>
      <c r="AM6466">
        <v>91.751059338198104</v>
      </c>
      <c r="AN6466">
        <v>1.0000000410510601</v>
      </c>
    </row>
    <row r="6467" spans="1:40" x14ac:dyDescent="0.25">
      <c r="A6467" t="str">
        <f>"20190303154650300"</f>
        <v>20190303154650300</v>
      </c>
      <c r="B6467" t="str">
        <f>"1551599210298546"</f>
        <v>1551599210298546</v>
      </c>
      <c r="C6467" t="s">
        <v>40</v>
      </c>
      <c r="D6467">
        <v>5.2869840000000003</v>
      </c>
      <c r="E6467">
        <v>0.51244719999999999</v>
      </c>
      <c r="F6467" t="s">
        <v>74</v>
      </c>
      <c r="G6467">
        <v>-221.46610000000001</v>
      </c>
      <c r="H6467" s="1">
        <v>-2.7958340000000002E-7</v>
      </c>
      <c r="I6467">
        <v>-62.778799999999997</v>
      </c>
      <c r="J6467">
        <v>-257.52109999999999</v>
      </c>
      <c r="K6467">
        <v>1.1210469999999999</v>
      </c>
      <c r="L6467">
        <v>-62.75638</v>
      </c>
      <c r="M6467">
        <v>0.99992559999999997</v>
      </c>
      <c r="N6467">
        <v>-1.1998160000000001E-2</v>
      </c>
      <c r="O6467">
        <v>2.285619E-3</v>
      </c>
      <c r="P6467">
        <v>0.99717940000000005</v>
      </c>
      <c r="Q6467">
        <v>-6.7543699999999998E-2</v>
      </c>
      <c r="R6467">
        <v>3.2733690000000003E-2</v>
      </c>
      <c r="S6467">
        <v>3.0022579999999999</v>
      </c>
      <c r="T6467">
        <v>-9.3073610000000001E-2</v>
      </c>
      <c r="U6467">
        <v>-1.8310550000000001E-3</v>
      </c>
      <c r="V6467">
        <v>-3.042885E-2</v>
      </c>
      <c r="W6467">
        <v>-5.5587690000000002E-2</v>
      </c>
      <c r="X6467">
        <v>0.99799000000000004</v>
      </c>
      <c r="Y6467">
        <v>2.8933330000000001E-3</v>
      </c>
      <c r="Z6467">
        <v>-1.056211E-4</v>
      </c>
      <c r="AA6467">
        <v>0.99999579999999999</v>
      </c>
      <c r="AB6467">
        <v>24</v>
      </c>
      <c r="AC6467">
        <v>36.0549999999999</v>
      </c>
      <c r="AD6467">
        <v>-1.1210472795833999</v>
      </c>
      <c r="AE6467">
        <v>-2.2419999999989601E-2</v>
      </c>
      <c r="AF6467">
        <v>0.104732599960474</v>
      </c>
      <c r="AG6467">
        <v>-1.1210472795833999</v>
      </c>
      <c r="AH6467">
        <v>36.020031995289798</v>
      </c>
      <c r="AI6467">
        <v>91.782626947519901</v>
      </c>
      <c r="AJ6467">
        <v>89.833406060121007</v>
      </c>
      <c r="AK6467">
        <v>36.037625072447</v>
      </c>
      <c r="AL6467">
        <v>93.186582639979306</v>
      </c>
      <c r="AM6467">
        <v>91.746415012278405</v>
      </c>
      <c r="AN6467">
        <v>0.99999997314592803</v>
      </c>
    </row>
    <row r="6468" spans="1:40" x14ac:dyDescent="0.25">
      <c r="A6468" t="str">
        <f>"20190303154650313"</f>
        <v>20190303154650313</v>
      </c>
      <c r="B6468" t="str">
        <f>"1551599210308306"</f>
        <v>1551599210308306</v>
      </c>
      <c r="C6468" t="s">
        <v>40</v>
      </c>
      <c r="D6468">
        <v>5.253349</v>
      </c>
      <c r="E6468">
        <v>0.51234780000000002</v>
      </c>
      <c r="F6468" t="s">
        <v>74</v>
      </c>
      <c r="G6468">
        <v>-221.50360000000001</v>
      </c>
      <c r="H6468" s="1">
        <v>-2.9347980000000002E-7</v>
      </c>
      <c r="I6468">
        <v>-62.768830000000001</v>
      </c>
      <c r="J6468">
        <v>-257.39510000000001</v>
      </c>
      <c r="K6468">
        <v>1.1210469999999999</v>
      </c>
      <c r="L6468">
        <v>-62.755859999999998</v>
      </c>
      <c r="M6468">
        <v>0.99992539999999996</v>
      </c>
      <c r="N6468">
        <v>-1.197046E-2</v>
      </c>
      <c r="O6468">
        <v>2.4553019999999999E-3</v>
      </c>
      <c r="P6468">
        <v>0.99719239999999998</v>
      </c>
      <c r="Q6468">
        <v>-6.7435700000000001E-2</v>
      </c>
      <c r="R6468">
        <v>3.2553650000000003E-2</v>
      </c>
      <c r="S6468">
        <v>3.0021969999999998</v>
      </c>
      <c r="T6468">
        <v>-9.3443869999999998E-2</v>
      </c>
      <c r="U6468">
        <v>-1.037598E-3</v>
      </c>
      <c r="V6468">
        <v>-3.0079209999999999E-2</v>
      </c>
      <c r="W6468">
        <v>-5.5507050000000002E-2</v>
      </c>
      <c r="X6468">
        <v>0.99800509999999998</v>
      </c>
      <c r="Y6468">
        <v>2.7987630000000001E-3</v>
      </c>
      <c r="Z6468">
        <v>-1.0731820000000001E-4</v>
      </c>
      <c r="AA6468">
        <v>0.99999610000000005</v>
      </c>
      <c r="AB6468">
        <v>24</v>
      </c>
      <c r="AC6468">
        <v>35.891500000000001</v>
      </c>
      <c r="AD6468">
        <v>-1.1210472934797999</v>
      </c>
      <c r="AE6468">
        <v>-1.29700000000028E-2</v>
      </c>
      <c r="AF6468">
        <v>0.101002205402154</v>
      </c>
      <c r="AG6468">
        <v>-1.1210472934797999</v>
      </c>
      <c r="AH6468">
        <v>35.856379047033599</v>
      </c>
      <c r="AI6468">
        <v>91.790758279000201</v>
      </c>
      <c r="AJ6468">
        <v>89.838606548152498</v>
      </c>
      <c r="AK6468">
        <v>35.874041685378401</v>
      </c>
      <c r="AL6468">
        <v>93.1819551241055</v>
      </c>
      <c r="AM6468">
        <v>91.726334094886596</v>
      </c>
      <c r="AN6468">
        <v>0.99999998554996805</v>
      </c>
    </row>
    <row r="6469" spans="1:40" x14ac:dyDescent="0.25">
      <c r="A6469" t="str">
        <f>"20190303154650323"</f>
        <v>20190303154650323</v>
      </c>
      <c r="B6469" t="str">
        <f>"1551599210318066"</f>
        <v>1551599210318066</v>
      </c>
      <c r="C6469" t="s">
        <v>40</v>
      </c>
      <c r="D6469">
        <v>5.2821249999999997</v>
      </c>
      <c r="E6469">
        <v>0.51230640000000005</v>
      </c>
      <c r="F6469" t="s">
        <v>74</v>
      </c>
      <c r="G6469">
        <v>-221.5026</v>
      </c>
      <c r="H6469" s="1">
        <v>-2.9227460000000002E-7</v>
      </c>
      <c r="I6469">
        <v>-62.765349999999998</v>
      </c>
      <c r="J6469">
        <v>-257.27460000000002</v>
      </c>
      <c r="K6469">
        <v>1.1210500000000001</v>
      </c>
      <c r="L6469">
        <v>-62.755400000000002</v>
      </c>
      <c r="M6469">
        <v>0.99992530000000002</v>
      </c>
      <c r="N6469">
        <v>-1.1946210000000001E-2</v>
      </c>
      <c r="O6469">
        <v>2.6176340000000002E-3</v>
      </c>
      <c r="P6469">
        <v>0.99716859999999996</v>
      </c>
      <c r="Q6469">
        <v>-6.7693799999999998E-2</v>
      </c>
      <c r="R6469">
        <v>3.2749300000000002E-2</v>
      </c>
      <c r="S6469">
        <v>3.0021360000000001</v>
      </c>
      <c r="T6469">
        <v>-9.3767169999999997E-2</v>
      </c>
      <c r="U6469">
        <v>-7.9345700000000002E-4</v>
      </c>
      <c r="V6469">
        <v>-3.0112989999999999E-2</v>
      </c>
      <c r="W6469">
        <v>-5.5789650000000003E-2</v>
      </c>
      <c r="X6469">
        <v>0.99798830000000005</v>
      </c>
      <c r="Y6469">
        <v>2.8796889999999999E-3</v>
      </c>
      <c r="Z6469">
        <v>-1.1263809999999999E-4</v>
      </c>
      <c r="AA6469">
        <v>0.99999579999999999</v>
      </c>
      <c r="AB6469">
        <v>24</v>
      </c>
      <c r="AC6469">
        <v>35.771999999999998</v>
      </c>
      <c r="AD6469">
        <v>-1.1210502922746</v>
      </c>
      <c r="AE6469">
        <v>-9.9499999999963507E-3</v>
      </c>
      <c r="AF6469">
        <v>0.10349300141147599</v>
      </c>
      <c r="AG6469">
        <v>-1.1210502922746</v>
      </c>
      <c r="AH6469">
        <v>35.736753667400798</v>
      </c>
      <c r="AI6469">
        <v>91.796753146512003</v>
      </c>
      <c r="AJ6469">
        <v>89.834072908010597</v>
      </c>
      <c r="AK6469">
        <v>35.754482617479397</v>
      </c>
      <c r="AL6469">
        <v>93.198172116086994</v>
      </c>
      <c r="AM6469">
        <v>91.728300728899299</v>
      </c>
      <c r="AN6469">
        <v>0.999999962075375</v>
      </c>
    </row>
    <row r="6470" spans="1:40" x14ac:dyDescent="0.25">
      <c r="A6470" t="str">
        <f>"20190303154650333"</f>
        <v>20190303154650333</v>
      </c>
      <c r="B6470" t="str">
        <f>"1551599210327827"</f>
        <v>1551599210327827</v>
      </c>
      <c r="C6470" t="s">
        <v>40</v>
      </c>
      <c r="D6470">
        <v>5.2683589999999896</v>
      </c>
      <c r="E6470">
        <v>0.51226689999999997</v>
      </c>
      <c r="F6470" t="s">
        <v>74</v>
      </c>
      <c r="G6470">
        <v>-221.7278</v>
      </c>
      <c r="H6470" s="1">
        <v>-3.8626150000000001E-7</v>
      </c>
      <c r="I6470">
        <v>-62.753590000000003</v>
      </c>
      <c r="J6470">
        <v>-257.15949999999998</v>
      </c>
      <c r="K6470">
        <v>1.121054</v>
      </c>
      <c r="L6470">
        <v>-62.754939999999998</v>
      </c>
      <c r="M6470">
        <v>0.99992510000000001</v>
      </c>
      <c r="N6470">
        <v>-1.1929499999999999E-2</v>
      </c>
      <c r="O6470">
        <v>2.7736050000000002E-3</v>
      </c>
      <c r="P6470">
        <v>0.99716729999999998</v>
      </c>
      <c r="Q6470">
        <v>-6.7728029999999995E-2</v>
      </c>
      <c r="R6470">
        <v>3.2722859999999999E-2</v>
      </c>
      <c r="S6470">
        <v>3.0021209999999998</v>
      </c>
      <c r="T6470">
        <v>-9.4678760000000001E-2</v>
      </c>
      <c r="U6470">
        <v>1.5258789999999999E-4</v>
      </c>
      <c r="V6470">
        <v>-2.993113E-2</v>
      </c>
      <c r="W6470">
        <v>-5.5840479999999998E-2</v>
      </c>
      <c r="X6470">
        <v>0.99799099999999996</v>
      </c>
      <c r="Y6470">
        <v>2.720578E-3</v>
      </c>
      <c r="Z6470">
        <v>-1.134892E-4</v>
      </c>
      <c r="AA6470">
        <v>0.99999629999999995</v>
      </c>
      <c r="AB6470">
        <v>24</v>
      </c>
      <c r="AC6470">
        <v>35.4316999999999</v>
      </c>
      <c r="AD6470">
        <v>-1.1210543862614999</v>
      </c>
      <c r="AE6470">
        <v>1.35000000000218E-3</v>
      </c>
      <c r="AF6470">
        <v>9.6833590320963198E-2</v>
      </c>
      <c r="AG6470">
        <v>-1.1210543862614999</v>
      </c>
      <c r="AH6470">
        <v>35.396133029310697</v>
      </c>
      <c r="AI6470">
        <v>91.814039428372197</v>
      </c>
      <c r="AJ6470">
        <v>89.843255697029207</v>
      </c>
      <c r="AK6470">
        <v>35.414013795527801</v>
      </c>
      <c r="AL6470">
        <v>93.201088777536796</v>
      </c>
      <c r="AM6470">
        <v>91.717864709871805</v>
      </c>
      <c r="AN6470">
        <v>1.0000000339153501</v>
      </c>
    </row>
    <row r="6471" spans="1:40" x14ac:dyDescent="0.25">
      <c r="A6471" t="str">
        <f>"20190303154650347"</f>
        <v>20190303154650347</v>
      </c>
      <c r="B6471" t="str">
        <f>"1551599210338563"</f>
        <v>1551599210338563</v>
      </c>
      <c r="C6471" t="s">
        <v>40</v>
      </c>
      <c r="D6471">
        <v>5.2766380000000002</v>
      </c>
      <c r="E6471">
        <v>0.512235</v>
      </c>
      <c r="F6471" t="s">
        <v>74</v>
      </c>
      <c r="G6471">
        <v>-221.755</v>
      </c>
      <c r="H6471" s="1">
        <v>-3.9724729999999999E-7</v>
      </c>
      <c r="I6471">
        <v>-62.750619999999998</v>
      </c>
      <c r="J6471">
        <v>-257.03030000000001</v>
      </c>
      <c r="K6471">
        <v>1.121057</v>
      </c>
      <c r="L6471">
        <v>-62.754359999999998</v>
      </c>
      <c r="M6471">
        <v>0.9999247</v>
      </c>
      <c r="N6471">
        <v>-1.1913989999999999E-2</v>
      </c>
      <c r="O6471">
        <v>2.9489439999999998E-3</v>
      </c>
      <c r="P6471">
        <v>0.99716170000000004</v>
      </c>
      <c r="Q6471">
        <v>-6.7655510000000002E-2</v>
      </c>
      <c r="R6471">
        <v>3.3038310000000001E-2</v>
      </c>
      <c r="S6471">
        <v>3.0020600000000002</v>
      </c>
      <c r="T6471">
        <v>-9.5057610000000001E-2</v>
      </c>
      <c r="U6471">
        <v>3.6621089999999999E-4</v>
      </c>
      <c r="V6471">
        <v>-3.0071130000000001E-2</v>
      </c>
      <c r="W6471">
        <v>-5.5783600000000003E-2</v>
      </c>
      <c r="X6471">
        <v>0.99799000000000004</v>
      </c>
      <c r="Y6471">
        <v>2.8246429999999999E-3</v>
      </c>
      <c r="Z6471">
        <v>-1.1976429999999999E-4</v>
      </c>
      <c r="AA6471">
        <v>0.999996</v>
      </c>
      <c r="AB6471">
        <v>24</v>
      </c>
      <c r="AC6471">
        <v>35.275300000000001</v>
      </c>
      <c r="AD6471">
        <v>-1.1210573972472999</v>
      </c>
      <c r="AE6471">
        <v>3.7400000000005198E-3</v>
      </c>
      <c r="AF6471">
        <v>0.10019109045372999</v>
      </c>
      <c r="AG6471">
        <v>-1.1210573972472999</v>
      </c>
      <c r="AH6471">
        <v>35.2395662469821</v>
      </c>
      <c r="AI6471">
        <v>91.822097995176406</v>
      </c>
      <c r="AJ6471">
        <v>89.837100402431503</v>
      </c>
      <c r="AK6471">
        <v>35.257535892599897</v>
      </c>
      <c r="AL6471">
        <v>93.197824617694295</v>
      </c>
      <c r="AM6471">
        <v>91.725896737823604</v>
      </c>
      <c r="AN6471">
        <v>1.0000000614942099</v>
      </c>
    </row>
    <row r="6472" spans="1:40" x14ac:dyDescent="0.25">
      <c r="A6472" t="str">
        <f>"20190303154650359"</f>
        <v>20190303154650359</v>
      </c>
      <c r="B6472" t="str">
        <f>"1551599210348322"</f>
        <v>1551599210348322</v>
      </c>
      <c r="C6472" t="s">
        <v>40</v>
      </c>
      <c r="D6472">
        <v>5.2734170000000002</v>
      </c>
      <c r="E6472">
        <v>0.51220719999999997</v>
      </c>
      <c r="F6472" t="s">
        <v>74</v>
      </c>
      <c r="G6472">
        <v>-221.6662</v>
      </c>
      <c r="H6472" s="1">
        <v>-3.5568550000000001E-7</v>
      </c>
      <c r="I6472">
        <v>-62.734949999999998</v>
      </c>
      <c r="J6472">
        <v>-256.89330000000001</v>
      </c>
      <c r="K6472">
        <v>1.1210610000000001</v>
      </c>
      <c r="L6472">
        <v>-62.753749999999997</v>
      </c>
      <c r="M6472">
        <v>0.99992429999999999</v>
      </c>
      <c r="N6472">
        <v>-1.1902029999999999E-2</v>
      </c>
      <c r="O6472">
        <v>3.1354109999999998E-3</v>
      </c>
      <c r="P6472">
        <v>0.99714999999999998</v>
      </c>
      <c r="Q6472">
        <v>-6.7644430000000005E-2</v>
      </c>
      <c r="R6472">
        <v>3.3411280000000002E-2</v>
      </c>
      <c r="S6472">
        <v>3.0020289999999998</v>
      </c>
      <c r="T6472">
        <v>-9.5165609999999998E-2</v>
      </c>
      <c r="U6472">
        <v>1.6479489999999999E-3</v>
      </c>
      <c r="V6472">
        <v>-3.0258150000000001E-2</v>
      </c>
      <c r="W6472">
        <v>-5.5784720000000003E-2</v>
      </c>
      <c r="X6472">
        <v>0.99798419999999999</v>
      </c>
      <c r="Y6472">
        <v>2.5842899999999999E-3</v>
      </c>
      <c r="Z6472">
        <v>-1.1839169999999999E-4</v>
      </c>
      <c r="AA6472">
        <v>0.99999669999999896</v>
      </c>
      <c r="AB6472">
        <v>24</v>
      </c>
      <c r="AC6472">
        <v>35.2271</v>
      </c>
      <c r="AD6472">
        <v>-1.1210613556855</v>
      </c>
      <c r="AE6472">
        <v>1.87999999999988E-2</v>
      </c>
      <c r="AF6472">
        <v>9.15666133914744E-2</v>
      </c>
      <c r="AG6472">
        <v>-1.1210613556855</v>
      </c>
      <c r="AH6472">
        <v>35.191345520732597</v>
      </c>
      <c r="AI6472">
        <v>91.824600662857094</v>
      </c>
      <c r="AJ6472">
        <v>89.850918782037297</v>
      </c>
      <c r="AK6472">
        <v>35.209316417213898</v>
      </c>
      <c r="AL6472">
        <v>93.197889159404994</v>
      </c>
      <c r="AM6472">
        <v>91.736634062377405</v>
      </c>
      <c r="AN6472">
        <v>0.99999997703827004</v>
      </c>
    </row>
    <row r="6473" spans="1:40" x14ac:dyDescent="0.25">
      <c r="A6473" t="str">
        <f>"20190303154650380"</f>
        <v>20190303154650380</v>
      </c>
      <c r="B6473" t="str">
        <f>"1551599210367842"</f>
        <v>1551599210367842</v>
      </c>
      <c r="C6473" t="s">
        <v>40</v>
      </c>
      <c r="D6473">
        <v>5.236504</v>
      </c>
      <c r="E6473">
        <v>0.51210489999999997</v>
      </c>
      <c r="F6473" t="s">
        <v>74</v>
      </c>
      <c r="G6473">
        <v>-221.6627</v>
      </c>
      <c r="H6473" s="1">
        <v>-3.5063309999999897E-7</v>
      </c>
      <c r="I6473">
        <v>-62.719009999999997</v>
      </c>
      <c r="J6473">
        <v>-256.6746</v>
      </c>
      <c r="K6473">
        <v>1.121073</v>
      </c>
      <c r="L6473">
        <v>-62.752749999999999</v>
      </c>
      <c r="M6473">
        <v>0.99992349999999997</v>
      </c>
      <c r="N6473">
        <v>-1.189278E-2</v>
      </c>
      <c r="O6473">
        <v>3.4340540000000002E-3</v>
      </c>
      <c r="P6473">
        <v>0.99715520000000002</v>
      </c>
      <c r="Q6473">
        <v>-6.7212480000000005E-2</v>
      </c>
      <c r="R6473">
        <v>3.4116380000000002E-2</v>
      </c>
      <c r="S6473">
        <v>3.0019990000000001</v>
      </c>
      <c r="T6473">
        <v>-9.5525499999999999E-2</v>
      </c>
      <c r="U6473">
        <v>2.960205E-3</v>
      </c>
      <c r="V6473">
        <v>-3.0664790000000001E-2</v>
      </c>
      <c r="W6473">
        <v>-5.5362260000000003E-2</v>
      </c>
      <c r="X6473">
        <v>0.99799530000000003</v>
      </c>
      <c r="Y6473">
        <v>2.4458409999999998E-3</v>
      </c>
      <c r="Z6473">
        <v>-1.218641E-4</v>
      </c>
      <c r="AA6473">
        <v>0.99999700000000002</v>
      </c>
      <c r="AB6473">
        <v>24</v>
      </c>
      <c r="AC6473">
        <v>35.011899999999997</v>
      </c>
      <c r="AD6473">
        <v>-1.1210733506331001</v>
      </c>
      <c r="AE6473">
        <v>3.3740000000001602E-2</v>
      </c>
      <c r="AF6473">
        <v>8.6412847530003306E-2</v>
      </c>
      <c r="AG6473">
        <v>-1.1210733506331001</v>
      </c>
      <c r="AH6473">
        <v>34.9759497698359</v>
      </c>
      <c r="AI6473">
        <v>91.835849851135606</v>
      </c>
      <c r="AJ6473">
        <v>89.858443261215101</v>
      </c>
      <c r="AK6473">
        <v>34.994018559459597</v>
      </c>
      <c r="AL6473">
        <v>93.173646560484002</v>
      </c>
      <c r="AM6473">
        <v>91.759938585902503</v>
      </c>
      <c r="AN6473">
        <v>0.99999996400006996</v>
      </c>
    </row>
    <row r="6474" spans="1:40" x14ac:dyDescent="0.25">
      <c r="A6474" t="str">
        <f>"20190303154650391"</f>
        <v>20190303154650391</v>
      </c>
      <c r="B6474" t="str">
        <f>"1551599210388338"</f>
        <v>1551599210388338</v>
      </c>
      <c r="C6474" t="s">
        <v>40</v>
      </c>
      <c r="D6474">
        <v>5.2682869999999999</v>
      </c>
      <c r="E6474">
        <v>0.51204129999999903</v>
      </c>
      <c r="F6474" t="s">
        <v>74</v>
      </c>
      <c r="G6474">
        <v>-221.42939999999999</v>
      </c>
      <c r="H6474" s="1">
        <v>-2.429073E-7</v>
      </c>
      <c r="I6474">
        <v>-62.684669999999997</v>
      </c>
      <c r="J6474">
        <v>-256.55799999999999</v>
      </c>
      <c r="K6474">
        <v>1.121081</v>
      </c>
      <c r="L6474">
        <v>-62.7521699999999</v>
      </c>
      <c r="M6474">
        <v>0.99992289999999995</v>
      </c>
      <c r="N6474">
        <v>-1.1892299999999901E-2</v>
      </c>
      <c r="O6474">
        <v>3.5937510000000001E-3</v>
      </c>
      <c r="P6474">
        <v>0.99716950000000004</v>
      </c>
      <c r="Q6474">
        <v>-6.6819500000000004E-2</v>
      </c>
      <c r="R6474">
        <v>3.4468449999999998E-2</v>
      </c>
      <c r="S6474">
        <v>3.0019230000000001</v>
      </c>
      <c r="T6474">
        <v>-9.5484609999999998E-2</v>
      </c>
      <c r="U6474">
        <v>5.7983399999999999E-3</v>
      </c>
      <c r="V6474">
        <v>-3.0857720000000002E-2</v>
      </c>
      <c r="W6474">
        <v>-5.4969740000000003E-2</v>
      </c>
      <c r="X6474">
        <v>0.99801110000000004</v>
      </c>
      <c r="Y6474">
        <v>1.6606069999999999E-3</v>
      </c>
      <c r="Z6474">
        <v>-1.078288E-4</v>
      </c>
      <c r="AA6474">
        <v>0.99999859999999896</v>
      </c>
      <c r="AB6474">
        <v>24</v>
      </c>
      <c r="AC6474">
        <v>35.128599999999999</v>
      </c>
      <c r="AD6474">
        <v>-1.1210812429073</v>
      </c>
      <c r="AE6474">
        <v>6.7499999999995397E-2</v>
      </c>
      <c r="AF6474">
        <v>5.8693018600989501E-2</v>
      </c>
      <c r="AG6474">
        <v>-1.1210812429073</v>
      </c>
      <c r="AH6474">
        <v>35.092874461326602</v>
      </c>
      <c r="AI6474">
        <v>91.829753109313003</v>
      </c>
      <c r="AJ6474">
        <v>89.904172594330603</v>
      </c>
      <c r="AK6474">
        <v>35.110826050978403</v>
      </c>
      <c r="AL6474">
        <v>93.151122364454594</v>
      </c>
      <c r="AM6474">
        <v>91.770976332305096</v>
      </c>
      <c r="AN6474">
        <v>1.0000000134612299</v>
      </c>
    </row>
    <row r="6475" spans="1:40" x14ac:dyDescent="0.25">
      <c r="A6475" t="str">
        <f>"20190303154650401"</f>
        <v>20190303154650401</v>
      </c>
      <c r="B6475" t="str">
        <f>"1551599210398098"</f>
        <v>1551599210398098</v>
      </c>
      <c r="C6475" t="s">
        <v>40</v>
      </c>
      <c r="D6475">
        <v>5.2554179999999997</v>
      </c>
      <c r="E6475">
        <v>0.51204129999999903</v>
      </c>
      <c r="F6475" t="s">
        <v>74</v>
      </c>
      <c r="G6475">
        <v>-221.14529999999999</v>
      </c>
      <c r="H6475" s="1">
        <v>-1.167584E-7</v>
      </c>
      <c r="I6475">
        <v>-62.665399999999998</v>
      </c>
      <c r="J6475">
        <v>-256.44729999999998</v>
      </c>
      <c r="K6475">
        <v>1.1210869999999999</v>
      </c>
      <c r="L6475">
        <v>-62.75159</v>
      </c>
      <c r="M6475">
        <v>0.99992239999999999</v>
      </c>
      <c r="N6475">
        <v>-1.1892399999999999E-2</v>
      </c>
      <c r="O6475">
        <v>3.745398E-3</v>
      </c>
      <c r="P6475">
        <v>0.99716110000000002</v>
      </c>
      <c r="Q6475">
        <v>-6.6735160000000002E-2</v>
      </c>
      <c r="R6475">
        <v>3.4878180000000002E-2</v>
      </c>
      <c r="S6475">
        <v>3.0018919999999998</v>
      </c>
      <c r="T6475">
        <v>-9.5032569999999997E-2</v>
      </c>
      <c r="U6475">
        <v>7.3547359999999997E-3</v>
      </c>
      <c r="V6475">
        <v>-3.1116270000000001E-2</v>
      </c>
      <c r="W6475">
        <v>-5.4885549999999998E-2</v>
      </c>
      <c r="X6475">
        <v>0.99800770000000005</v>
      </c>
      <c r="Y6475">
        <v>1.294019E-3</v>
      </c>
      <c r="Z6475">
        <v>-1.021785E-4</v>
      </c>
      <c r="AA6475">
        <v>0.99999919999999998</v>
      </c>
      <c r="AB6475">
        <v>24</v>
      </c>
      <c r="AC6475">
        <v>35.3019999999999</v>
      </c>
      <c r="AD6475">
        <v>-1.1210871167584</v>
      </c>
      <c r="AE6475">
        <v>8.6190000000001904E-2</v>
      </c>
      <c r="AF6475">
        <v>4.5993593582642003E-2</v>
      </c>
      <c r="AG6475">
        <v>-1.1210871167584</v>
      </c>
      <c r="AH6475">
        <v>35.266508788429199</v>
      </c>
      <c r="AI6475">
        <v>91.820760946480803</v>
      </c>
      <c r="AJ6475">
        <v>89.925276490545897</v>
      </c>
      <c r="AK6475">
        <v>35.2843533858616</v>
      </c>
      <c r="AL6475">
        <v>93.1462913582141</v>
      </c>
      <c r="AM6475">
        <v>91.785811462294504</v>
      </c>
      <c r="AN6475">
        <v>1.0000000075583999</v>
      </c>
    </row>
    <row r="6476" spans="1:40" x14ac:dyDescent="0.25">
      <c r="A6476" t="str">
        <f>"20190303154650411"</f>
        <v>20190303154650411</v>
      </c>
      <c r="B6476" t="str">
        <f>"1551599210407859"</f>
        <v>1551599210407859</v>
      </c>
      <c r="C6476" t="s">
        <v>40</v>
      </c>
      <c r="D6476">
        <v>5.2519640000000001</v>
      </c>
      <c r="E6476">
        <v>0.51226859999999996</v>
      </c>
      <c r="F6476" t="s">
        <v>74</v>
      </c>
      <c r="G6476">
        <v>-220.94550000000001</v>
      </c>
      <c r="H6476" s="1">
        <v>-2.7561499999999998E-8</v>
      </c>
      <c r="I6476">
        <v>-62.649799999999999</v>
      </c>
      <c r="J6476">
        <v>-256.33179999999999</v>
      </c>
      <c r="K6476">
        <v>1.1210910000000001</v>
      </c>
      <c r="L6476">
        <v>-62.750979999999998</v>
      </c>
      <c r="M6476">
        <v>0.99992179999999997</v>
      </c>
      <c r="N6476">
        <v>-1.189515E-2</v>
      </c>
      <c r="O6476">
        <v>3.9042320000000001E-3</v>
      </c>
      <c r="P6476">
        <v>0.99716499999999997</v>
      </c>
      <c r="Q6476">
        <v>-6.6404569999999996E-2</v>
      </c>
      <c r="R6476">
        <v>3.539511E-2</v>
      </c>
      <c r="S6476">
        <v>3.0018919999999998</v>
      </c>
      <c r="T6476">
        <v>-9.4794509999999998E-2</v>
      </c>
      <c r="U6476">
        <v>8.6059569999999991E-3</v>
      </c>
      <c r="V6476">
        <v>-3.1474710000000003E-2</v>
      </c>
      <c r="W6476">
        <v>-5.4552320000000001E-2</v>
      </c>
      <c r="X6476">
        <v>0.99801470000000003</v>
      </c>
      <c r="Y6476">
        <v>1.036213E-3</v>
      </c>
      <c r="Z6476" s="1">
        <v>-9.9343610000000003E-5</v>
      </c>
      <c r="AA6476">
        <v>0.99999950000000004</v>
      </c>
      <c r="AB6476">
        <v>24</v>
      </c>
      <c r="AC6476">
        <v>35.386299999999899</v>
      </c>
      <c r="AD6476">
        <v>-1.1210910275615</v>
      </c>
      <c r="AE6476">
        <v>0.101180000000006</v>
      </c>
      <c r="AF6476">
        <v>3.6949760738573902E-2</v>
      </c>
      <c r="AG6476">
        <v>-1.1210910275615</v>
      </c>
      <c r="AH6476">
        <v>35.350943255815103</v>
      </c>
      <c r="AI6476">
        <v>91.816421924917293</v>
      </c>
      <c r="AJ6476">
        <v>89.940112925472604</v>
      </c>
      <c r="AK6476">
        <v>35.368734773140503</v>
      </c>
      <c r="AL6476">
        <v>93.127170133064098</v>
      </c>
      <c r="AM6476">
        <v>91.8063566826646</v>
      </c>
      <c r="AN6476">
        <v>0.999999977201528</v>
      </c>
    </row>
    <row r="6477" spans="1:40" x14ac:dyDescent="0.25">
      <c r="A6477" t="str">
        <f>"20190303154650423"</f>
        <v>20190303154650423</v>
      </c>
      <c r="B6477" t="str">
        <f>"1551599210418594"</f>
        <v>1551599210418594</v>
      </c>
      <c r="C6477" t="s">
        <v>40</v>
      </c>
      <c r="D6477">
        <v>5.2279660000000003</v>
      </c>
      <c r="E6477">
        <v>0.51226859999999996</v>
      </c>
      <c r="F6477" t="s">
        <v>74</v>
      </c>
      <c r="G6477">
        <v>-221.8569</v>
      </c>
      <c r="H6477" s="1">
        <v>-4.19837E-7</v>
      </c>
      <c r="I6477">
        <v>-62.655639999999998</v>
      </c>
      <c r="J6477">
        <v>-256.20659999999998</v>
      </c>
      <c r="K6477">
        <v>1.121097</v>
      </c>
      <c r="L6477">
        <v>-62.750309999999999</v>
      </c>
      <c r="M6477">
        <v>0.99992099999999995</v>
      </c>
      <c r="N6477">
        <v>-1.189846E-2</v>
      </c>
      <c r="O6477">
        <v>4.0768280000000002E-3</v>
      </c>
      <c r="P6477">
        <v>0.99714590000000003</v>
      </c>
      <c r="Q6477">
        <v>-6.6445679999999993E-2</v>
      </c>
      <c r="R6477">
        <v>3.5850640000000003E-2</v>
      </c>
      <c r="S6477">
        <v>3.001709</v>
      </c>
      <c r="T6477">
        <v>-9.7612500000000005E-2</v>
      </c>
      <c r="U6477">
        <v>8.3007810000000001E-3</v>
      </c>
      <c r="V6477">
        <v>-3.1758260000000003E-2</v>
      </c>
      <c r="W6477">
        <v>-5.4590449999999999E-2</v>
      </c>
      <c r="X6477">
        <v>0.99800370000000005</v>
      </c>
      <c r="Y6477">
        <v>1.3099699999999999E-3</v>
      </c>
      <c r="Z6477">
        <v>-1.131271E-4</v>
      </c>
      <c r="AA6477">
        <v>0.99999910000000003</v>
      </c>
      <c r="AB6477">
        <v>24</v>
      </c>
      <c r="AC6477">
        <v>34.349699999999899</v>
      </c>
      <c r="AD6477">
        <v>-1.1210974198370001</v>
      </c>
      <c r="AE6477">
        <v>9.4669999999993606E-2</v>
      </c>
      <c r="AF6477">
        <v>4.5330218992403297E-2</v>
      </c>
      <c r="AG6477">
        <v>-1.1210974198370001</v>
      </c>
      <c r="AH6477">
        <v>34.313249476002298</v>
      </c>
      <c r="AI6477">
        <v>91.871325327716093</v>
      </c>
      <c r="AJ6477">
        <v>89.924308284367797</v>
      </c>
      <c r="AK6477">
        <v>34.331589008606798</v>
      </c>
      <c r="AL6477">
        <v>93.129357869880906</v>
      </c>
      <c r="AM6477">
        <v>91.822638973493</v>
      </c>
      <c r="AN6477">
        <v>1.00000004476155</v>
      </c>
    </row>
    <row r="6478" spans="1:40" x14ac:dyDescent="0.25">
      <c r="A6478" t="str">
        <f>"20190303154650435"</f>
        <v>20190303154650435</v>
      </c>
      <c r="B6478" t="str">
        <f>"1551599210428354"</f>
        <v>1551599210428354</v>
      </c>
      <c r="C6478" t="s">
        <v>40</v>
      </c>
      <c r="D6478">
        <v>5.227201</v>
      </c>
      <c r="E6478">
        <v>0.52655090000000004</v>
      </c>
      <c r="F6478" t="s">
        <v>74</v>
      </c>
      <c r="G6478">
        <v>-221.78319999999999</v>
      </c>
      <c r="H6478" s="1">
        <v>-3.8468070000000003E-7</v>
      </c>
      <c r="I6478">
        <v>-62.639710000000001</v>
      </c>
      <c r="J6478">
        <v>-256.08139999999997</v>
      </c>
      <c r="K6478">
        <v>1.1211</v>
      </c>
      <c r="L6478">
        <v>-62.749569999999999</v>
      </c>
      <c r="M6478">
        <v>0.99992009999999998</v>
      </c>
      <c r="N6478">
        <v>-1.1902869999999999E-2</v>
      </c>
      <c r="O6478">
        <v>4.2495850000000002E-3</v>
      </c>
      <c r="P6478">
        <v>0.99715200000000004</v>
      </c>
      <c r="Q6478">
        <v>-6.6127900000000003E-2</v>
      </c>
      <c r="R6478">
        <v>3.6262389999999999E-2</v>
      </c>
      <c r="S6478">
        <v>3.0016940000000001</v>
      </c>
      <c r="T6478">
        <v>-9.7758650000000002E-2</v>
      </c>
      <c r="U6478">
        <v>9.6435549999999998E-3</v>
      </c>
      <c r="V6478">
        <v>-3.1997249999999998E-2</v>
      </c>
      <c r="W6478">
        <v>-5.4268240000000002E-2</v>
      </c>
      <c r="X6478">
        <v>0.99801359999999995</v>
      </c>
      <c r="Y6478">
        <v>1.035549E-3</v>
      </c>
      <c r="Z6478">
        <v>-1.108103E-4</v>
      </c>
      <c r="AA6478">
        <v>0.99999950000000004</v>
      </c>
      <c r="AB6478">
        <v>24</v>
      </c>
      <c r="AC6478">
        <v>34.298199999999902</v>
      </c>
      <c r="AD6478">
        <v>-1.1211003846806999</v>
      </c>
      <c r="AE6478">
        <v>0.109859999999997</v>
      </c>
      <c r="AF6478">
        <v>3.5866118534666903E-2</v>
      </c>
      <c r="AG6478">
        <v>-1.1211003846806999</v>
      </c>
      <c r="AH6478">
        <v>34.261751221824902</v>
      </c>
      <c r="AI6478">
        <v>91.874141641406496</v>
      </c>
      <c r="AJ6478">
        <v>89.940021265824896</v>
      </c>
      <c r="AK6478">
        <v>34.280107194074098</v>
      </c>
      <c r="AL6478">
        <v>93.110869311568095</v>
      </c>
      <c r="AM6478">
        <v>91.836327294264095</v>
      </c>
      <c r="AN6478">
        <v>1.00000000583261</v>
      </c>
    </row>
    <row r="6479" spans="1:40" x14ac:dyDescent="0.25">
      <c r="A6479" t="str">
        <f>"20190303154650445"</f>
        <v>20190303154650445</v>
      </c>
      <c r="B6479" t="str">
        <f>"1551599210438115"</f>
        <v>1551599210438115</v>
      </c>
      <c r="C6479" t="s">
        <v>40</v>
      </c>
      <c r="D6479">
        <v>5.2318980000000002</v>
      </c>
      <c r="E6479">
        <v>0.5281361</v>
      </c>
      <c r="F6479" t="s">
        <v>42</v>
      </c>
      <c r="G6479">
        <v>-255.2945</v>
      </c>
      <c r="H6479">
        <v>1.0377959999999999</v>
      </c>
      <c r="I6479">
        <v>-62.776870000000002</v>
      </c>
      <c r="J6479">
        <v>-255.96709999999999</v>
      </c>
      <c r="K6479">
        <v>1.1211040000000001</v>
      </c>
      <c r="L6479">
        <v>-62.748899999999999</v>
      </c>
      <c r="M6479">
        <v>0.99991949999999996</v>
      </c>
      <c r="N6479">
        <v>-1.190712E-2</v>
      </c>
      <c r="O6479">
        <v>4.4074980000000001E-3</v>
      </c>
      <c r="P6479">
        <v>0.99713870000000004</v>
      </c>
      <c r="Q6479">
        <v>-6.6180589999999997E-2</v>
      </c>
      <c r="R6479">
        <v>3.6538340000000002E-2</v>
      </c>
      <c r="S6479">
        <v>2.9913020000000001</v>
      </c>
      <c r="T6479">
        <v>-0.31661060000000002</v>
      </c>
      <c r="U6479">
        <v>-0.1027222</v>
      </c>
      <c r="V6479">
        <v>-3.2116619999999999E-2</v>
      </c>
      <c r="W6479">
        <v>-5.4316749999999997E-2</v>
      </c>
      <c r="X6479">
        <v>0.99800710000000004</v>
      </c>
      <c r="Y6479">
        <v>3.846662E-2</v>
      </c>
      <c r="Z6479">
        <v>-2.6720020000000001E-3</v>
      </c>
      <c r="AA6479">
        <v>0.99925629999999999</v>
      </c>
      <c r="AB6479">
        <v>24</v>
      </c>
      <c r="AC6479">
        <v>0.67259999999998799</v>
      </c>
      <c r="AD6479">
        <v>-8.3308000000000104E-2</v>
      </c>
      <c r="AE6479">
        <v>-2.7969999999996199E-2</v>
      </c>
      <c r="AF6479">
        <v>3.0467814975812E-2</v>
      </c>
      <c r="AG6479">
        <v>-8.3308000000000104E-2</v>
      </c>
      <c r="AH6479">
        <v>0.66232682389091702</v>
      </c>
      <c r="AI6479">
        <v>97.161566023580704</v>
      </c>
      <c r="AJ6479">
        <v>87.366183340675704</v>
      </c>
      <c r="AK6479">
        <v>0.668240474873253</v>
      </c>
      <c r="AL6479">
        <v>93.113652918528402</v>
      </c>
      <c r="AM6479">
        <v>91.843185237294705</v>
      </c>
      <c r="AN6479">
        <v>0.99999997913059802</v>
      </c>
    </row>
    <row r="6480" spans="1:40" x14ac:dyDescent="0.25">
      <c r="A6480" t="str">
        <f>"20190303154650456"</f>
        <v>20190303154650456</v>
      </c>
      <c r="B6480" t="str">
        <f>"1551599210447874"</f>
        <v>1551599210447874</v>
      </c>
      <c r="C6480" t="s">
        <v>40</v>
      </c>
      <c r="D6480">
        <v>5.2082600000000001</v>
      </c>
      <c r="E6480">
        <v>0.528698</v>
      </c>
      <c r="F6480" t="s">
        <v>42</v>
      </c>
      <c r="G6480">
        <v>-255.0856</v>
      </c>
      <c r="H6480">
        <v>1.028966</v>
      </c>
      <c r="I6480">
        <v>-62.78266</v>
      </c>
      <c r="J6480">
        <v>-255.85059999999999</v>
      </c>
      <c r="K6480">
        <v>1.121105</v>
      </c>
      <c r="L6480">
        <v>-62.748199999999997</v>
      </c>
      <c r="M6480">
        <v>0.99991859999999999</v>
      </c>
      <c r="N6480">
        <v>-1.1911740000000001E-2</v>
      </c>
      <c r="O6480">
        <v>4.5689199999999998E-3</v>
      </c>
      <c r="P6480">
        <v>0.99713019999999997</v>
      </c>
      <c r="Q6480">
        <v>-6.6156999999999994E-2</v>
      </c>
      <c r="R6480">
        <v>3.680605E-2</v>
      </c>
      <c r="S6480">
        <v>2.9920499999999999</v>
      </c>
      <c r="T6480">
        <v>-0.31273810000000002</v>
      </c>
      <c r="U6480">
        <v>-0.11450200000000001</v>
      </c>
      <c r="V6480">
        <v>-3.2223259999999997E-2</v>
      </c>
      <c r="W6480">
        <v>-5.428856E-2</v>
      </c>
      <c r="X6480">
        <v>0.99800520000000004</v>
      </c>
      <c r="Y6480">
        <v>4.2528820000000002E-2</v>
      </c>
      <c r="Z6480">
        <v>-2.8917639999999998E-3</v>
      </c>
      <c r="AA6480">
        <v>0.99909099999999995</v>
      </c>
      <c r="AB6480">
        <v>24</v>
      </c>
      <c r="AC6480">
        <v>0.76499999999998602</v>
      </c>
      <c r="AD6480">
        <v>-9.2138999999999902E-2</v>
      </c>
      <c r="AE6480">
        <v>-3.4460000000002801E-2</v>
      </c>
      <c r="AF6480">
        <v>3.7413470810716699E-2</v>
      </c>
      <c r="AG6480">
        <v>-9.2138999999999902E-2</v>
      </c>
      <c r="AH6480">
        <v>0.75391992844060995</v>
      </c>
      <c r="AI6480">
        <v>96.959270109070701</v>
      </c>
      <c r="AJ6480">
        <v>87.159012775562502</v>
      </c>
      <c r="AK6480">
        <v>0.76045027557296496</v>
      </c>
      <c r="AL6480">
        <v>93.112035352593296</v>
      </c>
      <c r="AM6480">
        <v>91.849304623798801</v>
      </c>
      <c r="AN6480">
        <v>0.99999998272946999</v>
      </c>
    </row>
    <row r="6481" spans="1:40" x14ac:dyDescent="0.25">
      <c r="A6481" t="str">
        <f>"20190303154650468"</f>
        <v>20190303154650468</v>
      </c>
      <c r="B6481" t="str">
        <f>"1551599210458611"</f>
        <v>1551599210458611</v>
      </c>
      <c r="C6481" t="s">
        <v>40</v>
      </c>
      <c r="D6481">
        <v>5.2279099999999996</v>
      </c>
      <c r="E6481">
        <v>0.52854840000000003</v>
      </c>
      <c r="F6481" t="s">
        <v>42</v>
      </c>
      <c r="G6481">
        <v>-255.0797</v>
      </c>
      <c r="H6481">
        <v>1.0409459999999999</v>
      </c>
      <c r="I6481">
        <v>-62.778649999999999</v>
      </c>
      <c r="J6481">
        <v>-255.7371</v>
      </c>
      <c r="K6481">
        <v>1.121105</v>
      </c>
      <c r="L6481">
        <v>-62.747529999999998</v>
      </c>
      <c r="M6481">
        <v>0.99991779999999997</v>
      </c>
      <c r="N6481">
        <v>-1.191626E-2</v>
      </c>
      <c r="O6481">
        <v>4.726287E-3</v>
      </c>
      <c r="P6481">
        <v>0.9971238</v>
      </c>
      <c r="Q6481">
        <v>-6.6295190000000004E-2</v>
      </c>
      <c r="R6481">
        <v>3.6731560000000003E-2</v>
      </c>
      <c r="S6481">
        <v>2.9923860000000002</v>
      </c>
      <c r="T6481">
        <v>-0.3111449</v>
      </c>
      <c r="U6481">
        <v>-0.118103</v>
      </c>
      <c r="V6481">
        <v>-3.1991749999999999E-2</v>
      </c>
      <c r="W6481">
        <v>-5.442205E-2</v>
      </c>
      <c r="X6481">
        <v>0.99800540000000004</v>
      </c>
      <c r="Y6481">
        <v>4.387626E-2</v>
      </c>
      <c r="Z6481">
        <v>-2.9701749999999998E-3</v>
      </c>
      <c r="AA6481">
        <v>0.99903260000000005</v>
      </c>
      <c r="AB6481">
        <v>24</v>
      </c>
      <c r="AC6481">
        <v>0.65739999999999499</v>
      </c>
      <c r="AD6481">
        <v>-8.0158999999999994E-2</v>
      </c>
      <c r="AE6481">
        <v>-3.1119999999994201E-2</v>
      </c>
      <c r="AF6481">
        <v>3.3726616488658899E-2</v>
      </c>
      <c r="AG6481">
        <v>-8.0158999999999994E-2</v>
      </c>
      <c r="AH6481">
        <v>0.64763817213107699</v>
      </c>
      <c r="AI6481">
        <v>97.046236172853497</v>
      </c>
      <c r="AJ6481">
        <v>87.018939192852898</v>
      </c>
      <c r="AK6481">
        <v>0.65345095603423498</v>
      </c>
      <c r="AL6481">
        <v>93.119695020470303</v>
      </c>
      <c r="AM6481">
        <v>91.8360269395004</v>
      </c>
      <c r="AN6481">
        <v>1.0000000050117099</v>
      </c>
    </row>
    <row r="6482" spans="1:40" x14ac:dyDescent="0.25">
      <c r="A6482" t="str">
        <f>"20190303154650478"</f>
        <v>20190303154650478</v>
      </c>
      <c r="B6482" t="str">
        <f>"1551599210468371"</f>
        <v>1551599210468371</v>
      </c>
      <c r="C6482" t="s">
        <v>40</v>
      </c>
      <c r="D6482">
        <v>5.2338269999999998</v>
      </c>
      <c r="E6482">
        <v>0.52856789999999998</v>
      </c>
      <c r="F6482" t="s">
        <v>42</v>
      </c>
      <c r="G6482">
        <v>-254.87209999999999</v>
      </c>
      <c r="H6482">
        <v>1.0296449999999999</v>
      </c>
      <c r="I6482">
        <v>-62.781570000000002</v>
      </c>
      <c r="J6482">
        <v>-255.62119999999999</v>
      </c>
      <c r="K6482">
        <v>1.1211040000000001</v>
      </c>
      <c r="L6482">
        <v>-62.746769999999998</v>
      </c>
      <c r="M6482">
        <v>0.9999171</v>
      </c>
      <c r="N6482">
        <v>-1.19209E-2</v>
      </c>
      <c r="O6482">
        <v>4.8868710000000001E-3</v>
      </c>
      <c r="P6482">
        <v>0.99712990000000001</v>
      </c>
      <c r="Q6482">
        <v>-6.6319299999999998E-2</v>
      </c>
      <c r="R6482">
        <v>3.6522060000000002E-2</v>
      </c>
      <c r="S6482">
        <v>2.9919280000000001</v>
      </c>
      <c r="T6482">
        <v>-0.3163859</v>
      </c>
      <c r="U6482">
        <v>-0.117157</v>
      </c>
      <c r="V6482">
        <v>-3.1622419999999998E-2</v>
      </c>
      <c r="W6482">
        <v>-5.4441129999999997E-2</v>
      </c>
      <c r="X6482">
        <v>0.99801609999999996</v>
      </c>
      <c r="Y6482">
        <v>4.3718269999999997E-2</v>
      </c>
      <c r="Z6482">
        <v>-3.0227769999999999E-3</v>
      </c>
      <c r="AA6482">
        <v>0.99903940000000002</v>
      </c>
      <c r="AB6482">
        <v>24</v>
      </c>
      <c r="AC6482">
        <v>0.74909999999999799</v>
      </c>
      <c r="AD6482">
        <v>-9.1458999999999901E-2</v>
      </c>
      <c r="AE6482">
        <v>-3.4799999999997E-2</v>
      </c>
      <c r="AF6482">
        <v>3.7896908596883799E-2</v>
      </c>
      <c r="AG6482">
        <v>-9.1458999999999901E-2</v>
      </c>
      <c r="AH6482">
        <v>0.73794455707361795</v>
      </c>
      <c r="AI6482">
        <v>97.055863864790894</v>
      </c>
      <c r="AJ6482">
        <v>87.060176009229806</v>
      </c>
      <c r="AK6482">
        <v>0.74455563504467503</v>
      </c>
      <c r="AL6482">
        <v>93.120789940860305</v>
      </c>
      <c r="AM6482">
        <v>91.814825668073397</v>
      </c>
      <c r="AN6482">
        <v>0.99999997497077098</v>
      </c>
    </row>
    <row r="6483" spans="1:40" x14ac:dyDescent="0.25">
      <c r="A6483" t="str">
        <f>"20190303154650490"</f>
        <v>20190303154650490</v>
      </c>
      <c r="B6483" t="str">
        <f>"1551599210487891"</f>
        <v>1551599210487891</v>
      </c>
      <c r="C6483" t="s">
        <v>40</v>
      </c>
      <c r="D6483">
        <v>5.2146629999999998</v>
      </c>
      <c r="E6483">
        <v>0.52855240000000003</v>
      </c>
      <c r="F6483" t="s">
        <v>42</v>
      </c>
      <c r="G6483">
        <v>-254.86670000000001</v>
      </c>
      <c r="H6483">
        <v>1.040419</v>
      </c>
      <c r="I6483">
        <v>-62.77664</v>
      </c>
      <c r="J6483">
        <v>-255.4888</v>
      </c>
      <c r="K6483">
        <v>1.121103</v>
      </c>
      <c r="L6483">
        <v>-62.745910000000002</v>
      </c>
      <c r="M6483">
        <v>0.99991600000000003</v>
      </c>
      <c r="N6483">
        <v>-1.1924550000000001E-2</v>
      </c>
      <c r="O6483">
        <v>5.0692710000000002E-3</v>
      </c>
      <c r="P6483">
        <v>0.99711530000000004</v>
      </c>
      <c r="Q6483">
        <v>-6.6563769999999994E-2</v>
      </c>
      <c r="R6483">
        <v>3.6474699999999999E-2</v>
      </c>
      <c r="S6483">
        <v>2.9916990000000001</v>
      </c>
      <c r="T6483">
        <v>-0.32001570000000001</v>
      </c>
      <c r="U6483">
        <v>-0.1177979</v>
      </c>
      <c r="V6483">
        <v>-3.1393579999999997E-2</v>
      </c>
      <c r="W6483">
        <v>-5.4681800000000003E-2</v>
      </c>
      <c r="X6483">
        <v>0.99801019999999896</v>
      </c>
      <c r="Y6483">
        <v>4.4107359999999998E-2</v>
      </c>
      <c r="Z6483">
        <v>-3.0955819999999999E-3</v>
      </c>
      <c r="AA6483">
        <v>0.99902199999999997</v>
      </c>
      <c r="AB6483">
        <v>24</v>
      </c>
      <c r="AC6483">
        <v>0.622099999999989</v>
      </c>
      <c r="AD6483">
        <v>-8.0683999999999895E-2</v>
      </c>
      <c r="AE6483">
        <v>-3.0730000000005399E-2</v>
      </c>
      <c r="AF6483">
        <v>3.3324237060050797E-2</v>
      </c>
      <c r="AG6483">
        <v>-8.0683999999999895E-2</v>
      </c>
      <c r="AH6483">
        <v>0.61167225939718906</v>
      </c>
      <c r="AI6483">
        <v>97.503346430397897</v>
      </c>
      <c r="AJ6483">
        <v>86.881577654641305</v>
      </c>
      <c r="AK6483">
        <v>0.61787002318262396</v>
      </c>
      <c r="AL6483">
        <v>93.134599784873501</v>
      </c>
      <c r="AM6483">
        <v>91.801711763714593</v>
      </c>
      <c r="AN6483">
        <v>1.00000000771024</v>
      </c>
    </row>
    <row r="6484" spans="1:40" x14ac:dyDescent="0.25">
      <c r="A6484" t="str">
        <f>"20190303154650502"</f>
        <v>20190303154650502</v>
      </c>
      <c r="B6484" t="str">
        <f>"1551599210498627"</f>
        <v>1551599210498627</v>
      </c>
      <c r="C6484" t="s">
        <v>40</v>
      </c>
      <c r="D6484">
        <v>5.2025300000000003</v>
      </c>
      <c r="E6484">
        <v>0.52839619999999998</v>
      </c>
      <c r="F6484" t="s">
        <v>42</v>
      </c>
      <c r="G6484">
        <v>-254.6585</v>
      </c>
      <c r="H6484">
        <v>1.0302070000000001</v>
      </c>
      <c r="I6484">
        <v>-62.778640000000003</v>
      </c>
      <c r="J6484">
        <v>-255.3672</v>
      </c>
      <c r="K6484">
        <v>1.1210990000000001</v>
      </c>
      <c r="L6484">
        <v>-62.745150000000002</v>
      </c>
      <c r="M6484">
        <v>0.99991509999999995</v>
      </c>
      <c r="N6484">
        <v>-1.192702E-2</v>
      </c>
      <c r="O6484">
        <v>5.2363610000000001E-3</v>
      </c>
      <c r="P6484">
        <v>0.99710980000000005</v>
      </c>
      <c r="Q6484">
        <v>-6.6818619999999995E-2</v>
      </c>
      <c r="R6484">
        <v>3.6157679999999998E-2</v>
      </c>
      <c r="S6484">
        <v>2.9911349999999999</v>
      </c>
      <c r="T6484">
        <v>-0.3274204</v>
      </c>
      <c r="U6484">
        <v>-0.1178284</v>
      </c>
      <c r="V6484">
        <v>-3.090965E-2</v>
      </c>
      <c r="W6484">
        <v>-5.4933849999999999E-2</v>
      </c>
      <c r="X6484">
        <v>0.99801150000000005</v>
      </c>
      <c r="Y6484">
        <v>4.4276290000000003E-2</v>
      </c>
      <c r="Z6484">
        <v>-3.1892140000000001E-3</v>
      </c>
      <c r="AA6484">
        <v>0.99901430000000002</v>
      </c>
      <c r="AB6484">
        <v>24</v>
      </c>
      <c r="AC6484">
        <v>0.708699999999993</v>
      </c>
      <c r="AD6484">
        <v>-9.0892000000000195E-2</v>
      </c>
      <c r="AE6484">
        <v>-3.3490000000000401E-2</v>
      </c>
      <c r="AF6484">
        <v>3.6600137815565197E-2</v>
      </c>
      <c r="AG6484">
        <v>-9.0892000000000195E-2</v>
      </c>
      <c r="AH6484">
        <v>0.69707461548794702</v>
      </c>
      <c r="AI6484">
        <v>97.418815632633397</v>
      </c>
      <c r="AJ6484">
        <v>86.994425675688603</v>
      </c>
      <c r="AK6484">
        <v>0.70392751424403599</v>
      </c>
      <c r="AL6484">
        <v>93.149062810125002</v>
      </c>
      <c r="AM6484">
        <v>91.773954068916396</v>
      </c>
      <c r="AN6484">
        <v>1.0000000442355901</v>
      </c>
    </row>
    <row r="6485" spans="1:40" x14ac:dyDescent="0.25">
      <c r="A6485" t="str">
        <f>"20190303154650514"</f>
        <v>20190303154650514</v>
      </c>
      <c r="B6485" t="str">
        <f>"1551599210508386"</f>
        <v>1551599210508386</v>
      </c>
      <c r="C6485" t="s">
        <v>40</v>
      </c>
      <c r="D6485">
        <v>5.1882679999999999</v>
      </c>
      <c r="E6485">
        <v>0.5285031</v>
      </c>
      <c r="F6485" t="s">
        <v>42</v>
      </c>
      <c r="G6485">
        <v>-254.45050000000001</v>
      </c>
      <c r="H6485">
        <v>1.019587</v>
      </c>
      <c r="I6485">
        <v>-62.781329999999997</v>
      </c>
      <c r="J6485">
        <v>-255.2362</v>
      </c>
      <c r="K6485">
        <v>1.121095</v>
      </c>
      <c r="L6485">
        <v>-62.744259999999997</v>
      </c>
      <c r="M6485">
        <v>0.99991439999999998</v>
      </c>
      <c r="N6485">
        <v>-1.19252E-2</v>
      </c>
      <c r="O6485">
        <v>5.4143809999999898E-3</v>
      </c>
      <c r="P6485">
        <v>0.99709400000000004</v>
      </c>
      <c r="Q6485">
        <v>-6.7130800000000004E-2</v>
      </c>
      <c r="R6485">
        <v>3.6019530000000001E-2</v>
      </c>
      <c r="S6485">
        <v>2.9907680000000001</v>
      </c>
      <c r="T6485">
        <v>-0.33110479999999998</v>
      </c>
      <c r="U6485">
        <v>-0.11752319999999999</v>
      </c>
      <c r="V6485">
        <v>-3.0594079999999999E-2</v>
      </c>
      <c r="W6485">
        <v>-5.524768E-2</v>
      </c>
      <c r="X6485">
        <v>0.9980038</v>
      </c>
      <c r="Y6485">
        <v>4.4348819999999997E-2</v>
      </c>
      <c r="Z6485">
        <v>-3.2449419999999998E-3</v>
      </c>
      <c r="AA6485">
        <v>0.99901090000000003</v>
      </c>
      <c r="AB6485">
        <v>24</v>
      </c>
      <c r="AC6485">
        <v>0.78569999999999096</v>
      </c>
      <c r="AD6485">
        <v>-0.101508</v>
      </c>
      <c r="AE6485">
        <v>-3.7070000000007E-2</v>
      </c>
      <c r="AF6485">
        <v>4.0646899692525197E-2</v>
      </c>
      <c r="AG6485">
        <v>-0.101508</v>
      </c>
      <c r="AH6485">
        <v>0.772620452485139</v>
      </c>
      <c r="AI6485">
        <v>97.474515078487499</v>
      </c>
      <c r="AJ6485">
        <v>86.988494444444797</v>
      </c>
      <c r="AK6485">
        <v>0.78031942697651402</v>
      </c>
      <c r="AL6485">
        <v>93.167071609138205</v>
      </c>
      <c r="AM6485">
        <v>91.755867937922403</v>
      </c>
      <c r="AN6485">
        <v>0.99999994434543205</v>
      </c>
    </row>
    <row r="6486" spans="1:40" x14ac:dyDescent="0.25">
      <c r="A6486" t="str">
        <f>"20190303154650526"</f>
        <v>20190303154650526</v>
      </c>
      <c r="B6486" t="str">
        <f>"1551599210518146"</f>
        <v>1551599210518146</v>
      </c>
      <c r="C6486" t="s">
        <v>40</v>
      </c>
      <c r="D6486">
        <v>5.2481770000000001</v>
      </c>
      <c r="E6486">
        <v>0.52839069999999899</v>
      </c>
      <c r="F6486" t="s">
        <v>42</v>
      </c>
      <c r="G6486">
        <v>-254.4442</v>
      </c>
      <c r="H6486">
        <v>1.032278</v>
      </c>
      <c r="I6486">
        <v>-62.775869999999998</v>
      </c>
      <c r="J6486">
        <v>-255.11</v>
      </c>
      <c r="K6486">
        <v>1.1210910000000001</v>
      </c>
      <c r="L6486">
        <v>-62.74335</v>
      </c>
      <c r="M6486">
        <v>0.99991339999999995</v>
      </c>
      <c r="N6486">
        <v>-1.1921609999999999E-2</v>
      </c>
      <c r="O6486">
        <v>5.5858569999999996E-3</v>
      </c>
      <c r="P6486">
        <v>0.99709449999999999</v>
      </c>
      <c r="Q6486">
        <v>-6.7286009999999993E-2</v>
      </c>
      <c r="R6486">
        <v>3.5711960000000001E-2</v>
      </c>
      <c r="S6486">
        <v>2.990494</v>
      </c>
      <c r="T6486">
        <v>-0.33531680000000003</v>
      </c>
      <c r="U6486">
        <v>-0.1187744</v>
      </c>
      <c r="V6486">
        <v>-3.011602E-2</v>
      </c>
      <c r="W6486">
        <v>-5.5406089999999998E-2</v>
      </c>
      <c r="X6486">
        <v>0.99800960000000005</v>
      </c>
      <c r="Y6486">
        <v>4.492811E-2</v>
      </c>
      <c r="Z6486">
        <v>-3.3366009999999998E-3</v>
      </c>
      <c r="AA6486">
        <v>0.9989846</v>
      </c>
      <c r="AB6486">
        <v>24</v>
      </c>
      <c r="AC6486">
        <v>0.66580000000001804</v>
      </c>
      <c r="AD6486">
        <v>-8.8813000000000003E-2</v>
      </c>
      <c r="AE6486">
        <v>-3.2519999999998099E-2</v>
      </c>
      <c r="AF6486">
        <v>3.5606753380219902E-2</v>
      </c>
      <c r="AG6486">
        <v>-8.8813000000000003E-2</v>
      </c>
      <c r="AH6486">
        <v>0.65399860811820199</v>
      </c>
      <c r="AI6486">
        <v>97.722159902487803</v>
      </c>
      <c r="AJ6486">
        <v>86.883625660500599</v>
      </c>
      <c r="AK6486">
        <v>0.66096124642510301</v>
      </c>
      <c r="AL6486">
        <v>93.176161626409396</v>
      </c>
      <c r="AM6486">
        <v>91.728437659252293</v>
      </c>
      <c r="AN6486">
        <v>0.99999998558094405</v>
      </c>
    </row>
    <row r="6487" spans="1:40" x14ac:dyDescent="0.25">
      <c r="A6487" t="str">
        <f>"20190303154650539"</f>
        <v>20190303154650539</v>
      </c>
      <c r="B6487" t="str">
        <f>"1551599210527906"</f>
        <v>1551599210527906</v>
      </c>
      <c r="C6487" t="s">
        <v>40</v>
      </c>
      <c r="D6487">
        <v>5.1933980000000002</v>
      </c>
      <c r="E6487">
        <v>0.52819769999999999</v>
      </c>
      <c r="F6487" t="s">
        <v>42</v>
      </c>
      <c r="G6487">
        <v>-254.23519999999999</v>
      </c>
      <c r="H6487">
        <v>1.0235570000000001</v>
      </c>
      <c r="I6487">
        <v>-62.778109999999998</v>
      </c>
      <c r="J6487">
        <v>-254.96690000000001</v>
      </c>
      <c r="K6487">
        <v>1.1210869999999999</v>
      </c>
      <c r="L6487">
        <v>-62.742339999999999</v>
      </c>
      <c r="M6487">
        <v>0.99991229999999998</v>
      </c>
      <c r="N6487">
        <v>-1.191498E-2</v>
      </c>
      <c r="O6487">
        <v>5.779401E-3</v>
      </c>
      <c r="P6487">
        <v>0.99708640000000004</v>
      </c>
      <c r="Q6487">
        <v>-6.7460539999999999E-2</v>
      </c>
      <c r="R6487">
        <v>3.5609099999999998E-2</v>
      </c>
      <c r="S6487">
        <v>2.990494</v>
      </c>
      <c r="T6487">
        <v>-0.3334144</v>
      </c>
      <c r="U6487">
        <v>-0.1187744</v>
      </c>
      <c r="V6487">
        <v>-2.982019E-2</v>
      </c>
      <c r="W6487">
        <v>-5.5586990000000003E-2</v>
      </c>
      <c r="X6487">
        <v>0.99800840000000002</v>
      </c>
      <c r="Y6487">
        <v>4.5122889999999999E-2</v>
      </c>
      <c r="Z6487">
        <v>-3.3499960000000001E-3</v>
      </c>
      <c r="AA6487">
        <v>0.99897579999999997</v>
      </c>
      <c r="AB6487">
        <v>24</v>
      </c>
      <c r="AC6487">
        <v>0.731700000000017</v>
      </c>
      <c r="AD6487">
        <v>-9.7530000000000103E-2</v>
      </c>
      <c r="AE6487">
        <v>-3.5769999999992301E-2</v>
      </c>
      <c r="AF6487">
        <v>3.93018847461266E-2</v>
      </c>
      <c r="AG6487">
        <v>-9.7530000000000103E-2</v>
      </c>
      <c r="AH6487">
        <v>0.71874170632104994</v>
      </c>
      <c r="AI6487">
        <v>97.716190751237704</v>
      </c>
      <c r="AJ6487">
        <v>86.870097082223793</v>
      </c>
      <c r="AK6487">
        <v>0.72639271709585096</v>
      </c>
      <c r="AL6487">
        <v>93.186542506920901</v>
      </c>
      <c r="AM6487">
        <v>91.711471401247195</v>
      </c>
      <c r="AN6487">
        <v>0.99999996182972695</v>
      </c>
    </row>
    <row r="6488" spans="1:40" x14ac:dyDescent="0.25">
      <c r="A6488" t="str">
        <f>"20190303154650554"</f>
        <v>20190303154650554</v>
      </c>
      <c r="B6488" t="str">
        <f>"1551599210548403"</f>
        <v>1551599210548403</v>
      </c>
      <c r="C6488" t="s">
        <v>40</v>
      </c>
      <c r="D6488">
        <v>5.2353620000000003</v>
      </c>
      <c r="E6488">
        <v>0.52806370000000002</v>
      </c>
      <c r="F6488" t="s">
        <v>42</v>
      </c>
      <c r="G6488">
        <v>-254.2277</v>
      </c>
      <c r="H6488">
        <v>1.038656</v>
      </c>
      <c r="I6488">
        <v>-62.771410000000003</v>
      </c>
      <c r="J6488">
        <v>-254.82990000000001</v>
      </c>
      <c r="K6488">
        <v>1.121081</v>
      </c>
      <c r="L6488">
        <v>-62.74136</v>
      </c>
      <c r="M6488">
        <v>0.99991129999999995</v>
      </c>
      <c r="N6488">
        <v>-1.190661E-2</v>
      </c>
      <c r="O6488">
        <v>5.9641420000000004E-3</v>
      </c>
      <c r="P6488">
        <v>0.99711000000000005</v>
      </c>
      <c r="Q6488">
        <v>-6.732921E-2</v>
      </c>
      <c r="R6488">
        <v>3.5194179999999999E-2</v>
      </c>
      <c r="S6488">
        <v>2.9904329999999999</v>
      </c>
      <c r="T6488">
        <v>-0.333518599999999</v>
      </c>
      <c r="U6488">
        <v>-0.11752319999999999</v>
      </c>
      <c r="V6488">
        <v>-2.9221239999999999E-2</v>
      </c>
      <c r="W6488">
        <v>-5.5463360000000003E-2</v>
      </c>
      <c r="X6488">
        <v>0.99803299999999995</v>
      </c>
      <c r="Y6488">
        <v>4.4891399999999998E-2</v>
      </c>
      <c r="Z6488">
        <v>-3.355013E-3</v>
      </c>
      <c r="AA6488">
        <v>0.99898620000000005</v>
      </c>
      <c r="AB6488">
        <v>24</v>
      </c>
      <c r="AC6488">
        <v>0.60220000000000995</v>
      </c>
      <c r="AD6488">
        <v>-8.2424999999999901E-2</v>
      </c>
      <c r="AE6488">
        <v>-3.0049999999995601E-2</v>
      </c>
      <c r="AF6488">
        <v>3.3024179831066397E-2</v>
      </c>
      <c r="AG6488">
        <v>-8.2424999999999901E-2</v>
      </c>
      <c r="AH6488">
        <v>0.59096624060047498</v>
      </c>
      <c r="AI6488">
        <v>97.927893488014604</v>
      </c>
      <c r="AJ6488">
        <v>86.801542786872702</v>
      </c>
      <c r="AK6488">
        <v>0.59759984488616902</v>
      </c>
      <c r="AL6488">
        <v>93.179448067903095</v>
      </c>
      <c r="AM6488">
        <v>91.677074357337503</v>
      </c>
      <c r="AN6488">
        <v>0.99999996712931205</v>
      </c>
    </row>
    <row r="6489" spans="1:40" x14ac:dyDescent="0.25">
      <c r="A6489" t="str">
        <f>"20190303154650567"</f>
        <v>20190303154650567</v>
      </c>
      <c r="B6489" t="str">
        <f>"1551599210558163"</f>
        <v>1551599210558163</v>
      </c>
      <c r="C6489" t="s">
        <v>40</v>
      </c>
      <c r="D6489">
        <v>5.224545</v>
      </c>
      <c r="E6489">
        <v>0.52799909999999906</v>
      </c>
      <c r="F6489" t="s">
        <v>42</v>
      </c>
      <c r="G6489">
        <v>-254.01830000000001</v>
      </c>
      <c r="H6489">
        <v>1.0307109999999999</v>
      </c>
      <c r="I6489">
        <v>-62.773470000000003</v>
      </c>
      <c r="J6489">
        <v>-254.67760000000001</v>
      </c>
      <c r="K6489">
        <v>1.121073</v>
      </c>
      <c r="L6489">
        <v>-62.740200000000002</v>
      </c>
      <c r="M6489">
        <v>0.99991039999999998</v>
      </c>
      <c r="N6489">
        <v>-1.189688E-2</v>
      </c>
      <c r="O6489">
        <v>6.1690390000000003E-3</v>
      </c>
      <c r="P6489">
        <v>0.9971139</v>
      </c>
      <c r="Q6489">
        <v>-6.7278980000000002E-2</v>
      </c>
      <c r="R6489">
        <v>3.517754E-2</v>
      </c>
      <c r="S6489">
        <v>2.9903870000000001</v>
      </c>
      <c r="T6489">
        <v>-0.33298359999999999</v>
      </c>
      <c r="U6489">
        <v>-0.1177368</v>
      </c>
      <c r="V6489">
        <v>-2.9000020000000001E-2</v>
      </c>
      <c r="W6489">
        <v>-5.5422529999999998E-2</v>
      </c>
      <c r="X6489">
        <v>0.99804170000000003</v>
      </c>
      <c r="Y6489">
        <v>4.5166129999999999E-2</v>
      </c>
      <c r="Z6489">
        <v>-3.387049E-3</v>
      </c>
      <c r="AA6489">
        <v>0.99897369999999996</v>
      </c>
      <c r="AB6489">
        <v>24</v>
      </c>
      <c r="AC6489">
        <v>0.659300000000001</v>
      </c>
      <c r="AD6489">
        <v>-9.0361999999999804E-2</v>
      </c>
      <c r="AE6489">
        <v>-3.3269999999994498E-2</v>
      </c>
      <c r="AF6489">
        <v>3.6650185265911198E-2</v>
      </c>
      <c r="AG6489">
        <v>-9.0361999999999804E-2</v>
      </c>
      <c r="AH6489">
        <v>0.64696007681034196</v>
      </c>
      <c r="AI6489">
        <v>97.938594331225502</v>
      </c>
      <c r="AJ6489">
        <v>86.757668691404803</v>
      </c>
      <c r="AK6489">
        <v>0.654267428587477</v>
      </c>
      <c r="AL6489">
        <v>93.177105143012895</v>
      </c>
      <c r="AM6489">
        <v>91.664370699420004</v>
      </c>
      <c r="AN6489">
        <v>0.99999994646524404</v>
      </c>
    </row>
    <row r="6490" spans="1:40" x14ac:dyDescent="0.25">
      <c r="A6490" t="str">
        <f>"20190303154650582"</f>
        <v>20190303154650582</v>
      </c>
      <c r="B6490" t="str">
        <f>"1551599210577683"</f>
        <v>1551599210577683</v>
      </c>
      <c r="C6490" t="s">
        <v>40</v>
      </c>
      <c r="D6490">
        <v>5.1693749999999996</v>
      </c>
      <c r="E6490">
        <v>0.52805639999999998</v>
      </c>
      <c r="F6490" t="s">
        <v>42</v>
      </c>
      <c r="G6490">
        <v>-253.80799999999999</v>
      </c>
      <c r="H6490">
        <v>1.024556</v>
      </c>
      <c r="I6490">
        <v>-62.774360000000001</v>
      </c>
      <c r="J6490">
        <v>-254.52160000000001</v>
      </c>
      <c r="K6490">
        <v>1.12107</v>
      </c>
      <c r="L6490">
        <v>-62.73901</v>
      </c>
      <c r="M6490">
        <v>0.99990919999999905</v>
      </c>
      <c r="N6490">
        <v>-1.188665E-2</v>
      </c>
      <c r="O6490">
        <v>6.3791899999999999E-3</v>
      </c>
      <c r="P6490">
        <v>0.99711070000000002</v>
      </c>
      <c r="Q6490">
        <v>-6.7485149999999994E-2</v>
      </c>
      <c r="R6490">
        <v>3.4871600000000003E-2</v>
      </c>
      <c r="S6490">
        <v>2.9904329999999999</v>
      </c>
      <c r="T6490">
        <v>-0.331864099999999</v>
      </c>
      <c r="U6490">
        <v>-0.11724850000000001</v>
      </c>
      <c r="V6490">
        <v>-2.848475E-2</v>
      </c>
      <c r="W6490">
        <v>-5.5638640000000003E-2</v>
      </c>
      <c r="X6490">
        <v>0.99804459999999995</v>
      </c>
      <c r="Y6490">
        <v>4.5213490000000002E-2</v>
      </c>
      <c r="Z6490">
        <v>-3.3998259999999999E-3</v>
      </c>
      <c r="AA6490">
        <v>0.99897159999999996</v>
      </c>
      <c r="AB6490">
        <v>24</v>
      </c>
      <c r="AC6490">
        <v>0.713600000000013</v>
      </c>
      <c r="AD6490">
        <v>-9.6514000000000003E-2</v>
      </c>
      <c r="AE6490">
        <v>-3.5349999999993997E-2</v>
      </c>
      <c r="AF6490">
        <v>3.9186726385806399E-2</v>
      </c>
      <c r="AG6490">
        <v>-9.6514000000000003E-2</v>
      </c>
      <c r="AH6490">
        <v>0.700576103169957</v>
      </c>
      <c r="AI6490">
        <v>97.831818092456203</v>
      </c>
      <c r="AJ6490">
        <v>86.7984964979198</v>
      </c>
      <c r="AK6490">
        <v>0.70827779017391101</v>
      </c>
      <c r="AL6490">
        <v>93.189506198793893</v>
      </c>
      <c r="AM6490">
        <v>91.634809741188604</v>
      </c>
      <c r="AN6490">
        <v>1.0000000314163799</v>
      </c>
    </row>
    <row r="6491" spans="1:40" x14ac:dyDescent="0.25">
      <c r="A6491" t="str">
        <f>"20190303154650595"</f>
        <v>20190303154650595</v>
      </c>
      <c r="B6491" t="str">
        <f>"1551599210588419"</f>
        <v>1551599210588419</v>
      </c>
      <c r="C6491" t="s">
        <v>40</v>
      </c>
      <c r="D6491">
        <v>5.2381820000000001</v>
      </c>
      <c r="E6491">
        <v>0.52800009999999997</v>
      </c>
      <c r="F6491" t="s">
        <v>42</v>
      </c>
      <c r="G6491">
        <v>-253.59719999999999</v>
      </c>
      <c r="H6491">
        <v>1.019217</v>
      </c>
      <c r="I6491">
        <v>-62.775840000000002</v>
      </c>
      <c r="J6491">
        <v>-254.37809999999999</v>
      </c>
      <c r="K6491">
        <v>1.121075</v>
      </c>
      <c r="L6491">
        <v>-62.737879999999997</v>
      </c>
      <c r="M6491">
        <v>0.99990789999999996</v>
      </c>
      <c r="N6491">
        <v>-1.1877560000000001E-2</v>
      </c>
      <c r="O6491">
        <v>6.571581E-3</v>
      </c>
      <c r="P6491">
        <v>0.99710109999999996</v>
      </c>
      <c r="Q6491">
        <v>-6.7608390000000004E-2</v>
      </c>
      <c r="R6491">
        <v>3.4902530000000001E-2</v>
      </c>
      <c r="S6491">
        <v>2.9905240000000002</v>
      </c>
      <c r="T6491">
        <v>-0.3295188</v>
      </c>
      <c r="U6491">
        <v>-0.1186523</v>
      </c>
      <c r="V6491">
        <v>-2.8323210000000001E-2</v>
      </c>
      <c r="W6491">
        <v>-5.5770930000000003E-2</v>
      </c>
      <c r="X6491">
        <v>0.99804179999999998</v>
      </c>
      <c r="Y6491">
        <v>4.5871990000000001E-2</v>
      </c>
      <c r="Z6491">
        <v>-3.4359519999999999E-3</v>
      </c>
      <c r="AA6491">
        <v>0.99894139999999998</v>
      </c>
      <c r="AB6491">
        <v>24</v>
      </c>
      <c r="AC6491">
        <v>0.78090000000000204</v>
      </c>
      <c r="AD6491">
        <v>-0.101858</v>
      </c>
      <c r="AE6491">
        <v>-3.7959999999998197E-2</v>
      </c>
      <c r="AF6491">
        <v>4.2372082124580102E-2</v>
      </c>
      <c r="AG6491">
        <v>-0.101858</v>
      </c>
      <c r="AH6491">
        <v>0.76760463305627002</v>
      </c>
      <c r="AI6491">
        <v>97.547399707357698</v>
      </c>
      <c r="AJ6491">
        <v>86.840456629951703</v>
      </c>
      <c r="AK6491">
        <v>0.77549166223565802</v>
      </c>
      <c r="AL6491">
        <v>93.197097688489507</v>
      </c>
      <c r="AM6491">
        <v>91.625548110365003</v>
      </c>
      <c r="AN6491">
        <v>1.0000000177024999</v>
      </c>
    </row>
    <row r="6492" spans="1:40" x14ac:dyDescent="0.25">
      <c r="A6492" t="str">
        <f>"20190303154650605"</f>
        <v>20190303154650605</v>
      </c>
      <c r="B6492" t="str">
        <f>"1551599210598179"</f>
        <v>1551599210598179</v>
      </c>
      <c r="C6492" t="s">
        <v>40</v>
      </c>
      <c r="D6492">
        <v>5.1616400000000002</v>
      </c>
      <c r="E6492">
        <v>0.5280859</v>
      </c>
      <c r="F6492" t="s">
        <v>42</v>
      </c>
      <c r="G6492">
        <v>-253.5898</v>
      </c>
      <c r="H6492">
        <v>1.0342519999999999</v>
      </c>
      <c r="I6492">
        <v>-62.769170000000003</v>
      </c>
      <c r="J6492">
        <v>-254.25960000000001</v>
      </c>
      <c r="K6492">
        <v>1.1210739999999999</v>
      </c>
      <c r="L6492">
        <v>-62.736939999999997</v>
      </c>
      <c r="M6492">
        <v>0.99990699999999999</v>
      </c>
      <c r="N6492">
        <v>-1.1870199999999999E-2</v>
      </c>
      <c r="O6492">
        <v>6.7301110000000004E-3</v>
      </c>
      <c r="P6492">
        <v>0.99709510000000001</v>
      </c>
      <c r="Q6492">
        <v>-6.7761810000000006E-2</v>
      </c>
      <c r="R6492">
        <v>3.4782639999999997E-2</v>
      </c>
      <c r="S6492">
        <v>2.9905400000000002</v>
      </c>
      <c r="T6492">
        <v>-0.32941619999999999</v>
      </c>
      <c r="U6492">
        <v>-0.1180725</v>
      </c>
      <c r="V6492">
        <v>-2.8045500000000001E-2</v>
      </c>
      <c r="W6492">
        <v>-5.5931580000000002E-2</v>
      </c>
      <c r="X6492">
        <v>0.99804059999999994</v>
      </c>
      <c r="Y6492">
        <v>4.5836490000000001E-2</v>
      </c>
      <c r="Z6492">
        <v>-3.4481889999999999E-3</v>
      </c>
      <c r="AA6492">
        <v>0.99894300000000003</v>
      </c>
      <c r="AB6492">
        <v>24</v>
      </c>
      <c r="AC6492">
        <v>0.66980000000000905</v>
      </c>
      <c r="AD6492">
        <v>-8.6821999999999899E-2</v>
      </c>
      <c r="AE6492">
        <v>-3.22299999999913E-2</v>
      </c>
      <c r="AF6492">
        <v>3.6131721120957902E-2</v>
      </c>
      <c r="AG6492">
        <v>-8.6821999999999899E-2</v>
      </c>
      <c r="AH6492">
        <v>0.65852865238733305</v>
      </c>
      <c r="AI6492">
        <v>97.499543895058295</v>
      </c>
      <c r="AJ6492">
        <v>86.859481400208693</v>
      </c>
      <c r="AK6492">
        <v>0.66520940084325297</v>
      </c>
      <c r="AL6492">
        <v>93.206316812797297</v>
      </c>
      <c r="AM6492">
        <v>91.609619918530399</v>
      </c>
      <c r="AN6492">
        <v>0.99999996547995196</v>
      </c>
    </row>
    <row r="6493" spans="1:40" x14ac:dyDescent="0.25">
      <c r="A6493" t="str">
        <f>"20190303154650616"</f>
        <v>20190303154650616</v>
      </c>
      <c r="B6493" t="str">
        <f>"1551599210607939"</f>
        <v>1551599210607939</v>
      </c>
      <c r="C6493" t="s">
        <v>40</v>
      </c>
      <c r="D6493">
        <v>5.1922540000000001</v>
      </c>
      <c r="E6493">
        <v>0.5281922</v>
      </c>
      <c r="F6493" t="s">
        <v>42</v>
      </c>
      <c r="G6493">
        <v>-253.381</v>
      </c>
      <c r="H6493">
        <v>1.024939</v>
      </c>
      <c r="I6493">
        <v>-62.771889999999999</v>
      </c>
      <c r="J6493">
        <v>-254.14359999999999</v>
      </c>
      <c r="K6493">
        <v>1.121073</v>
      </c>
      <c r="L6493">
        <v>-62.735990000000001</v>
      </c>
      <c r="M6493">
        <v>0.99990590000000001</v>
      </c>
      <c r="N6493">
        <v>-1.1863179999999999E-2</v>
      </c>
      <c r="O6493">
        <v>6.8848859999999998E-3</v>
      </c>
      <c r="P6493">
        <v>0.99708549999999996</v>
      </c>
      <c r="Q6493">
        <v>-6.789647E-2</v>
      </c>
      <c r="R6493">
        <v>3.4799129999999998E-2</v>
      </c>
      <c r="S6493">
        <v>2.9906769999999998</v>
      </c>
      <c r="T6493">
        <v>-0.32720890000000002</v>
      </c>
      <c r="U6493">
        <v>-0.1190491</v>
      </c>
      <c r="V6493">
        <v>-2.790774E-2</v>
      </c>
      <c r="W6493">
        <v>-5.6073280000000003E-2</v>
      </c>
      <c r="X6493">
        <v>0.99803660000000005</v>
      </c>
      <c r="Y6493">
        <v>4.6315490000000001E-2</v>
      </c>
      <c r="Z6493">
        <v>-3.4702299999999999E-3</v>
      </c>
      <c r="AA6493">
        <v>0.9989209</v>
      </c>
      <c r="AB6493">
        <v>24</v>
      </c>
      <c r="AC6493">
        <v>0.76260000000002004</v>
      </c>
      <c r="AD6493">
        <v>-9.61339999999999E-2</v>
      </c>
      <c r="AE6493">
        <v>-3.5899999999998003E-2</v>
      </c>
      <c r="AF6493">
        <v>4.0507635659043202E-2</v>
      </c>
      <c r="AG6493">
        <v>-9.61339999999999E-2</v>
      </c>
      <c r="AH6493">
        <v>0.75043568208626199</v>
      </c>
      <c r="AI6493">
        <v>97.289575264944403</v>
      </c>
      <c r="AJ6493">
        <v>86.910239761594596</v>
      </c>
      <c r="AK6493">
        <v>0.75765185108396504</v>
      </c>
      <c r="AL6493">
        <v>93.214448099019293</v>
      </c>
      <c r="AM6493">
        <v>91.6017239814622</v>
      </c>
      <c r="AN6493">
        <v>1.00000005481071</v>
      </c>
    </row>
    <row r="6494" spans="1:40" x14ac:dyDescent="0.25">
      <c r="A6494" t="str">
        <f>"20190303154650628"</f>
        <v>20190303154650628</v>
      </c>
      <c r="B6494" t="str">
        <f>"1551599210617699"</f>
        <v>1551599210617699</v>
      </c>
      <c r="C6494" t="s">
        <v>40</v>
      </c>
      <c r="D6494">
        <v>5.187843</v>
      </c>
      <c r="E6494">
        <v>0.52826329999999999</v>
      </c>
      <c r="F6494" t="s">
        <v>42</v>
      </c>
      <c r="G6494">
        <v>-253.37479999999999</v>
      </c>
      <c r="H6494">
        <v>1.037434</v>
      </c>
      <c r="I6494">
        <v>-62.766750000000002</v>
      </c>
      <c r="J6494">
        <v>-254.02799999999999</v>
      </c>
      <c r="K6494">
        <v>1.1210709999999999</v>
      </c>
      <c r="L6494">
        <v>-62.735019999999999</v>
      </c>
      <c r="M6494">
        <v>0.99990500000000004</v>
      </c>
      <c r="N6494">
        <v>-1.1856439999999999E-2</v>
      </c>
      <c r="O6494">
        <v>7.0382860000000004E-3</v>
      </c>
      <c r="P6494">
        <v>0.99709340000000002</v>
      </c>
      <c r="Q6494">
        <v>-6.7863450000000006E-2</v>
      </c>
      <c r="R6494">
        <v>3.46348E-2</v>
      </c>
      <c r="S6494">
        <v>2.9907680000000001</v>
      </c>
      <c r="T6494">
        <v>-0.32536019999999999</v>
      </c>
      <c r="U6494">
        <v>-0.119751</v>
      </c>
      <c r="V6494">
        <v>-2.7589880000000001E-2</v>
      </c>
      <c r="W6494">
        <v>-5.6046739999999998E-2</v>
      </c>
      <c r="X6494">
        <v>0.99804689999999996</v>
      </c>
      <c r="Y6494">
        <v>4.6702050000000002E-2</v>
      </c>
      <c r="Z6494">
        <v>-3.4896720000000001E-3</v>
      </c>
      <c r="AA6494">
        <v>0.99890279999999998</v>
      </c>
      <c r="AB6494">
        <v>24</v>
      </c>
      <c r="AC6494">
        <v>0.653199999999998</v>
      </c>
      <c r="AD6494">
        <v>-8.3636999999999906E-2</v>
      </c>
      <c r="AE6494">
        <v>-3.1730000000003103E-2</v>
      </c>
      <c r="AF6494">
        <v>3.57423383916214E-2</v>
      </c>
      <c r="AG6494">
        <v>-8.3636999999999906E-2</v>
      </c>
      <c r="AH6494">
        <v>0.64245243263657703</v>
      </c>
      <c r="AI6494">
        <v>97.405951649129705</v>
      </c>
      <c r="AJ6494">
        <v>86.8156767681199</v>
      </c>
      <c r="AK6494">
        <v>0.64885883728539695</v>
      </c>
      <c r="AL6494">
        <v>93.212925164833393</v>
      </c>
      <c r="AM6494">
        <v>91.583473878968803</v>
      </c>
      <c r="AN6494">
        <v>1.00000002657132</v>
      </c>
    </row>
    <row r="6495" spans="1:40" x14ac:dyDescent="0.25">
      <c r="A6495" t="str">
        <f>"20190303154650638"</f>
        <v>20190303154650638</v>
      </c>
      <c r="B6495" t="str">
        <f>"1551599210628435"</f>
        <v>1551599210628435</v>
      </c>
      <c r="C6495" t="s">
        <v>40</v>
      </c>
      <c r="D6495">
        <v>5.1807499999999997</v>
      </c>
      <c r="E6495">
        <v>0.52837919999999905</v>
      </c>
      <c r="F6495" t="s">
        <v>42</v>
      </c>
      <c r="G6495">
        <v>-253.166</v>
      </c>
      <c r="H6495">
        <v>1.027949</v>
      </c>
      <c r="I6495">
        <v>-62.770229999999998</v>
      </c>
      <c r="J6495">
        <v>-253.9169</v>
      </c>
      <c r="K6495">
        <v>1.1210690000000001</v>
      </c>
      <c r="L6495">
        <v>-62.734070000000003</v>
      </c>
      <c r="M6495">
        <v>0.99990400000000002</v>
      </c>
      <c r="N6495">
        <v>-1.185012E-2</v>
      </c>
      <c r="O6495">
        <v>7.185126E-3</v>
      </c>
      <c r="P6495">
        <v>0.99707630000000003</v>
      </c>
      <c r="Q6495">
        <v>-6.8017419999999995E-2</v>
      </c>
      <c r="R6495">
        <v>3.4821690000000002E-2</v>
      </c>
      <c r="S6495">
        <v>2.990936</v>
      </c>
      <c r="T6495">
        <v>-0.32307599999999997</v>
      </c>
      <c r="U6495">
        <v>-0.1208191</v>
      </c>
      <c r="V6495">
        <v>-2.7630559999999998E-2</v>
      </c>
      <c r="W6495">
        <v>-5.6207180000000002E-2</v>
      </c>
      <c r="X6495">
        <v>0.9980367</v>
      </c>
      <c r="Y6495">
        <v>4.720336E-2</v>
      </c>
      <c r="Z6495">
        <v>-3.510394E-3</v>
      </c>
      <c r="AA6495">
        <v>0.99887910000000002</v>
      </c>
      <c r="AB6495">
        <v>24</v>
      </c>
      <c r="AC6495">
        <v>0.75090000000000101</v>
      </c>
      <c r="AD6495">
        <v>-9.3119999999999994E-2</v>
      </c>
      <c r="AE6495">
        <v>-3.6160000000009497E-2</v>
      </c>
      <c r="AF6495">
        <v>4.0926808299750803E-2</v>
      </c>
      <c r="AG6495">
        <v>-9.3119999999999994E-2</v>
      </c>
      <c r="AH6495">
        <v>0.73927789729998195</v>
      </c>
      <c r="AI6495">
        <v>97.168348205432395</v>
      </c>
      <c r="AJ6495">
        <v>86.831310370909193</v>
      </c>
      <c r="AK6495">
        <v>0.74624268671383798</v>
      </c>
      <c r="AL6495">
        <v>93.222132380278097</v>
      </c>
      <c r="AM6495">
        <v>91.585823645333093</v>
      </c>
      <c r="AN6495">
        <v>0.99999997473817703</v>
      </c>
    </row>
    <row r="6496" spans="1:40" x14ac:dyDescent="0.25">
      <c r="A6496" t="str">
        <f>"20190303154650657"</f>
        <v>20190303154650657</v>
      </c>
      <c r="B6496" t="str">
        <f>"1551599210647955"</f>
        <v>1551599210647955</v>
      </c>
      <c r="C6496" t="s">
        <v>40</v>
      </c>
      <c r="D6496">
        <v>5.339753</v>
      </c>
      <c r="E6496">
        <v>0.52854330000000005</v>
      </c>
      <c r="F6496" t="s">
        <v>42</v>
      </c>
      <c r="G6496">
        <v>-253.1602</v>
      </c>
      <c r="H6496">
        <v>1.039814</v>
      </c>
      <c r="I6496">
        <v>-62.765120000000003</v>
      </c>
      <c r="J6496">
        <v>-253.70949999999999</v>
      </c>
      <c r="K6496">
        <v>1.121065</v>
      </c>
      <c r="L6496">
        <v>-62.7322699999999</v>
      </c>
      <c r="M6496">
        <v>0.99990219999999996</v>
      </c>
      <c r="N6496">
        <v>-1.183915E-2</v>
      </c>
      <c r="O6496">
        <v>7.4559450000000003E-3</v>
      </c>
      <c r="P6496">
        <v>0.99706689999999998</v>
      </c>
      <c r="Q6496">
        <v>-6.7985939999999995E-2</v>
      </c>
      <c r="R6496">
        <v>3.5150809999999998E-2</v>
      </c>
      <c r="S6496">
        <v>2.9911349999999999</v>
      </c>
      <c r="T6496">
        <v>-0.32115850000000001</v>
      </c>
      <c r="U6496">
        <v>-0.1212158</v>
      </c>
      <c r="V6496">
        <v>-2.7689599999999901E-2</v>
      </c>
      <c r="W6496">
        <v>-5.6186590000000002E-2</v>
      </c>
      <c r="X6496">
        <v>0.99803629999999999</v>
      </c>
      <c r="Y6496">
        <v>4.7603630000000001E-2</v>
      </c>
      <c r="Z6496">
        <v>-3.5399989999999998E-3</v>
      </c>
      <c r="AA6496">
        <v>0.99886010000000003</v>
      </c>
      <c r="AB6496">
        <v>24</v>
      </c>
      <c r="AC6496">
        <v>0.54929999999998802</v>
      </c>
      <c r="AD6496">
        <v>-8.1250999999999907E-2</v>
      </c>
      <c r="AE6496">
        <v>-3.28500000000033E-2</v>
      </c>
      <c r="AF6496">
        <v>3.6156652290785601E-2</v>
      </c>
      <c r="AG6496">
        <v>-8.1250999999999907E-2</v>
      </c>
      <c r="AH6496">
        <v>0.53732525048248603</v>
      </c>
      <c r="AI6496">
        <v>98.579656974573197</v>
      </c>
      <c r="AJ6496">
        <v>86.150366459036405</v>
      </c>
      <c r="AK6496">
        <v>0.54463515614762104</v>
      </c>
      <c r="AL6496">
        <v>93.220950545448005</v>
      </c>
      <c r="AM6496">
        <v>91.589211077792001</v>
      </c>
      <c r="AN6496">
        <v>1.00000005148083</v>
      </c>
    </row>
    <row r="6497" spans="1:40" x14ac:dyDescent="0.25">
      <c r="A6497" t="str">
        <f>"20190303154650669"</f>
        <v>20190303154650669</v>
      </c>
      <c r="B6497" t="str">
        <f>"1551599210657715"</f>
        <v>1551599210657715</v>
      </c>
      <c r="C6497" t="s">
        <v>40</v>
      </c>
      <c r="D6497">
        <v>5.2526809999999999</v>
      </c>
      <c r="E6497">
        <v>0.52728459999999999</v>
      </c>
      <c r="F6497" t="s">
        <v>42</v>
      </c>
      <c r="G6497">
        <v>-252.9469</v>
      </c>
      <c r="H6497">
        <v>1.0392969999999999</v>
      </c>
      <c r="I6497">
        <v>-62.763260000000002</v>
      </c>
      <c r="J6497">
        <v>-253.58850000000001</v>
      </c>
      <c r="K6497">
        <v>1.1210599999999999</v>
      </c>
      <c r="L6497">
        <v>-62.731169999999999</v>
      </c>
      <c r="M6497">
        <v>0.99990100000000004</v>
      </c>
      <c r="N6497">
        <v>-1.183324E-2</v>
      </c>
      <c r="O6497">
        <v>7.6114569999999899E-3</v>
      </c>
      <c r="P6497">
        <v>0.99705120000000003</v>
      </c>
      <c r="Q6497">
        <v>-6.7955150000000006E-2</v>
      </c>
      <c r="R6497">
        <v>3.5651700000000001E-2</v>
      </c>
      <c r="S6497">
        <v>2.991241</v>
      </c>
      <c r="T6497">
        <v>-0.3207294</v>
      </c>
      <c r="U6497">
        <v>-0.12167360000000001</v>
      </c>
      <c r="V6497">
        <v>-2.8036100000000001E-2</v>
      </c>
      <c r="W6497">
        <v>-5.6161820000000001E-2</v>
      </c>
      <c r="X6497">
        <v>0.99802800000000003</v>
      </c>
      <c r="Y6497">
        <v>4.7908409999999998E-2</v>
      </c>
      <c r="Z6497">
        <v>-3.5682079999999998E-3</v>
      </c>
      <c r="AA6497">
        <v>0.99884530000000005</v>
      </c>
      <c r="AB6497">
        <v>24</v>
      </c>
      <c r="AC6497">
        <v>0.64160000000001005</v>
      </c>
      <c r="AD6497">
        <v>-8.1763000000000002E-2</v>
      </c>
      <c r="AE6497">
        <v>-3.20899999999966E-2</v>
      </c>
      <c r="AF6497">
        <v>3.6383530491398398E-2</v>
      </c>
      <c r="AG6497">
        <v>-8.1763000000000002E-2</v>
      </c>
      <c r="AH6497">
        <v>0.63111346152438197</v>
      </c>
      <c r="AI6497">
        <v>97.369655557918605</v>
      </c>
      <c r="AJ6497">
        <v>86.700564870882999</v>
      </c>
      <c r="AK6497">
        <v>0.63742697681954597</v>
      </c>
      <c r="AL6497">
        <v>93.219529151022101</v>
      </c>
      <c r="AM6497">
        <v>91.609101010275594</v>
      </c>
      <c r="AN6497">
        <v>1.0000000308564601</v>
      </c>
    </row>
    <row r="6498" spans="1:40" x14ac:dyDescent="0.25">
      <c r="A6498" t="str">
        <f>"20190303154650681"</f>
        <v>20190303154650681</v>
      </c>
      <c r="B6498" t="str">
        <f>"1551599210668451"</f>
        <v>1551599210668451</v>
      </c>
      <c r="C6498" t="s">
        <v>40</v>
      </c>
      <c r="D6498">
        <v>5.1548590000000001</v>
      </c>
      <c r="E6498">
        <v>0.52656930000000002</v>
      </c>
      <c r="F6498" t="s">
        <v>42</v>
      </c>
      <c r="G6498">
        <v>-252.7381</v>
      </c>
      <c r="H6498">
        <v>1.0297069999999999</v>
      </c>
      <c r="I6498">
        <v>-62.762709999999998</v>
      </c>
      <c r="J6498">
        <v>-253.46190000000001</v>
      </c>
      <c r="K6498">
        <v>1.121057</v>
      </c>
      <c r="L6498">
        <v>-62.730040000000002</v>
      </c>
      <c r="M6498">
        <v>0.99990000000000001</v>
      </c>
      <c r="N6498">
        <v>-1.1827229999999999E-2</v>
      </c>
      <c r="O6498">
        <v>7.7730419999999904E-3</v>
      </c>
      <c r="P6498">
        <v>0.99704999999999999</v>
      </c>
      <c r="Q6498">
        <v>-6.7878859999999999E-2</v>
      </c>
      <c r="R6498">
        <v>3.5831199999999903E-2</v>
      </c>
      <c r="S6498">
        <v>2.9909059999999998</v>
      </c>
      <c r="T6498">
        <v>-0.32130540000000002</v>
      </c>
      <c r="U6498">
        <v>-0.11010739999999899</v>
      </c>
      <c r="V6498">
        <v>-2.8054289999999999E-2</v>
      </c>
      <c r="W6498">
        <v>-5.6091299999999997E-2</v>
      </c>
      <c r="X6498">
        <v>0.99803140000000001</v>
      </c>
      <c r="Y6498">
        <v>4.4238590000000001E-2</v>
      </c>
      <c r="Z6498">
        <v>-3.3718659999999998E-3</v>
      </c>
      <c r="AA6498">
        <v>0.99901530000000005</v>
      </c>
      <c r="AB6498">
        <v>24</v>
      </c>
      <c r="AC6498">
        <v>0.72380000000001099</v>
      </c>
      <c r="AD6498">
        <v>-9.1350000000000001E-2</v>
      </c>
      <c r="AE6498">
        <v>-3.2669999999995897E-2</v>
      </c>
      <c r="AF6498">
        <v>3.7696301630487102E-2</v>
      </c>
      <c r="AG6498">
        <v>-9.1350000000000001E-2</v>
      </c>
      <c r="AH6498">
        <v>0.71220277864874204</v>
      </c>
      <c r="AI6498">
        <v>97.298973404055999</v>
      </c>
      <c r="AJ6498">
        <v>86.970209177251405</v>
      </c>
      <c r="AK6498">
        <v>0.71902616890597704</v>
      </c>
      <c r="AL6498">
        <v>93.215482449285204</v>
      </c>
      <c r="AM6498">
        <v>91.610138973451598</v>
      </c>
      <c r="AN6498">
        <v>0.99999997625452597</v>
      </c>
    </row>
    <row r="6499" spans="1:40" x14ac:dyDescent="0.25">
      <c r="A6499" t="str">
        <f>"20190303154650693"</f>
        <v>20190303154650693</v>
      </c>
      <c r="B6499" t="str">
        <f>"1551599210687971"</f>
        <v>1551599210687971</v>
      </c>
      <c r="C6499" t="s">
        <v>40</v>
      </c>
      <c r="D6499">
        <v>5.1831509999999996</v>
      </c>
      <c r="E6499">
        <v>0.504687</v>
      </c>
      <c r="F6499" t="s">
        <v>42</v>
      </c>
      <c r="G6499">
        <v>-252.73079999999999</v>
      </c>
      <c r="H6499">
        <v>1.043509</v>
      </c>
      <c r="I6499">
        <v>-62.755659999999999</v>
      </c>
      <c r="J6499">
        <v>-253.33179999999999</v>
      </c>
      <c r="K6499">
        <v>1.1210530000000001</v>
      </c>
      <c r="L6499">
        <v>-62.728819999999899</v>
      </c>
      <c r="M6499">
        <v>0.99989870000000003</v>
      </c>
      <c r="N6499">
        <v>-1.1821720000000001E-2</v>
      </c>
      <c r="O6499">
        <v>7.9353789999999993E-3</v>
      </c>
      <c r="P6499">
        <v>0.99702250000000003</v>
      </c>
      <c r="Q6499">
        <v>-6.795089E-2</v>
      </c>
      <c r="R6499">
        <v>3.6457330000000003E-2</v>
      </c>
      <c r="S6499">
        <v>2.9910130000000001</v>
      </c>
      <c r="T6499">
        <v>-0.317247</v>
      </c>
      <c r="U6499">
        <v>-0.1038818</v>
      </c>
      <c r="V6499">
        <v>-2.851911E-2</v>
      </c>
      <c r="W6499">
        <v>-5.6168999999999997E-2</v>
      </c>
      <c r="X6499">
        <v>0.99801390000000001</v>
      </c>
      <c r="Y6499">
        <v>4.2341499999999997E-2</v>
      </c>
      <c r="Z6499">
        <v>-3.235248E-3</v>
      </c>
      <c r="AA6499">
        <v>0.99909789999999998</v>
      </c>
      <c r="AB6499">
        <v>24</v>
      </c>
      <c r="AC6499">
        <v>0.60099999999999898</v>
      </c>
      <c r="AD6499">
        <v>-7.7544000000000002E-2</v>
      </c>
      <c r="AE6499">
        <v>-2.6840000000007001E-2</v>
      </c>
      <c r="AF6499">
        <v>3.10920773302539E-2</v>
      </c>
      <c r="AG6499">
        <v>-7.7544000000000002E-2</v>
      </c>
      <c r="AH6499">
        <v>0.59094985352613905</v>
      </c>
      <c r="AI6499">
        <v>97.465389604080698</v>
      </c>
      <c r="AJ6499">
        <v>86.988232216026105</v>
      </c>
      <c r="AK6499">
        <v>0.596826204678779</v>
      </c>
      <c r="AL6499">
        <v>93.2199412188331</v>
      </c>
      <c r="AM6499">
        <v>91.636830995666003</v>
      </c>
      <c r="AN6499">
        <v>1.0000000203946999</v>
      </c>
    </row>
    <row r="6500" spans="1:40" x14ac:dyDescent="0.25">
      <c r="A6500" t="str">
        <f>"20190303154650706"</f>
        <v>20190303154650706</v>
      </c>
      <c r="B6500" t="str">
        <f>"1551599210697731"</f>
        <v>1551599210697731</v>
      </c>
      <c r="C6500" t="s">
        <v>40</v>
      </c>
      <c r="D6500">
        <v>5.1579249999999996</v>
      </c>
      <c r="E6500">
        <v>0.50414250000000005</v>
      </c>
      <c r="F6500" t="s">
        <v>75</v>
      </c>
      <c r="G6500">
        <v>-232.9221</v>
      </c>
      <c r="H6500" s="1">
        <v>-7.3445269999999996E-7</v>
      </c>
      <c r="I6500">
        <v>-62.239229999999999</v>
      </c>
      <c r="J6500">
        <v>-253.20009999999999</v>
      </c>
      <c r="K6500">
        <v>1.121046</v>
      </c>
      <c r="L6500">
        <v>-62.727629999999998</v>
      </c>
      <c r="M6500">
        <v>0.99989749999999999</v>
      </c>
      <c r="N6500">
        <v>-1.181637E-2</v>
      </c>
      <c r="O6500">
        <v>8.0978890000000005E-3</v>
      </c>
      <c r="P6500">
        <v>0.99701150000000005</v>
      </c>
      <c r="Q6500">
        <v>-6.78594E-2</v>
      </c>
      <c r="R6500">
        <v>3.6926399999999998E-2</v>
      </c>
      <c r="S6500">
        <v>2.9951020000000002</v>
      </c>
      <c r="T6500">
        <v>-0.16451350000000001</v>
      </c>
      <c r="U6500">
        <v>7.1838379999999993E-2</v>
      </c>
      <c r="V6500">
        <v>-2.8827149999999999E-2</v>
      </c>
      <c r="W6500">
        <v>-5.6082720000000003E-2</v>
      </c>
      <c r="X6500">
        <v>0.99800990000000001</v>
      </c>
      <c r="Y6500">
        <v>-1.5859950000000001E-2</v>
      </c>
      <c r="Z6500">
        <v>1.802296E-4</v>
      </c>
      <c r="AA6500">
        <v>0.99987420000000005</v>
      </c>
      <c r="AB6500">
        <v>24</v>
      </c>
      <c r="AC6500">
        <v>20.277999999999899</v>
      </c>
      <c r="AD6500">
        <v>-1.1210467344527</v>
      </c>
      <c r="AE6500">
        <v>0.488399999999998</v>
      </c>
      <c r="AF6500">
        <v>-0.32317638894339901</v>
      </c>
      <c r="AG6500">
        <v>-1.1210467344527</v>
      </c>
      <c r="AH6500">
        <v>20.2195290158737</v>
      </c>
      <c r="AI6500">
        <v>93.173039981863695</v>
      </c>
      <c r="AJ6500">
        <v>90.9157021682432</v>
      </c>
      <c r="AK6500">
        <v>20.253161293560002</v>
      </c>
      <c r="AL6500">
        <v>93.214989941183902</v>
      </c>
      <c r="AM6500">
        <v>91.654507552995696</v>
      </c>
      <c r="AN6500">
        <v>1.00000001827886</v>
      </c>
    </row>
    <row r="6501" spans="1:40" x14ac:dyDescent="0.25">
      <c r="A6501" t="str">
        <f>"20190303154650719"</f>
        <v>20190303154650719</v>
      </c>
      <c r="B6501" t="str">
        <f>"1551599210708467"</f>
        <v>1551599210708467</v>
      </c>
      <c r="C6501" t="s">
        <v>40</v>
      </c>
      <c r="D6501">
        <v>5.1527469999999997</v>
      </c>
      <c r="E6501">
        <v>0.50356440000000002</v>
      </c>
      <c r="F6501" t="s">
        <v>75</v>
      </c>
      <c r="G6501">
        <v>-233.01429999999999</v>
      </c>
      <c r="H6501" s="1">
        <v>-7.6463129999999999E-7</v>
      </c>
      <c r="I6501">
        <v>-62.204070000000002</v>
      </c>
      <c r="J6501">
        <v>-253.05940000000001</v>
      </c>
      <c r="K6501">
        <v>1.121038</v>
      </c>
      <c r="L6501">
        <v>-62.726289999999999</v>
      </c>
      <c r="M6501">
        <v>0.99989609999999995</v>
      </c>
      <c r="N6501">
        <v>-1.181106E-2</v>
      </c>
      <c r="O6501">
        <v>8.2680740000000003E-3</v>
      </c>
      <c r="P6501">
        <v>0.99698690000000001</v>
      </c>
      <c r="Q6501">
        <v>-6.8038899999999902E-2</v>
      </c>
      <c r="R6501">
        <v>3.7254910000000002E-2</v>
      </c>
      <c r="S6501">
        <v>2.994812</v>
      </c>
      <c r="T6501">
        <v>-0.16632060000000001</v>
      </c>
      <c r="U6501">
        <v>7.7667239999999999E-2</v>
      </c>
      <c r="V6501">
        <v>-2.8986749999999999E-2</v>
      </c>
      <c r="W6501">
        <v>-5.6267419999999999E-2</v>
      </c>
      <c r="X6501">
        <v>0.99799479999999996</v>
      </c>
      <c r="Y6501">
        <v>-1.76334E-2</v>
      </c>
      <c r="Z6501">
        <v>2.322952E-4</v>
      </c>
      <c r="AA6501">
        <v>0.99984450000000002</v>
      </c>
      <c r="AB6501">
        <v>24</v>
      </c>
      <c r="AC6501">
        <v>20.045100000000001</v>
      </c>
      <c r="AD6501">
        <v>-1.1210387646313</v>
      </c>
      <c r="AE6501">
        <v>0.52222000000001101</v>
      </c>
      <c r="AF6501">
        <v>-0.35534556232533698</v>
      </c>
      <c r="AG6501">
        <v>-1.1210387646313</v>
      </c>
      <c r="AH6501">
        <v>19.986264196346401</v>
      </c>
      <c r="AI6501">
        <v>93.209876476661407</v>
      </c>
      <c r="AJ6501">
        <v>91.018582356511999</v>
      </c>
      <c r="AK6501">
        <v>20.0208330222952</v>
      </c>
      <c r="AL6501">
        <v>93.2255894691679</v>
      </c>
      <c r="AM6501">
        <v>91.663687671058199</v>
      </c>
      <c r="AN6501">
        <v>0.99999993752802696</v>
      </c>
    </row>
    <row r="6502" spans="1:40" x14ac:dyDescent="0.25">
      <c r="A6502" t="str">
        <f>"20190303154650731"</f>
        <v>20190303154650731</v>
      </c>
      <c r="B6502" t="str">
        <f>"1551599210727986"</f>
        <v>1551599210727986</v>
      </c>
      <c r="C6502" t="s">
        <v>40</v>
      </c>
      <c r="D6502">
        <v>5.2024619999999997</v>
      </c>
      <c r="E6502">
        <v>0.50414799999999904</v>
      </c>
      <c r="F6502" t="s">
        <v>75</v>
      </c>
      <c r="G6502">
        <v>-233.11340000000001</v>
      </c>
      <c r="H6502" s="1">
        <v>-7.9855859999999897E-7</v>
      </c>
      <c r="I6502">
        <v>-62.171700000000001</v>
      </c>
      <c r="J6502">
        <v>-252.92580000000001</v>
      </c>
      <c r="K6502">
        <v>1.1210329999999999</v>
      </c>
      <c r="L6502">
        <v>-62.724980000000002</v>
      </c>
      <c r="M6502">
        <v>0.99989490000000003</v>
      </c>
      <c r="N6502">
        <v>-1.1804769999999999E-2</v>
      </c>
      <c r="O6502">
        <v>8.4244990000000002E-3</v>
      </c>
      <c r="P6502">
        <v>0.99695909999999999</v>
      </c>
      <c r="Q6502">
        <v>-6.8183999999999995E-2</v>
      </c>
      <c r="R6502">
        <v>3.7734150000000001E-2</v>
      </c>
      <c r="S6502">
        <v>2.9944760000000001</v>
      </c>
      <c r="T6502">
        <v>-0.16830100000000001</v>
      </c>
      <c r="U6502">
        <v>8.3251950000000005E-2</v>
      </c>
      <c r="V6502">
        <v>-2.9311050000000002E-2</v>
      </c>
      <c r="W6502">
        <v>-5.641881E-2</v>
      </c>
      <c r="X6502">
        <v>0.9979768</v>
      </c>
      <c r="Y6502">
        <v>-1.9339660000000002E-2</v>
      </c>
      <c r="Z6502">
        <v>2.8360229999999998E-4</v>
      </c>
      <c r="AA6502">
        <v>0.99981299999999995</v>
      </c>
      <c r="AB6502">
        <v>24</v>
      </c>
      <c r="AC6502">
        <v>19.8124</v>
      </c>
      <c r="AD6502">
        <v>-1.1210337985586001</v>
      </c>
      <c r="AE6502">
        <v>0.55327999999999999</v>
      </c>
      <c r="AF6502">
        <v>-0.38510721207665699</v>
      </c>
      <c r="AG6502">
        <v>-1.1210337985586001</v>
      </c>
      <c r="AH6502">
        <v>19.7531663578016</v>
      </c>
      <c r="AI6502">
        <v>93.247556118531804</v>
      </c>
      <c r="AJ6502">
        <v>91.116895517588006</v>
      </c>
      <c r="AK6502">
        <v>19.7886989340201</v>
      </c>
      <c r="AL6502">
        <v>93.234277217062598</v>
      </c>
      <c r="AM6502">
        <v>91.682320481555905</v>
      </c>
      <c r="AN6502">
        <v>0.99999995655607798</v>
      </c>
    </row>
    <row r="6503" spans="1:40" x14ac:dyDescent="0.25">
      <c r="A6503" t="str">
        <f>"20190303154650744"</f>
        <v>20190303154650744</v>
      </c>
      <c r="B6503" t="str">
        <f>"1551599210738722"</f>
        <v>1551599210738722</v>
      </c>
      <c r="C6503" t="s">
        <v>40</v>
      </c>
      <c r="D6503">
        <v>5.1380939999999997</v>
      </c>
      <c r="E6503">
        <v>0.50412089999999998</v>
      </c>
      <c r="F6503" t="s">
        <v>75</v>
      </c>
      <c r="G6503">
        <v>-232.6482</v>
      </c>
      <c r="H6503" s="1">
        <v>-6.0208800000000001E-7</v>
      </c>
      <c r="I6503">
        <v>-62.183329999999998</v>
      </c>
      <c r="J6503">
        <v>-252.79040000000001</v>
      </c>
      <c r="K6503">
        <v>1.1210279999999999</v>
      </c>
      <c r="L6503">
        <v>-62.723689999999998</v>
      </c>
      <c r="M6503">
        <v>0.9998937</v>
      </c>
      <c r="N6503">
        <v>-1.179766E-2</v>
      </c>
      <c r="O6503">
        <v>8.5802699999999992E-3</v>
      </c>
      <c r="P6503">
        <v>0.99693189999999998</v>
      </c>
      <c r="Q6503">
        <v>-6.8404530000000005E-2</v>
      </c>
      <c r="R6503">
        <v>3.8051580000000002E-2</v>
      </c>
      <c r="S6503">
        <v>2.9947659999999998</v>
      </c>
      <c r="T6503">
        <v>-0.16556390000000001</v>
      </c>
      <c r="U6503">
        <v>7.9986570000000007E-2</v>
      </c>
      <c r="V6503">
        <v>-2.9473889999999999E-2</v>
      </c>
      <c r="W6503">
        <v>-5.6646349999999998E-2</v>
      </c>
      <c r="X6503">
        <v>0.99795909999999999</v>
      </c>
      <c r="Y6503">
        <v>-1.809506E-2</v>
      </c>
      <c r="Z6503">
        <v>2.338428E-4</v>
      </c>
      <c r="AA6503">
        <v>0.99983630000000001</v>
      </c>
      <c r="AB6503">
        <v>24</v>
      </c>
      <c r="AC6503">
        <v>20.142199999999999</v>
      </c>
      <c r="AD6503">
        <v>-1.121028602088</v>
      </c>
      <c r="AE6503">
        <v>0.54035999999999895</v>
      </c>
      <c r="AF6503">
        <v>-0.36636854970163002</v>
      </c>
      <c r="AG6503">
        <v>-1.121028602088</v>
      </c>
      <c r="AH6503">
        <v>20.0839287835114</v>
      </c>
      <c r="AI6503">
        <v>93.194244383428995</v>
      </c>
      <c r="AJ6503">
        <v>91.045066626649898</v>
      </c>
      <c r="AK6503">
        <v>20.118526944636599</v>
      </c>
      <c r="AL6503">
        <v>93.247335228832</v>
      </c>
      <c r="AM6503">
        <v>91.691691324811501</v>
      </c>
      <c r="AN6503">
        <v>0.99999994221642996</v>
      </c>
    </row>
    <row r="6504" spans="1:40" x14ac:dyDescent="0.25">
      <c r="A6504" t="str">
        <f>"20190303154650760"</f>
        <v>20190303154650760</v>
      </c>
      <c r="B6504" t="str">
        <f>"1551599210748483"</f>
        <v>1551599210748483</v>
      </c>
      <c r="C6504" t="s">
        <v>40</v>
      </c>
      <c r="D6504">
        <v>5.1361650000000001</v>
      </c>
      <c r="E6504">
        <v>0.50414929999999902</v>
      </c>
      <c r="F6504" t="s">
        <v>75</v>
      </c>
      <c r="G6504">
        <v>-232.6721</v>
      </c>
      <c r="H6504" s="1">
        <v>-6.1086150000000005E-7</v>
      </c>
      <c r="I6504">
        <v>-62.177880000000002</v>
      </c>
      <c r="J6504">
        <v>-252.61609999999999</v>
      </c>
      <c r="K6504">
        <v>1.121022</v>
      </c>
      <c r="L6504">
        <v>-62.72195</v>
      </c>
      <c r="M6504">
        <v>0.99989220000000001</v>
      </c>
      <c r="N6504">
        <v>-1.1786430000000001E-2</v>
      </c>
      <c r="O6504">
        <v>8.772752E-3</v>
      </c>
      <c r="P6504">
        <v>0.99688330000000003</v>
      </c>
      <c r="Q6504">
        <v>-6.8841520000000003E-2</v>
      </c>
      <c r="R6504">
        <v>3.853463E-2</v>
      </c>
      <c r="S6504">
        <v>2.9946899999999999</v>
      </c>
      <c r="T6504">
        <v>-0.1668692</v>
      </c>
      <c r="U6504">
        <v>8.1237790000000004E-2</v>
      </c>
      <c r="V6504">
        <v>-2.9766259999999999E-2</v>
      </c>
      <c r="W6504">
        <v>-5.7094560000000003E-2</v>
      </c>
      <c r="X6504">
        <v>0.9979249</v>
      </c>
      <c r="Y6504">
        <v>-1.8320159999999999E-2</v>
      </c>
      <c r="Z6504">
        <v>2.329957E-4</v>
      </c>
      <c r="AA6504">
        <v>0.99983219999999995</v>
      </c>
      <c r="AB6504">
        <v>24</v>
      </c>
      <c r="AC6504">
        <v>19.9439999999999</v>
      </c>
      <c r="AD6504">
        <v>-1.1210226108615</v>
      </c>
      <c r="AE6504">
        <v>0.54406999999999694</v>
      </c>
      <c r="AF6504">
        <v>-0.36791165143205401</v>
      </c>
      <c r="AG6504">
        <v>-1.1210226108615</v>
      </c>
      <c r="AH6504">
        <v>19.885227134624099</v>
      </c>
      <c r="AI6504">
        <v>93.226062975429201</v>
      </c>
      <c r="AJ6504">
        <v>91.059951686891495</v>
      </c>
      <c r="AK6504">
        <v>19.920198514897201</v>
      </c>
      <c r="AL6504">
        <v>93.273057334959304</v>
      </c>
      <c r="AM6504">
        <v>91.708520891843094</v>
      </c>
      <c r="AN6504">
        <v>0.99999996252799495</v>
      </c>
    </row>
    <row r="6505" spans="1:40" x14ac:dyDescent="0.25">
      <c r="A6505" t="str">
        <f>"20190303154650783"</f>
        <v>20190303154650783</v>
      </c>
      <c r="B6505" t="str">
        <f>"1551599210777763"</f>
        <v>1551599210777763</v>
      </c>
      <c r="C6505" t="s">
        <v>40</v>
      </c>
      <c r="D6505">
        <v>5.0904590000000001</v>
      </c>
      <c r="E6505">
        <v>0.50442699999999996</v>
      </c>
      <c r="F6505" t="s">
        <v>75</v>
      </c>
      <c r="G6505">
        <v>-232.9614</v>
      </c>
      <c r="H6505" s="1">
        <v>-7.3570629999999999E-7</v>
      </c>
      <c r="I6505">
        <v>-62.18065</v>
      </c>
      <c r="J6505">
        <v>-252.37360000000001</v>
      </c>
      <c r="K6505">
        <v>1.121008</v>
      </c>
      <c r="L6505">
        <v>-62.719540000000002</v>
      </c>
      <c r="M6505">
        <v>0.9998901</v>
      </c>
      <c r="N6505">
        <v>-1.1769170000000001E-2</v>
      </c>
      <c r="O6505">
        <v>9.0254180000000003E-3</v>
      </c>
      <c r="P6505">
        <v>0.99686030000000003</v>
      </c>
      <c r="Q6505">
        <v>-6.9032830000000003E-2</v>
      </c>
      <c r="R6505">
        <v>3.8781040000000003E-2</v>
      </c>
      <c r="S6505">
        <v>2.994415</v>
      </c>
      <c r="T6505">
        <v>-0.17078840000000001</v>
      </c>
      <c r="U6505">
        <v>8.2458500000000004E-2</v>
      </c>
      <c r="V6505">
        <v>-2.9761630000000001E-2</v>
      </c>
      <c r="W6505">
        <v>-5.7302489999999998E-2</v>
      </c>
      <c r="X6505">
        <v>0.99791319999999994</v>
      </c>
      <c r="Y6505">
        <v>-1.8476269999999999E-2</v>
      </c>
      <c r="Z6505">
        <v>2.2713879999999999E-4</v>
      </c>
      <c r="AA6505">
        <v>0.99982930000000003</v>
      </c>
      <c r="AB6505">
        <v>24</v>
      </c>
      <c r="AC6505">
        <v>19.412199999999999</v>
      </c>
      <c r="AD6505">
        <v>-1.1210087357062899</v>
      </c>
      <c r="AE6505">
        <v>0.53889000000000198</v>
      </c>
      <c r="AF6505">
        <v>-0.362444962484061</v>
      </c>
      <c r="AG6505">
        <v>-1.1210087357062899</v>
      </c>
      <c r="AH6505">
        <v>19.351788821281801</v>
      </c>
      <c r="AI6505">
        <v>93.314739855469298</v>
      </c>
      <c r="AJ6505">
        <v>91.072982924411406</v>
      </c>
      <c r="AK6505">
        <v>19.3876186655258</v>
      </c>
      <c r="AL6505">
        <v>93.284990120834806</v>
      </c>
      <c r="AM6505">
        <v>91.708275313540895</v>
      </c>
      <c r="AN6505">
        <v>1.0000000423573401</v>
      </c>
    </row>
    <row r="6506" spans="1:40" x14ac:dyDescent="0.25">
      <c r="A6506" t="str">
        <f>"20190303154650797"</f>
        <v>20190303154650797</v>
      </c>
      <c r="B6506" t="str">
        <f>"1551599210788499"</f>
        <v>1551599210788499</v>
      </c>
      <c r="C6506" t="s">
        <v>40</v>
      </c>
      <c r="D6506">
        <v>5.0772680000000001</v>
      </c>
      <c r="E6506">
        <v>0.50448769999999998</v>
      </c>
      <c r="F6506" t="s">
        <v>75</v>
      </c>
      <c r="G6506">
        <v>-232.77420000000001</v>
      </c>
      <c r="H6506" s="1">
        <v>-6.5770709999999904E-7</v>
      </c>
      <c r="I6506">
        <v>-62.189360000000001</v>
      </c>
      <c r="J6506">
        <v>-252.21559999999999</v>
      </c>
      <c r="K6506">
        <v>1.1209979999999999</v>
      </c>
      <c r="L6506">
        <v>-62.717930000000003</v>
      </c>
      <c r="M6506">
        <v>0.99988869999999996</v>
      </c>
      <c r="N6506">
        <v>-1.1757999999999999E-2</v>
      </c>
      <c r="O6506">
        <v>9.1801049999999992E-3</v>
      </c>
      <c r="P6506">
        <v>0.99686859999999999</v>
      </c>
      <c r="Q6506">
        <v>-6.8840559999999995E-2</v>
      </c>
      <c r="R6506">
        <v>3.8905830000000002E-2</v>
      </c>
      <c r="S6506">
        <v>2.9944459999999999</v>
      </c>
      <c r="T6506">
        <v>-0.17127049999999999</v>
      </c>
      <c r="U6506">
        <v>8.099365E-2</v>
      </c>
      <c r="V6506">
        <v>-2.973338E-2</v>
      </c>
      <c r="W6506">
        <v>-5.712064E-2</v>
      </c>
      <c r="X6506">
        <v>0.99792440000000004</v>
      </c>
      <c r="Y6506">
        <v>-1.7833890000000002E-2</v>
      </c>
      <c r="Z6506">
        <v>1.978146E-4</v>
      </c>
      <c r="AA6506">
        <v>0.99984090000000003</v>
      </c>
      <c r="AB6506">
        <v>24</v>
      </c>
      <c r="AC6506">
        <v>19.441399999999899</v>
      </c>
      <c r="AD6506">
        <v>-1.1209986577070901</v>
      </c>
      <c r="AE6506">
        <v>0.52857000000000198</v>
      </c>
      <c r="AF6506">
        <v>-0.34890214150054299</v>
      </c>
      <c r="AG6506">
        <v>-1.1209986577070901</v>
      </c>
      <c r="AH6506">
        <v>19.381044371243298</v>
      </c>
      <c r="AI6506">
        <v>93.309761802596896</v>
      </c>
      <c r="AJ6506">
        <v>91.031340761855404</v>
      </c>
      <c r="AK6506">
        <v>19.416571572114002</v>
      </c>
      <c r="AL6506">
        <v>93.274554011451897</v>
      </c>
      <c r="AM6506">
        <v>91.706635620089301</v>
      </c>
      <c r="AN6506">
        <v>0.99999997475779601</v>
      </c>
    </row>
    <row r="6507" spans="1:40" x14ac:dyDescent="0.25">
      <c r="A6507" t="str">
        <f>"20190303154650809"</f>
        <v>20190303154650809</v>
      </c>
      <c r="B6507" t="str">
        <f>"1551599210798260"</f>
        <v>1551599210798260</v>
      </c>
      <c r="C6507" t="s">
        <v>40</v>
      </c>
      <c r="D6507">
        <v>5.0693919999999997</v>
      </c>
      <c r="E6507">
        <v>0.50461920000000005</v>
      </c>
      <c r="F6507" t="s">
        <v>75</v>
      </c>
      <c r="G6507">
        <v>-232.7251</v>
      </c>
      <c r="H6507" s="1">
        <v>-6.3724280000000005E-7</v>
      </c>
      <c r="I6507">
        <v>-62.191459999999999</v>
      </c>
      <c r="J6507">
        <v>-252.09229999999999</v>
      </c>
      <c r="K6507">
        <v>1.1209929999999999</v>
      </c>
      <c r="L6507">
        <v>-62.716639999999998</v>
      </c>
      <c r="M6507">
        <v>0.99988790000000005</v>
      </c>
      <c r="N6507">
        <v>-1.17497E-2</v>
      </c>
      <c r="O6507">
        <v>9.2960019999999994E-3</v>
      </c>
      <c r="P6507">
        <v>0.99686090000000005</v>
      </c>
      <c r="Q6507">
        <v>-6.9058060000000004E-2</v>
      </c>
      <c r="R6507">
        <v>3.8724649999999999E-2</v>
      </c>
      <c r="S6507">
        <v>2.994354</v>
      </c>
      <c r="T6507">
        <v>-0.17222079999999901</v>
      </c>
      <c r="U6507">
        <v>8.0871579999999998E-2</v>
      </c>
      <c r="V6507">
        <v>-2.9437499999999998E-2</v>
      </c>
      <c r="W6507">
        <v>-5.7345979999999998E-2</v>
      </c>
      <c r="X6507">
        <v>0.99792029999999998</v>
      </c>
      <c r="Y6507">
        <v>-1.76782999999999E-2</v>
      </c>
      <c r="Z6507">
        <v>1.868982E-4</v>
      </c>
      <c r="AA6507">
        <v>0.9998437</v>
      </c>
      <c r="AB6507">
        <v>24</v>
      </c>
      <c r="AC6507">
        <v>19.3672</v>
      </c>
      <c r="AD6507">
        <v>-1.1209936372428</v>
      </c>
      <c r="AE6507">
        <v>0.52518000000000598</v>
      </c>
      <c r="AF6507">
        <v>-0.34395589191985498</v>
      </c>
      <c r="AG6507">
        <v>-1.1209936372428</v>
      </c>
      <c r="AH6507">
        <v>19.306611698456699</v>
      </c>
      <c r="AI6507">
        <v>93.3224896168106</v>
      </c>
      <c r="AJ6507">
        <v>91.020641876027597</v>
      </c>
      <c r="AK6507">
        <v>19.342186734320101</v>
      </c>
      <c r="AL6507">
        <v>93.287486070619195</v>
      </c>
      <c r="AM6507">
        <v>91.689669541158906</v>
      </c>
      <c r="AN6507">
        <v>1.00000002649024</v>
      </c>
    </row>
    <row r="6508" spans="1:40" x14ac:dyDescent="0.25">
      <c r="A6508" t="str">
        <f>"20190303154650823"</f>
        <v>20190303154650823</v>
      </c>
      <c r="B6508" t="str">
        <f>"1551599210818754"</f>
        <v>1551599210818754</v>
      </c>
      <c r="C6508" t="s">
        <v>40</v>
      </c>
      <c r="D6508">
        <v>5.2057219999999997</v>
      </c>
      <c r="E6508">
        <v>0.5047838</v>
      </c>
      <c r="F6508" t="s">
        <v>75</v>
      </c>
      <c r="G6508">
        <v>-232.5829</v>
      </c>
      <c r="H6508" s="1">
        <v>-5.7851619999999995E-7</v>
      </c>
      <c r="I6508">
        <v>-62.200029999999998</v>
      </c>
      <c r="J6508">
        <v>-251.94579999999999</v>
      </c>
      <c r="K6508">
        <v>1.120987</v>
      </c>
      <c r="L6508">
        <v>-62.715150000000001</v>
      </c>
      <c r="M6508">
        <v>0.99988679999999996</v>
      </c>
      <c r="N6508">
        <v>-1.174015E-2</v>
      </c>
      <c r="O6508">
        <v>9.4305489999999999E-3</v>
      </c>
      <c r="P6508">
        <v>0.9968728</v>
      </c>
      <c r="Q6508">
        <v>-6.8832610000000002E-2</v>
      </c>
      <c r="R6508">
        <v>3.882004E-2</v>
      </c>
      <c r="S6508">
        <v>2.9944609999999998</v>
      </c>
      <c r="T6508">
        <v>-0.17205979999999901</v>
      </c>
      <c r="U6508">
        <v>7.9284670000000002E-2</v>
      </c>
      <c r="V6508">
        <v>-2.93998E-2</v>
      </c>
      <c r="W6508">
        <v>-5.7129390000000002E-2</v>
      </c>
      <c r="X6508">
        <v>0.99793379999999998</v>
      </c>
      <c r="Y6508">
        <v>-1.7014809999999998E-2</v>
      </c>
      <c r="Z6508">
        <v>1.5766360000000001E-4</v>
      </c>
      <c r="AA6508">
        <v>0.99985520000000006</v>
      </c>
      <c r="AB6508">
        <v>24</v>
      </c>
      <c r="AC6508">
        <v>19.3629</v>
      </c>
      <c r="AD6508">
        <v>-1.1209875785162</v>
      </c>
      <c r="AE6508">
        <v>0.51511999999999603</v>
      </c>
      <c r="AF6508">
        <v>-0.33137189951101298</v>
      </c>
      <c r="AG6508">
        <v>-1.1209875785162</v>
      </c>
      <c r="AH6508">
        <v>19.302248095598198</v>
      </c>
      <c r="AI6508">
        <v>93.3232586844357</v>
      </c>
      <c r="AJ6508">
        <v>90.983530327450296</v>
      </c>
      <c r="AK6508">
        <v>19.3376110735271</v>
      </c>
      <c r="AL6508">
        <v>93.275056111988803</v>
      </c>
      <c r="AM6508">
        <v>91.687484052849797</v>
      </c>
      <c r="AN6508">
        <v>0.999999992312126</v>
      </c>
    </row>
    <row r="6509" spans="1:40" x14ac:dyDescent="0.25">
      <c r="A6509" t="str">
        <f>"20190303154650837"</f>
        <v>20190303154650837</v>
      </c>
      <c r="B6509" t="str">
        <f>"1551599210828515"</f>
        <v>1551599210828515</v>
      </c>
      <c r="C6509" t="s">
        <v>40</v>
      </c>
      <c r="D6509">
        <v>5.071949</v>
      </c>
      <c r="E6509">
        <v>0.5048549</v>
      </c>
      <c r="F6509" t="s">
        <v>75</v>
      </c>
      <c r="G6509">
        <v>-232.20050000000001</v>
      </c>
      <c r="H6509" s="1">
        <v>-4.1412390000000002E-7</v>
      </c>
      <c r="I6509">
        <v>-62.19876</v>
      </c>
      <c r="J6509">
        <v>-251.7953</v>
      </c>
      <c r="K6509">
        <v>1.120981</v>
      </c>
      <c r="L6509">
        <v>-62.713560000000001</v>
      </c>
      <c r="M6509">
        <v>0.99988540000000004</v>
      </c>
      <c r="N6509">
        <v>-1.173106E-2</v>
      </c>
      <c r="O6509">
        <v>9.5602029999999998E-3</v>
      </c>
      <c r="P6509">
        <v>0.99687619999999999</v>
      </c>
      <c r="Q6509">
        <v>-6.8881010000000006E-2</v>
      </c>
      <c r="R6509">
        <v>3.8639E-2</v>
      </c>
      <c r="S6509">
        <v>2.9946290000000002</v>
      </c>
      <c r="T6509">
        <v>-0.1700122</v>
      </c>
      <c r="U6509">
        <v>7.830811E-2</v>
      </c>
      <c r="V6509">
        <v>-2.9089919999999998E-2</v>
      </c>
      <c r="W6509">
        <v>-5.7186239999999999E-2</v>
      </c>
      <c r="X6509">
        <v>0.99793960000000004</v>
      </c>
      <c r="Y6509">
        <v>-1.6559310000000001E-2</v>
      </c>
      <c r="Z6509">
        <v>1.3670699999999999E-4</v>
      </c>
      <c r="AA6509">
        <v>0.99986280000000005</v>
      </c>
      <c r="AB6509">
        <v>24</v>
      </c>
      <c r="AC6509">
        <v>19.5947999999999</v>
      </c>
      <c r="AD6509">
        <v>-1.1209814141238901</v>
      </c>
      <c r="AE6509">
        <v>0.51480000000000103</v>
      </c>
      <c r="AF6509">
        <v>-0.32636591435361001</v>
      </c>
      <c r="AG6509">
        <v>-1.1209814141238901</v>
      </c>
      <c r="AH6509">
        <v>19.534937121119398</v>
      </c>
      <c r="AI6509">
        <v>93.283768613635502</v>
      </c>
      <c r="AJ6509">
        <v>90.957138990272</v>
      </c>
      <c r="AK6509">
        <v>19.5697951539344</v>
      </c>
      <c r="AL6509">
        <v>93.278318792779899</v>
      </c>
      <c r="AM6509">
        <v>91.669698043495401</v>
      </c>
      <c r="AN6509">
        <v>0.99999996736955099</v>
      </c>
    </row>
    <row r="6510" spans="1:40" x14ac:dyDescent="0.25">
      <c r="A6510" t="str">
        <f>"20190303154650849"</f>
        <v>20190303154650849</v>
      </c>
      <c r="B6510" t="str">
        <f>"1551599210838275"</f>
        <v>1551599210838275</v>
      </c>
      <c r="C6510" t="s">
        <v>40</v>
      </c>
      <c r="D6510">
        <v>5.0398339999999999</v>
      </c>
      <c r="E6510">
        <v>0.50489340000000005</v>
      </c>
      <c r="F6510" t="s">
        <v>75</v>
      </c>
      <c r="G6510">
        <v>-231.95820000000001</v>
      </c>
      <c r="H6510" s="1">
        <v>-3.1114880000000002E-7</v>
      </c>
      <c r="I6510">
        <v>-62.202469999999998</v>
      </c>
      <c r="J6510">
        <v>-251.66550000000001</v>
      </c>
      <c r="K6510">
        <v>1.120976</v>
      </c>
      <c r="L6510">
        <v>-62.71219</v>
      </c>
      <c r="M6510">
        <v>0.99988469999999996</v>
      </c>
      <c r="N6510">
        <v>-1.172364E-2</v>
      </c>
      <c r="O6510">
        <v>9.6670369999999999E-3</v>
      </c>
      <c r="P6510">
        <v>0.99688569999999999</v>
      </c>
      <c r="Q6510">
        <v>-6.8773420000000002E-2</v>
      </c>
      <c r="R6510">
        <v>3.8591899999999998E-2</v>
      </c>
      <c r="S6510">
        <v>2.9947050000000002</v>
      </c>
      <c r="T6510">
        <v>-0.16922899999999999</v>
      </c>
      <c r="U6510">
        <v>7.7148439999999999E-2</v>
      </c>
      <c r="V6510">
        <v>-2.8937339999999999E-2</v>
      </c>
      <c r="W6510">
        <v>-5.7085490000000003E-2</v>
      </c>
      <c r="X6510">
        <v>0.9979498</v>
      </c>
      <c r="Y6510">
        <v>-1.606612E-2</v>
      </c>
      <c r="Z6510">
        <v>1.153144E-4</v>
      </c>
      <c r="AA6510">
        <v>0.99987090000000001</v>
      </c>
      <c r="AB6510">
        <v>24</v>
      </c>
      <c r="AC6510">
        <v>19.7073</v>
      </c>
      <c r="AD6510">
        <v>-1.1209763111488</v>
      </c>
      <c r="AE6510">
        <v>0.50972000000000095</v>
      </c>
      <c r="AF6510">
        <v>-0.31814325884398797</v>
      </c>
      <c r="AG6510">
        <v>-1.1209763111488</v>
      </c>
      <c r="AH6510">
        <v>19.6477793492631</v>
      </c>
      <c r="AI6510">
        <v>93.264962739360996</v>
      </c>
      <c r="AJ6510">
        <v>90.927670900636599</v>
      </c>
      <c r="AK6510">
        <v>19.682302618866402</v>
      </c>
      <c r="AL6510">
        <v>93.272536811499407</v>
      </c>
      <c r="AM6510">
        <v>91.660928235456396</v>
      </c>
      <c r="AN6510">
        <v>0.999999963067427</v>
      </c>
    </row>
    <row r="6511" spans="1:40" x14ac:dyDescent="0.25">
      <c r="A6511" t="str">
        <f>"20190303154650860"</f>
        <v>20190303154650860</v>
      </c>
      <c r="B6511" t="str">
        <f>"1551599210848035"</f>
        <v>1551599210848035</v>
      </c>
      <c r="C6511" t="s">
        <v>40</v>
      </c>
      <c r="D6511">
        <v>5.0064010000000003</v>
      </c>
      <c r="E6511">
        <v>0.50494150000000004</v>
      </c>
      <c r="F6511" t="s">
        <v>75</v>
      </c>
      <c r="G6511">
        <v>-231.7645</v>
      </c>
      <c r="H6511" s="1">
        <v>-2.2807130000000001E-7</v>
      </c>
      <c r="I6511">
        <v>-62.202500000000001</v>
      </c>
      <c r="J6511">
        <v>-251.53749999999999</v>
      </c>
      <c r="K6511">
        <v>1.12097</v>
      </c>
      <c r="L6511">
        <v>-62.710850000000001</v>
      </c>
      <c r="M6511">
        <v>0.99988370000000004</v>
      </c>
      <c r="N6511">
        <v>-1.1716519999999999E-2</v>
      </c>
      <c r="O6511">
        <v>9.7699980000000002E-3</v>
      </c>
      <c r="P6511">
        <v>0.99687079999999995</v>
      </c>
      <c r="Q6511">
        <v>-6.9052189999999999E-2</v>
      </c>
      <c r="R6511">
        <v>3.8480140000000003E-2</v>
      </c>
      <c r="S6511">
        <v>2.9947509999999999</v>
      </c>
      <c r="T6511">
        <v>-0.16868710000000001</v>
      </c>
      <c r="U6511">
        <v>7.6690670000000002E-2</v>
      </c>
      <c r="V6511">
        <v>-2.8723680000000001E-2</v>
      </c>
      <c r="W6511">
        <v>-5.7371079999999998E-2</v>
      </c>
      <c r="X6511">
        <v>0.99793960000000004</v>
      </c>
      <c r="Y6511">
        <v>-1.5810729999999999E-2</v>
      </c>
      <c r="Z6511">
        <v>1.022126E-4</v>
      </c>
      <c r="AA6511">
        <v>0.99987499999999996</v>
      </c>
      <c r="AB6511">
        <v>24</v>
      </c>
      <c r="AC6511">
        <v>19.773</v>
      </c>
      <c r="AD6511">
        <v>-1.1209702280713001</v>
      </c>
      <c r="AE6511">
        <v>0.50834999999999997</v>
      </c>
      <c r="AF6511">
        <v>-0.31412140395011601</v>
      </c>
      <c r="AG6511">
        <v>-1.1209702280713001</v>
      </c>
      <c r="AH6511">
        <v>19.7137054894363</v>
      </c>
      <c r="AI6511">
        <v>93.254063467499407</v>
      </c>
      <c r="AJ6511">
        <v>90.912883056964006</v>
      </c>
      <c r="AK6511">
        <v>19.748048780395301</v>
      </c>
      <c r="AL6511">
        <v>93.288926759025102</v>
      </c>
      <c r="AM6511">
        <v>91.648688341069004</v>
      </c>
      <c r="AN6511">
        <v>0.99999996793063395</v>
      </c>
    </row>
    <row r="6512" spans="1:40" x14ac:dyDescent="0.25">
      <c r="A6512" t="str">
        <f>"20190303154650874"</f>
        <v>20190303154650874</v>
      </c>
      <c r="B6512" t="str">
        <f>"1551599210868530"</f>
        <v>1551599210868530</v>
      </c>
      <c r="C6512" t="s">
        <v>40</v>
      </c>
      <c r="D6512">
        <v>5.0063300000000002</v>
      </c>
      <c r="E6512">
        <v>0.50488650000000002</v>
      </c>
      <c r="F6512" t="s">
        <v>75</v>
      </c>
      <c r="G6512">
        <v>-231.72409999999999</v>
      </c>
      <c r="H6512" s="1">
        <v>-2.124385E-7</v>
      </c>
      <c r="I6512">
        <v>-62.208849999999998</v>
      </c>
      <c r="J6512">
        <v>-251.40180000000001</v>
      </c>
      <c r="K6512">
        <v>1.1209659999999999</v>
      </c>
      <c r="L6512">
        <v>-62.709409999999998</v>
      </c>
      <c r="M6512">
        <v>0.99988279999999996</v>
      </c>
      <c r="N6512">
        <v>-1.170977E-2</v>
      </c>
      <c r="O6512">
        <v>9.8723070000000003E-3</v>
      </c>
      <c r="P6512">
        <v>0.9968359</v>
      </c>
      <c r="Q6512">
        <v>-6.9462969999999999E-2</v>
      </c>
      <c r="R6512">
        <v>3.8641830000000002E-2</v>
      </c>
      <c r="S6512">
        <v>2.9947659999999998</v>
      </c>
      <c r="T6512">
        <v>-0.16943320000000001</v>
      </c>
      <c r="U6512">
        <v>7.5866699999999995E-2</v>
      </c>
      <c r="V6512">
        <v>-2.8783900000000001E-2</v>
      </c>
      <c r="W6512">
        <v>-5.7788590000000001E-2</v>
      </c>
      <c r="X6512">
        <v>0.99791379999999996</v>
      </c>
      <c r="Y6512">
        <v>-1.5434059999999999E-2</v>
      </c>
      <c r="Z6512" s="1">
        <v>8.4192260000000001E-5</v>
      </c>
      <c r="AA6512">
        <v>0.99988089999999996</v>
      </c>
      <c r="AB6512">
        <v>24</v>
      </c>
      <c r="AC6512">
        <v>19.677700000000002</v>
      </c>
      <c r="AD6512">
        <v>-1.12096621243849</v>
      </c>
      <c r="AE6512">
        <v>0.50056</v>
      </c>
      <c r="AF6512">
        <v>-0.30526800315219799</v>
      </c>
      <c r="AG6512">
        <v>-1.12096621243849</v>
      </c>
      <c r="AH6512">
        <v>19.618060333867501</v>
      </c>
      <c r="AI6512">
        <v>93.269901367043005</v>
      </c>
      <c r="AJ6512">
        <v>90.891482462520997</v>
      </c>
      <c r="AK6512">
        <v>19.652431021795799</v>
      </c>
      <c r="AL6512">
        <v>93.3128879913926</v>
      </c>
      <c r="AM6512">
        <v>91.652185639409197</v>
      </c>
      <c r="AN6512">
        <v>0.99999999313191901</v>
      </c>
    </row>
    <row r="6513" spans="1:40" x14ac:dyDescent="0.25">
      <c r="A6513" t="str">
        <f>"20190303154650887"</f>
        <v>20190303154650887</v>
      </c>
      <c r="B6513" t="str">
        <f>"1551599210878290"</f>
        <v>1551599210878290</v>
      </c>
      <c r="C6513" t="s">
        <v>40</v>
      </c>
      <c r="D6513">
        <v>5.0821079999999998</v>
      </c>
      <c r="E6513">
        <v>0.50497479999999995</v>
      </c>
      <c r="F6513" t="s">
        <v>75</v>
      </c>
      <c r="G6513">
        <v>-231.82640000000001</v>
      </c>
      <c r="H6513" s="1">
        <v>-2.557676E-7</v>
      </c>
      <c r="I6513">
        <v>-62.206829999999997</v>
      </c>
      <c r="J6513">
        <v>-251.26920000000001</v>
      </c>
      <c r="K6513">
        <v>1.120957</v>
      </c>
      <c r="L6513">
        <v>-62.708010000000002</v>
      </c>
      <c r="M6513">
        <v>0.99988189999999999</v>
      </c>
      <c r="N6513">
        <v>-1.1703399999999999E-2</v>
      </c>
      <c r="O6513">
        <v>9.9702690000000004E-3</v>
      </c>
      <c r="P6513">
        <v>0.99681980000000003</v>
      </c>
      <c r="Q6513">
        <v>-6.9630349999999994E-2</v>
      </c>
      <c r="R6513">
        <v>3.8753799999999998E-2</v>
      </c>
      <c r="S6513">
        <v>2.9945979999999999</v>
      </c>
      <c r="T6513">
        <v>-0.171482299999999</v>
      </c>
      <c r="U6513">
        <v>7.6873780000000003E-2</v>
      </c>
      <c r="V6513">
        <v>-2.8799310000000002E-2</v>
      </c>
      <c r="W6513">
        <v>-5.7962140000000002E-2</v>
      </c>
      <c r="X6513">
        <v>0.99790330000000005</v>
      </c>
      <c r="Y6513">
        <v>-1.5672829999999999E-2</v>
      </c>
      <c r="Z6513" s="1">
        <v>8.6374260000000001E-5</v>
      </c>
      <c r="AA6513">
        <v>0.99987720000000002</v>
      </c>
      <c r="AB6513">
        <v>24</v>
      </c>
      <c r="AC6513">
        <v>19.442799999999998</v>
      </c>
      <c r="AD6513">
        <v>-1.1209572557676</v>
      </c>
      <c r="AE6513">
        <v>0.50117999999998997</v>
      </c>
      <c r="AF6513">
        <v>-0.30627450170965298</v>
      </c>
      <c r="AG6513">
        <v>-1.1209572557676</v>
      </c>
      <c r="AH6513">
        <v>19.3824463245851</v>
      </c>
      <c r="AI6513">
        <v>93.3095237611698</v>
      </c>
      <c r="AJ6513">
        <v>90.905292123314695</v>
      </c>
      <c r="AK6513">
        <v>19.417249412959599</v>
      </c>
      <c r="AL6513">
        <v>93.322848336470599</v>
      </c>
      <c r="AM6513">
        <v>91.653087061340301</v>
      </c>
      <c r="AN6513">
        <v>1.00000000304037</v>
      </c>
    </row>
    <row r="6514" spans="1:40" x14ac:dyDescent="0.25">
      <c r="A6514" t="str">
        <f>"20190303154650899"</f>
        <v>20190303154650899</v>
      </c>
      <c r="B6514" t="str">
        <f>"1551599210888050"</f>
        <v>1551599210888050</v>
      </c>
      <c r="C6514" t="s">
        <v>40</v>
      </c>
      <c r="D6514">
        <v>5.0211670000000002</v>
      </c>
      <c r="E6514">
        <v>0.50492510000000002</v>
      </c>
      <c r="F6514" t="s">
        <v>75</v>
      </c>
      <c r="G6514">
        <v>-231.76499999999999</v>
      </c>
      <c r="H6514" s="1">
        <v>-2.301846E-7</v>
      </c>
      <c r="I6514">
        <v>-62.209629999999997</v>
      </c>
      <c r="J6514">
        <v>-251.12649999999999</v>
      </c>
      <c r="K6514">
        <v>1.1209519999999999</v>
      </c>
      <c r="L6514">
        <v>-62.706449999999997</v>
      </c>
      <c r="M6514">
        <v>0.99988089999999996</v>
      </c>
      <c r="N6514">
        <v>-1.169692E-2</v>
      </c>
      <c r="O6514">
        <v>1.007223E-2</v>
      </c>
      <c r="P6514">
        <v>0.99679649999999997</v>
      </c>
      <c r="Q6514">
        <v>-6.9997599999999993E-2</v>
      </c>
      <c r="R6514">
        <v>3.8694779999999998E-2</v>
      </c>
      <c r="S6514">
        <v>2.9945529999999998</v>
      </c>
      <c r="T6514">
        <v>-0.17210449999999999</v>
      </c>
      <c r="U6514">
        <v>7.6507569999999997E-2</v>
      </c>
      <c r="V6514">
        <v>-2.863928E-2</v>
      </c>
      <c r="W6514">
        <v>-5.8335770000000002E-2</v>
      </c>
      <c r="X6514">
        <v>0.9978861</v>
      </c>
      <c r="Y6514">
        <v>-1.544952E-2</v>
      </c>
      <c r="Z6514" s="1">
        <v>7.3434089999999995E-5</v>
      </c>
      <c r="AA6514">
        <v>0.99988069999999896</v>
      </c>
      <c r="AB6514">
        <v>24</v>
      </c>
      <c r="AC6514">
        <v>19.361499999999999</v>
      </c>
      <c r="AD6514">
        <v>-1.1209522301846</v>
      </c>
      <c r="AE6514">
        <v>0.49681999999999199</v>
      </c>
      <c r="AF6514">
        <v>-0.30076051180573499</v>
      </c>
      <c r="AG6514">
        <v>-1.1209522301846</v>
      </c>
      <c r="AH6514">
        <v>19.300869376125</v>
      </c>
      <c r="AI6514">
        <v>93.323477007374294</v>
      </c>
      <c r="AJ6514">
        <v>90.892753224946503</v>
      </c>
      <c r="AK6514">
        <v>19.335732452174</v>
      </c>
      <c r="AL6514">
        <v>93.344292155449295</v>
      </c>
      <c r="AM6514">
        <v>91.643934676255597</v>
      </c>
      <c r="AN6514">
        <v>0.99999996949681003</v>
      </c>
    </row>
    <row r="6515" spans="1:40" x14ac:dyDescent="0.25">
      <c r="A6515" t="str">
        <f>"20190303154650916"</f>
        <v>20190303154650916</v>
      </c>
      <c r="B6515" t="str">
        <f>"1551599210908547"</f>
        <v>1551599210908547</v>
      </c>
      <c r="C6515" t="s">
        <v>40</v>
      </c>
      <c r="D6515">
        <v>5.0534689999999998</v>
      </c>
      <c r="E6515">
        <v>0.50484390000000001</v>
      </c>
      <c r="F6515" t="s">
        <v>75</v>
      </c>
      <c r="G6515">
        <v>-231.84870000000001</v>
      </c>
      <c r="H6515" s="1">
        <v>-2.6682079999999999E-7</v>
      </c>
      <c r="I6515">
        <v>-62.21246</v>
      </c>
      <c r="J6515">
        <v>-250.95330000000001</v>
      </c>
      <c r="K6515">
        <v>1.1209450000000001</v>
      </c>
      <c r="L6515">
        <v>-62.704560000000001</v>
      </c>
      <c r="M6515">
        <v>0.99987979999999999</v>
      </c>
      <c r="N6515">
        <v>-1.1689919999999999E-2</v>
      </c>
      <c r="O6515">
        <v>1.019142E-2</v>
      </c>
      <c r="P6515">
        <v>0.99677800000000005</v>
      </c>
      <c r="Q6515">
        <v>-7.0318069999999996E-2</v>
      </c>
      <c r="R6515">
        <v>3.8590529999999998E-2</v>
      </c>
      <c r="S6515">
        <v>2.994415</v>
      </c>
      <c r="T6515">
        <v>-0.17411660000000001</v>
      </c>
      <c r="U6515">
        <v>7.6721189999999995E-2</v>
      </c>
      <c r="V6515">
        <v>-2.8417000000000001E-2</v>
      </c>
      <c r="W6515">
        <v>-5.8663090000000001E-2</v>
      </c>
      <c r="X6515">
        <v>0.99787329999999996</v>
      </c>
      <c r="Y6515">
        <v>-1.540266E-2</v>
      </c>
      <c r="Z6515" s="1">
        <v>6.4564719999999997E-5</v>
      </c>
      <c r="AA6515">
        <v>0.99988140000000003</v>
      </c>
      <c r="AB6515">
        <v>24</v>
      </c>
      <c r="AC6515">
        <v>19.104600000000001</v>
      </c>
      <c r="AD6515">
        <v>-1.1209452668208</v>
      </c>
      <c r="AE6515">
        <v>0.49209999999999998</v>
      </c>
      <c r="AF6515">
        <v>-0.29633863162021201</v>
      </c>
      <c r="AG6515">
        <v>-1.1209452668208</v>
      </c>
      <c r="AH6515">
        <v>19.043107934983599</v>
      </c>
      <c r="AI6515">
        <v>93.368339880265694</v>
      </c>
      <c r="AJ6515">
        <v>90.891534229565494</v>
      </c>
      <c r="AK6515">
        <v>19.078372433182899</v>
      </c>
      <c r="AL6515">
        <v>93.363078268896103</v>
      </c>
      <c r="AM6515">
        <v>91.631203326234498</v>
      </c>
      <c r="AN6515">
        <v>1.00000000343511</v>
      </c>
    </row>
    <row r="6516" spans="1:40" x14ac:dyDescent="0.25">
      <c r="A6516" t="str">
        <f>"20190303154650928"</f>
        <v>20190303154650928</v>
      </c>
      <c r="B6516" t="str">
        <f>"1551599210918308"</f>
        <v>1551599210918308</v>
      </c>
      <c r="C6516" t="s">
        <v>40</v>
      </c>
      <c r="D6516">
        <v>5.0192399999999999</v>
      </c>
      <c r="E6516">
        <v>0.5047992</v>
      </c>
      <c r="F6516" t="s">
        <v>75</v>
      </c>
      <c r="G6516">
        <v>-231.8082</v>
      </c>
      <c r="H6516" s="1">
        <v>-2.4929329999999998E-7</v>
      </c>
      <c r="I6516">
        <v>-62.21181</v>
      </c>
      <c r="J6516">
        <v>-250.8263</v>
      </c>
      <c r="K6516">
        <v>1.1209420000000001</v>
      </c>
      <c r="L6516">
        <v>-62.703189999999999</v>
      </c>
      <c r="M6516">
        <v>0.99987890000000001</v>
      </c>
      <c r="N6516">
        <v>-1.1685249999999999E-2</v>
      </c>
      <c r="O6516">
        <v>1.0277130000000001E-2</v>
      </c>
      <c r="P6516">
        <v>0.99676779999999998</v>
      </c>
      <c r="Q6516">
        <v>-7.0474120000000001E-2</v>
      </c>
      <c r="R6516">
        <v>3.8567240000000003E-2</v>
      </c>
      <c r="S6516">
        <v>2.9943390000000001</v>
      </c>
      <c r="T6516">
        <v>-0.17531869999999999</v>
      </c>
      <c r="U6516">
        <v>7.7056879999999994E-2</v>
      </c>
      <c r="V6516">
        <v>-2.8308239999999998E-2</v>
      </c>
      <c r="W6516">
        <v>-5.8823720000000003E-2</v>
      </c>
      <c r="X6516">
        <v>0.9978669</v>
      </c>
      <c r="Y6516">
        <v>-1.5429460000000001E-2</v>
      </c>
      <c r="Z6516" s="1">
        <v>6.0409709999999898E-5</v>
      </c>
      <c r="AA6516">
        <v>0.99988100000000002</v>
      </c>
      <c r="AB6516">
        <v>24</v>
      </c>
      <c r="AC6516">
        <v>19.0181</v>
      </c>
      <c r="AD6516">
        <v>-1.1209422492933001</v>
      </c>
      <c r="AE6516">
        <v>0.49137999999999898</v>
      </c>
      <c r="AF6516">
        <v>-0.29486552757392998</v>
      </c>
      <c r="AG6516">
        <v>-1.1209422492933001</v>
      </c>
      <c r="AH6516">
        <v>18.956335077389401</v>
      </c>
      <c r="AI6516">
        <v>93.383714005651598</v>
      </c>
      <c r="AJ6516">
        <v>90.8911631807768</v>
      </c>
      <c r="AK6516">
        <v>18.991737592223199</v>
      </c>
      <c r="AL6516">
        <v>93.372297729299007</v>
      </c>
      <c r="AM6516">
        <v>91.624974013813997</v>
      </c>
      <c r="AN6516">
        <v>0.99999996830107196</v>
      </c>
    </row>
    <row r="6517" spans="1:40" x14ac:dyDescent="0.25">
      <c r="A6517" t="str">
        <f>"20190303154650940"</f>
        <v>20190303154650940</v>
      </c>
      <c r="B6517" t="str">
        <f>"1551599210928068"</f>
        <v>1551599210928068</v>
      </c>
      <c r="C6517" t="s">
        <v>40</v>
      </c>
      <c r="D6517">
        <v>5.0679550000000004</v>
      </c>
      <c r="E6517">
        <v>0.50487689999999996</v>
      </c>
      <c r="F6517" t="s">
        <v>75</v>
      </c>
      <c r="G6517">
        <v>-231.83750000000001</v>
      </c>
      <c r="H6517" s="1">
        <v>-2.6210440000000002E-7</v>
      </c>
      <c r="I6517">
        <v>-62.212699999999998</v>
      </c>
      <c r="J6517">
        <v>-250.69</v>
      </c>
      <c r="K6517">
        <v>1.1209389999999999</v>
      </c>
      <c r="L6517">
        <v>-62.701689999999999</v>
      </c>
      <c r="M6517">
        <v>0.99987820000000005</v>
      </c>
      <c r="N6517">
        <v>-1.1680599999999999E-2</v>
      </c>
      <c r="O6517">
        <v>1.036755E-2</v>
      </c>
      <c r="P6517">
        <v>0.99678339999999999</v>
      </c>
      <c r="Q6517">
        <v>-7.0395780000000005E-2</v>
      </c>
      <c r="R6517">
        <v>3.8313529999999998E-2</v>
      </c>
      <c r="S6517">
        <v>2.9942319999999998</v>
      </c>
      <c r="T6517">
        <v>-0.17675469999999999</v>
      </c>
      <c r="U6517">
        <v>7.7331540000000004E-2</v>
      </c>
      <c r="V6517">
        <v>-2.7964820000000001E-2</v>
      </c>
      <c r="W6517">
        <v>-5.8749639999999999E-2</v>
      </c>
      <c r="X6517">
        <v>0.99788100000000002</v>
      </c>
      <c r="Y6517">
        <v>-1.5431469999999999E-2</v>
      </c>
      <c r="Z6517" s="1">
        <v>5.4890440000000002E-5</v>
      </c>
      <c r="AA6517">
        <v>0.99988089999999996</v>
      </c>
      <c r="AB6517">
        <v>24</v>
      </c>
      <c r="AC6517">
        <v>18.8524999999999</v>
      </c>
      <c r="AD6517">
        <v>-1.1209392621044001</v>
      </c>
      <c r="AE6517">
        <v>0.48899000000000098</v>
      </c>
      <c r="AF6517">
        <v>-0.29246292856546302</v>
      </c>
      <c r="AG6517">
        <v>-1.1209392621044001</v>
      </c>
      <c r="AH6517">
        <v>18.790172383324201</v>
      </c>
      <c r="AI6517">
        <v>93.4135563682335</v>
      </c>
      <c r="AJ6517">
        <v>90.891718189476705</v>
      </c>
      <c r="AK6517">
        <v>18.8258497175812</v>
      </c>
      <c r="AL6517">
        <v>93.368045727687701</v>
      </c>
      <c r="AM6517">
        <v>91.605248430041001</v>
      </c>
      <c r="AN6517">
        <v>1.00000002075938</v>
      </c>
    </row>
    <row r="6518" spans="1:40" x14ac:dyDescent="0.25">
      <c r="A6518" t="str">
        <f>"20190303154650952"</f>
        <v>20190303154650952</v>
      </c>
      <c r="B6518" t="str">
        <f>"1551599210948563"</f>
        <v>1551599210948563</v>
      </c>
      <c r="C6518" t="s">
        <v>40</v>
      </c>
      <c r="D6518">
        <v>5.0034390000000002</v>
      </c>
      <c r="E6518">
        <v>0.50487490000000002</v>
      </c>
      <c r="F6518" t="s">
        <v>75</v>
      </c>
      <c r="G6518">
        <v>-231.65729999999999</v>
      </c>
      <c r="H6518" s="1">
        <v>-1.864287E-7</v>
      </c>
      <c r="I6518">
        <v>-62.218820000000001</v>
      </c>
      <c r="J6518">
        <v>-250.5659</v>
      </c>
      <c r="K6518">
        <v>1.120933</v>
      </c>
      <c r="L6518">
        <v>-62.700319999999998</v>
      </c>
      <c r="M6518">
        <v>0.99987720000000002</v>
      </c>
      <c r="N6518">
        <v>-1.167691E-2</v>
      </c>
      <c r="O6518">
        <v>1.0448860000000001E-2</v>
      </c>
      <c r="P6518">
        <v>0.99679059999999997</v>
      </c>
      <c r="Q6518">
        <v>-7.0356699999999994E-2</v>
      </c>
      <c r="R6518">
        <v>3.818647E-2</v>
      </c>
      <c r="S6518">
        <v>2.9943240000000002</v>
      </c>
      <c r="T6518">
        <v>-0.17635190000000001</v>
      </c>
      <c r="U6518">
        <v>7.5958250000000005E-2</v>
      </c>
      <c r="V6518">
        <v>-2.7755990000000001E-2</v>
      </c>
      <c r="W6518">
        <v>-5.8714089999999997E-2</v>
      </c>
      <c r="X6518">
        <v>0.99788889999999997</v>
      </c>
      <c r="Y6518">
        <v>-1.489237E-2</v>
      </c>
      <c r="Z6518" s="1">
        <v>3.2337959999999998E-5</v>
      </c>
      <c r="AA6518">
        <v>0.99988909999999998</v>
      </c>
      <c r="AB6518">
        <v>24</v>
      </c>
      <c r="AC6518">
        <v>18.9086</v>
      </c>
      <c r="AD6518">
        <v>-1.1209331864287</v>
      </c>
      <c r="AE6518">
        <v>0.48150000000000298</v>
      </c>
      <c r="AF6518">
        <v>-0.28289338797139502</v>
      </c>
      <c r="AG6518">
        <v>-1.1209331864287</v>
      </c>
      <c r="AH6518">
        <v>18.846409789046302</v>
      </c>
      <c r="AI6518">
        <v>93.403404703182503</v>
      </c>
      <c r="AJ6518">
        <v>90.859971749906194</v>
      </c>
      <c r="AK6518">
        <v>18.8818347046588</v>
      </c>
      <c r="AL6518">
        <v>93.366005417187395</v>
      </c>
      <c r="AM6518">
        <v>91.593254677001397</v>
      </c>
      <c r="AN6518">
        <v>0.99999999804430895</v>
      </c>
    </row>
    <row r="6519" spans="1:40" x14ac:dyDescent="0.25">
      <c r="A6519" t="str">
        <f>"20190303154650966"</f>
        <v>20190303154650966</v>
      </c>
      <c r="B6519" t="str">
        <f>"1551599210958322"</f>
        <v>1551599210958322</v>
      </c>
      <c r="C6519" t="s">
        <v>40</v>
      </c>
      <c r="D6519">
        <v>5.002783</v>
      </c>
      <c r="E6519">
        <v>0.50485740000000001</v>
      </c>
      <c r="F6519" t="s">
        <v>75</v>
      </c>
      <c r="G6519">
        <v>-231.45920000000001</v>
      </c>
      <c r="H6519" s="1">
        <v>-1.012385E-7</v>
      </c>
      <c r="I6519">
        <v>-62.218110000000003</v>
      </c>
      <c r="J6519">
        <v>-250.42420000000001</v>
      </c>
      <c r="K6519">
        <v>1.120932</v>
      </c>
      <c r="L6519">
        <v>-62.698729999999998</v>
      </c>
      <c r="M6519">
        <v>0.9998764</v>
      </c>
      <c r="N6519">
        <v>-1.16729E-2</v>
      </c>
      <c r="O6519">
        <v>1.054097E-2</v>
      </c>
      <c r="P6519">
        <v>0.99678979999999995</v>
      </c>
      <c r="Q6519">
        <v>-7.0359240000000003E-2</v>
      </c>
      <c r="R6519">
        <v>3.8209239999999998E-2</v>
      </c>
      <c r="S6519">
        <v>2.99437</v>
      </c>
      <c r="T6519">
        <v>-0.1756704</v>
      </c>
      <c r="U6519">
        <v>7.5561519999999993E-2</v>
      </c>
      <c r="V6519">
        <v>-2.7687460000000001E-2</v>
      </c>
      <c r="W6519">
        <v>-5.8720540000000002E-2</v>
      </c>
      <c r="X6519">
        <v>0.99789039999999996</v>
      </c>
      <c r="Y6519">
        <v>-1.4668169999999999E-2</v>
      </c>
      <c r="Z6519" s="1">
        <v>2.07469E-5</v>
      </c>
      <c r="AA6519">
        <v>0.99989240000000001</v>
      </c>
      <c r="AB6519">
        <v>24</v>
      </c>
      <c r="AC6519">
        <v>18.965</v>
      </c>
      <c r="AD6519">
        <v>-1.1209321012385001</v>
      </c>
      <c r="AE6519">
        <v>0.48062000000000799</v>
      </c>
      <c r="AF6519">
        <v>-0.27969373043114898</v>
      </c>
      <c r="AG6519">
        <v>-1.1209321012385001</v>
      </c>
      <c r="AH6519">
        <v>18.903018631938899</v>
      </c>
      <c r="AI6519">
        <v>93.3932439108968</v>
      </c>
      <c r="AJ6519">
        <v>90.847700640332803</v>
      </c>
      <c r="AK6519">
        <v>18.938290069535299</v>
      </c>
      <c r="AL6519">
        <v>93.366375695273803</v>
      </c>
      <c r="AM6519">
        <v>91.589320537032293</v>
      </c>
      <c r="AN6519">
        <v>0.99999997383565098</v>
      </c>
    </row>
    <row r="6520" spans="1:40" x14ac:dyDescent="0.25">
      <c r="A6520" t="str">
        <f>"20190303154650983"</f>
        <v>20190303154650983</v>
      </c>
      <c r="B6520" t="str">
        <f>"1551599210977842"</f>
        <v>1551599210977842</v>
      </c>
      <c r="C6520" t="s">
        <v>40</v>
      </c>
      <c r="D6520">
        <v>4.9973479999999997</v>
      </c>
      <c r="E6520">
        <v>0.50486330000000001</v>
      </c>
      <c r="F6520" t="s">
        <v>75</v>
      </c>
      <c r="G6520">
        <v>-231.31979999999999</v>
      </c>
      <c r="H6520" s="1">
        <v>-4.0719779999999999E-8</v>
      </c>
      <c r="I6520">
        <v>-62.215409999999999</v>
      </c>
      <c r="J6520">
        <v>-250.23070000000001</v>
      </c>
      <c r="K6520">
        <v>1.1209340000000001</v>
      </c>
      <c r="L6520">
        <v>-62.696530000000003</v>
      </c>
      <c r="M6520">
        <v>0.99987510000000002</v>
      </c>
      <c r="N6520">
        <v>-1.1668049999999999E-2</v>
      </c>
      <c r="O6520">
        <v>1.066628E-2</v>
      </c>
      <c r="P6520">
        <v>0.99679329999999999</v>
      </c>
      <c r="Q6520">
        <v>-7.0443389999999995E-2</v>
      </c>
      <c r="R6520">
        <v>3.796033E-2</v>
      </c>
      <c r="S6520">
        <v>2.99437</v>
      </c>
      <c r="T6520">
        <v>-0.17569170000000001</v>
      </c>
      <c r="U6520">
        <v>7.5744629999999993E-2</v>
      </c>
      <c r="V6520">
        <v>-2.7313790000000001E-2</v>
      </c>
      <c r="W6520">
        <v>-5.8809430000000003E-2</v>
      </c>
      <c r="X6520">
        <v>0.99789550000000005</v>
      </c>
      <c r="Y6520">
        <v>-1.4604229999999999E-2</v>
      </c>
      <c r="Z6520" s="1">
        <v>1.250682E-5</v>
      </c>
      <c r="AA6520">
        <v>0.99989340000000004</v>
      </c>
      <c r="AB6520">
        <v>24</v>
      </c>
      <c r="AC6520">
        <v>18.910900000000002</v>
      </c>
      <c r="AD6520">
        <v>-1.1209340407197801</v>
      </c>
      <c r="AE6520">
        <v>0.48112000000000399</v>
      </c>
      <c r="AF6520">
        <v>-0.278392463858391</v>
      </c>
      <c r="AG6520">
        <v>-1.1209340407197801</v>
      </c>
      <c r="AH6520">
        <v>18.848774504756001</v>
      </c>
      <c r="AI6520">
        <v>93.402993476064694</v>
      </c>
      <c r="AJ6520">
        <v>90.846185172928699</v>
      </c>
      <c r="AK6520">
        <v>18.884128145580799</v>
      </c>
      <c r="AL6520">
        <v>93.371477410091302</v>
      </c>
      <c r="AM6520">
        <v>91.567873835248605</v>
      </c>
      <c r="AN6520">
        <v>1.0000000105506599</v>
      </c>
    </row>
    <row r="6521" spans="1:40" x14ac:dyDescent="0.25">
      <c r="A6521" t="str">
        <f>"20190303154651007"</f>
        <v>20190303154651007</v>
      </c>
      <c r="B6521" t="str">
        <f>"1551599210998339"</f>
        <v>1551599210998339</v>
      </c>
      <c r="C6521" t="s">
        <v>40</v>
      </c>
      <c r="D6521">
        <v>5.0123089999999904</v>
      </c>
      <c r="E6521">
        <v>0.504783599999999</v>
      </c>
      <c r="F6521" t="s">
        <v>75</v>
      </c>
      <c r="G6521">
        <v>-231.1748</v>
      </c>
      <c r="H6521" s="1">
        <v>2.0413380000000001E-8</v>
      </c>
      <c r="I6521">
        <v>-62.21949</v>
      </c>
      <c r="J6521">
        <v>-249.98429999999999</v>
      </c>
      <c r="K6521">
        <v>1.1209359999999999</v>
      </c>
      <c r="L6521">
        <v>-62.6937</v>
      </c>
      <c r="M6521">
        <v>0.99987349999999997</v>
      </c>
      <c r="N6521">
        <v>-1.1662799999999999E-2</v>
      </c>
      <c r="O6521">
        <v>1.082642E-2</v>
      </c>
      <c r="P6521">
        <v>0.99678370000000005</v>
      </c>
      <c r="Q6521">
        <v>-7.0623530000000004E-2</v>
      </c>
      <c r="R6521">
        <v>3.788101E-2</v>
      </c>
      <c r="S6521">
        <v>2.99437</v>
      </c>
      <c r="T6521">
        <v>-0.1761385</v>
      </c>
      <c r="U6521">
        <v>7.4951169999999998E-2</v>
      </c>
      <c r="V6521">
        <v>-2.707414E-2</v>
      </c>
      <c r="W6521">
        <v>-5.8994869999999998E-2</v>
      </c>
      <c r="X6521">
        <v>0.99789110000000003</v>
      </c>
      <c r="Y6521">
        <v>-1.418029E-2</v>
      </c>
      <c r="Z6521" s="1">
        <v>-1.056251E-5</v>
      </c>
      <c r="AA6521">
        <v>0.99989939999999999</v>
      </c>
      <c r="AB6521">
        <v>24</v>
      </c>
      <c r="AC6521">
        <v>18.8094999999999</v>
      </c>
      <c r="AD6521">
        <v>-1.1209359795866201</v>
      </c>
      <c r="AE6521">
        <v>0.47420999999999902</v>
      </c>
      <c r="AF6521">
        <v>-0.26957206457830202</v>
      </c>
      <c r="AG6521">
        <v>-1.1209359795866201</v>
      </c>
      <c r="AH6521">
        <v>18.746994879372</v>
      </c>
      <c r="AI6521">
        <v>93.421450270885401</v>
      </c>
      <c r="AJ6521">
        <v>90.823826819424198</v>
      </c>
      <c r="AK6521">
        <v>18.782411548454899</v>
      </c>
      <c r="AL6521">
        <v>93.382120767885795</v>
      </c>
      <c r="AM6521">
        <v>91.554131004282695</v>
      </c>
      <c r="AN6521">
        <v>1.0000000256011301</v>
      </c>
    </row>
    <row r="6522" spans="1:40" x14ac:dyDescent="0.25">
      <c r="A6522" t="str">
        <f>"20190303154651018"</f>
        <v>20190303154651018</v>
      </c>
      <c r="B6522" t="str">
        <f>"1551599211008099"</f>
        <v>1551599211008099</v>
      </c>
      <c r="C6522" t="s">
        <v>40</v>
      </c>
      <c r="D6522">
        <v>5.0250949999999897</v>
      </c>
      <c r="E6522">
        <v>0.50472090000000003</v>
      </c>
      <c r="F6522" t="s">
        <v>75</v>
      </c>
      <c r="G6522">
        <v>-231.1071</v>
      </c>
      <c r="H6522" s="1">
        <v>4.9785740000000003E-8</v>
      </c>
      <c r="I6522">
        <v>-62.218220000000002</v>
      </c>
      <c r="J6522">
        <v>-249.84979999999999</v>
      </c>
      <c r="K6522">
        <v>1.12094</v>
      </c>
      <c r="L6522">
        <v>-62.692169999999997</v>
      </c>
      <c r="M6522">
        <v>0.99987250000000005</v>
      </c>
      <c r="N6522">
        <v>-1.166027E-2</v>
      </c>
      <c r="O6522">
        <v>1.091429E-2</v>
      </c>
      <c r="P6522">
        <v>0.99676810000000005</v>
      </c>
      <c r="Q6522">
        <v>-7.0687639999999996E-2</v>
      </c>
      <c r="R6522">
        <v>3.8166480000000003E-2</v>
      </c>
      <c r="S6522">
        <v>2.9942169999999999</v>
      </c>
      <c r="T6522">
        <v>-0.17779800000000001</v>
      </c>
      <c r="U6522">
        <v>7.5408939999999994E-2</v>
      </c>
      <c r="V6522">
        <v>-2.7272459999999998E-2</v>
      </c>
      <c r="W6522">
        <v>-5.9061710000000003E-2</v>
      </c>
      <c r="X6522">
        <v>0.99788169999999998</v>
      </c>
      <c r="Y6522">
        <v>-1.4246200000000001E-2</v>
      </c>
      <c r="Z6522" s="1">
        <v>-1.4532530000000001E-5</v>
      </c>
      <c r="AA6522">
        <v>0.99989850000000002</v>
      </c>
      <c r="AB6522">
        <v>24</v>
      </c>
      <c r="AC6522">
        <v>18.7426999999999</v>
      </c>
      <c r="AD6522">
        <v>-1.1209399502142601</v>
      </c>
      <c r="AE6522">
        <v>0.47395000000000198</v>
      </c>
      <c r="AF6522">
        <v>-0.26838524610279402</v>
      </c>
      <c r="AG6522">
        <v>-1.1209399502142601</v>
      </c>
      <c r="AH6522">
        <v>18.6799839119778</v>
      </c>
      <c r="AI6522">
        <v>93.4337074950529</v>
      </c>
      <c r="AJ6522">
        <v>90.823142246516397</v>
      </c>
      <c r="AK6522">
        <v>18.715510571824101</v>
      </c>
      <c r="AL6522">
        <v>93.385957261901098</v>
      </c>
      <c r="AM6522">
        <v>91.565524219506202</v>
      </c>
      <c r="AN6522">
        <v>0.99999997992873202</v>
      </c>
    </row>
    <row r="6523" spans="1:40" x14ac:dyDescent="0.25">
      <c r="A6523" t="str">
        <f>"20190303154651032"</f>
        <v>20190303154651032</v>
      </c>
      <c r="B6523" t="str">
        <f>"1551599211028596"</f>
        <v>1551599211028596</v>
      </c>
      <c r="C6523" t="s">
        <v>40</v>
      </c>
      <c r="D6523">
        <v>5.0781320000000001</v>
      </c>
      <c r="E6523">
        <v>0.50470550000000003</v>
      </c>
      <c r="F6523" t="s">
        <v>75</v>
      </c>
      <c r="G6523">
        <v>-231.05439999999999</v>
      </c>
      <c r="H6523" s="1">
        <v>7.4424860000000001E-8</v>
      </c>
      <c r="I6523">
        <v>-62.210500000000003</v>
      </c>
      <c r="J6523">
        <v>-249.70269999999999</v>
      </c>
      <c r="K6523">
        <v>1.1209420000000001</v>
      </c>
      <c r="L6523">
        <v>-62.690429999999999</v>
      </c>
      <c r="M6523">
        <v>0.99987139999999997</v>
      </c>
      <c r="N6523">
        <v>-1.1657880000000001E-2</v>
      </c>
      <c r="O6523">
        <v>1.101105E-2</v>
      </c>
      <c r="P6523">
        <v>0.99674989999999997</v>
      </c>
      <c r="Q6523">
        <v>-7.0959309999999998E-2</v>
      </c>
      <c r="R6523">
        <v>3.8136450000000002E-2</v>
      </c>
      <c r="S6523">
        <v>2.9941249999999999</v>
      </c>
      <c r="T6523">
        <v>-0.1785669</v>
      </c>
      <c r="U6523">
        <v>7.6721189999999995E-2</v>
      </c>
      <c r="V6523">
        <v>-2.714592E-2</v>
      </c>
      <c r="W6523">
        <v>-5.9335930000000002E-2</v>
      </c>
      <c r="X6523">
        <v>0.99786889999999995</v>
      </c>
      <c r="Y6523">
        <v>-1.458744E-2</v>
      </c>
      <c r="Z6523" s="1">
        <v>-8.0321920000000006E-6</v>
      </c>
      <c r="AA6523">
        <v>0.99989360000000005</v>
      </c>
      <c r="AB6523">
        <v>24</v>
      </c>
      <c r="AC6523">
        <v>18.648299999999999</v>
      </c>
      <c r="AD6523">
        <v>-1.1209419255751301</v>
      </c>
      <c r="AE6523">
        <v>0.47993000000000302</v>
      </c>
      <c r="AF6523">
        <v>-0.27356180951081399</v>
      </c>
      <c r="AG6523">
        <v>-1.1209419255751301</v>
      </c>
      <c r="AH6523">
        <v>18.585346747434201</v>
      </c>
      <c r="AI6523">
        <v>93.451138348810801</v>
      </c>
      <c r="AJ6523">
        <v>90.843288292283304</v>
      </c>
      <c r="AK6523">
        <v>18.621129412216099</v>
      </c>
      <c r="AL6523">
        <v>93.401696454142098</v>
      </c>
      <c r="AM6523">
        <v>91.558283997241702</v>
      </c>
      <c r="AN6523">
        <v>0.99999999757441005</v>
      </c>
    </row>
    <row r="6524" spans="1:40" x14ac:dyDescent="0.25">
      <c r="A6524" t="str">
        <f>"20190303154651045"</f>
        <v>20190303154651045</v>
      </c>
      <c r="B6524" t="str">
        <f>"1551599211038355"</f>
        <v>1551599211038355</v>
      </c>
      <c r="C6524" t="s">
        <v>40</v>
      </c>
      <c r="D6524">
        <v>5.0489319999999998</v>
      </c>
      <c r="E6524">
        <v>0.50466670000000002</v>
      </c>
      <c r="F6524" t="s">
        <v>75</v>
      </c>
      <c r="G6524">
        <v>-231.1405</v>
      </c>
      <c r="H6524" s="1">
        <v>3.6491429999999997E-8</v>
      </c>
      <c r="I6524">
        <v>-62.214329999999997</v>
      </c>
      <c r="J6524">
        <v>-249.5711</v>
      </c>
      <c r="K6524">
        <v>1.1209420000000001</v>
      </c>
      <c r="L6524">
        <v>-62.688899999999997</v>
      </c>
      <c r="M6524">
        <v>0.9998705</v>
      </c>
      <c r="N6524">
        <v>-1.165591E-2</v>
      </c>
      <c r="O6524">
        <v>1.1097910000000001E-2</v>
      </c>
      <c r="P6524">
        <v>0.99673520000000004</v>
      </c>
      <c r="Q6524">
        <v>-7.1088189999999996E-2</v>
      </c>
      <c r="R6524">
        <v>3.828322E-2</v>
      </c>
      <c r="S6524">
        <v>2.9939879999999999</v>
      </c>
      <c r="T6524">
        <v>-0.1808022</v>
      </c>
      <c r="U6524">
        <v>7.6782230000000007E-2</v>
      </c>
      <c r="V6524">
        <v>-2.720566E-2</v>
      </c>
      <c r="W6524">
        <v>-5.9466940000000003E-2</v>
      </c>
      <c r="X6524">
        <v>0.99785950000000001</v>
      </c>
      <c r="Y6524">
        <v>-1.452204E-2</v>
      </c>
      <c r="Z6524" s="1">
        <v>-1.7427259999999999E-5</v>
      </c>
      <c r="AA6524">
        <v>0.99989459999999997</v>
      </c>
      <c r="AB6524">
        <v>24</v>
      </c>
      <c r="AC6524">
        <v>18.430599999999998</v>
      </c>
      <c r="AD6524">
        <v>-1.12094196350857</v>
      </c>
      <c r="AE6524">
        <v>0.474569999999992</v>
      </c>
      <c r="AF6524">
        <v>-0.26899139172868203</v>
      </c>
      <c r="AG6524">
        <v>-1.12094196350857</v>
      </c>
      <c r="AH6524">
        <v>18.366837531266299</v>
      </c>
      <c r="AI6524">
        <v>93.492099223287894</v>
      </c>
      <c r="AJ6524">
        <v>90.839064954585695</v>
      </c>
      <c r="AK6524">
        <v>18.4029776980334</v>
      </c>
      <c r="AL6524">
        <v>93.409215964671702</v>
      </c>
      <c r="AM6524">
        <v>91.561726319215893</v>
      </c>
      <c r="AN6524">
        <v>1.00000002331462</v>
      </c>
    </row>
    <row r="6525" spans="1:40" x14ac:dyDescent="0.25">
      <c r="A6525" t="str">
        <f>"20190303154651062"</f>
        <v>20190303154651062</v>
      </c>
      <c r="B6525" t="str">
        <f>"1551599211057874"</f>
        <v>1551599211057874</v>
      </c>
      <c r="C6525" t="s">
        <v>40</v>
      </c>
      <c r="D6525">
        <v>5.0848259999999996</v>
      </c>
      <c r="E6525">
        <v>0.5045866</v>
      </c>
      <c r="F6525" t="s">
        <v>75</v>
      </c>
      <c r="G6525">
        <v>-231.0624</v>
      </c>
      <c r="H6525" s="1">
        <v>7.1291309999999999E-8</v>
      </c>
      <c r="I6525">
        <v>-62.209449999999997</v>
      </c>
      <c r="J6525">
        <v>-249.3845</v>
      </c>
      <c r="K6525">
        <v>1.1209450000000001</v>
      </c>
      <c r="L6525">
        <v>-62.686680000000003</v>
      </c>
      <c r="M6525">
        <v>0.99986920000000001</v>
      </c>
      <c r="N6525">
        <v>-1.1653419999999999E-2</v>
      </c>
      <c r="O6525">
        <v>1.122185E-2</v>
      </c>
      <c r="P6525">
        <v>0.99669850000000004</v>
      </c>
      <c r="Q6525">
        <v>-7.1438009999999996E-2</v>
      </c>
      <c r="R6525">
        <v>3.8590390000000002E-2</v>
      </c>
      <c r="S6525">
        <v>2.9938959999999999</v>
      </c>
      <c r="T6525">
        <v>-0.1813188</v>
      </c>
      <c r="U6525">
        <v>7.7545169999999997E-2</v>
      </c>
      <c r="V6525">
        <v>-2.7389699999999999E-2</v>
      </c>
      <c r="W6525">
        <v>-5.981968E-2</v>
      </c>
      <c r="X6525">
        <v>0.99783339999999998</v>
      </c>
      <c r="Y6525">
        <v>-1.4653309999999999E-2</v>
      </c>
      <c r="Z6525" s="1">
        <v>-1.9456639999999999E-5</v>
      </c>
      <c r="AA6525">
        <v>0.99989269999999997</v>
      </c>
      <c r="AB6525">
        <v>24</v>
      </c>
      <c r="AC6525">
        <v>18.322099999999999</v>
      </c>
      <c r="AD6525">
        <v>-1.1209449287086899</v>
      </c>
      <c r="AE6525">
        <v>0.47723000000000498</v>
      </c>
      <c r="AF6525">
        <v>-0.270566103053202</v>
      </c>
      <c r="AG6525">
        <v>-1.1209449287086899</v>
      </c>
      <c r="AH6525">
        <v>18.258008807651802</v>
      </c>
      <c r="AI6525">
        <v>93.512862579229704</v>
      </c>
      <c r="AJ6525">
        <v>90.849006116116499</v>
      </c>
      <c r="AK6525">
        <v>18.2943873679774</v>
      </c>
      <c r="AL6525">
        <v>93.4294624573904</v>
      </c>
      <c r="AM6525">
        <v>91.572326856649497</v>
      </c>
      <c r="AN6525">
        <v>1.00000004196847</v>
      </c>
    </row>
    <row r="6526" spans="1:40" x14ac:dyDescent="0.25">
      <c r="A6526" t="str">
        <f>"20190303154651074"</f>
        <v>20190303154651074</v>
      </c>
      <c r="B6526" t="str">
        <f>"1551599211068611"</f>
        <v>1551599211068611</v>
      </c>
      <c r="C6526" t="s">
        <v>40</v>
      </c>
      <c r="D6526">
        <v>5.125248</v>
      </c>
      <c r="E6526">
        <v>0.50458349999999996</v>
      </c>
      <c r="F6526" t="s">
        <v>75</v>
      </c>
      <c r="G6526">
        <v>-231.02279999999999</v>
      </c>
      <c r="H6526" s="1">
        <v>9.0400420000000004E-8</v>
      </c>
      <c r="I6526">
        <v>-62.201459999999997</v>
      </c>
      <c r="J6526">
        <v>-249.24520000000001</v>
      </c>
      <c r="K6526">
        <v>1.120946</v>
      </c>
      <c r="L6526">
        <v>-62.685029999999998</v>
      </c>
      <c r="M6526">
        <v>0.99986819999999998</v>
      </c>
      <c r="N6526">
        <v>-1.165181E-2</v>
      </c>
      <c r="O6526">
        <v>1.1314909999999999E-2</v>
      </c>
      <c r="P6526">
        <v>0.99667790000000001</v>
      </c>
      <c r="Q6526">
        <v>-7.1580829999999998E-2</v>
      </c>
      <c r="R6526">
        <v>3.8852230000000001E-2</v>
      </c>
      <c r="S6526">
        <v>2.9937740000000002</v>
      </c>
      <c r="T6526">
        <v>-0.1827638</v>
      </c>
      <c r="U6526">
        <v>7.9101560000000001E-2</v>
      </c>
      <c r="V6526">
        <v>-2.7558840000000001E-2</v>
      </c>
      <c r="W6526">
        <v>-5.9964339999999998E-2</v>
      </c>
      <c r="X6526">
        <v>0.99782000000000004</v>
      </c>
      <c r="Y6526">
        <v>-1.5079739999999999E-2</v>
      </c>
      <c r="Z6526" s="1">
        <v>-1.0470019999999999E-5</v>
      </c>
      <c r="AA6526">
        <v>0.99988630000000001</v>
      </c>
      <c r="AB6526">
        <v>24</v>
      </c>
      <c r="AC6526">
        <v>18.2224</v>
      </c>
      <c r="AD6526">
        <v>-1.12094590959958</v>
      </c>
      <c r="AE6526">
        <v>0.48357000000000699</v>
      </c>
      <c r="AF6526">
        <v>-0.27629546440150798</v>
      </c>
      <c r="AG6526">
        <v>-1.12094590959958</v>
      </c>
      <c r="AH6526">
        <v>18.158042453197002</v>
      </c>
      <c r="AI6526">
        <v>93.532135360625304</v>
      </c>
      <c r="AJ6526">
        <v>90.8717537952123</v>
      </c>
      <c r="AK6526">
        <v>18.194707050348502</v>
      </c>
      <c r="AL6526">
        <v>93.437765976277703</v>
      </c>
      <c r="AM6526">
        <v>91.582052784349301</v>
      </c>
      <c r="AN6526">
        <v>0.99999998206689</v>
      </c>
    </row>
    <row r="6527" spans="1:40" x14ac:dyDescent="0.25">
      <c r="A6527" t="str">
        <f>"20190303154651087"</f>
        <v>20190303154651087</v>
      </c>
      <c r="B6527" t="str">
        <f>"1551599211078371"</f>
        <v>1551599211078371</v>
      </c>
      <c r="C6527" t="s">
        <v>40</v>
      </c>
      <c r="D6527">
        <v>5.075399</v>
      </c>
      <c r="E6527">
        <v>0.50454370000000004</v>
      </c>
      <c r="F6527" t="s">
        <v>75</v>
      </c>
      <c r="G6527">
        <v>-230.9205</v>
      </c>
      <c r="H6527" s="1">
        <v>1.35789E-7</v>
      </c>
      <c r="I6527">
        <v>-62.195740000000001</v>
      </c>
      <c r="J6527">
        <v>-249.12430000000001</v>
      </c>
      <c r="K6527">
        <v>1.1209450000000001</v>
      </c>
      <c r="L6527">
        <v>-62.68356</v>
      </c>
      <c r="M6527">
        <v>0.99986730000000001</v>
      </c>
      <c r="N6527">
        <v>-1.1650529999999999E-2</v>
      </c>
      <c r="O6527">
        <v>1.139569E-2</v>
      </c>
      <c r="P6527">
        <v>0.99665879999999996</v>
      </c>
      <c r="Q6527">
        <v>-7.1636069999999996E-2</v>
      </c>
      <c r="R6527">
        <v>3.9237090000000002E-2</v>
      </c>
      <c r="S6527">
        <v>2.9937290000000001</v>
      </c>
      <c r="T6527">
        <v>-0.18313090000000001</v>
      </c>
      <c r="U6527">
        <v>7.9925540000000003E-2</v>
      </c>
      <c r="V6527">
        <v>-2.7863260000000001E-2</v>
      </c>
      <c r="W6527">
        <v>-6.0021100000000001E-2</v>
      </c>
      <c r="X6527">
        <v>0.99780820000000003</v>
      </c>
      <c r="Y6527">
        <v>-1.527398E-2</v>
      </c>
      <c r="Z6527" s="1">
        <v>-7.8853049999999992E-6</v>
      </c>
      <c r="AA6527">
        <v>0.99988339999999998</v>
      </c>
      <c r="AB6527">
        <v>24</v>
      </c>
      <c r="AC6527">
        <v>18.203800000000001</v>
      </c>
      <c r="AD6527">
        <v>-1.120944864211</v>
      </c>
      <c r="AE6527">
        <v>0.48781999999999898</v>
      </c>
      <c r="AF6527">
        <v>-0.279271222303692</v>
      </c>
      <c r="AG6527">
        <v>-1.120944864211</v>
      </c>
      <c r="AH6527">
        <v>18.139445605567602</v>
      </c>
      <c r="AI6527">
        <v>93.5357343957658</v>
      </c>
      <c r="AJ6527">
        <v>90.882044504456303</v>
      </c>
      <c r="AK6527">
        <v>18.176193129518499</v>
      </c>
      <c r="AL6527">
        <v>93.441023722939605</v>
      </c>
      <c r="AM6527">
        <v>91.599538306641193</v>
      </c>
      <c r="AN6527">
        <v>1.0000000488451299</v>
      </c>
    </row>
    <row r="6528" spans="1:40" x14ac:dyDescent="0.25">
      <c r="A6528" t="str">
        <f>"20190303154651099"</f>
        <v>20190303154651099</v>
      </c>
      <c r="B6528" t="str">
        <f>"1551599211088131"</f>
        <v>1551599211088131</v>
      </c>
      <c r="C6528" t="s">
        <v>40</v>
      </c>
      <c r="D6528">
        <v>5.0895199999999896</v>
      </c>
      <c r="E6528">
        <v>0.50451279999999998</v>
      </c>
      <c r="F6528" t="s">
        <v>75</v>
      </c>
      <c r="G6528">
        <v>-230.87</v>
      </c>
      <c r="H6528" s="1">
        <v>1.5975769999999999E-7</v>
      </c>
      <c r="I6528">
        <v>-62.18721</v>
      </c>
      <c r="J6528">
        <v>-248.98230000000001</v>
      </c>
      <c r="K6528">
        <v>1.120946</v>
      </c>
      <c r="L6528">
        <v>-62.681820000000002</v>
      </c>
      <c r="M6528">
        <v>0.99986620000000004</v>
      </c>
      <c r="N6528">
        <v>-1.164919E-2</v>
      </c>
      <c r="O6528">
        <v>1.1491060000000001E-2</v>
      </c>
      <c r="P6528">
        <v>0.99663429999999997</v>
      </c>
      <c r="Q6528">
        <v>-7.1818899999999894E-2</v>
      </c>
      <c r="R6528">
        <v>3.9525119999999997E-2</v>
      </c>
      <c r="S6528">
        <v>2.9936219999999998</v>
      </c>
      <c r="T6528">
        <v>-0.1838294</v>
      </c>
      <c r="U6528">
        <v>8.1390379999999998E-2</v>
      </c>
      <c r="V6528">
        <v>-2.8056600000000001E-2</v>
      </c>
      <c r="W6528">
        <v>-6.0205559999999998E-2</v>
      </c>
      <c r="X6528">
        <v>0.9977916</v>
      </c>
      <c r="Y6528">
        <v>-1.5667589999999999E-2</v>
      </c>
      <c r="Z6528" s="1">
        <v>8.3618219999999995E-7</v>
      </c>
      <c r="AA6528">
        <v>0.99987729999999997</v>
      </c>
      <c r="AB6528">
        <v>24</v>
      </c>
      <c r="AC6528">
        <v>18.112300000000001</v>
      </c>
      <c r="AD6528">
        <v>-1.1209458402423</v>
      </c>
      <c r="AE6528">
        <v>0.494609999999994</v>
      </c>
      <c r="AF6528">
        <v>-0.28534160455610202</v>
      </c>
      <c r="AG6528">
        <v>-1.1209458402423</v>
      </c>
      <c r="AH6528">
        <v>18.047713027078601</v>
      </c>
      <c r="AI6528">
        <v>93.553639984791204</v>
      </c>
      <c r="AJ6528">
        <v>90.905793859000298</v>
      </c>
      <c r="AK6528">
        <v>18.084741770781001</v>
      </c>
      <c r="AL6528">
        <v>93.451611888714098</v>
      </c>
      <c r="AM6528">
        <v>91.610658276977802</v>
      </c>
      <c r="AN6528">
        <v>0.99999997964451603</v>
      </c>
    </row>
    <row r="6529" spans="1:40" x14ac:dyDescent="0.25">
      <c r="A6529" t="str">
        <f>"20190303154651111"</f>
        <v>20190303154651111</v>
      </c>
      <c r="B6529" t="str">
        <f>"1551599211107651"</f>
        <v>1551599211107651</v>
      </c>
      <c r="C6529" t="s">
        <v>40</v>
      </c>
      <c r="D6529">
        <v>5.1027709999999997</v>
      </c>
      <c r="E6529">
        <v>0.50444129999999998</v>
      </c>
      <c r="F6529" t="s">
        <v>75</v>
      </c>
      <c r="G6529">
        <v>-230.7971</v>
      </c>
      <c r="H6529" s="1">
        <v>1.928079E-7</v>
      </c>
      <c r="I6529">
        <v>-62.180480000000003</v>
      </c>
      <c r="J6529">
        <v>-248.86019999999999</v>
      </c>
      <c r="K6529">
        <v>1.120946</v>
      </c>
      <c r="L6529">
        <v>-62.680329999999998</v>
      </c>
      <c r="M6529">
        <v>0.99986520000000001</v>
      </c>
      <c r="N6529">
        <v>-1.1648199999999999E-2</v>
      </c>
      <c r="O6529">
        <v>1.157321E-2</v>
      </c>
      <c r="P6529">
        <v>0.99661880000000003</v>
      </c>
      <c r="Q6529">
        <v>-7.1812440000000005E-2</v>
      </c>
      <c r="R6529">
        <v>3.9928209999999999E-2</v>
      </c>
      <c r="S6529">
        <v>2.9935610000000001</v>
      </c>
      <c r="T6529">
        <v>-0.18452470000000001</v>
      </c>
      <c r="U6529">
        <v>8.2519529999999994E-2</v>
      </c>
      <c r="V6529">
        <v>-2.8377759999999998E-2</v>
      </c>
      <c r="W6529">
        <v>-6.0200259999999998E-2</v>
      </c>
      <c r="X6529">
        <v>0.99778290000000003</v>
      </c>
      <c r="Y6529">
        <v>-1.5962199999999999E-2</v>
      </c>
      <c r="Z6529" s="1">
        <v>6.6536010000000004E-6</v>
      </c>
      <c r="AA6529">
        <v>0.9998726</v>
      </c>
      <c r="AB6529">
        <v>24</v>
      </c>
      <c r="AC6529">
        <v>18.063099999999899</v>
      </c>
      <c r="AD6529">
        <v>-1.1209458071920999</v>
      </c>
      <c r="AE6529">
        <v>0.49985000000000201</v>
      </c>
      <c r="AF6529">
        <v>-0.28963971302769898</v>
      </c>
      <c r="AG6529">
        <v>-1.1209458071920999</v>
      </c>
      <c r="AH6529">
        <v>17.9984147420505</v>
      </c>
      <c r="AI6529">
        <v>93.563332388668996</v>
      </c>
      <c r="AJ6529">
        <v>90.921953463946494</v>
      </c>
      <c r="AK6529">
        <v>18.035613210891601</v>
      </c>
      <c r="AL6529">
        <v>93.451307453631202</v>
      </c>
      <c r="AM6529">
        <v>91.629099576360005</v>
      </c>
      <c r="AN6529">
        <v>1.0000000420495401</v>
      </c>
    </row>
    <row r="6530" spans="1:40" x14ac:dyDescent="0.25">
      <c r="A6530" t="str">
        <f>"20190303154651123"</f>
        <v>20190303154651123</v>
      </c>
      <c r="B6530" t="str">
        <f>"1551599211118388"</f>
        <v>1551599211118388</v>
      </c>
      <c r="C6530" t="s">
        <v>40</v>
      </c>
      <c r="D6530">
        <v>5.0956599999999996</v>
      </c>
      <c r="E6530">
        <v>0.50442010000000004</v>
      </c>
      <c r="F6530" t="s">
        <v>75</v>
      </c>
      <c r="G6530">
        <v>-230.78270000000001</v>
      </c>
      <c r="H6530" s="1">
        <v>2.0149129999999999E-7</v>
      </c>
      <c r="I6530">
        <v>-62.171059999999997</v>
      </c>
      <c r="J6530">
        <v>-248.73009999999999</v>
      </c>
      <c r="K6530">
        <v>1.120951</v>
      </c>
      <c r="L6530">
        <v>-62.678710000000002</v>
      </c>
      <c r="M6530">
        <v>0.99986419999999998</v>
      </c>
      <c r="N6530">
        <v>-1.164719E-2</v>
      </c>
      <c r="O6530">
        <v>1.1660719999999999E-2</v>
      </c>
      <c r="P6530">
        <v>0.99660689999999996</v>
      </c>
      <c r="Q6530">
        <v>-7.1851460000000006E-2</v>
      </c>
      <c r="R6530">
        <v>4.0152340000000002E-2</v>
      </c>
      <c r="S6530">
        <v>2.993439</v>
      </c>
      <c r="T6530">
        <v>-0.185617</v>
      </c>
      <c r="U6530">
        <v>8.4320069999999997E-2</v>
      </c>
      <c r="V6530">
        <v>-2.8514709999999999E-2</v>
      </c>
      <c r="W6530">
        <v>-6.0240439999999999E-2</v>
      </c>
      <c r="X6530">
        <v>0.99777649999999996</v>
      </c>
      <c r="Y6530">
        <v>-1.647552E-2</v>
      </c>
      <c r="Z6530" s="1">
        <v>1.9809610000000002E-5</v>
      </c>
      <c r="AA6530">
        <v>0.99986430000000004</v>
      </c>
      <c r="AB6530">
        <v>24</v>
      </c>
      <c r="AC6530">
        <v>17.947399999999899</v>
      </c>
      <c r="AD6530">
        <v>-1.1209507985086999</v>
      </c>
      <c r="AE6530">
        <v>0.50764999999999805</v>
      </c>
      <c r="AF6530">
        <v>-0.29716339142245002</v>
      </c>
      <c r="AG6530">
        <v>-1.1209507985086999</v>
      </c>
      <c r="AH6530">
        <v>17.882397072157602</v>
      </c>
      <c r="AI6530">
        <v>93.586375696627201</v>
      </c>
      <c r="AJ6530">
        <v>90.952033505579095</v>
      </c>
      <c r="AK6530">
        <v>17.9199598721702</v>
      </c>
      <c r="AL6530">
        <v>93.453614027209596</v>
      </c>
      <c r="AM6530">
        <v>91.636967776339901</v>
      </c>
      <c r="AN6530">
        <v>0.99999997162501297</v>
      </c>
    </row>
    <row r="6531" spans="1:40" x14ac:dyDescent="0.25">
      <c r="A6531" t="str">
        <f>"20190303154651133"</f>
        <v>20190303154651133</v>
      </c>
      <c r="B6531" t="str">
        <f>"1551599211128147"</f>
        <v>1551599211128147</v>
      </c>
      <c r="C6531" t="s">
        <v>40</v>
      </c>
      <c r="D6531">
        <v>5.0971080000000004</v>
      </c>
      <c r="E6531">
        <v>0.50442010000000004</v>
      </c>
      <c r="F6531" t="s">
        <v>75</v>
      </c>
      <c r="G6531">
        <v>-230.6788</v>
      </c>
      <c r="H6531" s="1">
        <v>2.4766059999999999E-7</v>
      </c>
      <c r="I6531">
        <v>-62.165010000000002</v>
      </c>
      <c r="J6531">
        <v>-248.6198</v>
      </c>
      <c r="K6531">
        <v>1.1209519999999999</v>
      </c>
      <c r="L6531">
        <v>-62.677370000000003</v>
      </c>
      <c r="M6531">
        <v>0.99986339999999996</v>
      </c>
      <c r="N6531">
        <v>-1.1646419999999999E-2</v>
      </c>
      <c r="O6531">
        <v>1.173481E-2</v>
      </c>
      <c r="P6531">
        <v>0.99659050000000005</v>
      </c>
      <c r="Q6531">
        <v>-7.1884770000000001E-2</v>
      </c>
      <c r="R6531">
        <v>4.0500979999999999E-2</v>
      </c>
      <c r="S6531">
        <v>2.993347</v>
      </c>
      <c r="T6531">
        <v>-0.18588160000000001</v>
      </c>
      <c r="U6531">
        <v>8.5174559999999996E-2</v>
      </c>
      <c r="V6531">
        <v>-2.8790119999999999E-2</v>
      </c>
      <c r="W6531">
        <v>-6.0274689999999999E-2</v>
      </c>
      <c r="X6531">
        <v>0.99776659999999995</v>
      </c>
      <c r="Y6531">
        <v>-1.6687049999999998E-2</v>
      </c>
      <c r="Z6531" s="1">
        <v>2.3548139999999998E-5</v>
      </c>
      <c r="AA6531">
        <v>0.99986079999999999</v>
      </c>
      <c r="AB6531">
        <v>24</v>
      </c>
      <c r="AC6531">
        <v>17.940999999999999</v>
      </c>
      <c r="AD6531">
        <v>-1.1209517523393999</v>
      </c>
      <c r="AE6531">
        <v>0.51236000000000104</v>
      </c>
      <c r="AF6531">
        <v>-0.30060370622226101</v>
      </c>
      <c r="AG6531">
        <v>-1.1209517523393999</v>
      </c>
      <c r="AH6531">
        <v>17.876050820874301</v>
      </c>
      <c r="AI6531">
        <v>93.587636769137106</v>
      </c>
      <c r="AJ6531">
        <v>90.963395140342797</v>
      </c>
      <c r="AK6531">
        <v>17.913684388471001</v>
      </c>
      <c r="AL6531">
        <v>93.455579713563793</v>
      </c>
      <c r="AM6531">
        <v>91.652786130790105</v>
      </c>
      <c r="AN6531">
        <v>1.0000000486698799</v>
      </c>
    </row>
    <row r="6532" spans="1:40" x14ac:dyDescent="0.25">
      <c r="A6532" t="str">
        <f>"20190303154651143"</f>
        <v>20190303154651143</v>
      </c>
      <c r="B6532" t="str">
        <f>"1551599211137907"</f>
        <v>1551599211137907</v>
      </c>
      <c r="C6532" t="s">
        <v>40</v>
      </c>
      <c r="D6532">
        <v>5.0881939999999997</v>
      </c>
      <c r="E6532">
        <v>0.51505900000000004</v>
      </c>
      <c r="F6532" t="s">
        <v>75</v>
      </c>
      <c r="G6532">
        <v>-230.5788</v>
      </c>
      <c r="H6532" s="1">
        <v>2.9257189999999999E-7</v>
      </c>
      <c r="I6532">
        <v>-62.157519999999998</v>
      </c>
      <c r="J6532">
        <v>-248.5077</v>
      </c>
      <c r="K6532">
        <v>1.1209519999999999</v>
      </c>
      <c r="L6532">
        <v>-62.675930000000001</v>
      </c>
      <c r="M6532">
        <v>0.99986249999999999</v>
      </c>
      <c r="N6532">
        <v>-1.164568E-2</v>
      </c>
      <c r="O6532">
        <v>1.181021E-2</v>
      </c>
      <c r="P6532">
        <v>0.99657669999999998</v>
      </c>
      <c r="Q6532">
        <v>-7.1866520000000003E-2</v>
      </c>
      <c r="R6532">
        <v>4.0869009999999997E-2</v>
      </c>
      <c r="S6532">
        <v>2.993347</v>
      </c>
      <c r="T6532">
        <v>-0.18598700000000001</v>
      </c>
      <c r="U6532">
        <v>8.6242680000000002E-2</v>
      </c>
      <c r="V6532">
        <v>-2.9082279999999999E-2</v>
      </c>
      <c r="W6532">
        <v>-6.0257360000000003E-2</v>
      </c>
      <c r="X6532">
        <v>0.99775910000000001</v>
      </c>
      <c r="Y6532">
        <v>-1.6967570000000001E-2</v>
      </c>
      <c r="Z6532" s="1">
        <v>2.995422E-5</v>
      </c>
      <c r="AA6532">
        <v>0.99985610000000003</v>
      </c>
      <c r="AB6532">
        <v>24</v>
      </c>
      <c r="AC6532">
        <v>17.928899999999999</v>
      </c>
      <c r="AD6532">
        <v>-1.1209517074280999</v>
      </c>
      <c r="AE6532">
        <v>0.51841000000001003</v>
      </c>
      <c r="AF6532">
        <v>-0.305422516858955</v>
      </c>
      <c r="AG6532">
        <v>-1.1209517074280999</v>
      </c>
      <c r="AH6532">
        <v>17.864000183104402</v>
      </c>
      <c r="AI6532">
        <v>93.590033372626607</v>
      </c>
      <c r="AJ6532">
        <v>90.979495981567197</v>
      </c>
      <c r="AK6532">
        <v>17.9017406468238</v>
      </c>
      <c r="AL6532">
        <v>93.454585224332902</v>
      </c>
      <c r="AM6532">
        <v>91.669561579465494</v>
      </c>
      <c r="AN6532">
        <v>0.99999997503848803</v>
      </c>
    </row>
    <row r="6533" spans="1:40" x14ac:dyDescent="0.25">
      <c r="A6533" t="str">
        <f>"20190303154651154"</f>
        <v>20190303154651154</v>
      </c>
      <c r="B6533" t="str">
        <f>"1551599211147667"</f>
        <v>1551599211147667</v>
      </c>
      <c r="C6533" t="s">
        <v>40</v>
      </c>
      <c r="D6533">
        <v>5.10527</v>
      </c>
      <c r="E6533">
        <v>0.51660269999999997</v>
      </c>
      <c r="F6533" t="s">
        <v>74</v>
      </c>
      <c r="G6533">
        <v>-225.678</v>
      </c>
      <c r="H6533" s="1">
        <v>-2.0593189999999998E-6</v>
      </c>
      <c r="I6533">
        <v>-62.656660000000002</v>
      </c>
      <c r="J6533">
        <v>-248.39</v>
      </c>
      <c r="K6533">
        <v>1.1209549999999999</v>
      </c>
      <c r="L6533">
        <v>-62.6744699999999</v>
      </c>
      <c r="M6533">
        <v>0.99986160000000002</v>
      </c>
      <c r="N6533">
        <v>-1.1645010000000001E-2</v>
      </c>
      <c r="O6533">
        <v>1.1889490000000001E-2</v>
      </c>
      <c r="P6533">
        <v>0.99655309999999997</v>
      </c>
      <c r="Q6533">
        <v>-7.1853730000000005E-2</v>
      </c>
      <c r="R6533">
        <v>4.146383E-2</v>
      </c>
      <c r="S6533">
        <v>2.9995729999999998</v>
      </c>
      <c r="T6533">
        <v>-0.14728089999999999</v>
      </c>
      <c r="U6533">
        <v>2.532959E-3</v>
      </c>
      <c r="V6533">
        <v>-2.959898E-2</v>
      </c>
      <c r="W6533">
        <v>-6.0245519999999997E-2</v>
      </c>
      <c r="X6533">
        <v>0.99774459999999998</v>
      </c>
      <c r="Y6533">
        <v>1.102115E-2</v>
      </c>
      <c r="Z6533">
        <v>-7.7965249999999999E-4</v>
      </c>
      <c r="AA6533">
        <v>0.99993900000000002</v>
      </c>
      <c r="AB6533">
        <v>24</v>
      </c>
      <c r="AC6533">
        <v>22.7119999999999</v>
      </c>
      <c r="AD6533">
        <v>-1.1209570593189999</v>
      </c>
      <c r="AE6533">
        <v>1.78099999999972E-2</v>
      </c>
      <c r="AF6533">
        <v>0.25163068416122802</v>
      </c>
      <c r="AG6533">
        <v>-1.1209570593189999</v>
      </c>
      <c r="AH6533">
        <v>22.655418923808</v>
      </c>
      <c r="AI6533">
        <v>92.832427106059995</v>
      </c>
      <c r="AJ6533">
        <v>89.363649666488797</v>
      </c>
      <c r="AK6533">
        <v>22.6845292951669</v>
      </c>
      <c r="AL6533">
        <v>93.453905678385993</v>
      </c>
      <c r="AM6533">
        <v>91.699231842202195</v>
      </c>
      <c r="AN6533">
        <v>0.99999995456313395</v>
      </c>
    </row>
    <row r="6534" spans="1:40" x14ac:dyDescent="0.25">
      <c r="A6534" t="str">
        <f>"20190303154651165"</f>
        <v>20190303154651165</v>
      </c>
      <c r="B6534" t="str">
        <f>"1551599211158402"</f>
        <v>1551599211158402</v>
      </c>
      <c r="C6534" t="s">
        <v>40</v>
      </c>
      <c r="D6534">
        <v>5.1118230000000002</v>
      </c>
      <c r="E6534">
        <v>0.51775879999999996</v>
      </c>
      <c r="F6534" t="s">
        <v>74</v>
      </c>
      <c r="G6534">
        <v>-224.38669999999999</v>
      </c>
      <c r="H6534" s="1">
        <v>-1.523467E-6</v>
      </c>
      <c r="I6534">
        <v>-62.738190000000003</v>
      </c>
      <c r="J6534">
        <v>-248.27629999999999</v>
      </c>
      <c r="K6534">
        <v>1.120957</v>
      </c>
      <c r="L6534">
        <v>-62.673000000000002</v>
      </c>
      <c r="M6534">
        <v>0.99986070000000005</v>
      </c>
      <c r="N6534">
        <v>-1.1644420000000001E-2</v>
      </c>
      <c r="O6534">
        <v>1.196608E-2</v>
      </c>
      <c r="P6534">
        <v>0.99654219999999905</v>
      </c>
      <c r="Q6534">
        <v>-7.1746989999999997E-2</v>
      </c>
      <c r="R6534">
        <v>4.190874E-2</v>
      </c>
      <c r="S6534">
        <v>3.0005950000000001</v>
      </c>
      <c r="T6534">
        <v>-0.140127799999999</v>
      </c>
      <c r="U6534">
        <v>-7.9650880000000004E-3</v>
      </c>
      <c r="V6534">
        <v>-2.996741E-2</v>
      </c>
      <c r="W6534">
        <v>-6.0139489999999997E-2</v>
      </c>
      <c r="X6534">
        <v>0.99773999999999996</v>
      </c>
      <c r="Y6534">
        <v>1.459393E-2</v>
      </c>
      <c r="Z6534">
        <v>-8.4482719999999999E-4</v>
      </c>
      <c r="AA6534">
        <v>0.99989309999999998</v>
      </c>
      <c r="AB6534">
        <v>24</v>
      </c>
      <c r="AC6534">
        <v>23.889600000000002</v>
      </c>
      <c r="AD6534">
        <v>-1.1209585234669901</v>
      </c>
      <c r="AE6534">
        <v>-6.5190000000001094E-2</v>
      </c>
      <c r="AF6534">
        <v>0.35029829919278499</v>
      </c>
      <c r="AG6534">
        <v>-1.1209585234669901</v>
      </c>
      <c r="AH6534">
        <v>23.834632539687199</v>
      </c>
      <c r="AI6534">
        <v>92.692383922700301</v>
      </c>
      <c r="AJ6534">
        <v>89.157982856833797</v>
      </c>
      <c r="AK6534">
        <v>23.8635488813309</v>
      </c>
      <c r="AL6534">
        <v>93.447819567066603</v>
      </c>
      <c r="AM6534">
        <v>91.720378135408197</v>
      </c>
      <c r="AN6534">
        <v>0.99999995575978295</v>
      </c>
    </row>
    <row r="6535" spans="1:40" x14ac:dyDescent="0.25">
      <c r="A6535" t="str">
        <f>"20190303154651178"</f>
        <v>20190303154651178</v>
      </c>
      <c r="B6535" t="str">
        <f>"1551599211168164"</f>
        <v>1551599211168164</v>
      </c>
      <c r="C6535" t="s">
        <v>40</v>
      </c>
      <c r="D6535">
        <v>5.1110989999999896</v>
      </c>
      <c r="E6535">
        <v>0.51819300000000001</v>
      </c>
      <c r="F6535" t="s">
        <v>74</v>
      </c>
      <c r="G6535">
        <v>-223.44329999999999</v>
      </c>
      <c r="H6535" s="1">
        <v>-1.1333640000000001E-6</v>
      </c>
      <c r="I6535">
        <v>-62.803800000000003</v>
      </c>
      <c r="J6535">
        <v>-248.1361</v>
      </c>
      <c r="K6535">
        <v>1.120957</v>
      </c>
      <c r="L6535">
        <v>-62.671230000000001</v>
      </c>
      <c r="M6535">
        <v>0.99985950000000001</v>
      </c>
      <c r="N6535">
        <v>-1.1643830000000001E-2</v>
      </c>
      <c r="O6535">
        <v>1.206056E-2</v>
      </c>
      <c r="P6535">
        <v>0.99653829999999999</v>
      </c>
      <c r="Q6535">
        <v>-7.1501529999999994E-2</v>
      </c>
      <c r="R6535">
        <v>4.2417910000000003E-2</v>
      </c>
      <c r="S6535">
        <v>3.001328</v>
      </c>
      <c r="T6535">
        <v>-0.1354793</v>
      </c>
      <c r="U6535">
        <v>-1.580811E-2</v>
      </c>
      <c r="V6535">
        <v>-3.0382240000000001E-2</v>
      </c>
      <c r="W6535">
        <v>-5.9894700000000002E-2</v>
      </c>
      <c r="X6535">
        <v>0.99774220000000002</v>
      </c>
      <c r="Y6535">
        <v>1.7298870000000001E-2</v>
      </c>
      <c r="Z6535">
        <v>-8.9475509999999896E-4</v>
      </c>
      <c r="AA6535">
        <v>0.99985000000000002</v>
      </c>
      <c r="AB6535">
        <v>24</v>
      </c>
      <c r="AC6535">
        <v>24.692799999999998</v>
      </c>
      <c r="AD6535">
        <v>-1.120958133364</v>
      </c>
      <c r="AE6535">
        <v>-0.13257000000000099</v>
      </c>
      <c r="AF6535">
        <v>0.42950443291179502</v>
      </c>
      <c r="AG6535">
        <v>-1.120958133364</v>
      </c>
      <c r="AH6535">
        <v>24.6386307516714</v>
      </c>
      <c r="AI6535">
        <v>92.604534966376704</v>
      </c>
      <c r="AJ6535">
        <v>89.001312236721205</v>
      </c>
      <c r="AK6535">
        <v>24.667856544739699</v>
      </c>
      <c r="AL6535">
        <v>93.433768732181306</v>
      </c>
      <c r="AM6535">
        <v>91.744174368422605</v>
      </c>
      <c r="AN6535">
        <v>0.99999997662817297</v>
      </c>
    </row>
    <row r="6536" spans="1:40" x14ac:dyDescent="0.25">
      <c r="A6536" t="str">
        <f>"20190303154651195"</f>
        <v>20190303154651195</v>
      </c>
      <c r="B6536" t="str">
        <f>"1551599211187683"</f>
        <v>1551599211187683</v>
      </c>
      <c r="C6536" t="s">
        <v>40</v>
      </c>
      <c r="D6536">
        <v>5.3293699999999999</v>
      </c>
      <c r="E6536">
        <v>0.51946649999999905</v>
      </c>
      <c r="F6536" t="s">
        <v>74</v>
      </c>
      <c r="G6536">
        <v>-222.92230000000001</v>
      </c>
      <c r="H6536" s="1">
        <v>-9.1357280000000004E-7</v>
      </c>
      <c r="I6536">
        <v>-62.820430000000002</v>
      </c>
      <c r="J6536">
        <v>-247.95660000000001</v>
      </c>
      <c r="K6536">
        <v>1.120951</v>
      </c>
      <c r="L6536">
        <v>-62.668909999999997</v>
      </c>
      <c r="M6536">
        <v>0.99985809999999997</v>
      </c>
      <c r="N6536">
        <v>-1.1643239999999999E-2</v>
      </c>
      <c r="O6536">
        <v>1.21812E-2</v>
      </c>
      <c r="P6536">
        <v>0.99655930000000004</v>
      </c>
      <c r="Q6536">
        <v>-7.0959640000000004E-2</v>
      </c>
      <c r="R6536">
        <v>4.2831109999999999E-2</v>
      </c>
      <c r="S6536">
        <v>3.0016020000000001</v>
      </c>
      <c r="T6536">
        <v>-0.1334457</v>
      </c>
      <c r="U6536">
        <v>-1.7761229999999999E-2</v>
      </c>
      <c r="V6536">
        <v>-3.067487E-2</v>
      </c>
      <c r="W6536">
        <v>-5.9353160000000002E-2</v>
      </c>
      <c r="X6536">
        <v>0.99776569999999998</v>
      </c>
      <c r="Y6536">
        <v>1.8069439999999999E-2</v>
      </c>
      <c r="Z6536">
        <v>-9.0622339999999997E-4</v>
      </c>
      <c r="AA6536">
        <v>0.99983630000000001</v>
      </c>
      <c r="AB6536">
        <v>24</v>
      </c>
      <c r="AC6536">
        <v>25.034300000000002</v>
      </c>
      <c r="AD6536">
        <v>-1.1209519135728001</v>
      </c>
      <c r="AE6536">
        <v>-0.15152000000000401</v>
      </c>
      <c r="AF6536">
        <v>0.45556387032036399</v>
      </c>
      <c r="AG6536">
        <v>-1.1209519135728001</v>
      </c>
      <c r="AH6536">
        <v>24.980513753655998</v>
      </c>
      <c r="AI6536">
        <v>92.568886379484397</v>
      </c>
      <c r="AJ6536">
        <v>88.955225891286801</v>
      </c>
      <c r="AK6536">
        <v>25.009800859444699</v>
      </c>
      <c r="AL6536">
        <v>93.402685161175498</v>
      </c>
      <c r="AM6536">
        <v>91.760921606231506</v>
      </c>
      <c r="AN6536">
        <v>1.0000000686739901</v>
      </c>
    </row>
    <row r="6537" spans="1:40" x14ac:dyDescent="0.25">
      <c r="A6537" t="str">
        <f>"20190303154651209"</f>
        <v>20190303154651209</v>
      </c>
      <c r="B6537" t="str">
        <f>"1551599211198419"</f>
        <v>1551599211198419</v>
      </c>
      <c r="C6537" t="s">
        <v>40</v>
      </c>
      <c r="D6537">
        <v>5.1335610000000003</v>
      </c>
      <c r="E6537">
        <v>0.5201017</v>
      </c>
      <c r="F6537" t="s">
        <v>74</v>
      </c>
      <c r="G6537">
        <v>-221.29060000000001</v>
      </c>
      <c r="H6537" s="1">
        <v>-2.324604E-7</v>
      </c>
      <c r="I6537">
        <v>-62.905529999999999</v>
      </c>
      <c r="J6537">
        <v>-247.8141</v>
      </c>
      <c r="K6537">
        <v>1.1209499999999999</v>
      </c>
      <c r="L6537">
        <v>-62.667079999999999</v>
      </c>
      <c r="M6537">
        <v>0.99985690000000005</v>
      </c>
      <c r="N6537">
        <v>-1.164284E-2</v>
      </c>
      <c r="O6537">
        <v>1.2277049999999999E-2</v>
      </c>
      <c r="P6537">
        <v>0.99658500000000005</v>
      </c>
      <c r="Q6537">
        <v>-7.0444499999999993E-2</v>
      </c>
      <c r="R6537">
        <v>4.3084579999999997E-2</v>
      </c>
      <c r="S6537">
        <v>3.0025179999999998</v>
      </c>
      <c r="T6537">
        <v>-0.12621559999999901</v>
      </c>
      <c r="U6537">
        <v>-2.6641850000000002E-2</v>
      </c>
      <c r="V6537">
        <v>-3.083282E-2</v>
      </c>
      <c r="W6537">
        <v>-5.8838130000000002E-2</v>
      </c>
      <c r="X6537">
        <v>0.99779130000000005</v>
      </c>
      <c r="Y6537">
        <v>2.112006E-2</v>
      </c>
      <c r="Z6537">
        <v>-9.3967509999999998E-4</v>
      </c>
      <c r="AA6537">
        <v>0.99977649999999996</v>
      </c>
      <c r="AB6537">
        <v>24</v>
      </c>
      <c r="AC6537">
        <v>26.523499999999899</v>
      </c>
      <c r="AD6537">
        <v>-1.1209502324603999</v>
      </c>
      <c r="AE6537">
        <v>-0.23845</v>
      </c>
      <c r="AF6537">
        <v>0.56307877257410499</v>
      </c>
      <c r="AG6537">
        <v>-1.1209502324603999</v>
      </c>
      <c r="AH6537">
        <v>26.471295973250498</v>
      </c>
      <c r="AI6537">
        <v>92.424243613915806</v>
      </c>
      <c r="AJ6537">
        <v>88.781428279589804</v>
      </c>
      <c r="AK6537">
        <v>26.501001823161399</v>
      </c>
      <c r="AL6537">
        <v>93.373124574366699</v>
      </c>
      <c r="AM6537">
        <v>91.769937748194806</v>
      </c>
      <c r="AN6537">
        <v>1.0000000333433601</v>
      </c>
    </row>
    <row r="6538" spans="1:40" x14ac:dyDescent="0.25">
      <c r="A6538" t="str">
        <f>"20190303154651218"</f>
        <v>20190303154651218</v>
      </c>
      <c r="B6538" t="str">
        <f>"1551599211208179"</f>
        <v>1551599211208179</v>
      </c>
      <c r="C6538" t="s">
        <v>40</v>
      </c>
      <c r="D6538">
        <v>5.1286889999999996</v>
      </c>
      <c r="E6538">
        <v>0.52060629999999997</v>
      </c>
      <c r="F6538" t="s">
        <v>74</v>
      </c>
      <c r="G6538">
        <v>-220.8349</v>
      </c>
      <c r="H6538" s="1">
        <v>-4.5648050000000002E-8</v>
      </c>
      <c r="I6538">
        <v>-62.944560000000003</v>
      </c>
      <c r="J6538">
        <v>-247.696</v>
      </c>
      <c r="K6538">
        <v>1.1209519999999999</v>
      </c>
      <c r="L6538">
        <v>-62.665559999999999</v>
      </c>
      <c r="M6538">
        <v>0.99985599999999997</v>
      </c>
      <c r="N6538">
        <v>-1.164255E-2</v>
      </c>
      <c r="O6538">
        <v>1.2356499999999999E-2</v>
      </c>
      <c r="P6538">
        <v>0.99658440000000004</v>
      </c>
      <c r="Q6538">
        <v>-7.0385100000000006E-2</v>
      </c>
      <c r="R6538">
        <v>4.3194259999999998E-2</v>
      </c>
      <c r="S6538">
        <v>3.0027919999999999</v>
      </c>
      <c r="T6538">
        <v>-0.1247616</v>
      </c>
      <c r="U6538">
        <v>-3.0883790000000001E-2</v>
      </c>
      <c r="V6538">
        <v>-3.086291E-2</v>
      </c>
      <c r="W6538">
        <v>-5.877901E-2</v>
      </c>
      <c r="X6538">
        <v>0.99779379999999995</v>
      </c>
      <c r="Y6538">
        <v>2.2609879999999999E-2</v>
      </c>
      <c r="Z6538">
        <v>-9.7052729999999999E-4</v>
      </c>
      <c r="AA6538">
        <v>0.99974390000000002</v>
      </c>
      <c r="AB6538">
        <v>24</v>
      </c>
      <c r="AC6538">
        <v>26.8611</v>
      </c>
      <c r="AD6538">
        <v>-1.12095204564805</v>
      </c>
      <c r="AE6538">
        <v>-0.27899999999999597</v>
      </c>
      <c r="AF6538">
        <v>0.60984839071768304</v>
      </c>
      <c r="AG6538">
        <v>-1.12095204564805</v>
      </c>
      <c r="AH6538">
        <v>26.808918312052</v>
      </c>
      <c r="AI6538">
        <v>92.393675457263697</v>
      </c>
      <c r="AJ6538">
        <v>88.696862242096998</v>
      </c>
      <c r="AK6538">
        <v>26.839272523870299</v>
      </c>
      <c r="AL6538">
        <v>93.369731557720101</v>
      </c>
      <c r="AM6538">
        <v>91.771659508457404</v>
      </c>
      <c r="AN6538">
        <v>0.99999997927434303</v>
      </c>
    </row>
    <row r="6539" spans="1:40" x14ac:dyDescent="0.25">
      <c r="A6539" t="str">
        <f>"20190303154651230"</f>
        <v>20190303154651230</v>
      </c>
      <c r="B6539" t="str">
        <f>"1551599211217939"</f>
        <v>1551599211217939</v>
      </c>
      <c r="C6539" t="s">
        <v>40</v>
      </c>
      <c r="D6539">
        <v>5.1295699999999904</v>
      </c>
      <c r="E6539">
        <v>0.52096759999999998</v>
      </c>
      <c r="F6539" t="s">
        <v>74</v>
      </c>
      <c r="G6539">
        <v>-220.46340000000001</v>
      </c>
      <c r="H6539" s="1">
        <v>1.060165E-7</v>
      </c>
      <c r="I6539">
        <v>-62.979109999999999</v>
      </c>
      <c r="J6539">
        <v>-247.5847</v>
      </c>
      <c r="K6539">
        <v>1.120954</v>
      </c>
      <c r="L6539">
        <v>-62.664059999999999</v>
      </c>
      <c r="M6539">
        <v>0.99985500000000005</v>
      </c>
      <c r="N6539">
        <v>-1.1642339999999999E-2</v>
      </c>
      <c r="O6539">
        <v>1.243154E-2</v>
      </c>
      <c r="P6539">
        <v>0.99658259999999999</v>
      </c>
      <c r="Q6539">
        <v>-7.049329E-2</v>
      </c>
      <c r="R6539">
        <v>4.3060910000000001E-2</v>
      </c>
      <c r="S6539">
        <v>3.0030519999999998</v>
      </c>
      <c r="T6539">
        <v>-0.123612</v>
      </c>
      <c r="U6539">
        <v>-3.4576419999999997E-2</v>
      </c>
      <c r="V6539">
        <v>-3.0655269999999998E-2</v>
      </c>
      <c r="W6539">
        <v>-5.888736E-2</v>
      </c>
      <c r="X6539">
        <v>0.99779390000000001</v>
      </c>
      <c r="Y6539">
        <v>2.3912269999999999E-2</v>
      </c>
      <c r="Z6539">
        <v>-9.9798399999999994E-4</v>
      </c>
      <c r="AA6539">
        <v>0.99971350000000003</v>
      </c>
      <c r="AB6539">
        <v>24</v>
      </c>
      <c r="AC6539">
        <v>27.121299999999898</v>
      </c>
      <c r="AD6539">
        <v>-1.1209538939835</v>
      </c>
      <c r="AE6539">
        <v>-0.315049999999999</v>
      </c>
      <c r="AF6539">
        <v>0.65109591881185902</v>
      </c>
      <c r="AG6539">
        <v>-1.1209538939835</v>
      </c>
      <c r="AH6539">
        <v>27.0690523110448</v>
      </c>
      <c r="AI6539">
        <v>92.370630194913304</v>
      </c>
      <c r="AJ6539">
        <v>88.622121825820102</v>
      </c>
      <c r="AK6539">
        <v>27.100074843919</v>
      </c>
      <c r="AL6539">
        <v>93.375950031676894</v>
      </c>
      <c r="AM6539">
        <v>91.759747451604895</v>
      </c>
      <c r="AN6539">
        <v>1.00000006681187</v>
      </c>
    </row>
    <row r="6540" spans="1:40" x14ac:dyDescent="0.25">
      <c r="A6540" t="str">
        <f>"20190303154651241"</f>
        <v>20190303154651241</v>
      </c>
      <c r="B6540" t="str">
        <f>"1551599211238435"</f>
        <v>1551599211238435</v>
      </c>
      <c r="C6540" t="s">
        <v>40</v>
      </c>
      <c r="D6540">
        <v>5.1267750000000003</v>
      </c>
      <c r="E6540">
        <v>0.52148640000000002</v>
      </c>
      <c r="F6540" t="s">
        <v>74</v>
      </c>
      <c r="G6540">
        <v>-220.25470000000001</v>
      </c>
      <c r="H6540" s="1">
        <v>1.8902030000000001E-7</v>
      </c>
      <c r="I6540">
        <v>-63.008429999999997</v>
      </c>
      <c r="J6540">
        <v>-247.46379999999999</v>
      </c>
      <c r="K6540">
        <v>1.120951</v>
      </c>
      <c r="L6540">
        <v>-62.662480000000002</v>
      </c>
      <c r="M6540">
        <v>0.99985389999999996</v>
      </c>
      <c r="N6540">
        <v>-1.1642110000000001E-2</v>
      </c>
      <c r="O6540">
        <v>1.2512779999999999E-2</v>
      </c>
      <c r="P6540">
        <v>0.99659580000000003</v>
      </c>
      <c r="Q6540">
        <v>-7.0268609999999995E-2</v>
      </c>
      <c r="R6540">
        <v>4.3118389999999999E-2</v>
      </c>
      <c r="S6540">
        <v>3.0032040000000002</v>
      </c>
      <c r="T6540">
        <v>-0.1231782</v>
      </c>
      <c r="U6540">
        <v>-3.7841800000000002E-2</v>
      </c>
      <c r="V6540">
        <v>-3.0630930000000001E-2</v>
      </c>
      <c r="W6540">
        <v>-5.8662739999999998E-2</v>
      </c>
      <c r="X6540">
        <v>0.99780780000000002</v>
      </c>
      <c r="Y6540">
        <v>2.5078650000000001E-2</v>
      </c>
      <c r="Z6540">
        <v>-1.027498E-3</v>
      </c>
      <c r="AA6540">
        <v>0.99968489999999999</v>
      </c>
      <c r="AB6540">
        <v>24</v>
      </c>
      <c r="AC6540">
        <v>27.2090999999999</v>
      </c>
      <c r="AD6540">
        <v>-1.1209508109797</v>
      </c>
      <c r="AE6540">
        <v>-0.34595000000000198</v>
      </c>
      <c r="AF6540">
        <v>0.68524464144779995</v>
      </c>
      <c r="AG6540">
        <v>-1.1209508109797</v>
      </c>
      <c r="AH6540">
        <v>27.1565565747945</v>
      </c>
      <c r="AI6540">
        <v>92.362925104870698</v>
      </c>
      <c r="AJ6540">
        <v>88.554555464283695</v>
      </c>
      <c r="AK6540">
        <v>27.188318372773299</v>
      </c>
      <c r="AL6540">
        <v>93.363058231606402</v>
      </c>
      <c r="AM6540">
        <v>91.758326626518993</v>
      </c>
      <c r="AN6540">
        <v>0.99999998833890602</v>
      </c>
    </row>
    <row r="6541" spans="1:40" x14ac:dyDescent="0.25">
      <c r="A6541" t="str">
        <f>"20190303154651252"</f>
        <v>20190303154651252</v>
      </c>
      <c r="B6541" t="str">
        <f>"1551599211248195"</f>
        <v>1551599211248195</v>
      </c>
      <c r="C6541" t="s">
        <v>40</v>
      </c>
      <c r="D6541">
        <v>5.1539919999999997</v>
      </c>
      <c r="E6541">
        <v>0.52169019999999999</v>
      </c>
      <c r="F6541" t="s">
        <v>73</v>
      </c>
      <c r="G6541">
        <v>-219.7</v>
      </c>
      <c r="H6541" s="1">
        <v>-3.633369E-6</v>
      </c>
      <c r="I6541">
        <v>-63.0486</v>
      </c>
      <c r="J6541">
        <v>-247.34649999999999</v>
      </c>
      <c r="K6541">
        <v>1.1209530000000001</v>
      </c>
      <c r="L6541">
        <v>-62.66095</v>
      </c>
      <c r="M6541">
        <v>0.99985299999999999</v>
      </c>
      <c r="N6541">
        <v>-1.164195E-2</v>
      </c>
      <c r="O6541">
        <v>1.259152E-2</v>
      </c>
      <c r="P6541">
        <v>0.99660040000000005</v>
      </c>
      <c r="Q6541">
        <v>-7.0212300000000005E-2</v>
      </c>
      <c r="R6541">
        <v>4.3104980000000001E-2</v>
      </c>
      <c r="S6541">
        <v>3.0035249999999998</v>
      </c>
      <c r="T6541">
        <v>-0.1212666</v>
      </c>
      <c r="U6541">
        <v>-4.1778559999999999E-2</v>
      </c>
      <c r="V6541">
        <v>-3.0539199999999999E-2</v>
      </c>
      <c r="W6541">
        <v>-5.8606510000000001E-2</v>
      </c>
      <c r="X6541">
        <v>0.99781390000000003</v>
      </c>
      <c r="Y6541">
        <v>2.6465579999999999E-2</v>
      </c>
      <c r="Z6541">
        <v>-1.0497810000000001E-3</v>
      </c>
      <c r="AA6541">
        <v>0.99964920000000002</v>
      </c>
      <c r="AB6541">
        <v>24</v>
      </c>
      <c r="AC6541">
        <v>27.6465</v>
      </c>
      <c r="AD6541">
        <v>-1.120956633369</v>
      </c>
      <c r="AE6541">
        <v>-0.38764999999999999</v>
      </c>
      <c r="AF6541">
        <v>0.73454695187628305</v>
      </c>
      <c r="AG6541">
        <v>-1.120956633369</v>
      </c>
      <c r="AH6541">
        <v>27.594071291504701</v>
      </c>
      <c r="AI6541">
        <v>92.325430085277006</v>
      </c>
      <c r="AJ6541">
        <v>88.475161457229504</v>
      </c>
      <c r="AK6541">
        <v>27.626597210641901</v>
      </c>
      <c r="AL6541">
        <v>93.359830990999896</v>
      </c>
      <c r="AM6541">
        <v>91.753053571578107</v>
      </c>
      <c r="AN6541">
        <v>0.99999997239211402</v>
      </c>
    </row>
    <row r="6542" spans="1:40" x14ac:dyDescent="0.25">
      <c r="A6542" t="str">
        <f>"20190303154651262"</f>
        <v>20190303154651262</v>
      </c>
      <c r="B6542" t="str">
        <f>"1551599211257955"</f>
        <v>1551599211257955</v>
      </c>
      <c r="C6542" t="s">
        <v>40</v>
      </c>
      <c r="D6542">
        <v>5.1356890000000002</v>
      </c>
      <c r="E6542">
        <v>0.52179249999999999</v>
      </c>
      <c r="F6542" t="s">
        <v>73</v>
      </c>
      <c r="G6542">
        <v>-219.7621</v>
      </c>
      <c r="H6542" s="1">
        <v>-3.6564319999999999E-6</v>
      </c>
      <c r="I6542">
        <v>-63.059440000000002</v>
      </c>
      <c r="J6542">
        <v>-247.23560000000001</v>
      </c>
      <c r="K6542">
        <v>1.120954</v>
      </c>
      <c r="L6542">
        <v>-62.659419999999997</v>
      </c>
      <c r="M6542">
        <v>0.99985199999999996</v>
      </c>
      <c r="N6542">
        <v>-1.1641790000000001E-2</v>
      </c>
      <c r="O6542">
        <v>1.266608E-2</v>
      </c>
      <c r="P6542">
        <v>0.99660150000000003</v>
      </c>
      <c r="Q6542">
        <v>-7.0188379999999995E-2</v>
      </c>
      <c r="R6542">
        <v>4.3121470000000002E-2</v>
      </c>
      <c r="S6542">
        <v>3.0035249999999998</v>
      </c>
      <c r="T6542">
        <v>-0.1220555</v>
      </c>
      <c r="U6542">
        <v>-4.3395999999999997E-2</v>
      </c>
      <c r="V6542">
        <v>-3.04812E-2</v>
      </c>
      <c r="W6542">
        <v>-5.858269E-2</v>
      </c>
      <c r="X6542">
        <v>0.99781710000000001</v>
      </c>
      <c r="Y6542">
        <v>2.7077239999999999E-2</v>
      </c>
      <c r="Z6542">
        <v>-1.0747E-3</v>
      </c>
      <c r="AA6542">
        <v>0.99963279999999999</v>
      </c>
      <c r="AB6542">
        <v>24</v>
      </c>
      <c r="AC6542">
        <v>27.473500000000001</v>
      </c>
      <c r="AD6542">
        <v>-1.1209576564319901</v>
      </c>
      <c r="AE6542">
        <v>-0.40002000000000398</v>
      </c>
      <c r="AF6542">
        <v>0.74675014945166696</v>
      </c>
      <c r="AG6542">
        <v>-1.1209576564319901</v>
      </c>
      <c r="AH6542">
        <v>27.4205899030332</v>
      </c>
      <c r="AI6542">
        <v>92.340089590507006</v>
      </c>
      <c r="AJ6542">
        <v>88.440038690045995</v>
      </c>
      <c r="AK6542">
        <v>27.453650622158499</v>
      </c>
      <c r="AL6542">
        <v>93.3584637634481</v>
      </c>
      <c r="AM6542">
        <v>91.749720638717804</v>
      </c>
      <c r="AN6542">
        <v>1.0000000000867399</v>
      </c>
    </row>
    <row r="6543" spans="1:40" x14ac:dyDescent="0.25">
      <c r="A6543" t="str">
        <f>"20190303154651271"</f>
        <v>20190303154651271</v>
      </c>
      <c r="B6543" t="str">
        <f>"1551599211267715"</f>
        <v>1551599211267715</v>
      </c>
      <c r="C6543" t="s">
        <v>40</v>
      </c>
      <c r="D6543">
        <v>5.1318789999999996</v>
      </c>
      <c r="E6543">
        <v>0.5219395</v>
      </c>
      <c r="F6543" t="s">
        <v>73</v>
      </c>
      <c r="G6543">
        <v>-220.0043</v>
      </c>
      <c r="H6543" s="1">
        <v>-3.738835E-6</v>
      </c>
      <c r="I6543">
        <v>-63.059469999999997</v>
      </c>
      <c r="J6543">
        <v>-247.12629999999999</v>
      </c>
      <c r="K6543">
        <v>1.1209519999999999</v>
      </c>
      <c r="L6543">
        <v>-62.657989999999998</v>
      </c>
      <c r="M6543">
        <v>0.9998513</v>
      </c>
      <c r="N6543">
        <v>-1.164169E-2</v>
      </c>
      <c r="O6543">
        <v>1.273928E-2</v>
      </c>
      <c r="P6543">
        <v>0.99665369999999998</v>
      </c>
      <c r="Q6543">
        <v>-6.9552890000000006E-2</v>
      </c>
      <c r="R6543">
        <v>4.2946430000000001E-2</v>
      </c>
      <c r="S6543">
        <v>3.0034179999999999</v>
      </c>
      <c r="T6543">
        <v>-0.12363349999999999</v>
      </c>
      <c r="U6543">
        <v>-4.4128420000000002E-2</v>
      </c>
      <c r="V6543">
        <v>-3.0232530000000001E-2</v>
      </c>
      <c r="W6543">
        <v>-5.7946659999999997E-2</v>
      </c>
      <c r="X6543">
        <v>0.99786180000000002</v>
      </c>
      <c r="Y6543">
        <v>2.739341E-2</v>
      </c>
      <c r="Z6543">
        <v>-1.098995E-3</v>
      </c>
      <c r="AA6543">
        <v>0.99962410000000002</v>
      </c>
      <c r="AB6543">
        <v>24</v>
      </c>
      <c r="AC6543">
        <v>27.1219999999999</v>
      </c>
      <c r="AD6543">
        <v>-1.120955738835</v>
      </c>
      <c r="AE6543">
        <v>-0.40147999999999201</v>
      </c>
      <c r="AF6543">
        <v>0.74571197755660301</v>
      </c>
      <c r="AG6543">
        <v>-1.120955738835</v>
      </c>
      <c r="AH6543">
        <v>27.0684562444557</v>
      </c>
      <c r="AI6543">
        <v>92.370472796212994</v>
      </c>
      <c r="AJ6543">
        <v>88.421951199422494</v>
      </c>
      <c r="AK6543">
        <v>27.1019178579655</v>
      </c>
      <c r="AL6543">
        <v>93.321959926018806</v>
      </c>
      <c r="AM6543">
        <v>91.735377238332703</v>
      </c>
      <c r="AN6543">
        <v>0.99999999658729799</v>
      </c>
    </row>
    <row r="6544" spans="1:40" x14ac:dyDescent="0.25">
      <c r="A6544" t="str">
        <f>"20190303154651284"</f>
        <v>20190303154651284</v>
      </c>
      <c r="B6544" t="str">
        <f>"1551599211278451"</f>
        <v>1551599211278451</v>
      </c>
      <c r="C6544" t="s">
        <v>40</v>
      </c>
      <c r="D6544">
        <v>5.1572360000000002</v>
      </c>
      <c r="E6544">
        <v>0.52207559999999997</v>
      </c>
      <c r="F6544" t="s">
        <v>73</v>
      </c>
      <c r="G6544">
        <v>-219.5</v>
      </c>
      <c r="H6544" s="1">
        <v>-3.570693E-6</v>
      </c>
      <c r="I6544">
        <v>-63.078980000000001</v>
      </c>
      <c r="J6544">
        <v>-247.0026</v>
      </c>
      <c r="K6544">
        <v>1.1209519999999999</v>
      </c>
      <c r="L6544">
        <v>-62.656280000000002</v>
      </c>
      <c r="M6544">
        <v>0.99985009999999996</v>
      </c>
      <c r="N6544">
        <v>-1.164159E-2</v>
      </c>
      <c r="O6544">
        <v>1.282236E-2</v>
      </c>
      <c r="P6544">
        <v>0.99666619999999995</v>
      </c>
      <c r="Q6544">
        <v>-6.9191260000000004E-2</v>
      </c>
      <c r="R6544">
        <v>4.3233859999999999E-2</v>
      </c>
      <c r="S6544">
        <v>3.003555</v>
      </c>
      <c r="T6544">
        <v>-0.1218711</v>
      </c>
      <c r="U6544">
        <v>-4.5776369999999997E-2</v>
      </c>
      <c r="V6544">
        <v>-3.0437289999999999E-2</v>
      </c>
      <c r="W6544">
        <v>-5.7585020000000001E-2</v>
      </c>
      <c r="X6544">
        <v>0.99787650000000006</v>
      </c>
      <c r="Y6544">
        <v>2.802441E-2</v>
      </c>
      <c r="Z6544">
        <v>-1.1023210000000001E-3</v>
      </c>
      <c r="AA6544">
        <v>0.99960660000000001</v>
      </c>
      <c r="AB6544">
        <v>24</v>
      </c>
      <c r="AC6544">
        <v>27.502600000000001</v>
      </c>
      <c r="AD6544">
        <v>-1.1209555706929999</v>
      </c>
      <c r="AE6544">
        <v>-0.42269999999999802</v>
      </c>
      <c r="AF6544">
        <v>0.77405178083617598</v>
      </c>
      <c r="AG6544">
        <v>-1.1209555706929999</v>
      </c>
      <c r="AH6544">
        <v>27.449329499996601</v>
      </c>
      <c r="AI6544">
        <v>92.337575402456295</v>
      </c>
      <c r="AJ6544">
        <v>88.384727390618806</v>
      </c>
      <c r="AK6544">
        <v>27.483110951096201</v>
      </c>
      <c r="AL6544">
        <v>93.301204856744803</v>
      </c>
      <c r="AM6544">
        <v>91.747097684279595</v>
      </c>
      <c r="AN6544">
        <v>0.99999998620159702</v>
      </c>
    </row>
    <row r="6545" spans="1:40" x14ac:dyDescent="0.25">
      <c r="A6545" t="str">
        <f>"20190303154651294"</f>
        <v>20190303154651294</v>
      </c>
      <c r="B6545" t="str">
        <f>"1551599211288211"</f>
        <v>1551599211288211</v>
      </c>
      <c r="C6545" t="s">
        <v>40</v>
      </c>
      <c r="D6545">
        <v>5.1330939999999998</v>
      </c>
      <c r="E6545">
        <v>0.52217849999999999</v>
      </c>
      <c r="F6545" t="s">
        <v>73</v>
      </c>
      <c r="G6545">
        <v>-219.0076</v>
      </c>
      <c r="H6545" s="1">
        <v>-3.4040049999999999E-6</v>
      </c>
      <c r="I6545">
        <v>-63.084009999999999</v>
      </c>
      <c r="J6545">
        <v>-246.8844</v>
      </c>
      <c r="K6545">
        <v>1.1209549999999999</v>
      </c>
      <c r="L6545">
        <v>-62.654690000000002</v>
      </c>
      <c r="M6545">
        <v>0.99984910000000005</v>
      </c>
      <c r="N6545">
        <v>-1.1641550000000001E-2</v>
      </c>
      <c r="O6545">
        <v>1.2901579999999999E-2</v>
      </c>
      <c r="P6545">
        <v>0.99666580000000005</v>
      </c>
      <c r="Q6545">
        <v>-6.9092810000000005E-2</v>
      </c>
      <c r="R6545">
        <v>4.3397810000000002E-2</v>
      </c>
      <c r="S6545">
        <v>3.0036619999999998</v>
      </c>
      <c r="T6545">
        <v>-0.1202703</v>
      </c>
      <c r="U6545">
        <v>-4.5898439999999999E-2</v>
      </c>
      <c r="V6545">
        <v>-3.0522170000000001E-2</v>
      </c>
      <c r="W6545">
        <v>-5.7486589999999997E-2</v>
      </c>
      <c r="X6545">
        <v>0.99787959999999998</v>
      </c>
      <c r="Y6545">
        <v>2.81444E-2</v>
      </c>
      <c r="Z6545">
        <v>-1.093344E-3</v>
      </c>
      <c r="AA6545">
        <v>0.99960329999999997</v>
      </c>
      <c r="AB6545">
        <v>24</v>
      </c>
      <c r="AC6545">
        <v>27.876799999999999</v>
      </c>
      <c r="AD6545">
        <v>-1.120958404005</v>
      </c>
      <c r="AE6545">
        <v>-0.42931999999999598</v>
      </c>
      <c r="AF6545">
        <v>0.78769002327297599</v>
      </c>
      <c r="AG6545">
        <v>-1.120958404005</v>
      </c>
      <c r="AH6545">
        <v>27.823961320515</v>
      </c>
      <c r="AI6545">
        <v>92.306134297408093</v>
      </c>
      <c r="AJ6545">
        <v>88.378402613345997</v>
      </c>
      <c r="AK6545">
        <v>27.8576708804198</v>
      </c>
      <c r="AL6545">
        <v>93.295555818179693</v>
      </c>
      <c r="AM6545">
        <v>91.751961317208995</v>
      </c>
      <c r="AN6545">
        <v>1.00000000349374</v>
      </c>
    </row>
    <row r="6546" spans="1:40" x14ac:dyDescent="0.25">
      <c r="A6546" t="str">
        <f>"20190303154651306"</f>
        <v>20190303154651306</v>
      </c>
      <c r="B6546" t="str">
        <f>"1551599211297971"</f>
        <v>1551599211297971</v>
      </c>
      <c r="C6546" t="s">
        <v>40</v>
      </c>
      <c r="D6546">
        <v>5.1554679999999999</v>
      </c>
      <c r="E6546">
        <v>0.52220519999999904</v>
      </c>
      <c r="F6546" t="s">
        <v>73</v>
      </c>
      <c r="G6546">
        <v>-219.01900000000001</v>
      </c>
      <c r="H6546" s="1">
        <v>-3.4077640000000001E-6</v>
      </c>
      <c r="I6546">
        <v>-63.083269999999999</v>
      </c>
      <c r="J6546">
        <v>-246.76650000000001</v>
      </c>
      <c r="K6546">
        <v>1.120957</v>
      </c>
      <c r="L6546">
        <v>-62.653080000000003</v>
      </c>
      <c r="M6546">
        <v>0.99984810000000002</v>
      </c>
      <c r="N6546">
        <v>-1.1641520000000001E-2</v>
      </c>
      <c r="O6546">
        <v>1.298061E-2</v>
      </c>
      <c r="P6546">
        <v>0.99670150000000002</v>
      </c>
      <c r="Q6546">
        <v>-6.8635660000000001E-2</v>
      </c>
      <c r="R6546">
        <v>4.3304559999999999E-2</v>
      </c>
      <c r="S6546">
        <v>3.0036619999999998</v>
      </c>
      <c r="T6546">
        <v>-0.1208298</v>
      </c>
      <c r="U6546">
        <v>-4.6203609999999999E-2</v>
      </c>
      <c r="V6546">
        <v>-3.034976E-2</v>
      </c>
      <c r="W6546">
        <v>-5.702902E-2</v>
      </c>
      <c r="X6546">
        <v>0.99791110000000005</v>
      </c>
      <c r="Y6546">
        <v>2.8324430000000001E-2</v>
      </c>
      <c r="Z6546">
        <v>-1.105289E-3</v>
      </c>
      <c r="AA6546">
        <v>0.99959810000000004</v>
      </c>
      <c r="AB6546">
        <v>24</v>
      </c>
      <c r="AC6546">
        <v>27.747499999999999</v>
      </c>
      <c r="AD6546">
        <v>-1.1209604077640001</v>
      </c>
      <c r="AE6546">
        <v>-0.43018999999999602</v>
      </c>
      <c r="AF6546">
        <v>0.78907010146839096</v>
      </c>
      <c r="AG6546">
        <v>-1.1209604077640001</v>
      </c>
      <c r="AH6546">
        <v>27.694389702903901</v>
      </c>
      <c r="AI6546">
        <v>92.316904265311805</v>
      </c>
      <c r="AJ6546">
        <v>88.3679669743522</v>
      </c>
      <c r="AK6546">
        <v>27.728296104829699</v>
      </c>
      <c r="AL6546">
        <v>93.269295950134804</v>
      </c>
      <c r="AM6546">
        <v>91.742016205767797</v>
      </c>
      <c r="AN6546">
        <v>0.999999990278714</v>
      </c>
    </row>
    <row r="6547" spans="1:40" x14ac:dyDescent="0.25">
      <c r="A6547" t="str">
        <f>"20190303154651317"</f>
        <v>20190303154651317</v>
      </c>
      <c r="B6547" t="str">
        <f>"1551599211307732"</f>
        <v>1551599211307732</v>
      </c>
      <c r="C6547" t="s">
        <v>40</v>
      </c>
      <c r="D6547">
        <v>5.0955459999999997</v>
      </c>
      <c r="E6547">
        <v>0.52225920000000003</v>
      </c>
      <c r="F6547" t="s">
        <v>73</v>
      </c>
      <c r="G6547">
        <v>-218.91200000000001</v>
      </c>
      <c r="H6547" s="1">
        <v>-3.371844E-6</v>
      </c>
      <c r="I6547">
        <v>-63.086030000000001</v>
      </c>
      <c r="J6547">
        <v>-246.63939999999999</v>
      </c>
      <c r="K6547">
        <v>1.1209610000000001</v>
      </c>
      <c r="L6547">
        <v>-62.651310000000002</v>
      </c>
      <c r="M6547">
        <v>0.99984700000000004</v>
      </c>
      <c r="N6547">
        <v>-1.1641490000000001E-2</v>
      </c>
      <c r="O6547">
        <v>1.306584E-2</v>
      </c>
      <c r="P6547">
        <v>0.99671609999999999</v>
      </c>
      <c r="Q6547">
        <v>-6.8327849999999996E-2</v>
      </c>
      <c r="R6547">
        <v>4.3456410000000001E-2</v>
      </c>
      <c r="S6547">
        <v>3.0036320000000001</v>
      </c>
      <c r="T6547">
        <v>-0.1208766</v>
      </c>
      <c r="U6547">
        <v>-4.669189E-2</v>
      </c>
      <c r="V6547">
        <v>-3.0416430000000001E-2</v>
      </c>
      <c r="W6547">
        <v>-5.672104E-2</v>
      </c>
      <c r="X6547">
        <v>0.99792670000000006</v>
      </c>
      <c r="Y6547">
        <v>2.8571929999999999E-2</v>
      </c>
      <c r="Z6547">
        <v>-1.1145770000000001E-3</v>
      </c>
      <c r="AA6547">
        <v>0.99959109999999995</v>
      </c>
      <c r="AB6547">
        <v>24</v>
      </c>
      <c r="AC6547">
        <v>27.7273999999999</v>
      </c>
      <c r="AD6547">
        <v>-1.1209643718440001</v>
      </c>
      <c r="AE6547">
        <v>-0.43472000000001199</v>
      </c>
      <c r="AF6547">
        <v>0.79568898686748302</v>
      </c>
      <c r="AG6547">
        <v>-1.1209643718440001</v>
      </c>
      <c r="AH6547">
        <v>27.6741322427829</v>
      </c>
      <c r="AI6547">
        <v>92.318589355605198</v>
      </c>
      <c r="AJ6547">
        <v>88.353080636151404</v>
      </c>
      <c r="AK6547">
        <v>27.708252876675601</v>
      </c>
      <c r="AL6547">
        <v>93.251621135989893</v>
      </c>
      <c r="AM6547">
        <v>91.745813291504405</v>
      </c>
      <c r="AN6547">
        <v>1.00000006708275</v>
      </c>
    </row>
    <row r="6548" spans="1:40" x14ac:dyDescent="0.25">
      <c r="A6548" t="str">
        <f>"20190303154651328"</f>
        <v>20190303154651328</v>
      </c>
      <c r="B6548" t="str">
        <f>"1551599211318467"</f>
        <v>1551599211318467</v>
      </c>
      <c r="C6548" t="s">
        <v>40</v>
      </c>
      <c r="D6548">
        <v>5.1284190000000001</v>
      </c>
      <c r="E6548">
        <v>0.52234639999999999</v>
      </c>
      <c r="F6548" t="s">
        <v>73</v>
      </c>
      <c r="G6548">
        <v>-218.7201</v>
      </c>
      <c r="H6548" s="1">
        <v>-3.306415E-6</v>
      </c>
      <c r="I6548">
        <v>-63.085250000000002</v>
      </c>
      <c r="J6548">
        <v>-246.52680000000001</v>
      </c>
      <c r="K6548">
        <v>1.1209629999999999</v>
      </c>
      <c r="L6548">
        <v>-62.64978</v>
      </c>
      <c r="M6548">
        <v>0.99984600000000001</v>
      </c>
      <c r="N6548">
        <v>-1.1641530000000001E-2</v>
      </c>
      <c r="O6548">
        <v>1.3141419999999999E-2</v>
      </c>
      <c r="P6548">
        <v>0.99673089999999998</v>
      </c>
      <c r="Q6548">
        <v>-6.8130309999999999E-2</v>
      </c>
      <c r="R6548">
        <v>4.3428889999999998E-2</v>
      </c>
      <c r="S6548">
        <v>3.0036320000000001</v>
      </c>
      <c r="T6548">
        <v>-0.1205965</v>
      </c>
      <c r="U6548">
        <v>-4.669189E-2</v>
      </c>
      <c r="V6548">
        <v>-3.0313039999999999E-2</v>
      </c>
      <c r="W6548">
        <v>-5.6523259999999999E-2</v>
      </c>
      <c r="X6548">
        <v>0.99794099999999997</v>
      </c>
      <c r="Y6548">
        <v>2.8647539999999999E-2</v>
      </c>
      <c r="Z6548">
        <v>-1.116141E-3</v>
      </c>
      <c r="AA6548">
        <v>0.99958899999999995</v>
      </c>
      <c r="AB6548">
        <v>24</v>
      </c>
      <c r="AC6548">
        <v>27.806699999999999</v>
      </c>
      <c r="AD6548">
        <v>-1.1209663064149999</v>
      </c>
      <c r="AE6548">
        <v>-0.43546999999999503</v>
      </c>
      <c r="AF6548">
        <v>0.799577540829294</v>
      </c>
      <c r="AG6548">
        <v>-1.1209663064149999</v>
      </c>
      <c r="AH6548">
        <v>27.753483661040701</v>
      </c>
      <c r="AI6548">
        <v>92.311967501025805</v>
      </c>
      <c r="AJ6548">
        <v>88.3497657322539</v>
      </c>
      <c r="AK6548">
        <v>27.787618556248599</v>
      </c>
      <c r="AL6548">
        <v>93.240271187701694</v>
      </c>
      <c r="AM6548">
        <v>91.739857748064495</v>
      </c>
      <c r="AN6548">
        <v>0.99999999939803397</v>
      </c>
    </row>
    <row r="6549" spans="1:40" x14ac:dyDescent="0.25">
      <c r="A6549" t="str">
        <f>"20190303154651338"</f>
        <v>20190303154651338</v>
      </c>
      <c r="B6549" t="str">
        <f>"1551599211328228"</f>
        <v>1551599211328228</v>
      </c>
      <c r="C6549" t="s">
        <v>40</v>
      </c>
      <c r="D6549">
        <v>5.1323299999999996</v>
      </c>
      <c r="E6549">
        <v>0.52239040000000003</v>
      </c>
      <c r="F6549" t="s">
        <v>73</v>
      </c>
      <c r="G6549">
        <v>-218.5641</v>
      </c>
      <c r="H6549" s="1">
        <v>-3.2545689999999999E-6</v>
      </c>
      <c r="I6549">
        <v>-63.092350000000003</v>
      </c>
      <c r="J6549">
        <v>-246.40889999999999</v>
      </c>
      <c r="K6549">
        <v>1.120965</v>
      </c>
      <c r="L6549">
        <v>-62.648130000000002</v>
      </c>
      <c r="M6549">
        <v>0.99984499999999998</v>
      </c>
      <c r="N6549">
        <v>-1.16416E-2</v>
      </c>
      <c r="O6549">
        <v>1.3220630000000001E-2</v>
      </c>
      <c r="P6549">
        <v>0.99672969999999905</v>
      </c>
      <c r="Q6549">
        <v>-6.8031159999999993E-2</v>
      </c>
      <c r="R6549">
        <v>4.3608969999999997E-2</v>
      </c>
      <c r="S6549">
        <v>3.0036619999999998</v>
      </c>
      <c r="T6549">
        <v>-0.1204104</v>
      </c>
      <c r="U6549">
        <v>-4.7546390000000001E-2</v>
      </c>
      <c r="V6549">
        <v>-3.0414569999999998E-2</v>
      </c>
      <c r="W6549">
        <v>-5.6424059999999998E-2</v>
      </c>
      <c r="X6549">
        <v>0.99794349999999998</v>
      </c>
      <c r="Y6549">
        <v>2.9010560000000001E-2</v>
      </c>
      <c r="Z6549">
        <v>-1.1260669999999999E-3</v>
      </c>
      <c r="AA6549">
        <v>0.99957850000000004</v>
      </c>
      <c r="AB6549">
        <v>24</v>
      </c>
      <c r="AC6549">
        <v>27.8447999999999</v>
      </c>
      <c r="AD6549">
        <v>-1.1209682545690001</v>
      </c>
      <c r="AE6549">
        <v>-0.444220000000001</v>
      </c>
      <c r="AF6549">
        <v>0.81101778658684198</v>
      </c>
      <c r="AG6549">
        <v>-1.1209682545690001</v>
      </c>
      <c r="AH6549">
        <v>27.791463144793099</v>
      </c>
      <c r="AI6549">
        <v>92.308790548818294</v>
      </c>
      <c r="AJ6549">
        <v>88.328453884590004</v>
      </c>
      <c r="AK6549">
        <v>27.825882616842598</v>
      </c>
      <c r="AL6549">
        <v>93.234578440438995</v>
      </c>
      <c r="AM6549">
        <v>91.745677228931598</v>
      </c>
      <c r="AN6549">
        <v>0.99999997490370895</v>
      </c>
    </row>
    <row r="6550" spans="1:40" x14ac:dyDescent="0.25">
      <c r="A6550" t="str">
        <f>"20190303154651351"</f>
        <v>20190303154651351</v>
      </c>
      <c r="B6550" t="str">
        <f>"1551599211347748"</f>
        <v>1551599211347748</v>
      </c>
      <c r="C6550" t="s">
        <v>40</v>
      </c>
      <c r="D6550">
        <v>5.1399809999999997</v>
      </c>
      <c r="E6550">
        <v>0.52252779999999999</v>
      </c>
      <c r="F6550" t="s">
        <v>73</v>
      </c>
      <c r="G6550">
        <v>-218.51990000000001</v>
      </c>
      <c r="H6550" s="1">
        <v>-3.23879E-6</v>
      </c>
      <c r="I6550">
        <v>-63.088120000000004</v>
      </c>
      <c r="J6550">
        <v>-246.28270000000001</v>
      </c>
      <c r="K6550">
        <v>1.120967</v>
      </c>
      <c r="L6550">
        <v>-62.646329999999999</v>
      </c>
      <c r="M6550">
        <v>0.9998437</v>
      </c>
      <c r="N6550">
        <v>-1.164171E-2</v>
      </c>
      <c r="O6550">
        <v>1.3305330000000001E-2</v>
      </c>
      <c r="P6550">
        <v>0.99673630000000002</v>
      </c>
      <c r="Q6550">
        <v>-6.7991759999999998E-2</v>
      </c>
      <c r="R6550">
        <v>4.3521579999999997E-2</v>
      </c>
      <c r="S6550">
        <v>3.0036930000000002</v>
      </c>
      <c r="T6550">
        <v>-0.1207303</v>
      </c>
      <c r="U6550">
        <v>-4.73938E-2</v>
      </c>
      <c r="V6550">
        <v>-3.0242850000000002E-2</v>
      </c>
      <c r="W6550">
        <v>-5.6384419999999998E-2</v>
      </c>
      <c r="X6550">
        <v>0.99795100000000003</v>
      </c>
      <c r="Y6550">
        <v>2.904406E-2</v>
      </c>
      <c r="Z6550">
        <v>-1.1322909999999999E-3</v>
      </c>
      <c r="AA6550">
        <v>0.99957750000000001</v>
      </c>
      <c r="AB6550">
        <v>24</v>
      </c>
      <c r="AC6550">
        <v>27.762799999999999</v>
      </c>
      <c r="AD6550">
        <v>-1.12097023879</v>
      </c>
      <c r="AE6550">
        <v>-0.44178999999999002</v>
      </c>
      <c r="AF6550">
        <v>0.80984919528225896</v>
      </c>
      <c r="AG6550">
        <v>-1.12097023879</v>
      </c>
      <c r="AH6550">
        <v>27.709301124124</v>
      </c>
      <c r="AI6550">
        <v>92.315630100598199</v>
      </c>
      <c r="AJ6550">
        <v>88.325914620885499</v>
      </c>
      <c r="AK6550">
        <v>27.743788472065798</v>
      </c>
      <c r="AL6550">
        <v>93.232303482513601</v>
      </c>
      <c r="AM6550">
        <v>91.735814182712403</v>
      </c>
      <c r="AN6550">
        <v>1.0000000155979201</v>
      </c>
    </row>
    <row r="6551" spans="1:40" x14ac:dyDescent="0.25">
      <c r="A6551" t="str">
        <f>"20190303154651362"</f>
        <v>20190303154651362</v>
      </c>
      <c r="B6551" t="str">
        <f>"1551599211358483"</f>
        <v>1551599211358483</v>
      </c>
      <c r="C6551" t="s">
        <v>40</v>
      </c>
      <c r="D6551">
        <v>5.1319290000000004</v>
      </c>
      <c r="E6551">
        <v>0.52256069999999999</v>
      </c>
      <c r="F6551" t="s">
        <v>73</v>
      </c>
      <c r="G6551">
        <v>-218.44319999999999</v>
      </c>
      <c r="H6551" s="1">
        <v>-3.21432E-6</v>
      </c>
      <c r="I6551">
        <v>-63.0974199999999</v>
      </c>
      <c r="J6551">
        <v>-246.1662</v>
      </c>
      <c r="K6551">
        <v>1.120967</v>
      </c>
      <c r="L6551">
        <v>-62.644710000000003</v>
      </c>
      <c r="M6551">
        <v>0.99984280000000003</v>
      </c>
      <c r="N6551">
        <v>-1.1641810000000001E-2</v>
      </c>
      <c r="O6551">
        <v>1.338335E-2</v>
      </c>
      <c r="P6551">
        <v>0.99674180000000001</v>
      </c>
      <c r="Q6551">
        <v>-6.7907709999999996E-2</v>
      </c>
      <c r="R6551">
        <v>4.3533309999999999E-2</v>
      </c>
      <c r="S6551">
        <v>3.003708</v>
      </c>
      <c r="T6551">
        <v>-0.12094530000000001</v>
      </c>
      <c r="U6551">
        <v>-4.8675540000000003E-2</v>
      </c>
      <c r="V6551">
        <v>-3.0176379999999999E-2</v>
      </c>
      <c r="W6551">
        <v>-5.6300129999999997E-2</v>
      </c>
      <c r="X6551">
        <v>0.99795780000000001</v>
      </c>
      <c r="Y6551">
        <v>2.954772E-2</v>
      </c>
      <c r="Z6551">
        <v>-1.149574E-3</v>
      </c>
      <c r="AA6551">
        <v>0.99956270000000003</v>
      </c>
      <c r="AB6551">
        <v>24</v>
      </c>
      <c r="AC6551">
        <v>27.722999999999999</v>
      </c>
      <c r="AD6551">
        <v>-1.12097021432</v>
      </c>
      <c r="AE6551">
        <v>-0.452709999999996</v>
      </c>
      <c r="AF6551">
        <v>0.82237695995497695</v>
      </c>
      <c r="AG6551">
        <v>-1.12097021432</v>
      </c>
      <c r="AH6551">
        <v>27.669231491793902</v>
      </c>
      <c r="AI6551">
        <v>92.318946034636596</v>
      </c>
      <c r="AJ6551">
        <v>88.2975724586735</v>
      </c>
      <c r="AK6551">
        <v>27.7041377673469</v>
      </c>
      <c r="AL6551">
        <v>93.227466244000496</v>
      </c>
      <c r="AM6551">
        <v>91.731989612111803</v>
      </c>
      <c r="AN6551">
        <v>1.00000004456437</v>
      </c>
    </row>
    <row r="6552" spans="1:40" x14ac:dyDescent="0.25">
      <c r="A6552" t="str">
        <f>"20190303154651374"</f>
        <v>20190303154651374</v>
      </c>
      <c r="B6552" t="str">
        <f>"1551599211368243"</f>
        <v>1551599211368243</v>
      </c>
      <c r="C6552" t="s">
        <v>40</v>
      </c>
      <c r="D6552">
        <v>5.1483470000000002</v>
      </c>
      <c r="E6552">
        <v>0.52260859999999998</v>
      </c>
      <c r="F6552" t="s">
        <v>73</v>
      </c>
      <c r="G6552">
        <v>-218.39769999999999</v>
      </c>
      <c r="H6552" s="1">
        <v>-3.1986160000000002E-6</v>
      </c>
      <c r="I6552">
        <v>-63.096060000000001</v>
      </c>
      <c r="J6552">
        <v>-246.03559999999999</v>
      </c>
      <c r="K6552">
        <v>1.1209659999999999</v>
      </c>
      <c r="L6552">
        <v>-62.642879999999998</v>
      </c>
      <c r="M6552">
        <v>0.99984150000000005</v>
      </c>
      <c r="N6552">
        <v>-1.164195E-2</v>
      </c>
      <c r="O6552">
        <v>1.3471260000000001E-2</v>
      </c>
      <c r="P6552">
        <v>0.99675899999999995</v>
      </c>
      <c r="Q6552">
        <v>-6.7510130000000002E-2</v>
      </c>
      <c r="R6552">
        <v>4.3752369999999999E-2</v>
      </c>
      <c r="S6552">
        <v>3.0036770000000002</v>
      </c>
      <c r="T6552">
        <v>-0.121254</v>
      </c>
      <c r="U6552">
        <v>-4.8828129999999997E-2</v>
      </c>
      <c r="V6552">
        <v>-3.0307919999999999E-2</v>
      </c>
      <c r="W6552">
        <v>-5.5902210000000001E-2</v>
      </c>
      <c r="X6552">
        <v>0.99797610000000003</v>
      </c>
      <c r="Y6552">
        <v>2.968618E-2</v>
      </c>
      <c r="Z6552">
        <v>-1.1586000000000001E-3</v>
      </c>
      <c r="AA6552">
        <v>0.99955859999999996</v>
      </c>
      <c r="AB6552">
        <v>24</v>
      </c>
      <c r="AC6552">
        <v>27.637899999999998</v>
      </c>
      <c r="AD6552">
        <v>-1.120969198616</v>
      </c>
      <c r="AE6552">
        <v>-0.45317999999998898</v>
      </c>
      <c r="AF6552">
        <v>0.82412607750105105</v>
      </c>
      <c r="AG6552">
        <v>-1.120969198616</v>
      </c>
      <c r="AH6552">
        <v>27.583921892174999</v>
      </c>
      <c r="AI6552">
        <v>92.3260971897882</v>
      </c>
      <c r="AJ6552">
        <v>88.288680488353606</v>
      </c>
      <c r="AK6552">
        <v>27.6189880822863</v>
      </c>
      <c r="AL6552">
        <v>93.204631411076804</v>
      </c>
      <c r="AM6552">
        <v>91.739502914408106</v>
      </c>
      <c r="AN6552">
        <v>0.99999996163440896</v>
      </c>
    </row>
    <row r="6553" spans="1:40" x14ac:dyDescent="0.25">
      <c r="A6553" t="str">
        <f>"20190303154651387"</f>
        <v>20190303154651387</v>
      </c>
      <c r="B6553" t="str">
        <f>"1551599211378003"</f>
        <v>1551599211378003</v>
      </c>
      <c r="C6553" t="s">
        <v>40</v>
      </c>
      <c r="D6553">
        <v>5.1095470000000001</v>
      </c>
      <c r="E6553">
        <v>0.52264460000000001</v>
      </c>
      <c r="F6553" t="s">
        <v>73</v>
      </c>
      <c r="G6553">
        <v>-218.1968</v>
      </c>
      <c r="H6553" s="1">
        <v>-3.1296160000000001E-6</v>
      </c>
      <c r="I6553">
        <v>-63.09254</v>
      </c>
      <c r="J6553">
        <v>-245.89830000000001</v>
      </c>
      <c r="K6553">
        <v>1.1209739999999999</v>
      </c>
      <c r="L6553">
        <v>-62.640900000000002</v>
      </c>
      <c r="M6553">
        <v>0.99984039999999996</v>
      </c>
      <c r="N6553">
        <v>-1.1642130000000001E-2</v>
      </c>
      <c r="O6553">
        <v>1.3563220000000001E-2</v>
      </c>
      <c r="P6553">
        <v>0.99675170000000002</v>
      </c>
      <c r="Q6553">
        <v>-6.7398159999999999E-2</v>
      </c>
      <c r="R6553">
        <v>4.4087950000000001E-2</v>
      </c>
      <c r="S6553">
        <v>3.0036930000000002</v>
      </c>
      <c r="T6553">
        <v>-0.1209481</v>
      </c>
      <c r="U6553">
        <v>-4.8522950000000002E-2</v>
      </c>
      <c r="V6553">
        <v>-3.0551749999999999E-2</v>
      </c>
      <c r="W6553">
        <v>-5.579013E-2</v>
      </c>
      <c r="X6553">
        <v>0.99797499999999995</v>
      </c>
      <c r="Y6553">
        <v>2.9676660000000001E-2</v>
      </c>
      <c r="Z6553">
        <v>-1.158098E-3</v>
      </c>
      <c r="AA6553">
        <v>0.99955890000000003</v>
      </c>
      <c r="AB6553">
        <v>24</v>
      </c>
      <c r="AC6553">
        <v>27.701499999999999</v>
      </c>
      <c r="AD6553">
        <v>-1.1209771296159901</v>
      </c>
      <c r="AE6553">
        <v>-0.45163999999999699</v>
      </c>
      <c r="AF6553">
        <v>0.82599317125653204</v>
      </c>
      <c r="AG6553">
        <v>-1.1209771296159901</v>
      </c>
      <c r="AH6553">
        <v>27.647563993297901</v>
      </c>
      <c r="AI6553">
        <v>92.320765080942806</v>
      </c>
      <c r="AJ6553">
        <v>88.288751598452194</v>
      </c>
      <c r="AK6553">
        <v>27.682605535021199</v>
      </c>
      <c r="AL6553">
        <v>93.198199461655193</v>
      </c>
      <c r="AM6553">
        <v>91.753490604855102</v>
      </c>
      <c r="AN6553">
        <v>1.00000002432923</v>
      </c>
    </row>
    <row r="6554" spans="1:40" x14ac:dyDescent="0.25">
      <c r="A6554" t="str">
        <f>"20190303154651400"</f>
        <v>20190303154651400</v>
      </c>
      <c r="B6554" t="str">
        <f>"1551599211387764"</f>
        <v>1551599211387764</v>
      </c>
      <c r="C6554" t="s">
        <v>40</v>
      </c>
      <c r="D6554">
        <v>5.1229209999999998</v>
      </c>
      <c r="E6554">
        <v>0.52270280000000002</v>
      </c>
      <c r="F6554" t="s">
        <v>73</v>
      </c>
      <c r="G6554">
        <v>-218.08519999999999</v>
      </c>
      <c r="H6554" s="1">
        <v>-3.089996E-6</v>
      </c>
      <c r="I6554">
        <v>-63.083370000000002</v>
      </c>
      <c r="J6554">
        <v>-245.75579999999999</v>
      </c>
      <c r="K6554">
        <v>1.1209750000000001</v>
      </c>
      <c r="L6554">
        <v>-62.638849999999998</v>
      </c>
      <c r="M6554">
        <v>0.99983909999999998</v>
      </c>
      <c r="N6554">
        <v>-1.1642349999999999E-2</v>
      </c>
      <c r="O6554">
        <v>1.365894E-2</v>
      </c>
      <c r="P6554">
        <v>0.99676160000000003</v>
      </c>
      <c r="Q6554">
        <v>-6.7162509999999995E-2</v>
      </c>
      <c r="R6554">
        <v>4.4227200000000001E-2</v>
      </c>
      <c r="S6554">
        <v>3.0036930000000002</v>
      </c>
      <c r="T6554">
        <v>-0.1210606</v>
      </c>
      <c r="U6554">
        <v>-4.7790529999999998E-2</v>
      </c>
      <c r="V6554">
        <v>-3.0594980000000001E-2</v>
      </c>
      <c r="W6554">
        <v>-5.5554109999999997E-2</v>
      </c>
      <c r="X6554">
        <v>0.99798679999999995</v>
      </c>
      <c r="Y6554">
        <v>2.952873E-2</v>
      </c>
      <c r="Z6554">
        <v>-1.158063E-3</v>
      </c>
      <c r="AA6554">
        <v>0.99956330000000004</v>
      </c>
      <c r="AB6554">
        <v>24</v>
      </c>
      <c r="AC6554">
        <v>27.6706</v>
      </c>
      <c r="AD6554">
        <v>-1.120978089996</v>
      </c>
      <c r="AE6554">
        <v>-0.44451999999999697</v>
      </c>
      <c r="AF6554">
        <v>0.82110790390381405</v>
      </c>
      <c r="AG6554">
        <v>-1.120978089996</v>
      </c>
      <c r="AH6554">
        <v>27.616633977313999</v>
      </c>
      <c r="AI6554">
        <v>92.323373340416694</v>
      </c>
      <c r="AJ6554">
        <v>88.296962558933501</v>
      </c>
      <c r="AK6554">
        <v>27.651569255740899</v>
      </c>
      <c r="AL6554">
        <v>93.184655640306602</v>
      </c>
      <c r="AM6554">
        <v>91.755949450878106</v>
      </c>
      <c r="AN6554">
        <v>0.99999998245666599</v>
      </c>
    </row>
    <row r="6555" spans="1:40" x14ac:dyDescent="0.25">
      <c r="A6555" t="str">
        <f>"20190303154651414"</f>
        <v>20190303154651414</v>
      </c>
      <c r="B6555" t="str">
        <f>"1551599211408260"</f>
        <v>1551599211408260</v>
      </c>
      <c r="C6555" t="s">
        <v>40</v>
      </c>
      <c r="D6555">
        <v>5.1016709999999996</v>
      </c>
      <c r="E6555">
        <v>0.52270130000000004</v>
      </c>
      <c r="F6555" t="s">
        <v>73</v>
      </c>
      <c r="G6555">
        <v>-217.80279999999999</v>
      </c>
      <c r="H6555" s="1">
        <v>-2.993931E-6</v>
      </c>
      <c r="I6555">
        <v>-63.083530000000003</v>
      </c>
      <c r="J6555">
        <v>-245.61179999999999</v>
      </c>
      <c r="K6555">
        <v>1.120976</v>
      </c>
      <c r="L6555">
        <v>-62.636780000000002</v>
      </c>
      <c r="M6555">
        <v>0.99983759999999999</v>
      </c>
      <c r="N6555">
        <v>-1.1642599999999999E-2</v>
      </c>
      <c r="O6555">
        <v>1.3755740000000001E-2</v>
      </c>
      <c r="P6555">
        <v>0.99677769999999999</v>
      </c>
      <c r="Q6555">
        <v>-6.680229E-2</v>
      </c>
      <c r="R6555">
        <v>4.4405140000000003E-2</v>
      </c>
      <c r="S6555">
        <v>3.0037539999999998</v>
      </c>
      <c r="T6555">
        <v>-0.1204572</v>
      </c>
      <c r="U6555">
        <v>-4.7790529999999998E-2</v>
      </c>
      <c r="V6555">
        <v>-3.0676499999999999E-2</v>
      </c>
      <c r="W6555">
        <v>-5.5193440000000003E-2</v>
      </c>
      <c r="X6555">
        <v>0.99800429999999996</v>
      </c>
      <c r="Y6555">
        <v>2.9625390000000001E-2</v>
      </c>
      <c r="Z6555">
        <v>-1.15759E-3</v>
      </c>
      <c r="AA6555">
        <v>0.99956040000000002</v>
      </c>
      <c r="AB6555">
        <v>24</v>
      </c>
      <c r="AC6555">
        <v>27.809000000000001</v>
      </c>
      <c r="AD6555">
        <v>-1.120978993931</v>
      </c>
      <c r="AE6555">
        <v>-0.44675000000000098</v>
      </c>
      <c r="AF6555">
        <v>0.82792209231873604</v>
      </c>
      <c r="AG6555">
        <v>-1.120978993931</v>
      </c>
      <c r="AH6555">
        <v>27.7551352803066</v>
      </c>
      <c r="AI6555">
        <v>92.311787239304294</v>
      </c>
      <c r="AJ6555">
        <v>88.291401607675894</v>
      </c>
      <c r="AK6555">
        <v>27.7900986562464</v>
      </c>
      <c r="AL6555">
        <v>93.163959045600507</v>
      </c>
      <c r="AM6555">
        <v>91.760594365665995</v>
      </c>
      <c r="AN6555">
        <v>0.99999997314488598</v>
      </c>
    </row>
    <row r="6556" spans="1:40" x14ac:dyDescent="0.25">
      <c r="A6556" t="str">
        <f>"20190303154651425"</f>
        <v>20190303154651425</v>
      </c>
      <c r="B6556" t="str">
        <f>"1551599211418019"</f>
        <v>1551599211418019</v>
      </c>
      <c r="C6556" t="s">
        <v>40</v>
      </c>
      <c r="D6556">
        <v>5.1167689999999997</v>
      </c>
      <c r="E6556">
        <v>0.52271420000000002</v>
      </c>
      <c r="F6556" t="s">
        <v>73</v>
      </c>
      <c r="G6556">
        <v>-217.7526</v>
      </c>
      <c r="H6556" s="1">
        <v>-2.975312E-6</v>
      </c>
      <c r="I6556">
        <v>-63.074869999999997</v>
      </c>
      <c r="J6556">
        <v>-245.47800000000001</v>
      </c>
      <c r="K6556">
        <v>1.1209709999999999</v>
      </c>
      <c r="L6556">
        <v>-62.634830000000001</v>
      </c>
      <c r="M6556">
        <v>0.99983639999999996</v>
      </c>
      <c r="N6556">
        <v>-1.164286E-2</v>
      </c>
      <c r="O6556">
        <v>1.3845619999999999E-2</v>
      </c>
      <c r="P6556">
        <v>0.99677590000000005</v>
      </c>
      <c r="Q6556">
        <v>-6.6502820000000004E-2</v>
      </c>
      <c r="R6556">
        <v>4.4892769999999999E-2</v>
      </c>
      <c r="S6556">
        <v>3.0037229999999999</v>
      </c>
      <c r="T6556">
        <v>-0.1208616</v>
      </c>
      <c r="U6556">
        <v>-4.7241209999999999E-2</v>
      </c>
      <c r="V6556">
        <v>-3.1074379999999999E-2</v>
      </c>
      <c r="W6556">
        <v>-5.4893749999999998E-2</v>
      </c>
      <c r="X6556">
        <v>0.99800849999999997</v>
      </c>
      <c r="Y6556">
        <v>2.9532470000000002E-2</v>
      </c>
      <c r="Z6556">
        <v>-1.1616039999999999E-3</v>
      </c>
      <c r="AA6556">
        <v>0.99956319999999999</v>
      </c>
      <c r="AB6556">
        <v>24</v>
      </c>
      <c r="AC6556">
        <v>27.725399999999901</v>
      </c>
      <c r="AD6556">
        <v>-1.120973975312</v>
      </c>
      <c r="AE6556">
        <v>-0.440039999999989</v>
      </c>
      <c r="AF6556">
        <v>0.82255488808031496</v>
      </c>
      <c r="AG6556">
        <v>-1.120973975312</v>
      </c>
      <c r="AH6556">
        <v>27.671426163667899</v>
      </c>
      <c r="AI6556">
        <v>92.318769806597103</v>
      </c>
      <c r="AJ6556">
        <v>88.297339313444198</v>
      </c>
      <c r="AK6556">
        <v>27.706335108212201</v>
      </c>
      <c r="AL6556">
        <v>93.146762063321205</v>
      </c>
      <c r="AM6556">
        <v>91.783407454519207</v>
      </c>
      <c r="AN6556">
        <v>0.999999953476847</v>
      </c>
    </row>
    <row r="6557" spans="1:40" x14ac:dyDescent="0.25">
      <c r="A6557" t="str">
        <f>"20190303154651440"</f>
        <v>20190303154651440</v>
      </c>
      <c r="B6557" t="str">
        <f>"1551599211427779"</f>
        <v>1551599211427779</v>
      </c>
      <c r="C6557" t="s">
        <v>40</v>
      </c>
      <c r="D6557">
        <v>5.1091569999999997</v>
      </c>
      <c r="E6557">
        <v>0.52275760000000004</v>
      </c>
      <c r="F6557" t="s">
        <v>73</v>
      </c>
      <c r="G6557">
        <v>-217.4915</v>
      </c>
      <c r="H6557" s="1">
        <v>-2.8842109999999999E-6</v>
      </c>
      <c r="I6557">
        <v>-63.062119999999901</v>
      </c>
      <c r="J6557">
        <v>-245.31899999999999</v>
      </c>
      <c r="K6557">
        <v>1.1209690000000001</v>
      </c>
      <c r="L6557">
        <v>-62.632480000000001</v>
      </c>
      <c r="M6557">
        <v>0.99983500000000003</v>
      </c>
      <c r="N6557">
        <v>-1.1643189999999999E-2</v>
      </c>
      <c r="O6557">
        <v>1.3952249999999999E-2</v>
      </c>
      <c r="P6557">
        <v>0.99677959999999999</v>
      </c>
      <c r="Q6557">
        <v>-6.604989E-2</v>
      </c>
      <c r="R6557">
        <v>4.5475880000000003E-2</v>
      </c>
      <c r="S6557">
        <v>3.0037539999999998</v>
      </c>
      <c r="T6557">
        <v>-0.12031260000000001</v>
      </c>
      <c r="U6557">
        <v>-4.586792E-2</v>
      </c>
      <c r="V6557">
        <v>-3.1551040000000002E-2</v>
      </c>
      <c r="W6557">
        <v>-5.444044E-2</v>
      </c>
      <c r="X6557">
        <v>0.99801839999999997</v>
      </c>
      <c r="Y6557">
        <v>2.9182670000000001E-2</v>
      </c>
      <c r="Z6557">
        <v>-1.150358E-3</v>
      </c>
      <c r="AA6557">
        <v>0.99957339999999995</v>
      </c>
      <c r="AB6557">
        <v>24</v>
      </c>
      <c r="AC6557">
        <v>27.827500000000001</v>
      </c>
      <c r="AD6557">
        <v>-1.1209718842109999</v>
      </c>
      <c r="AE6557">
        <v>-0.42963999999998398</v>
      </c>
      <c r="AF6557">
        <v>0.81655596265286301</v>
      </c>
      <c r="AG6557">
        <v>-1.1209718842109999</v>
      </c>
      <c r="AH6557">
        <v>27.773738130399501</v>
      </c>
      <c r="AI6557">
        <v>92.310255154518899</v>
      </c>
      <c r="AJ6557">
        <v>88.315972551391994</v>
      </c>
      <c r="AK6557">
        <v>27.808341758208901</v>
      </c>
      <c r="AL6557">
        <v>93.120750338012996</v>
      </c>
      <c r="AM6557">
        <v>91.810727696059004</v>
      </c>
      <c r="AN6557">
        <v>0.999999978185517</v>
      </c>
    </row>
    <row r="6558" spans="1:40" x14ac:dyDescent="0.25">
      <c r="A6558" t="str">
        <f>"20190303154651451"</f>
        <v>20190303154651451</v>
      </c>
      <c r="B6558" t="str">
        <f>"1551599211448275"</f>
        <v>1551599211448275</v>
      </c>
      <c r="C6558" t="s">
        <v>40</v>
      </c>
      <c r="D6558">
        <v>5.1182359999999996</v>
      </c>
      <c r="E6558">
        <v>0.52279319999999996</v>
      </c>
      <c r="F6558" t="s">
        <v>73</v>
      </c>
      <c r="G6558">
        <v>-217.05500000000001</v>
      </c>
      <c r="H6558" s="1">
        <v>-2.7048599999999999E-6</v>
      </c>
      <c r="I6558">
        <v>-63.04936</v>
      </c>
      <c r="J6558">
        <v>-245.2063</v>
      </c>
      <c r="K6558">
        <v>1.1209739999999999</v>
      </c>
      <c r="L6558">
        <v>-62.630830000000003</v>
      </c>
      <c r="M6558">
        <v>0.99983379999999999</v>
      </c>
      <c r="N6558">
        <v>-1.164344E-2</v>
      </c>
      <c r="O6558">
        <v>1.402812E-2</v>
      </c>
      <c r="P6558">
        <v>0.99677749999999998</v>
      </c>
      <c r="Q6558">
        <v>-6.5891210000000006E-2</v>
      </c>
      <c r="R6558">
        <v>4.5752090000000002E-2</v>
      </c>
      <c r="S6558">
        <v>3.0038149999999999</v>
      </c>
      <c r="T6558">
        <v>-0.1191335</v>
      </c>
      <c r="U6558">
        <v>-4.431152E-2</v>
      </c>
      <c r="V6558">
        <v>-3.1751660000000001E-2</v>
      </c>
      <c r="W6558">
        <v>-5.428152E-2</v>
      </c>
      <c r="X6558">
        <v>0.99802069999999998</v>
      </c>
      <c r="Y6558">
        <v>2.87415E-2</v>
      </c>
      <c r="Z6558">
        <v>-1.129955E-3</v>
      </c>
      <c r="AA6558">
        <v>0.99958619999999998</v>
      </c>
      <c r="AB6558">
        <v>24</v>
      </c>
      <c r="AC6558">
        <v>28.1512999999999</v>
      </c>
      <c r="AD6558">
        <v>-1.1209767048599999</v>
      </c>
      <c r="AE6558">
        <v>-0.41852999999999602</v>
      </c>
      <c r="AF6558">
        <v>0.81213795140617395</v>
      </c>
      <c r="AG6558">
        <v>-1.1209767048599999</v>
      </c>
      <c r="AH6558">
        <v>28.098115184178599</v>
      </c>
      <c r="AI6558">
        <v>92.283655759087694</v>
      </c>
      <c r="AJ6558">
        <v>88.344404055899602</v>
      </c>
      <c r="AK6558">
        <v>28.132192124473999</v>
      </c>
      <c r="AL6558">
        <v>93.111631389210302</v>
      </c>
      <c r="AM6558">
        <v>91.822229429220101</v>
      </c>
      <c r="AN6558">
        <v>0.99999998447737704</v>
      </c>
    </row>
    <row r="6559" spans="1:40" x14ac:dyDescent="0.25">
      <c r="A6559" t="str">
        <f>"20190303154651462"</f>
        <v>20190303154651462</v>
      </c>
      <c r="B6559" t="str">
        <f>"1551599211458035"</f>
        <v>1551599211458035</v>
      </c>
      <c r="C6559" t="s">
        <v>40</v>
      </c>
      <c r="D6559">
        <v>5.1181380000000001</v>
      </c>
      <c r="E6559">
        <v>0.52285029999999999</v>
      </c>
      <c r="F6559" t="s">
        <v>73</v>
      </c>
      <c r="G6559">
        <v>-217.13130000000001</v>
      </c>
      <c r="H6559" s="1">
        <v>-2.7351170000000001E-6</v>
      </c>
      <c r="I6559">
        <v>-63.040080000000003</v>
      </c>
      <c r="J6559">
        <v>-245.0778</v>
      </c>
      <c r="K6559">
        <v>1.1209750000000001</v>
      </c>
      <c r="L6559">
        <v>-62.628909999999998</v>
      </c>
      <c r="M6559">
        <v>0.99983259999999996</v>
      </c>
      <c r="N6559">
        <v>-1.164374E-2</v>
      </c>
      <c r="O6559">
        <v>1.411448E-2</v>
      </c>
      <c r="P6559">
        <v>0.99673970000000001</v>
      </c>
      <c r="Q6559">
        <v>-6.6167039999999996E-2</v>
      </c>
      <c r="R6559">
        <v>4.6170700000000002E-2</v>
      </c>
      <c r="S6559">
        <v>3.0037690000000001</v>
      </c>
      <c r="T6559">
        <v>-0.1199342</v>
      </c>
      <c r="U6559">
        <v>-4.379272E-2</v>
      </c>
      <c r="V6559">
        <v>-3.2084790000000002E-2</v>
      </c>
      <c r="W6559">
        <v>-5.4557460000000002E-2</v>
      </c>
      <c r="X6559">
        <v>0.99799499999999997</v>
      </c>
      <c r="Y6559">
        <v>2.865506E-2</v>
      </c>
      <c r="Z6559">
        <v>-1.137749E-3</v>
      </c>
      <c r="AA6559">
        <v>0.9995887</v>
      </c>
      <c r="AB6559">
        <v>24</v>
      </c>
      <c r="AC6559">
        <v>27.946499999999901</v>
      </c>
      <c r="AD6559">
        <v>-1.1209777351170001</v>
      </c>
      <c r="AE6559">
        <v>-0.41117000000000498</v>
      </c>
      <c r="AF6559">
        <v>0.80431228067179505</v>
      </c>
      <c r="AG6559">
        <v>-1.1209777351170001</v>
      </c>
      <c r="AH6559">
        <v>27.893043463291701</v>
      </c>
      <c r="AI6559">
        <v>92.300434016628103</v>
      </c>
      <c r="AJ6559">
        <v>88.3483002565156</v>
      </c>
      <c r="AK6559">
        <v>27.927144196507999</v>
      </c>
      <c r="AL6559">
        <v>93.127465047857697</v>
      </c>
      <c r="AM6559">
        <v>91.841382069313596</v>
      </c>
      <c r="AN6559">
        <v>0.99999998510799704</v>
      </c>
    </row>
    <row r="6560" spans="1:40" x14ac:dyDescent="0.25">
      <c r="A6560" t="str">
        <f>"20190303154651474"</f>
        <v>20190303154651474</v>
      </c>
      <c r="B6560" t="str">
        <f>"1551599211467795"</f>
        <v>1551599211467795</v>
      </c>
      <c r="C6560" t="s">
        <v>40</v>
      </c>
      <c r="D6560">
        <v>5.1774040000000001</v>
      </c>
      <c r="E6560">
        <v>0.52297119999999997</v>
      </c>
      <c r="F6560" t="s">
        <v>73</v>
      </c>
      <c r="G6560">
        <v>-217.2149</v>
      </c>
      <c r="H6560" s="1">
        <v>-2.767561E-6</v>
      </c>
      <c r="I6560">
        <v>-63.027140000000003</v>
      </c>
      <c r="J6560">
        <v>-244.9504</v>
      </c>
      <c r="K6560">
        <v>1.1209750000000001</v>
      </c>
      <c r="L6560">
        <v>-62.627009999999999</v>
      </c>
      <c r="M6560">
        <v>0.99983140000000004</v>
      </c>
      <c r="N6560">
        <v>-1.164404E-2</v>
      </c>
      <c r="O6560">
        <v>1.419983E-2</v>
      </c>
      <c r="P6560">
        <v>0.99671659999999995</v>
      </c>
      <c r="Q6560">
        <v>-6.6194199999999995E-2</v>
      </c>
      <c r="R6560">
        <v>4.663088E-2</v>
      </c>
      <c r="S6560">
        <v>3.003784</v>
      </c>
      <c r="T6560">
        <v>-0.1208482</v>
      </c>
      <c r="U6560">
        <v>-4.2938230000000001E-2</v>
      </c>
      <c r="V6560">
        <v>-3.2459729999999999E-2</v>
      </c>
      <c r="W6560">
        <v>-5.4584559999999997E-2</v>
      </c>
      <c r="X6560">
        <v>0.99798140000000002</v>
      </c>
      <c r="Y6560">
        <v>2.8455669999999999E-2</v>
      </c>
      <c r="Z6560">
        <v>-1.143657E-3</v>
      </c>
      <c r="AA6560">
        <v>0.99959439999999999</v>
      </c>
      <c r="AB6560">
        <v>24</v>
      </c>
      <c r="AC6560">
        <v>27.735499999999998</v>
      </c>
      <c r="AD6560">
        <v>-1.120977767561</v>
      </c>
      <c r="AE6560">
        <v>-0.40013000000000398</v>
      </c>
      <c r="AF6560">
        <v>0.792661178689403</v>
      </c>
      <c r="AG6560">
        <v>-1.120977767561</v>
      </c>
      <c r="AH6560">
        <v>27.681811962313201</v>
      </c>
      <c r="AI6560">
        <v>92.317982275019702</v>
      </c>
      <c r="AJ6560">
        <v>88.3597990863219</v>
      </c>
      <c r="AK6560">
        <v>27.715836924336799</v>
      </c>
      <c r="AL6560">
        <v>93.129020060638993</v>
      </c>
      <c r="AM6560">
        <v>91.8629105905502</v>
      </c>
      <c r="AN6560">
        <v>0.99999999150401297</v>
      </c>
    </row>
    <row r="6561" spans="1:40" x14ac:dyDescent="0.25">
      <c r="A6561" t="str">
        <f>"20190303154651486"</f>
        <v>20190303154651486</v>
      </c>
      <c r="B6561" t="str">
        <f>"1551599211478532"</f>
        <v>1551599211478532</v>
      </c>
      <c r="C6561" t="s">
        <v>40</v>
      </c>
      <c r="D6561">
        <v>5.0932459999999997</v>
      </c>
      <c r="E6561">
        <v>0.52296880000000001</v>
      </c>
      <c r="F6561" t="s">
        <v>73</v>
      </c>
      <c r="G6561">
        <v>-217.0556</v>
      </c>
      <c r="H6561" s="1">
        <v>-2.6977029999999999E-6</v>
      </c>
      <c r="I6561">
        <v>-63.021439999999998</v>
      </c>
      <c r="J6561">
        <v>-244.83</v>
      </c>
      <c r="K6561">
        <v>1.1209769999999999</v>
      </c>
      <c r="L6561">
        <v>-62.625210000000003</v>
      </c>
      <c r="M6561">
        <v>0.9998302</v>
      </c>
      <c r="N6561">
        <v>-1.164433E-2</v>
      </c>
      <c r="O6561">
        <v>1.4280650000000001E-2</v>
      </c>
      <c r="P6561">
        <v>0.99669470000000004</v>
      </c>
      <c r="Q6561">
        <v>-6.6252699999999998E-2</v>
      </c>
      <c r="R6561">
        <v>4.701284E-2</v>
      </c>
      <c r="S6561">
        <v>3.0038450000000001</v>
      </c>
      <c r="T6561">
        <v>-0.12071229999999999</v>
      </c>
      <c r="U6561">
        <v>-4.2480469999999999E-2</v>
      </c>
      <c r="V6561">
        <v>-3.2761800000000001E-2</v>
      </c>
      <c r="W6561">
        <v>-5.4642980000000001E-2</v>
      </c>
      <c r="X6561">
        <v>0.99796830000000003</v>
      </c>
      <c r="Y6561">
        <v>2.8384E-2</v>
      </c>
      <c r="Z6561">
        <v>-1.1427989999999999E-3</v>
      </c>
      <c r="AA6561">
        <v>0.99959640000000005</v>
      </c>
      <c r="AB6561">
        <v>24</v>
      </c>
      <c r="AC6561">
        <v>27.7744</v>
      </c>
      <c r="AD6561">
        <v>-1.120979697703</v>
      </c>
      <c r="AE6561">
        <v>-0.39623000000000902</v>
      </c>
      <c r="AF6561">
        <v>0.79156382563735705</v>
      </c>
      <c r="AG6561">
        <v>-1.120979697703</v>
      </c>
      <c r="AH6561">
        <v>27.7207621744748</v>
      </c>
      <c r="AI6561">
        <v>92.314738097089503</v>
      </c>
      <c r="AJ6561">
        <v>88.364368720879497</v>
      </c>
      <c r="AK6561">
        <v>27.754708146664299</v>
      </c>
      <c r="AL6561">
        <v>93.132372384080995</v>
      </c>
      <c r="AM6561">
        <v>91.880259099434795</v>
      </c>
      <c r="AN6561">
        <v>0.999999959303704</v>
      </c>
    </row>
    <row r="6562" spans="1:40" x14ac:dyDescent="0.25">
      <c r="A6562" t="str">
        <f>"20190303154651506"</f>
        <v>20190303154651506</v>
      </c>
      <c r="B6562" t="str">
        <f>"1551599211498052"</f>
        <v>1551599211498052</v>
      </c>
      <c r="C6562" t="s">
        <v>40</v>
      </c>
      <c r="D6562">
        <v>5.126239</v>
      </c>
      <c r="E6562">
        <v>0.52304669999999998</v>
      </c>
      <c r="F6562" t="s">
        <v>73</v>
      </c>
      <c r="G6562">
        <v>-217.1095</v>
      </c>
      <c r="H6562" s="1">
        <v>-2.7166989999999999E-6</v>
      </c>
      <c r="I6562">
        <v>-63.005920000000003</v>
      </c>
      <c r="J6562">
        <v>-244.6052</v>
      </c>
      <c r="K6562">
        <v>1.120976</v>
      </c>
      <c r="L6562">
        <v>-62.621830000000003</v>
      </c>
      <c r="M6562">
        <v>0.9998281</v>
      </c>
      <c r="N6562">
        <v>-1.164491E-2</v>
      </c>
      <c r="O6562">
        <v>1.443144E-2</v>
      </c>
      <c r="P6562">
        <v>0.9966933</v>
      </c>
      <c r="Q6562">
        <v>-6.5911709999999998E-2</v>
      </c>
      <c r="R6562">
        <v>4.7522179999999997E-2</v>
      </c>
      <c r="S6562">
        <v>3.0037989999999999</v>
      </c>
      <c r="T6562">
        <v>-0.1214696</v>
      </c>
      <c r="U6562">
        <v>-4.1259770000000001E-2</v>
      </c>
      <c r="V6562">
        <v>-3.3120749999999997E-2</v>
      </c>
      <c r="W6562">
        <v>-5.4301410000000001E-2</v>
      </c>
      <c r="X6562">
        <v>0.9979751</v>
      </c>
      <c r="Y6562">
        <v>2.81286E-2</v>
      </c>
      <c r="Z6562">
        <v>-1.147679E-3</v>
      </c>
      <c r="AA6562">
        <v>0.99960360000000004</v>
      </c>
      <c r="AB6562">
        <v>24</v>
      </c>
      <c r="AC6562">
        <v>27.495699999999999</v>
      </c>
      <c r="AD6562">
        <v>-1.120978716699</v>
      </c>
      <c r="AE6562">
        <v>-0.38408999999999299</v>
      </c>
      <c r="AF6562">
        <v>0.77958391011499795</v>
      </c>
      <c r="AG6562">
        <v>-1.120978716699</v>
      </c>
      <c r="AH6562">
        <v>27.4416901223473</v>
      </c>
      <c r="AI6562">
        <v>92.338259820145396</v>
      </c>
      <c r="AJ6562">
        <v>88.372736620406499</v>
      </c>
      <c r="AK6562">
        <v>27.475638320649399</v>
      </c>
      <c r="AL6562">
        <v>93.112772750239898</v>
      </c>
      <c r="AM6562">
        <v>91.900831917236204</v>
      </c>
      <c r="AN6562">
        <v>0.99999996371427902</v>
      </c>
    </row>
    <row r="6563" spans="1:40" x14ac:dyDescent="0.25">
      <c r="A6563" t="str">
        <f>"20190303154651519"</f>
        <v>20190303154651519</v>
      </c>
      <c r="B6563" t="str">
        <f>"1551599211507813"</f>
        <v>1551599211507813</v>
      </c>
      <c r="C6563" t="s">
        <v>40</v>
      </c>
      <c r="D6563">
        <v>5.1079689999999998</v>
      </c>
      <c r="E6563">
        <v>0.52305409999999997</v>
      </c>
      <c r="F6563" t="s">
        <v>73</v>
      </c>
      <c r="G6563">
        <v>-216.89070000000001</v>
      </c>
      <c r="H6563" s="1">
        <v>-2.6197300000000001E-6</v>
      </c>
      <c r="I6563">
        <v>-62.994280000000003</v>
      </c>
      <c r="J6563">
        <v>-244.46520000000001</v>
      </c>
      <c r="K6563">
        <v>1.1209819999999999</v>
      </c>
      <c r="L6563">
        <v>-62.619720000000001</v>
      </c>
      <c r="M6563">
        <v>0.99982680000000002</v>
      </c>
      <c r="N6563">
        <v>-1.1645290000000001E-2</v>
      </c>
      <c r="O6563">
        <v>1.4525379999999999E-2</v>
      </c>
      <c r="P6563">
        <v>0.99666399999999999</v>
      </c>
      <c r="Q6563">
        <v>-6.6124870000000002E-2</v>
      </c>
      <c r="R6563">
        <v>4.7844280000000003E-2</v>
      </c>
      <c r="S6563">
        <v>3.0038450000000001</v>
      </c>
      <c r="T6563">
        <v>-0.12149740000000001</v>
      </c>
      <c r="U6563">
        <v>-4.0374760000000003E-2</v>
      </c>
      <c r="V6563">
        <v>-3.3349259999999999E-2</v>
      </c>
      <c r="W6563">
        <v>-5.4514460000000001E-2</v>
      </c>
      <c r="X6563">
        <v>0.99795590000000001</v>
      </c>
      <c r="Y6563">
        <v>2.7928000000000001E-2</v>
      </c>
      <c r="Z6563">
        <v>-1.1454060000000001E-3</v>
      </c>
      <c r="AA6563">
        <v>0.99960930000000003</v>
      </c>
      <c r="AB6563">
        <v>24</v>
      </c>
      <c r="AC6563">
        <v>27.5745</v>
      </c>
      <c r="AD6563">
        <v>-1.12098461973</v>
      </c>
      <c r="AE6563">
        <v>-0.374560000000009</v>
      </c>
      <c r="AF6563">
        <v>0.77379909273324898</v>
      </c>
      <c r="AG6563">
        <v>-1.12098461973</v>
      </c>
      <c r="AH6563">
        <v>27.520675550663</v>
      </c>
      <c r="AI6563">
        <v>92.331587790842406</v>
      </c>
      <c r="AJ6563">
        <v>88.389438358826098</v>
      </c>
      <c r="AK6563">
        <v>27.554363616647802</v>
      </c>
      <c r="AL6563">
        <v>93.12499764543</v>
      </c>
      <c r="AM6563">
        <v>91.913973402548393</v>
      </c>
      <c r="AN6563">
        <v>0.99999998891822395</v>
      </c>
    </row>
    <row r="6564" spans="1:40" x14ac:dyDescent="0.25">
      <c r="A6564" t="str">
        <f>"20190303154651532"</f>
        <v>20190303154651532</v>
      </c>
      <c r="B6564" t="str">
        <f>"1551599211528307"</f>
        <v>1551599211528307</v>
      </c>
      <c r="C6564" t="s">
        <v>40</v>
      </c>
      <c r="D6564">
        <v>5.125686</v>
      </c>
      <c r="E6564">
        <v>0.5230089</v>
      </c>
      <c r="F6564" t="s">
        <v>73</v>
      </c>
      <c r="G6564">
        <v>-217.0701</v>
      </c>
      <c r="H6564" s="1">
        <v>-2.6927859999999999E-6</v>
      </c>
      <c r="I6564">
        <v>-62.979529999999997</v>
      </c>
      <c r="J6564">
        <v>-244.3442</v>
      </c>
      <c r="K6564">
        <v>1.120984</v>
      </c>
      <c r="L6564">
        <v>-62.617829999999998</v>
      </c>
      <c r="M6564">
        <v>0.99982550000000003</v>
      </c>
      <c r="N6564">
        <v>-1.1645630000000001E-2</v>
      </c>
      <c r="O6564">
        <v>1.460649E-2</v>
      </c>
      <c r="P6564">
        <v>0.99665709999999996</v>
      </c>
      <c r="Q6564">
        <v>-6.5994289999999997E-2</v>
      </c>
      <c r="R6564">
        <v>4.8163209999999998E-2</v>
      </c>
      <c r="S6564">
        <v>3.0037989999999999</v>
      </c>
      <c r="T6564">
        <v>-0.1229132</v>
      </c>
      <c r="U6564">
        <v>-3.9459229999999998E-2</v>
      </c>
      <c r="V6564">
        <v>-3.3587430000000001E-2</v>
      </c>
      <c r="W6564">
        <v>-5.4383609999999999E-2</v>
      </c>
      <c r="X6564">
        <v>0.99795509999999998</v>
      </c>
      <c r="Y6564">
        <v>2.7704090000000001E-2</v>
      </c>
      <c r="Z6564">
        <v>-1.1553290000000001E-3</v>
      </c>
      <c r="AA6564">
        <v>0.99961549999999999</v>
      </c>
      <c r="AB6564">
        <v>24</v>
      </c>
      <c r="AC6564">
        <v>27.274100000000001</v>
      </c>
      <c r="AD6564">
        <v>-1.1209866927859999</v>
      </c>
      <c r="AE6564">
        <v>-0.36169999999999802</v>
      </c>
      <c r="AF6564">
        <v>0.75878572268866795</v>
      </c>
      <c r="AG6564">
        <v>-1.1209866927859999</v>
      </c>
      <c r="AH6564">
        <v>27.219932631237501</v>
      </c>
      <c r="AI6564">
        <v>92.357339958213998</v>
      </c>
      <c r="AJ6564">
        <v>88.403230305543104</v>
      </c>
      <c r="AK6564">
        <v>27.253570397059299</v>
      </c>
      <c r="AL6564">
        <v>93.117489204216199</v>
      </c>
      <c r="AM6564">
        <v>91.9276336713028</v>
      </c>
      <c r="AN6564">
        <v>1.00000003705332</v>
      </c>
    </row>
    <row r="6565" spans="1:40" x14ac:dyDescent="0.25">
      <c r="A6565" t="str">
        <f>"20190303154651543"</f>
        <v>20190303154651543</v>
      </c>
      <c r="B6565" t="str">
        <f>"1551599211538068"</f>
        <v>1551599211538068</v>
      </c>
      <c r="C6565" t="s">
        <v>40</v>
      </c>
      <c r="D6565">
        <v>5.1734739999999997</v>
      </c>
      <c r="E6565">
        <v>0.50313829999999904</v>
      </c>
      <c r="F6565" t="s">
        <v>73</v>
      </c>
      <c r="G6565">
        <v>-216.97389999999999</v>
      </c>
      <c r="H6565" s="1">
        <v>-2.6476700000000001E-6</v>
      </c>
      <c r="I6565">
        <v>-62.965089999999996</v>
      </c>
      <c r="J6565">
        <v>-244.20750000000001</v>
      </c>
      <c r="K6565">
        <v>1.120986</v>
      </c>
      <c r="L6565">
        <v>-62.615720000000003</v>
      </c>
      <c r="M6565">
        <v>0.99982409999999999</v>
      </c>
      <c r="N6565">
        <v>-1.164602E-2</v>
      </c>
      <c r="O6565">
        <v>1.469852E-2</v>
      </c>
      <c r="P6565">
        <v>0.99666250000000001</v>
      </c>
      <c r="Q6565">
        <v>-6.5690189999999996E-2</v>
      </c>
      <c r="R6565">
        <v>4.8464630000000002E-2</v>
      </c>
      <c r="S6565">
        <v>3.0037379999999998</v>
      </c>
      <c r="T6565">
        <v>-0.1230221</v>
      </c>
      <c r="U6565">
        <v>-3.8116459999999998E-2</v>
      </c>
      <c r="V6565">
        <v>-3.3796890000000003E-2</v>
      </c>
      <c r="W6565">
        <v>-5.4079049999999997E-2</v>
      </c>
      <c r="X6565">
        <v>0.99796459999999998</v>
      </c>
      <c r="Y6565">
        <v>2.7349849999999998E-2</v>
      </c>
      <c r="Z6565">
        <v>-1.1497650000000001E-3</v>
      </c>
      <c r="AA6565">
        <v>0.99962530000000005</v>
      </c>
      <c r="AB6565">
        <v>24</v>
      </c>
      <c r="AC6565">
        <v>27.233599999999999</v>
      </c>
      <c r="AD6565">
        <v>-1.1209886476699999</v>
      </c>
      <c r="AE6565">
        <v>-0.34937000000000701</v>
      </c>
      <c r="AF6565">
        <v>0.74838524788546801</v>
      </c>
      <c r="AG6565">
        <v>-1.1209886476699999</v>
      </c>
      <c r="AH6565">
        <v>27.179479182221701</v>
      </c>
      <c r="AI6565">
        <v>92.360870999193395</v>
      </c>
      <c r="AJ6565">
        <v>88.422762844345797</v>
      </c>
      <c r="AK6565">
        <v>27.212879021600799</v>
      </c>
      <c r="AL6565">
        <v>93.100013419468993</v>
      </c>
      <c r="AM6565">
        <v>91.939627295026497</v>
      </c>
      <c r="AN6565">
        <v>1.0000000581378601</v>
      </c>
    </row>
    <row r="6566" spans="1:40" x14ac:dyDescent="0.25">
      <c r="A6566" t="str">
        <f>"20190303154651556"</f>
        <v>20190303154651556</v>
      </c>
      <c r="B6566" t="str">
        <f>"1551599211548803"</f>
        <v>1551599211548803</v>
      </c>
      <c r="C6566" t="s">
        <v>40</v>
      </c>
      <c r="D6566">
        <v>5.2097059999999997</v>
      </c>
      <c r="E6566">
        <v>0.500444</v>
      </c>
      <c r="F6566" t="s">
        <v>74</v>
      </c>
      <c r="G6566">
        <v>-224.8441</v>
      </c>
      <c r="H6566" s="1">
        <v>-1.518932E-6</v>
      </c>
      <c r="I6566">
        <v>-61.8352</v>
      </c>
      <c r="J6566">
        <v>-244.0686</v>
      </c>
      <c r="K6566">
        <v>1.1209789999999999</v>
      </c>
      <c r="L6566">
        <v>-62.613590000000002</v>
      </c>
      <c r="M6566">
        <v>0.99982289999999996</v>
      </c>
      <c r="N6566">
        <v>-1.1646409999999999E-2</v>
      </c>
      <c r="O6566">
        <v>1.479156E-2</v>
      </c>
      <c r="P6566">
        <v>0.99667950000000005</v>
      </c>
      <c r="Q6566">
        <v>-6.5204520000000002E-2</v>
      </c>
      <c r="R6566">
        <v>4.8773299999999999E-2</v>
      </c>
      <c r="S6566">
        <v>2.9927670000000002</v>
      </c>
      <c r="T6566">
        <v>-0.17325789999999999</v>
      </c>
      <c r="U6566">
        <v>0.12063599999999999</v>
      </c>
      <c r="V6566">
        <v>-3.4012880000000002E-2</v>
      </c>
      <c r="W6566">
        <v>-5.3592790000000001E-2</v>
      </c>
      <c r="X6566">
        <v>0.99798350000000002</v>
      </c>
      <c r="Y6566">
        <v>-2.545615E-2</v>
      </c>
      <c r="Z6566">
        <v>2.0133320000000001E-4</v>
      </c>
      <c r="AA6566">
        <v>0.99967589999999995</v>
      </c>
      <c r="AB6566">
        <v>24</v>
      </c>
      <c r="AC6566">
        <v>19.224499999999999</v>
      </c>
      <c r="AD6566">
        <v>-1.1209805189319999</v>
      </c>
      <c r="AE6566">
        <v>0.77839000000000103</v>
      </c>
      <c r="AF6566">
        <v>-0.49225428384673298</v>
      </c>
      <c r="AG6566">
        <v>-1.1209805189319999</v>
      </c>
      <c r="AH6566">
        <v>19.168842457649301</v>
      </c>
      <c r="AI6566">
        <v>93.345704987511496</v>
      </c>
      <c r="AJ6566">
        <v>91.471027560464293</v>
      </c>
      <c r="AK6566">
        <v>19.2079002696799</v>
      </c>
      <c r="AL6566">
        <v>93.072112292547104</v>
      </c>
      <c r="AM6566">
        <v>91.951976614828098</v>
      </c>
      <c r="AN6566">
        <v>1.0000000647090601</v>
      </c>
    </row>
    <row r="6567" spans="1:40" x14ac:dyDescent="0.25">
      <c r="A6567" t="str">
        <f>"20190303154651570"</f>
        <v>20190303154651570</v>
      </c>
      <c r="B6567" t="str">
        <f>"1551599211558564"</f>
        <v>1551599211558564</v>
      </c>
      <c r="C6567" t="s">
        <v>40</v>
      </c>
      <c r="D6567">
        <v>5.1667300000000003</v>
      </c>
      <c r="E6567">
        <v>0.49843720000000002</v>
      </c>
      <c r="F6567" t="s">
        <v>74</v>
      </c>
      <c r="G6567">
        <v>-224.84979999999999</v>
      </c>
      <c r="H6567" s="1">
        <v>-1.4901590000000001E-6</v>
      </c>
      <c r="I6567">
        <v>-61.694870000000002</v>
      </c>
      <c r="J6567">
        <v>-243.92850000000001</v>
      </c>
      <c r="K6567">
        <v>1.1209800000000001</v>
      </c>
      <c r="L6567">
        <v>-62.611420000000003</v>
      </c>
      <c r="M6567">
        <v>0.99982139999999997</v>
      </c>
      <c r="N6567">
        <v>-1.164681E-2</v>
      </c>
      <c r="O6567">
        <v>1.4885789999999999E-2</v>
      </c>
      <c r="P6567">
        <v>0.9966758</v>
      </c>
      <c r="Q6567">
        <v>-6.5134600000000001E-2</v>
      </c>
      <c r="R6567">
        <v>4.8939940000000001E-2</v>
      </c>
      <c r="S6567">
        <v>2.9915769999999999</v>
      </c>
      <c r="T6567">
        <v>-0.17449029999999999</v>
      </c>
      <c r="U6567">
        <v>0.14300539999999901</v>
      </c>
      <c r="V6567">
        <v>-3.4085810000000001E-2</v>
      </c>
      <c r="W6567">
        <v>-5.3522449999999999E-2</v>
      </c>
      <c r="X6567">
        <v>0.99798469999999995</v>
      </c>
      <c r="Y6567">
        <v>-3.2822400000000002E-2</v>
      </c>
      <c r="Z6567">
        <v>4.5357779999999999E-4</v>
      </c>
      <c r="AA6567">
        <v>0.99946109999999999</v>
      </c>
      <c r="AB6567">
        <v>24</v>
      </c>
      <c r="AC6567">
        <v>19.078700000000001</v>
      </c>
      <c r="AD6567">
        <v>-1.1209814901589901</v>
      </c>
      <c r="AE6567">
        <v>0.91654999999999998</v>
      </c>
      <c r="AF6567">
        <v>-0.63025687686049603</v>
      </c>
      <c r="AG6567">
        <v>-1.1209814901589901</v>
      </c>
      <c r="AH6567">
        <v>19.024703932513301</v>
      </c>
      <c r="AI6567">
        <v>93.370262153084695</v>
      </c>
      <c r="AJ6567">
        <v>91.897420185942593</v>
      </c>
      <c r="AK6567">
        <v>19.068119544199799</v>
      </c>
      <c r="AL6567">
        <v>93.068076580552002</v>
      </c>
      <c r="AM6567">
        <v>91.956156420627906</v>
      </c>
      <c r="AN6567">
        <v>0.99999997826572395</v>
      </c>
    </row>
    <row r="6568" spans="1:40" x14ac:dyDescent="0.25">
      <c r="A6568" t="str">
        <f>"20190303154651586"</f>
        <v>20190303154651586</v>
      </c>
      <c r="B6568" t="str">
        <f>"1551599211578083"</f>
        <v>1551599211578083</v>
      </c>
      <c r="C6568" t="s">
        <v>40</v>
      </c>
      <c r="D6568">
        <v>5.1617160000000002</v>
      </c>
      <c r="E6568">
        <v>0.49631550000000002</v>
      </c>
      <c r="F6568" t="s">
        <v>74</v>
      </c>
      <c r="G6568">
        <v>-224.60900000000001</v>
      </c>
      <c r="H6568" s="1">
        <v>-1.361607E-6</v>
      </c>
      <c r="I6568">
        <v>-61.581409999999998</v>
      </c>
      <c r="J6568">
        <v>-243.75219999999999</v>
      </c>
      <c r="K6568">
        <v>1.120978</v>
      </c>
      <c r="L6568">
        <v>-62.608640000000001</v>
      </c>
      <c r="M6568">
        <v>0.99981960000000003</v>
      </c>
      <c r="N6568">
        <v>-1.1647319999999999E-2</v>
      </c>
      <c r="O6568">
        <v>1.5004089999999999E-2</v>
      </c>
      <c r="P6568">
        <v>0.99666940000000004</v>
      </c>
      <c r="Q6568">
        <v>-6.5152669999999996E-2</v>
      </c>
      <c r="R6568">
        <v>4.9044999999999998E-2</v>
      </c>
      <c r="S6568">
        <v>2.9908139999999999</v>
      </c>
      <c r="T6568">
        <v>-0.17353650000000001</v>
      </c>
      <c r="U6568">
        <v>0.15945429999999999</v>
      </c>
      <c r="V6568">
        <v>-3.4072459999999999E-2</v>
      </c>
      <c r="W6568">
        <v>-5.3540020000000001E-2</v>
      </c>
      <c r="X6568">
        <v>0.99798419999999999</v>
      </c>
      <c r="Y6568">
        <v>-3.8188390000000003E-2</v>
      </c>
      <c r="Z6568">
        <v>6.3439479999999999E-4</v>
      </c>
      <c r="AA6568">
        <v>0.9992704</v>
      </c>
      <c r="AB6568">
        <v>24</v>
      </c>
      <c r="AC6568">
        <v>19.143199999999901</v>
      </c>
      <c r="AD6568">
        <v>-1.1209793616069901</v>
      </c>
      <c r="AE6568">
        <v>1.0272300000000001</v>
      </c>
      <c r="AF6568">
        <v>-0.73734747589943705</v>
      </c>
      <c r="AG6568">
        <v>-1.1209793616069901</v>
      </c>
      <c r="AH6568">
        <v>19.091182987958302</v>
      </c>
      <c r="AI6568">
        <v>93.357887279663998</v>
      </c>
      <c r="AJ6568">
        <v>92.211801687691803</v>
      </c>
      <c r="AK6568">
        <v>19.138274318994199</v>
      </c>
      <c r="AL6568">
        <v>93.069084754084997</v>
      </c>
      <c r="AM6568">
        <v>91.955391848963302</v>
      </c>
      <c r="AN6568">
        <v>0.99999996486084497</v>
      </c>
    </row>
    <row r="6569" spans="1:40" x14ac:dyDescent="0.25">
      <c r="A6569" t="str">
        <f>"20190303154651608"</f>
        <v>20190303154651608</v>
      </c>
      <c r="B6569" t="str">
        <f>"1551599211598580"</f>
        <v>1551599211598580</v>
      </c>
      <c r="C6569" t="s">
        <v>40</v>
      </c>
      <c r="D6569">
        <v>5.1791619999999998</v>
      </c>
      <c r="E6569">
        <v>0.49511329999999998</v>
      </c>
      <c r="F6569" t="s">
        <v>74</v>
      </c>
      <c r="G6569">
        <v>-224.6456</v>
      </c>
      <c r="H6569" s="1">
        <v>-1.3546299999999999E-6</v>
      </c>
      <c r="I6569">
        <v>-61.479280000000003</v>
      </c>
      <c r="J6569">
        <v>-243.51589999999999</v>
      </c>
      <c r="K6569">
        <v>1.120976</v>
      </c>
      <c r="L6569">
        <v>-62.6049199999999</v>
      </c>
      <c r="M6569">
        <v>0.99981730000000002</v>
      </c>
      <c r="N6569">
        <v>-1.164803E-2</v>
      </c>
      <c r="O6569">
        <v>1.5162989999999999E-2</v>
      </c>
      <c r="P6569">
        <v>0.99667380000000005</v>
      </c>
      <c r="Q6569">
        <v>-6.5243179999999998E-2</v>
      </c>
      <c r="R6569">
        <v>4.8838079999999999E-2</v>
      </c>
      <c r="S6569">
        <v>2.9898829999999998</v>
      </c>
      <c r="T6569">
        <v>-0.1754155</v>
      </c>
      <c r="U6569">
        <v>0.1767273</v>
      </c>
      <c r="V6569">
        <v>-3.3706809999999997E-2</v>
      </c>
      <c r="W6569">
        <v>-5.3629650000000001E-2</v>
      </c>
      <c r="X6569">
        <v>0.99799190000000004</v>
      </c>
      <c r="Y6569">
        <v>-4.378775E-2</v>
      </c>
      <c r="Z6569">
        <v>8.262295E-4</v>
      </c>
      <c r="AA6569">
        <v>0.9990405</v>
      </c>
      <c r="AB6569">
        <v>24</v>
      </c>
      <c r="AC6569">
        <v>18.870299999999901</v>
      </c>
      <c r="AD6569">
        <v>-1.1209773546299999</v>
      </c>
      <c r="AE6569">
        <v>1.12563999999999</v>
      </c>
      <c r="AF6569">
        <v>-0.83641986888937303</v>
      </c>
      <c r="AG6569">
        <v>-1.1209773546299999</v>
      </c>
      <c r="AH6569">
        <v>18.819025023641</v>
      </c>
      <c r="AI6569">
        <v>93.405508560252699</v>
      </c>
      <c r="AJ6569">
        <v>92.544861373341405</v>
      </c>
      <c r="AK6569">
        <v>18.8709271438128</v>
      </c>
      <c r="AL6569">
        <v>93.074227269565</v>
      </c>
      <c r="AM6569">
        <v>91.934408596681905</v>
      </c>
      <c r="AN6569">
        <v>1.0000000604325501</v>
      </c>
    </row>
    <row r="6570" spans="1:40" x14ac:dyDescent="0.25">
      <c r="A6570" t="str">
        <f>"20190303154651619"</f>
        <v>20190303154651619</v>
      </c>
      <c r="B6570" t="str">
        <f>"1551599211608340"</f>
        <v>1551599211608340</v>
      </c>
      <c r="C6570" t="s">
        <v>40</v>
      </c>
      <c r="D6570">
        <v>5.1474840000000004</v>
      </c>
      <c r="E6570">
        <v>0.49487209999999998</v>
      </c>
      <c r="F6570" t="s">
        <v>74</v>
      </c>
      <c r="G6570">
        <v>-224.63679999999999</v>
      </c>
      <c r="H6570" s="1">
        <v>-1.3404499999999901E-6</v>
      </c>
      <c r="I6570">
        <v>-61.432510000000001</v>
      </c>
      <c r="J6570">
        <v>-243.39490000000001</v>
      </c>
      <c r="K6570">
        <v>1.1209789999999999</v>
      </c>
      <c r="L6570">
        <v>-62.603000000000002</v>
      </c>
      <c r="M6570">
        <v>0.99981609999999999</v>
      </c>
      <c r="N6570">
        <v>-1.164841E-2</v>
      </c>
      <c r="O6570">
        <v>1.524411E-2</v>
      </c>
      <c r="P6570">
        <v>0.99666220000000005</v>
      </c>
      <c r="Q6570">
        <v>-6.5357659999999998E-2</v>
      </c>
      <c r="R6570">
        <v>4.8919669999999998E-2</v>
      </c>
      <c r="S6570">
        <v>2.9893040000000002</v>
      </c>
      <c r="T6570">
        <v>-0.1774946</v>
      </c>
      <c r="U6570">
        <v>0.18563840000000001</v>
      </c>
      <c r="V6570">
        <v>-3.3708040000000002E-2</v>
      </c>
      <c r="W6570">
        <v>-5.3743850000000003E-2</v>
      </c>
      <c r="X6570">
        <v>0.99798569999999998</v>
      </c>
      <c r="Y6570">
        <v>-4.6677719999999999E-2</v>
      </c>
      <c r="Z6570">
        <v>9.2961050000000005E-4</v>
      </c>
      <c r="AA6570">
        <v>0.99890959999999995</v>
      </c>
      <c r="AB6570">
        <v>24</v>
      </c>
      <c r="AC6570">
        <v>18.758099999999999</v>
      </c>
      <c r="AD6570">
        <v>-1.1209803404500001</v>
      </c>
      <c r="AE6570">
        <v>1.17049</v>
      </c>
      <c r="AF6570">
        <v>-0.881249134116322</v>
      </c>
      <c r="AG6570">
        <v>-1.1209803404500001</v>
      </c>
      <c r="AH6570">
        <v>18.7072156086276</v>
      </c>
      <c r="AI6570">
        <v>93.425407827500905</v>
      </c>
      <c r="AJ6570">
        <v>92.697063944339405</v>
      </c>
      <c r="AK6570">
        <v>18.761479493572399</v>
      </c>
      <c r="AL6570">
        <v>93.080779943609102</v>
      </c>
      <c r="AM6570">
        <v>91.934491140676897</v>
      </c>
      <c r="AN6570">
        <v>1.0000000453889699</v>
      </c>
    </row>
    <row r="6571" spans="1:40" x14ac:dyDescent="0.25">
      <c r="A6571" t="str">
        <f>"20190303154651630"</f>
        <v>20190303154651630</v>
      </c>
      <c r="B6571" t="str">
        <f>"1551599211618099"</f>
        <v>1551599211618099</v>
      </c>
      <c r="C6571" t="s">
        <v>40</v>
      </c>
      <c r="D6571">
        <v>5.1757970000000002</v>
      </c>
      <c r="E6571">
        <v>0.49481140000000001</v>
      </c>
      <c r="F6571" t="s">
        <v>74</v>
      </c>
      <c r="G6571">
        <v>-224.75129999999999</v>
      </c>
      <c r="H6571" s="1">
        <v>-1.3894100000000001E-6</v>
      </c>
      <c r="I6571">
        <v>-61.431789999999999</v>
      </c>
      <c r="J6571">
        <v>-243.27330000000001</v>
      </c>
      <c r="K6571">
        <v>1.1209800000000001</v>
      </c>
      <c r="L6571">
        <v>-62.601039999999998</v>
      </c>
      <c r="M6571">
        <v>0.99981469999999995</v>
      </c>
      <c r="N6571">
        <v>-1.1648779999999999E-2</v>
      </c>
      <c r="O6571">
        <v>1.532594E-2</v>
      </c>
      <c r="P6571">
        <v>0.99666730000000003</v>
      </c>
      <c r="Q6571">
        <v>-6.5280779999999997E-2</v>
      </c>
      <c r="R6571">
        <v>4.8918419999999997E-2</v>
      </c>
      <c r="S6571">
        <v>2.9890439999999998</v>
      </c>
      <c r="T6571">
        <v>-0.17972170000000001</v>
      </c>
      <c r="U6571">
        <v>0.18777469999999999</v>
      </c>
      <c r="V6571">
        <v>-3.3624899999999999E-2</v>
      </c>
      <c r="W6571">
        <v>-5.3666480000000003E-2</v>
      </c>
      <c r="X6571">
        <v>0.99799260000000001</v>
      </c>
      <c r="Y6571">
        <v>-4.7309459999999998E-2</v>
      </c>
      <c r="Z6571">
        <v>9.5435940000000003E-4</v>
      </c>
      <c r="AA6571">
        <v>0.99887979999999998</v>
      </c>
      <c r="AB6571">
        <v>24</v>
      </c>
      <c r="AC6571">
        <v>18.521999999999998</v>
      </c>
      <c r="AD6571">
        <v>-1.12098138940999</v>
      </c>
      <c r="AE6571">
        <v>1.1692499999999999</v>
      </c>
      <c r="AF6571">
        <v>-0.882008478127009</v>
      </c>
      <c r="AG6571">
        <v>-1.12098138940999</v>
      </c>
      <c r="AH6571">
        <v>18.4703594689718</v>
      </c>
      <c r="AI6571">
        <v>93.469124785932706</v>
      </c>
      <c r="AJ6571">
        <v>92.733948067735</v>
      </c>
      <c r="AK6571">
        <v>18.525353360838398</v>
      </c>
      <c r="AL6571">
        <v>93.076340772214806</v>
      </c>
      <c r="AM6571">
        <v>91.929710048920398</v>
      </c>
      <c r="AN6571">
        <v>0.99999997731517998</v>
      </c>
    </row>
    <row r="6572" spans="1:40" x14ac:dyDescent="0.25">
      <c r="A6572" t="str">
        <f>"20190303154651641"</f>
        <v>20190303154651641</v>
      </c>
      <c r="B6572" t="str">
        <f>"1551599211638595"</f>
        <v>1551599211638595</v>
      </c>
      <c r="C6572" t="s">
        <v>40</v>
      </c>
      <c r="D6572">
        <v>5.1536200000000001</v>
      </c>
      <c r="E6572">
        <v>0.49481039999999998</v>
      </c>
      <c r="F6572" t="s">
        <v>74</v>
      </c>
      <c r="G6572">
        <v>-224.78059999999999</v>
      </c>
      <c r="H6572" s="1">
        <v>-1.4029510000000001E-6</v>
      </c>
      <c r="I6572">
        <v>-61.436239999999998</v>
      </c>
      <c r="J6572">
        <v>-243.1534</v>
      </c>
      <c r="K6572">
        <v>1.1209789999999999</v>
      </c>
      <c r="L6572">
        <v>-62.5991199999999</v>
      </c>
      <c r="M6572">
        <v>0.99981359999999997</v>
      </c>
      <c r="N6572">
        <v>-1.164916E-2</v>
      </c>
      <c r="O6572">
        <v>1.540658E-2</v>
      </c>
      <c r="P6572">
        <v>0.99667589999999995</v>
      </c>
      <c r="Q6572">
        <v>-6.5053970000000003E-2</v>
      </c>
      <c r="R6572">
        <v>4.90482E-2</v>
      </c>
      <c r="S6572">
        <v>2.9889220000000001</v>
      </c>
      <c r="T6572">
        <v>-0.1811808</v>
      </c>
      <c r="U6572">
        <v>0.18826290000000001</v>
      </c>
      <c r="V6572">
        <v>-3.3674330000000002E-2</v>
      </c>
      <c r="W6572">
        <v>-5.3439180000000003E-2</v>
      </c>
      <c r="X6572">
        <v>0.99800310000000003</v>
      </c>
      <c r="Y6572">
        <v>-4.7392709999999998E-2</v>
      </c>
      <c r="Z6572">
        <v>9.5751229999999998E-4</v>
      </c>
      <c r="AA6572">
        <v>0.99887590000000004</v>
      </c>
      <c r="AB6572">
        <v>24</v>
      </c>
      <c r="AC6572">
        <v>18.372800000000002</v>
      </c>
      <c r="AD6572">
        <v>-1.120980402951</v>
      </c>
      <c r="AE6572">
        <v>1.1628799999999799</v>
      </c>
      <c r="AF6572">
        <v>-0.87641127916000405</v>
      </c>
      <c r="AG6572">
        <v>-1.120980402951</v>
      </c>
      <c r="AH6572">
        <v>18.320608273008201</v>
      </c>
      <c r="AI6572">
        <v>93.497393855104605</v>
      </c>
      <c r="AJ6572">
        <v>92.738796390103303</v>
      </c>
      <c r="AK6572">
        <v>18.375782467341601</v>
      </c>
      <c r="AL6572">
        <v>93.063298818946606</v>
      </c>
      <c r="AM6572">
        <v>91.932524336513893</v>
      </c>
      <c r="AN6572">
        <v>0.99999994703481399</v>
      </c>
    </row>
    <row r="6573" spans="1:40" x14ac:dyDescent="0.25">
      <c r="A6573" t="str">
        <f>"20190303154651652"</f>
        <v>20190303154651652</v>
      </c>
      <c r="B6573" t="str">
        <f>"1551599211648355"</f>
        <v>1551599211648355</v>
      </c>
      <c r="C6573" t="s">
        <v>40</v>
      </c>
      <c r="D6573">
        <v>5.1724430000000003</v>
      </c>
      <c r="E6573">
        <v>0.49483359999999899</v>
      </c>
      <c r="F6573" t="s">
        <v>74</v>
      </c>
      <c r="G6573">
        <v>-224.90010000000001</v>
      </c>
      <c r="H6573" s="1">
        <v>-1.4566190000000001E-6</v>
      </c>
      <c r="I6573">
        <v>-61.447099999999999</v>
      </c>
      <c r="J6573">
        <v>-243.0384</v>
      </c>
      <c r="K6573">
        <v>1.1209750000000001</v>
      </c>
      <c r="L6573">
        <v>-62.597259999999999</v>
      </c>
      <c r="M6573">
        <v>0.99981240000000005</v>
      </c>
      <c r="N6573">
        <v>-1.164956E-2</v>
      </c>
      <c r="O6573">
        <v>1.548364E-2</v>
      </c>
      <c r="P6573">
        <v>0.99667349999999999</v>
      </c>
      <c r="Q6573">
        <v>-6.4939259999999999E-2</v>
      </c>
      <c r="R6573">
        <v>4.9244419999999997E-2</v>
      </c>
      <c r="S6573">
        <v>2.9887540000000001</v>
      </c>
      <c r="T6573">
        <v>-0.18354680000000001</v>
      </c>
      <c r="U6573">
        <v>0.1886292</v>
      </c>
      <c r="V6573">
        <v>-3.3793499999999997E-2</v>
      </c>
      <c r="W6573">
        <v>-5.3324070000000001E-2</v>
      </c>
      <c r="X6573">
        <v>0.99800529999999998</v>
      </c>
      <c r="Y6573">
        <v>-4.7439240000000001E-2</v>
      </c>
      <c r="Z6573">
        <v>9.6196979999999997E-4</v>
      </c>
      <c r="AA6573">
        <v>0.99887369999999998</v>
      </c>
      <c r="AB6573">
        <v>24</v>
      </c>
      <c r="AC6573">
        <v>18.138299999999902</v>
      </c>
      <c r="AD6573">
        <v>-1.1209764566189999</v>
      </c>
      <c r="AE6573">
        <v>1.1501599999999901</v>
      </c>
      <c r="AF6573">
        <v>-0.86586231004821901</v>
      </c>
      <c r="AG6573">
        <v>-1.1209764566189999</v>
      </c>
      <c r="AH6573">
        <v>18.0851366950853</v>
      </c>
      <c r="AI6573">
        <v>93.542796167929694</v>
      </c>
      <c r="AJ6573">
        <v>92.741057654597199</v>
      </c>
      <c r="AK6573">
        <v>18.140520252632701</v>
      </c>
      <c r="AL6573">
        <v>93.056693867290505</v>
      </c>
      <c r="AM6573">
        <v>91.939353856840299</v>
      </c>
      <c r="AN6573">
        <v>1.0000000179558499</v>
      </c>
    </row>
    <row r="6574" spans="1:40" x14ac:dyDescent="0.25">
      <c r="A6574" t="str">
        <f>"20190303154651663"</f>
        <v>20190303154651663</v>
      </c>
      <c r="B6574" t="str">
        <f>"1551599211658622"</f>
        <v>1551599211658622</v>
      </c>
      <c r="C6574" t="s">
        <v>40</v>
      </c>
      <c r="D6574">
        <v>5.1906569999999999</v>
      </c>
      <c r="E6574">
        <v>0.49487189999999998</v>
      </c>
      <c r="F6574" t="s">
        <v>74</v>
      </c>
      <c r="G6574">
        <v>-224.8878</v>
      </c>
      <c r="H6574" s="1">
        <v>-1.4518969999999999E-6</v>
      </c>
      <c r="I6574">
        <v>-61.449460000000002</v>
      </c>
      <c r="J6574">
        <v>-242.92060000000001</v>
      </c>
      <c r="K6574">
        <v>1.1209750000000001</v>
      </c>
      <c r="L6574">
        <v>-62.59534</v>
      </c>
      <c r="M6574">
        <v>0.99981109999999895</v>
      </c>
      <c r="N6574">
        <v>-1.1649980000000001E-2</v>
      </c>
      <c r="O6574">
        <v>1.5562799999999899E-2</v>
      </c>
      <c r="P6574">
        <v>0.99667300000000003</v>
      </c>
      <c r="Q6574">
        <v>-6.4934850000000002E-2</v>
      </c>
      <c r="R6574">
        <v>4.9261480000000003E-2</v>
      </c>
      <c r="S6574">
        <v>2.988632</v>
      </c>
      <c r="T6574">
        <v>-0.18457709999999999</v>
      </c>
      <c r="U6574">
        <v>0.18899540000000001</v>
      </c>
      <c r="V6574">
        <v>-3.3732119999999997E-2</v>
      </c>
      <c r="W6574">
        <v>-5.3319199999999997E-2</v>
      </c>
      <c r="X6574">
        <v>0.99800759999999999</v>
      </c>
      <c r="Y6574">
        <v>-4.74838E-2</v>
      </c>
      <c r="Z6574">
        <v>9.6251289999999998E-4</v>
      </c>
      <c r="AA6574">
        <v>0.99887159999999997</v>
      </c>
      <c r="AB6574">
        <v>24</v>
      </c>
      <c r="AC6574">
        <v>18.032800000000002</v>
      </c>
      <c r="AD6574">
        <v>-1.120976451897</v>
      </c>
      <c r="AE6574">
        <v>1.14588</v>
      </c>
      <c r="AF6574">
        <v>-0.86176462958786204</v>
      </c>
      <c r="AG6574">
        <v>-1.120976451897</v>
      </c>
      <c r="AH6574">
        <v>17.9792529545999</v>
      </c>
      <c r="AI6574">
        <v>93.563597660862996</v>
      </c>
      <c r="AJ6574">
        <v>92.744147204175803</v>
      </c>
      <c r="AK6574">
        <v>18.0347654070688</v>
      </c>
      <c r="AL6574">
        <v>93.056414551372995</v>
      </c>
      <c r="AM6574">
        <v>91.935829583359507</v>
      </c>
      <c r="AN6574">
        <v>0.99999998133304702</v>
      </c>
    </row>
    <row r="6575" spans="1:40" x14ac:dyDescent="0.25">
      <c r="A6575" t="str">
        <f>"20190303154651674"</f>
        <v>20190303154651674</v>
      </c>
      <c r="B6575" t="str">
        <f>"1551599211668382"</f>
        <v>1551599211668382</v>
      </c>
      <c r="C6575" t="s">
        <v>40</v>
      </c>
      <c r="D6575">
        <v>5.1312040000000003</v>
      </c>
      <c r="E6575">
        <v>0.49485200000000001</v>
      </c>
      <c r="F6575" t="s">
        <v>74</v>
      </c>
      <c r="G6575">
        <v>-224.8963</v>
      </c>
      <c r="H6575" s="1">
        <v>-1.457191E-6</v>
      </c>
      <c r="I6575">
        <v>-61.456969999999998</v>
      </c>
      <c r="J6575">
        <v>-242.79390000000001</v>
      </c>
      <c r="K6575">
        <v>1.1209750000000001</v>
      </c>
      <c r="L6575">
        <v>-62.593290000000003</v>
      </c>
      <c r="M6575">
        <v>0.99980990000000003</v>
      </c>
      <c r="N6575">
        <v>-1.165039E-2</v>
      </c>
      <c r="O6575">
        <v>1.5647729999999999E-2</v>
      </c>
      <c r="P6575">
        <v>0.99666569999999999</v>
      </c>
      <c r="Q6575">
        <v>-6.4973080000000002E-2</v>
      </c>
      <c r="R6575">
        <v>4.9359269999999997E-2</v>
      </c>
      <c r="S6575">
        <v>2.9885709999999999</v>
      </c>
      <c r="T6575">
        <v>-0.18586649999999999</v>
      </c>
      <c r="U6575">
        <v>0.18875120000000001</v>
      </c>
      <c r="V6575">
        <v>-3.3744900000000001E-2</v>
      </c>
      <c r="W6575">
        <v>-5.3357069999999999E-2</v>
      </c>
      <c r="X6575">
        <v>0.99800520000000004</v>
      </c>
      <c r="Y6575">
        <v>-4.7318399999999997E-2</v>
      </c>
      <c r="Z6575">
        <v>9.5567779999999999E-4</v>
      </c>
      <c r="AA6575">
        <v>0.99887939999999997</v>
      </c>
      <c r="AB6575">
        <v>24</v>
      </c>
      <c r="AC6575">
        <v>17.897600000000001</v>
      </c>
      <c r="AD6575">
        <v>-1.1209764571909999</v>
      </c>
      <c r="AE6575">
        <v>1.13632</v>
      </c>
      <c r="AF6575">
        <v>-0.85277321230786296</v>
      </c>
      <c r="AG6575">
        <v>-1.1209764571909999</v>
      </c>
      <c r="AH6575">
        <v>17.8434739573086</v>
      </c>
      <c r="AI6575">
        <v>93.590667815650704</v>
      </c>
      <c r="AJ6575">
        <v>92.736191222547902</v>
      </c>
      <c r="AK6575">
        <v>17.898976876747899</v>
      </c>
      <c r="AL6575">
        <v>93.058587264595999</v>
      </c>
      <c r="AM6575">
        <v>91.936567101199003</v>
      </c>
      <c r="AN6575">
        <v>1.0000000372110101</v>
      </c>
    </row>
    <row r="6576" spans="1:40" x14ac:dyDescent="0.25">
      <c r="A6576" t="str">
        <f>"20190303154651684"</f>
        <v>20190303154651684</v>
      </c>
      <c r="B6576" t="str">
        <f>"1551599211678143"</f>
        <v>1551599211678143</v>
      </c>
      <c r="C6576" t="s">
        <v>40</v>
      </c>
      <c r="D6576">
        <v>5.1749970000000003</v>
      </c>
      <c r="E6576">
        <v>0.49476530000000002</v>
      </c>
      <c r="F6576" t="s">
        <v>74</v>
      </c>
      <c r="G6576">
        <v>-224.82259999999999</v>
      </c>
      <c r="H6576" s="1">
        <v>-1.425271E-6</v>
      </c>
      <c r="I6576">
        <v>-61.455489999999998</v>
      </c>
      <c r="J6576">
        <v>-242.68209999999999</v>
      </c>
      <c r="K6576">
        <v>1.120981</v>
      </c>
      <c r="L6576">
        <v>-62.591459999999998</v>
      </c>
      <c r="M6576">
        <v>0.99980849999999999</v>
      </c>
      <c r="N6576">
        <v>-1.165077E-2</v>
      </c>
      <c r="O6576">
        <v>1.572283E-2</v>
      </c>
      <c r="P6576">
        <v>0.99664149999999996</v>
      </c>
      <c r="Q6576">
        <v>-6.5145239999999993E-2</v>
      </c>
      <c r="R6576">
        <v>4.9617389999999997E-2</v>
      </c>
      <c r="S6576">
        <v>2.9884949999999999</v>
      </c>
      <c r="T6576">
        <v>-0.18641079999999999</v>
      </c>
      <c r="U6576">
        <v>0.18920899999999999</v>
      </c>
      <c r="V6576">
        <v>-3.3928279999999998E-2</v>
      </c>
      <c r="W6576">
        <v>-5.3529090000000001E-2</v>
      </c>
      <c r="X6576">
        <v>0.99798969999999998</v>
      </c>
      <c r="Y6576">
        <v>-4.7396849999999997E-2</v>
      </c>
      <c r="Z6576">
        <v>9.5625790000000005E-4</v>
      </c>
      <c r="AA6576">
        <v>0.99887570000000003</v>
      </c>
      <c r="AB6576">
        <v>24</v>
      </c>
      <c r="AC6576">
        <v>17.859499999999901</v>
      </c>
      <c r="AD6576">
        <v>-1.1209824252709999</v>
      </c>
      <c r="AE6576">
        <v>1.1359699999999899</v>
      </c>
      <c r="AF6576">
        <v>-0.85166685742938797</v>
      </c>
      <c r="AG6576">
        <v>-1.1209824252709999</v>
      </c>
      <c r="AH6576">
        <v>17.8052897579514</v>
      </c>
      <c r="AI6576">
        <v>93.598360143125106</v>
      </c>
      <c r="AJ6576">
        <v>92.738498144018493</v>
      </c>
      <c r="AK6576">
        <v>17.8608589210715</v>
      </c>
      <c r="AL6576">
        <v>93.068457606886994</v>
      </c>
      <c r="AM6576">
        <v>91.947113131686194</v>
      </c>
      <c r="AN6576">
        <v>0.99999996648303702</v>
      </c>
    </row>
    <row r="6577" spans="1:40" x14ac:dyDescent="0.25">
      <c r="A6577" t="str">
        <f>"20190303154651696"</f>
        <v>20190303154651696</v>
      </c>
      <c r="B6577" t="str">
        <f>"1551599211687904"</f>
        <v>1551599211687904</v>
      </c>
      <c r="C6577" t="s">
        <v>40</v>
      </c>
      <c r="D6577">
        <v>5.1733710000000004</v>
      </c>
      <c r="E6577">
        <v>0.49466520000000003</v>
      </c>
      <c r="F6577" t="s">
        <v>74</v>
      </c>
      <c r="G6577">
        <v>-224.864</v>
      </c>
      <c r="H6577" s="1">
        <v>-1.4428369999999999E-6</v>
      </c>
      <c r="I6577">
        <v>-61.454729999999998</v>
      </c>
      <c r="J6577">
        <v>-242.5575</v>
      </c>
      <c r="K6577">
        <v>1.120981</v>
      </c>
      <c r="L6577">
        <v>-62.589390000000002</v>
      </c>
      <c r="M6577">
        <v>0.99980729999999995</v>
      </c>
      <c r="N6577">
        <v>-1.1651180000000001E-2</v>
      </c>
      <c r="O6577">
        <v>1.580645E-2</v>
      </c>
      <c r="P6577">
        <v>0.99663659999999998</v>
      </c>
      <c r="Q6577">
        <v>-6.5122650000000004E-2</v>
      </c>
      <c r="R6577">
        <v>4.9747340000000001E-2</v>
      </c>
      <c r="S6577">
        <v>2.988327</v>
      </c>
      <c r="T6577">
        <v>-0.18800269999999999</v>
      </c>
      <c r="U6577">
        <v>0.19064329999999999</v>
      </c>
      <c r="V6577">
        <v>-3.3974959999999998E-2</v>
      </c>
      <c r="W6577">
        <v>-5.3506089999999999E-2</v>
      </c>
      <c r="X6577">
        <v>0.99798940000000003</v>
      </c>
      <c r="Y6577">
        <v>-4.779224E-2</v>
      </c>
      <c r="Z6577">
        <v>9.7097790000000002E-4</v>
      </c>
      <c r="AA6577">
        <v>0.99885679999999999</v>
      </c>
      <c r="AB6577">
        <v>24</v>
      </c>
      <c r="AC6577">
        <v>17.6935</v>
      </c>
      <c r="AD6577">
        <v>-1.1209824428370001</v>
      </c>
      <c r="AE6577">
        <v>1.13465999999999</v>
      </c>
      <c r="AF6577">
        <v>-0.85142428964238603</v>
      </c>
      <c r="AG6577">
        <v>-1.1209824428370001</v>
      </c>
      <c r="AH6577">
        <v>17.638714772290999</v>
      </c>
      <c r="AI6577">
        <v>93.632175477821605</v>
      </c>
      <c r="AJ6577">
        <v>92.763533711958601</v>
      </c>
      <c r="AK6577">
        <v>17.694795386677299</v>
      </c>
      <c r="AL6577">
        <v>93.067137745165496</v>
      </c>
      <c r="AM6577">
        <v>91.949790573759401</v>
      </c>
      <c r="AN6577">
        <v>1.0000000210432201</v>
      </c>
    </row>
    <row r="6578" spans="1:40" x14ac:dyDescent="0.25">
      <c r="A6578" t="str">
        <f>"20190303154651708"</f>
        <v>20190303154651708</v>
      </c>
      <c r="B6578" t="str">
        <f>"1551599211698639"</f>
        <v>1551599211698639</v>
      </c>
      <c r="C6578" t="s">
        <v>40</v>
      </c>
      <c r="D6578">
        <v>5.1622570000000003</v>
      </c>
      <c r="E6578">
        <v>0.4945908</v>
      </c>
      <c r="F6578" t="s">
        <v>74</v>
      </c>
      <c r="G6578">
        <v>-224.81319999999999</v>
      </c>
      <c r="H6578" s="1">
        <v>-1.4200649999999901E-6</v>
      </c>
      <c r="I6578">
        <v>-61.45026</v>
      </c>
      <c r="J6578">
        <v>-242.43799999999999</v>
      </c>
      <c r="K6578">
        <v>1.120981</v>
      </c>
      <c r="L6578">
        <v>-62.587400000000002</v>
      </c>
      <c r="M6578">
        <v>0.99980599999999997</v>
      </c>
      <c r="N6578">
        <v>-1.165157E-2</v>
      </c>
      <c r="O6578">
        <v>1.5886730000000002E-2</v>
      </c>
      <c r="P6578">
        <v>0.99662539999999999</v>
      </c>
      <c r="Q6578">
        <v>-6.5442780000000006E-2</v>
      </c>
      <c r="R6578">
        <v>4.955035E-2</v>
      </c>
      <c r="S6578">
        <v>2.9882200000000001</v>
      </c>
      <c r="T6578">
        <v>-0.18877859999999999</v>
      </c>
      <c r="U6578">
        <v>0.19183349999999999</v>
      </c>
      <c r="V6578">
        <v>-3.3698369999999998E-2</v>
      </c>
      <c r="W6578">
        <v>-5.3825890000000001E-2</v>
      </c>
      <c r="X6578">
        <v>0.99798149999999997</v>
      </c>
      <c r="Y6578">
        <v>-4.8109209999999999E-2</v>
      </c>
      <c r="Z6578">
        <v>9.8081889999999993E-4</v>
      </c>
      <c r="AA6578">
        <v>0.9988416</v>
      </c>
      <c r="AB6578">
        <v>24</v>
      </c>
      <c r="AC6578">
        <v>17.624799999999901</v>
      </c>
      <c r="AD6578">
        <v>-1.120982420065</v>
      </c>
      <c r="AE6578">
        <v>1.13714</v>
      </c>
      <c r="AF6578">
        <v>-0.85353855605547302</v>
      </c>
      <c r="AG6578">
        <v>-1.120982420065</v>
      </c>
      <c r="AH6578">
        <v>17.5698616026277</v>
      </c>
      <c r="AI6578">
        <v>93.646316553321995</v>
      </c>
      <c r="AJ6578">
        <v>92.781225108318196</v>
      </c>
      <c r="AK6578">
        <v>17.626263540190799</v>
      </c>
      <c r="AL6578">
        <v>93.085487626906797</v>
      </c>
      <c r="AM6578">
        <v>91.933944737441095</v>
      </c>
      <c r="AN6578">
        <v>0.99999994045859697</v>
      </c>
    </row>
    <row r="6579" spans="1:40" x14ac:dyDescent="0.25">
      <c r="A6579" t="str">
        <f>"20190303154651718"</f>
        <v>20190303154651718</v>
      </c>
      <c r="B6579" t="str">
        <f>"1551599211708399"</f>
        <v>1551599211708399</v>
      </c>
      <c r="C6579" t="s">
        <v>40</v>
      </c>
      <c r="D6579">
        <v>5.1611859999999998</v>
      </c>
      <c r="E6579">
        <v>0.49445749999999999</v>
      </c>
      <c r="F6579" t="s">
        <v>74</v>
      </c>
      <c r="G6579">
        <v>-224.89619999999999</v>
      </c>
      <c r="H6579" s="1">
        <v>-1.4581409999999999E-6</v>
      </c>
      <c r="I6579">
        <v>-61.461410000000001</v>
      </c>
      <c r="J6579">
        <v>-242.31880000000001</v>
      </c>
      <c r="K6579">
        <v>1.120981</v>
      </c>
      <c r="L6579">
        <v>-62.5854199999999</v>
      </c>
      <c r="M6579">
        <v>0.99980469999999999</v>
      </c>
      <c r="N6579">
        <v>-1.1651959999999999E-2</v>
      </c>
      <c r="O6579">
        <v>1.5966649999999999E-2</v>
      </c>
      <c r="P6579">
        <v>0.99661940000000004</v>
      </c>
      <c r="Q6579">
        <v>-6.5470669999999995E-2</v>
      </c>
      <c r="R6579">
        <v>4.9636550000000002E-2</v>
      </c>
      <c r="S6579">
        <v>2.9880979999999999</v>
      </c>
      <c r="T6579">
        <v>-0.1909498</v>
      </c>
      <c r="U6579">
        <v>0.191803</v>
      </c>
      <c r="V6579">
        <v>-3.370451E-2</v>
      </c>
      <c r="W6579">
        <v>-5.3853400000000003E-2</v>
      </c>
      <c r="X6579">
        <v>0.99797990000000003</v>
      </c>
      <c r="Y6579">
        <v>-4.8020319999999998E-2</v>
      </c>
      <c r="Z6579">
        <v>9.7925219999999997E-4</v>
      </c>
      <c r="AA6579">
        <v>0.99884589999999995</v>
      </c>
      <c r="AB6579">
        <v>24</v>
      </c>
      <c r="AC6579">
        <v>17.422599999999999</v>
      </c>
      <c r="AD6579">
        <v>-1.1209824581409999</v>
      </c>
      <c r="AE6579">
        <v>1.12400999999999</v>
      </c>
      <c r="AF6579">
        <v>-0.84219526698484304</v>
      </c>
      <c r="AG6579">
        <v>-1.1209824581409999</v>
      </c>
      <c r="AH6579">
        <v>17.366731106336399</v>
      </c>
      <c r="AI6579">
        <v>93.688863980404093</v>
      </c>
      <c r="AJ6579">
        <v>92.776369379272793</v>
      </c>
      <c r="AK6579">
        <v>17.4232386156818</v>
      </c>
      <c r="AL6579">
        <v>93.087065841275304</v>
      </c>
      <c r="AM6579">
        <v>91.934299942310801</v>
      </c>
      <c r="AN6579">
        <v>1.00000003174495</v>
      </c>
    </row>
    <row r="6580" spans="1:40" x14ac:dyDescent="0.25">
      <c r="A6580" t="str">
        <f>"20190303154651730"</f>
        <v>20190303154651730</v>
      </c>
      <c r="B6580" t="str">
        <f>"1551599211727919"</f>
        <v>1551599211727919</v>
      </c>
      <c r="C6580" t="s">
        <v>40</v>
      </c>
      <c r="D6580">
        <v>5.1667449999999997</v>
      </c>
      <c r="E6580">
        <v>0.49422719999999998</v>
      </c>
      <c r="F6580" t="s">
        <v>74</v>
      </c>
      <c r="G6580">
        <v>-224.8852</v>
      </c>
      <c r="H6580" s="1">
        <v>-1.452834E-6</v>
      </c>
      <c r="I6580">
        <v>-61.458660000000002</v>
      </c>
      <c r="J6580">
        <v>-242.19159999999999</v>
      </c>
      <c r="K6580">
        <v>1.1209830000000001</v>
      </c>
      <c r="L6580">
        <v>-62.583309999999997</v>
      </c>
      <c r="M6580">
        <v>0.9998032</v>
      </c>
      <c r="N6580">
        <v>-1.165237E-2</v>
      </c>
      <c r="O6580">
        <v>1.6052299999999999E-2</v>
      </c>
      <c r="P6580">
        <v>0.99660519999999997</v>
      </c>
      <c r="Q6580">
        <v>-6.5632629999999997E-2</v>
      </c>
      <c r="R6580">
        <v>4.970186E-2</v>
      </c>
      <c r="S6580">
        <v>2.987946</v>
      </c>
      <c r="T6580">
        <v>-0.19212570000000001</v>
      </c>
      <c r="U6580">
        <v>0.19311519999999999</v>
      </c>
      <c r="V6580">
        <v>-3.3684699999999998E-2</v>
      </c>
      <c r="W6580">
        <v>-5.4015050000000002E-2</v>
      </c>
      <c r="X6580">
        <v>0.99797179999999996</v>
      </c>
      <c r="Y6580">
        <v>-4.837313E-2</v>
      </c>
      <c r="Z6580">
        <v>9.9132789999999897E-4</v>
      </c>
      <c r="AA6580">
        <v>0.99882879999999996</v>
      </c>
      <c r="AB6580">
        <v>24</v>
      </c>
      <c r="AC6580">
        <v>17.306399999999901</v>
      </c>
      <c r="AD6580">
        <v>-1.1209844528340001</v>
      </c>
      <c r="AE6580">
        <v>1.1246499999999999</v>
      </c>
      <c r="AF6580">
        <v>-0.84315607009677696</v>
      </c>
      <c r="AG6580">
        <v>-1.1209844528340001</v>
      </c>
      <c r="AH6580">
        <v>17.250155265738801</v>
      </c>
      <c r="AI6580">
        <v>93.713661263278894</v>
      </c>
      <c r="AJ6580">
        <v>92.798285991228198</v>
      </c>
      <c r="AK6580">
        <v>17.3070903098739</v>
      </c>
      <c r="AL6580">
        <v>93.096341305251201</v>
      </c>
      <c r="AM6580">
        <v>91.9331795889441</v>
      </c>
      <c r="AN6580">
        <v>0.99999999911791604</v>
      </c>
    </row>
    <row r="6581" spans="1:40" x14ac:dyDescent="0.25">
      <c r="A6581" t="str">
        <f>"20190303154651742"</f>
        <v>20190303154651742</v>
      </c>
      <c r="B6581" t="str">
        <f>"1551599211738655"</f>
        <v>1551599211738655</v>
      </c>
      <c r="C6581" t="s">
        <v>40</v>
      </c>
      <c r="D6581">
        <v>5.164256</v>
      </c>
      <c r="E6581">
        <v>0.49409570000000003</v>
      </c>
      <c r="F6581" t="s">
        <v>74</v>
      </c>
      <c r="G6581">
        <v>-224.9751</v>
      </c>
      <c r="H6581" s="1">
        <v>-1.4914189999999999E-6</v>
      </c>
      <c r="I6581">
        <v>-61.458869999999997</v>
      </c>
      <c r="J6581">
        <v>-242.06729999999999</v>
      </c>
      <c r="K6581">
        <v>1.1209830000000001</v>
      </c>
      <c r="L6581">
        <v>-62.581209999999999</v>
      </c>
      <c r="M6581">
        <v>0.99980210000000003</v>
      </c>
      <c r="N6581">
        <v>-1.165278E-2</v>
      </c>
      <c r="O6581">
        <v>1.613556E-2</v>
      </c>
      <c r="P6581">
        <v>0.99663930000000001</v>
      </c>
      <c r="Q6581">
        <v>-6.5457470000000004E-2</v>
      </c>
      <c r="R6581">
        <v>4.925595E-2</v>
      </c>
      <c r="S6581">
        <v>2.9876710000000002</v>
      </c>
      <c r="T6581">
        <v>-0.19453000000000001</v>
      </c>
      <c r="U6581">
        <v>0.19512940000000001</v>
      </c>
      <c r="V6581">
        <v>-3.3155370000000003E-2</v>
      </c>
      <c r="W6581">
        <v>-5.3839030000000003E-2</v>
      </c>
      <c r="X6581">
        <v>0.99799899999999997</v>
      </c>
      <c r="Y6581">
        <v>-4.8963E-2</v>
      </c>
      <c r="Z6581">
        <v>1.016077E-3</v>
      </c>
      <c r="AA6581">
        <v>0.99880009999999997</v>
      </c>
      <c r="AB6581">
        <v>24</v>
      </c>
      <c r="AC6581">
        <v>17.092199999999899</v>
      </c>
      <c r="AD6581">
        <v>-1.1209844914189999</v>
      </c>
      <c r="AE6581">
        <v>1.1223399999999999</v>
      </c>
      <c r="AF6581">
        <v>-0.84277348629163895</v>
      </c>
      <c r="AG6581">
        <v>-1.1209844914189999</v>
      </c>
      <c r="AH6581">
        <v>17.035126129133701</v>
      </c>
      <c r="AI6581">
        <v>93.760294773114495</v>
      </c>
      <c r="AJ6581">
        <v>92.832267048714002</v>
      </c>
      <c r="AK6581">
        <v>17.092758572409899</v>
      </c>
      <c r="AL6581">
        <v>93.086241520648301</v>
      </c>
      <c r="AM6581">
        <v>91.902771797701007</v>
      </c>
      <c r="AN6581">
        <v>0.99999996185608797</v>
      </c>
    </row>
    <row r="6582" spans="1:40" x14ac:dyDescent="0.25">
      <c r="A6582" t="str">
        <f>"20190303154651752"</f>
        <v>20190303154651752</v>
      </c>
      <c r="B6582" t="str">
        <f>"1551599211748415"</f>
        <v>1551599211748415</v>
      </c>
      <c r="C6582" t="s">
        <v>40</v>
      </c>
      <c r="D6582">
        <v>5.1251470000000001</v>
      </c>
      <c r="E6582">
        <v>0.49399159999999998</v>
      </c>
      <c r="F6582" t="s">
        <v>74</v>
      </c>
      <c r="G6582">
        <v>-224.91759999999999</v>
      </c>
      <c r="H6582" s="1">
        <v>-1.4676369999999999E-6</v>
      </c>
      <c r="I6582">
        <v>-61.462719999999997</v>
      </c>
      <c r="J6582">
        <v>-241.95519999999999</v>
      </c>
      <c r="K6582">
        <v>1.120984</v>
      </c>
      <c r="L6582">
        <v>-62.579320000000003</v>
      </c>
      <c r="M6582">
        <v>0.99980069999999999</v>
      </c>
      <c r="N6582">
        <v>-1.1653149999999999E-2</v>
      </c>
      <c r="O6582">
        <v>1.6210780000000001E-2</v>
      </c>
      <c r="P6582">
        <v>0.99663619999999997</v>
      </c>
      <c r="Q6582">
        <v>-6.5565499999999999E-2</v>
      </c>
      <c r="R6582">
        <v>4.9171699999999999E-2</v>
      </c>
      <c r="S6582">
        <v>2.9876710000000002</v>
      </c>
      <c r="T6582">
        <v>-0.19528870000000001</v>
      </c>
      <c r="U6582">
        <v>0.19485469999999999</v>
      </c>
      <c r="V6582">
        <v>-3.2995759999999999E-2</v>
      </c>
      <c r="W6582">
        <v>-5.3946689999999999E-2</v>
      </c>
      <c r="X6582">
        <v>0.99799850000000001</v>
      </c>
      <c r="Y6582">
        <v>-4.8796279999999997E-2</v>
      </c>
      <c r="Z6582">
        <v>1.007766E-3</v>
      </c>
      <c r="AA6582">
        <v>0.99880829999999998</v>
      </c>
      <c r="AB6582">
        <v>24</v>
      </c>
      <c r="AC6582">
        <v>17.037599999999902</v>
      </c>
      <c r="AD6582">
        <v>-1.1209854676369999</v>
      </c>
      <c r="AE6582">
        <v>1.11659999999999</v>
      </c>
      <c r="AF6582">
        <v>-0.83663545017951102</v>
      </c>
      <c r="AG6582">
        <v>-1.1209854676369999</v>
      </c>
      <c r="AH6582">
        <v>16.980270619977301</v>
      </c>
      <c r="AI6582">
        <v>93.772448184793603</v>
      </c>
      <c r="AJ6582">
        <v>92.820741062187594</v>
      </c>
      <c r="AK6582">
        <v>17.0377861714137</v>
      </c>
      <c r="AL6582">
        <v>93.092418888010997</v>
      </c>
      <c r="AM6582">
        <v>91.893619484375094</v>
      </c>
      <c r="AN6582">
        <v>0.99999998577109095</v>
      </c>
    </row>
    <row r="6583" spans="1:40" x14ac:dyDescent="0.25">
      <c r="A6583" t="str">
        <f>"20190303154651764"</f>
        <v>20190303154651764</v>
      </c>
      <c r="B6583" t="str">
        <f>"1551599211758683"</f>
        <v>1551599211758683</v>
      </c>
      <c r="C6583" t="s">
        <v>40</v>
      </c>
      <c r="D6583">
        <v>5.1981380000000001</v>
      </c>
      <c r="E6583">
        <v>0.49401830000000002</v>
      </c>
      <c r="F6583" t="s">
        <v>74</v>
      </c>
      <c r="G6583">
        <v>-224.9194</v>
      </c>
      <c r="H6583" s="1">
        <v>-1.4689410000000001E-6</v>
      </c>
      <c r="I6583">
        <v>-61.465240000000001</v>
      </c>
      <c r="J6583">
        <v>-241.82839999999999</v>
      </c>
      <c r="K6583">
        <v>1.1209819999999999</v>
      </c>
      <c r="L6583">
        <v>-62.577179999999998</v>
      </c>
      <c r="M6583">
        <v>0.9997994</v>
      </c>
      <c r="N6583">
        <v>-1.165358E-2</v>
      </c>
      <c r="O6583">
        <v>1.629589E-2</v>
      </c>
      <c r="P6583">
        <v>0.99666429999999995</v>
      </c>
      <c r="Q6583">
        <v>-6.5478960000000003E-2</v>
      </c>
      <c r="R6583">
        <v>4.8714279999999999E-2</v>
      </c>
      <c r="S6583">
        <v>2.9875639999999999</v>
      </c>
      <c r="T6583">
        <v>-0.19658639999999999</v>
      </c>
      <c r="U6583">
        <v>0.19537350000000001</v>
      </c>
      <c r="V6583">
        <v>-3.2453389999999999E-2</v>
      </c>
      <c r="W6583">
        <v>-5.3859329999999997E-2</v>
      </c>
      <c r="X6583">
        <v>0.99802100000000005</v>
      </c>
      <c r="Y6583">
        <v>-4.8885049999999999E-2</v>
      </c>
      <c r="Z6583">
        <v>1.010181E-3</v>
      </c>
      <c r="AA6583">
        <v>0.99880389999999997</v>
      </c>
      <c r="AB6583">
        <v>24</v>
      </c>
      <c r="AC6583">
        <v>16.908999999999899</v>
      </c>
      <c r="AD6583">
        <v>-1.1209834689410001</v>
      </c>
      <c r="AE6583">
        <v>1.1119399999999999</v>
      </c>
      <c r="AF6583">
        <v>-0.83258296314771296</v>
      </c>
      <c r="AG6583">
        <v>-1.1209834689410001</v>
      </c>
      <c r="AH6583">
        <v>16.8511332167067</v>
      </c>
      <c r="AI6583">
        <v>93.801241289080593</v>
      </c>
      <c r="AJ6583">
        <v>92.828577086882802</v>
      </c>
      <c r="AK6583">
        <v>16.908887870447298</v>
      </c>
      <c r="AL6583">
        <v>93.087406249091899</v>
      </c>
      <c r="AM6583">
        <v>91.862473134076595</v>
      </c>
      <c r="AN6583">
        <v>0.99999998319576999</v>
      </c>
    </row>
    <row r="6584" spans="1:40" x14ac:dyDescent="0.25">
      <c r="A6584" t="str">
        <f>"20190303154651776"</f>
        <v>20190303154651776</v>
      </c>
      <c r="B6584" t="str">
        <f>"1551599211768443"</f>
        <v>1551599211768443</v>
      </c>
      <c r="C6584" t="s">
        <v>40</v>
      </c>
      <c r="D6584">
        <v>5.172536</v>
      </c>
      <c r="E6584">
        <v>0.49401830000000002</v>
      </c>
      <c r="F6584" t="s">
        <v>74</v>
      </c>
      <c r="G6584">
        <v>-224.886</v>
      </c>
      <c r="H6584" s="1">
        <v>-1.4575189999999999E-6</v>
      </c>
      <c r="I6584">
        <v>-61.478230000000003</v>
      </c>
      <c r="J6584">
        <v>-241.7004</v>
      </c>
      <c r="K6584">
        <v>1.1209819999999999</v>
      </c>
      <c r="L6584">
        <v>-62.574979999999996</v>
      </c>
      <c r="M6584">
        <v>0.99979790000000002</v>
      </c>
      <c r="N6584">
        <v>-1.1654009999999999E-2</v>
      </c>
      <c r="O6584">
        <v>1.6381840000000002E-2</v>
      </c>
      <c r="P6584">
        <v>0.99668140000000005</v>
      </c>
      <c r="Q6584">
        <v>-6.5287579999999998E-2</v>
      </c>
      <c r="R6584">
        <v>4.8623270000000003E-2</v>
      </c>
      <c r="S6584">
        <v>2.9875790000000002</v>
      </c>
      <c r="T6584">
        <v>-0.1976715</v>
      </c>
      <c r="U6584">
        <v>0.1937866</v>
      </c>
      <c r="V6584">
        <v>-3.2276699999999998E-2</v>
      </c>
      <c r="W6584">
        <v>-5.3667300000000001E-2</v>
      </c>
      <c r="X6584">
        <v>0.99803710000000001</v>
      </c>
      <c r="Y6584">
        <v>-4.8271309999999998E-2</v>
      </c>
      <c r="Z6584">
        <v>9.8463320000000002E-4</v>
      </c>
      <c r="AA6584">
        <v>0.99883379999999999</v>
      </c>
      <c r="AB6584">
        <v>24</v>
      </c>
      <c r="AC6584">
        <v>16.814399999999999</v>
      </c>
      <c r="AD6584">
        <v>-1.1209834575190001</v>
      </c>
      <c r="AE6584">
        <v>1.0967499999999999</v>
      </c>
      <c r="AF6584">
        <v>-0.81751513184854896</v>
      </c>
      <c r="AG6584">
        <v>-1.1209834575190001</v>
      </c>
      <c r="AH6584">
        <v>16.755952841570501</v>
      </c>
      <c r="AI6584">
        <v>93.822885431808004</v>
      </c>
      <c r="AJ6584">
        <v>92.793219447231195</v>
      </c>
      <c r="AK6584">
        <v>16.813295052777899</v>
      </c>
      <c r="AL6584">
        <v>93.076387725870802</v>
      </c>
      <c r="AM6584">
        <v>91.852310264417099</v>
      </c>
      <c r="AN6584">
        <v>1.00000000871429</v>
      </c>
    </row>
    <row r="6585" spans="1:40" x14ac:dyDescent="0.25">
      <c r="A6585" t="str">
        <f>"20190303154651798"</f>
        <v>20190303154651798</v>
      </c>
      <c r="B6585" t="str">
        <f>"1551599211787963"</f>
        <v>1551599211787963</v>
      </c>
      <c r="C6585" t="s">
        <v>40</v>
      </c>
      <c r="D6585">
        <v>5.1367379999999896</v>
      </c>
      <c r="E6585">
        <v>0.4957647</v>
      </c>
      <c r="F6585" t="s">
        <v>74</v>
      </c>
      <c r="G6585">
        <v>-224.7099</v>
      </c>
      <c r="H6585" s="1">
        <v>-1.3811330000000001E-6</v>
      </c>
      <c r="I6585">
        <v>-61.474490000000003</v>
      </c>
      <c r="J6585">
        <v>-241.45740000000001</v>
      </c>
      <c r="K6585">
        <v>1.1209750000000001</v>
      </c>
      <c r="L6585">
        <v>-62.570799999999998</v>
      </c>
      <c r="M6585">
        <v>0.99979530000000005</v>
      </c>
      <c r="N6585">
        <v>-1.165483E-2</v>
      </c>
      <c r="O6585">
        <v>1.6544670000000001E-2</v>
      </c>
      <c r="P6585">
        <v>0.99671699999999996</v>
      </c>
      <c r="Q6585">
        <v>-6.4970280000000005E-2</v>
      </c>
      <c r="R6585">
        <v>4.831593E-2</v>
      </c>
      <c r="S6585">
        <v>2.9876399999999999</v>
      </c>
      <c r="T6585">
        <v>-0.19711590000000001</v>
      </c>
      <c r="U6585">
        <v>0.19351199999999999</v>
      </c>
      <c r="V6585">
        <v>-3.1806090000000002E-2</v>
      </c>
      <c r="W6585">
        <v>-5.3348680000000002E-2</v>
      </c>
      <c r="X6585">
        <v>0.99806930000000005</v>
      </c>
      <c r="Y6585">
        <v>-4.8017219999999999E-2</v>
      </c>
      <c r="Z6585">
        <v>9.6455049999999995E-4</v>
      </c>
      <c r="AA6585">
        <v>0.99884609999999996</v>
      </c>
      <c r="AB6585">
        <v>24</v>
      </c>
      <c r="AC6585">
        <v>16.747499999999999</v>
      </c>
      <c r="AD6585">
        <v>-1.120976381133</v>
      </c>
      <c r="AE6585">
        <v>1.0963099999999899</v>
      </c>
      <c r="AF6585">
        <v>-0.81542164490773295</v>
      </c>
      <c r="AG6585">
        <v>-1.120976381133</v>
      </c>
      <c r="AH6585">
        <v>16.6888969347761</v>
      </c>
      <c r="AI6585">
        <v>93.838162630847805</v>
      </c>
      <c r="AJ6585">
        <v>92.797254578359698</v>
      </c>
      <c r="AK6585">
        <v>16.746366214961999</v>
      </c>
      <c r="AL6585">
        <v>93.058105925234202</v>
      </c>
      <c r="AM6585">
        <v>91.825262234819405</v>
      </c>
      <c r="AN6585">
        <v>1.0000000183106601</v>
      </c>
    </row>
    <row r="6586" spans="1:40" x14ac:dyDescent="0.25">
      <c r="A6586" t="str">
        <f>"20190303154651813"</f>
        <v>20190303154651813</v>
      </c>
      <c r="B6586" t="str">
        <f>"1551599211808459"</f>
        <v>1551599211808459</v>
      </c>
      <c r="C6586" t="s">
        <v>40</v>
      </c>
      <c r="D6586">
        <v>5.0905230000000001</v>
      </c>
      <c r="E6586">
        <v>0.49693019999999999</v>
      </c>
      <c r="F6586" t="s">
        <v>74</v>
      </c>
      <c r="G6586">
        <v>-224.02930000000001</v>
      </c>
      <c r="H6586" s="1">
        <v>-1.1011919999999999E-6</v>
      </c>
      <c r="I6586">
        <v>-61.528669999999998</v>
      </c>
      <c r="J6586">
        <v>-241.3032</v>
      </c>
      <c r="K6586">
        <v>1.120976</v>
      </c>
      <c r="L6586">
        <v>-62.568119999999901</v>
      </c>
      <c r="M6586">
        <v>0.99979340000000005</v>
      </c>
      <c r="N6586">
        <v>-1.16553E-2</v>
      </c>
      <c r="O6586">
        <v>1.6648489999999998E-2</v>
      </c>
      <c r="P6586">
        <v>0.99671569999999998</v>
      </c>
      <c r="Q6586">
        <v>-6.5176579999999998E-2</v>
      </c>
      <c r="R6586">
        <v>4.8063559999999998E-2</v>
      </c>
      <c r="S6586">
        <v>2.9886780000000002</v>
      </c>
      <c r="T6586">
        <v>-0.19223119999999999</v>
      </c>
      <c r="U6586">
        <v>0.17871090000000001</v>
      </c>
      <c r="V6586">
        <v>-3.1450230000000003E-2</v>
      </c>
      <c r="W6586">
        <v>-5.3554450000000003E-2</v>
      </c>
      <c r="X6586">
        <v>0.99806950000000005</v>
      </c>
      <c r="Y6586">
        <v>-4.2979530000000002E-2</v>
      </c>
      <c r="Z6586">
        <v>7.5571190000000004E-4</v>
      </c>
      <c r="AA6586">
        <v>0.99907570000000001</v>
      </c>
      <c r="AB6586">
        <v>24</v>
      </c>
      <c r="AC6586">
        <v>17.273899999999902</v>
      </c>
      <c r="AD6586">
        <v>-1.120977101192</v>
      </c>
      <c r="AE6586">
        <v>1.03944999999999</v>
      </c>
      <c r="AF6586">
        <v>-0.74856099414815302</v>
      </c>
      <c r="AG6586">
        <v>-1.120977101192</v>
      </c>
      <c r="AH6586">
        <v>17.216570065290799</v>
      </c>
      <c r="AI6586">
        <v>93.721784241711205</v>
      </c>
      <c r="AJ6586">
        <v>92.489600985059297</v>
      </c>
      <c r="AK6586">
        <v>17.2692564413301</v>
      </c>
      <c r="AL6586">
        <v>93.069912730543095</v>
      </c>
      <c r="AM6586">
        <v>91.804853650014394</v>
      </c>
      <c r="AN6586">
        <v>0.99999996145605197</v>
      </c>
    </row>
    <row r="6587" spans="1:40" x14ac:dyDescent="0.25">
      <c r="A6587" t="str">
        <f>"20190303154651827"</f>
        <v>20190303154651827</v>
      </c>
      <c r="B6587" t="str">
        <f>"1551599211818219"</f>
        <v>1551599211818219</v>
      </c>
      <c r="C6587" t="s">
        <v>40</v>
      </c>
      <c r="D6587">
        <v>5.1166559999999999</v>
      </c>
      <c r="E6587">
        <v>0.49757000000000001</v>
      </c>
      <c r="F6587" t="s">
        <v>74</v>
      </c>
      <c r="G6587">
        <v>-223.5907</v>
      </c>
      <c r="H6587" s="1">
        <v>-9.2186659999999998E-7</v>
      </c>
      <c r="I6587">
        <v>-61.568359999999998</v>
      </c>
      <c r="J6587">
        <v>-241.15270000000001</v>
      </c>
      <c r="K6587">
        <v>1.1209720000000001</v>
      </c>
      <c r="L6587">
        <v>-62.5655199999999</v>
      </c>
      <c r="M6587">
        <v>0.99979189999999996</v>
      </c>
      <c r="N6587">
        <v>-1.165574E-2</v>
      </c>
      <c r="O6587">
        <v>1.6749279999999998E-2</v>
      </c>
      <c r="P6587">
        <v>0.99671670000000001</v>
      </c>
      <c r="Q6587">
        <v>-6.5191159999999998E-2</v>
      </c>
      <c r="R6587">
        <v>4.802236E-2</v>
      </c>
      <c r="S6587">
        <v>2.9893800000000001</v>
      </c>
      <c r="T6587">
        <v>-0.18918940000000001</v>
      </c>
      <c r="U6587">
        <v>0.16873170000000001</v>
      </c>
      <c r="V6587">
        <v>-3.1308389999999998E-2</v>
      </c>
      <c r="W6587">
        <v>-5.3568499999999901E-2</v>
      </c>
      <c r="X6587">
        <v>0.99807319999999999</v>
      </c>
      <c r="Y6587">
        <v>-3.9551089999999997E-2</v>
      </c>
      <c r="Z6587">
        <v>6.1725229999999999E-4</v>
      </c>
      <c r="AA6587">
        <v>0.99921729999999997</v>
      </c>
      <c r="AB6587">
        <v>24</v>
      </c>
      <c r="AC6587">
        <v>17.562000000000001</v>
      </c>
      <c r="AD6587">
        <v>-1.12097292186659</v>
      </c>
      <c r="AE6587">
        <v>0.99715999999999305</v>
      </c>
      <c r="AF6587">
        <v>-0.70000649562810102</v>
      </c>
      <c r="AG6587">
        <v>-1.12097292186659</v>
      </c>
      <c r="AH6587">
        <v>17.505148649216899</v>
      </c>
      <c r="AI6587">
        <v>93.661114821341499</v>
      </c>
      <c r="AJ6587">
        <v>92.289958267946105</v>
      </c>
      <c r="AK6587">
        <v>17.554965639859901</v>
      </c>
      <c r="AL6587">
        <v>93.070718910196305</v>
      </c>
      <c r="AM6587">
        <v>91.796712481887894</v>
      </c>
      <c r="AN6587">
        <v>0.99999995601743996</v>
      </c>
    </row>
    <row r="6588" spans="1:40" x14ac:dyDescent="0.25">
      <c r="A6588" t="str">
        <f>"20190303154651837"</f>
        <v>20190303154651837</v>
      </c>
      <c r="B6588" t="str">
        <f>"1551599211827979"</f>
        <v>1551599211827979</v>
      </c>
      <c r="C6588" t="s">
        <v>40</v>
      </c>
      <c r="D6588">
        <v>5.126919</v>
      </c>
      <c r="E6588">
        <v>0.49813570000000001</v>
      </c>
      <c r="F6588" t="s">
        <v>74</v>
      </c>
      <c r="G6588">
        <v>-223.32400000000001</v>
      </c>
      <c r="H6588" s="1">
        <v>-8.1232699999999899E-7</v>
      </c>
      <c r="I6588">
        <v>-61.590249999999997</v>
      </c>
      <c r="J6588">
        <v>-241.03360000000001</v>
      </c>
      <c r="K6588">
        <v>1.120973</v>
      </c>
      <c r="L6588">
        <v>-62.563450000000003</v>
      </c>
      <c r="M6588">
        <v>0.99979050000000003</v>
      </c>
      <c r="N6588">
        <v>-1.1656069999999999E-2</v>
      </c>
      <c r="O6588">
        <v>1.6828840000000001E-2</v>
      </c>
      <c r="P6588">
        <v>0.99668769999999995</v>
      </c>
      <c r="Q6588">
        <v>-6.5510269999999995E-2</v>
      </c>
      <c r="R6588">
        <v>4.8189089999999997E-2</v>
      </c>
      <c r="S6588">
        <v>2.9897</v>
      </c>
      <c r="T6588">
        <v>-0.18797610000000001</v>
      </c>
      <c r="U6588">
        <v>0.16354369999999999</v>
      </c>
      <c r="V6588">
        <v>-3.139637E-2</v>
      </c>
      <c r="W6588">
        <v>-5.3887549999999999E-2</v>
      </c>
      <c r="X6588">
        <v>0.99805330000000003</v>
      </c>
      <c r="Y6588">
        <v>-3.774197E-2</v>
      </c>
      <c r="Z6588">
        <v>5.4461590000000001E-4</v>
      </c>
      <c r="AA6588">
        <v>0.99928740000000005</v>
      </c>
      <c r="AB6588">
        <v>24</v>
      </c>
      <c r="AC6588">
        <v>17.709599999999899</v>
      </c>
      <c r="AD6588">
        <v>-1.1209738123270001</v>
      </c>
      <c r="AE6588">
        <v>0.97320000000000495</v>
      </c>
      <c r="AF6588">
        <v>-0.67232429781158198</v>
      </c>
      <c r="AG6588">
        <v>-1.1209738123270001</v>
      </c>
      <c r="AH6588">
        <v>17.6529556835495</v>
      </c>
      <c r="AI6588">
        <v>93.630814334410104</v>
      </c>
      <c r="AJ6588">
        <v>92.181092862095696</v>
      </c>
      <c r="AK6588">
        <v>17.701283756121001</v>
      </c>
      <c r="AL6588">
        <v>93.089025451431496</v>
      </c>
      <c r="AM6588">
        <v>91.801794018446301</v>
      </c>
      <c r="AN6588">
        <v>0.99999999486753399</v>
      </c>
    </row>
    <row r="6589" spans="1:40" x14ac:dyDescent="0.25">
      <c r="A6589" t="str">
        <f>"20190303154651849"</f>
        <v>20190303154651849</v>
      </c>
      <c r="B6589" t="str">
        <f>"1551599211838715"</f>
        <v>1551599211838715</v>
      </c>
      <c r="C6589" t="s">
        <v>40</v>
      </c>
      <c r="D6589">
        <v>5.0939410000000001</v>
      </c>
      <c r="E6589">
        <v>0.49866440000000001</v>
      </c>
      <c r="F6589" t="s">
        <v>74</v>
      </c>
      <c r="G6589">
        <v>-223.232</v>
      </c>
      <c r="H6589" s="1">
        <v>-7.7806089999999995E-7</v>
      </c>
      <c r="I6589">
        <v>-61.613700000000001</v>
      </c>
      <c r="J6589">
        <v>-240.91489999999999</v>
      </c>
      <c r="K6589">
        <v>1.12097</v>
      </c>
      <c r="L6589">
        <v>-62.561340000000001</v>
      </c>
      <c r="M6589">
        <v>0.99978920000000004</v>
      </c>
      <c r="N6589">
        <v>-1.1656440000000001E-2</v>
      </c>
      <c r="O6589">
        <v>1.6907209999999999E-2</v>
      </c>
      <c r="P6589">
        <v>0.99663869999999999</v>
      </c>
      <c r="Q6589">
        <v>-6.6041219999999998E-2</v>
      </c>
      <c r="R6589">
        <v>4.847725E-2</v>
      </c>
      <c r="S6589">
        <v>2.9898829999999998</v>
      </c>
      <c r="T6589">
        <v>-0.18827350000000001</v>
      </c>
      <c r="U6589">
        <v>0.1595154</v>
      </c>
      <c r="V6589">
        <v>-3.1606290000000002E-2</v>
      </c>
      <c r="W6589">
        <v>-5.4418590000000003E-2</v>
      </c>
      <c r="X6589">
        <v>0.99801779999999995</v>
      </c>
      <c r="Y6589">
        <v>-3.6321079999999999E-2</v>
      </c>
      <c r="Z6589">
        <v>4.878541E-4</v>
      </c>
      <c r="AA6589">
        <v>0.99934009999999995</v>
      </c>
      <c r="AB6589">
        <v>24</v>
      </c>
      <c r="AC6589">
        <v>17.682899999999901</v>
      </c>
      <c r="AD6589">
        <v>-1.1209707780609</v>
      </c>
      <c r="AE6589">
        <v>0.94763999999999904</v>
      </c>
      <c r="AF6589">
        <v>-0.64592740661510295</v>
      </c>
      <c r="AG6589">
        <v>-1.1209707780609</v>
      </c>
      <c r="AH6589">
        <v>17.6257659795269</v>
      </c>
      <c r="AI6589">
        <v>93.636585156462502</v>
      </c>
      <c r="AJ6589">
        <v>92.098766100078706</v>
      </c>
      <c r="AK6589">
        <v>17.6731837557621</v>
      </c>
      <c r="AL6589">
        <v>93.119496702072098</v>
      </c>
      <c r="AM6589">
        <v>91.8138974906079</v>
      </c>
      <c r="AN6589">
        <v>0.99999993481099303</v>
      </c>
    </row>
    <row r="6590" spans="1:40" x14ac:dyDescent="0.25">
      <c r="A6590" t="str">
        <f>"20190303154651865"</f>
        <v>20190303154651865</v>
      </c>
      <c r="B6590" t="str">
        <f>"1551599211858745"</f>
        <v>1551599211858745</v>
      </c>
      <c r="C6590" t="s">
        <v>40</v>
      </c>
      <c r="D6590">
        <v>5.1247699999999998</v>
      </c>
      <c r="E6590">
        <v>0.49972</v>
      </c>
      <c r="F6590" t="s">
        <v>74</v>
      </c>
      <c r="G6590">
        <v>-223.23500000000001</v>
      </c>
      <c r="H6590" s="1">
        <v>-7.8473230000000004E-7</v>
      </c>
      <c r="I6590">
        <v>-61.637790000000003</v>
      </c>
      <c r="J6590">
        <v>-240.74010000000001</v>
      </c>
      <c r="K6590">
        <v>1.1209690000000001</v>
      </c>
      <c r="L6590">
        <v>-62.558230000000002</v>
      </c>
      <c r="M6590">
        <v>0.99978719999999999</v>
      </c>
      <c r="N6590">
        <v>-1.1657030000000001E-2</v>
      </c>
      <c r="O6590">
        <v>1.7020859999999999E-2</v>
      </c>
      <c r="P6590">
        <v>0.99653360000000002</v>
      </c>
      <c r="Q6590">
        <v>-6.7224500000000006E-2</v>
      </c>
      <c r="R6590">
        <v>4.9008089999999997E-2</v>
      </c>
      <c r="S6590">
        <v>2.9899749999999998</v>
      </c>
      <c r="T6590">
        <v>-0.1895752</v>
      </c>
      <c r="U6590">
        <v>0.15618899999999999</v>
      </c>
      <c r="V6590">
        <v>-3.2025829999999998E-2</v>
      </c>
      <c r="W6590">
        <v>-5.5602289999999999E-2</v>
      </c>
      <c r="X6590">
        <v>0.99793920000000003</v>
      </c>
      <c r="Y6590">
        <v>-3.5099470000000001E-2</v>
      </c>
      <c r="Z6590">
        <v>4.3675320000000002E-4</v>
      </c>
      <c r="AA6590">
        <v>0.99938369999999999</v>
      </c>
      <c r="AB6590">
        <v>24</v>
      </c>
      <c r="AC6590">
        <v>17.505099999999999</v>
      </c>
      <c r="AD6590">
        <v>-1.1209697847322999</v>
      </c>
      <c r="AE6590">
        <v>0.92043999999999904</v>
      </c>
      <c r="AF6590">
        <v>-0.6197999363626</v>
      </c>
      <c r="AG6590">
        <v>-1.1209697847322999</v>
      </c>
      <c r="AH6590">
        <v>17.446884237256398</v>
      </c>
      <c r="AI6590">
        <v>93.673914102243799</v>
      </c>
      <c r="AJ6590">
        <v>92.034574905224602</v>
      </c>
      <c r="AK6590">
        <v>17.493841625201199</v>
      </c>
      <c r="AL6590">
        <v>93.187420503527903</v>
      </c>
      <c r="AM6590">
        <v>91.838103313634505</v>
      </c>
      <c r="AN6590">
        <v>0.999999957668535</v>
      </c>
    </row>
    <row r="6591" spans="1:40" x14ac:dyDescent="0.25">
      <c r="A6591" t="str">
        <f>"20190303154651875"</f>
        <v>20190303154651875</v>
      </c>
      <c r="B6591" t="str">
        <f>"1551599211868502"</f>
        <v>1551599211868502</v>
      </c>
      <c r="C6591" t="s">
        <v>40</v>
      </c>
      <c r="D6591">
        <v>5.1309839999999998</v>
      </c>
      <c r="E6591">
        <v>0.50019369999999996</v>
      </c>
      <c r="F6591" t="s">
        <v>74</v>
      </c>
      <c r="G6591">
        <v>-223.2723</v>
      </c>
      <c r="H6591" s="1">
        <v>-8.1135609999999997E-7</v>
      </c>
      <c r="I6591">
        <v>-61.685549999999999</v>
      </c>
      <c r="J6591">
        <v>-240.6216</v>
      </c>
      <c r="K6591">
        <v>1.120965</v>
      </c>
      <c r="L6591">
        <v>-62.556150000000002</v>
      </c>
      <c r="M6591">
        <v>0.99978599999999995</v>
      </c>
      <c r="N6591">
        <v>-1.1657499999999999E-2</v>
      </c>
      <c r="O6591">
        <v>1.7094910000000001E-2</v>
      </c>
      <c r="P6591">
        <v>0.99651199999999995</v>
      </c>
      <c r="Q6591">
        <v>-6.7448560000000005E-2</v>
      </c>
      <c r="R6591">
        <v>4.9141829999999997E-2</v>
      </c>
      <c r="S6591">
        <v>2.9901279999999999</v>
      </c>
      <c r="T6591">
        <v>-0.19188669999999999</v>
      </c>
      <c r="U6591">
        <v>0.1493835</v>
      </c>
      <c r="V6591">
        <v>-3.2086820000000002E-2</v>
      </c>
      <c r="W6591">
        <v>-5.5825930000000003E-2</v>
      </c>
      <c r="X6591">
        <v>0.99792479999999995</v>
      </c>
      <c r="Y6591">
        <v>-3.2758629999999997E-2</v>
      </c>
      <c r="Z6591">
        <v>3.4463670000000002E-4</v>
      </c>
      <c r="AA6591">
        <v>0.99946330000000005</v>
      </c>
      <c r="AB6591">
        <v>24</v>
      </c>
      <c r="AC6591">
        <v>17.349299999999999</v>
      </c>
      <c r="AD6591">
        <v>-1.1209658113561001</v>
      </c>
      <c r="AE6591">
        <v>0.87060000000000304</v>
      </c>
      <c r="AF6591">
        <v>-0.57148813847209901</v>
      </c>
      <c r="AG6591">
        <v>-1.1209658113561001</v>
      </c>
      <c r="AH6591">
        <v>17.289651193693999</v>
      </c>
      <c r="AI6591">
        <v>93.707531924642893</v>
      </c>
      <c r="AJ6591">
        <v>91.8931522119791</v>
      </c>
      <c r="AK6591">
        <v>17.335374280420002</v>
      </c>
      <c r="AL6591">
        <v>93.200253922282599</v>
      </c>
      <c r="AM6591">
        <v>91.8416279458948</v>
      </c>
      <c r="AN6591">
        <v>1.0000000024665501</v>
      </c>
    </row>
    <row r="6592" spans="1:40" x14ac:dyDescent="0.25">
      <c r="A6592" t="str">
        <f>"20190303154651886"</f>
        <v>20190303154651886</v>
      </c>
      <c r="B6592" t="str">
        <f>"1551599211878262"</f>
        <v>1551599211878262</v>
      </c>
      <c r="C6592" t="s">
        <v>40</v>
      </c>
      <c r="D6592">
        <v>5.1193039999999996</v>
      </c>
      <c r="E6592">
        <v>0.50065179999999998</v>
      </c>
      <c r="F6592" t="s">
        <v>74</v>
      </c>
      <c r="G6592">
        <v>-223.1454</v>
      </c>
      <c r="H6592" s="1">
        <v>-7.6070419999999996E-7</v>
      </c>
      <c r="I6592">
        <v>-61.702739999999999</v>
      </c>
      <c r="J6592">
        <v>-240.51070000000001</v>
      </c>
      <c r="K6592">
        <v>1.1209629999999999</v>
      </c>
      <c r="L6592">
        <v>-62.5541699999999</v>
      </c>
      <c r="M6592">
        <v>0.99978489999999998</v>
      </c>
      <c r="N6592">
        <v>-1.165795E-2</v>
      </c>
      <c r="O6592">
        <v>1.7161869999999999E-2</v>
      </c>
      <c r="P6592">
        <v>0.99649799999999999</v>
      </c>
      <c r="Q6592">
        <v>-6.7561309999999999E-2</v>
      </c>
      <c r="R6592">
        <v>4.9271679999999998E-2</v>
      </c>
      <c r="S6592">
        <v>2.990326</v>
      </c>
      <c r="T6592">
        <v>-0.19180610000000001</v>
      </c>
      <c r="U6592">
        <v>0.14602660000000001</v>
      </c>
      <c r="V6592">
        <v>-3.2150379999999999E-2</v>
      </c>
      <c r="W6592">
        <v>-5.5938149999999999E-2</v>
      </c>
      <c r="X6592">
        <v>0.99791649999999998</v>
      </c>
      <c r="Y6592">
        <v>-3.1572120000000002E-2</v>
      </c>
      <c r="Z6592">
        <v>2.962436E-4</v>
      </c>
      <c r="AA6592">
        <v>0.99950139999999998</v>
      </c>
      <c r="AB6592">
        <v>24</v>
      </c>
      <c r="AC6592">
        <v>17.365300000000001</v>
      </c>
      <c r="AD6592">
        <v>-1.1209637607042</v>
      </c>
      <c r="AE6592">
        <v>0.85142999999998603</v>
      </c>
      <c r="AF6592">
        <v>-0.55097298316363896</v>
      </c>
      <c r="AG6592">
        <v>-1.1209637607042</v>
      </c>
      <c r="AH6592">
        <v>17.305417371406602</v>
      </c>
      <c r="AI6592">
        <v>93.704302350418999</v>
      </c>
      <c r="AJ6592">
        <v>91.823577306131298</v>
      </c>
      <c r="AK6592">
        <v>17.3504351928005</v>
      </c>
      <c r="AL6592">
        <v>93.206693621956205</v>
      </c>
      <c r="AM6592">
        <v>91.845288799399597</v>
      </c>
      <c r="AN6592">
        <v>1.0000000322659</v>
      </c>
    </row>
    <row r="6593" spans="1:40" x14ac:dyDescent="0.25">
      <c r="A6593" t="str">
        <f>"20190303154651897"</f>
        <v>20190303154651897</v>
      </c>
      <c r="B6593" t="str">
        <f>"1551599211888022"</f>
        <v>1551599211888022</v>
      </c>
      <c r="C6593" t="s">
        <v>40</v>
      </c>
      <c r="D6593">
        <v>5.1932980000000004</v>
      </c>
      <c r="E6593">
        <v>0.50114769999999997</v>
      </c>
      <c r="F6593" t="s">
        <v>74</v>
      </c>
      <c r="G6593">
        <v>-222.97800000000001</v>
      </c>
      <c r="H6593" s="1">
        <v>-6.9209930000000001E-7</v>
      </c>
      <c r="I6593">
        <v>-61.717019999999998</v>
      </c>
      <c r="J6593">
        <v>-240.38740000000001</v>
      </c>
      <c r="K6593">
        <v>1.1209579999999999</v>
      </c>
      <c r="L6593">
        <v>-62.551969999999997</v>
      </c>
      <c r="M6593">
        <v>0.99978350000000005</v>
      </c>
      <c r="N6593">
        <v>-1.1658470000000001E-2</v>
      </c>
      <c r="O6593">
        <v>1.7233869999999998E-2</v>
      </c>
      <c r="P6593">
        <v>0.9965233</v>
      </c>
      <c r="Q6593">
        <v>-6.7267690000000005E-2</v>
      </c>
      <c r="R6593">
        <v>4.9155440000000002E-2</v>
      </c>
      <c r="S6593">
        <v>2.9905240000000002</v>
      </c>
      <c r="T6593">
        <v>-0.19120139999999999</v>
      </c>
      <c r="U6593">
        <v>0.14279169999999999</v>
      </c>
      <c r="V6593">
        <v>-3.1961990000000003E-2</v>
      </c>
      <c r="W6593">
        <v>-5.5643400000000003E-2</v>
      </c>
      <c r="X6593">
        <v>0.99793900000000002</v>
      </c>
      <c r="Y6593">
        <v>-3.042137E-2</v>
      </c>
      <c r="Z6593">
        <v>2.4933300000000002E-4</v>
      </c>
      <c r="AA6593">
        <v>0.99953709999999996</v>
      </c>
      <c r="AB6593">
        <v>24</v>
      </c>
      <c r="AC6593">
        <v>17.409400000000002</v>
      </c>
      <c r="AD6593">
        <v>-1.1209586920993</v>
      </c>
      <c r="AE6593">
        <v>0.83494999999999897</v>
      </c>
      <c r="AF6593">
        <v>-0.53257136459855703</v>
      </c>
      <c r="AG6593">
        <v>-1.1209586920993</v>
      </c>
      <c r="AH6593">
        <v>17.349441712102202</v>
      </c>
      <c r="AI6593">
        <v>93.695043445463199</v>
      </c>
      <c r="AJ6593">
        <v>91.758241736373407</v>
      </c>
      <c r="AK6593">
        <v>17.393772114449899</v>
      </c>
      <c r="AL6593">
        <v>93.1897794429985</v>
      </c>
      <c r="AM6593">
        <v>91.834442128481598</v>
      </c>
      <c r="AN6593">
        <v>1.00000000224466</v>
      </c>
    </row>
    <row r="6594" spans="1:40" x14ac:dyDescent="0.25">
      <c r="A6594" t="str">
        <f>"20190303154651908"</f>
        <v>20190303154651908</v>
      </c>
      <c r="B6594" t="str">
        <f>"1551599211898759"</f>
        <v>1551599211898759</v>
      </c>
      <c r="C6594" t="s">
        <v>40</v>
      </c>
      <c r="D6594">
        <v>5.098236</v>
      </c>
      <c r="E6594">
        <v>0.50152299999999905</v>
      </c>
      <c r="F6594" t="s">
        <v>74</v>
      </c>
      <c r="G6594">
        <v>-222.6832</v>
      </c>
      <c r="H6594" s="1">
        <v>-5.6897889999999998E-7</v>
      </c>
      <c r="I6594">
        <v>-61.732199999999999</v>
      </c>
      <c r="J6594">
        <v>-240.26650000000001</v>
      </c>
      <c r="K6594">
        <v>1.1209519999999999</v>
      </c>
      <c r="L6594">
        <v>-62.549770000000002</v>
      </c>
      <c r="M6594">
        <v>0.99978250000000002</v>
      </c>
      <c r="N6594">
        <v>-1.1658979999999999E-2</v>
      </c>
      <c r="O6594">
        <v>1.7297739999999999E-2</v>
      </c>
      <c r="P6594">
        <v>0.99653740000000002</v>
      </c>
      <c r="Q6594">
        <v>-6.7215830000000004E-2</v>
      </c>
      <c r="R6594">
        <v>4.8940820000000003E-2</v>
      </c>
      <c r="S6594">
        <v>2.9908600000000001</v>
      </c>
      <c r="T6594">
        <v>-0.18936919999999999</v>
      </c>
      <c r="U6594">
        <v>0.1384888</v>
      </c>
      <c r="V6594">
        <v>-3.1684179999999999E-2</v>
      </c>
      <c r="W6594">
        <v>-5.559037E-2</v>
      </c>
      <c r="X6594">
        <v>0.99795080000000003</v>
      </c>
      <c r="Y6594">
        <v>-2.892165E-2</v>
      </c>
      <c r="Z6594">
        <v>1.9113379999999999E-4</v>
      </c>
      <c r="AA6594">
        <v>0.99958159999999896</v>
      </c>
      <c r="AB6594">
        <v>24</v>
      </c>
      <c r="AC6594">
        <v>17.583300000000001</v>
      </c>
      <c r="AD6594">
        <v>-1.1209525689788999</v>
      </c>
      <c r="AE6594">
        <v>0.81756999999999602</v>
      </c>
      <c r="AF6594">
        <v>-0.51120252353252704</v>
      </c>
      <c r="AG6594">
        <v>-1.1209525689788999</v>
      </c>
      <c r="AH6594">
        <v>17.5237458133671</v>
      </c>
      <c r="AI6594">
        <v>93.658536579871907</v>
      </c>
      <c r="AJ6594">
        <v>91.670957970586201</v>
      </c>
      <c r="AK6594">
        <v>17.567001167344099</v>
      </c>
      <c r="AL6594">
        <v>93.186736383535802</v>
      </c>
      <c r="AM6594">
        <v>91.818486629898104</v>
      </c>
      <c r="AN6594">
        <v>0.99999998785982402</v>
      </c>
    </row>
    <row r="6595" spans="1:40" x14ac:dyDescent="0.25">
      <c r="A6595" t="str">
        <f>"20190303154651920"</f>
        <v>20190303154651920</v>
      </c>
      <c r="B6595" t="str">
        <f>"1551599211917473"</f>
        <v>1551599211917473</v>
      </c>
      <c r="C6595" t="s">
        <v>40</v>
      </c>
      <c r="D6595">
        <v>5.0634779999999999</v>
      </c>
      <c r="E6595">
        <v>0.50214389999999998</v>
      </c>
      <c r="F6595" t="s">
        <v>74</v>
      </c>
      <c r="G6595">
        <v>-222.46360000000001</v>
      </c>
      <c r="H6595" s="1">
        <v>-4.7812379999999996E-7</v>
      </c>
      <c r="I6595">
        <v>-61.747109999999999</v>
      </c>
      <c r="J6595">
        <v>-240.1354</v>
      </c>
      <c r="K6595">
        <v>1.120949</v>
      </c>
      <c r="L6595">
        <v>-62.547449999999998</v>
      </c>
      <c r="M6595">
        <v>0.99978140000000004</v>
      </c>
      <c r="N6595">
        <v>-1.165952E-2</v>
      </c>
      <c r="O6595">
        <v>1.7363670000000001E-2</v>
      </c>
      <c r="P6595">
        <v>0.99654500000000001</v>
      </c>
      <c r="Q6595">
        <v>-6.7167760000000007E-2</v>
      </c>
      <c r="R6595">
        <v>4.8852909999999999E-2</v>
      </c>
      <c r="S6595">
        <v>2.991104</v>
      </c>
      <c r="T6595">
        <v>-0.18833430000000001</v>
      </c>
      <c r="U6595">
        <v>0.13485720000000001</v>
      </c>
      <c r="V6595">
        <v>-3.153152E-2</v>
      </c>
      <c r="W6595">
        <v>-5.5541090000000001E-2</v>
      </c>
      <c r="X6595">
        <v>0.99795840000000002</v>
      </c>
      <c r="Y6595">
        <v>-2.76443E-2</v>
      </c>
      <c r="Z6595">
        <v>1.411467E-4</v>
      </c>
      <c r="AA6595">
        <v>0.9996178</v>
      </c>
      <c r="AB6595">
        <v>24</v>
      </c>
      <c r="AC6595">
        <v>17.671799999999902</v>
      </c>
      <c r="AD6595">
        <v>-1.1209494781238001</v>
      </c>
      <c r="AE6595">
        <v>0.80033999999999805</v>
      </c>
      <c r="AF6595">
        <v>-0.49137816342416701</v>
      </c>
      <c r="AG6595">
        <v>-1.1209494781238001</v>
      </c>
      <c r="AH6595">
        <v>17.6123140688536</v>
      </c>
      <c r="AI6595">
        <v>93.640309928204502</v>
      </c>
      <c r="AJ6595">
        <v>91.598120115178602</v>
      </c>
      <c r="AK6595">
        <v>17.654789352805501</v>
      </c>
      <c r="AL6595">
        <v>93.183908411781502</v>
      </c>
      <c r="AM6595">
        <v>91.809716906243594</v>
      </c>
      <c r="AN6595">
        <v>1.00000000878122</v>
      </c>
    </row>
    <row r="6596" spans="1:40" x14ac:dyDescent="0.25">
      <c r="A6596" t="str">
        <f>"20190303154651931"</f>
        <v>20190303154651931</v>
      </c>
      <c r="B6596" t="str">
        <f>"1551599211928658"</f>
        <v>1551599211928658</v>
      </c>
      <c r="C6596" t="s">
        <v>40</v>
      </c>
      <c r="D6596">
        <v>5.1127770000000003</v>
      </c>
      <c r="E6596">
        <v>0.50251349999999995</v>
      </c>
      <c r="F6596" t="s">
        <v>74</v>
      </c>
      <c r="G6596">
        <v>-222.07570000000001</v>
      </c>
      <c r="H6596" s="1">
        <v>-3.1554490000000002E-7</v>
      </c>
      <c r="I6596">
        <v>-61.76446</v>
      </c>
      <c r="J6596">
        <v>-240.0179</v>
      </c>
      <c r="K6596">
        <v>1.1209370000000001</v>
      </c>
      <c r="L6596">
        <v>-62.545349999999999</v>
      </c>
      <c r="M6596">
        <v>0.99978049999999996</v>
      </c>
      <c r="N6596">
        <v>-1.166004E-2</v>
      </c>
      <c r="O6596">
        <v>1.7409299999999999E-2</v>
      </c>
      <c r="P6596">
        <v>0.99654200000000004</v>
      </c>
      <c r="Q6596">
        <v>-6.7408109999999993E-2</v>
      </c>
      <c r="R6596">
        <v>4.8584210000000003E-2</v>
      </c>
      <c r="S6596">
        <v>2.9915159999999998</v>
      </c>
      <c r="T6596">
        <v>-0.1856804</v>
      </c>
      <c r="U6596">
        <v>0.1296997</v>
      </c>
      <c r="V6596">
        <v>-3.1218940000000001E-2</v>
      </c>
      <c r="W6596">
        <v>-5.5780129999999997E-2</v>
      </c>
      <c r="X6596">
        <v>0.99795489999999998</v>
      </c>
      <c r="Y6596">
        <v>-2.587743E-2</v>
      </c>
      <c r="Z6596" s="1">
        <v>7.6941510000000003E-5</v>
      </c>
      <c r="AA6596">
        <v>0.99966509999999997</v>
      </c>
      <c r="AB6596">
        <v>24</v>
      </c>
      <c r="AC6596">
        <v>17.9421999999999</v>
      </c>
      <c r="AD6596">
        <v>-1.1209373155448901</v>
      </c>
      <c r="AE6596">
        <v>0.78088999999999897</v>
      </c>
      <c r="AF6596">
        <v>-0.46657163343311298</v>
      </c>
      <c r="AG6596">
        <v>-1.1209373155448901</v>
      </c>
      <c r="AH6596">
        <v>17.883407088187301</v>
      </c>
      <c r="AI6596">
        <v>93.585407627146594</v>
      </c>
      <c r="AJ6596">
        <v>91.494487176332697</v>
      </c>
      <c r="AK6596">
        <v>17.924576386523999</v>
      </c>
      <c r="AL6596">
        <v>93.197625644052096</v>
      </c>
      <c r="AM6596">
        <v>91.791794753901598</v>
      </c>
      <c r="AN6596">
        <v>1.0000000137757701</v>
      </c>
    </row>
    <row r="6597" spans="1:40" x14ac:dyDescent="0.25">
      <c r="A6597" t="str">
        <f>"20190303154651942"</f>
        <v>20190303154651942</v>
      </c>
      <c r="B6597" t="str">
        <f>"1551599211938419"</f>
        <v>1551599211938419</v>
      </c>
      <c r="C6597" t="s">
        <v>40</v>
      </c>
      <c r="D6597">
        <v>5.0603410000000002</v>
      </c>
      <c r="E6597">
        <v>0.50269849999999905</v>
      </c>
      <c r="F6597" t="s">
        <v>74</v>
      </c>
      <c r="G6597">
        <v>-221.94239999999999</v>
      </c>
      <c r="H6597" s="1">
        <v>-2.6279599999999999E-7</v>
      </c>
      <c r="I6597">
        <v>-61.784399999999998</v>
      </c>
      <c r="J6597">
        <v>-239.90270000000001</v>
      </c>
      <c r="K6597">
        <v>1.1209249999999999</v>
      </c>
      <c r="L6597">
        <v>-62.543300000000002</v>
      </c>
      <c r="M6597">
        <v>0.9997798</v>
      </c>
      <c r="N6597">
        <v>-1.166054E-2</v>
      </c>
      <c r="O6597">
        <v>1.745213E-2</v>
      </c>
      <c r="P6597">
        <v>0.99650729999999998</v>
      </c>
      <c r="Q6597">
        <v>-6.7973820000000004E-2</v>
      </c>
      <c r="R6597">
        <v>4.8504419999999999E-2</v>
      </c>
      <c r="S6597">
        <v>2.9916990000000001</v>
      </c>
      <c r="T6597">
        <v>-0.18552740000000001</v>
      </c>
      <c r="U6597">
        <v>0.125946</v>
      </c>
      <c r="V6597">
        <v>-3.1098029999999999E-2</v>
      </c>
      <c r="W6597">
        <v>-5.634492E-2</v>
      </c>
      <c r="X6597">
        <v>0.99792700000000001</v>
      </c>
      <c r="Y6597">
        <v>-2.4583000000000001E-2</v>
      </c>
      <c r="Z6597" s="1">
        <v>2.740021E-5</v>
      </c>
      <c r="AA6597">
        <v>0.99969779999999997</v>
      </c>
      <c r="AB6597">
        <v>24</v>
      </c>
      <c r="AC6597">
        <v>17.9603</v>
      </c>
      <c r="AD6597">
        <v>-1.120925262796</v>
      </c>
      <c r="AE6597">
        <v>0.75890000000000402</v>
      </c>
      <c r="AF6597">
        <v>-0.44359284327941501</v>
      </c>
      <c r="AG6597">
        <v>-1.120925262796</v>
      </c>
      <c r="AH6597">
        <v>17.901205672811901</v>
      </c>
      <c r="AI6597">
        <v>93.581932566806998</v>
      </c>
      <c r="AJ6597">
        <v>91.419502009089797</v>
      </c>
      <c r="AK6597">
        <v>17.941750544350398</v>
      </c>
      <c r="AL6597">
        <v>93.230036528115804</v>
      </c>
      <c r="AM6597">
        <v>91.784909553768699</v>
      </c>
      <c r="AN6597">
        <v>1.0000000674043401</v>
      </c>
    </row>
    <row r="6598" spans="1:40" x14ac:dyDescent="0.25">
      <c r="A6598" t="str">
        <f>"20190303154651955"</f>
        <v>20190303154651955</v>
      </c>
      <c r="B6598" t="str">
        <f>"1551599211948178"</f>
        <v>1551599211948178</v>
      </c>
      <c r="C6598" t="s">
        <v>40</v>
      </c>
      <c r="D6598">
        <v>5.0629900000000001</v>
      </c>
      <c r="E6598">
        <v>0.50293719999999997</v>
      </c>
      <c r="F6598" t="s">
        <v>74</v>
      </c>
      <c r="G6598">
        <v>-221.87979999999999</v>
      </c>
      <c r="H6598" s="1">
        <v>-2.3823599999999999E-7</v>
      </c>
      <c r="I6598">
        <v>-61.794699999999999</v>
      </c>
      <c r="J6598">
        <v>-239.76779999999999</v>
      </c>
      <c r="K6598">
        <v>1.120906</v>
      </c>
      <c r="L6598">
        <v>-62.540860000000002</v>
      </c>
      <c r="M6598">
        <v>0.99977919999999998</v>
      </c>
      <c r="N6598">
        <v>-1.1661080000000001E-2</v>
      </c>
      <c r="O6598">
        <v>1.7486129999999999E-2</v>
      </c>
      <c r="P6598">
        <v>0.9964655</v>
      </c>
      <c r="Q6598">
        <v>-6.8737880000000001E-2</v>
      </c>
      <c r="R6598">
        <v>4.828797E-2</v>
      </c>
      <c r="S6598">
        <v>2.9917600000000002</v>
      </c>
      <c r="T6598">
        <v>-0.18607090000000001</v>
      </c>
      <c r="U6598">
        <v>0.12426760000000001</v>
      </c>
      <c r="V6598">
        <v>-3.0850679999999998E-2</v>
      </c>
      <c r="W6598">
        <v>-5.710776E-2</v>
      </c>
      <c r="X6598">
        <v>0.99789119999999998</v>
      </c>
      <c r="Y6598">
        <v>-2.398952E-2</v>
      </c>
      <c r="Z6598" s="1">
        <v>2.8734790000000002E-6</v>
      </c>
      <c r="AA6598">
        <v>0.99971220000000005</v>
      </c>
      <c r="AB6598">
        <v>24</v>
      </c>
      <c r="AC6598">
        <v>17.888000000000002</v>
      </c>
      <c r="AD6598">
        <v>-1.120906238236</v>
      </c>
      <c r="AE6598">
        <v>0.74615999999999605</v>
      </c>
      <c r="AF6598">
        <v>-0.431541228928154</v>
      </c>
      <c r="AG6598">
        <v>-1.120906238236</v>
      </c>
      <c r="AH6598">
        <v>17.828429746373601</v>
      </c>
      <c r="AI6598">
        <v>93.596505362206599</v>
      </c>
      <c r="AJ6598">
        <v>91.386586722454794</v>
      </c>
      <c r="AK6598">
        <v>17.868843439029899</v>
      </c>
      <c r="AL6598">
        <v>93.273814903647306</v>
      </c>
      <c r="AM6598">
        <v>91.770785156935403</v>
      </c>
      <c r="AN6598">
        <v>0.99999995387305796</v>
      </c>
    </row>
    <row r="6599" spans="1:40" x14ac:dyDescent="0.25">
      <c r="A6599" t="str">
        <f>"20190303154651964"</f>
        <v>20190303154651964</v>
      </c>
      <c r="B6599" t="str">
        <f>"1551599211957939"</f>
        <v>1551599211957939</v>
      </c>
      <c r="C6599" t="s">
        <v>40</v>
      </c>
      <c r="D6599">
        <v>5.0524449999999996</v>
      </c>
      <c r="E6599">
        <v>0.50314029999999998</v>
      </c>
      <c r="F6599" t="s">
        <v>74</v>
      </c>
      <c r="G6599">
        <v>-221.8322</v>
      </c>
      <c r="H6599" s="1">
        <v>-2.214729E-7</v>
      </c>
      <c r="I6599">
        <v>-61.811079999999997</v>
      </c>
      <c r="J6599">
        <v>-239.65710000000001</v>
      </c>
      <c r="K6599">
        <v>1.120889</v>
      </c>
      <c r="L6599">
        <v>-62.538910000000001</v>
      </c>
      <c r="M6599">
        <v>0.99977870000000002</v>
      </c>
      <c r="N6599">
        <v>-1.166151E-2</v>
      </c>
      <c r="O6599">
        <v>1.750968E-2</v>
      </c>
      <c r="P6599">
        <v>0.99643060000000006</v>
      </c>
      <c r="Q6599">
        <v>-6.9321579999999994E-2</v>
      </c>
      <c r="R6599">
        <v>4.8174149999999999E-2</v>
      </c>
      <c r="S6599">
        <v>2.9918369999999999</v>
      </c>
      <c r="T6599">
        <v>-0.18697810000000001</v>
      </c>
      <c r="U6599">
        <v>0.1217346</v>
      </c>
      <c r="V6599">
        <v>-3.0715929999999999E-2</v>
      </c>
      <c r="W6599">
        <v>-5.7690489999999997E-2</v>
      </c>
      <c r="X6599">
        <v>0.99786189999999997</v>
      </c>
      <c r="Y6599">
        <v>-2.3121760000000002E-2</v>
      </c>
      <c r="Z6599" s="1">
        <v>-3.2112239999999997E-5</v>
      </c>
      <c r="AA6599">
        <v>0.99973270000000003</v>
      </c>
      <c r="AB6599">
        <v>24</v>
      </c>
      <c r="AC6599">
        <v>17.8249</v>
      </c>
      <c r="AD6599">
        <v>-1.1208892214728901</v>
      </c>
      <c r="AE6599">
        <v>0.72782999999998998</v>
      </c>
      <c r="AF6599">
        <v>-0.41395470694290498</v>
      </c>
      <c r="AG6599">
        <v>-1.1208892214728901</v>
      </c>
      <c r="AH6599">
        <v>17.764781296000098</v>
      </c>
      <c r="AI6599">
        <v>93.609379620498999</v>
      </c>
      <c r="AJ6599">
        <v>91.334863955010306</v>
      </c>
      <c r="AK6599">
        <v>17.804920826584102</v>
      </c>
      <c r="AL6599">
        <v>93.307257806081907</v>
      </c>
      <c r="AM6599">
        <v>91.763107326196803</v>
      </c>
      <c r="AN6599">
        <v>1.0000000162319</v>
      </c>
    </row>
    <row r="6600" spans="1:40" x14ac:dyDescent="0.25">
      <c r="A6600" t="str">
        <f>"20190303154651976"</f>
        <v>20190303154651976</v>
      </c>
      <c r="B6600" t="str">
        <f>"1551599211968674"</f>
        <v>1551599211968674</v>
      </c>
      <c r="C6600" t="s">
        <v>40</v>
      </c>
      <c r="D6600">
        <v>5.0441960000000003</v>
      </c>
      <c r="E6600">
        <v>0.50332219999999905</v>
      </c>
      <c r="F6600" t="s">
        <v>74</v>
      </c>
      <c r="G6600">
        <v>-221.7834</v>
      </c>
      <c r="H6600" s="1">
        <v>-2.0320139999999999E-7</v>
      </c>
      <c r="I6600">
        <v>-61.823149999999998</v>
      </c>
      <c r="J6600">
        <v>-239.53489999999999</v>
      </c>
      <c r="K6600">
        <v>1.1208739999999999</v>
      </c>
      <c r="L6600">
        <v>-62.536740000000002</v>
      </c>
      <c r="M6600">
        <v>0.99977839999999996</v>
      </c>
      <c r="N6600">
        <v>-1.1662E-2</v>
      </c>
      <c r="O6600">
        <v>1.7527250000000001E-2</v>
      </c>
      <c r="P6600">
        <v>0.99639869999999997</v>
      </c>
      <c r="Q6600">
        <v>-6.9809120000000002E-2</v>
      </c>
      <c r="R6600">
        <v>4.8126559999999999E-2</v>
      </c>
      <c r="S6600">
        <v>2.9918979999999999</v>
      </c>
      <c r="T6600">
        <v>-0.18762619999999999</v>
      </c>
      <c r="U6600">
        <v>0.119812</v>
      </c>
      <c r="V6600">
        <v>-3.0652740000000001E-2</v>
      </c>
      <c r="W6600">
        <v>-5.8176930000000002E-2</v>
      </c>
      <c r="X6600">
        <v>0.99783560000000004</v>
      </c>
      <c r="Y6600">
        <v>-2.246337E-2</v>
      </c>
      <c r="Z6600" s="1">
        <v>-5.8736829999999999E-5</v>
      </c>
      <c r="AA6600">
        <v>0.99974770000000002</v>
      </c>
      <c r="AB6600">
        <v>24</v>
      </c>
      <c r="AC6600">
        <v>17.751499999999901</v>
      </c>
      <c r="AD6600">
        <v>-1.1208742032014001</v>
      </c>
      <c r="AE6600">
        <v>0.71359000000000306</v>
      </c>
      <c r="AF6600">
        <v>-0.40072911848117498</v>
      </c>
      <c r="AG6600">
        <v>-1.1208742032014001</v>
      </c>
      <c r="AH6600">
        <v>17.690861621081599</v>
      </c>
      <c r="AI6600">
        <v>93.624426515104702</v>
      </c>
      <c r="AJ6600">
        <v>91.297628230919599</v>
      </c>
      <c r="AK6600">
        <v>17.730863704345001</v>
      </c>
      <c r="AL6600">
        <v>93.335175658457999</v>
      </c>
      <c r="AM6600">
        <v>91.759528821422194</v>
      </c>
      <c r="AN6600">
        <v>1.0000000151405399</v>
      </c>
    </row>
    <row r="6601" spans="1:40" x14ac:dyDescent="0.25">
      <c r="A6601" t="str">
        <f>"20190303154651991"</f>
        <v>20190303154651991</v>
      </c>
      <c r="B6601" t="str">
        <f>"1551599211978435"</f>
        <v>1551599211978435</v>
      </c>
      <c r="C6601" t="s">
        <v>40</v>
      </c>
      <c r="D6601">
        <v>5.0688750000000002</v>
      </c>
      <c r="E6601">
        <v>0.50353429999999999</v>
      </c>
      <c r="F6601" t="s">
        <v>74</v>
      </c>
      <c r="G6601">
        <v>-221.6662</v>
      </c>
      <c r="H6601" s="1">
        <v>-1.546192E-7</v>
      </c>
      <c r="I6601">
        <v>-61.830680000000001</v>
      </c>
      <c r="J6601">
        <v>-239.38730000000001</v>
      </c>
      <c r="K6601">
        <v>1.120862</v>
      </c>
      <c r="L6601">
        <v>-62.534149999999997</v>
      </c>
      <c r="M6601">
        <v>0.99977819999999995</v>
      </c>
      <c r="N6601">
        <v>-1.166259E-2</v>
      </c>
      <c r="O6601">
        <v>1.753818E-2</v>
      </c>
      <c r="P6601">
        <v>0.99636910000000001</v>
      </c>
      <c r="Q6601">
        <v>-6.9962869999999996E-2</v>
      </c>
      <c r="R6601">
        <v>4.8519550000000002E-2</v>
      </c>
      <c r="S6601">
        <v>2.9919739999999999</v>
      </c>
      <c r="T6601">
        <v>-0.1876824</v>
      </c>
      <c r="U6601">
        <v>0.1182251</v>
      </c>
      <c r="V6601">
        <v>-3.1037869999999999E-2</v>
      </c>
      <c r="W6601">
        <v>-5.8329239999999997E-2</v>
      </c>
      <c r="X6601">
        <v>0.9978148</v>
      </c>
      <c r="Y6601">
        <v>-2.1923249999999998E-2</v>
      </c>
      <c r="Z6601" s="1">
        <v>-7.9461780000000004E-5</v>
      </c>
      <c r="AA6601">
        <v>0.99975970000000003</v>
      </c>
      <c r="AB6601">
        <v>24</v>
      </c>
      <c r="AC6601">
        <v>17.7211</v>
      </c>
      <c r="AD6601">
        <v>-1.1208621546191999</v>
      </c>
      <c r="AE6601">
        <v>0.70346999999998805</v>
      </c>
      <c r="AF6601">
        <v>-0.39098311683674902</v>
      </c>
      <c r="AG6601">
        <v>-1.1208621546191999</v>
      </c>
      <c r="AH6601">
        <v>17.660172654491099</v>
      </c>
      <c r="AI6601">
        <v>93.630710646696997</v>
      </c>
      <c r="AJ6601">
        <v>91.2682788516627</v>
      </c>
      <c r="AK6601">
        <v>17.7000253659068</v>
      </c>
      <c r="AL6601">
        <v>93.343917232345703</v>
      </c>
      <c r="AM6601">
        <v>91.781659012249705</v>
      </c>
      <c r="AN6601">
        <v>1.0000000123560699</v>
      </c>
    </row>
    <row r="6602" spans="1:40" x14ac:dyDescent="0.25">
      <c r="A6602" t="str">
        <f>"20190303154652005"</f>
        <v>20190303154652005</v>
      </c>
      <c r="B6602" t="str">
        <f>"1551599211998931"</f>
        <v>1551599211998931</v>
      </c>
      <c r="C6602" t="s">
        <v>40</v>
      </c>
      <c r="D6602">
        <v>5.061134</v>
      </c>
      <c r="E6602">
        <v>0.50387979999999999</v>
      </c>
      <c r="F6602" t="s">
        <v>74</v>
      </c>
      <c r="G6602">
        <v>-221.46</v>
      </c>
      <c r="H6602" s="1">
        <v>-6.5631979999999995E-8</v>
      </c>
      <c r="I6602">
        <v>-61.828360000000004</v>
      </c>
      <c r="J6602">
        <v>-239.22829999999999</v>
      </c>
      <c r="K6602">
        <v>1.1208450000000001</v>
      </c>
      <c r="L6602">
        <v>-62.531309999999998</v>
      </c>
      <c r="M6602">
        <v>0.99977819999999995</v>
      </c>
      <c r="N6602">
        <v>-1.166321E-2</v>
      </c>
      <c r="O6602">
        <v>1.753797E-2</v>
      </c>
      <c r="P6602">
        <v>0.99635560000000001</v>
      </c>
      <c r="Q6602">
        <v>-7.0083770000000004E-2</v>
      </c>
      <c r="R6602">
        <v>4.8621289999999998E-2</v>
      </c>
      <c r="S6602">
        <v>2.9920810000000002</v>
      </c>
      <c r="T6602">
        <v>-0.18707289999999999</v>
      </c>
      <c r="U6602">
        <v>0.1177979</v>
      </c>
      <c r="V6602">
        <v>-3.1141849999999999E-2</v>
      </c>
      <c r="W6602">
        <v>-5.84485E-2</v>
      </c>
      <c r="X6602">
        <v>0.99780460000000004</v>
      </c>
      <c r="Y6602">
        <v>-2.1779980000000001E-2</v>
      </c>
      <c r="Z6602" s="1">
        <v>-8.3394169999999898E-5</v>
      </c>
      <c r="AA6602">
        <v>0.99976279999999995</v>
      </c>
      <c r="AB6602">
        <v>24</v>
      </c>
      <c r="AC6602">
        <v>17.768299999999901</v>
      </c>
      <c r="AD6602">
        <v>-1.1208450656319799</v>
      </c>
      <c r="AE6602">
        <v>0.70295000000000096</v>
      </c>
      <c r="AF6602">
        <v>-0.38965267418583699</v>
      </c>
      <c r="AG6602">
        <v>-1.1208450656319799</v>
      </c>
      <c r="AH6602">
        <v>17.707543645431102</v>
      </c>
      <c r="AI6602">
        <v>93.620979337517397</v>
      </c>
      <c r="AJ6602">
        <v>91.260584288641198</v>
      </c>
      <c r="AK6602">
        <v>17.747259642618101</v>
      </c>
      <c r="AL6602">
        <v>93.350761942564802</v>
      </c>
      <c r="AM6602">
        <v>91.787642145712198</v>
      </c>
      <c r="AN6602">
        <v>1.00000003087741</v>
      </c>
    </row>
    <row r="6603" spans="1:40" x14ac:dyDescent="0.25">
      <c r="A6603" t="str">
        <f>"20190303154652018"</f>
        <v>20190303154652018</v>
      </c>
      <c r="B6603" t="str">
        <f>"1551599212008690"</f>
        <v>1551599212008690</v>
      </c>
      <c r="C6603" t="s">
        <v>40</v>
      </c>
      <c r="D6603">
        <v>5.0632270000000004</v>
      </c>
      <c r="E6603">
        <v>0.50402209999999903</v>
      </c>
      <c r="F6603" t="s">
        <v>74</v>
      </c>
      <c r="G6603">
        <v>-221.1045</v>
      </c>
      <c r="H6603" s="1">
        <v>8.5909679999999997E-8</v>
      </c>
      <c r="I6603">
        <v>-61.832630000000002</v>
      </c>
      <c r="J6603">
        <v>-239.07550000000001</v>
      </c>
      <c r="K6603">
        <v>1.1208309999999999</v>
      </c>
      <c r="L6603">
        <v>-62.528660000000002</v>
      </c>
      <c r="M6603">
        <v>0.99977859999999996</v>
      </c>
      <c r="N6603">
        <v>-1.166379E-2</v>
      </c>
      <c r="O6603">
        <v>1.751993E-2</v>
      </c>
      <c r="P6603">
        <v>0.99629469999999998</v>
      </c>
      <c r="Q6603">
        <v>-7.0636550000000006E-2</v>
      </c>
      <c r="R6603">
        <v>4.9067329999999999E-2</v>
      </c>
      <c r="S6603">
        <v>2.9923250000000001</v>
      </c>
      <c r="T6603">
        <v>-0.18505720000000001</v>
      </c>
      <c r="U6603">
        <v>0.115356399999999</v>
      </c>
      <c r="V6603">
        <v>-3.1608989999999997E-2</v>
      </c>
      <c r="W6603">
        <v>-5.9000150000000001E-2</v>
      </c>
      <c r="X6603">
        <v>0.99775740000000002</v>
      </c>
      <c r="Y6603">
        <v>-2.0982529999999999E-2</v>
      </c>
      <c r="Z6603">
        <v>-1.072693E-4</v>
      </c>
      <c r="AA6603">
        <v>0.9997798</v>
      </c>
      <c r="AB6603">
        <v>24</v>
      </c>
      <c r="AC6603">
        <v>17.971</v>
      </c>
      <c r="AD6603">
        <v>-1.1208309140903201</v>
      </c>
      <c r="AE6603">
        <v>0.69602999999999304</v>
      </c>
      <c r="AF6603">
        <v>-0.37957681670014998</v>
      </c>
      <c r="AG6603">
        <v>-1.1208309140903201</v>
      </c>
      <c r="AH6603">
        <v>17.9108698569948</v>
      </c>
      <c r="AI6603">
        <v>93.579998624765295</v>
      </c>
      <c r="AJ6603">
        <v>91.214061336976698</v>
      </c>
      <c r="AK6603">
        <v>17.949919206836601</v>
      </c>
      <c r="AL6603">
        <v>93.382423946146204</v>
      </c>
      <c r="AM6603">
        <v>91.814525465661305</v>
      </c>
      <c r="AN6603">
        <v>0.99999998760180098</v>
      </c>
    </row>
    <row r="6604" spans="1:40" x14ac:dyDescent="0.25">
      <c r="A6604" t="str">
        <f>"20190303154652032"</f>
        <v>20190303154652032</v>
      </c>
      <c r="B6604" t="str">
        <f>"1551599212028210"</f>
        <v>1551599212028210</v>
      </c>
      <c r="C6604" t="s">
        <v>40</v>
      </c>
      <c r="D6604">
        <v>5.1178780000000001</v>
      </c>
      <c r="E6604">
        <v>0.50453110000000001</v>
      </c>
      <c r="F6604" t="s">
        <v>74</v>
      </c>
      <c r="G6604">
        <v>-221.00129999999999</v>
      </c>
      <c r="H6604" s="1">
        <v>1.3064680000000001E-7</v>
      </c>
      <c r="I6604">
        <v>-61.830590000000001</v>
      </c>
      <c r="J6604">
        <v>-238.93539999999999</v>
      </c>
      <c r="K6604">
        <v>1.1208119999999999</v>
      </c>
      <c r="L6604">
        <v>-62.526209999999999</v>
      </c>
      <c r="M6604">
        <v>0.99977919999999998</v>
      </c>
      <c r="N6604">
        <v>-1.1664320000000001E-2</v>
      </c>
      <c r="O6604">
        <v>1.7484260000000001E-2</v>
      </c>
      <c r="P6604">
        <v>0.99623269999999997</v>
      </c>
      <c r="Q6604">
        <v>-7.0951249999999993E-2</v>
      </c>
      <c r="R6604">
        <v>4.9866180000000003E-2</v>
      </c>
      <c r="S6604">
        <v>2.9923250000000001</v>
      </c>
      <c r="T6604">
        <v>-0.18556230000000001</v>
      </c>
      <c r="U6604">
        <v>0.1155701</v>
      </c>
      <c r="V6604">
        <v>-3.2446200000000001E-2</v>
      </c>
      <c r="W6604">
        <v>-5.9313650000000002E-2</v>
      </c>
      <c r="X6604">
        <v>0.99771200000000004</v>
      </c>
      <c r="Y6604">
        <v>-2.1089090000000001E-2</v>
      </c>
      <c r="Z6604">
        <v>-1.0272099999999999E-4</v>
      </c>
      <c r="AA6604">
        <v>0.99977760000000004</v>
      </c>
      <c r="AB6604">
        <v>24</v>
      </c>
      <c r="AC6604">
        <v>17.934100000000001</v>
      </c>
      <c r="AD6604">
        <v>-1.1208118693531901</v>
      </c>
      <c r="AE6604">
        <v>0.69561999999999802</v>
      </c>
      <c r="AF6604">
        <v>-0.38044418956791998</v>
      </c>
      <c r="AG6604">
        <v>-1.1208118693531901</v>
      </c>
      <c r="AH6604">
        <v>17.8738153468002</v>
      </c>
      <c r="AI6604">
        <v>93.587333199318607</v>
      </c>
      <c r="AJ6604">
        <v>91.219356641358104</v>
      </c>
      <c r="AK6604">
        <v>17.9129626829112</v>
      </c>
      <c r="AL6604">
        <v>93.400417473526502</v>
      </c>
      <c r="AM6604">
        <v>91.862637086550606</v>
      </c>
      <c r="AN6604">
        <v>1.00000004995738</v>
      </c>
    </row>
    <row r="6605" spans="1:40" x14ac:dyDescent="0.25">
      <c r="A6605" t="str">
        <f>"20190303154652042"</f>
        <v>20190303154652042</v>
      </c>
      <c r="B6605" t="str">
        <f>"1551599212037971"</f>
        <v>1551599212037971</v>
      </c>
      <c r="C6605" t="s">
        <v>40</v>
      </c>
      <c r="D6605">
        <v>5.0593370000000002</v>
      </c>
      <c r="E6605">
        <v>0.50474259999999904</v>
      </c>
      <c r="F6605" t="s">
        <v>74</v>
      </c>
      <c r="G6605">
        <v>-220.8409</v>
      </c>
      <c r="H6605" s="1">
        <v>1.979658E-7</v>
      </c>
      <c r="I6605">
        <v>-61.837359999999997</v>
      </c>
      <c r="J6605">
        <v>-238.81540000000001</v>
      </c>
      <c r="K6605">
        <v>1.120798</v>
      </c>
      <c r="L6605">
        <v>-62.524169999999998</v>
      </c>
      <c r="M6605">
        <v>0.99977990000000005</v>
      </c>
      <c r="N6605">
        <v>-1.166476E-2</v>
      </c>
      <c r="O6605">
        <v>1.7446819999999998E-2</v>
      </c>
      <c r="P6605">
        <v>0.99619950000000002</v>
      </c>
      <c r="Q6605">
        <v>-7.1293880000000004E-2</v>
      </c>
      <c r="R6605">
        <v>5.004082E-2</v>
      </c>
      <c r="S6605">
        <v>2.9924469999999999</v>
      </c>
      <c r="T6605">
        <v>-0.1853583</v>
      </c>
      <c r="U6605">
        <v>0.1139221</v>
      </c>
      <c r="V6605">
        <v>-3.2661049999999997E-2</v>
      </c>
      <c r="W6605">
        <v>-5.9655119999999999E-2</v>
      </c>
      <c r="X6605">
        <v>0.99768460000000003</v>
      </c>
      <c r="Y6605">
        <v>-2.0576339999999999E-2</v>
      </c>
      <c r="Z6605">
        <v>-1.192003E-4</v>
      </c>
      <c r="AA6605">
        <v>0.99978829999999996</v>
      </c>
      <c r="AB6605">
        <v>24</v>
      </c>
      <c r="AC6605">
        <v>17.974499999999999</v>
      </c>
      <c r="AD6605">
        <v>-1.1207978020342</v>
      </c>
      <c r="AE6605">
        <v>0.68681000000000103</v>
      </c>
      <c r="AF6605">
        <v>-0.37164340136416402</v>
      </c>
      <c r="AG6605">
        <v>-1.1207978020342</v>
      </c>
      <c r="AH6605">
        <v>17.9141960442855</v>
      </c>
      <c r="AI6605">
        <v>93.5792636070951</v>
      </c>
      <c r="AJ6605">
        <v>91.188473336750206</v>
      </c>
      <c r="AK6605">
        <v>17.953070111931201</v>
      </c>
      <c r="AL6605">
        <v>93.420017073511701</v>
      </c>
      <c r="AM6605">
        <v>91.875013649668603</v>
      </c>
      <c r="AN6605">
        <v>1.0000000193032299</v>
      </c>
    </row>
    <row r="6606" spans="1:40" x14ac:dyDescent="0.25">
      <c r="A6606" t="str">
        <f>"20190303154652054"</f>
        <v>20190303154652054</v>
      </c>
      <c r="B6606" t="str">
        <f>"1551599212048706"</f>
        <v>1551599212048706</v>
      </c>
      <c r="C6606" t="s">
        <v>40</v>
      </c>
      <c r="D6606">
        <v>5.1224270000000001</v>
      </c>
      <c r="E6606">
        <v>0.50499669999999997</v>
      </c>
      <c r="F6606" t="s">
        <v>74</v>
      </c>
      <c r="G6606">
        <v>-220.77109999999999</v>
      </c>
      <c r="H6606" s="1">
        <v>2.2633909999999999E-7</v>
      </c>
      <c r="I6606">
        <v>-61.844410000000003</v>
      </c>
      <c r="J6606">
        <v>-238.68610000000001</v>
      </c>
      <c r="K6606">
        <v>1.1207750000000001</v>
      </c>
      <c r="L6606">
        <v>-62.521970000000003</v>
      </c>
      <c r="M6606">
        <v>0.99978089999999997</v>
      </c>
      <c r="N6606">
        <v>-1.1665200000000001E-2</v>
      </c>
      <c r="O6606">
        <v>1.7384409999999999E-2</v>
      </c>
      <c r="P6606">
        <v>0.99613669999999999</v>
      </c>
      <c r="Q6606">
        <v>-7.2081409999999999E-2</v>
      </c>
      <c r="R6606">
        <v>5.0162239999999997E-2</v>
      </c>
      <c r="S6606">
        <v>2.9924770000000001</v>
      </c>
      <c r="T6606">
        <v>-0.18587339999999999</v>
      </c>
      <c r="U6606">
        <v>0.1127319</v>
      </c>
      <c r="V6606">
        <v>-3.2848349999999998E-2</v>
      </c>
      <c r="W6606">
        <v>-6.0441509999999997E-2</v>
      </c>
      <c r="X6606">
        <v>0.99763109999999999</v>
      </c>
      <c r="Y6606">
        <v>-2.0241889999999998E-2</v>
      </c>
      <c r="Z6606">
        <v>-1.2959970000000001E-4</v>
      </c>
      <c r="AA6606">
        <v>0.99979510000000005</v>
      </c>
      <c r="AB6606">
        <v>24</v>
      </c>
      <c r="AC6606">
        <v>17.914999999999999</v>
      </c>
      <c r="AD6606">
        <v>-1.1207747736608999</v>
      </c>
      <c r="AE6606">
        <v>0.67755999999999905</v>
      </c>
      <c r="AF6606">
        <v>-0.36456988779535299</v>
      </c>
      <c r="AG6606">
        <v>-1.1207747736608999</v>
      </c>
      <c r="AH6606">
        <v>17.8542930599431</v>
      </c>
      <c r="AI6606">
        <v>93.591191499909698</v>
      </c>
      <c r="AJ6606">
        <v>91.169769841230405</v>
      </c>
      <c r="AK6606">
        <v>17.893150308615098</v>
      </c>
      <c r="AL6606">
        <v>93.465155418818</v>
      </c>
      <c r="AM6606">
        <v>91.885859527766897</v>
      </c>
      <c r="AN6606">
        <v>1.0000000009579999</v>
      </c>
    </row>
    <row r="6607" spans="1:40" x14ac:dyDescent="0.25">
      <c r="A6607" t="str">
        <f>"20190303154652065"</f>
        <v>20190303154652065</v>
      </c>
      <c r="B6607" t="str">
        <f>"1551599212058000"</f>
        <v>1551599212058000</v>
      </c>
      <c r="C6607" t="s">
        <v>40</v>
      </c>
      <c r="D6607">
        <v>5.0788070000000003</v>
      </c>
      <c r="E6607">
        <v>0.50524049999999998</v>
      </c>
      <c r="F6607" t="s">
        <v>74</v>
      </c>
      <c r="G6607">
        <v>-220.79939999999999</v>
      </c>
      <c r="H6607" s="1">
        <v>2.1116919999999999E-7</v>
      </c>
      <c r="I6607">
        <v>-61.857990000000001</v>
      </c>
      <c r="J6607">
        <v>-238.56549999999999</v>
      </c>
      <c r="K6607">
        <v>1.120757</v>
      </c>
      <c r="L6607">
        <v>-62.5199</v>
      </c>
      <c r="M6607">
        <v>0.99978210000000001</v>
      </c>
      <c r="N6607">
        <v>-1.166561E-2</v>
      </c>
      <c r="O6607">
        <v>1.7317349999999999E-2</v>
      </c>
      <c r="P6607">
        <v>0.99609859999999995</v>
      </c>
      <c r="Q6607">
        <v>-7.2678629999999994E-2</v>
      </c>
      <c r="R6607">
        <v>5.0057249999999998E-2</v>
      </c>
      <c r="S6607">
        <v>2.9924620000000002</v>
      </c>
      <c r="T6607">
        <v>-0.1875066</v>
      </c>
      <c r="U6607">
        <v>0.111084</v>
      </c>
      <c r="V6607">
        <v>-3.2813389999999998E-2</v>
      </c>
      <c r="W6607">
        <v>-6.1037429999999997E-2</v>
      </c>
      <c r="X6607">
        <v>0.99759600000000004</v>
      </c>
      <c r="Y6607">
        <v>-1.9760079999999999E-2</v>
      </c>
      <c r="Z6607">
        <v>-1.4802279999999999E-4</v>
      </c>
      <c r="AA6607">
        <v>0.99980469999999999</v>
      </c>
      <c r="AB6607">
        <v>24</v>
      </c>
      <c r="AC6607">
        <v>17.766099999999899</v>
      </c>
      <c r="AD6607">
        <v>-1.1207567888308001</v>
      </c>
      <c r="AE6607">
        <v>0.661909999999998</v>
      </c>
      <c r="AF6607">
        <v>-0.35272629405580702</v>
      </c>
      <c r="AG6607">
        <v>-1.1207567888308001</v>
      </c>
      <c r="AH6607">
        <v>17.704539620112701</v>
      </c>
      <c r="AI6607">
        <v>93.621465188916403</v>
      </c>
      <c r="AJ6607">
        <v>91.141348780603195</v>
      </c>
      <c r="AK6607">
        <v>17.743484290814202</v>
      </c>
      <c r="AL6607">
        <v>93.499362166290396</v>
      </c>
      <c r="AM6607">
        <v>91.883920117945493</v>
      </c>
      <c r="AN6607">
        <v>1.0000000328201399</v>
      </c>
    </row>
    <row r="6608" spans="1:40" x14ac:dyDescent="0.25">
      <c r="A6608" t="str">
        <f>"20190303154652076"</f>
        <v>20190303154652076</v>
      </c>
      <c r="B6608" t="str">
        <f>"1551599212068736"</f>
        <v>1551599212068736</v>
      </c>
      <c r="C6608" t="s">
        <v>40</v>
      </c>
      <c r="D6608">
        <v>5.1457569999999997</v>
      </c>
      <c r="E6608">
        <v>0.50549679999999997</v>
      </c>
      <c r="F6608" t="s">
        <v>74</v>
      </c>
      <c r="G6608">
        <v>-220.79769999999999</v>
      </c>
      <c r="H6608" s="1">
        <v>2.084198E-7</v>
      </c>
      <c r="I6608">
        <v>-61.873570000000001</v>
      </c>
      <c r="J6608">
        <v>-238.44290000000001</v>
      </c>
      <c r="K6608">
        <v>1.120736</v>
      </c>
      <c r="L6608">
        <v>-62.517850000000003</v>
      </c>
      <c r="M6608">
        <v>0.99978359999999999</v>
      </c>
      <c r="N6608">
        <v>-1.1666050000000001E-2</v>
      </c>
      <c r="O6608">
        <v>1.7235299999999999E-2</v>
      </c>
      <c r="P6608">
        <v>0.99604429999999999</v>
      </c>
      <c r="Q6608">
        <v>-7.3401859999999999E-2</v>
      </c>
      <c r="R6608">
        <v>5.0082429999999997E-2</v>
      </c>
      <c r="S6608">
        <v>2.9924930000000001</v>
      </c>
      <c r="T6608">
        <v>-0.1887606</v>
      </c>
      <c r="U6608">
        <v>0.1088562</v>
      </c>
      <c r="V6608">
        <v>-3.2924660000000001E-2</v>
      </c>
      <c r="W6608">
        <v>-6.1759319999999999E-2</v>
      </c>
      <c r="X6608">
        <v>0.99754790000000004</v>
      </c>
      <c r="Y6608">
        <v>-1.9099689999999999E-2</v>
      </c>
      <c r="Z6608">
        <v>-1.7156769999999999E-4</v>
      </c>
      <c r="AA6608">
        <v>0.99981759999999997</v>
      </c>
      <c r="AB6608">
        <v>24</v>
      </c>
      <c r="AC6608">
        <v>17.645199999999999</v>
      </c>
      <c r="AD6608">
        <v>-1.1207357915802001</v>
      </c>
      <c r="AE6608">
        <v>0.64428000000000896</v>
      </c>
      <c r="AF6608">
        <v>-0.338678868319925</v>
      </c>
      <c r="AG6608">
        <v>-1.1207357915802001</v>
      </c>
      <c r="AH6608">
        <v>17.582846154292199</v>
      </c>
      <c r="AI6608">
        <v>93.646441436007194</v>
      </c>
      <c r="AJ6608">
        <v>91.103488608215102</v>
      </c>
      <c r="AK6608">
        <v>17.621782854634301</v>
      </c>
      <c r="AL6608">
        <v>93.540801608870694</v>
      </c>
      <c r="AM6608">
        <v>91.890394933375902</v>
      </c>
      <c r="AN6608">
        <v>1.00000002981869</v>
      </c>
    </row>
    <row r="6609" spans="1:40" x14ac:dyDescent="0.25">
      <c r="A6609" t="str">
        <f>"20190303154652087"</f>
        <v>20190303154652087</v>
      </c>
      <c r="B6609" t="str">
        <f>"1551599212078496"</f>
        <v>1551599212078496</v>
      </c>
      <c r="C6609" t="s">
        <v>40</v>
      </c>
      <c r="D6609">
        <v>5.0864229999999999</v>
      </c>
      <c r="E6609">
        <v>0.50572010000000001</v>
      </c>
      <c r="F6609" t="s">
        <v>74</v>
      </c>
      <c r="G6609">
        <v>-220.8168</v>
      </c>
      <c r="H6609" s="1">
        <v>1.9696429999999999E-7</v>
      </c>
      <c r="I6609">
        <v>-61.888359999999999</v>
      </c>
      <c r="J6609">
        <v>-238.3323</v>
      </c>
      <c r="K6609">
        <v>1.120714</v>
      </c>
      <c r="L6609">
        <v>-62.516019999999997</v>
      </c>
      <c r="M6609">
        <v>0.99978489999999998</v>
      </c>
      <c r="N6609">
        <v>-1.166644E-2</v>
      </c>
      <c r="O6609">
        <v>1.7150350000000002E-2</v>
      </c>
      <c r="P6609">
        <v>0.99600169999999999</v>
      </c>
      <c r="Q6609">
        <v>-7.4057410000000004E-2</v>
      </c>
      <c r="R6609">
        <v>4.9964269999999998E-2</v>
      </c>
      <c r="S6609">
        <v>2.9924930000000001</v>
      </c>
      <c r="T6609">
        <v>-0.1902741</v>
      </c>
      <c r="U6609">
        <v>0.1068726</v>
      </c>
      <c r="V6609">
        <v>-3.2894310000000003E-2</v>
      </c>
      <c r="W6609">
        <v>-6.2413589999999998E-2</v>
      </c>
      <c r="X6609">
        <v>0.99750819999999996</v>
      </c>
      <c r="Y6609">
        <v>-1.8523789999999998E-2</v>
      </c>
      <c r="Z6609">
        <v>-1.9268449999999999E-4</v>
      </c>
      <c r="AA6609">
        <v>0.99982839999999995</v>
      </c>
      <c r="AB6609">
        <v>24</v>
      </c>
      <c r="AC6609">
        <v>17.515499999999999</v>
      </c>
      <c r="AD6609">
        <v>-1.1207138030357</v>
      </c>
      <c r="AE6609">
        <v>0.627659999999998</v>
      </c>
      <c r="AF6609">
        <v>-0.32581810704271702</v>
      </c>
      <c r="AG6609">
        <v>-1.1207138030357</v>
      </c>
      <c r="AH6609">
        <v>17.452331183717501</v>
      </c>
      <c r="AI6609">
        <v>93.673605770178099</v>
      </c>
      <c r="AJ6609">
        <v>91.069532423850802</v>
      </c>
      <c r="AK6609">
        <v>17.491312718413901</v>
      </c>
      <c r="AL6609">
        <v>93.578360904612893</v>
      </c>
      <c r="AM6609">
        <v>91.888728739549506</v>
      </c>
      <c r="AN6609">
        <v>1.00000005045715</v>
      </c>
    </row>
    <row r="6610" spans="1:40" x14ac:dyDescent="0.25">
      <c r="A6610" t="str">
        <f>"20190303154652098"</f>
        <v>20190303154652098</v>
      </c>
      <c r="B6610" t="str">
        <f>"1551599212088257"</f>
        <v>1551599212088257</v>
      </c>
      <c r="C6610" t="s">
        <v>40</v>
      </c>
      <c r="D6610">
        <v>5.1374009999999997</v>
      </c>
      <c r="E6610">
        <v>0.50595500000000004</v>
      </c>
      <c r="F6610" t="s">
        <v>74</v>
      </c>
      <c r="G6610">
        <v>-220.84700000000001</v>
      </c>
      <c r="H6610" s="1">
        <v>1.8057510000000001E-7</v>
      </c>
      <c r="I6610">
        <v>-61.903689999999997</v>
      </c>
      <c r="J6610">
        <v>-238.2099</v>
      </c>
      <c r="K6610">
        <v>1.120692</v>
      </c>
      <c r="L6610">
        <v>-62.514009999999999</v>
      </c>
      <c r="M6610">
        <v>0.99978659999999997</v>
      </c>
      <c r="N6610">
        <v>-1.1666879999999999E-2</v>
      </c>
      <c r="O6610">
        <v>1.7047429999999999E-2</v>
      </c>
      <c r="P6610">
        <v>0.99598410000000004</v>
      </c>
      <c r="Q6610">
        <v>-7.4395050000000004E-2</v>
      </c>
      <c r="R6610">
        <v>4.9811059999999997E-2</v>
      </c>
      <c r="S6610">
        <v>2.9925229999999998</v>
      </c>
      <c r="T6610">
        <v>-0.19180549999999999</v>
      </c>
      <c r="U6610">
        <v>0.1047974</v>
      </c>
      <c r="V6610">
        <v>-3.2847000000000001E-2</v>
      </c>
      <c r="W6610">
        <v>-6.2749529999999998E-2</v>
      </c>
      <c r="X6610">
        <v>0.99748859999999995</v>
      </c>
      <c r="Y6610">
        <v>-1.7934950000000002E-2</v>
      </c>
      <c r="Z6610">
        <v>-2.135975E-4</v>
      </c>
      <c r="AA6610">
        <v>0.99983909999999998</v>
      </c>
      <c r="AB6610">
        <v>24</v>
      </c>
      <c r="AC6610">
        <v>17.3628999999999</v>
      </c>
      <c r="AD6610">
        <v>-1.1206918194249</v>
      </c>
      <c r="AE6610">
        <v>0.61031999999999398</v>
      </c>
      <c r="AF6610">
        <v>-0.31291629848302399</v>
      </c>
      <c r="AG6610">
        <v>-1.1206918194249</v>
      </c>
      <c r="AH6610">
        <v>17.298802307392499</v>
      </c>
      <c r="AI6610">
        <v>93.706085874266705</v>
      </c>
      <c r="AJ6610">
        <v>91.036304584966899</v>
      </c>
      <c r="AK6610">
        <v>17.337889953343002</v>
      </c>
      <c r="AL6610">
        <v>93.597646947739904</v>
      </c>
      <c r="AM6610">
        <v>91.886051284722299</v>
      </c>
      <c r="AN6610">
        <v>0.99999996802708901</v>
      </c>
    </row>
    <row r="6611" spans="1:40" x14ac:dyDescent="0.25">
      <c r="A6611" t="str">
        <f>"20190303154652110"</f>
        <v>20190303154652110</v>
      </c>
      <c r="B6611" t="str">
        <f>"1551599212108752"</f>
        <v>1551599212108752</v>
      </c>
      <c r="C6611" t="s">
        <v>40</v>
      </c>
      <c r="D6611">
        <v>5.13767</v>
      </c>
      <c r="E6611">
        <v>0.50642039999999999</v>
      </c>
      <c r="F6611" t="s">
        <v>74</v>
      </c>
      <c r="G6611">
        <v>-220.768</v>
      </c>
      <c r="H6611" s="1">
        <v>2.115255E-7</v>
      </c>
      <c r="I6611">
        <v>-61.916910000000001</v>
      </c>
      <c r="J6611">
        <v>-238.07849999999999</v>
      </c>
      <c r="K6611">
        <v>1.120671</v>
      </c>
      <c r="L6611">
        <v>-62.511899999999997</v>
      </c>
      <c r="M6611">
        <v>0.99978900000000004</v>
      </c>
      <c r="N6611">
        <v>-1.1667449999999999E-2</v>
      </c>
      <c r="O6611">
        <v>1.6919460000000001E-2</v>
      </c>
      <c r="P6611">
        <v>0.99593960000000004</v>
      </c>
      <c r="Q6611">
        <v>-7.4960600000000002E-2</v>
      </c>
      <c r="R6611">
        <v>4.9858380000000001E-2</v>
      </c>
      <c r="S6611">
        <v>2.9926149999999998</v>
      </c>
      <c r="T6611">
        <v>-0.19228419999999999</v>
      </c>
      <c r="U6611">
        <v>0.1024475</v>
      </c>
      <c r="V6611">
        <v>-3.3026560000000003E-2</v>
      </c>
      <c r="W6611">
        <v>-6.3313359999999999E-2</v>
      </c>
      <c r="X6611">
        <v>0.99744710000000003</v>
      </c>
      <c r="Y6611">
        <v>-1.7279070000000001E-2</v>
      </c>
      <c r="Z6611">
        <v>-2.3302079999999999E-4</v>
      </c>
      <c r="AA6611">
        <v>0.99985069999999998</v>
      </c>
      <c r="AB6611">
        <v>24</v>
      </c>
      <c r="AC6611">
        <v>17.310499999999902</v>
      </c>
      <c r="AD6611">
        <v>-1.1206707884745</v>
      </c>
      <c r="AE6611">
        <v>0.59499000000000202</v>
      </c>
      <c r="AF6611">
        <v>-0.30074165761147298</v>
      </c>
      <c r="AG6611">
        <v>-1.1206707884745</v>
      </c>
      <c r="AH6611">
        <v>17.2458939092277</v>
      </c>
      <c r="AI6611">
        <v>93.717397134491705</v>
      </c>
      <c r="AJ6611">
        <v>90.999048320995499</v>
      </c>
      <c r="AK6611">
        <v>17.284883722174701</v>
      </c>
      <c r="AL6611">
        <v>93.630016182208607</v>
      </c>
      <c r="AM6611">
        <v>91.896432826733601</v>
      </c>
      <c r="AN6611">
        <v>1.00000002625916</v>
      </c>
    </row>
    <row r="6612" spans="1:40" x14ac:dyDescent="0.25">
      <c r="A6612" t="str">
        <f>"20190303154652121"</f>
        <v>20190303154652121</v>
      </c>
      <c r="B6612" t="str">
        <f>"1551599212118515"</f>
        <v>1551599212118515</v>
      </c>
      <c r="C6612" t="s">
        <v>40</v>
      </c>
      <c r="D6612">
        <v>5.1170429999999998</v>
      </c>
      <c r="E6612">
        <v>0.50662980000000002</v>
      </c>
      <c r="F6612" t="s">
        <v>74</v>
      </c>
      <c r="G6612">
        <v>-220.69890000000001</v>
      </c>
      <c r="H6612" s="1">
        <v>2.36585E-7</v>
      </c>
      <c r="I6612">
        <v>-61.9377</v>
      </c>
      <c r="J6612">
        <v>-237.96270000000001</v>
      </c>
      <c r="K6612">
        <v>1.1206510000000001</v>
      </c>
      <c r="L6612">
        <v>-62.510069999999899</v>
      </c>
      <c r="M6612">
        <v>0.99979090000000004</v>
      </c>
      <c r="N6612">
        <v>-1.166797E-2</v>
      </c>
      <c r="O6612">
        <v>1.68022E-2</v>
      </c>
      <c r="P6612">
        <v>0.99594009999999999</v>
      </c>
      <c r="Q6612">
        <v>-7.5159859999999995E-2</v>
      </c>
      <c r="R6612">
        <v>4.9545430000000001E-2</v>
      </c>
      <c r="S6612">
        <v>2.9927519999999999</v>
      </c>
      <c r="T6612">
        <v>-0.19297839999999999</v>
      </c>
      <c r="U6612">
        <v>9.8876950000000005E-2</v>
      </c>
      <c r="V6612">
        <v>-3.2832569999999998E-2</v>
      </c>
      <c r="W6612">
        <v>-6.3510880000000006E-2</v>
      </c>
      <c r="X6612">
        <v>0.99744089999999996</v>
      </c>
      <c r="Y6612">
        <v>-1.6205609999999999E-2</v>
      </c>
      <c r="Z6612">
        <v>-2.6956350000000002E-4</v>
      </c>
      <c r="AA6612">
        <v>0.9998686</v>
      </c>
      <c r="AB6612">
        <v>24</v>
      </c>
      <c r="AC6612">
        <v>17.2638</v>
      </c>
      <c r="AD6612">
        <v>-1.120650763415</v>
      </c>
      <c r="AE6612">
        <v>0.57236999999999205</v>
      </c>
      <c r="AF6612">
        <v>-0.28101683321617899</v>
      </c>
      <c r="AG6612">
        <v>-1.120650763415</v>
      </c>
      <c r="AH6612">
        <v>17.198589498745601</v>
      </c>
      <c r="AI6612">
        <v>93.727595528325807</v>
      </c>
      <c r="AJ6612">
        <v>90.936102687752793</v>
      </c>
      <c r="AK6612">
        <v>17.237352155724299</v>
      </c>
      <c r="AL6612">
        <v>93.641356238015803</v>
      </c>
      <c r="AM6612">
        <v>91.885313413254195</v>
      </c>
      <c r="AN6612">
        <v>0.99999997926199402</v>
      </c>
    </row>
    <row r="6613" spans="1:40" x14ac:dyDescent="0.25">
      <c r="A6613" t="str">
        <f>"20190303154652132"</f>
        <v>20190303154652132</v>
      </c>
      <c r="B6613" t="str">
        <f>"1551599212128271"</f>
        <v>1551599212128271</v>
      </c>
      <c r="C6613" t="s">
        <v>40</v>
      </c>
      <c r="D6613">
        <v>5.1339050000000004</v>
      </c>
      <c r="E6613">
        <v>0.50684280000000004</v>
      </c>
      <c r="F6613" t="s">
        <v>74</v>
      </c>
      <c r="G6613">
        <v>-220.61680000000001</v>
      </c>
      <c r="H6613" s="1">
        <v>2.6859429999999998E-7</v>
      </c>
      <c r="I6613">
        <v>-61.952039999999997</v>
      </c>
      <c r="J6613">
        <v>-237.84280000000001</v>
      </c>
      <c r="K6613">
        <v>1.120636</v>
      </c>
      <c r="L6613">
        <v>-62.508209999999998</v>
      </c>
      <c r="M6613">
        <v>0.99979320000000005</v>
      </c>
      <c r="N6613">
        <v>-1.166844E-2</v>
      </c>
      <c r="O6613">
        <v>1.6663399999999998E-2</v>
      </c>
      <c r="P6613">
        <v>0.99593569999999998</v>
      </c>
      <c r="Q6613">
        <v>-7.537837E-2</v>
      </c>
      <c r="R6613">
        <v>4.9300919999999998E-2</v>
      </c>
      <c r="S6613">
        <v>2.9928439999999998</v>
      </c>
      <c r="T6613">
        <v>-0.19335649999999999</v>
      </c>
      <c r="U6613">
        <v>9.6282960000000001E-2</v>
      </c>
      <c r="V6613">
        <v>-3.272891E-2</v>
      </c>
      <c r="W6613">
        <v>-6.3727939999999997E-2</v>
      </c>
      <c r="X6613">
        <v>0.9974305</v>
      </c>
      <c r="Y6613">
        <v>-1.547926E-2</v>
      </c>
      <c r="Z6613">
        <v>-2.9098079999999998E-4</v>
      </c>
      <c r="AA6613">
        <v>0.99988010000000005</v>
      </c>
      <c r="AB6613">
        <v>24</v>
      </c>
      <c r="AC6613">
        <v>17.225999999999999</v>
      </c>
      <c r="AD6613">
        <v>-1.1206357314057001</v>
      </c>
      <c r="AE6613">
        <v>0.55616999999999395</v>
      </c>
      <c r="AF6613">
        <v>-0.26789693850208202</v>
      </c>
      <c r="AG6613">
        <v>-1.1206357314057001</v>
      </c>
      <c r="AH6613">
        <v>17.160326977447301</v>
      </c>
      <c r="AI6613">
        <v>93.735876818658795</v>
      </c>
      <c r="AJ6613">
        <v>90.894395378379798</v>
      </c>
      <c r="AK6613">
        <v>17.198965526596901</v>
      </c>
      <c r="AL6613">
        <v>93.6538179665624</v>
      </c>
      <c r="AM6613">
        <v>91.879384900768798</v>
      </c>
      <c r="AN6613">
        <v>1.0000000171083401</v>
      </c>
    </row>
    <row r="6614" spans="1:40" x14ac:dyDescent="0.25">
      <c r="A6614" t="str">
        <f>"20190303154652143"</f>
        <v>20190303154652143</v>
      </c>
      <c r="B6614" t="str">
        <f>"1551599212138031"</f>
        <v>1551599212138031</v>
      </c>
      <c r="C6614" t="s">
        <v>40</v>
      </c>
      <c r="D6614">
        <v>5.1470320000000003</v>
      </c>
      <c r="E6614">
        <v>0.50703129999999996</v>
      </c>
      <c r="F6614" t="s">
        <v>74</v>
      </c>
      <c r="G6614">
        <v>-220.49010000000001</v>
      </c>
      <c r="H6614" s="1">
        <v>3.2027339999999999E-7</v>
      </c>
      <c r="I6614">
        <v>-61.964129999999997</v>
      </c>
      <c r="J6614">
        <v>-237.71860000000001</v>
      </c>
      <c r="K6614">
        <v>1.1206199999999999</v>
      </c>
      <c r="L6614">
        <v>-62.50629</v>
      </c>
      <c r="M6614">
        <v>0.99979549999999995</v>
      </c>
      <c r="N6614">
        <v>-1.1668909999999999E-2</v>
      </c>
      <c r="O6614">
        <v>1.651621E-2</v>
      </c>
      <c r="P6614">
        <v>0.99592539999999996</v>
      </c>
      <c r="Q6614">
        <v>-7.5582479999999994E-2</v>
      </c>
      <c r="R6614">
        <v>4.9194979999999999E-2</v>
      </c>
      <c r="S6614">
        <v>2.9929809999999999</v>
      </c>
      <c r="T6614">
        <v>-0.1932864</v>
      </c>
      <c r="U6614">
        <v>9.3841549999999996E-2</v>
      </c>
      <c r="V6614">
        <v>-3.2772719999999998E-2</v>
      </c>
      <c r="W6614">
        <v>-6.3930589999999995E-2</v>
      </c>
      <c r="X6614">
        <v>0.99741610000000003</v>
      </c>
      <c r="Y6614">
        <v>-1.4811639999999999E-2</v>
      </c>
      <c r="Z6614">
        <v>-3.0839840000000001E-4</v>
      </c>
      <c r="AA6614">
        <v>0.99989030000000001</v>
      </c>
      <c r="AB6614">
        <v>24</v>
      </c>
      <c r="AC6614">
        <v>17.228499999999901</v>
      </c>
      <c r="AD6614">
        <v>-1.1206196797265999</v>
      </c>
      <c r="AE6614">
        <v>0.54215999999999498</v>
      </c>
      <c r="AF6614">
        <v>-0.25643329600283299</v>
      </c>
      <c r="AG6614">
        <v>-1.1206196797265999</v>
      </c>
      <c r="AH6614">
        <v>17.162565328376601</v>
      </c>
      <c r="AI6614">
        <v>93.735375723799805</v>
      </c>
      <c r="AJ6614">
        <v>90.856017273664705</v>
      </c>
      <c r="AK6614">
        <v>17.201023084476301</v>
      </c>
      <c r="AL6614">
        <v>93.665452655830293</v>
      </c>
      <c r="AM6614">
        <v>91.881925934924894</v>
      </c>
      <c r="AN6614">
        <v>1.0000000240265701</v>
      </c>
    </row>
    <row r="6615" spans="1:40" x14ac:dyDescent="0.25">
      <c r="A6615" t="str">
        <f>"20190303154652155"</f>
        <v>20190303154652155</v>
      </c>
      <c r="B6615" t="str">
        <f>"1551599212148768"</f>
        <v>1551599212148768</v>
      </c>
      <c r="C6615" t="s">
        <v>40</v>
      </c>
      <c r="D6615">
        <v>5.1429410000000004</v>
      </c>
      <c r="E6615">
        <v>0.50722670000000003</v>
      </c>
      <c r="F6615" t="s">
        <v>74</v>
      </c>
      <c r="G6615">
        <v>-220.3964</v>
      </c>
      <c r="H6615" s="1">
        <v>3.5840879999999998E-7</v>
      </c>
      <c r="I6615">
        <v>-61.973419999999997</v>
      </c>
      <c r="J6615">
        <v>-237.59809999999999</v>
      </c>
      <c r="K6615">
        <v>1.120611</v>
      </c>
      <c r="L6615">
        <v>-62.504489999999997</v>
      </c>
      <c r="M6615">
        <v>0.99979819999999997</v>
      </c>
      <c r="N6615">
        <v>-1.166934E-2</v>
      </c>
      <c r="O6615">
        <v>1.636257E-2</v>
      </c>
      <c r="P6615">
        <v>0.99595080000000002</v>
      </c>
      <c r="Q6615">
        <v>-7.5547180000000005E-2</v>
      </c>
      <c r="R6615">
        <v>4.8731139999999999E-2</v>
      </c>
      <c r="S6615">
        <v>2.9930110000000001</v>
      </c>
      <c r="T6615">
        <v>-0.19362589999999999</v>
      </c>
      <c r="U6615">
        <v>9.2071529999999999E-2</v>
      </c>
      <c r="V6615">
        <v>-3.2462690000000002E-2</v>
      </c>
      <c r="W6615">
        <v>-6.3894069999999997E-2</v>
      </c>
      <c r="X6615">
        <v>0.99742850000000005</v>
      </c>
      <c r="Y6615">
        <v>-1.437506E-2</v>
      </c>
      <c r="Z6615">
        <v>-3.1794009999999999E-4</v>
      </c>
      <c r="AA6615">
        <v>0.99989660000000002</v>
      </c>
      <c r="AB6615">
        <v>24</v>
      </c>
      <c r="AC6615">
        <v>17.201699999999899</v>
      </c>
      <c r="AD6615">
        <v>-1.1206106415911901</v>
      </c>
      <c r="AE6615">
        <v>0.53107000000000604</v>
      </c>
      <c r="AF6615">
        <v>-0.24846230660746901</v>
      </c>
      <c r="AG6615">
        <v>-1.1206106415911901</v>
      </c>
      <c r="AH6615">
        <v>17.135434963090798</v>
      </c>
      <c r="AI6615">
        <v>93.741267276796805</v>
      </c>
      <c r="AJ6615">
        <v>90.830725570142405</v>
      </c>
      <c r="AK6615">
        <v>17.173835713147099</v>
      </c>
      <c r="AL6615">
        <v>93.663356215285603</v>
      </c>
      <c r="AM6615">
        <v>91.864112373903296</v>
      </c>
      <c r="AN6615">
        <v>0.99999994551772398</v>
      </c>
    </row>
    <row r="6616" spans="1:40" x14ac:dyDescent="0.25">
      <c r="A6616" t="str">
        <f>"20190303154652165"</f>
        <v>20190303154652165</v>
      </c>
      <c r="B6616" t="str">
        <f>"1551599212158059"</f>
        <v>1551599212158059</v>
      </c>
      <c r="C6616" t="s">
        <v>40</v>
      </c>
      <c r="D6616">
        <v>5.1425700000000001</v>
      </c>
      <c r="E6616">
        <v>0.50743720000000003</v>
      </c>
      <c r="F6616" t="s">
        <v>74</v>
      </c>
      <c r="G6616">
        <v>-220.22470000000001</v>
      </c>
      <c r="H6616" s="1">
        <v>4.2893519999999998E-7</v>
      </c>
      <c r="I6616">
        <v>-61.987430000000003</v>
      </c>
      <c r="J6616">
        <v>-237.4812</v>
      </c>
      <c r="K6616">
        <v>1.120603</v>
      </c>
      <c r="L6616">
        <v>-62.502749999999999</v>
      </c>
      <c r="M6616">
        <v>0.99980049999999998</v>
      </c>
      <c r="N6616">
        <v>-1.166973E-2</v>
      </c>
      <c r="O6616">
        <v>1.6209810000000002E-2</v>
      </c>
      <c r="P6616">
        <v>0.99596039999999997</v>
      </c>
      <c r="Q6616">
        <v>-7.5628059999999997E-2</v>
      </c>
      <c r="R6616">
        <v>4.8406690000000002E-2</v>
      </c>
      <c r="S6616">
        <v>2.9931950000000001</v>
      </c>
      <c r="T6616">
        <v>-0.1930655</v>
      </c>
      <c r="U6616">
        <v>8.9080809999999996E-2</v>
      </c>
      <c r="V6616">
        <v>-3.2291779999999999E-2</v>
      </c>
      <c r="W6616">
        <v>-6.3973989999999994E-2</v>
      </c>
      <c r="X6616">
        <v>0.99742900000000001</v>
      </c>
      <c r="Y6616">
        <v>-1.3529680000000001E-2</v>
      </c>
      <c r="Z6616">
        <v>-3.4030429999999998E-4</v>
      </c>
      <c r="AA6616">
        <v>0.99990840000000003</v>
      </c>
      <c r="AB6616">
        <v>24</v>
      </c>
      <c r="AC6616">
        <v>17.2564999999999</v>
      </c>
      <c r="AD6616">
        <v>-1.1206025710648</v>
      </c>
      <c r="AE6616">
        <v>0.515319999999995</v>
      </c>
      <c r="AF6616">
        <v>-0.23452056745896999</v>
      </c>
      <c r="AG6616">
        <v>-1.1206025710648</v>
      </c>
      <c r="AH6616">
        <v>17.190160855671898</v>
      </c>
      <c r="AI6616">
        <v>93.729408461915995</v>
      </c>
      <c r="AJ6616">
        <v>90.7816218404963</v>
      </c>
      <c r="AK6616">
        <v>17.2282436789915</v>
      </c>
      <c r="AL6616">
        <v>93.667944407178695</v>
      </c>
      <c r="AM6616">
        <v>91.854304111188</v>
      </c>
      <c r="AN6616">
        <v>1.00000002024654</v>
      </c>
    </row>
    <row r="6617" spans="1:40" x14ac:dyDescent="0.25">
      <c r="A6617" t="str">
        <f>"20190303154652178"</f>
        <v>20190303154652178</v>
      </c>
      <c r="B6617" t="str">
        <f>"1551599212168795"</f>
        <v>1551599212168795</v>
      </c>
      <c r="C6617" t="s">
        <v>40</v>
      </c>
      <c r="D6617">
        <v>5.1633190000000004</v>
      </c>
      <c r="E6617">
        <v>0.50743720000000003</v>
      </c>
      <c r="F6617" t="s">
        <v>74</v>
      </c>
      <c r="G6617">
        <v>-220.0634</v>
      </c>
      <c r="H6617" s="1">
        <v>4.9535109999999896E-7</v>
      </c>
      <c r="I6617">
        <v>-61.999850000000002</v>
      </c>
      <c r="J6617">
        <v>-237.34719999999999</v>
      </c>
      <c r="K6617">
        <v>1.120595</v>
      </c>
      <c r="L6617">
        <v>-62.50076</v>
      </c>
      <c r="M6617">
        <v>0.99980340000000001</v>
      </c>
      <c r="N6617">
        <v>-1.1670160000000001E-2</v>
      </c>
      <c r="O6617">
        <v>1.602876E-2</v>
      </c>
      <c r="P6617">
        <v>0.99596629999999997</v>
      </c>
      <c r="Q6617">
        <v>-7.5845599999999999E-2</v>
      </c>
      <c r="R6617">
        <v>4.7943149999999997E-2</v>
      </c>
      <c r="S6617">
        <v>2.993347</v>
      </c>
      <c r="T6617">
        <v>-0.1925828</v>
      </c>
      <c r="U6617">
        <v>8.6425779999999994E-2</v>
      </c>
      <c r="V6617">
        <v>-3.2009780000000002E-2</v>
      </c>
      <c r="W6617">
        <v>-6.4190880000000006E-2</v>
      </c>
      <c r="X6617">
        <v>0.99742410000000004</v>
      </c>
      <c r="Y6617">
        <v>-1.282459E-2</v>
      </c>
      <c r="Z6617">
        <v>-3.5600790000000002E-4</v>
      </c>
      <c r="AA6617">
        <v>0.99991770000000002</v>
      </c>
      <c r="AB6617">
        <v>24</v>
      </c>
      <c r="AC6617">
        <v>17.2837999999999</v>
      </c>
      <c r="AD6617">
        <v>-1.1205945046488901</v>
      </c>
      <c r="AE6617">
        <v>0.50090999999999697</v>
      </c>
      <c r="AF6617">
        <v>-0.22285289198663599</v>
      </c>
      <c r="AG6617">
        <v>-1.1205945046488901</v>
      </c>
      <c r="AH6617">
        <v>17.217295374616601</v>
      </c>
      <c r="AI6617">
        <v>93.723555225080503</v>
      </c>
      <c r="AJ6617">
        <v>90.741569270698307</v>
      </c>
      <c r="AK6617">
        <v>17.2551631540275</v>
      </c>
      <c r="AL6617">
        <v>93.680397086244994</v>
      </c>
      <c r="AM6617">
        <v>91.838130891045495</v>
      </c>
      <c r="AN6617">
        <v>0.99999996517581502</v>
      </c>
    </row>
    <row r="6618" spans="1:40" x14ac:dyDescent="0.25">
      <c r="A6618" t="str">
        <f>"20190303154652191"</f>
        <v>20190303154652191</v>
      </c>
      <c r="B6618" t="str">
        <f>"1551599212178555"</f>
        <v>1551599212178555</v>
      </c>
      <c r="C6618" t="s">
        <v>40</v>
      </c>
      <c r="D6618">
        <v>5.1622479999999999</v>
      </c>
      <c r="E6618">
        <v>0.53510780000000002</v>
      </c>
      <c r="F6618" t="s">
        <v>73</v>
      </c>
      <c r="G6618">
        <v>-219.9915</v>
      </c>
      <c r="H6618" s="1">
        <v>-3.5478979999999999E-6</v>
      </c>
      <c r="I6618">
        <v>-62.007559999999998</v>
      </c>
      <c r="J6618">
        <v>-237.21369999999999</v>
      </c>
      <c r="K6618">
        <v>1.120592</v>
      </c>
      <c r="L6618">
        <v>-62.498809999999999</v>
      </c>
      <c r="M6618">
        <v>0.99980639999999998</v>
      </c>
      <c r="N6618">
        <v>-1.167059E-2</v>
      </c>
      <c r="O6618">
        <v>1.5844299999999999E-2</v>
      </c>
      <c r="P6618">
        <v>0.99597999999999998</v>
      </c>
      <c r="Q6618">
        <v>-7.5975710000000002E-2</v>
      </c>
      <c r="R6618">
        <v>4.745154E-2</v>
      </c>
      <c r="S6618">
        <v>2.9933320000000001</v>
      </c>
      <c r="T6618">
        <v>-0.19326879999999999</v>
      </c>
      <c r="U6618">
        <v>8.5052489999999994E-2</v>
      </c>
      <c r="V6618">
        <v>-3.170274E-2</v>
      </c>
      <c r="W6618">
        <v>-6.4320500000000003E-2</v>
      </c>
      <c r="X6618">
        <v>0.99742560000000002</v>
      </c>
      <c r="Y6618">
        <v>-1.255125E-2</v>
      </c>
      <c r="Z6618">
        <v>-3.5887160000000001E-4</v>
      </c>
      <c r="AA6618">
        <v>0.99992110000000001</v>
      </c>
      <c r="AB6618">
        <v>24</v>
      </c>
      <c r="AC6618">
        <v>17.222199999999901</v>
      </c>
      <c r="AD6618">
        <v>-1.1205955478980001</v>
      </c>
      <c r="AE6618">
        <v>0.49125000000000002</v>
      </c>
      <c r="AF6618">
        <v>-0.217376488741613</v>
      </c>
      <c r="AG6618">
        <v>-1.1205955478980001</v>
      </c>
      <c r="AH6618">
        <v>17.155250652371599</v>
      </c>
      <c r="AI6618">
        <v>93.737000438330995</v>
      </c>
      <c r="AJ6618">
        <v>90.7259636782981</v>
      </c>
      <c r="AK6618">
        <v>17.193185041333201</v>
      </c>
      <c r="AL6618">
        <v>93.687838982901894</v>
      </c>
      <c r="AM6618">
        <v>91.820508599734495</v>
      </c>
      <c r="AN6618">
        <v>1.00000000898955</v>
      </c>
    </row>
    <row r="6619" spans="1:40" x14ac:dyDescent="0.25">
      <c r="A6619" t="str">
        <f>"20190303154652204"</f>
        <v>20190303154652204</v>
      </c>
      <c r="B6619" t="str">
        <f>"1551599212198075"</f>
        <v>1551599212198075</v>
      </c>
      <c r="C6619" t="s">
        <v>40</v>
      </c>
      <c r="D6619">
        <v>5.1242839999999896</v>
      </c>
      <c r="E6619">
        <v>0.54205319999999901</v>
      </c>
      <c r="F6619" t="s">
        <v>43</v>
      </c>
      <c r="G6619">
        <v>-208.7843</v>
      </c>
      <c r="H6619">
        <v>-0.05</v>
      </c>
      <c r="I6619">
        <v>-63.784120000000001</v>
      </c>
      <c r="J6619">
        <v>-237.06559999999999</v>
      </c>
      <c r="K6619">
        <v>1.1205909999999999</v>
      </c>
      <c r="L6619">
        <v>-62.496670000000002</v>
      </c>
      <c r="M6619">
        <v>0.99980959999999997</v>
      </c>
      <c r="N6619">
        <v>-1.167106E-2</v>
      </c>
      <c r="O6619">
        <v>1.5637689999999999E-2</v>
      </c>
      <c r="P6619">
        <v>0.99598810000000004</v>
      </c>
      <c r="Q6619">
        <v>-7.6276839999999999E-2</v>
      </c>
      <c r="R6619">
        <v>4.6794710000000003E-2</v>
      </c>
      <c r="S6619">
        <v>3.0091549999999998</v>
      </c>
      <c r="T6619">
        <v>-0.1239032</v>
      </c>
      <c r="U6619">
        <v>-0.13604740000000001</v>
      </c>
      <c r="V6619">
        <v>-3.1252210000000002E-2</v>
      </c>
      <c r="W6619">
        <v>-6.4621399999999996E-2</v>
      </c>
      <c r="X6619">
        <v>0.99742039999999998</v>
      </c>
      <c r="Y6619">
        <v>6.0709560000000003E-2</v>
      </c>
      <c r="Z6619">
        <v>-2.0643300000000001E-3</v>
      </c>
      <c r="AA6619">
        <v>0.99815330000000002</v>
      </c>
      <c r="AB6619">
        <v>24</v>
      </c>
      <c r="AC6619">
        <v>28.281299999999899</v>
      </c>
      <c r="AD6619">
        <v>-1.1705909999999999</v>
      </c>
      <c r="AE6619">
        <v>-1.28744999999999</v>
      </c>
      <c r="AF6619">
        <v>1.7266249221714001</v>
      </c>
      <c r="AG6619">
        <v>-1.1705909999999999</v>
      </c>
      <c r="AH6619">
        <v>28.209478357563899</v>
      </c>
      <c r="AI6619">
        <v>92.371770210624007</v>
      </c>
      <c r="AJ6619">
        <v>86.497451771388796</v>
      </c>
      <c r="AK6619">
        <v>28.286501835982001</v>
      </c>
      <c r="AL6619">
        <v>93.7051151090118</v>
      </c>
      <c r="AM6619">
        <v>91.794663606840601</v>
      </c>
      <c r="AN6619">
        <v>1.0000000401519999</v>
      </c>
    </row>
    <row r="6620" spans="1:40" x14ac:dyDescent="0.25">
      <c r="A6620" t="str">
        <f>"20190303154652216"</f>
        <v>20190303154652216</v>
      </c>
      <c r="B6620" t="str">
        <f>"1551599212208810"</f>
        <v>1551599212208810</v>
      </c>
      <c r="C6620" t="s">
        <v>40</v>
      </c>
      <c r="D6620">
        <v>5.0673599999999999</v>
      </c>
      <c r="E6620">
        <v>0.53860160000000001</v>
      </c>
      <c r="F6620" t="s">
        <v>60</v>
      </c>
      <c r="G6620">
        <v>-198.94730000000001</v>
      </c>
      <c r="H6620" s="1">
        <v>-6.4000660000000003E-6</v>
      </c>
      <c r="I6620">
        <v>-64.937179999999998</v>
      </c>
      <c r="J6620">
        <v>-236.92740000000001</v>
      </c>
      <c r="K6620">
        <v>1.120592</v>
      </c>
      <c r="L6620">
        <v>-62.494750000000003</v>
      </c>
      <c r="M6620">
        <v>0.9998127</v>
      </c>
      <c r="N6620">
        <v>-1.167149E-2</v>
      </c>
      <c r="O6620">
        <v>1.544388E-2</v>
      </c>
      <c r="P6620">
        <v>0.99600889999999997</v>
      </c>
      <c r="Q6620">
        <v>-7.6364520000000005E-2</v>
      </c>
      <c r="R6620">
        <v>4.6204780000000001E-2</v>
      </c>
      <c r="S6620">
        <v>3.0143589999999998</v>
      </c>
      <c r="T6620">
        <v>-8.8615890000000003E-2</v>
      </c>
      <c r="U6620">
        <v>-0.1929932</v>
      </c>
      <c r="V6620">
        <v>-3.0854889999999999E-2</v>
      </c>
      <c r="W6620">
        <v>-6.47089E-2</v>
      </c>
      <c r="X6620">
        <v>0.99742699999999995</v>
      </c>
      <c r="Y6620">
        <v>7.9249449999999999E-2</v>
      </c>
      <c r="Z6620">
        <v>-1.900014E-3</v>
      </c>
      <c r="AA6620">
        <v>0.99685299999999999</v>
      </c>
      <c r="AB6620">
        <v>24</v>
      </c>
      <c r="AC6620">
        <v>37.980099999999901</v>
      </c>
      <c r="AD6620">
        <v>-1.1205984000660001</v>
      </c>
      <c r="AE6620">
        <v>-2.4424299999999901</v>
      </c>
      <c r="AF6620">
        <v>3.0261151798513399</v>
      </c>
      <c r="AG6620">
        <v>-1.1205984000660001</v>
      </c>
      <c r="AH6620">
        <v>37.904984737068801</v>
      </c>
      <c r="AI6620">
        <v>91.687994521175199</v>
      </c>
      <c r="AJ6620">
        <v>85.435516520480306</v>
      </c>
      <c r="AK6620">
        <v>38.042094865732302</v>
      </c>
      <c r="AL6620">
        <v>93.710139364822098</v>
      </c>
      <c r="AM6620">
        <v>91.771850357115795</v>
      </c>
      <c r="AN6620">
        <v>0.99999994315255902</v>
      </c>
    </row>
    <row r="6621" spans="1:40" x14ac:dyDescent="0.25">
      <c r="A6621" t="str">
        <f>"20190303154652229"</f>
        <v>20190303154652229</v>
      </c>
      <c r="B6621" t="str">
        <f>"1551599212218570"</f>
        <v>1551599212218570</v>
      </c>
      <c r="C6621" t="s">
        <v>40</v>
      </c>
      <c r="D6621">
        <v>5.1443510000000003</v>
      </c>
      <c r="E6621">
        <v>0.53553899999999999</v>
      </c>
      <c r="F6621" t="s">
        <v>60</v>
      </c>
      <c r="G6621">
        <v>-188.9897</v>
      </c>
      <c r="H6621" s="1">
        <v>-9.4516839999999992E-6</v>
      </c>
      <c r="I6621">
        <v>-65.151399999999995</v>
      </c>
      <c r="J6621">
        <v>-236.7971</v>
      </c>
      <c r="K6621">
        <v>1.1205889999999901</v>
      </c>
      <c r="L6621">
        <v>-62.49295</v>
      </c>
      <c r="M6621">
        <v>0.99981549999999997</v>
      </c>
      <c r="N6621">
        <v>-1.1671870000000001E-2</v>
      </c>
      <c r="O6621">
        <v>1.5262410000000001E-2</v>
      </c>
      <c r="P6621">
        <v>0.99603209999999998</v>
      </c>
      <c r="Q6621">
        <v>-7.6260220000000004E-2</v>
      </c>
      <c r="R6621">
        <v>4.587567E-2</v>
      </c>
      <c r="S6621">
        <v>3.0143740000000001</v>
      </c>
      <c r="T6621">
        <v>-7.0464609999999997E-2</v>
      </c>
      <c r="U6621">
        <v>-0.16705320000000001</v>
      </c>
      <c r="V6621">
        <v>-3.0706230000000001E-2</v>
      </c>
      <c r="W6621">
        <v>-6.4604270000000005E-2</v>
      </c>
      <c r="X6621">
        <v>0.99743839999999995</v>
      </c>
      <c r="Y6621">
        <v>7.0537719999999998E-2</v>
      </c>
      <c r="Z6621">
        <v>-1.414273E-3</v>
      </c>
      <c r="AA6621">
        <v>0.99750810000000001</v>
      </c>
      <c r="AB6621">
        <v>24</v>
      </c>
      <c r="AC6621">
        <v>47.807400000000001</v>
      </c>
      <c r="AD6621">
        <v>-1.12059845168399</v>
      </c>
      <c r="AE6621">
        <v>-2.65844999999999</v>
      </c>
      <c r="AF6621">
        <v>3.3859914598111298</v>
      </c>
      <c r="AG6621">
        <v>-1.12059845168399</v>
      </c>
      <c r="AH6621">
        <v>47.735107553488703</v>
      </c>
      <c r="AI6621">
        <v>91.341422391928404</v>
      </c>
      <c r="AJ6621">
        <v>85.942637723645106</v>
      </c>
      <c r="AK6621">
        <v>47.868164495820899</v>
      </c>
      <c r="AL6621">
        <v>93.704131826147801</v>
      </c>
      <c r="AM6621">
        <v>91.763298778322607</v>
      </c>
      <c r="AN6621">
        <v>0.99999997302880195</v>
      </c>
    </row>
    <row r="6622" spans="1:40" x14ac:dyDescent="0.25">
      <c r="A6622" t="str">
        <f>"20190303154652243"</f>
        <v>20190303154652243</v>
      </c>
      <c r="B6622" t="str">
        <f>"1551599212238090"</f>
        <v>1551599212238090</v>
      </c>
      <c r="C6622" t="s">
        <v>40</v>
      </c>
      <c r="D6622">
        <v>5.124098</v>
      </c>
      <c r="E6622">
        <v>0.53168740000000003</v>
      </c>
      <c r="F6622" t="s">
        <v>60</v>
      </c>
      <c r="G6622">
        <v>-184.68690000000001</v>
      </c>
      <c r="H6622" s="1">
        <v>-9.0378789999999995E-6</v>
      </c>
      <c r="I6622">
        <v>-64.975800000000007</v>
      </c>
      <c r="J6622">
        <v>-236.63239999999999</v>
      </c>
      <c r="K6622">
        <v>1.120595</v>
      </c>
      <c r="L6622">
        <v>-62.490690000000001</v>
      </c>
      <c r="M6622">
        <v>0.99981889999999995</v>
      </c>
      <c r="N6622">
        <v>-1.1672760000000001E-2</v>
      </c>
      <c r="O6622">
        <v>1.5034230000000001E-2</v>
      </c>
      <c r="P6622">
        <v>0.99605790000000005</v>
      </c>
      <c r="Q6622">
        <v>-7.6349630000000002E-2</v>
      </c>
      <c r="R6622">
        <v>4.5161359999999998E-2</v>
      </c>
      <c r="S6622">
        <v>3.0135800000000001</v>
      </c>
      <c r="T6622">
        <v>-6.4805150000000006E-2</v>
      </c>
      <c r="U6622">
        <v>-0.1435852</v>
      </c>
      <c r="V6622">
        <v>-3.021855E-2</v>
      </c>
      <c r="W6622">
        <v>-6.4693230000000004E-2</v>
      </c>
      <c r="X6622">
        <v>0.99744759999999999</v>
      </c>
      <c r="Y6622">
        <v>6.2581899999999996E-2</v>
      </c>
      <c r="Z6622">
        <v>-1.185693E-3</v>
      </c>
      <c r="AA6622">
        <v>0.99803909999999996</v>
      </c>
      <c r="AB6622">
        <v>24</v>
      </c>
      <c r="AC6622">
        <v>51.945499999999903</v>
      </c>
      <c r="AD6622">
        <v>-1.1206040378790001</v>
      </c>
      <c r="AE6622">
        <v>-2.4851100000000002</v>
      </c>
      <c r="AF6622">
        <v>3.2643271667813698</v>
      </c>
      <c r="AG6622">
        <v>-1.1206040378790001</v>
      </c>
      <c r="AH6622">
        <v>51.878176060997703</v>
      </c>
      <c r="AI6622">
        <v>91.234993859501998</v>
      </c>
      <c r="AJ6622">
        <v>86.399528087693696</v>
      </c>
      <c r="AK6622">
        <v>51.992852746097398</v>
      </c>
      <c r="AL6622">
        <v>93.709239277325693</v>
      </c>
      <c r="AM6622">
        <v>91.735295122053898</v>
      </c>
      <c r="AN6622">
        <v>1.00000004475884</v>
      </c>
    </row>
    <row r="6623" spans="1:40" x14ac:dyDescent="0.25">
      <c r="A6623" t="str">
        <f>"20190303154652255"</f>
        <v>20190303154652255</v>
      </c>
      <c r="B6623" t="str">
        <f>"1551599212248827"</f>
        <v>1551599212248827</v>
      </c>
      <c r="C6623" t="s">
        <v>40</v>
      </c>
      <c r="D6623">
        <v>5.199916</v>
      </c>
      <c r="E6623">
        <v>0.53110859999999904</v>
      </c>
      <c r="F6623" t="s">
        <v>60</v>
      </c>
      <c r="G6623">
        <v>-179.95769999999999</v>
      </c>
      <c r="H6623">
        <v>4.5901150000000002E-2</v>
      </c>
      <c r="I6623">
        <v>-64.650999999999996</v>
      </c>
      <c r="J6623">
        <v>-236.5059</v>
      </c>
      <c r="K6623">
        <v>1.120595</v>
      </c>
      <c r="L6623">
        <v>-62.488979999999998</v>
      </c>
      <c r="M6623">
        <v>0.99982150000000003</v>
      </c>
      <c r="N6623">
        <v>-1.1675120000000001E-2</v>
      </c>
      <c r="O6623">
        <v>1.486111E-2</v>
      </c>
      <c r="P6623">
        <v>0.99607990000000002</v>
      </c>
      <c r="Q6623">
        <v>-7.6055170000000005E-2</v>
      </c>
      <c r="R6623">
        <v>4.5173110000000002E-2</v>
      </c>
      <c r="S6623">
        <v>3.0126949999999999</v>
      </c>
      <c r="T6623">
        <v>-5.7128190000000002E-2</v>
      </c>
      <c r="U6623">
        <v>-0.1148376</v>
      </c>
      <c r="V6623">
        <v>-3.0401770000000002E-2</v>
      </c>
      <c r="W6623">
        <v>-6.4396289999999995E-2</v>
      </c>
      <c r="X6623">
        <v>0.99746120000000005</v>
      </c>
      <c r="Y6623">
        <v>5.2921620000000003E-2</v>
      </c>
      <c r="Z6623">
        <v>-9.1888970000000001E-4</v>
      </c>
      <c r="AA6623">
        <v>0.99859819999999999</v>
      </c>
      <c r="AB6623">
        <v>24</v>
      </c>
      <c r="AC6623">
        <v>56.548200000000001</v>
      </c>
      <c r="AD6623">
        <v>-1.0746938500000001</v>
      </c>
      <c r="AE6623">
        <v>-2.1620200000000001</v>
      </c>
      <c r="AF6623">
        <v>3.0011250456796201</v>
      </c>
      <c r="AG6623">
        <v>-1.0746938500000001</v>
      </c>
      <c r="AH6623">
        <v>56.489448727062097</v>
      </c>
      <c r="AI6623">
        <v>91.088368052035307</v>
      </c>
      <c r="AJ6623">
        <v>86.958895893319493</v>
      </c>
      <c r="AK6623">
        <v>56.579320744406303</v>
      </c>
      <c r="AL6623">
        <v>93.692190493185393</v>
      </c>
      <c r="AM6623">
        <v>91.745786219417596</v>
      </c>
      <c r="AN6623">
        <v>0.999999997645168</v>
      </c>
    </row>
    <row r="6624" spans="1:40" x14ac:dyDescent="0.25">
      <c r="A6624" t="str">
        <f>"20190303154652266"</f>
        <v>20190303154652266</v>
      </c>
      <c r="B6624" t="str">
        <f>"1551599212258093"</f>
        <v>1551599212258093</v>
      </c>
      <c r="C6624" t="s">
        <v>40</v>
      </c>
      <c r="D6624">
        <v>5.2715139999999998</v>
      </c>
      <c r="E6624">
        <v>0.53076480000000004</v>
      </c>
      <c r="F6624" t="s">
        <v>60</v>
      </c>
      <c r="G6624">
        <v>-193.58240000000001</v>
      </c>
      <c r="H6624" s="1">
        <v>-8.5362029999999996E-6</v>
      </c>
      <c r="I6624">
        <v>-64.063940000000002</v>
      </c>
      <c r="J6624">
        <v>-236.3869</v>
      </c>
      <c r="K6624">
        <v>1.120595</v>
      </c>
      <c r="L6624">
        <v>-62.487369999999999</v>
      </c>
      <c r="M6624">
        <v>0.99982389999999999</v>
      </c>
      <c r="N6624">
        <v>-1.16784E-2</v>
      </c>
      <c r="O6624">
        <v>1.4699769999999999E-2</v>
      </c>
      <c r="P6624">
        <v>0.99612529999999999</v>
      </c>
      <c r="Q6624">
        <v>-7.5524949999999993E-2</v>
      </c>
      <c r="R6624">
        <v>4.5062100000000001E-2</v>
      </c>
      <c r="S6624">
        <v>3.010818</v>
      </c>
      <c r="T6624">
        <v>-7.8603389999999995E-2</v>
      </c>
      <c r="U6624">
        <v>-0.11047360000000001</v>
      </c>
      <c r="V6624">
        <v>-3.045086E-2</v>
      </c>
      <c r="W6624">
        <v>-6.3862500000000003E-2</v>
      </c>
      <c r="X6624">
        <v>0.99749399999999999</v>
      </c>
      <c r="Y6624">
        <v>5.1327659999999997E-2</v>
      </c>
      <c r="Z6624">
        <v>-1.1815560000000001E-3</v>
      </c>
      <c r="AA6624">
        <v>0.99868120000000005</v>
      </c>
      <c r="AB6624">
        <v>24</v>
      </c>
      <c r="AC6624">
        <v>42.804499999999898</v>
      </c>
      <c r="AD6624">
        <v>-1.120603536203</v>
      </c>
      <c r="AE6624">
        <v>-1.57657</v>
      </c>
      <c r="AF6624">
        <v>2.2041501435339201</v>
      </c>
      <c r="AG6624">
        <v>-1.120603536203</v>
      </c>
      <c r="AH6624">
        <v>42.7474395362457</v>
      </c>
      <c r="AI6624">
        <v>91.499646061659007</v>
      </c>
      <c r="AJ6624">
        <v>87.048320063669905</v>
      </c>
      <c r="AK6624">
        <v>42.818893225369202</v>
      </c>
      <c r="AL6624">
        <v>93.661543570597004</v>
      </c>
      <c r="AM6624">
        <v>91.748545944241201</v>
      </c>
      <c r="AN6624">
        <v>0.99999997690849396</v>
      </c>
    </row>
    <row r="6625" spans="1:40" x14ac:dyDescent="0.25">
      <c r="A6625" t="str">
        <f>"20190303154652277"</f>
        <v>20190303154652277</v>
      </c>
      <c r="B6625" t="str">
        <f>"1551599212268830"</f>
        <v>1551599212268830</v>
      </c>
      <c r="C6625" t="s">
        <v>40</v>
      </c>
      <c r="D6625">
        <v>5.290565</v>
      </c>
      <c r="E6625">
        <v>0.5304894</v>
      </c>
      <c r="F6625" t="s">
        <v>60</v>
      </c>
      <c r="G6625">
        <v>-198.63640000000001</v>
      </c>
      <c r="H6625" s="1">
        <v>-6.4633340000000001E-6</v>
      </c>
      <c r="I6625">
        <v>-63.845039999999997</v>
      </c>
      <c r="J6625">
        <v>-236.26609999999999</v>
      </c>
      <c r="K6625">
        <v>1.1205989999999999</v>
      </c>
      <c r="L6625">
        <v>-62.485779999999998</v>
      </c>
      <c r="M6625">
        <v>0.9998262</v>
      </c>
      <c r="N6625">
        <v>-1.1682909999999999E-2</v>
      </c>
      <c r="O6625">
        <v>1.4537649999999999E-2</v>
      </c>
      <c r="P6625">
        <v>0.99614219999999998</v>
      </c>
      <c r="Q6625">
        <v>-7.5325639999999999E-2</v>
      </c>
      <c r="R6625">
        <v>4.502428E-2</v>
      </c>
      <c r="S6625">
        <v>3.0097960000000001</v>
      </c>
      <c r="T6625">
        <v>-8.9344019999999996E-2</v>
      </c>
      <c r="U6625">
        <v>-0.1082458</v>
      </c>
      <c r="V6625">
        <v>-3.0573969999999999E-2</v>
      </c>
      <c r="W6625">
        <v>-6.3658599999999996E-2</v>
      </c>
      <c r="X6625">
        <v>0.99750329999999998</v>
      </c>
      <c r="Y6625">
        <v>5.0433449999999998E-2</v>
      </c>
      <c r="Z6625">
        <v>-1.3044980000000001E-3</v>
      </c>
      <c r="AA6625">
        <v>0.99872649999999996</v>
      </c>
      <c r="AB6625">
        <v>24</v>
      </c>
      <c r="AC6625">
        <v>37.6296999999999</v>
      </c>
      <c r="AD6625">
        <v>-1.1206054633339999</v>
      </c>
      <c r="AE6625">
        <v>-1.3592599999999899</v>
      </c>
      <c r="AF6625">
        <v>1.9045142174585401</v>
      </c>
      <c r="AG6625">
        <v>-1.1206054633339999</v>
      </c>
      <c r="AH6625">
        <v>37.572683626408399</v>
      </c>
      <c r="AI6625">
        <v>91.706151318720998</v>
      </c>
      <c r="AJ6625">
        <v>87.0982292599235</v>
      </c>
      <c r="AK6625">
        <v>37.6376073349401</v>
      </c>
      <c r="AL6625">
        <v>93.649837022710997</v>
      </c>
      <c r="AM6625">
        <v>91.755594380318499</v>
      </c>
      <c r="AN6625">
        <v>1.0000000092532</v>
      </c>
    </row>
    <row r="6626" spans="1:40" x14ac:dyDescent="0.25">
      <c r="A6626" t="str">
        <f>"20190303154652289"</f>
        <v>20190303154652289</v>
      </c>
      <c r="B6626" t="str">
        <f>"1551599212278590"</f>
        <v>1551599212278590</v>
      </c>
      <c r="C6626" t="s">
        <v>40</v>
      </c>
      <c r="D6626">
        <v>5.2262680000000001</v>
      </c>
      <c r="E6626">
        <v>0.53015849999999998</v>
      </c>
      <c r="F6626" t="s">
        <v>60</v>
      </c>
      <c r="G6626">
        <v>-202.4727</v>
      </c>
      <c r="H6626" s="1">
        <v>-4.6341479999999999E-6</v>
      </c>
      <c r="I6626">
        <v>-63.680599999999998</v>
      </c>
      <c r="J6626">
        <v>-236.14400000000001</v>
      </c>
      <c r="K6626">
        <v>1.1206020000000001</v>
      </c>
      <c r="L6626">
        <v>-62.484219999999901</v>
      </c>
      <c r="M6626">
        <v>0.9998283</v>
      </c>
      <c r="N6626">
        <v>-1.1689629999999999E-2</v>
      </c>
      <c r="O6626">
        <v>1.437545E-2</v>
      </c>
      <c r="P6626">
        <v>0.99616930000000004</v>
      </c>
      <c r="Q6626">
        <v>-7.4981909999999999E-2</v>
      </c>
      <c r="R6626">
        <v>4.4996759999999997E-2</v>
      </c>
      <c r="S6626">
        <v>3.0088810000000001</v>
      </c>
      <c r="T6626">
        <v>-9.9775669999999997E-2</v>
      </c>
      <c r="U6626">
        <v>-0.1063843</v>
      </c>
      <c r="V6626">
        <v>-3.070736E-2</v>
      </c>
      <c r="W6626">
        <v>-6.3307989999999995E-2</v>
      </c>
      <c r="X6626">
        <v>0.99752149999999995</v>
      </c>
      <c r="Y6626">
        <v>4.9658300000000002E-2</v>
      </c>
      <c r="Z6626">
        <v>-1.421786E-3</v>
      </c>
      <c r="AA6626">
        <v>0.99876520000000002</v>
      </c>
      <c r="AB6626">
        <v>24</v>
      </c>
      <c r="AC6626">
        <v>33.671300000000002</v>
      </c>
      <c r="AD6626">
        <v>-1.1206066341480001</v>
      </c>
      <c r="AE6626">
        <v>-1.19638</v>
      </c>
      <c r="AF6626">
        <v>1.6784727917661499</v>
      </c>
      <c r="AG6626">
        <v>-1.1206066341480001</v>
      </c>
      <c r="AH6626">
        <v>33.6134369069458</v>
      </c>
      <c r="AI6626">
        <v>91.907048369832793</v>
      </c>
      <c r="AJ6626">
        <v>87.141333834957095</v>
      </c>
      <c r="AK6626">
        <v>33.673968742018303</v>
      </c>
      <c r="AL6626">
        <v>93.629708005337207</v>
      </c>
      <c r="AM6626">
        <v>91.763216820491294</v>
      </c>
      <c r="AN6626">
        <v>0.99999999325912903</v>
      </c>
    </row>
    <row r="6627" spans="1:40" x14ac:dyDescent="0.25">
      <c r="A6627" t="str">
        <f>"20190303154652300"</f>
        <v>20190303154652300</v>
      </c>
      <c r="B6627" t="str">
        <f>"1551599212288350"</f>
        <v>1551599212288350</v>
      </c>
      <c r="C6627" t="s">
        <v>40</v>
      </c>
      <c r="D6627">
        <v>5.2492359999999998</v>
      </c>
      <c r="E6627">
        <v>0.52992709999999998</v>
      </c>
      <c r="F6627" t="s">
        <v>60</v>
      </c>
      <c r="G6627">
        <v>-204.82470000000001</v>
      </c>
      <c r="H6627" s="1">
        <v>-3.6660079999999999E-6</v>
      </c>
      <c r="I6627">
        <v>-63.567079999999997</v>
      </c>
      <c r="J6627">
        <v>-236.01769999999999</v>
      </c>
      <c r="K6627">
        <v>1.1206050000000001</v>
      </c>
      <c r="L6627">
        <v>-62.482570000000003</v>
      </c>
      <c r="M6627">
        <v>0.99983069999999996</v>
      </c>
      <c r="N6627">
        <v>-1.169766E-2</v>
      </c>
      <c r="O6627">
        <v>1.420853E-2</v>
      </c>
      <c r="P6627">
        <v>0.9961721</v>
      </c>
      <c r="Q6627">
        <v>-7.490347E-2</v>
      </c>
      <c r="R6627">
        <v>4.5062379999999999E-2</v>
      </c>
      <c r="S6627">
        <v>3.0081329999999999</v>
      </c>
      <c r="T6627">
        <v>-0.107631</v>
      </c>
      <c r="U6627">
        <v>-0.1040039</v>
      </c>
      <c r="V6627">
        <v>-3.09387E-2</v>
      </c>
      <c r="W6627">
        <v>-6.3221509999999995E-2</v>
      </c>
      <c r="X6627">
        <v>0.99751990000000001</v>
      </c>
      <c r="Y6627">
        <v>4.8705680000000001E-2</v>
      </c>
      <c r="Z6627">
        <v>-1.497857E-3</v>
      </c>
      <c r="AA6627">
        <v>0.99881209999999998</v>
      </c>
      <c r="AB6627">
        <v>24</v>
      </c>
      <c r="AC6627">
        <v>31.192999999999898</v>
      </c>
      <c r="AD6627">
        <v>-1.1206086660079999</v>
      </c>
      <c r="AE6627">
        <v>-1.0845100000000001</v>
      </c>
      <c r="AF6627">
        <v>1.52567081540539</v>
      </c>
      <c r="AG6627">
        <v>-1.1206086660079999</v>
      </c>
      <c r="AH6627">
        <v>31.134306798510899</v>
      </c>
      <c r="AI6627">
        <v>92.058873273922899</v>
      </c>
      <c r="AJ6627">
        <v>87.194585674286003</v>
      </c>
      <c r="AK6627">
        <v>31.1918017280681</v>
      </c>
      <c r="AL6627">
        <v>93.624742890301107</v>
      </c>
      <c r="AM6627">
        <v>91.776494732506393</v>
      </c>
      <c r="AN6627">
        <v>1.0000000566901801</v>
      </c>
    </row>
    <row r="6628" spans="1:40" x14ac:dyDescent="0.25">
      <c r="A6628" t="str">
        <f>"20190303154652311"</f>
        <v>20190303154652311</v>
      </c>
      <c r="B6628" t="str">
        <f>"1551599212307869"</f>
        <v>1551599212307869</v>
      </c>
      <c r="C6628" t="s">
        <v>40</v>
      </c>
      <c r="D6628">
        <v>5.221673</v>
      </c>
      <c r="E6628">
        <v>0.52954019999999902</v>
      </c>
      <c r="F6628" t="s">
        <v>60</v>
      </c>
      <c r="G6628">
        <v>-206.71960000000001</v>
      </c>
      <c r="H6628" s="1">
        <v>-2.4874570000000002E-6</v>
      </c>
      <c r="I6628">
        <v>-63.477319999999999</v>
      </c>
      <c r="J6628">
        <v>-235.8955</v>
      </c>
      <c r="K6628">
        <v>1.1206069999999999</v>
      </c>
      <c r="L6628">
        <v>-62.481050000000003</v>
      </c>
      <c r="M6628">
        <v>0.99983270000000002</v>
      </c>
      <c r="N6628">
        <v>-1.1707789999999999E-2</v>
      </c>
      <c r="O6628">
        <v>1.404862E-2</v>
      </c>
      <c r="P6628">
        <v>0.99618090000000004</v>
      </c>
      <c r="Q6628">
        <v>-7.4725479999999997E-2</v>
      </c>
      <c r="R6628">
        <v>4.5163839999999997E-2</v>
      </c>
      <c r="S6628">
        <v>3.0074920000000001</v>
      </c>
      <c r="T6628">
        <v>-0.1150318</v>
      </c>
      <c r="U6628">
        <v>-0.1021118</v>
      </c>
      <c r="V6628">
        <v>-3.1199250000000001E-2</v>
      </c>
      <c r="W6628">
        <v>-6.3033249999999999E-2</v>
      </c>
      <c r="X6628">
        <v>0.99752370000000001</v>
      </c>
      <c r="Y6628">
        <v>4.792039E-2</v>
      </c>
      <c r="Z6628">
        <v>-1.5692029999999999E-3</v>
      </c>
      <c r="AA6628">
        <v>0.99884989999999996</v>
      </c>
      <c r="AB6628">
        <v>24</v>
      </c>
      <c r="AC6628">
        <v>29.175899999999899</v>
      </c>
      <c r="AD6628">
        <v>-1.1206094874569901</v>
      </c>
      <c r="AE6628">
        <v>-0.99626999999999499</v>
      </c>
      <c r="AF6628">
        <v>1.40401209253041</v>
      </c>
      <c r="AG6628">
        <v>-1.1206094874569901</v>
      </c>
      <c r="AH6628">
        <v>29.116120170702398</v>
      </c>
      <c r="AI6628">
        <v>92.2015333960871</v>
      </c>
      <c r="AJ6628">
        <v>87.239271504546593</v>
      </c>
      <c r="AK6628">
        <v>29.171483839087301</v>
      </c>
      <c r="AL6628">
        <v>93.613934826032903</v>
      </c>
      <c r="AM6628">
        <v>91.791438940043506</v>
      </c>
      <c r="AN6628">
        <v>1.0000000579338999</v>
      </c>
    </row>
    <row r="6629" spans="1:40" x14ac:dyDescent="0.25">
      <c r="A6629" t="str">
        <f>"20190303154652323"</f>
        <v>20190303154652323</v>
      </c>
      <c r="B6629" t="str">
        <f>"1551599212318605"</f>
        <v>1551599212318605</v>
      </c>
      <c r="C6629" t="s">
        <v>40</v>
      </c>
      <c r="D6629">
        <v>5.249803</v>
      </c>
      <c r="E6629">
        <v>0.52939179999999997</v>
      </c>
      <c r="F6629" t="s">
        <v>60</v>
      </c>
      <c r="G6629">
        <v>-209.34059999999999</v>
      </c>
      <c r="H6629" s="1">
        <v>-1.0246450000000001E-6</v>
      </c>
      <c r="I6629">
        <v>-63.354660000000003</v>
      </c>
      <c r="J6629">
        <v>-235.7757</v>
      </c>
      <c r="K6629">
        <v>1.1206149999999999</v>
      </c>
      <c r="L6629">
        <v>-62.479520000000001</v>
      </c>
      <c r="M6629">
        <v>0.99983489999999997</v>
      </c>
      <c r="N6629">
        <v>-1.1718289999999999E-2</v>
      </c>
      <c r="O6629">
        <v>1.3891870000000001E-2</v>
      </c>
      <c r="P6629">
        <v>0.99618419999999996</v>
      </c>
      <c r="Q6629">
        <v>-7.4537249999999999E-2</v>
      </c>
      <c r="R6629">
        <v>4.5402820000000003E-2</v>
      </c>
      <c r="S6629">
        <v>3.0064700000000002</v>
      </c>
      <c r="T6629">
        <v>-0.12687219999999999</v>
      </c>
      <c r="U6629">
        <v>-9.8907469999999997E-2</v>
      </c>
      <c r="V6629">
        <v>-3.1594440000000001E-2</v>
      </c>
      <c r="W6629">
        <v>-6.2834340000000002E-2</v>
      </c>
      <c r="X6629">
        <v>0.99752370000000001</v>
      </c>
      <c r="Y6629">
        <v>4.6703040000000001E-2</v>
      </c>
      <c r="Z6629">
        <v>-1.681742E-3</v>
      </c>
      <c r="AA6629">
        <v>0.9989074</v>
      </c>
      <c r="AB6629">
        <v>24</v>
      </c>
      <c r="AC6629">
        <v>26.435099999999998</v>
      </c>
      <c r="AD6629">
        <v>-1.1206160246450001</v>
      </c>
      <c r="AE6629">
        <v>-0.87514000000000103</v>
      </c>
      <c r="AF6629">
        <v>1.2400876888761201</v>
      </c>
      <c r="AG6629">
        <v>-1.1206160246450001</v>
      </c>
      <c r="AH6629">
        <v>26.373049698735802</v>
      </c>
      <c r="AI6629">
        <v>92.430406623744901</v>
      </c>
      <c r="AJ6629">
        <v>87.307876928982793</v>
      </c>
      <c r="AK6629">
        <v>26.425959739672301</v>
      </c>
      <c r="AL6629">
        <v>93.602515885056803</v>
      </c>
      <c r="AM6629">
        <v>91.814115403496302</v>
      </c>
      <c r="AN6629">
        <v>0.99999994749191801</v>
      </c>
    </row>
    <row r="6630" spans="1:40" x14ac:dyDescent="0.25">
      <c r="A6630" t="str">
        <f>"20190303154652334"</f>
        <v>20190303154652334</v>
      </c>
      <c r="B6630" t="str">
        <f>"1551599212328365"</f>
        <v>1551599212328365</v>
      </c>
      <c r="C6630" t="s">
        <v>40</v>
      </c>
      <c r="D6630">
        <v>5.219258</v>
      </c>
      <c r="E6630">
        <v>0.52924819999999995</v>
      </c>
      <c r="F6630" t="s">
        <v>73</v>
      </c>
      <c r="G6630">
        <v>-210.41810000000001</v>
      </c>
      <c r="H6630" s="1">
        <v>7.60754799999999E-8</v>
      </c>
      <c r="I6630">
        <v>-63.298369999999998</v>
      </c>
      <c r="J6630">
        <v>-235.65090000000001</v>
      </c>
      <c r="K6630">
        <v>1.120619</v>
      </c>
      <c r="L6630">
        <v>-62.478000000000002</v>
      </c>
      <c r="M6630">
        <v>0.99983690000000003</v>
      </c>
      <c r="N6630">
        <v>-1.173183E-2</v>
      </c>
      <c r="O6630">
        <v>1.372906E-2</v>
      </c>
      <c r="P6630">
        <v>0.99614049999999998</v>
      </c>
      <c r="Q6630">
        <v>-7.4706880000000003E-2</v>
      </c>
      <c r="R6630">
        <v>4.6078460000000002E-2</v>
      </c>
      <c r="S6630">
        <v>3.0059809999999998</v>
      </c>
      <c r="T6630">
        <v>-0.132841299999999</v>
      </c>
      <c r="U6630">
        <v>-9.7076419999999997E-2</v>
      </c>
      <c r="V6630">
        <v>-3.2433169999999997E-2</v>
      </c>
      <c r="W6630">
        <v>-6.2990450000000003E-2</v>
      </c>
      <c r="X6630">
        <v>0.99748700000000001</v>
      </c>
      <c r="Y6630">
        <v>4.5933479999999999E-2</v>
      </c>
      <c r="Z6630">
        <v>-1.7292E-3</v>
      </c>
      <c r="AA6630">
        <v>0.99894300000000003</v>
      </c>
      <c r="AB6630">
        <v>24</v>
      </c>
      <c r="AC6630">
        <v>25.232800000000001</v>
      </c>
      <c r="AD6630">
        <v>-1.1206189239245199</v>
      </c>
      <c r="AE6630">
        <v>-0.82036999999999605</v>
      </c>
      <c r="AF6630">
        <v>1.16444487442303</v>
      </c>
      <c r="AG6630">
        <v>-1.1206189239245199</v>
      </c>
      <c r="AH6630">
        <v>25.169566953741398</v>
      </c>
      <c r="AI6630">
        <v>92.546563200408201</v>
      </c>
      <c r="AJ6630">
        <v>87.351156737557801</v>
      </c>
      <c r="AK6630">
        <v>25.221396061223501</v>
      </c>
      <c r="AL6630">
        <v>93.611477852791495</v>
      </c>
      <c r="AM6630">
        <v>91.862309285572394</v>
      </c>
      <c r="AN6630">
        <v>1.0000000112382199</v>
      </c>
    </row>
    <row r="6631" spans="1:40" x14ac:dyDescent="0.25">
      <c r="A6631" t="str">
        <f>"20190303154652344"</f>
        <v>20190303154652344</v>
      </c>
      <c r="B6631" t="str">
        <f>"1551599212338125"</f>
        <v>1551599212338125</v>
      </c>
      <c r="C6631" t="s">
        <v>40</v>
      </c>
      <c r="D6631">
        <v>5.2644209999999996</v>
      </c>
      <c r="E6631">
        <v>0.52917530000000002</v>
      </c>
      <c r="F6631" t="s">
        <v>73</v>
      </c>
      <c r="G6631">
        <v>-211.38229999999999</v>
      </c>
      <c r="H6631" s="1">
        <v>-3.2108740000000002E-7</v>
      </c>
      <c r="I6631">
        <v>-63.236400000000003</v>
      </c>
      <c r="J6631">
        <v>-235.53149999999999</v>
      </c>
      <c r="K6631">
        <v>1.1206210000000001</v>
      </c>
      <c r="L6631">
        <v>-62.476500000000001</v>
      </c>
      <c r="M6631">
        <v>0.99983889999999997</v>
      </c>
      <c r="N6631">
        <v>-1.174558E-2</v>
      </c>
      <c r="O6631">
        <v>1.3573119999999999E-2</v>
      </c>
      <c r="P6631">
        <v>0.99611360000000004</v>
      </c>
      <c r="Q6631">
        <v>-7.4728699999999995E-2</v>
      </c>
      <c r="R6631">
        <v>4.6621160000000002E-2</v>
      </c>
      <c r="S6631">
        <v>3.0055689999999999</v>
      </c>
      <c r="T6631">
        <v>-0.138784299999999</v>
      </c>
      <c r="U6631">
        <v>-9.393311E-2</v>
      </c>
      <c r="V6631">
        <v>-3.3131859999999999E-2</v>
      </c>
      <c r="W6631">
        <v>-6.2998440000000003E-2</v>
      </c>
      <c r="X6631">
        <v>0.99746349999999995</v>
      </c>
      <c r="Y6631">
        <v>4.473452E-2</v>
      </c>
      <c r="Z6631">
        <v>-1.761945E-3</v>
      </c>
      <c r="AA6631">
        <v>0.99899729999999998</v>
      </c>
      <c r="AB6631">
        <v>24</v>
      </c>
      <c r="AC6631">
        <v>24.1492</v>
      </c>
      <c r="AD6631">
        <v>-1.1206213210874001</v>
      </c>
      <c r="AE6631">
        <v>-0.75990000000000102</v>
      </c>
      <c r="AF6631">
        <v>1.0852978868745899</v>
      </c>
      <c r="AG6631">
        <v>-1.1206213210874001</v>
      </c>
      <c r="AH6631">
        <v>24.0848486415032</v>
      </c>
      <c r="AI6631">
        <v>92.661243700410395</v>
      </c>
      <c r="AJ6631">
        <v>87.419915219120497</v>
      </c>
      <c r="AK6631">
        <v>24.135318471746999</v>
      </c>
      <c r="AL6631">
        <v>93.611936674750197</v>
      </c>
      <c r="AM6631">
        <v>91.902443611766202</v>
      </c>
      <c r="AN6631">
        <v>0.99999997871087098</v>
      </c>
    </row>
    <row r="6632" spans="1:40" x14ac:dyDescent="0.25">
      <c r="A6632" t="str">
        <f>"20190303154652356"</f>
        <v>20190303154652356</v>
      </c>
      <c r="B6632" t="str">
        <f>"1551599212347885"</f>
        <v>1551599212347885</v>
      </c>
      <c r="C6632" t="s">
        <v>40</v>
      </c>
      <c r="D6632">
        <v>5.2387269999999999</v>
      </c>
      <c r="E6632">
        <v>0.52908469999999996</v>
      </c>
      <c r="F6632" t="s">
        <v>73</v>
      </c>
      <c r="G6632">
        <v>-212.1216</v>
      </c>
      <c r="H6632" s="1">
        <v>-6.2628319999999998E-7</v>
      </c>
      <c r="I6632">
        <v>-63.191519999999997</v>
      </c>
      <c r="J6632">
        <v>-235.40350000000001</v>
      </c>
      <c r="K6632">
        <v>1.1206290000000001</v>
      </c>
      <c r="L6632">
        <v>-62.474980000000002</v>
      </c>
      <c r="M6632">
        <v>0.99984099999999998</v>
      </c>
      <c r="N6632">
        <v>-1.1761870000000001E-2</v>
      </c>
      <c r="O6632">
        <v>1.3405769999999999E-2</v>
      </c>
      <c r="P6632">
        <v>0.99607840000000003</v>
      </c>
      <c r="Q6632">
        <v>-7.4643870000000001E-2</v>
      </c>
      <c r="R6632">
        <v>4.7499699999999999E-2</v>
      </c>
      <c r="S6632">
        <v>3.005188</v>
      </c>
      <c r="T6632">
        <v>-0.1438565</v>
      </c>
      <c r="U6632">
        <v>-9.1796879999999997E-2</v>
      </c>
      <c r="V6632">
        <v>-3.4177489999999998E-2</v>
      </c>
      <c r="W6632">
        <v>-6.2897090000000003E-2</v>
      </c>
      <c r="X6632">
        <v>0.99743459999999995</v>
      </c>
      <c r="Y6632">
        <v>4.3858330000000001E-2</v>
      </c>
      <c r="Z6632">
        <v>-1.790727E-3</v>
      </c>
      <c r="AA6632">
        <v>0.99903609999999998</v>
      </c>
      <c r="AB6632">
        <v>24</v>
      </c>
      <c r="AC6632">
        <v>23.2819</v>
      </c>
      <c r="AD6632">
        <v>-1.1206296262831901</v>
      </c>
      <c r="AE6632">
        <v>-0.71653999999999396</v>
      </c>
      <c r="AF6632">
        <v>1.02623365519142</v>
      </c>
      <c r="AG6632">
        <v>-1.1206296262831901</v>
      </c>
      <c r="AH6632">
        <v>23.216464274685599</v>
      </c>
      <c r="AI6632">
        <v>92.760759002468305</v>
      </c>
      <c r="AJ6632">
        <v>87.469011394086905</v>
      </c>
      <c r="AK6632">
        <v>23.266138048505201</v>
      </c>
      <c r="AL6632">
        <v>93.606118264996198</v>
      </c>
      <c r="AM6632">
        <v>91.962494658980006</v>
      </c>
      <c r="AN6632">
        <v>0.99999996301516303</v>
      </c>
    </row>
    <row r="6633" spans="1:40" x14ac:dyDescent="0.25">
      <c r="A6633" t="str">
        <f>"20190303154652366"</f>
        <v>20190303154652366</v>
      </c>
      <c r="B6633" t="str">
        <f>"1551599212358153"</f>
        <v>1551599212358153</v>
      </c>
      <c r="C6633" t="s">
        <v>40</v>
      </c>
      <c r="D6633">
        <v>5.2384320000000004</v>
      </c>
      <c r="E6633">
        <v>0.52903109999999998</v>
      </c>
      <c r="F6633" t="s">
        <v>73</v>
      </c>
      <c r="G6633">
        <v>-212.5985</v>
      </c>
      <c r="H6633" s="1">
        <v>-8.1890360000000004E-7</v>
      </c>
      <c r="I6633">
        <v>-63.146560000000001</v>
      </c>
      <c r="J6633">
        <v>-235.29900000000001</v>
      </c>
      <c r="K6633">
        <v>1.1206320000000001</v>
      </c>
      <c r="L6633">
        <v>-62.473719999999901</v>
      </c>
      <c r="M6633">
        <v>0.99984269999999997</v>
      </c>
      <c r="N6633">
        <v>-1.1775519999999999E-2</v>
      </c>
      <c r="O6633">
        <v>1.3269370000000001E-2</v>
      </c>
      <c r="P6633">
        <v>0.99605239999999995</v>
      </c>
      <c r="Q6633">
        <v>-7.4720250000000002E-2</v>
      </c>
      <c r="R6633">
        <v>4.792515E-2</v>
      </c>
      <c r="S6633">
        <v>3.0049589999999999</v>
      </c>
      <c r="T6633">
        <v>-0.1476625</v>
      </c>
      <c r="U6633">
        <v>-8.8500980000000007E-2</v>
      </c>
      <c r="V6633">
        <v>-3.473905E-2</v>
      </c>
      <c r="W6633">
        <v>-6.2959840000000003E-2</v>
      </c>
      <c r="X6633">
        <v>0.9974113</v>
      </c>
      <c r="Y6633">
        <v>4.262784E-2</v>
      </c>
      <c r="Z6633">
        <v>-1.7931189999999999E-3</v>
      </c>
      <c r="AA6633">
        <v>0.99908940000000002</v>
      </c>
      <c r="AB6633">
        <v>24</v>
      </c>
      <c r="AC6633">
        <v>22.700500000000002</v>
      </c>
      <c r="AD6633">
        <v>-1.1206328189035999</v>
      </c>
      <c r="AE6633">
        <v>-0.67284000000000699</v>
      </c>
      <c r="AF6633">
        <v>0.97165709740520401</v>
      </c>
      <c r="AG6633">
        <v>-1.1206328189035999</v>
      </c>
      <c r="AH6633">
        <v>22.6344605438894</v>
      </c>
      <c r="AI6633">
        <v>92.831797523125104</v>
      </c>
      <c r="AJ6633">
        <v>87.541903394904196</v>
      </c>
      <c r="AK6633">
        <v>22.683005522695399</v>
      </c>
      <c r="AL6633">
        <v>93.609720501254998</v>
      </c>
      <c r="AM6633">
        <v>91.994760536611906</v>
      </c>
      <c r="AN6633">
        <v>1.0000000222076999</v>
      </c>
    </row>
    <row r="6634" spans="1:40" x14ac:dyDescent="0.25">
      <c r="A6634" t="str">
        <f>"20190303154652377"</f>
        <v>20190303154652377</v>
      </c>
      <c r="B6634" t="str">
        <f>"1551599212368889"</f>
        <v>1551599212368889</v>
      </c>
      <c r="C6634" t="s">
        <v>40</v>
      </c>
      <c r="D6634">
        <v>5.2163559999999896</v>
      </c>
      <c r="E6634">
        <v>0.52902890000000002</v>
      </c>
      <c r="F6634" t="s">
        <v>73</v>
      </c>
      <c r="G6634">
        <v>-213.1533</v>
      </c>
      <c r="H6634" s="1">
        <v>-1.0481669999999999E-6</v>
      </c>
      <c r="I6634">
        <v>-63.113579999999999</v>
      </c>
      <c r="J6634">
        <v>-235.1806</v>
      </c>
      <c r="K6634">
        <v>1.1206339999999999</v>
      </c>
      <c r="L6634">
        <v>-62.472349999999999</v>
      </c>
      <c r="M6634">
        <v>0.99984450000000002</v>
      </c>
      <c r="N6634">
        <v>-1.1791309999999999E-2</v>
      </c>
      <c r="O6634">
        <v>1.311521E-2</v>
      </c>
      <c r="P6634">
        <v>0.99602120000000005</v>
      </c>
      <c r="Q6634">
        <v>-7.4789939999999999E-2</v>
      </c>
      <c r="R6634">
        <v>4.8460200000000002E-2</v>
      </c>
      <c r="S6634">
        <v>3.0046689999999998</v>
      </c>
      <c r="T6634">
        <v>-0.1520445</v>
      </c>
      <c r="U6634">
        <v>-8.6822510000000006E-2</v>
      </c>
      <c r="V6634">
        <v>-3.5428069999999999E-2</v>
      </c>
      <c r="W6634">
        <v>-6.3013760000000002E-2</v>
      </c>
      <c r="X6634">
        <v>0.99738369999999998</v>
      </c>
      <c r="Y6634">
        <v>4.1916000000000002E-2</v>
      </c>
      <c r="Z6634">
        <v>-1.8155929999999999E-3</v>
      </c>
      <c r="AA6634">
        <v>0.99911950000000005</v>
      </c>
      <c r="AB6634">
        <v>24</v>
      </c>
      <c r="AC6634">
        <v>22.0273</v>
      </c>
      <c r="AD6634">
        <v>-1.120635048167</v>
      </c>
      <c r="AE6634">
        <v>-0.64123000000000696</v>
      </c>
      <c r="AF6634">
        <v>0.92768852715806904</v>
      </c>
      <c r="AG6634">
        <v>-1.120635048167</v>
      </c>
      <c r="AH6634">
        <v>21.960204433878399</v>
      </c>
      <c r="AI6634">
        <v>92.918686180127693</v>
      </c>
      <c r="AJ6634">
        <v>87.581031031682201</v>
      </c>
      <c r="AK6634">
        <v>22.0083395032959</v>
      </c>
      <c r="AL6634">
        <v>93.612815886640902</v>
      </c>
      <c r="AM6634">
        <v>92.034348270792606</v>
      </c>
      <c r="AN6634">
        <v>1.0000000635594699</v>
      </c>
    </row>
    <row r="6635" spans="1:40" x14ac:dyDescent="0.25">
      <c r="A6635" t="str">
        <f>"20190303154652391"</f>
        <v>20190303154652391</v>
      </c>
      <c r="B6635" t="str">
        <f>"1551599212378649"</f>
        <v>1551599212378649</v>
      </c>
      <c r="C6635" t="s">
        <v>40</v>
      </c>
      <c r="D6635">
        <v>5.2145060000000001</v>
      </c>
      <c r="E6635">
        <v>0.52902939999999998</v>
      </c>
      <c r="F6635" t="s">
        <v>73</v>
      </c>
      <c r="G6635">
        <v>-213.57069999999999</v>
      </c>
      <c r="H6635" s="1">
        <v>-1.219701E-6</v>
      </c>
      <c r="I6635">
        <v>-63.085369999999998</v>
      </c>
      <c r="J6635">
        <v>-235.03960000000001</v>
      </c>
      <c r="K6635">
        <v>1.120641</v>
      </c>
      <c r="L6635">
        <v>-62.470700000000001</v>
      </c>
      <c r="M6635">
        <v>0.99984669999999998</v>
      </c>
      <c r="N6635">
        <v>-1.1809740000000001E-2</v>
      </c>
      <c r="O6635">
        <v>1.293207E-2</v>
      </c>
      <c r="P6635">
        <v>0.99600180000000005</v>
      </c>
      <c r="Q6635">
        <v>-7.4779059999999994E-2</v>
      </c>
      <c r="R6635">
        <v>4.8877400000000001E-2</v>
      </c>
      <c r="S6635">
        <v>3.0044249999999999</v>
      </c>
      <c r="T6635">
        <v>-0.15580169999999999</v>
      </c>
      <c r="U6635">
        <v>-8.5235599999999995E-2</v>
      </c>
      <c r="V6635">
        <v>-3.6027860000000002E-2</v>
      </c>
      <c r="W6635">
        <v>-6.2984499999999999E-2</v>
      </c>
      <c r="X6635">
        <v>0.99736400000000003</v>
      </c>
      <c r="Y6635">
        <v>4.1205699999999998E-2</v>
      </c>
      <c r="Z6635">
        <v>-1.8284900000000001E-3</v>
      </c>
      <c r="AA6635">
        <v>0.99914899999999995</v>
      </c>
      <c r="AB6635">
        <v>24</v>
      </c>
      <c r="AC6635">
        <v>21.468900000000001</v>
      </c>
      <c r="AD6635">
        <v>-1.120642219701</v>
      </c>
      <c r="AE6635">
        <v>-0.61466999999999605</v>
      </c>
      <c r="AF6635">
        <v>0.889852683153737</v>
      </c>
      <c r="AG6635">
        <v>-1.120642219701</v>
      </c>
      <c r="AH6635">
        <v>21.400892280240502</v>
      </c>
      <c r="AI6635">
        <v>92.994931091384501</v>
      </c>
      <c r="AJ6635">
        <v>87.619003441964793</v>
      </c>
      <c r="AK6635">
        <v>21.4486798468518</v>
      </c>
      <c r="AL6635">
        <v>93.611136300860394</v>
      </c>
      <c r="AM6635">
        <v>92.068800521762896</v>
      </c>
      <c r="AN6635">
        <v>1.00000000121621</v>
      </c>
    </row>
    <row r="6636" spans="1:40" x14ac:dyDescent="0.25">
      <c r="A6636" t="str">
        <f>"20190303154652405"</f>
        <v>20190303154652405</v>
      </c>
      <c r="B6636" t="str">
        <f>"1551599212398169"</f>
        <v>1551599212398169</v>
      </c>
      <c r="C6636" t="s">
        <v>40</v>
      </c>
      <c r="D6636">
        <v>5.2156479999999998</v>
      </c>
      <c r="E6636">
        <v>0.52896860000000001</v>
      </c>
      <c r="F6636" t="s">
        <v>73</v>
      </c>
      <c r="G6636">
        <v>-213.77549999999999</v>
      </c>
      <c r="H6636" s="1">
        <v>-1.302275E-6</v>
      </c>
      <c r="I6636">
        <v>-63.065510000000003</v>
      </c>
      <c r="J6636">
        <v>-234.89359999999999</v>
      </c>
      <c r="K6636">
        <v>1.120644</v>
      </c>
      <c r="L6636">
        <v>-62.469019999999901</v>
      </c>
      <c r="M6636">
        <v>0.99984879999999998</v>
      </c>
      <c r="N6636">
        <v>-1.1828450000000001E-2</v>
      </c>
      <c r="O6636">
        <v>1.274286E-2</v>
      </c>
      <c r="P6636">
        <v>0.99599709999999997</v>
      </c>
      <c r="Q6636">
        <v>-7.4633110000000003E-2</v>
      </c>
      <c r="R6636">
        <v>4.919275E-2</v>
      </c>
      <c r="S6636">
        <v>3.0042879999999998</v>
      </c>
      <c r="T6636">
        <v>-0.1583292</v>
      </c>
      <c r="U6636">
        <v>-8.4045410000000001E-2</v>
      </c>
      <c r="V6636">
        <v>-3.6531859999999999E-2</v>
      </c>
      <c r="W6636">
        <v>-6.2819879999999995E-2</v>
      </c>
      <c r="X6636">
        <v>0.99735609999999997</v>
      </c>
      <c r="Y6636">
        <v>4.0621089999999999E-2</v>
      </c>
      <c r="Z6636">
        <v>-1.8303010000000001E-3</v>
      </c>
      <c r="AA6636">
        <v>0.99917290000000003</v>
      </c>
      <c r="AB6636">
        <v>24</v>
      </c>
      <c r="AC6636">
        <v>21.118099999999998</v>
      </c>
      <c r="AD6636">
        <v>-1.120645302275</v>
      </c>
      <c r="AE6636">
        <v>-0.59649000000000196</v>
      </c>
      <c r="AF6636">
        <v>0.86313677064415995</v>
      </c>
      <c r="AG6636">
        <v>-1.120645302275</v>
      </c>
      <c r="AH6636">
        <v>21.0495561048225</v>
      </c>
      <c r="AI6636">
        <v>93.044906333840999</v>
      </c>
      <c r="AJ6636">
        <v>87.651902763898406</v>
      </c>
      <c r="AK6636">
        <v>21.097029724310001</v>
      </c>
      <c r="AL6636">
        <v>93.601685370555202</v>
      </c>
      <c r="AM6636">
        <v>92.097732255854297</v>
      </c>
      <c r="AN6636">
        <v>1.0000000521627399</v>
      </c>
    </row>
    <row r="6637" spans="1:40" x14ac:dyDescent="0.25">
      <c r="A6637" t="str">
        <f>"20190303154652418"</f>
        <v>20190303154652418</v>
      </c>
      <c r="B6637" t="str">
        <f>"1551599212407928"</f>
        <v>1551599212407928</v>
      </c>
      <c r="C6637" t="s">
        <v>40</v>
      </c>
      <c r="D6637">
        <v>5.2200199999999999</v>
      </c>
      <c r="E6637">
        <v>0.52890039999999905</v>
      </c>
      <c r="F6637" t="s">
        <v>73</v>
      </c>
      <c r="G6637">
        <v>-214.24639999999999</v>
      </c>
      <c r="H6637" s="1">
        <v>-1.4967769999999901E-6</v>
      </c>
      <c r="I6637">
        <v>-63.037199999999999</v>
      </c>
      <c r="J6637">
        <v>-234.73570000000001</v>
      </c>
      <c r="K6637">
        <v>1.120649</v>
      </c>
      <c r="L6637">
        <v>-62.46725</v>
      </c>
      <c r="M6637">
        <v>0.9998513</v>
      </c>
      <c r="N6637">
        <v>-1.184765E-2</v>
      </c>
      <c r="O6637">
        <v>1.2538290000000001E-2</v>
      </c>
      <c r="P6637">
        <v>0.99599550000000003</v>
      </c>
      <c r="Q6637">
        <v>-7.4618619999999997E-2</v>
      </c>
      <c r="R6637">
        <v>4.9248010000000002E-2</v>
      </c>
      <c r="S6637">
        <v>3.0039370000000001</v>
      </c>
      <c r="T6637">
        <v>-0.16304170000000001</v>
      </c>
      <c r="U6637">
        <v>-8.2672120000000002E-2</v>
      </c>
      <c r="V6637">
        <v>-3.678969E-2</v>
      </c>
      <c r="W6637">
        <v>-6.2786430000000004E-2</v>
      </c>
      <c r="X6637">
        <v>0.99734869999999998</v>
      </c>
      <c r="Y6637">
        <v>3.9960210000000003E-2</v>
      </c>
      <c r="Z6637">
        <v>-1.8518989999999999E-3</v>
      </c>
      <c r="AA6637">
        <v>0.99919959999999997</v>
      </c>
      <c r="AB6637">
        <v>24</v>
      </c>
      <c r="AC6637">
        <v>20.4893</v>
      </c>
      <c r="AD6637">
        <v>-1.1206504967769999</v>
      </c>
      <c r="AE6637">
        <v>-0.56994999999999796</v>
      </c>
      <c r="AF6637">
        <v>0.82435983397228596</v>
      </c>
      <c r="AG6637">
        <v>-1.1206504967769999</v>
      </c>
      <c r="AH6637">
        <v>20.419505147567499</v>
      </c>
      <c r="AI6637">
        <v>93.138768103978094</v>
      </c>
      <c r="AJ6637">
        <v>87.688156312906997</v>
      </c>
      <c r="AK6637">
        <v>20.466841894716701</v>
      </c>
      <c r="AL6637">
        <v>93.599765140225301</v>
      </c>
      <c r="AM6637">
        <v>92.112539661543096</v>
      </c>
      <c r="AN6637">
        <v>1.0000000232370601</v>
      </c>
    </row>
    <row r="6638" spans="1:40" x14ac:dyDescent="0.25">
      <c r="A6638" t="str">
        <f>"20190303154652432"</f>
        <v>20190303154652432</v>
      </c>
      <c r="B6638" t="str">
        <f>"1551599212428424"</f>
        <v>1551599212428424</v>
      </c>
      <c r="C6638" t="s">
        <v>40</v>
      </c>
      <c r="D6638">
        <v>5.2223220000000001</v>
      </c>
      <c r="E6638">
        <v>0.52894929999999996</v>
      </c>
      <c r="F6638" t="s">
        <v>73</v>
      </c>
      <c r="G6638">
        <v>-214.4374</v>
      </c>
      <c r="H6638" s="1">
        <v>-1.5744130000000001E-6</v>
      </c>
      <c r="I6638">
        <v>-63.021140000000003</v>
      </c>
      <c r="J6638">
        <v>-234.59450000000001</v>
      </c>
      <c r="K6638">
        <v>1.1206449999999999</v>
      </c>
      <c r="L6638">
        <v>-62.465730000000001</v>
      </c>
      <c r="M6638">
        <v>0.99985329999999994</v>
      </c>
      <c r="N6638">
        <v>-1.186371E-2</v>
      </c>
      <c r="O6638">
        <v>1.23556E-2</v>
      </c>
      <c r="P6638">
        <v>0.99600250000000001</v>
      </c>
      <c r="Q6638">
        <v>-7.4669250000000006E-2</v>
      </c>
      <c r="R6638">
        <v>4.9026409999999999E-2</v>
      </c>
      <c r="S6638">
        <v>3.0036770000000002</v>
      </c>
      <c r="T6638">
        <v>-0.1658297</v>
      </c>
      <c r="U6638">
        <v>-8.1970210000000002E-2</v>
      </c>
      <c r="V6638">
        <v>-3.6750150000000002E-2</v>
      </c>
      <c r="W6638">
        <v>-6.2821310000000005E-2</v>
      </c>
      <c r="X6638">
        <v>0.99734800000000001</v>
      </c>
      <c r="Y6638">
        <v>3.9544860000000001E-2</v>
      </c>
      <c r="Z6638">
        <v>-1.8604629999999999E-3</v>
      </c>
      <c r="AA6638">
        <v>0.99921610000000005</v>
      </c>
      <c r="AB6638">
        <v>24</v>
      </c>
      <c r="AC6638">
        <v>20.1571</v>
      </c>
      <c r="AD6638">
        <v>-1.1206465744130001</v>
      </c>
      <c r="AE6638">
        <v>-0.55540999999999396</v>
      </c>
      <c r="AF6638">
        <v>0.80196130695926204</v>
      </c>
      <c r="AG6638">
        <v>-1.1206465744130001</v>
      </c>
      <c r="AH6638">
        <v>20.0866599934207</v>
      </c>
      <c r="AI6638">
        <v>93.190718134785797</v>
      </c>
      <c r="AJ6638">
        <v>87.713676282967896</v>
      </c>
      <c r="AK6638">
        <v>20.133874450137299</v>
      </c>
      <c r="AL6638">
        <v>93.601767430875498</v>
      </c>
      <c r="AM6638">
        <v>92.110272727063801</v>
      </c>
      <c r="AN6638">
        <v>1.0000000618095599</v>
      </c>
    </row>
    <row r="6639" spans="1:40" x14ac:dyDescent="0.25">
      <c r="A6639" t="str">
        <f>"20190303154652445"</f>
        <v>20190303154652445</v>
      </c>
      <c r="B6639" t="str">
        <f>"1551599212438185"</f>
        <v>1551599212438185</v>
      </c>
      <c r="C6639" t="s">
        <v>40</v>
      </c>
      <c r="D6639">
        <v>5.2237869999999997</v>
      </c>
      <c r="E6639">
        <v>0.52896430000000005</v>
      </c>
      <c r="F6639" t="s">
        <v>73</v>
      </c>
      <c r="G6639">
        <v>-214.8124</v>
      </c>
      <c r="H6639" s="1">
        <v>-1.733085E-6</v>
      </c>
      <c r="I6639">
        <v>-63.012810000000002</v>
      </c>
      <c r="J6639">
        <v>-234.4451</v>
      </c>
      <c r="K6639">
        <v>1.1206529999999999</v>
      </c>
      <c r="L6639">
        <v>-62.464080000000003</v>
      </c>
      <c r="M6639">
        <v>0.99985559999999996</v>
      </c>
      <c r="N6639">
        <v>-1.187995E-2</v>
      </c>
      <c r="O6639">
        <v>1.216219E-2</v>
      </c>
      <c r="P6639">
        <v>0.99605109999999997</v>
      </c>
      <c r="Q6639">
        <v>-7.4476180000000003E-2</v>
      </c>
      <c r="R6639">
        <v>4.8328620000000003E-2</v>
      </c>
      <c r="S6639">
        <v>3.0033720000000002</v>
      </c>
      <c r="T6639">
        <v>-0.1701397</v>
      </c>
      <c r="U6639">
        <v>-8.306885E-2</v>
      </c>
      <c r="V6639">
        <v>-3.6244140000000001E-2</v>
      </c>
      <c r="W6639">
        <v>-6.2612150000000005E-2</v>
      </c>
      <c r="X6639">
        <v>0.99737960000000003</v>
      </c>
      <c r="Y6639">
        <v>3.971512E-2</v>
      </c>
      <c r="Z6639">
        <v>-1.903942E-3</v>
      </c>
      <c r="AA6639">
        <v>0.99920920000000002</v>
      </c>
      <c r="AB6639">
        <v>24</v>
      </c>
      <c r="AC6639">
        <v>19.6327</v>
      </c>
      <c r="AD6639">
        <v>-1.1206547330850001</v>
      </c>
      <c r="AE6639">
        <v>-0.54872999999999195</v>
      </c>
      <c r="AF6639">
        <v>0.78492736695663301</v>
      </c>
      <c r="AG6639">
        <v>-1.1206547330850001</v>
      </c>
      <c r="AH6639">
        <v>19.560889090743299</v>
      </c>
      <c r="AI6639">
        <v>93.2762934084178</v>
      </c>
      <c r="AJ6639">
        <v>87.702102915314001</v>
      </c>
      <c r="AK6639">
        <v>19.608680731312401</v>
      </c>
      <c r="AL6639">
        <v>93.589760055982097</v>
      </c>
      <c r="AM6639">
        <v>92.081176392065402</v>
      </c>
      <c r="AN6639">
        <v>0.99999999275406004</v>
      </c>
    </row>
    <row r="6640" spans="1:40" x14ac:dyDescent="0.25">
      <c r="A6640" t="str">
        <f>"20190303154652455"</f>
        <v>20190303154652455</v>
      </c>
      <c r="B6640" t="str">
        <f>"1551599212447945"</f>
        <v>1551599212447945</v>
      </c>
      <c r="C6640" t="s">
        <v>40</v>
      </c>
      <c r="D6640">
        <v>5.2119439999999999</v>
      </c>
      <c r="E6640">
        <v>0.52899529999999995</v>
      </c>
      <c r="F6640" t="s">
        <v>73</v>
      </c>
      <c r="G6640">
        <v>-214.8304</v>
      </c>
      <c r="H6640" s="1">
        <v>-1.7430629999999999E-6</v>
      </c>
      <c r="I6640">
        <v>-63.021320000000003</v>
      </c>
      <c r="J6640">
        <v>-234.32859999999999</v>
      </c>
      <c r="K6640">
        <v>1.1206579999999999</v>
      </c>
      <c r="L6640">
        <v>-62.462859999999999</v>
      </c>
      <c r="M6640">
        <v>0.9998572</v>
      </c>
      <c r="N6640">
        <v>-1.1891820000000001E-2</v>
      </c>
      <c r="O6640">
        <v>1.20117E-2</v>
      </c>
      <c r="P6640">
        <v>0.99610430000000005</v>
      </c>
      <c r="Q6640">
        <v>-7.422136E-2</v>
      </c>
      <c r="R6640">
        <v>4.7618250000000001E-2</v>
      </c>
      <c r="S6640">
        <v>3.0032040000000002</v>
      </c>
      <c r="T6640">
        <v>-0.17158309999999999</v>
      </c>
      <c r="U6640">
        <v>-8.5327150000000004E-2</v>
      </c>
      <c r="V6640">
        <v>-3.5682579999999998E-2</v>
      </c>
      <c r="W6640">
        <v>-6.2345520000000001E-2</v>
      </c>
      <c r="X6640">
        <v>0.99741659999999999</v>
      </c>
      <c r="Y6640">
        <v>4.0314549999999998E-2</v>
      </c>
      <c r="Z6640">
        <v>-1.9333480000000001E-3</v>
      </c>
      <c r="AA6640">
        <v>0.99918510000000005</v>
      </c>
      <c r="AB6640">
        <v>24</v>
      </c>
      <c r="AC6640">
        <v>19.498200000000001</v>
      </c>
      <c r="AD6640">
        <v>-1.1206597430630001</v>
      </c>
      <c r="AE6640">
        <v>-0.55845999999999596</v>
      </c>
      <c r="AF6640">
        <v>0.79003513561813898</v>
      </c>
      <c r="AG6640">
        <v>-1.1206597430630001</v>
      </c>
      <c r="AH6640">
        <v>19.425965870454299</v>
      </c>
      <c r="AI6640">
        <v>93.298941652694097</v>
      </c>
      <c r="AJ6640">
        <v>87.671119780880503</v>
      </c>
      <c r="AK6640">
        <v>19.4742954628734</v>
      </c>
      <c r="AL6640">
        <v>93.574453200452695</v>
      </c>
      <c r="AM6640">
        <v>92.048882787372804</v>
      </c>
      <c r="AN6640">
        <v>1.0000000421675399</v>
      </c>
    </row>
    <row r="6641" spans="1:40" x14ac:dyDescent="0.25">
      <c r="A6641" t="str">
        <f>"20190303154652467"</f>
        <v>20190303154652467</v>
      </c>
      <c r="B6641" t="str">
        <f>"1551599212458161"</f>
        <v>1551599212458161</v>
      </c>
      <c r="C6641" t="s">
        <v>40</v>
      </c>
      <c r="D6641">
        <v>5.2173980000000002</v>
      </c>
      <c r="E6641">
        <v>0.52899940000000001</v>
      </c>
      <c r="F6641" t="s">
        <v>73</v>
      </c>
      <c r="G6641">
        <v>-214.80709999999999</v>
      </c>
      <c r="H6641" s="1">
        <v>-1.7362129999999999E-6</v>
      </c>
      <c r="I6641">
        <v>-63.033149999999999</v>
      </c>
      <c r="J6641">
        <v>-234.20910000000001</v>
      </c>
      <c r="K6641">
        <v>1.1206609999999999</v>
      </c>
      <c r="L6641">
        <v>-62.46161</v>
      </c>
      <c r="M6641">
        <v>0.99985889999999999</v>
      </c>
      <c r="N6641">
        <v>-1.190336E-2</v>
      </c>
      <c r="O6641">
        <v>1.185811E-2</v>
      </c>
      <c r="P6641">
        <v>0.99616830000000001</v>
      </c>
      <c r="Q6641">
        <v>-7.3838669999999995E-2</v>
      </c>
      <c r="R6641">
        <v>4.6871219999999998E-2</v>
      </c>
      <c r="S6641">
        <v>3.003082</v>
      </c>
      <c r="T6641">
        <v>-0.1723963</v>
      </c>
      <c r="U6641">
        <v>-8.7738040000000003E-2</v>
      </c>
      <c r="V6641">
        <v>-3.5087510000000002E-2</v>
      </c>
      <c r="W6641">
        <v>-6.1951159999999998E-2</v>
      </c>
      <c r="X6641">
        <v>0.99746219999999997</v>
      </c>
      <c r="Y6641">
        <v>4.0961730000000002E-2</v>
      </c>
      <c r="Z6641">
        <v>-1.9576250000000002E-3</v>
      </c>
      <c r="AA6641">
        <v>0.99915880000000001</v>
      </c>
      <c r="AB6641">
        <v>24</v>
      </c>
      <c r="AC6641">
        <v>19.402000000000001</v>
      </c>
      <c r="AD6641">
        <v>-1.1206627362129999</v>
      </c>
      <c r="AE6641">
        <v>-0.57153999999999805</v>
      </c>
      <c r="AF6641">
        <v>0.79892405752847295</v>
      </c>
      <c r="AG6641">
        <v>-1.1206627362129999</v>
      </c>
      <c r="AH6641">
        <v>19.329426160391701</v>
      </c>
      <c r="AI6641">
        <v>93.315300432003696</v>
      </c>
      <c r="AJ6641">
        <v>87.633197353097898</v>
      </c>
      <c r="AK6641">
        <v>19.378361135763502</v>
      </c>
      <c r="AL6641">
        <v>93.551814567073805</v>
      </c>
      <c r="AM6641">
        <v>92.014650418496799</v>
      </c>
      <c r="AN6641">
        <v>0.99999996000609204</v>
      </c>
    </row>
    <row r="6642" spans="1:40" x14ac:dyDescent="0.25">
      <c r="A6642" t="str">
        <f>"20190303154652478"</f>
        <v>20190303154652478</v>
      </c>
      <c r="B6642" t="str">
        <f>"1551599212467922"</f>
        <v>1551599212467922</v>
      </c>
      <c r="C6642" t="s">
        <v>40</v>
      </c>
      <c r="D6642">
        <v>5.2153609999999997</v>
      </c>
      <c r="E6642">
        <v>0.52899629999999997</v>
      </c>
      <c r="F6642" t="s">
        <v>73</v>
      </c>
      <c r="G6642">
        <v>-214.68340000000001</v>
      </c>
      <c r="H6642" s="1">
        <v>-1.686942E-6</v>
      </c>
      <c r="I6642">
        <v>-63.0473</v>
      </c>
      <c r="J6642">
        <v>-234.08500000000001</v>
      </c>
      <c r="K6642">
        <v>1.120663</v>
      </c>
      <c r="L6642">
        <v>-62.460299999999997</v>
      </c>
      <c r="M6642">
        <v>0.99986050000000004</v>
      </c>
      <c r="N6642">
        <v>-1.191478E-2</v>
      </c>
      <c r="O6642">
        <v>1.1698679999999999E-2</v>
      </c>
      <c r="P6642">
        <v>0.99623569999999995</v>
      </c>
      <c r="Q6642">
        <v>-7.3495399999999905E-2</v>
      </c>
      <c r="R6642">
        <v>4.5968759999999997E-2</v>
      </c>
      <c r="S6642">
        <v>3.0030060000000001</v>
      </c>
      <c r="T6642">
        <v>-0.1723557</v>
      </c>
      <c r="U6642">
        <v>-9.0087890000000004E-2</v>
      </c>
      <c r="V6642">
        <v>-3.4342940000000002E-2</v>
      </c>
      <c r="W6642">
        <v>-6.1596390000000001E-2</v>
      </c>
      <c r="X6642">
        <v>0.99751009999999996</v>
      </c>
      <c r="Y6642">
        <v>4.1583259999999997E-2</v>
      </c>
      <c r="Z6642">
        <v>-1.9716E-3</v>
      </c>
      <c r="AA6642">
        <v>0.9991331</v>
      </c>
      <c r="AB6642">
        <v>24</v>
      </c>
      <c r="AC6642">
        <v>19.401599999999998</v>
      </c>
      <c r="AD6642">
        <v>-1.1206646869419901</v>
      </c>
      <c r="AE6642">
        <v>-0.58700000000000296</v>
      </c>
      <c r="AF6642">
        <v>0.81124491444836599</v>
      </c>
      <c r="AG6642">
        <v>-1.1206646869419901</v>
      </c>
      <c r="AH6642">
        <v>19.328974568775902</v>
      </c>
      <c r="AI6642">
        <v>93.315295668615207</v>
      </c>
      <c r="AJ6642">
        <v>87.596683356375607</v>
      </c>
      <c r="AK6642">
        <v>19.378422679159499</v>
      </c>
      <c r="AL6642">
        <v>93.531448790280606</v>
      </c>
      <c r="AM6642">
        <v>91.971838288659598</v>
      </c>
      <c r="AN6642">
        <v>0.99999997619544201</v>
      </c>
    </row>
    <row r="6643" spans="1:40" x14ac:dyDescent="0.25">
      <c r="A6643" t="str">
        <f>"20190303154652490"</f>
        <v>20190303154652490</v>
      </c>
      <c r="B6643" t="str">
        <f>"1551599212478657"</f>
        <v>1551599212478657</v>
      </c>
      <c r="C6643" t="s">
        <v>40</v>
      </c>
      <c r="D6643">
        <v>5.1097630000000001</v>
      </c>
      <c r="E6643">
        <v>0.52877350000000001</v>
      </c>
      <c r="F6643" t="s">
        <v>73</v>
      </c>
      <c r="G6643">
        <v>-214.63069999999999</v>
      </c>
      <c r="H6643" s="1">
        <v>-1.668023E-6</v>
      </c>
      <c r="I6643">
        <v>-63.061279999999996</v>
      </c>
      <c r="J6643">
        <v>-233.95830000000001</v>
      </c>
      <c r="K6643">
        <v>1.120663</v>
      </c>
      <c r="L6643">
        <v>-62.459009999999999</v>
      </c>
      <c r="M6643">
        <v>0.99986229999999998</v>
      </c>
      <c r="N6643">
        <v>-1.192548E-2</v>
      </c>
      <c r="O6643">
        <v>1.153674E-2</v>
      </c>
      <c r="P6643">
        <v>0.99628539999999999</v>
      </c>
      <c r="Q6643">
        <v>-7.3490570000000005E-2</v>
      </c>
      <c r="R6643">
        <v>4.4885969999999997E-2</v>
      </c>
      <c r="S6643">
        <v>3.002853</v>
      </c>
      <c r="T6643">
        <v>-0.17297939999999901</v>
      </c>
      <c r="U6643">
        <v>-9.2773439999999999E-2</v>
      </c>
      <c r="V6643">
        <v>-3.3421149999999997E-2</v>
      </c>
      <c r="W6643">
        <v>-6.1581049999999998E-2</v>
      </c>
      <c r="X6643">
        <v>0.99754240000000005</v>
      </c>
      <c r="Y6643">
        <v>4.2313719999999999E-2</v>
      </c>
      <c r="Z6643">
        <v>-1.9964929999999998E-3</v>
      </c>
      <c r="AA6643">
        <v>0.99910239999999995</v>
      </c>
      <c r="AB6643">
        <v>24</v>
      </c>
      <c r="AC6643">
        <v>19.3276</v>
      </c>
      <c r="AD6643">
        <v>-1.1206646680229999</v>
      </c>
      <c r="AE6643">
        <v>-0.60227000000000397</v>
      </c>
      <c r="AF6643">
        <v>0.82246085684926495</v>
      </c>
      <c r="AG6643">
        <v>-1.1206646680229999</v>
      </c>
      <c r="AH6643">
        <v>19.254693676322599</v>
      </c>
      <c r="AI6643">
        <v>93.327952212439996</v>
      </c>
      <c r="AJ6643">
        <v>87.554107679343701</v>
      </c>
      <c r="AK6643">
        <v>19.304806648299301</v>
      </c>
      <c r="AL6643">
        <v>93.530568048600998</v>
      </c>
      <c r="AM6643">
        <v>91.918890711508993</v>
      </c>
      <c r="AN6643">
        <v>1.0000000193920899</v>
      </c>
    </row>
    <row r="6644" spans="1:40" x14ac:dyDescent="0.25">
      <c r="A6644" t="str">
        <f>"20190303154652502"</f>
        <v>20190303154652502</v>
      </c>
      <c r="B6644" t="str">
        <f>"1551599212498177"</f>
        <v>1551599212498177</v>
      </c>
      <c r="C6644" t="s">
        <v>40</v>
      </c>
      <c r="D6644">
        <v>5.1696589999999896</v>
      </c>
      <c r="E6644">
        <v>0.5021371</v>
      </c>
      <c r="F6644" t="s">
        <v>73</v>
      </c>
      <c r="G6644">
        <v>-214.5558</v>
      </c>
      <c r="H6644" s="1">
        <v>-1.6377499999999999E-6</v>
      </c>
      <c r="I6644">
        <v>-63.068309999999997</v>
      </c>
      <c r="J6644">
        <v>-233.83369999999999</v>
      </c>
      <c r="K6644">
        <v>1.1206640000000001</v>
      </c>
      <c r="L6644">
        <v>-62.457729999999998</v>
      </c>
      <c r="M6644">
        <v>0.99986399999999998</v>
      </c>
      <c r="N6644">
        <v>-1.1935680000000001E-2</v>
      </c>
      <c r="O6644">
        <v>1.137795E-2</v>
      </c>
      <c r="P6644">
        <v>0.99633539999999998</v>
      </c>
      <c r="Q6644">
        <v>-7.3199319999999998E-2</v>
      </c>
      <c r="R6644">
        <v>4.424546E-2</v>
      </c>
      <c r="S6644">
        <v>3.0026090000000001</v>
      </c>
      <c r="T6644">
        <v>-0.17342669999999999</v>
      </c>
      <c r="U6644">
        <v>-9.4299320000000006E-2</v>
      </c>
      <c r="V6644">
        <v>-3.2938009999999997E-2</v>
      </c>
      <c r="W6644">
        <v>-6.1279460000000001E-2</v>
      </c>
      <c r="X6644">
        <v>0.99757700000000005</v>
      </c>
      <c r="Y6644">
        <v>4.2663769999999997E-2</v>
      </c>
      <c r="Z6644">
        <v>-2.0065149999999999E-3</v>
      </c>
      <c r="AA6644">
        <v>0.99908750000000002</v>
      </c>
      <c r="AB6644">
        <v>24</v>
      </c>
      <c r="AC6644">
        <v>19.277899999999899</v>
      </c>
      <c r="AD6644">
        <v>-1.1206656377499999</v>
      </c>
      <c r="AE6644">
        <v>-0.61057999999999102</v>
      </c>
      <c r="AF6644">
        <v>0.82710680666318503</v>
      </c>
      <c r="AG6644">
        <v>-1.1206656377499999</v>
      </c>
      <c r="AH6644">
        <v>19.204869440745401</v>
      </c>
      <c r="AI6644">
        <v>93.336519226616502</v>
      </c>
      <c r="AJ6644">
        <v>87.533934702320806</v>
      </c>
      <c r="AK6644">
        <v>19.255311147248101</v>
      </c>
      <c r="AL6644">
        <v>93.513255664128494</v>
      </c>
      <c r="AM6644">
        <v>91.891105751124101</v>
      </c>
      <c r="AN6644">
        <v>0.99999997782482497</v>
      </c>
    </row>
    <row r="6645" spans="1:40" x14ac:dyDescent="0.25">
      <c r="A6645" t="str">
        <f>"20190303154652514"</f>
        <v>20190303154652514</v>
      </c>
      <c r="B6645" t="str">
        <f>"1551599212507954"</f>
        <v>1551599212507954</v>
      </c>
      <c r="C6645" t="s">
        <v>40</v>
      </c>
      <c r="D6645">
        <v>5.2020670000000004</v>
      </c>
      <c r="E6645">
        <v>0.50037089999999995</v>
      </c>
      <c r="F6645" t="s">
        <v>73</v>
      </c>
      <c r="G6645">
        <v>-215.304</v>
      </c>
      <c r="H6645" s="1">
        <v>-1.6053319999999999E-6</v>
      </c>
      <c r="I6645">
        <v>-61.74</v>
      </c>
      <c r="J6645">
        <v>-233.69059999999999</v>
      </c>
      <c r="K6645">
        <v>1.1206659999999999</v>
      </c>
      <c r="L6645">
        <v>-62.456359999999997</v>
      </c>
      <c r="M6645">
        <v>0.99986600000000003</v>
      </c>
      <c r="N6645">
        <v>-1.1946190000000001E-2</v>
      </c>
      <c r="O6645">
        <v>1.119586E-2</v>
      </c>
      <c r="P6645">
        <v>0.99639069999999996</v>
      </c>
      <c r="Q6645">
        <v>-7.2967989999999996E-2</v>
      </c>
      <c r="R6645">
        <v>4.3376749999999999E-2</v>
      </c>
      <c r="S6645">
        <v>2.9925839999999999</v>
      </c>
      <c r="T6645">
        <v>-0.1809896</v>
      </c>
      <c r="U6645">
        <v>0.1159058</v>
      </c>
      <c r="V6645">
        <v>-3.2250639999999997E-2</v>
      </c>
      <c r="W6645">
        <v>-6.103753E-2</v>
      </c>
      <c r="X6645">
        <v>0.99761429999999995</v>
      </c>
      <c r="Y6645">
        <v>-2.74644E-2</v>
      </c>
      <c r="Z6645">
        <v>4.5115420000000001E-4</v>
      </c>
      <c r="AA6645">
        <v>0.99962269999999998</v>
      </c>
      <c r="AB6645">
        <v>24</v>
      </c>
      <c r="AC6645">
        <v>18.386599999999898</v>
      </c>
      <c r="AD6645">
        <v>-1.1206676053319999</v>
      </c>
      <c r="AE6645">
        <v>0.716359999999994</v>
      </c>
      <c r="AF6645">
        <v>-0.508560210563482</v>
      </c>
      <c r="AG6645">
        <v>-1.1206676053319999</v>
      </c>
      <c r="AH6645">
        <v>18.325493517089999</v>
      </c>
      <c r="AI6645">
        <v>93.498134527847299</v>
      </c>
      <c r="AJ6645">
        <v>91.589636691263706</v>
      </c>
      <c r="AK6645">
        <v>18.366770048495599</v>
      </c>
      <c r="AL6645">
        <v>93.499368064636201</v>
      </c>
      <c r="AM6645">
        <v>91.851599611938894</v>
      </c>
      <c r="AN6645">
        <v>0.99999998770669996</v>
      </c>
    </row>
    <row r="6646" spans="1:40" x14ac:dyDescent="0.25">
      <c r="A6646" t="str">
        <f>"20190303154652528"</f>
        <v>20190303154652528</v>
      </c>
      <c r="B6646" t="str">
        <f>"1551599212518690"</f>
        <v>1551599212518690</v>
      </c>
      <c r="C6646" t="s">
        <v>40</v>
      </c>
      <c r="D6646">
        <v>5.186223</v>
      </c>
      <c r="E6646">
        <v>0.49980170000000002</v>
      </c>
      <c r="F6646" t="s">
        <v>73</v>
      </c>
      <c r="G6646">
        <v>-214.35409999999999</v>
      </c>
      <c r="H6646" s="1">
        <v>-1.1693129999999999E-6</v>
      </c>
      <c r="I6646">
        <v>-61.632849999999998</v>
      </c>
      <c r="J6646">
        <v>-233.55250000000001</v>
      </c>
      <c r="K6646">
        <v>1.120673</v>
      </c>
      <c r="L6646">
        <v>-62.455019999999998</v>
      </c>
      <c r="M6646">
        <v>0.99986790000000003</v>
      </c>
      <c r="N6646">
        <v>-1.1955769999999999E-2</v>
      </c>
      <c r="O6646">
        <v>1.102026E-2</v>
      </c>
      <c r="P6646">
        <v>0.99644549999999998</v>
      </c>
      <c r="Q6646">
        <v>-7.2771299999999997E-2</v>
      </c>
      <c r="R6646">
        <v>4.243798E-2</v>
      </c>
      <c r="S6646">
        <v>2.9925989999999998</v>
      </c>
      <c r="T6646">
        <v>-0.17343939999999999</v>
      </c>
      <c r="U6646">
        <v>0.12744140000000001</v>
      </c>
      <c r="V6646">
        <v>-3.1485619999999999E-2</v>
      </c>
      <c r="W6646">
        <v>-6.083123E-2</v>
      </c>
      <c r="X6646">
        <v>0.99765130000000002</v>
      </c>
      <c r="Y6646">
        <v>-3.1481290000000002E-2</v>
      </c>
      <c r="Z6646">
        <v>5.9336580000000005E-4</v>
      </c>
      <c r="AA6646">
        <v>0.99950410000000001</v>
      </c>
      <c r="AB6646">
        <v>24</v>
      </c>
      <c r="AC6646">
        <v>19.198399999999999</v>
      </c>
      <c r="AD6646">
        <v>-1.120674169313</v>
      </c>
      <c r="AE6646">
        <v>0.82216999999999896</v>
      </c>
      <c r="AF6646">
        <v>-0.60846409446627903</v>
      </c>
      <c r="AG6646">
        <v>-1.120674169313</v>
      </c>
      <c r="AH6646">
        <v>19.1411920550796</v>
      </c>
      <c r="AI6646">
        <v>93.349027419668204</v>
      </c>
      <c r="AJ6646">
        <v>91.820716750749398</v>
      </c>
      <c r="AK6646">
        <v>19.1836225056026</v>
      </c>
      <c r="AL6646">
        <v>93.487526072872598</v>
      </c>
      <c r="AM6646">
        <v>91.807640167264594</v>
      </c>
      <c r="AN6646">
        <v>0.999999949600892</v>
      </c>
    </row>
    <row r="6647" spans="1:40" x14ac:dyDescent="0.25">
      <c r="A6647" t="str">
        <f>"20190303154652541"</f>
        <v>20190303154652541</v>
      </c>
      <c r="B6647" t="str">
        <f>"1551599212528451"</f>
        <v>1551599212528451</v>
      </c>
      <c r="C6647" t="s">
        <v>40</v>
      </c>
      <c r="D6647">
        <v>5.1983269999999999</v>
      </c>
      <c r="E6647">
        <v>0.49943739999999998</v>
      </c>
      <c r="F6647" t="s">
        <v>73</v>
      </c>
      <c r="G6647">
        <v>-213.93379999999999</v>
      </c>
      <c r="H6647" s="1">
        <v>-9.825328000000001E-7</v>
      </c>
      <c r="I6647">
        <v>-61.608530000000002</v>
      </c>
      <c r="J6647">
        <v>-233.40819999999999</v>
      </c>
      <c r="K6647">
        <v>1.1206739999999999</v>
      </c>
      <c r="L6647">
        <v>-62.45364</v>
      </c>
      <c r="M6647">
        <v>0.99986969999999997</v>
      </c>
      <c r="N6647">
        <v>-1.1965160000000001E-2</v>
      </c>
      <c r="O6647">
        <v>1.0837100000000001E-2</v>
      </c>
      <c r="P6647">
        <v>0.99647969999999997</v>
      </c>
      <c r="Q6647">
        <v>-7.2630539999999993E-2</v>
      </c>
      <c r="R6647">
        <v>4.1867639999999998E-2</v>
      </c>
      <c r="S6647">
        <v>2.9927519999999999</v>
      </c>
      <c r="T6647">
        <v>-0.170954299999999</v>
      </c>
      <c r="U6647">
        <v>0.12911989999999901</v>
      </c>
      <c r="V6647">
        <v>-3.1097730000000001E-2</v>
      </c>
      <c r="W6647">
        <v>-6.0681020000000002E-2</v>
      </c>
      <c r="X6647">
        <v>0.99767269999999997</v>
      </c>
      <c r="Y6647">
        <v>-3.2221340000000001E-2</v>
      </c>
      <c r="Z6647">
        <v>6.2349230000000001E-4</v>
      </c>
      <c r="AA6647">
        <v>0.99948049999999999</v>
      </c>
      <c r="AB6647">
        <v>24</v>
      </c>
      <c r="AC6647">
        <v>19.474399999999999</v>
      </c>
      <c r="AD6647">
        <v>-1.1206749825328</v>
      </c>
      <c r="AE6647">
        <v>0.84510999999999803</v>
      </c>
      <c r="AF6647">
        <v>-0.63191056956876901</v>
      </c>
      <c r="AG6647">
        <v>-1.1206749825328</v>
      </c>
      <c r="AH6647">
        <v>19.418231881573799</v>
      </c>
      <c r="AI6647">
        <v>93.301275899680306</v>
      </c>
      <c r="AJ6647">
        <v>91.863868784298603</v>
      </c>
      <c r="AK6647">
        <v>19.460805553495899</v>
      </c>
      <c r="AL6647">
        <v>93.478903445078799</v>
      </c>
      <c r="AM6647">
        <v>91.785347008582804</v>
      </c>
      <c r="AN6647">
        <v>1.00000003566234</v>
      </c>
    </row>
    <row r="6648" spans="1:40" x14ac:dyDescent="0.25">
      <c r="A6648" t="str">
        <f>"20190303154652553"</f>
        <v>20190303154652553</v>
      </c>
      <c r="B6648" t="str">
        <f>"1551599212547970"</f>
        <v>1551599212547970</v>
      </c>
      <c r="C6648" t="s">
        <v>40</v>
      </c>
      <c r="D6648">
        <v>5.1978660000000003</v>
      </c>
      <c r="E6648">
        <v>0.4992819</v>
      </c>
      <c r="F6648" t="s">
        <v>73</v>
      </c>
      <c r="G6648">
        <v>-213.9365</v>
      </c>
      <c r="H6648" s="1">
        <v>-9.8292280000000006E-7</v>
      </c>
      <c r="I6648">
        <v>-61.605699999999999</v>
      </c>
      <c r="J6648">
        <v>-233.27619999999999</v>
      </c>
      <c r="K6648">
        <v>1.1206739999999999</v>
      </c>
      <c r="L6648">
        <v>-62.452390000000001</v>
      </c>
      <c r="M6648">
        <v>0.99987150000000002</v>
      </c>
      <c r="N6648">
        <v>-1.197282E-2</v>
      </c>
      <c r="O6648">
        <v>1.0669090000000001E-2</v>
      </c>
      <c r="P6648">
        <v>0.99650289999999997</v>
      </c>
      <c r="Q6648">
        <v>-7.2579710000000006E-2</v>
      </c>
      <c r="R6648">
        <v>4.1402319999999999E-2</v>
      </c>
      <c r="S6648">
        <v>2.992569</v>
      </c>
      <c r="T6648">
        <v>-0.17223379999999999</v>
      </c>
      <c r="U6648">
        <v>0.13031010000000001</v>
      </c>
      <c r="V6648">
        <v>-3.0799549999999998E-2</v>
      </c>
      <c r="W6648">
        <v>-6.0622540000000003E-2</v>
      </c>
      <c r="X6648">
        <v>0.9976855</v>
      </c>
      <c r="Y6648">
        <v>-3.2786699999999898E-2</v>
      </c>
      <c r="Z6648">
        <v>6.5324869999999996E-4</v>
      </c>
      <c r="AA6648">
        <v>0.99946219999999997</v>
      </c>
      <c r="AB6648">
        <v>24</v>
      </c>
      <c r="AC6648">
        <v>19.339700000000001</v>
      </c>
      <c r="AD6648">
        <v>-1.1206749829228</v>
      </c>
      <c r="AE6648">
        <v>0.84669000000000205</v>
      </c>
      <c r="AF6648">
        <v>-0.638151321872511</v>
      </c>
      <c r="AG6648">
        <v>-1.1206749829228</v>
      </c>
      <c r="AH6648">
        <v>19.2830077831475</v>
      </c>
      <c r="AI6648">
        <v>93.3243146938146</v>
      </c>
      <c r="AJ6648">
        <v>91.895453157793398</v>
      </c>
      <c r="AK6648">
        <v>19.326084411796501</v>
      </c>
      <c r="AL6648">
        <v>93.4755466250419</v>
      </c>
      <c r="AM6648">
        <v>91.768216490950607</v>
      </c>
      <c r="AN6648">
        <v>1.0000000307732499</v>
      </c>
    </row>
    <row r="6649" spans="1:40" x14ac:dyDescent="0.25">
      <c r="A6649" t="str">
        <f>"20190303154652567"</f>
        <v>20190303154652567</v>
      </c>
      <c r="B6649" t="str">
        <f>"1551599212558239"</f>
        <v>1551599212558239</v>
      </c>
      <c r="C6649" t="s">
        <v>40</v>
      </c>
      <c r="D6649">
        <v>5.1165019999999997</v>
      </c>
      <c r="E6649">
        <v>0.4992819</v>
      </c>
      <c r="F6649" t="s">
        <v>73</v>
      </c>
      <c r="G6649">
        <v>-213.94759999999999</v>
      </c>
      <c r="H6649" s="1">
        <v>-9.892896999999999E-7</v>
      </c>
      <c r="I6649">
        <v>-61.611649999999997</v>
      </c>
      <c r="J6649">
        <v>-233.114</v>
      </c>
      <c r="K6649">
        <v>1.1206700000000001</v>
      </c>
      <c r="L6649">
        <v>-62.450899999999997</v>
      </c>
      <c r="M6649">
        <v>0.99987349999999997</v>
      </c>
      <c r="N6649">
        <v>-1.198279E-2</v>
      </c>
      <c r="O6649">
        <v>1.04619E-2</v>
      </c>
      <c r="P6649">
        <v>0.99651179999999995</v>
      </c>
      <c r="Q6649">
        <v>-7.2767310000000002E-2</v>
      </c>
      <c r="R6649">
        <v>4.0852520000000003E-2</v>
      </c>
      <c r="S6649">
        <v>2.9924930000000001</v>
      </c>
      <c r="T6649">
        <v>-0.17350579999999999</v>
      </c>
      <c r="U6649">
        <v>0.13015750000000001</v>
      </c>
      <c r="V6649">
        <v>-3.0456690000000002E-2</v>
      </c>
      <c r="W6649">
        <v>-6.0800369999999999E-2</v>
      </c>
      <c r="X6649">
        <v>0.99768520000000005</v>
      </c>
      <c r="Y6649">
        <v>-3.2942810000000003E-2</v>
      </c>
      <c r="Z6649">
        <v>6.7092639999999999E-4</v>
      </c>
      <c r="AA6649">
        <v>0.99945700000000004</v>
      </c>
      <c r="AB6649">
        <v>24</v>
      </c>
      <c r="AC6649">
        <v>19.166399999999999</v>
      </c>
      <c r="AD6649">
        <v>-1.1206709892897</v>
      </c>
      <c r="AE6649">
        <v>0.83924999999999905</v>
      </c>
      <c r="AF6649">
        <v>-0.636500799577012</v>
      </c>
      <c r="AG6649">
        <v>-1.1206709892897</v>
      </c>
      <c r="AH6649">
        <v>19.1089269065364</v>
      </c>
      <c r="AI6649">
        <v>93.354494297740501</v>
      </c>
      <c r="AJ6649">
        <v>91.907764434015803</v>
      </c>
      <c r="AK6649">
        <v>19.152339915881001</v>
      </c>
      <c r="AL6649">
        <v>93.485754377296303</v>
      </c>
      <c r="AM6649">
        <v>91.748545552280405</v>
      </c>
      <c r="AN6649">
        <v>1.0000000266284601</v>
      </c>
    </row>
    <row r="6650" spans="1:40" x14ac:dyDescent="0.25">
      <c r="A6650" t="str">
        <f>"20190303154652580"</f>
        <v>20190303154652580</v>
      </c>
      <c r="B6650" t="str">
        <f>"1551599212567998"</f>
        <v>1551599212567998</v>
      </c>
      <c r="C6650" t="s">
        <v>40</v>
      </c>
      <c r="D6650">
        <v>5.1938490000000002</v>
      </c>
      <c r="E6650">
        <v>0.4990387</v>
      </c>
      <c r="F6650" t="s">
        <v>73</v>
      </c>
      <c r="G6650">
        <v>-213.8475</v>
      </c>
      <c r="H6650" s="1">
        <v>-9.4946129999999998E-7</v>
      </c>
      <c r="I6650">
        <v>-61.623469999999998</v>
      </c>
      <c r="J6650">
        <v>-232.9725</v>
      </c>
      <c r="K6650">
        <v>1.1206689999999999</v>
      </c>
      <c r="L6650">
        <v>-62.449620000000003</v>
      </c>
      <c r="M6650">
        <v>0.99987539999999997</v>
      </c>
      <c r="N6650">
        <v>-1.199218E-2</v>
      </c>
      <c r="O6650">
        <v>1.0280050000000001E-2</v>
      </c>
      <c r="P6650">
        <v>0.99651529999999999</v>
      </c>
      <c r="Q6650">
        <v>-7.2730959999999997E-2</v>
      </c>
      <c r="R6650">
        <v>4.0837699999999998E-2</v>
      </c>
      <c r="S6650">
        <v>2.9925380000000001</v>
      </c>
      <c r="T6650">
        <v>-0.17406549999999901</v>
      </c>
      <c r="U6650">
        <v>0.1285095</v>
      </c>
      <c r="V6650">
        <v>-3.062281E-2</v>
      </c>
      <c r="W6650">
        <v>-6.0754559999999999E-2</v>
      </c>
      <c r="X6650">
        <v>0.99768290000000004</v>
      </c>
      <c r="Y6650">
        <v>-3.2574789999999999E-2</v>
      </c>
      <c r="Z6650">
        <v>6.677826E-4</v>
      </c>
      <c r="AA6650">
        <v>0.9994691</v>
      </c>
      <c r="AB6650">
        <v>24</v>
      </c>
      <c r="AC6650">
        <v>19.125</v>
      </c>
      <c r="AD6650">
        <v>-1.1206699494612999</v>
      </c>
      <c r="AE6650">
        <v>0.82614999999999805</v>
      </c>
      <c r="AF6650">
        <v>-0.627336250324255</v>
      </c>
      <c r="AG6650">
        <v>-1.1206699494612999</v>
      </c>
      <c r="AH6650">
        <v>19.067135332862101</v>
      </c>
      <c r="AI6650">
        <v>93.361871975496001</v>
      </c>
      <c r="AJ6650">
        <v>91.884434002197693</v>
      </c>
      <c r="AK6650">
        <v>19.110340177722499</v>
      </c>
      <c r="AL6650">
        <v>93.483124816128097</v>
      </c>
      <c r="AM6650">
        <v>91.758080730147</v>
      </c>
      <c r="AN6650">
        <v>1.00000002100274</v>
      </c>
    </row>
    <row r="6651" spans="1:40" x14ac:dyDescent="0.25">
      <c r="A6651" t="str">
        <f>"20190303154652593"</f>
        <v>20190303154652593</v>
      </c>
      <c r="B6651" t="str">
        <f>"1551599212588494"</f>
        <v>1551599212588494</v>
      </c>
      <c r="C6651" t="s">
        <v>40</v>
      </c>
      <c r="D6651">
        <v>5.2295150000000001</v>
      </c>
      <c r="E6651">
        <v>0.4989305</v>
      </c>
      <c r="F6651" t="s">
        <v>73</v>
      </c>
      <c r="G6651">
        <v>-214.02029999999999</v>
      </c>
      <c r="H6651" s="1">
        <v>-1.0237189999999999E-6</v>
      </c>
      <c r="I6651">
        <v>-61.623809999999999</v>
      </c>
      <c r="J6651">
        <v>-232.8485</v>
      </c>
      <c r="K6651">
        <v>1.1206700000000001</v>
      </c>
      <c r="L6651">
        <v>-62.448549999999997</v>
      </c>
      <c r="M6651">
        <v>0.99987669999999995</v>
      </c>
      <c r="N6651">
        <v>-1.2001960000000001E-2</v>
      </c>
      <c r="O6651">
        <v>1.01203E-2</v>
      </c>
      <c r="P6651">
        <v>0.9965001</v>
      </c>
      <c r="Q6651">
        <v>-7.3064030000000002E-2</v>
      </c>
      <c r="R6651">
        <v>4.0612669999999997E-2</v>
      </c>
      <c r="S6651">
        <v>2.9922330000000001</v>
      </c>
      <c r="T6651">
        <v>-0.17693499999999901</v>
      </c>
      <c r="U6651">
        <v>0.13037109999999999</v>
      </c>
      <c r="V6651">
        <v>-3.0557979999999998E-2</v>
      </c>
      <c r="W6651">
        <v>-6.1078100000000003E-2</v>
      </c>
      <c r="X6651">
        <v>0.99766509999999997</v>
      </c>
      <c r="Y6651">
        <v>-3.3356080000000003E-2</v>
      </c>
      <c r="Z6651">
        <v>7.091027E-4</v>
      </c>
      <c r="AA6651">
        <v>0.99944330000000003</v>
      </c>
      <c r="AB6651">
        <v>24</v>
      </c>
      <c r="AC6651">
        <v>18.828199999999999</v>
      </c>
      <c r="AD6651">
        <v>-1.1206710237190001</v>
      </c>
      <c r="AE6651">
        <v>0.82473999999999803</v>
      </c>
      <c r="AF6651">
        <v>-0.63190261233857603</v>
      </c>
      <c r="AG6651">
        <v>-1.1206710237190001</v>
      </c>
      <c r="AH6651">
        <v>18.769215839084801</v>
      </c>
      <c r="AI6651">
        <v>93.415025441385396</v>
      </c>
      <c r="AJ6651">
        <v>91.928246933246498</v>
      </c>
      <c r="AK6651">
        <v>18.813257763317701</v>
      </c>
      <c r="AL6651">
        <v>93.501696898129893</v>
      </c>
      <c r="AM6651">
        <v>91.754392395989697</v>
      </c>
      <c r="AN6651">
        <v>0.99999998809964996</v>
      </c>
    </row>
    <row r="6652" spans="1:40" x14ac:dyDescent="0.25">
      <c r="A6652" t="str">
        <f>"20190303154652606"</f>
        <v>20190303154652606</v>
      </c>
      <c r="B6652" t="str">
        <f>"1551599212598254"</f>
        <v>1551599212598254</v>
      </c>
      <c r="C6652" t="s">
        <v>40</v>
      </c>
      <c r="D6652">
        <v>5.2255739999999999</v>
      </c>
      <c r="E6652">
        <v>0.49867080000000003</v>
      </c>
      <c r="F6652" t="s">
        <v>73</v>
      </c>
      <c r="G6652">
        <v>-214.5196</v>
      </c>
      <c r="H6652" s="1">
        <v>-1.2444929999999999E-6</v>
      </c>
      <c r="I6652">
        <v>-61.64866</v>
      </c>
      <c r="J6652">
        <v>-232.70939999999999</v>
      </c>
      <c r="K6652">
        <v>1.1206700000000001</v>
      </c>
      <c r="L6652">
        <v>-62.447330000000001</v>
      </c>
      <c r="M6652">
        <v>0.9998785</v>
      </c>
      <c r="N6652">
        <v>-1.201322E-2</v>
      </c>
      <c r="O6652">
        <v>9.9411139999999992E-3</v>
      </c>
      <c r="P6652">
        <v>0.99647929999999996</v>
      </c>
      <c r="Q6652">
        <v>-7.32352E-2</v>
      </c>
      <c r="R6652">
        <v>4.081216E-2</v>
      </c>
      <c r="S6652">
        <v>2.991806</v>
      </c>
      <c r="T6652">
        <v>-0.18292559999999999</v>
      </c>
      <c r="U6652">
        <v>0.13055419999999901</v>
      </c>
      <c r="V6652">
        <v>-3.0935879999999999E-2</v>
      </c>
      <c r="W6652">
        <v>-6.123808E-2</v>
      </c>
      <c r="X6652">
        <v>0.99764359999999996</v>
      </c>
      <c r="Y6652">
        <v>-3.359823E-2</v>
      </c>
      <c r="Z6652">
        <v>7.4019440000000004E-4</v>
      </c>
      <c r="AA6652">
        <v>0.99943510000000002</v>
      </c>
      <c r="AB6652">
        <v>24</v>
      </c>
      <c r="AC6652">
        <v>18.189799999999899</v>
      </c>
      <c r="AD6652">
        <v>-1.120671244493</v>
      </c>
      <c r="AE6652">
        <v>0.79867000000000798</v>
      </c>
      <c r="AF6652">
        <v>-0.61545896852020199</v>
      </c>
      <c r="AG6652">
        <v>-1.120671244493</v>
      </c>
      <c r="AH6652">
        <v>18.1281632302586</v>
      </c>
      <c r="AI6652">
        <v>93.535454253655203</v>
      </c>
      <c r="AJ6652">
        <v>91.944469595631901</v>
      </c>
      <c r="AK6652">
        <v>18.173194432544399</v>
      </c>
      <c r="AL6652">
        <v>93.510880429998494</v>
      </c>
      <c r="AM6652">
        <v>91.776112802042505</v>
      </c>
      <c r="AN6652">
        <v>0.99999994186720798</v>
      </c>
    </row>
    <row r="6653" spans="1:40" x14ac:dyDescent="0.25">
      <c r="A6653" t="str">
        <f>"20190303154652618"</f>
        <v>20190303154652618</v>
      </c>
      <c r="B6653" t="str">
        <f>"1551599212608014"</f>
        <v>1551599212608014</v>
      </c>
      <c r="C6653" t="s">
        <v>40</v>
      </c>
      <c r="D6653">
        <v>5.205654</v>
      </c>
      <c r="E6653">
        <v>0.4986083</v>
      </c>
      <c r="F6653" t="s">
        <v>73</v>
      </c>
      <c r="G6653">
        <v>-214.66730000000001</v>
      </c>
      <c r="H6653" s="1">
        <v>-1.3066229999999999E-6</v>
      </c>
      <c r="I6653">
        <v>-61.64405</v>
      </c>
      <c r="J6653">
        <v>-232.55940000000001</v>
      </c>
      <c r="K6653">
        <v>1.1206689999999999</v>
      </c>
      <c r="L6653">
        <v>-62.446080000000002</v>
      </c>
      <c r="M6653">
        <v>0.99988030000000006</v>
      </c>
      <c r="N6653">
        <v>-1.2025910000000001E-2</v>
      </c>
      <c r="O6653">
        <v>9.748563E-3</v>
      </c>
      <c r="P6653">
        <v>0.99647370000000002</v>
      </c>
      <c r="Q6653">
        <v>-7.3307200000000003E-2</v>
      </c>
      <c r="R6653">
        <v>4.082305E-2</v>
      </c>
      <c r="S6653">
        <v>2.991501</v>
      </c>
      <c r="T6653">
        <v>-0.18581439999999999</v>
      </c>
      <c r="U6653">
        <v>0.13317870000000001</v>
      </c>
      <c r="V6653">
        <v>-3.113937E-2</v>
      </c>
      <c r="W6653">
        <v>-6.1297360000000002E-2</v>
      </c>
      <c r="X6653">
        <v>0.99763369999999996</v>
      </c>
      <c r="Y6653">
        <v>-3.4665809999999998E-2</v>
      </c>
      <c r="Z6653">
        <v>7.96341E-4</v>
      </c>
      <c r="AA6653">
        <v>0.99939860000000003</v>
      </c>
      <c r="AB6653">
        <v>24</v>
      </c>
      <c r="AC6653">
        <v>17.892099999999999</v>
      </c>
      <c r="AD6653">
        <v>-1.1206703066229999</v>
      </c>
      <c r="AE6653">
        <v>0.80203000000000202</v>
      </c>
      <c r="AF6653">
        <v>-0.62510955844949301</v>
      </c>
      <c r="AG6653">
        <v>-1.1206703066229999</v>
      </c>
      <c r="AH6653">
        <v>17.829262565713101</v>
      </c>
      <c r="AI6653">
        <v>93.594430441400405</v>
      </c>
      <c r="AJ6653">
        <v>92.008017677289303</v>
      </c>
      <c r="AK6653">
        <v>17.8753816052511</v>
      </c>
      <c r="AL6653">
        <v>93.514283066336503</v>
      </c>
      <c r="AM6653">
        <v>91.787805887719699</v>
      </c>
      <c r="AN6653">
        <v>1.00000001304132</v>
      </c>
    </row>
    <row r="6654" spans="1:40" x14ac:dyDescent="0.25">
      <c r="A6654" t="str">
        <f>"20190303154652632"</f>
        <v>20190303154652632</v>
      </c>
      <c r="B6654" t="str">
        <f>"1551599212628510"</f>
        <v>1551599212628510</v>
      </c>
      <c r="C6654" t="s">
        <v>40</v>
      </c>
      <c r="D6654">
        <v>5.235576</v>
      </c>
      <c r="E6654">
        <v>0.49843710000000002</v>
      </c>
      <c r="F6654" t="s">
        <v>73</v>
      </c>
      <c r="G6654">
        <v>-214.73740000000001</v>
      </c>
      <c r="H6654" s="1">
        <v>-1.3381670000000001E-6</v>
      </c>
      <c r="I6654">
        <v>-61.649459999999998</v>
      </c>
      <c r="J6654">
        <v>-232.42009999999999</v>
      </c>
      <c r="K6654">
        <v>1.1206719999999999</v>
      </c>
      <c r="L6654">
        <v>-62.444920000000003</v>
      </c>
      <c r="M6654">
        <v>0.99988189999999999</v>
      </c>
      <c r="N6654">
        <v>-1.203736E-2</v>
      </c>
      <c r="O6654">
        <v>9.5705080000000001E-3</v>
      </c>
      <c r="P6654">
        <v>0.99644339999999998</v>
      </c>
      <c r="Q6654">
        <v>-7.3797059999999998E-2</v>
      </c>
      <c r="R6654">
        <v>4.0677709999999999E-2</v>
      </c>
      <c r="S6654">
        <v>2.9913020000000001</v>
      </c>
      <c r="T6654">
        <v>-0.18809690000000001</v>
      </c>
      <c r="U6654">
        <v>0.1336975</v>
      </c>
      <c r="V6654">
        <v>-3.117222E-2</v>
      </c>
      <c r="W6654">
        <v>-6.177614E-2</v>
      </c>
      <c r="X6654">
        <v>0.99760309999999996</v>
      </c>
      <c r="Y6654">
        <v>-3.5017189999999997E-2</v>
      </c>
      <c r="Z6654">
        <v>8.2463920000000002E-4</v>
      </c>
      <c r="AA6654">
        <v>0.99938640000000001</v>
      </c>
      <c r="AB6654">
        <v>24</v>
      </c>
      <c r="AC6654">
        <v>17.682699999999901</v>
      </c>
      <c r="AD6654">
        <v>-1.120673338167</v>
      </c>
      <c r="AE6654">
        <v>0.79545999999999795</v>
      </c>
      <c r="AF6654">
        <v>-0.62367888318199904</v>
      </c>
      <c r="AG6654">
        <v>-1.120673338167</v>
      </c>
      <c r="AH6654">
        <v>17.6188781067241</v>
      </c>
      <c r="AI6654">
        <v>93.637203211979994</v>
      </c>
      <c r="AJ6654">
        <v>92.027328488421503</v>
      </c>
      <c r="AK6654">
        <v>17.6654960252976</v>
      </c>
      <c r="AL6654">
        <v>93.541767372752801</v>
      </c>
      <c r="AM6654">
        <v>91.789745540597394</v>
      </c>
      <c r="AN6654">
        <v>0.99999997195131796</v>
      </c>
    </row>
    <row r="6655" spans="1:40" x14ac:dyDescent="0.25">
      <c r="A6655" t="str">
        <f>"20190303154652646"</f>
        <v>20190303154652646</v>
      </c>
      <c r="B6655" t="str">
        <f>"1551599212638270"</f>
        <v>1551599212638270</v>
      </c>
      <c r="C6655" t="s">
        <v>40</v>
      </c>
      <c r="D6655">
        <v>5.2503739999999999</v>
      </c>
      <c r="E6655">
        <v>0.49831769999999997</v>
      </c>
      <c r="F6655" t="s">
        <v>73</v>
      </c>
      <c r="G6655">
        <v>-215.00049999999999</v>
      </c>
      <c r="H6655" s="1">
        <v>-1.45397699999999E-6</v>
      </c>
      <c r="I6655">
        <v>-61.660510000000002</v>
      </c>
      <c r="J6655">
        <v>-232.2663</v>
      </c>
      <c r="K6655">
        <v>1.120668</v>
      </c>
      <c r="L6655">
        <v>-62.443660000000001</v>
      </c>
      <c r="M6655">
        <v>0.99988350000000004</v>
      </c>
      <c r="N6655">
        <v>-1.2050419999999999E-2</v>
      </c>
      <c r="O6655">
        <v>9.3742679999999998E-3</v>
      </c>
      <c r="P6655">
        <v>0.99642120000000001</v>
      </c>
      <c r="Q6655">
        <v>-7.3856550000000007E-2</v>
      </c>
      <c r="R6655">
        <v>4.1113289999999997E-2</v>
      </c>
      <c r="S6655">
        <v>2.9909819999999998</v>
      </c>
      <c r="T6655">
        <v>-0.19242200000000001</v>
      </c>
      <c r="U6655">
        <v>0.13467409999999999</v>
      </c>
      <c r="V6655">
        <v>-3.1803850000000002E-2</v>
      </c>
      <c r="W6655">
        <v>-6.1822509999999997E-2</v>
      </c>
      <c r="X6655">
        <v>0.99758029999999998</v>
      </c>
      <c r="Y6655">
        <v>-3.5539370000000001E-2</v>
      </c>
      <c r="Z6655">
        <v>8.6665380000000005E-4</v>
      </c>
      <c r="AA6655">
        <v>0.99936789999999998</v>
      </c>
      <c r="AB6655">
        <v>24</v>
      </c>
      <c r="AC6655">
        <v>17.265799999999999</v>
      </c>
      <c r="AD6655">
        <v>-1.1206694539769999</v>
      </c>
      <c r="AE6655">
        <v>0.78314999999999901</v>
      </c>
      <c r="AF6655">
        <v>-0.61864864610265502</v>
      </c>
      <c r="AG6655">
        <v>-1.1206694539769999</v>
      </c>
      <c r="AH6655">
        <v>17.200069750025001</v>
      </c>
      <c r="AI6655">
        <v>93.725431555445795</v>
      </c>
      <c r="AJ6655">
        <v>92.059915077092199</v>
      </c>
      <c r="AK6655">
        <v>17.247638260878698</v>
      </c>
      <c r="AL6655">
        <v>93.544429232963097</v>
      </c>
      <c r="AM6655">
        <v>91.826027824128701</v>
      </c>
      <c r="AN6655">
        <v>0.99999998128280598</v>
      </c>
    </row>
    <row r="6656" spans="1:40" x14ac:dyDescent="0.25">
      <c r="A6656" t="str">
        <f>"20190303154652657"</f>
        <v>20190303154652657</v>
      </c>
      <c r="B6656" t="str">
        <f>"1551599212648030"</f>
        <v>1551599212648030</v>
      </c>
      <c r="C6656" t="s">
        <v>40</v>
      </c>
      <c r="D6656">
        <v>5.2505769999999998</v>
      </c>
      <c r="E6656">
        <v>0.49819069999999999</v>
      </c>
      <c r="F6656" t="s">
        <v>73</v>
      </c>
      <c r="G6656">
        <v>-215.0027</v>
      </c>
      <c r="H6656" s="1">
        <v>-1.4530439999999901E-6</v>
      </c>
      <c r="I6656">
        <v>-61.653530000000003</v>
      </c>
      <c r="J6656">
        <v>-232.143</v>
      </c>
      <c r="K6656">
        <v>1.1206739999999999</v>
      </c>
      <c r="L6656">
        <v>-62.442689999999999</v>
      </c>
      <c r="M6656">
        <v>0.99988489999999997</v>
      </c>
      <c r="N6656">
        <v>-1.206167E-2</v>
      </c>
      <c r="O6656">
        <v>9.2173270000000009E-3</v>
      </c>
      <c r="P6656">
        <v>0.996394</v>
      </c>
      <c r="Q6656">
        <v>-7.4131500000000003E-2</v>
      </c>
      <c r="R6656">
        <v>4.1276790000000001E-2</v>
      </c>
      <c r="S6656">
        <v>2.990723</v>
      </c>
      <c r="T6656">
        <v>-0.1941425</v>
      </c>
      <c r="U6656">
        <v>0.1368713</v>
      </c>
      <c r="V6656">
        <v>-3.2123930000000002E-2</v>
      </c>
      <c r="W6656">
        <v>-6.208644E-2</v>
      </c>
      <c r="X6656">
        <v>0.99755360000000004</v>
      </c>
      <c r="Y6656">
        <v>-3.6429209999999997E-2</v>
      </c>
      <c r="Z6656">
        <v>9.1430630000000003E-4</v>
      </c>
      <c r="AA6656">
        <v>0.9993358</v>
      </c>
      <c r="AB6656">
        <v>24</v>
      </c>
      <c r="AC6656">
        <v>17.1402999999999</v>
      </c>
      <c r="AD6656">
        <v>-1.120675453044</v>
      </c>
      <c r="AE6656">
        <v>0.78915999999999498</v>
      </c>
      <c r="AF6656">
        <v>-0.62844640427404797</v>
      </c>
      <c r="AG6656">
        <v>-1.120675453044</v>
      </c>
      <c r="AH6656">
        <v>17.074011460914999</v>
      </c>
      <c r="AI6656">
        <v>93.752764177497397</v>
      </c>
      <c r="AJ6656">
        <v>92.107945128287398</v>
      </c>
      <c r="AK6656">
        <v>17.122287397469901</v>
      </c>
      <c r="AL6656">
        <v>93.559580600886605</v>
      </c>
      <c r="AM6656">
        <v>91.844442017778803</v>
      </c>
      <c r="AN6656">
        <v>0.99999992889173595</v>
      </c>
    </row>
    <row r="6657" spans="1:40" x14ac:dyDescent="0.25">
      <c r="A6657" t="str">
        <f>"20190303154652668"</f>
        <v>20190303154652668</v>
      </c>
      <c r="B6657" t="str">
        <f>"1551599212658766"</f>
        <v>1551599212658766</v>
      </c>
      <c r="C6657" t="s">
        <v>40</v>
      </c>
      <c r="D6657">
        <v>5.2549599999999996</v>
      </c>
      <c r="E6657">
        <v>0.49810320000000002</v>
      </c>
      <c r="F6657" t="s">
        <v>73</v>
      </c>
      <c r="G6657">
        <v>-215.11160000000001</v>
      </c>
      <c r="H6657" s="1">
        <v>-1.4999959999999999E-6</v>
      </c>
      <c r="I6657">
        <v>-61.654429999999998</v>
      </c>
      <c r="J6657">
        <v>-232.02379999999999</v>
      </c>
      <c r="K6657">
        <v>1.1206750000000001</v>
      </c>
      <c r="L6657">
        <v>-62.441769999999998</v>
      </c>
      <c r="M6657">
        <v>0.99988619999999995</v>
      </c>
      <c r="N6657">
        <v>-1.2073499999999999E-2</v>
      </c>
      <c r="O6657">
        <v>9.0662299999999998E-3</v>
      </c>
      <c r="P6657">
        <v>0.99637050000000005</v>
      </c>
      <c r="Q6657">
        <v>-7.4273749999999999E-2</v>
      </c>
      <c r="R6657">
        <v>4.159028E-2</v>
      </c>
      <c r="S6657">
        <v>2.9905089999999999</v>
      </c>
      <c r="T6657">
        <v>-0.1967767</v>
      </c>
      <c r="U6657">
        <v>0.1383972</v>
      </c>
      <c r="V6657">
        <v>-3.2588390000000002E-2</v>
      </c>
      <c r="W6657">
        <v>-6.221699E-2</v>
      </c>
      <c r="X6657">
        <v>0.99753049999999999</v>
      </c>
      <c r="Y6657">
        <v>-3.708852E-2</v>
      </c>
      <c r="Z6657">
        <v>9.5631470000000001E-4</v>
      </c>
      <c r="AA6657">
        <v>0.99931150000000002</v>
      </c>
      <c r="AB6657">
        <v>24</v>
      </c>
      <c r="AC6657">
        <v>16.912199999999899</v>
      </c>
      <c r="AD6657">
        <v>-1.1206764999959999</v>
      </c>
      <c r="AE6657">
        <v>0.78733999999999305</v>
      </c>
      <c r="AF6657">
        <v>-0.631201003975844</v>
      </c>
      <c r="AG6657">
        <v>-1.1206764999959999</v>
      </c>
      <c r="AH6657">
        <v>16.844838353008001</v>
      </c>
      <c r="AI6657">
        <v>93.803581561208901</v>
      </c>
      <c r="AJ6657">
        <v>92.145953579477094</v>
      </c>
      <c r="AK6657">
        <v>16.893871955949901</v>
      </c>
      <c r="AL6657">
        <v>93.567074701388293</v>
      </c>
      <c r="AM6657">
        <v>91.871134139498906</v>
      </c>
      <c r="AN6657">
        <v>1.0000000277188501</v>
      </c>
    </row>
    <row r="6658" spans="1:40" x14ac:dyDescent="0.25">
      <c r="A6658" t="str">
        <f>"20190303154652679"</f>
        <v>20190303154652679</v>
      </c>
      <c r="B6658" t="str">
        <f>"1551599212668527"</f>
        <v>1551599212668527</v>
      </c>
      <c r="C6658" t="s">
        <v>40</v>
      </c>
      <c r="D6658">
        <v>5.2385710000000003</v>
      </c>
      <c r="E6658">
        <v>0.49803059999999899</v>
      </c>
      <c r="F6658" t="s">
        <v>73</v>
      </c>
      <c r="G6658">
        <v>-215.065</v>
      </c>
      <c r="H6658" s="1">
        <v>-1.4782239999999999E-6</v>
      </c>
      <c r="I6658">
        <v>-61.647669999999998</v>
      </c>
      <c r="J6658">
        <v>-231.90649999999999</v>
      </c>
      <c r="K6658">
        <v>1.1206769999999999</v>
      </c>
      <c r="L6658">
        <v>-62.440860000000001</v>
      </c>
      <c r="M6658">
        <v>0.99988719999999998</v>
      </c>
      <c r="N6658">
        <v>-1.208564E-2</v>
      </c>
      <c r="O6658">
        <v>8.9179959999999992E-3</v>
      </c>
      <c r="P6658">
        <v>0.99635010000000002</v>
      </c>
      <c r="Q6658">
        <v>-7.4495030000000004E-2</v>
      </c>
      <c r="R6658">
        <v>4.1673880000000003E-2</v>
      </c>
      <c r="S6658">
        <v>2.9903719999999998</v>
      </c>
      <c r="T6658">
        <v>-0.1976106</v>
      </c>
      <c r="U6658">
        <v>0.14001459999999999</v>
      </c>
      <c r="V6658">
        <v>-3.2819599999999997E-2</v>
      </c>
      <c r="W6658">
        <v>-6.24264E-2</v>
      </c>
      <c r="X6658">
        <v>0.9975098</v>
      </c>
      <c r="Y6658">
        <v>-3.7775490000000002E-2</v>
      </c>
      <c r="Z6658">
        <v>9.9411659999999995E-4</v>
      </c>
      <c r="AA6658">
        <v>0.9992858</v>
      </c>
      <c r="AB6658">
        <v>24</v>
      </c>
      <c r="AC6658">
        <v>16.8414999999999</v>
      </c>
      <c r="AD6658">
        <v>-1.120678478224</v>
      </c>
      <c r="AE6658">
        <v>0.79319000000000195</v>
      </c>
      <c r="AF6658">
        <v>-0.64012689187136296</v>
      </c>
      <c r="AG6658">
        <v>-1.120678478224</v>
      </c>
      <c r="AH6658">
        <v>16.773795593434802</v>
      </c>
      <c r="AI6658">
        <v>93.819550813923101</v>
      </c>
      <c r="AJ6658">
        <v>92.185479118481297</v>
      </c>
      <c r="AK6658">
        <v>16.823373659869301</v>
      </c>
      <c r="AL6658">
        <v>93.579096509451503</v>
      </c>
      <c r="AM6658">
        <v>91.884439109331097</v>
      </c>
      <c r="AN6658">
        <v>0.99999999132857997</v>
      </c>
    </row>
    <row r="6659" spans="1:40" x14ac:dyDescent="0.25">
      <c r="A6659" t="str">
        <f>"20190303154652690"</f>
        <v>20190303154652690</v>
      </c>
      <c r="B6659" t="str">
        <f>"1551599212688046"</f>
        <v>1551599212688046</v>
      </c>
      <c r="C6659" t="s">
        <v>40</v>
      </c>
      <c r="D6659">
        <v>5.2761809999999896</v>
      </c>
      <c r="E6659">
        <v>0.49803540000000002</v>
      </c>
      <c r="F6659" t="s">
        <v>73</v>
      </c>
      <c r="G6659">
        <v>-215.05879999999999</v>
      </c>
      <c r="H6659" s="1">
        <v>-1.475395E-6</v>
      </c>
      <c r="I6659">
        <v>-61.647100000000002</v>
      </c>
      <c r="J6659">
        <v>-231.78030000000001</v>
      </c>
      <c r="K6659">
        <v>1.120682</v>
      </c>
      <c r="L6659">
        <v>-62.43994</v>
      </c>
      <c r="M6659">
        <v>0.99988840000000001</v>
      </c>
      <c r="N6659">
        <v>-1.210089E-2</v>
      </c>
      <c r="O6659">
        <v>8.7598539999999992E-3</v>
      </c>
      <c r="P6659">
        <v>0.9963284</v>
      </c>
      <c r="Q6659">
        <v>-7.4739929999999996E-2</v>
      </c>
      <c r="R6659">
        <v>4.176158E-2</v>
      </c>
      <c r="S6659">
        <v>2.9902190000000002</v>
      </c>
      <c r="T6659">
        <v>-0.1989032</v>
      </c>
      <c r="U6659">
        <v>0.1408691</v>
      </c>
      <c r="V6659">
        <v>-3.3065509999999999E-2</v>
      </c>
      <c r="W6659">
        <v>-6.2656370000000003E-2</v>
      </c>
      <c r="X6659">
        <v>0.99748720000000002</v>
      </c>
      <c r="Y6659">
        <v>-3.8218450000000001E-2</v>
      </c>
      <c r="Z6659">
        <v>1.024849E-3</v>
      </c>
      <c r="AA6659">
        <v>0.99926890000000002</v>
      </c>
      <c r="AB6659">
        <v>24</v>
      </c>
      <c r="AC6659">
        <v>16.721499999999999</v>
      </c>
      <c r="AD6659">
        <v>-1.1206834753949999</v>
      </c>
      <c r="AE6659">
        <v>0.79283999999999799</v>
      </c>
      <c r="AF6659">
        <v>-0.64343727398698203</v>
      </c>
      <c r="AG6659">
        <v>-1.1206834753949999</v>
      </c>
      <c r="AH6659">
        <v>16.653169931546302</v>
      </c>
      <c r="AI6659">
        <v>93.847081800231095</v>
      </c>
      <c r="AJ6659">
        <v>92.212666500658003</v>
      </c>
      <c r="AK6659">
        <v>16.703233571573499</v>
      </c>
      <c r="AL6659">
        <v>93.592298880460504</v>
      </c>
      <c r="AM6659">
        <v>91.898591483504802</v>
      </c>
      <c r="AN6659">
        <v>0.99999993140848598</v>
      </c>
    </row>
    <row r="6660" spans="1:40" x14ac:dyDescent="0.25">
      <c r="A6660" t="str">
        <f>"20190303154652703"</f>
        <v>20190303154652703</v>
      </c>
      <c r="B6660" t="str">
        <f>"1551599212698781"</f>
        <v>1551599212698781</v>
      </c>
      <c r="C6660" t="s">
        <v>40</v>
      </c>
      <c r="D6660">
        <v>5.2546330000000001</v>
      </c>
      <c r="E6660">
        <v>0.49796180000000001</v>
      </c>
      <c r="F6660" t="s">
        <v>73</v>
      </c>
      <c r="G6660">
        <v>-215.0677</v>
      </c>
      <c r="H6660" s="1">
        <v>-1.4803989999999901E-6</v>
      </c>
      <c r="I6660">
        <v>-61.651490000000003</v>
      </c>
      <c r="J6660">
        <v>-231.6508</v>
      </c>
      <c r="K6660">
        <v>1.120687</v>
      </c>
      <c r="L6660">
        <v>-62.438999999999901</v>
      </c>
      <c r="M6660">
        <v>0.99988969999999999</v>
      </c>
      <c r="N6660">
        <v>-1.211779E-2</v>
      </c>
      <c r="O6660">
        <v>8.5984259999999993E-3</v>
      </c>
      <c r="P6660">
        <v>0.99629860000000003</v>
      </c>
      <c r="Q6660">
        <v>-7.5001150000000003E-2</v>
      </c>
      <c r="R6660">
        <v>4.1998269999999997E-2</v>
      </c>
      <c r="S6660">
        <v>2.9900820000000001</v>
      </c>
      <c r="T6660">
        <v>-0.2005033</v>
      </c>
      <c r="U6660">
        <v>0.14105219999999999</v>
      </c>
      <c r="V6660">
        <v>-3.3463100000000003E-2</v>
      </c>
      <c r="W6660">
        <v>-6.2901029999999997E-2</v>
      </c>
      <c r="X6660">
        <v>0.99745859999999997</v>
      </c>
      <c r="Y6660">
        <v>-3.84409E-2</v>
      </c>
      <c r="Z6660">
        <v>1.0485189999999999E-3</v>
      </c>
      <c r="AA6660">
        <v>0.99926029999999999</v>
      </c>
      <c r="AB6660">
        <v>24</v>
      </c>
      <c r="AC6660">
        <v>16.583100000000002</v>
      </c>
      <c r="AD6660">
        <v>-1.120688480399</v>
      </c>
      <c r="AE6660">
        <v>0.78750999999999005</v>
      </c>
      <c r="AF6660">
        <v>-0.64195660021282497</v>
      </c>
      <c r="AG6660">
        <v>-1.120688480399</v>
      </c>
      <c r="AH6660">
        <v>16.5140076756424</v>
      </c>
      <c r="AI6660">
        <v>93.879384241267402</v>
      </c>
      <c r="AJ6660">
        <v>92.226164234051197</v>
      </c>
      <c r="AK6660">
        <v>16.564434806471098</v>
      </c>
      <c r="AL6660">
        <v>93.606344365600805</v>
      </c>
      <c r="AM6660">
        <v>91.921458779996897</v>
      </c>
      <c r="AN6660">
        <v>0.99999998867531503</v>
      </c>
    </row>
    <row r="6661" spans="1:40" x14ac:dyDescent="0.25">
      <c r="A6661" t="str">
        <f>"20190303154652714"</f>
        <v>20190303154652714</v>
      </c>
      <c r="B6661" t="str">
        <f>"1551599212708543"</f>
        <v>1551599212708543</v>
      </c>
      <c r="C6661" t="s">
        <v>40</v>
      </c>
      <c r="D6661">
        <v>5.2894350000000001</v>
      </c>
      <c r="E6661">
        <v>0.4979344</v>
      </c>
      <c r="F6661" t="s">
        <v>73</v>
      </c>
      <c r="G6661">
        <v>-215.0667</v>
      </c>
      <c r="H6661" s="1">
        <v>-1.479424E-6</v>
      </c>
      <c r="I6661">
        <v>-61.649459999999998</v>
      </c>
      <c r="J6661">
        <v>-231.52099999999999</v>
      </c>
      <c r="K6661">
        <v>1.120692</v>
      </c>
      <c r="L6661">
        <v>-62.438079999999999</v>
      </c>
      <c r="M6661">
        <v>0.99989070000000002</v>
      </c>
      <c r="N6661">
        <v>-1.213998E-2</v>
      </c>
      <c r="O6661">
        <v>8.4398830000000005E-3</v>
      </c>
      <c r="P6661">
        <v>0.99630640000000004</v>
      </c>
      <c r="Q6661">
        <v>-7.5000960000000005E-2</v>
      </c>
      <c r="R6661">
        <v>4.1814900000000002E-2</v>
      </c>
      <c r="S6661">
        <v>2.9899290000000001</v>
      </c>
      <c r="T6661">
        <v>-0.20204759999999999</v>
      </c>
      <c r="U6661">
        <v>0.14233399999999999</v>
      </c>
      <c r="V6661">
        <v>-3.3437460000000002E-2</v>
      </c>
      <c r="W6661">
        <v>-6.2878809999999993E-2</v>
      </c>
      <c r="X6661">
        <v>0.99746080000000004</v>
      </c>
      <c r="Y6661">
        <v>-3.9026079999999998E-2</v>
      </c>
      <c r="Z6661">
        <v>1.0867050000000001E-3</v>
      </c>
      <c r="AA6661">
        <v>0.99923759999999995</v>
      </c>
      <c r="AB6661">
        <v>24</v>
      </c>
      <c r="AC6661">
        <v>16.4542999999999</v>
      </c>
      <c r="AD6661">
        <v>-1.120693479424</v>
      </c>
      <c r="AE6661">
        <v>0.78862000000000798</v>
      </c>
      <c r="AF6661">
        <v>-0.64671613326135502</v>
      </c>
      <c r="AG6661">
        <v>-1.120693479424</v>
      </c>
      <c r="AH6661">
        <v>16.384538204109202</v>
      </c>
      <c r="AI6661">
        <v>93.909870424877298</v>
      </c>
      <c r="AJ6661">
        <v>92.260355429564797</v>
      </c>
      <c r="AK6661">
        <v>16.435549512984299</v>
      </c>
      <c r="AL6661">
        <v>93.605068947203605</v>
      </c>
      <c r="AM6661">
        <v>91.919983396165307</v>
      </c>
      <c r="AN6661">
        <v>0.99999992800745097</v>
      </c>
    </row>
    <row r="6662" spans="1:40" x14ac:dyDescent="0.25">
      <c r="A6662" t="str">
        <f>"20190303154652726"</f>
        <v>20190303154652726</v>
      </c>
      <c r="B6662" t="str">
        <f>"1551599212718301"</f>
        <v>1551599212718301</v>
      </c>
      <c r="C6662" t="s">
        <v>40</v>
      </c>
      <c r="D6662">
        <v>5.2699420000000003</v>
      </c>
      <c r="E6662">
        <v>0.49785750000000001</v>
      </c>
      <c r="F6662" t="s">
        <v>73</v>
      </c>
      <c r="G6662">
        <v>-214.98349999999999</v>
      </c>
      <c r="H6662" s="1">
        <v>-1.4444659999999901E-6</v>
      </c>
      <c r="I6662">
        <v>-61.652270000000001</v>
      </c>
      <c r="J6662">
        <v>-231.39879999999999</v>
      </c>
      <c r="K6662">
        <v>1.120695</v>
      </c>
      <c r="L6662">
        <v>-62.43723</v>
      </c>
      <c r="M6662">
        <v>0.9998918</v>
      </c>
      <c r="N6662">
        <v>-1.2163820000000001E-2</v>
      </c>
      <c r="O6662">
        <v>8.2918139999999998E-3</v>
      </c>
      <c r="P6662">
        <v>0.99631599999999998</v>
      </c>
      <c r="Q6662">
        <v>-7.4876310000000001E-2</v>
      </c>
      <c r="R6662">
        <v>4.1812269999999999E-2</v>
      </c>
      <c r="S6662">
        <v>2.9898989999999999</v>
      </c>
      <c r="T6662">
        <v>-0.2026153</v>
      </c>
      <c r="U6662">
        <v>0.142059299999999</v>
      </c>
      <c r="V6662">
        <v>-3.3581899999999998E-2</v>
      </c>
      <c r="W6662">
        <v>-6.2730359999999999E-2</v>
      </c>
      <c r="X6662">
        <v>0.99746539999999995</v>
      </c>
      <c r="Y6662">
        <v>-3.9082060000000002E-2</v>
      </c>
      <c r="Z6662">
        <v>1.099928E-3</v>
      </c>
      <c r="AA6662">
        <v>0.9992354</v>
      </c>
      <c r="AB6662">
        <v>24</v>
      </c>
      <c r="AC6662">
        <v>16.415299999999998</v>
      </c>
      <c r="AD6662">
        <v>-1.1206964444659999</v>
      </c>
      <c r="AE6662">
        <v>0.78496000000001198</v>
      </c>
      <c r="AF6662">
        <v>-0.64580711365340804</v>
      </c>
      <c r="AG6662">
        <v>-1.1206964444659999</v>
      </c>
      <c r="AH6662">
        <v>16.345233629538502</v>
      </c>
      <c r="AI6662">
        <v>93.919247313851699</v>
      </c>
      <c r="AJ6662">
        <v>92.262603677070203</v>
      </c>
      <c r="AK6662">
        <v>16.396331594380499</v>
      </c>
      <c r="AL6662">
        <v>93.596546184998004</v>
      </c>
      <c r="AM6662">
        <v>91.928262026602098</v>
      </c>
      <c r="AN6662">
        <v>1.0000000331352401</v>
      </c>
    </row>
    <row r="6663" spans="1:40" x14ac:dyDescent="0.25">
      <c r="A6663" t="str">
        <f>"20190303154652736"</f>
        <v>20190303154652736</v>
      </c>
      <c r="B6663" t="str">
        <f>"1551599212728061"</f>
        <v>1551599212728061</v>
      </c>
      <c r="C6663" t="s">
        <v>40</v>
      </c>
      <c r="D6663">
        <v>5.2571309999999896</v>
      </c>
      <c r="E6663">
        <v>0.49785629999999997</v>
      </c>
      <c r="F6663" t="s">
        <v>73</v>
      </c>
      <c r="G6663">
        <v>-214.92</v>
      </c>
      <c r="H6663" s="1">
        <v>-1.4169369999999999E-6</v>
      </c>
      <c r="I6663">
        <v>-61.651159999999997</v>
      </c>
      <c r="J6663">
        <v>-231.2748</v>
      </c>
      <c r="K6663">
        <v>1.1207020000000001</v>
      </c>
      <c r="L6663">
        <v>-62.436369999999997</v>
      </c>
      <c r="M6663">
        <v>0.99989260000000002</v>
      </c>
      <c r="N6663">
        <v>-1.219199E-2</v>
      </c>
      <c r="O6663">
        <v>8.1432989999999997E-3</v>
      </c>
      <c r="P6663">
        <v>0.99629959999999995</v>
      </c>
      <c r="Q6663">
        <v>-7.5189220000000001E-2</v>
      </c>
      <c r="R6663">
        <v>4.164023E-2</v>
      </c>
      <c r="S6663">
        <v>2.9898069999999999</v>
      </c>
      <c r="T6663">
        <v>-0.20333209999999999</v>
      </c>
      <c r="U6663">
        <v>0.1426086</v>
      </c>
      <c r="V6663">
        <v>-3.3557990000000003E-2</v>
      </c>
      <c r="W6663">
        <v>-6.301553E-2</v>
      </c>
      <c r="X6663">
        <v>0.99744820000000001</v>
      </c>
      <c r="Y6663">
        <v>-3.9413330000000003E-2</v>
      </c>
      <c r="Z6663">
        <v>1.1249630000000001E-3</v>
      </c>
      <c r="AA6663">
        <v>0.99922230000000001</v>
      </c>
      <c r="AB6663">
        <v>24</v>
      </c>
      <c r="AC6663">
        <v>16.354800000000001</v>
      </c>
      <c r="AD6663">
        <v>-1.120703416937</v>
      </c>
      <c r="AE6663">
        <v>0.78520999999999896</v>
      </c>
      <c r="AF6663">
        <v>-0.64895183690860603</v>
      </c>
      <c r="AG6663">
        <v>-1.120703416937</v>
      </c>
      <c r="AH6663">
        <v>16.2843633393978</v>
      </c>
      <c r="AI6663">
        <v>93.933822839589695</v>
      </c>
      <c r="AJ6663">
        <v>92.282099462770503</v>
      </c>
      <c r="AK6663">
        <v>16.335776810573901</v>
      </c>
      <c r="AL6663">
        <v>93.612917718673998</v>
      </c>
      <c r="AM6663">
        <v>91.926923359570097</v>
      </c>
      <c r="AN6663">
        <v>1.0000000036986301</v>
      </c>
    </row>
    <row r="6664" spans="1:40" x14ac:dyDescent="0.25">
      <c r="A6664" t="str">
        <f>"20190303154652748"</f>
        <v>20190303154652748</v>
      </c>
      <c r="B6664" t="str">
        <f>"1551599212737822"</f>
        <v>1551599212737822</v>
      </c>
      <c r="C6664" t="s">
        <v>40</v>
      </c>
      <c r="D6664">
        <v>5.2569359999999996</v>
      </c>
      <c r="E6664">
        <v>0.4977781</v>
      </c>
      <c r="F6664" t="s">
        <v>73</v>
      </c>
      <c r="G6664">
        <v>-214.85079999999999</v>
      </c>
      <c r="H6664" s="1">
        <v>-1.388458E-6</v>
      </c>
      <c r="I6664">
        <v>-61.6556</v>
      </c>
      <c r="J6664">
        <v>-231.15889999999999</v>
      </c>
      <c r="K6664">
        <v>1.120711</v>
      </c>
      <c r="L6664">
        <v>-62.435609999999997</v>
      </c>
      <c r="M6664">
        <v>0.99989329999999998</v>
      </c>
      <c r="N6664">
        <v>-1.22221E-2</v>
      </c>
      <c r="O6664">
        <v>8.003072E-3</v>
      </c>
      <c r="P6664">
        <v>0.99628939999999999</v>
      </c>
      <c r="Q6664">
        <v>-7.5471250000000004E-2</v>
      </c>
      <c r="R6664">
        <v>4.1371930000000001E-2</v>
      </c>
      <c r="S6664">
        <v>2.9898069999999999</v>
      </c>
      <c r="T6664">
        <v>-0.20401230000000001</v>
      </c>
      <c r="U6664">
        <v>0.14212040000000001</v>
      </c>
      <c r="V6664">
        <v>-3.3429029999999998E-2</v>
      </c>
      <c r="W6664">
        <v>-6.3267909999999997E-2</v>
      </c>
      <c r="X6664">
        <v>0.99743649999999995</v>
      </c>
      <c r="Y6664">
        <v>-3.938987E-2</v>
      </c>
      <c r="Z6664">
        <v>1.1353229999999999E-3</v>
      </c>
      <c r="AA6664">
        <v>0.99922330000000004</v>
      </c>
      <c r="AB6664">
        <v>24</v>
      </c>
      <c r="AC6664">
        <v>16.3080999999999</v>
      </c>
      <c r="AD6664">
        <v>-1.1207123884579999</v>
      </c>
      <c r="AE6664">
        <v>0.78000999999999698</v>
      </c>
      <c r="AF6664">
        <v>-0.64641457840424099</v>
      </c>
      <c r="AG6664">
        <v>-1.1207123884579999</v>
      </c>
      <c r="AH6664">
        <v>16.2373132047322</v>
      </c>
      <c r="AI6664">
        <v>93.945223619248395</v>
      </c>
      <c r="AJ6664">
        <v>92.279766305997299</v>
      </c>
      <c r="AK6664">
        <v>16.2887749132151</v>
      </c>
      <c r="AL6664">
        <v>93.627407134729197</v>
      </c>
      <c r="AM6664">
        <v>91.919546435333103</v>
      </c>
      <c r="AN6664">
        <v>0.99999995000737796</v>
      </c>
    </row>
    <row r="6665" spans="1:40" x14ac:dyDescent="0.25">
      <c r="A6665" t="str">
        <f>"20190303154652759"</f>
        <v>20190303154652759</v>
      </c>
      <c r="B6665" t="str">
        <f>"1551599212748558"</f>
        <v>1551599212748558</v>
      </c>
      <c r="C6665" t="s">
        <v>40</v>
      </c>
      <c r="D6665">
        <v>5.2670870000000001</v>
      </c>
      <c r="E6665">
        <v>0.49776749999999997</v>
      </c>
      <c r="F6665" t="s">
        <v>73</v>
      </c>
      <c r="G6665">
        <v>-214.82839999999999</v>
      </c>
      <c r="H6665" s="1">
        <v>-1.3801130000000001E-6</v>
      </c>
      <c r="I6665">
        <v>-61.660429999999998</v>
      </c>
      <c r="J6665">
        <v>-231.04050000000001</v>
      </c>
      <c r="K6665">
        <v>1.1207199999999999</v>
      </c>
      <c r="L6665">
        <v>-62.434809999999999</v>
      </c>
      <c r="M6665">
        <v>0.99989410000000001</v>
      </c>
      <c r="N6665">
        <v>-1.2254920000000001E-2</v>
      </c>
      <c r="O6665">
        <v>7.8588419999999996E-3</v>
      </c>
      <c r="P6665">
        <v>0.99629809999999996</v>
      </c>
      <c r="Q6665">
        <v>-7.5435879999999997E-2</v>
      </c>
      <c r="R6665">
        <v>4.1227420000000001E-2</v>
      </c>
      <c r="S6665">
        <v>2.9897309999999999</v>
      </c>
      <c r="T6665">
        <v>-0.2051762</v>
      </c>
      <c r="U6665">
        <v>0.1419067</v>
      </c>
      <c r="V6665">
        <v>-3.3428230000000003E-2</v>
      </c>
      <c r="W6665">
        <v>-6.3199980000000003E-2</v>
      </c>
      <c r="X6665">
        <v>0.99744089999999996</v>
      </c>
      <c r="Y6665">
        <v>-3.9462509999999999E-2</v>
      </c>
      <c r="Z6665">
        <v>1.1518399999999999E-3</v>
      </c>
      <c r="AA6665">
        <v>0.99922040000000001</v>
      </c>
      <c r="AB6665">
        <v>24</v>
      </c>
      <c r="AC6665">
        <v>16.2121</v>
      </c>
      <c r="AD6665">
        <v>-1.120721380113</v>
      </c>
      <c r="AE6665">
        <v>0.77437999999999296</v>
      </c>
      <c r="AF6665">
        <v>-0.64386829293626102</v>
      </c>
      <c r="AG6665">
        <v>-1.120721380113</v>
      </c>
      <c r="AH6665">
        <v>16.140728104240601</v>
      </c>
      <c r="AI6665">
        <v>93.968775444298302</v>
      </c>
      <c r="AJ6665">
        <v>92.284369464602406</v>
      </c>
      <c r="AK6665">
        <v>16.192395947651299</v>
      </c>
      <c r="AL6665">
        <v>93.6235069861645</v>
      </c>
      <c r="AM6665">
        <v>91.919492071327397</v>
      </c>
      <c r="AN6665">
        <v>1.00000001651287</v>
      </c>
    </row>
    <row r="6666" spans="1:40" x14ac:dyDescent="0.25">
      <c r="A6666" t="str">
        <f>"20190303154652769"</f>
        <v>20190303154652769</v>
      </c>
      <c r="B6666" t="str">
        <f>"1551599212758318"</f>
        <v>1551599212758318</v>
      </c>
      <c r="C6666" t="s">
        <v>40</v>
      </c>
      <c r="D6666">
        <v>5.2719990000000001</v>
      </c>
      <c r="E6666">
        <v>0.4977972</v>
      </c>
      <c r="F6666" t="s">
        <v>73</v>
      </c>
      <c r="G6666">
        <v>-214.68600000000001</v>
      </c>
      <c r="H6666" s="1">
        <v>-1.318969E-6</v>
      </c>
      <c r="I6666">
        <v>-61.660179999999997</v>
      </c>
      <c r="J6666">
        <v>-230.93690000000001</v>
      </c>
      <c r="K6666">
        <v>1.120727</v>
      </c>
      <c r="L6666">
        <v>-62.434139999999999</v>
      </c>
      <c r="M6666">
        <v>0.99989470000000003</v>
      </c>
      <c r="N6666">
        <v>-1.22869E-2</v>
      </c>
      <c r="O6666">
        <v>7.7304119999999999E-3</v>
      </c>
      <c r="P6666">
        <v>0.99630450000000004</v>
      </c>
      <c r="Q6666">
        <v>-7.5639429999999994E-2</v>
      </c>
      <c r="R6666">
        <v>4.0692800000000001E-2</v>
      </c>
      <c r="S6666">
        <v>2.989792</v>
      </c>
      <c r="T6666">
        <v>-0.20488129999999999</v>
      </c>
      <c r="U6666">
        <v>0.14160159999999999</v>
      </c>
      <c r="V6666">
        <v>-3.3021210000000002E-2</v>
      </c>
      <c r="W6666">
        <v>-6.3372059999999994E-2</v>
      </c>
      <c r="X6666">
        <v>0.99744350000000004</v>
      </c>
      <c r="Y6666">
        <v>-3.9488049999999997E-2</v>
      </c>
      <c r="Z6666">
        <v>1.1597809999999999E-3</v>
      </c>
      <c r="AA6666">
        <v>0.99921939999999998</v>
      </c>
      <c r="AB6666">
        <v>24</v>
      </c>
      <c r="AC6666">
        <v>16.250900000000001</v>
      </c>
      <c r="AD6666">
        <v>-1.120728318969</v>
      </c>
      <c r="AE6666">
        <v>0.77395999999999499</v>
      </c>
      <c r="AF6666">
        <v>-0.64523940096300703</v>
      </c>
      <c r="AG6666">
        <v>-1.120728318969</v>
      </c>
      <c r="AH6666">
        <v>16.1796209870692</v>
      </c>
      <c r="AI6666">
        <v>93.959291791216998</v>
      </c>
      <c r="AJ6666">
        <v>92.2837317671422</v>
      </c>
      <c r="AK6666">
        <v>16.231219952138702</v>
      </c>
      <c r="AL6666">
        <v>93.633386391191095</v>
      </c>
      <c r="AM6666">
        <v>91.896132684818497</v>
      </c>
      <c r="AN6666">
        <v>0.99999997699537801</v>
      </c>
    </row>
    <row r="6667" spans="1:40" x14ac:dyDescent="0.25">
      <c r="A6667" t="str">
        <f>"20190303154652779"</f>
        <v>20190303154652779</v>
      </c>
      <c r="B6667" t="str">
        <f>"1551599212768079"</f>
        <v>1551599212768079</v>
      </c>
      <c r="C6667" t="s">
        <v>40</v>
      </c>
      <c r="D6667">
        <v>5.2695939999999997</v>
      </c>
      <c r="E6667">
        <v>0.4978243</v>
      </c>
      <c r="F6667" t="s">
        <v>73</v>
      </c>
      <c r="G6667">
        <v>-214.5797</v>
      </c>
      <c r="H6667" s="1">
        <v>-1.2758510000000001E-6</v>
      </c>
      <c r="I6667">
        <v>-61.669580000000003</v>
      </c>
      <c r="J6667">
        <v>-230.81620000000001</v>
      </c>
      <c r="K6667">
        <v>1.120736</v>
      </c>
      <c r="L6667">
        <v>-62.433410000000002</v>
      </c>
      <c r="M6667">
        <v>0.99989539999999999</v>
      </c>
      <c r="N6667">
        <v>-1.23252E-2</v>
      </c>
      <c r="O6667">
        <v>7.5802530000000003E-3</v>
      </c>
      <c r="P6667">
        <v>0.99630339999999995</v>
      </c>
      <c r="Q6667">
        <v>-7.5898419999999994E-2</v>
      </c>
      <c r="R6667">
        <v>4.0238879999999998E-2</v>
      </c>
      <c r="S6667">
        <v>2.989868</v>
      </c>
      <c r="T6667">
        <v>-0.20485329999999999</v>
      </c>
      <c r="U6667">
        <v>0.13974</v>
      </c>
      <c r="V6667">
        <v>-3.2716830000000002E-2</v>
      </c>
      <c r="W6667">
        <v>-6.3593339999999998E-2</v>
      </c>
      <c r="X6667">
        <v>0.99743939999999998</v>
      </c>
      <c r="Y6667">
        <v>-3.9017139999999999E-2</v>
      </c>
      <c r="Z6667">
        <v>1.1501199999999999E-3</v>
      </c>
      <c r="AA6667">
        <v>0.99923790000000001</v>
      </c>
      <c r="AB6667">
        <v>24</v>
      </c>
      <c r="AC6667">
        <v>16.236499999999999</v>
      </c>
      <c r="AD6667">
        <v>-1.1207372758509999</v>
      </c>
      <c r="AE6667">
        <v>0.76382999999999102</v>
      </c>
      <c r="AF6667">
        <v>-0.63769033090441896</v>
      </c>
      <c r="AG6667">
        <v>-1.1207372758509999</v>
      </c>
      <c r="AH6667">
        <v>16.1649749940132</v>
      </c>
      <c r="AI6667">
        <v>93.962966589593506</v>
      </c>
      <c r="AJ6667">
        <v>92.259083553440902</v>
      </c>
      <c r="AK6667">
        <v>16.2163225657571</v>
      </c>
      <c r="AL6667">
        <v>93.646090597026799</v>
      </c>
      <c r="AM6667">
        <v>91.878674979533102</v>
      </c>
      <c r="AN6667">
        <v>0.99999993026497902</v>
      </c>
    </row>
    <row r="6668" spans="1:40" x14ac:dyDescent="0.25">
      <c r="A6668" t="str">
        <f>"20190303154652792"</f>
        <v>20190303154652792</v>
      </c>
      <c r="B6668" t="str">
        <f>"1551599212788573"</f>
        <v>1551599212788573</v>
      </c>
      <c r="C6668" t="s">
        <v>40</v>
      </c>
      <c r="D6668">
        <v>5.2523970000000002</v>
      </c>
      <c r="E6668">
        <v>0.49787399999999998</v>
      </c>
      <c r="F6668" t="s">
        <v>73</v>
      </c>
      <c r="G6668">
        <v>-214.52619999999999</v>
      </c>
      <c r="H6668" s="1">
        <v>-1.255835E-6</v>
      </c>
      <c r="I6668">
        <v>-61.680639999999997</v>
      </c>
      <c r="J6668">
        <v>-230.68440000000001</v>
      </c>
      <c r="K6668">
        <v>1.1207450000000001</v>
      </c>
      <c r="L6668">
        <v>-62.432589999999998</v>
      </c>
      <c r="M6668">
        <v>0.99989609999999995</v>
      </c>
      <c r="N6668">
        <v>-1.236918E-2</v>
      </c>
      <c r="O6668">
        <v>7.4149059999999998E-3</v>
      </c>
      <c r="P6668">
        <v>0.9962896</v>
      </c>
      <c r="Q6668">
        <v>-7.6321689999999998E-2</v>
      </c>
      <c r="R6668">
        <v>3.9782119999999997E-2</v>
      </c>
      <c r="S6668">
        <v>2.9898989999999999</v>
      </c>
      <c r="T6668">
        <v>-0.20570140000000001</v>
      </c>
      <c r="U6668">
        <v>0.1381531</v>
      </c>
      <c r="V6668">
        <v>-3.2424960000000003E-2</v>
      </c>
      <c r="W6668">
        <v>-6.397332E-2</v>
      </c>
      <c r="X6668">
        <v>0.99742470000000005</v>
      </c>
      <c r="Y6668">
        <v>-3.8652659999999998E-2</v>
      </c>
      <c r="Z6668">
        <v>1.149221E-3</v>
      </c>
      <c r="AA6668">
        <v>0.99925200000000003</v>
      </c>
      <c r="AB6668">
        <v>24</v>
      </c>
      <c r="AC6668">
        <v>16.158200000000001</v>
      </c>
      <c r="AD6668">
        <v>-1.1207462558349901</v>
      </c>
      <c r="AE6668">
        <v>0.75195000000000001</v>
      </c>
      <c r="AF6668">
        <v>-0.62908867730626705</v>
      </c>
      <c r="AG6668">
        <v>-1.1207462558349901</v>
      </c>
      <c r="AH6668">
        <v>16.086109954790899</v>
      </c>
      <c r="AI6668">
        <v>93.9824183244652</v>
      </c>
      <c r="AJ6668">
        <v>92.239557467506899</v>
      </c>
      <c r="AK6668">
        <v>16.137371477768799</v>
      </c>
      <c r="AL6668">
        <v>93.667906022154298</v>
      </c>
      <c r="AM6668">
        <v>91.861954410198706</v>
      </c>
      <c r="AN6668">
        <v>0.999999997936457</v>
      </c>
    </row>
    <row r="6669" spans="1:40" x14ac:dyDescent="0.25">
      <c r="A6669" t="str">
        <f>"20190303154652803"</f>
        <v>20190303154652803</v>
      </c>
      <c r="B6669" t="str">
        <f>"1551599212798334"</f>
        <v>1551599212798334</v>
      </c>
      <c r="C6669" t="s">
        <v>40</v>
      </c>
      <c r="D6669">
        <v>5.2253259999999999</v>
      </c>
      <c r="E6669">
        <v>0.49784060000000002</v>
      </c>
      <c r="F6669" t="s">
        <v>73</v>
      </c>
      <c r="G6669">
        <v>-214.48910000000001</v>
      </c>
      <c r="H6669" s="1">
        <v>-1.2434240000000001E-6</v>
      </c>
      <c r="I6669">
        <v>-61.69379</v>
      </c>
      <c r="J6669">
        <v>-230.56379999999999</v>
      </c>
      <c r="K6669">
        <v>1.1207510000000001</v>
      </c>
      <c r="L6669">
        <v>-62.431849999999997</v>
      </c>
      <c r="M6669">
        <v>0.99989660000000002</v>
      </c>
      <c r="N6669">
        <v>-1.240956E-2</v>
      </c>
      <c r="O6669">
        <v>7.2638169999999997E-3</v>
      </c>
      <c r="P6669">
        <v>0.99628879999999997</v>
      </c>
      <c r="Q6669">
        <v>-7.6685030000000001E-2</v>
      </c>
      <c r="R6669">
        <v>3.9091239999999999E-2</v>
      </c>
      <c r="S6669">
        <v>2.9898989999999999</v>
      </c>
      <c r="T6669">
        <v>-0.2069067</v>
      </c>
      <c r="U6669">
        <v>0.13638310000000001</v>
      </c>
      <c r="V6669">
        <v>-3.188448E-2</v>
      </c>
      <c r="W6669">
        <v>-6.4296889999999995E-2</v>
      </c>
      <c r="X6669">
        <v>0.99742129999999996</v>
      </c>
      <c r="Y6669">
        <v>-3.8213249999999997E-2</v>
      </c>
      <c r="Z6669">
        <v>1.1457500000000001E-3</v>
      </c>
      <c r="AA6669">
        <v>0.99926890000000002</v>
      </c>
      <c r="AB6669">
        <v>24</v>
      </c>
      <c r="AC6669">
        <v>16.074699999999901</v>
      </c>
      <c r="AD6669">
        <v>-1.120752243424</v>
      </c>
      <c r="AE6669">
        <v>0.73805999999999705</v>
      </c>
      <c r="AF6669">
        <v>-0.61826871704090502</v>
      </c>
      <c r="AG6669">
        <v>-1.120752243424</v>
      </c>
      <c r="AH6669">
        <v>16.002013843358</v>
      </c>
      <c r="AI6669">
        <v>94.003373646890395</v>
      </c>
      <c r="AJ6669">
        <v>92.212632546510505</v>
      </c>
      <c r="AK6669">
        <v>16.0531239589256</v>
      </c>
      <c r="AL6669">
        <v>93.686483530969994</v>
      </c>
      <c r="AM6669">
        <v>91.830945702248201</v>
      </c>
      <c r="AN6669">
        <v>0.999999979911116</v>
      </c>
    </row>
    <row r="6670" spans="1:40" x14ac:dyDescent="0.25">
      <c r="A6670" t="str">
        <f>"20190303154652816"</f>
        <v>20190303154652816</v>
      </c>
      <c r="B6670" t="str">
        <f>"1551599212808094"</f>
        <v>1551599212808094</v>
      </c>
      <c r="C6670" t="s">
        <v>40</v>
      </c>
      <c r="D6670">
        <v>5.2335859999999998</v>
      </c>
      <c r="E6670">
        <v>0.49779459999999998</v>
      </c>
      <c r="F6670" t="s">
        <v>73</v>
      </c>
      <c r="G6670">
        <v>-214.4933</v>
      </c>
      <c r="H6670" s="1">
        <v>-1.249098E-6</v>
      </c>
      <c r="I6670">
        <v>-61.708240000000004</v>
      </c>
      <c r="J6670">
        <v>-230.42150000000001</v>
      </c>
      <c r="K6670">
        <v>1.1207530000000001</v>
      </c>
      <c r="L6670">
        <v>-62.430999999999997</v>
      </c>
      <c r="M6670">
        <v>0.99989740000000005</v>
      </c>
      <c r="N6670">
        <v>-1.2456689999999999E-2</v>
      </c>
      <c r="O6670">
        <v>7.0866740000000003E-3</v>
      </c>
      <c r="P6670">
        <v>0.99628070000000002</v>
      </c>
      <c r="Q6670">
        <v>-7.7102450000000003E-2</v>
      </c>
      <c r="R6670">
        <v>3.8471089999999999E-2</v>
      </c>
      <c r="S6670">
        <v>2.9898220000000002</v>
      </c>
      <c r="T6670">
        <v>-0.20851030000000001</v>
      </c>
      <c r="U6670">
        <v>0.13461300000000001</v>
      </c>
      <c r="V6670">
        <v>-3.144044E-2</v>
      </c>
      <c r="W6670">
        <v>-6.4667740000000001E-2</v>
      </c>
      <c r="X6670">
        <v>0.99741139999999995</v>
      </c>
      <c r="Y6670">
        <v>-3.7800540000000001E-2</v>
      </c>
      <c r="Z6670">
        <v>1.1465399999999999E-3</v>
      </c>
      <c r="AA6670">
        <v>0.99928459999999997</v>
      </c>
      <c r="AB6670">
        <v>24</v>
      </c>
      <c r="AC6670">
        <v>15.9282</v>
      </c>
      <c r="AD6670">
        <v>-1.120754249098</v>
      </c>
      <c r="AE6670">
        <v>0.72276000000000096</v>
      </c>
      <c r="AF6670">
        <v>-0.60685680385732599</v>
      </c>
      <c r="AG6670">
        <v>-1.120754249098</v>
      </c>
      <c r="AH6670">
        <v>15.854588551571201</v>
      </c>
      <c r="AI6670">
        <v>94.040539599493201</v>
      </c>
      <c r="AJ6670">
        <v>92.192006934927505</v>
      </c>
      <c r="AK6670">
        <v>15.905733035823101</v>
      </c>
      <c r="AL6670">
        <v>93.707776060461697</v>
      </c>
      <c r="AM6670">
        <v>91.805481895407993</v>
      </c>
      <c r="AN6670">
        <v>0.99999995935702901</v>
      </c>
    </row>
    <row r="6671" spans="1:40" x14ac:dyDescent="0.25">
      <c r="A6671" t="str">
        <f>"20190303154652831"</f>
        <v>20190303154652831</v>
      </c>
      <c r="B6671" t="str">
        <f>"1551599212818830"</f>
        <v>1551599212818830</v>
      </c>
      <c r="C6671" t="s">
        <v>40</v>
      </c>
      <c r="D6671">
        <v>5.1812670000000001</v>
      </c>
      <c r="E6671">
        <v>0.49773030000000001</v>
      </c>
      <c r="F6671" t="s">
        <v>73</v>
      </c>
      <c r="G6671">
        <v>-214.46369999999999</v>
      </c>
      <c r="H6671" s="1">
        <v>-1.2397289999999999E-6</v>
      </c>
      <c r="I6671">
        <v>-61.720759999999999</v>
      </c>
      <c r="J6671">
        <v>-230.267</v>
      </c>
      <c r="K6671">
        <v>1.1207549999999999</v>
      </c>
      <c r="L6671">
        <v>-62.430109999999999</v>
      </c>
      <c r="M6671">
        <v>0.99989810000000001</v>
      </c>
      <c r="N6671">
        <v>-1.250594E-2</v>
      </c>
      <c r="O6671">
        <v>6.8956679999999998E-3</v>
      </c>
      <c r="P6671">
        <v>0.99629999999999996</v>
      </c>
      <c r="Q6671">
        <v>-7.7112109999999998E-2</v>
      </c>
      <c r="R6671">
        <v>3.7950999999999999E-2</v>
      </c>
      <c r="S6671">
        <v>2.9898220000000002</v>
      </c>
      <c r="T6671">
        <v>-0.209982</v>
      </c>
      <c r="U6671">
        <v>0.1330566</v>
      </c>
      <c r="V6671">
        <v>-3.1111409999999999E-2</v>
      </c>
      <c r="W6671">
        <v>-6.4628199999999997E-2</v>
      </c>
      <c r="X6671">
        <v>0.99742430000000004</v>
      </c>
      <c r="Y6671">
        <v>-3.7471610000000002E-2</v>
      </c>
      <c r="Z6671">
        <v>1.151036E-3</v>
      </c>
      <c r="AA6671">
        <v>0.99929699999999999</v>
      </c>
      <c r="AB6671">
        <v>24</v>
      </c>
      <c r="AC6671">
        <v>15.8033</v>
      </c>
      <c r="AD6671">
        <v>-1.1207562397289901</v>
      </c>
      <c r="AE6671">
        <v>0.70935000000000004</v>
      </c>
      <c r="AF6671">
        <v>-0.59735195400015095</v>
      </c>
      <c r="AG6671">
        <v>-1.1207562397289901</v>
      </c>
      <c r="AH6671">
        <v>15.7288664124234</v>
      </c>
      <c r="AI6671">
        <v>94.072781032472903</v>
      </c>
      <c r="AJ6671">
        <v>92.174937735192898</v>
      </c>
      <c r="AK6671">
        <v>15.7800558467231</v>
      </c>
      <c r="AL6671">
        <v>93.705505762796193</v>
      </c>
      <c r="AM6671">
        <v>91.786576412993099</v>
      </c>
      <c r="AN6671">
        <v>0.999999979148958</v>
      </c>
    </row>
    <row r="6672" spans="1:40" x14ac:dyDescent="0.25">
      <c r="A6672" t="str">
        <f>"20190303154652844"</f>
        <v>20190303154652844</v>
      </c>
      <c r="B6672" t="str">
        <f>"1551599212838350"</f>
        <v>1551599212838350</v>
      </c>
      <c r="C6672" t="s">
        <v>40</v>
      </c>
      <c r="D6672">
        <v>5.1969260000000004</v>
      </c>
      <c r="E6672">
        <v>0.51263519999999996</v>
      </c>
      <c r="F6672" t="s">
        <v>73</v>
      </c>
      <c r="G6672">
        <v>-214.34030000000001</v>
      </c>
      <c r="H6672" s="1">
        <v>-1.188325E-6</v>
      </c>
      <c r="I6672">
        <v>-61.72663</v>
      </c>
      <c r="J6672">
        <v>-230.12809999999999</v>
      </c>
      <c r="K6672">
        <v>1.1207579999999999</v>
      </c>
      <c r="L6672">
        <v>-62.429349999999999</v>
      </c>
      <c r="M6672">
        <v>0.99989879999999998</v>
      </c>
      <c r="N6672">
        <v>-1.254861E-2</v>
      </c>
      <c r="O6672">
        <v>6.7250189999999996E-3</v>
      </c>
      <c r="P6672">
        <v>0.99627920000000003</v>
      </c>
      <c r="Q6672">
        <v>-7.7624369999999998E-2</v>
      </c>
      <c r="R6672">
        <v>3.7445300000000001E-2</v>
      </c>
      <c r="S6672">
        <v>2.9898069999999999</v>
      </c>
      <c r="T6672">
        <v>-0.21039179999999999</v>
      </c>
      <c r="U6672">
        <v>0.13204959999999999</v>
      </c>
      <c r="V6672">
        <v>-3.0776109999999999E-2</v>
      </c>
      <c r="W6672">
        <v>-6.5098290000000003E-2</v>
      </c>
      <c r="X6672">
        <v>0.99740419999999996</v>
      </c>
      <c r="Y6672">
        <v>-3.7306220000000001E-2</v>
      </c>
      <c r="Z6672">
        <v>1.156757E-3</v>
      </c>
      <c r="AA6672">
        <v>0.99930319999999995</v>
      </c>
      <c r="AB6672">
        <v>24</v>
      </c>
      <c r="AC6672">
        <v>15.787799999999899</v>
      </c>
      <c r="AD6672">
        <v>-1.1207591883250001</v>
      </c>
      <c r="AE6672">
        <v>0.70271999999999202</v>
      </c>
      <c r="AF6672">
        <v>-0.593537332031841</v>
      </c>
      <c r="AG6672">
        <v>-1.1207591883250001</v>
      </c>
      <c r="AH6672">
        <v>15.713140412046</v>
      </c>
      <c r="AI6672">
        <v>94.076885564708306</v>
      </c>
      <c r="AJ6672">
        <v>92.163222816866593</v>
      </c>
      <c r="AK6672">
        <v>15.764237036133499</v>
      </c>
      <c r="AL6672">
        <v>93.732496520771804</v>
      </c>
      <c r="AM6672">
        <v>91.767369641478695</v>
      </c>
      <c r="AN6672">
        <v>1.00000004724264</v>
      </c>
    </row>
    <row r="6673" spans="1:40" x14ac:dyDescent="0.25">
      <c r="A6673" t="str">
        <f>"20190303154652857"</f>
        <v>20190303154652857</v>
      </c>
      <c r="B6673" t="str">
        <f>"1551599212848110"</f>
        <v>1551599212848110</v>
      </c>
      <c r="C6673" t="s">
        <v>40</v>
      </c>
      <c r="D6673">
        <v>5.1483019999999904</v>
      </c>
      <c r="E6673">
        <v>0.51283869999999998</v>
      </c>
      <c r="F6673" t="s">
        <v>60</v>
      </c>
      <c r="G6673">
        <v>-209.84819999999999</v>
      </c>
      <c r="H6673" s="1">
        <v>-5.62975E-7</v>
      </c>
      <c r="I6673">
        <v>-62.348219999999998</v>
      </c>
      <c r="J6673">
        <v>-229.9744</v>
      </c>
      <c r="K6673">
        <v>1.1207579999999999</v>
      </c>
      <c r="L6673">
        <v>-62.428559999999997</v>
      </c>
      <c r="M6673">
        <v>0.99989939999999999</v>
      </c>
      <c r="N6673">
        <v>-1.259279E-2</v>
      </c>
      <c r="O6673">
        <v>6.537836E-3</v>
      </c>
      <c r="P6673">
        <v>0.99630909999999995</v>
      </c>
      <c r="Q6673">
        <v>-7.7573920000000005E-2</v>
      </c>
      <c r="R6673">
        <v>3.675407E-2</v>
      </c>
      <c r="S6673">
        <v>2.997849</v>
      </c>
      <c r="T6673">
        <v>-0.1656744</v>
      </c>
      <c r="U6673">
        <v>1.1993409999999999E-2</v>
      </c>
      <c r="V6673">
        <v>-3.0271679999999999E-2</v>
      </c>
      <c r="W6673">
        <v>-6.5003569999999997E-2</v>
      </c>
      <c r="X6673">
        <v>0.99742580000000003</v>
      </c>
      <c r="Y6673">
        <v>2.5270639999999999E-3</v>
      </c>
      <c r="Z6673">
        <v>-3.64447E-4</v>
      </c>
      <c r="AA6673">
        <v>0.99999669999999896</v>
      </c>
      <c r="AB6673">
        <v>24</v>
      </c>
      <c r="AC6673">
        <v>20.126200000000001</v>
      </c>
      <c r="AD6673">
        <v>-1.1207585629750001</v>
      </c>
      <c r="AE6673">
        <v>8.0339999999999606E-2</v>
      </c>
      <c r="AF6673">
        <v>5.1095493611581798E-2</v>
      </c>
      <c r="AG6673">
        <v>-1.1207585629750001</v>
      </c>
      <c r="AH6673">
        <v>20.064077547781501</v>
      </c>
      <c r="AI6673">
        <v>93.197149952574406</v>
      </c>
      <c r="AJ6673">
        <v>89.854089987417098</v>
      </c>
      <c r="AK6673">
        <v>20.095420332736001</v>
      </c>
      <c r="AL6673">
        <v>93.727058000189402</v>
      </c>
      <c r="AM6673">
        <v>91.738382203401599</v>
      </c>
      <c r="AN6673">
        <v>1.0000000326142</v>
      </c>
    </row>
    <row r="6674" spans="1:40" x14ac:dyDescent="0.25">
      <c r="A6674" t="str">
        <f>"20190303154652869"</f>
        <v>20190303154652869</v>
      </c>
      <c r="B6674" t="str">
        <f>"1551599212857871"</f>
        <v>1551599212857871</v>
      </c>
      <c r="C6674" t="s">
        <v>40</v>
      </c>
      <c r="D6674">
        <v>5.1391720000000003</v>
      </c>
      <c r="E6674">
        <v>0.51861190000000001</v>
      </c>
      <c r="F6674" t="s">
        <v>60</v>
      </c>
      <c r="G6674">
        <v>-208.53100000000001</v>
      </c>
      <c r="H6674" s="1">
        <v>-1.181758E-6</v>
      </c>
      <c r="I6674">
        <v>-62.369199999999999</v>
      </c>
      <c r="J6674">
        <v>-229.8537</v>
      </c>
      <c r="K6674">
        <v>1.1207549999999999</v>
      </c>
      <c r="L6674">
        <v>-62.427919999999901</v>
      </c>
      <c r="M6674">
        <v>0.99989989999999995</v>
      </c>
      <c r="N6674">
        <v>-1.2625259999999999E-2</v>
      </c>
      <c r="O6674">
        <v>6.3909120000000003E-3</v>
      </c>
      <c r="P6674">
        <v>0.99631130000000001</v>
      </c>
      <c r="Q6674">
        <v>-7.7655959999999996E-2</v>
      </c>
      <c r="R6674">
        <v>3.6514520000000002E-2</v>
      </c>
      <c r="S6674">
        <v>2.9986419999999998</v>
      </c>
      <c r="T6674">
        <v>-0.15672659999999999</v>
      </c>
      <c r="U6674">
        <v>8.3007810000000001E-3</v>
      </c>
      <c r="V6674">
        <v>-3.0178839999999998E-2</v>
      </c>
      <c r="W6674">
        <v>-6.5053189999999997E-2</v>
      </c>
      <c r="X6674">
        <v>0.99742529999999996</v>
      </c>
      <c r="Y6674">
        <v>3.6121439999999999E-3</v>
      </c>
      <c r="Z6674">
        <v>-3.7030050000000001E-4</v>
      </c>
      <c r="AA6674">
        <v>0.99999340000000003</v>
      </c>
      <c r="AB6674">
        <v>24</v>
      </c>
      <c r="AC6674">
        <v>21.322700000000001</v>
      </c>
      <c r="AD6674">
        <v>-1.1207561817579901</v>
      </c>
      <c r="AE6674">
        <v>5.8719999999993798E-2</v>
      </c>
      <c r="AF6674">
        <v>7.7349862257343804E-2</v>
      </c>
      <c r="AG6674">
        <v>-1.1207561817579901</v>
      </c>
      <c r="AH6674">
        <v>21.2638939032712</v>
      </c>
      <c r="AI6674">
        <v>93.0170772714241</v>
      </c>
      <c r="AJ6674">
        <v>89.791580924644506</v>
      </c>
      <c r="AK6674">
        <v>21.293549759251398</v>
      </c>
      <c r="AL6674">
        <v>93.729907338709907</v>
      </c>
      <c r="AM6674">
        <v>91.733054895884095</v>
      </c>
      <c r="AN6674">
        <v>0.99999995449650403</v>
      </c>
    </row>
    <row r="6675" spans="1:40" x14ac:dyDescent="0.25">
      <c r="A6675" t="str">
        <f>"20190303154652957"</f>
        <v>20190303154652957</v>
      </c>
      <c r="B6675" t="str">
        <f>"1551599212948639"</f>
        <v>1551599212948639</v>
      </c>
      <c r="C6675" t="s">
        <v>40</v>
      </c>
      <c r="D6675">
        <v>4.5879349999999999</v>
      </c>
      <c r="E6675">
        <v>0.51861190000000001</v>
      </c>
      <c r="F6675" t="s">
        <v>60</v>
      </c>
      <c r="G6675">
        <v>-203.9074</v>
      </c>
      <c r="H6675" s="1">
        <v>-3.8719189999999996E-6</v>
      </c>
      <c r="I6675">
        <v>-62.75891</v>
      </c>
      <c r="J6675">
        <v>-228.89510000000001</v>
      </c>
      <c r="K6675">
        <v>1.1207689999999999</v>
      </c>
      <c r="L6675">
        <v>-62.423609999999996</v>
      </c>
      <c r="M6675">
        <v>0.99990420000000002</v>
      </c>
      <c r="N6675">
        <v>-1.2825629999999999E-2</v>
      </c>
      <c r="O6675">
        <v>5.206848E-3</v>
      </c>
      <c r="P6675">
        <v>0.99619340000000001</v>
      </c>
      <c r="Q6675">
        <v>-7.8394290000000005E-2</v>
      </c>
      <c r="R6675">
        <v>3.8118699999999998E-2</v>
      </c>
      <c r="S6675">
        <v>3.00238</v>
      </c>
      <c r="T6675">
        <v>-0.12968859999999999</v>
      </c>
      <c r="U6675">
        <v>-3.8299560000000003E-2</v>
      </c>
      <c r="V6675">
        <v>-3.2964149999999998E-2</v>
      </c>
      <c r="W6675">
        <v>-6.5591860000000002E-2</v>
      </c>
      <c r="X6675">
        <v>0.99730189999999996</v>
      </c>
      <c r="Y6675">
        <v>1.7937939999999999E-2</v>
      </c>
      <c r="Z6675">
        <v>-6.6037189999999996E-4</v>
      </c>
      <c r="AA6675">
        <v>0.99983889999999997</v>
      </c>
      <c r="AB6675">
        <v>24</v>
      </c>
      <c r="AC6675">
        <v>24.9877</v>
      </c>
      <c r="AD6675">
        <v>-1.120772871919</v>
      </c>
      <c r="AE6675">
        <v>-0.33530000000000298</v>
      </c>
      <c r="AF6675">
        <v>0.464479044996011</v>
      </c>
      <c r="AG6675">
        <v>-1.120772871919</v>
      </c>
      <c r="AH6675">
        <v>24.935459340348</v>
      </c>
      <c r="AI6675">
        <v>92.573092728194496</v>
      </c>
      <c r="AJ6675">
        <v>88.932860580046594</v>
      </c>
      <c r="AK6675">
        <v>24.964955540273301</v>
      </c>
      <c r="AL6675">
        <v>93.760836732739605</v>
      </c>
      <c r="AM6675">
        <v>91.893127148813605</v>
      </c>
      <c r="AN6675">
        <v>1.0000000035135399</v>
      </c>
    </row>
    <row r="6676" spans="1:40" x14ac:dyDescent="0.25">
      <c r="A6676" t="str">
        <f>"20190303154652991"</f>
        <v>20190303154652991</v>
      </c>
      <c r="B6676" t="str">
        <f>"1551599212988655"</f>
        <v>1551599212988655</v>
      </c>
      <c r="C6676" t="s">
        <v>40</v>
      </c>
      <c r="D6676">
        <v>5.0103629999999999</v>
      </c>
      <c r="E6676">
        <v>0.52240140000000002</v>
      </c>
      <c r="F6676" t="s">
        <v>60</v>
      </c>
      <c r="G6676">
        <v>-203.3475</v>
      </c>
      <c r="H6676" s="1">
        <v>-4.1319000000000002E-6</v>
      </c>
      <c r="I6676">
        <v>-62.706919999999997</v>
      </c>
      <c r="J6676">
        <v>-228.5316</v>
      </c>
      <c r="K6676">
        <v>1.120776</v>
      </c>
      <c r="L6676">
        <v>-62.422269999999997</v>
      </c>
      <c r="M6676">
        <v>0.99990590000000001</v>
      </c>
      <c r="N6676">
        <v>-1.2876800000000001E-2</v>
      </c>
      <c r="O6676">
        <v>4.7550329999999997E-3</v>
      </c>
      <c r="P6676">
        <v>0.9962221</v>
      </c>
      <c r="Q6676">
        <v>-7.7968419999999997E-2</v>
      </c>
      <c r="R6676">
        <v>3.824673E-2</v>
      </c>
      <c r="S6676">
        <v>3.0023650000000002</v>
      </c>
      <c r="T6676">
        <v>-0.13171389999999999</v>
      </c>
      <c r="U6676">
        <v>-3.329468E-2</v>
      </c>
      <c r="V6676">
        <v>-3.3542040000000002E-2</v>
      </c>
      <c r="W6676">
        <v>-6.5114569999999997E-2</v>
      </c>
      <c r="X6676">
        <v>0.99731389999999998</v>
      </c>
      <c r="Y6676">
        <v>1.582184E-2</v>
      </c>
      <c r="Z6676">
        <v>-5.9610119999999999E-4</v>
      </c>
      <c r="AA6676">
        <v>0.99987470000000001</v>
      </c>
      <c r="AB6676">
        <v>24</v>
      </c>
      <c r="AC6676">
        <v>25.184100000000001</v>
      </c>
      <c r="AD6676">
        <v>-1.1207801318999999</v>
      </c>
      <c r="AE6676">
        <v>-0.28464999999999901</v>
      </c>
      <c r="AF6676">
        <v>0.40360865449260602</v>
      </c>
      <c r="AG6676">
        <v>-1.1207801318999999</v>
      </c>
      <c r="AH6676">
        <v>25.132691167059001</v>
      </c>
      <c r="AI6676">
        <v>92.553056933547893</v>
      </c>
      <c r="AJ6676">
        <v>89.079959854508004</v>
      </c>
      <c r="AK6676">
        <v>25.160906449267799</v>
      </c>
      <c r="AL6676">
        <v>93.733431473083698</v>
      </c>
      <c r="AM6676">
        <v>91.926267353499</v>
      </c>
      <c r="AN6676">
        <v>0.99999999540342799</v>
      </c>
    </row>
    <row r="6677" spans="1:40" x14ac:dyDescent="0.25">
      <c r="A6677" t="str">
        <f>"20190303154653005"</f>
        <v>20190303154653005</v>
      </c>
      <c r="B6677" t="str">
        <f>"1551599212998414"</f>
        <v>1551599212998414</v>
      </c>
      <c r="C6677" t="s">
        <v>40</v>
      </c>
      <c r="D6677">
        <v>4.9235579999999999</v>
      </c>
      <c r="E6677">
        <v>0.52440419999999999</v>
      </c>
      <c r="F6677" t="s">
        <v>60</v>
      </c>
      <c r="G6677">
        <v>-187.03890000000001</v>
      </c>
      <c r="H6677" s="1">
        <v>-9.8862229999999999E-6</v>
      </c>
      <c r="I6677">
        <v>-63.288780000000003</v>
      </c>
      <c r="J6677">
        <v>-228.40260000000001</v>
      </c>
      <c r="K6677">
        <v>1.1207800000000001</v>
      </c>
      <c r="L6677">
        <v>-62.421840000000003</v>
      </c>
      <c r="M6677">
        <v>0.99990639999999997</v>
      </c>
      <c r="N6677">
        <v>-1.2892610000000001E-2</v>
      </c>
      <c r="O6677">
        <v>4.5953160000000003E-3</v>
      </c>
      <c r="P6677">
        <v>0.99624939999999995</v>
      </c>
      <c r="Q6677">
        <v>-7.7793669999999995E-2</v>
      </c>
      <c r="R6677">
        <v>3.7888369999999998E-2</v>
      </c>
      <c r="S6677">
        <v>3.007431</v>
      </c>
      <c r="T6677">
        <v>-8.1235650000000006E-2</v>
      </c>
      <c r="U6677">
        <v>-6.2805180000000002E-2</v>
      </c>
      <c r="V6677">
        <v>-3.3342719999999999E-2</v>
      </c>
      <c r="W6677">
        <v>-6.4923930000000005E-2</v>
      </c>
      <c r="X6677">
        <v>0.99733300000000003</v>
      </c>
      <c r="Y6677">
        <v>2.5459079999999999E-2</v>
      </c>
      <c r="Z6677">
        <v>-5.7278820000000003E-4</v>
      </c>
      <c r="AA6677">
        <v>0.99967569999999994</v>
      </c>
      <c r="AB6677">
        <v>24</v>
      </c>
      <c r="AC6677">
        <v>41.363700000000001</v>
      </c>
      <c r="AD6677">
        <v>-1.1207898862229999</v>
      </c>
      <c r="AE6677">
        <v>-0.86693999999999904</v>
      </c>
      <c r="AF6677">
        <v>1.05625075256838</v>
      </c>
      <c r="AG6677">
        <v>-1.1207898862229999</v>
      </c>
      <c r="AH6677">
        <v>41.328948933580399</v>
      </c>
      <c r="AI6677">
        <v>91.552902993207098</v>
      </c>
      <c r="AJ6677">
        <v>88.536001020012804</v>
      </c>
      <c r="AK6677">
        <v>41.3576335828811</v>
      </c>
      <c r="AL6677">
        <v>93.722485489126896</v>
      </c>
      <c r="AM6677">
        <v>91.914792617896794</v>
      </c>
      <c r="AN6677">
        <v>0.999999983276321</v>
      </c>
    </row>
    <row r="6678" spans="1:40" x14ac:dyDescent="0.25">
      <c r="A6678" t="str">
        <f>"20190303154653018"</f>
        <v>20190303154653018</v>
      </c>
      <c r="B6678" t="str">
        <f>"1551599213008302"</f>
        <v>1551599213008302</v>
      </c>
      <c r="C6678" t="s">
        <v>40</v>
      </c>
      <c r="D6678">
        <v>4.9443640000000002</v>
      </c>
      <c r="E6678">
        <v>0.52729579999999998</v>
      </c>
      <c r="F6678" t="s">
        <v>60</v>
      </c>
      <c r="G6678">
        <v>-179.95769999999999</v>
      </c>
      <c r="H6678">
        <v>2.963203E-2</v>
      </c>
      <c r="I6678">
        <v>-63.706659999999999</v>
      </c>
      <c r="J6678">
        <v>-228.26300000000001</v>
      </c>
      <c r="K6678">
        <v>1.120784</v>
      </c>
      <c r="L6678">
        <v>-62.421390000000002</v>
      </c>
      <c r="M6678">
        <v>0.99990679999999998</v>
      </c>
      <c r="N6678">
        <v>-1.2907989999999999E-2</v>
      </c>
      <c r="O6678">
        <v>4.4229680000000002E-3</v>
      </c>
      <c r="P6678">
        <v>0.99628349999999999</v>
      </c>
      <c r="Q6678">
        <v>-7.7386869999999996E-2</v>
      </c>
      <c r="R6678">
        <v>3.782203E-2</v>
      </c>
      <c r="S6678">
        <v>3.0090330000000001</v>
      </c>
      <c r="T6678">
        <v>-6.7773940000000005E-2</v>
      </c>
      <c r="U6678">
        <v>-7.9803470000000001E-2</v>
      </c>
      <c r="V6678">
        <v>-3.3447789999999998E-2</v>
      </c>
      <c r="W6678">
        <v>-6.4501439999999993E-2</v>
      </c>
      <c r="X6678">
        <v>0.99735689999999999</v>
      </c>
      <c r="Y6678">
        <v>3.0920960000000001E-2</v>
      </c>
      <c r="Z6678">
        <v>-5.9027730000000005E-4</v>
      </c>
      <c r="AA6678">
        <v>0.99952169999999896</v>
      </c>
      <c r="AB6678">
        <v>24</v>
      </c>
      <c r="AC6678">
        <v>48.305300000000003</v>
      </c>
      <c r="AD6678">
        <v>-1.0911519700000001</v>
      </c>
      <c r="AE6678">
        <v>-1.2852699999999899</v>
      </c>
      <c r="AF6678">
        <v>1.4981641524953799</v>
      </c>
      <c r="AG6678">
        <v>-1.0911519700000001</v>
      </c>
      <c r="AH6678">
        <v>48.274527713759802</v>
      </c>
      <c r="AI6678">
        <v>91.294216486899501</v>
      </c>
      <c r="AJ6678">
        <v>88.222438515734098</v>
      </c>
      <c r="AK6678">
        <v>48.310093504732698</v>
      </c>
      <c r="AL6678">
        <v>93.698227730684295</v>
      </c>
      <c r="AM6678">
        <v>91.920776028808305</v>
      </c>
      <c r="AN6678">
        <v>0.99999998819778302</v>
      </c>
    </row>
    <row r="6679" spans="1:40" x14ac:dyDescent="0.25">
      <c r="A6679" t="str">
        <f>"20190303154653031"</f>
        <v>20190303154653031</v>
      </c>
      <c r="B6679" t="str">
        <f>"1551599213028207"</f>
        <v>1551599213028207</v>
      </c>
      <c r="C6679" t="s">
        <v>40</v>
      </c>
      <c r="D6679">
        <v>4.9187599999999998</v>
      </c>
      <c r="E6679">
        <v>0.52936879999999997</v>
      </c>
      <c r="F6679" t="s">
        <v>60</v>
      </c>
      <c r="G6679">
        <v>-177.2749</v>
      </c>
      <c r="H6679">
        <v>7.9986329999999994E-2</v>
      </c>
      <c r="I6679">
        <v>-64.166439999999994</v>
      </c>
      <c r="J6679">
        <v>-228.11859999999999</v>
      </c>
      <c r="K6679">
        <v>1.120787</v>
      </c>
      <c r="L6679">
        <v>-62.420990000000003</v>
      </c>
      <c r="M6679">
        <v>0.99990749999999995</v>
      </c>
      <c r="N6679">
        <v>-1.292246E-2</v>
      </c>
      <c r="O6679">
        <v>4.2449039999999999E-3</v>
      </c>
      <c r="P6679">
        <v>0.99629789999999996</v>
      </c>
      <c r="Q6679">
        <v>-7.7360899999999996E-2</v>
      </c>
      <c r="R6679">
        <v>3.7496479999999999E-2</v>
      </c>
      <c r="S6679">
        <v>3.0103300000000002</v>
      </c>
      <c r="T6679">
        <v>-6.1448570000000001E-2</v>
      </c>
      <c r="U6679">
        <v>-0.1030273</v>
      </c>
      <c r="V6679">
        <v>-3.3299019999999999E-2</v>
      </c>
      <c r="W6679">
        <v>-6.4461039999999997E-2</v>
      </c>
      <c r="X6679">
        <v>0.99736449999999999</v>
      </c>
      <c r="Y6679">
        <v>3.8433849999999999E-2</v>
      </c>
      <c r="Z6679">
        <v>-6.7234499999999997E-4</v>
      </c>
      <c r="AA6679">
        <v>0.99926090000000001</v>
      </c>
      <c r="AB6679">
        <v>24</v>
      </c>
      <c r="AC6679">
        <v>50.843699999999899</v>
      </c>
      <c r="AD6679">
        <v>-1.0408006700000001</v>
      </c>
      <c r="AE6679">
        <v>-1.7454499999999999</v>
      </c>
      <c r="AF6679">
        <v>1.9604583642297999</v>
      </c>
      <c r="AG6679">
        <v>-1.0408006700000001</v>
      </c>
      <c r="AH6679">
        <v>50.814563422071302</v>
      </c>
      <c r="AI6679">
        <v>91.1725149521682</v>
      </c>
      <c r="AJ6679">
        <v>87.7905879493984</v>
      </c>
      <c r="AK6679">
        <v>50.863017201187098</v>
      </c>
      <c r="AL6679">
        <v>93.695908117158098</v>
      </c>
      <c r="AM6679">
        <v>91.912224544649305</v>
      </c>
      <c r="AN6679">
        <v>0.99999999813554596</v>
      </c>
    </row>
    <row r="6680" spans="1:40" x14ac:dyDescent="0.25">
      <c r="A6680" t="str">
        <f>"20190303154653045"</f>
        <v>20190303154653045</v>
      </c>
      <c r="B6680" t="str">
        <f>"1551599213038222"</f>
        <v>1551599213038222</v>
      </c>
      <c r="C6680" t="s">
        <v>40</v>
      </c>
      <c r="D6680">
        <v>4.8795679999999999</v>
      </c>
      <c r="E6680">
        <v>0.52862679999999995</v>
      </c>
      <c r="F6680" t="s">
        <v>43</v>
      </c>
      <c r="G6680">
        <v>-161.15649999999999</v>
      </c>
      <c r="H6680">
        <v>-0.05</v>
      </c>
      <c r="I6680">
        <v>-65.097890000000007</v>
      </c>
      <c r="J6680">
        <v>-227.96809999999999</v>
      </c>
      <c r="K6680">
        <v>1.1207860000000001</v>
      </c>
      <c r="L6680">
        <v>-62.420529999999999</v>
      </c>
      <c r="M6680">
        <v>0.99990820000000002</v>
      </c>
      <c r="N6680">
        <v>-1.2936410000000001E-2</v>
      </c>
      <c r="O6680">
        <v>4.0594539999999997E-3</v>
      </c>
      <c r="P6680">
        <v>0.99632200000000004</v>
      </c>
      <c r="Q6680">
        <v>-7.7219200000000002E-2</v>
      </c>
      <c r="R6680">
        <v>3.7150240000000001E-2</v>
      </c>
      <c r="S6680">
        <v>3.0115810000000001</v>
      </c>
      <c r="T6680">
        <v>-5.2655460000000001E-2</v>
      </c>
      <c r="U6680">
        <v>-0.12039179999999999</v>
      </c>
      <c r="V6680">
        <v>-3.3137659999999999E-2</v>
      </c>
      <c r="W6680">
        <v>-6.4305340000000002E-2</v>
      </c>
      <c r="X6680">
        <v>0.99737989999999999</v>
      </c>
      <c r="Y6680">
        <v>4.3988890000000003E-2</v>
      </c>
      <c r="Z6680">
        <v>-6.8751770000000003E-4</v>
      </c>
      <c r="AA6680">
        <v>0.99903180000000003</v>
      </c>
      <c r="AB6680">
        <v>24</v>
      </c>
      <c r="AC6680">
        <v>66.811599999999999</v>
      </c>
      <c r="AD6680">
        <v>-1.1707860000000001</v>
      </c>
      <c r="AE6680">
        <v>-2.67735999999999</v>
      </c>
      <c r="AF6680">
        <v>2.94767549715043</v>
      </c>
      <c r="AG6680">
        <v>-1.1707860000000001</v>
      </c>
      <c r="AH6680">
        <v>66.779706055188797</v>
      </c>
      <c r="AI6680">
        <v>91.003433451538697</v>
      </c>
      <c r="AJ6680">
        <v>87.472588345609594</v>
      </c>
      <c r="AK6680">
        <v>66.854982398559599</v>
      </c>
      <c r="AL6680">
        <v>93.686968709492604</v>
      </c>
      <c r="AM6680">
        <v>91.902935777842799</v>
      </c>
      <c r="AN6680">
        <v>0.99999997309340005</v>
      </c>
    </row>
    <row r="6681" spans="1:40" x14ac:dyDescent="0.25">
      <c r="A6681" t="str">
        <f>"20190303154653058"</f>
        <v>20190303154653058</v>
      </c>
      <c r="B6681" t="str">
        <f>"1551599213048416"</f>
        <v>1551599213048416</v>
      </c>
      <c r="C6681" t="s">
        <v>40</v>
      </c>
      <c r="D6681">
        <v>4.8886789999999998</v>
      </c>
      <c r="E6681">
        <v>0.52799169999999995</v>
      </c>
      <c r="F6681" t="s">
        <v>60</v>
      </c>
      <c r="G6681">
        <v>-175.17779999999999</v>
      </c>
      <c r="H6681">
        <v>7.9986589999999996E-2</v>
      </c>
      <c r="I6681">
        <v>-64.446359999999999</v>
      </c>
      <c r="J6681">
        <v>-227.8158</v>
      </c>
      <c r="K6681">
        <v>1.120789</v>
      </c>
      <c r="L6681">
        <v>-62.420140000000004</v>
      </c>
      <c r="M6681">
        <v>0.99990869999999998</v>
      </c>
      <c r="N6681">
        <v>-1.294908E-2</v>
      </c>
      <c r="O6681">
        <v>3.8718089999999999E-3</v>
      </c>
      <c r="P6681">
        <v>0.99633530000000003</v>
      </c>
      <c r="Q6681">
        <v>-7.7353809999999995E-2</v>
      </c>
      <c r="R6681">
        <v>3.6503250000000001E-2</v>
      </c>
      <c r="S6681">
        <v>3.0108030000000001</v>
      </c>
      <c r="T6681">
        <v>-5.936027E-2</v>
      </c>
      <c r="U6681">
        <v>-0.11553960000000001</v>
      </c>
      <c r="V6681">
        <v>-3.2677499999999998E-2</v>
      </c>
      <c r="W6681">
        <v>-6.4427499999999999E-2</v>
      </c>
      <c r="X6681">
        <v>0.99738720000000003</v>
      </c>
      <c r="Y6681">
        <v>4.2202099999999902E-2</v>
      </c>
      <c r="Z6681">
        <v>-7.1540890000000004E-4</v>
      </c>
      <c r="AA6681">
        <v>0.99910889999999997</v>
      </c>
      <c r="AB6681">
        <v>24</v>
      </c>
      <c r="AC6681">
        <v>52.637999999999998</v>
      </c>
      <c r="AD6681">
        <v>-1.04080241</v>
      </c>
      <c r="AE6681">
        <v>-2.0262199999999901</v>
      </c>
      <c r="AF6681">
        <v>2.2291559407628698</v>
      </c>
      <c r="AG6681">
        <v>-1.04080241</v>
      </c>
      <c r="AH6681">
        <v>52.609221663015603</v>
      </c>
      <c r="AI6681">
        <v>91.132355993817797</v>
      </c>
      <c r="AJ6681">
        <v>87.573716749633803</v>
      </c>
      <c r="AK6681">
        <v>52.666712540780502</v>
      </c>
      <c r="AL6681">
        <v>93.693982502144905</v>
      </c>
      <c r="AM6681">
        <v>91.876516312118397</v>
      </c>
      <c r="AN6681">
        <v>0.999999974243169</v>
      </c>
    </row>
    <row r="6682" spans="1:40" x14ac:dyDescent="0.25">
      <c r="A6682" t="str">
        <f>"20190303154653071"</f>
        <v>20190303154653071</v>
      </c>
      <c r="B6682" t="str">
        <f>"1551599213068229"</f>
        <v>1551599213068229</v>
      </c>
      <c r="C6682" t="s">
        <v>40</v>
      </c>
      <c r="D6682">
        <v>4.8748750000000003</v>
      </c>
      <c r="E6682">
        <v>0.52704329999999999</v>
      </c>
      <c r="F6682" t="s">
        <v>60</v>
      </c>
      <c r="G6682">
        <v>-178.35390000000001</v>
      </c>
      <c r="H6682">
        <v>7.9986180000000004E-2</v>
      </c>
      <c r="I6682">
        <v>-64.266940000000005</v>
      </c>
      <c r="J6682">
        <v>-227.69030000000001</v>
      </c>
      <c r="K6682">
        <v>1.120789</v>
      </c>
      <c r="L6682">
        <v>-62.41986</v>
      </c>
      <c r="M6682">
        <v>0.99990919999999905</v>
      </c>
      <c r="N6682">
        <v>-1.295834E-2</v>
      </c>
      <c r="O6682">
        <v>3.7169059999999999E-3</v>
      </c>
      <c r="P6682">
        <v>0.99637120000000001</v>
      </c>
      <c r="Q6682">
        <v>-7.7045470000000005E-2</v>
      </c>
      <c r="R6682">
        <v>3.6175239999999997E-2</v>
      </c>
      <c r="S6682">
        <v>3.0102389999999999</v>
      </c>
      <c r="T6682">
        <v>-6.3342930000000006E-2</v>
      </c>
      <c r="U6682">
        <v>-0.1123962</v>
      </c>
      <c r="V6682">
        <v>-3.2503619999999997E-2</v>
      </c>
      <c r="W6682">
        <v>-6.4109680000000002E-2</v>
      </c>
      <c r="X6682">
        <v>0.99741340000000001</v>
      </c>
      <c r="Y6682">
        <v>4.1011579999999999E-2</v>
      </c>
      <c r="Z6682">
        <v>-7.2719810000000001E-4</v>
      </c>
      <c r="AA6682">
        <v>0.9991584</v>
      </c>
      <c r="AB6682">
        <v>24</v>
      </c>
      <c r="AC6682">
        <v>49.336399999999998</v>
      </c>
      <c r="AD6682">
        <v>-1.0408028199999999</v>
      </c>
      <c r="AE6682">
        <v>-1.8470800000000001</v>
      </c>
      <c r="AF6682">
        <v>2.0295594081456598</v>
      </c>
      <c r="AG6682">
        <v>-1.0408028199999999</v>
      </c>
      <c r="AH6682">
        <v>49.307279994958499</v>
      </c>
      <c r="AI6682">
        <v>91.2082257078048</v>
      </c>
      <c r="AJ6682">
        <v>87.642952878528703</v>
      </c>
      <c r="AK6682">
        <v>49.360006507318701</v>
      </c>
      <c r="AL6682">
        <v>93.675734888532006</v>
      </c>
      <c r="AM6682">
        <v>91.866489281828194</v>
      </c>
      <c r="AN6682">
        <v>1.0000000134411799</v>
      </c>
    </row>
    <row r="6683" spans="1:40" x14ac:dyDescent="0.25">
      <c r="A6683" t="str">
        <f>"20190303154653081"</f>
        <v>20190303154653081</v>
      </c>
      <c r="B6683" t="str">
        <f>"1551599213077991"</f>
        <v>1551599213077991</v>
      </c>
      <c r="C6683" t="s">
        <v>40</v>
      </c>
      <c r="D6683">
        <v>4.9145810000000001</v>
      </c>
      <c r="E6683">
        <v>0.52669370000000004</v>
      </c>
      <c r="F6683" t="s">
        <v>60</v>
      </c>
      <c r="G6683">
        <v>-179.9392</v>
      </c>
      <c r="H6683">
        <v>6.8476040000000002E-2</v>
      </c>
      <c r="I6683">
        <v>-64.099040000000002</v>
      </c>
      <c r="J6683">
        <v>-227.57689999999999</v>
      </c>
      <c r="K6683">
        <v>1.120789</v>
      </c>
      <c r="L6683">
        <v>-62.419559999999997</v>
      </c>
      <c r="M6683">
        <v>0.99990959999999995</v>
      </c>
      <c r="N6683">
        <v>-1.2966429999999999E-2</v>
      </c>
      <c r="O6683">
        <v>3.577031E-3</v>
      </c>
      <c r="P6683">
        <v>0.99636630000000004</v>
      </c>
      <c r="Q6683">
        <v>-7.7272839999999995E-2</v>
      </c>
      <c r="R6683">
        <v>3.5829439999999997E-2</v>
      </c>
      <c r="S6683">
        <v>3.0096440000000002</v>
      </c>
      <c r="T6683">
        <v>-6.6324949999999994E-2</v>
      </c>
      <c r="U6683">
        <v>-0.105834999999999</v>
      </c>
      <c r="V6683">
        <v>-3.2297699999999999E-2</v>
      </c>
      <c r="W6683">
        <v>-6.4329230000000001E-2</v>
      </c>
      <c r="X6683">
        <v>0.99740589999999996</v>
      </c>
      <c r="Y6683">
        <v>3.8703389999999997E-2</v>
      </c>
      <c r="Z6683">
        <v>-7.0976779999999998E-4</v>
      </c>
      <c r="AA6683">
        <v>0.99925050000000004</v>
      </c>
      <c r="AB6683">
        <v>24</v>
      </c>
      <c r="AC6683">
        <v>47.637700000000002</v>
      </c>
      <c r="AD6683">
        <v>-1.0523129600000001</v>
      </c>
      <c r="AE6683">
        <v>-1.6794800000000001</v>
      </c>
      <c r="AF6683">
        <v>1.8489839798823</v>
      </c>
      <c r="AG6683">
        <v>-1.0523129600000001</v>
      </c>
      <c r="AH6683">
        <v>47.608184857944003</v>
      </c>
      <c r="AI6683">
        <v>91.265284050746004</v>
      </c>
      <c r="AJ6683">
        <v>87.775891636325994</v>
      </c>
      <c r="AK6683">
        <v>47.655696089678699</v>
      </c>
      <c r="AL6683">
        <v>93.688340392903598</v>
      </c>
      <c r="AM6683">
        <v>91.854686744081306</v>
      </c>
      <c r="AN6683">
        <v>0.99999996030624505</v>
      </c>
    </row>
    <row r="6684" spans="1:40" x14ac:dyDescent="0.25">
      <c r="A6684" t="str">
        <f>"20190303154653092"</f>
        <v>20190303154653092</v>
      </c>
      <c r="B6684" t="str">
        <f>"1551599213088725"</f>
        <v>1551599213088725</v>
      </c>
      <c r="C6684" t="s">
        <v>40</v>
      </c>
      <c r="D6684">
        <v>4.8949480000000003</v>
      </c>
      <c r="E6684">
        <v>0.5262173</v>
      </c>
      <c r="F6684" t="s">
        <v>60</v>
      </c>
      <c r="G6684">
        <v>-179.95769999999999</v>
      </c>
      <c r="H6684">
        <v>2.4623610000000001E-2</v>
      </c>
      <c r="I6684">
        <v>-64.067700000000002</v>
      </c>
      <c r="J6684">
        <v>-227.45779999999999</v>
      </c>
      <c r="K6684">
        <v>1.12079</v>
      </c>
      <c r="L6684">
        <v>-62.419310000000003</v>
      </c>
      <c r="M6684">
        <v>0.99991010000000002</v>
      </c>
      <c r="N6684">
        <v>-1.2973719999999999E-2</v>
      </c>
      <c r="O6684">
        <v>3.4302460000000001E-3</v>
      </c>
      <c r="P6684">
        <v>0.99638119999999997</v>
      </c>
      <c r="Q6684">
        <v>-7.723497E-2</v>
      </c>
      <c r="R6684">
        <v>3.5489850000000003E-2</v>
      </c>
      <c r="S6684">
        <v>3.0093230000000002</v>
      </c>
      <c r="T6684">
        <v>-6.9272879999999995E-2</v>
      </c>
      <c r="U6684">
        <v>-0.1041565</v>
      </c>
      <c r="V6684">
        <v>-3.210375E-2</v>
      </c>
      <c r="W6684">
        <v>-6.428412E-2</v>
      </c>
      <c r="X6684">
        <v>0.9974151</v>
      </c>
      <c r="Y6684">
        <v>3.8002939999999999E-2</v>
      </c>
      <c r="Z6684">
        <v>-7.183097E-4</v>
      </c>
      <c r="AA6684">
        <v>0.99927739999999998</v>
      </c>
      <c r="AB6684">
        <v>24</v>
      </c>
      <c r="AC6684">
        <v>47.500100000000003</v>
      </c>
      <c r="AD6684">
        <v>-1.09616639</v>
      </c>
      <c r="AE6684">
        <v>-1.64839</v>
      </c>
      <c r="AF6684">
        <v>1.8103680592456599</v>
      </c>
      <c r="AG6684">
        <v>-1.09616639</v>
      </c>
      <c r="AH6684">
        <v>47.468916267764399</v>
      </c>
      <c r="AI6684">
        <v>91.321895483598496</v>
      </c>
      <c r="AJ6684">
        <v>87.815913845260596</v>
      </c>
      <c r="AK6684">
        <v>47.516071227538703</v>
      </c>
      <c r="AL6684">
        <v>93.685750308795704</v>
      </c>
      <c r="AM6684">
        <v>91.843539933248707</v>
      </c>
      <c r="AN6684">
        <v>0.99999999027812303</v>
      </c>
    </row>
    <row r="6685" spans="1:40" x14ac:dyDescent="0.25">
      <c r="A6685" t="str">
        <f>"20190303154653104"</f>
        <v>20190303154653104</v>
      </c>
      <c r="B6685" t="str">
        <f>"1551599213098486"</f>
        <v>1551599213098486</v>
      </c>
      <c r="C6685" t="s">
        <v>40</v>
      </c>
      <c r="D6685">
        <v>4.8922980000000003</v>
      </c>
      <c r="E6685">
        <v>0.5257674</v>
      </c>
      <c r="F6685" t="s">
        <v>60</v>
      </c>
      <c r="G6685">
        <v>-180.3588</v>
      </c>
      <c r="H6685" s="1">
        <v>-8.9578829999999996E-6</v>
      </c>
      <c r="I6685">
        <v>-64.00667</v>
      </c>
      <c r="J6685">
        <v>-227.3372</v>
      </c>
      <c r="K6685">
        <v>1.1207940000000001</v>
      </c>
      <c r="L6685">
        <v>-62.4191</v>
      </c>
      <c r="M6685">
        <v>0.99991039999999998</v>
      </c>
      <c r="N6685">
        <v>-1.2980820000000001E-2</v>
      </c>
      <c r="O6685">
        <v>3.2819730000000001E-3</v>
      </c>
      <c r="P6685">
        <v>0.99637039999999999</v>
      </c>
      <c r="Q6685">
        <v>-7.749586E-2</v>
      </c>
      <c r="R6685">
        <v>3.5221540000000003E-2</v>
      </c>
      <c r="S6685">
        <v>3.0089570000000001</v>
      </c>
      <c r="T6685">
        <v>-7.1603180000000002E-2</v>
      </c>
      <c r="U6685">
        <v>-0.1014099</v>
      </c>
      <c r="V6685">
        <v>-3.1983850000000001E-2</v>
      </c>
      <c r="W6685">
        <v>-6.4538219999999993E-2</v>
      </c>
      <c r="X6685">
        <v>0.99740249999999997</v>
      </c>
      <c r="Y6685">
        <v>3.694741E-2</v>
      </c>
      <c r="Z6685">
        <v>-7.1483889999999996E-4</v>
      </c>
      <c r="AA6685">
        <v>0.99931689999999995</v>
      </c>
      <c r="AB6685">
        <v>24</v>
      </c>
      <c r="AC6685">
        <v>46.978399999999901</v>
      </c>
      <c r="AD6685">
        <v>-1.1208029578829899</v>
      </c>
      <c r="AE6685">
        <v>-1.5875699999999899</v>
      </c>
      <c r="AF6685">
        <v>1.74076656643482</v>
      </c>
      <c r="AG6685">
        <v>-1.1208029578829899</v>
      </c>
      <c r="AH6685">
        <v>46.946244996669897</v>
      </c>
      <c r="AI6685">
        <v>91.366690906221805</v>
      </c>
      <c r="AJ6685">
        <v>87.876445624212096</v>
      </c>
      <c r="AK6685">
        <v>46.991875753118897</v>
      </c>
      <c r="AL6685">
        <v>93.7003396193101</v>
      </c>
      <c r="AM6685">
        <v>91.836682653468998</v>
      </c>
      <c r="AN6685">
        <v>0.99999994775391898</v>
      </c>
    </row>
    <row r="6686" spans="1:40" x14ac:dyDescent="0.25">
      <c r="A6686" t="str">
        <f>"20190303154653114"</f>
        <v>20190303154653114</v>
      </c>
      <c r="B6686" t="str">
        <f>"1551599213108245"</f>
        <v>1551599213108245</v>
      </c>
      <c r="C6686" t="s">
        <v>40</v>
      </c>
      <c r="D6686">
        <v>4.8625660000000002</v>
      </c>
      <c r="E6686">
        <v>0.52534219999999998</v>
      </c>
      <c r="F6686" t="s">
        <v>60</v>
      </c>
      <c r="G6686">
        <v>-182.11529999999999</v>
      </c>
      <c r="H6686" s="1">
        <v>-9.1712090000000008E-6</v>
      </c>
      <c r="I6686">
        <v>-63.902549999999998</v>
      </c>
      <c r="J6686">
        <v>-227.22069999999999</v>
      </c>
      <c r="K6686">
        <v>1.1207929999999999</v>
      </c>
      <c r="L6686">
        <v>-62.418849999999999</v>
      </c>
      <c r="M6686">
        <v>0.99991079999999999</v>
      </c>
      <c r="N6686">
        <v>-1.2986839999999999E-2</v>
      </c>
      <c r="O6686">
        <v>3.1383539999999999E-3</v>
      </c>
      <c r="P6686">
        <v>0.99639549999999999</v>
      </c>
      <c r="Q6686">
        <v>-7.7337580000000003E-2</v>
      </c>
      <c r="R6686">
        <v>3.4856249999999998E-2</v>
      </c>
      <c r="S6686">
        <v>3.0086210000000002</v>
      </c>
      <c r="T6686">
        <v>-7.45672E-2</v>
      </c>
      <c r="U6686">
        <v>-9.869385E-2</v>
      </c>
      <c r="V6686">
        <v>-3.1760660000000003E-2</v>
      </c>
      <c r="W6686">
        <v>-6.4373819999999998E-2</v>
      </c>
      <c r="X6686">
        <v>0.99742030000000004</v>
      </c>
      <c r="Y6686">
        <v>3.5905800000000002E-2</v>
      </c>
      <c r="Z6686">
        <v>-7.1505050000000001E-4</v>
      </c>
      <c r="AA6686">
        <v>0.99935490000000005</v>
      </c>
      <c r="AB6686">
        <v>24</v>
      </c>
      <c r="AC6686">
        <v>45.105400000000003</v>
      </c>
      <c r="AD6686">
        <v>-1.1208021712089999</v>
      </c>
      <c r="AE6686">
        <v>-1.48369999999999</v>
      </c>
      <c r="AF6686">
        <v>1.62425952239395</v>
      </c>
      <c r="AG6686">
        <v>-1.1208021712089999</v>
      </c>
      <c r="AH6686">
        <v>45.072721055281598</v>
      </c>
      <c r="AI6686">
        <v>91.423530034366493</v>
      </c>
      <c r="AJ6686">
        <v>87.936158280370705</v>
      </c>
      <c r="AK6686">
        <v>45.115901851013703</v>
      </c>
      <c r="AL6686">
        <v>93.690900402769799</v>
      </c>
      <c r="AM6686">
        <v>91.823842057423306</v>
      </c>
      <c r="AN6686">
        <v>0.99999999153855901</v>
      </c>
    </row>
    <row r="6687" spans="1:40" x14ac:dyDescent="0.25">
      <c r="A6687" t="str">
        <f>"20190303154653125"</f>
        <v>20190303154653125</v>
      </c>
      <c r="B6687" t="str">
        <f>"1551599213118006"</f>
        <v>1551599213118006</v>
      </c>
      <c r="C6687" t="s">
        <v>40</v>
      </c>
      <c r="D6687">
        <v>4.9001739999999998</v>
      </c>
      <c r="E6687">
        <v>0.52502199999999999</v>
      </c>
      <c r="F6687" t="s">
        <v>60</v>
      </c>
      <c r="G6687">
        <v>-183.1892</v>
      </c>
      <c r="H6687" s="1">
        <v>-9.3045720000000007E-6</v>
      </c>
      <c r="I6687">
        <v>-63.830800000000004</v>
      </c>
      <c r="J6687">
        <v>-227.1028</v>
      </c>
      <c r="K6687">
        <v>1.1207940000000001</v>
      </c>
      <c r="L6687">
        <v>-62.418669999999999</v>
      </c>
      <c r="M6687">
        <v>0.99991110000000005</v>
      </c>
      <c r="N6687">
        <v>-1.299257E-2</v>
      </c>
      <c r="O6687">
        <v>2.993426E-3</v>
      </c>
      <c r="P6687">
        <v>0.99638289999999996</v>
      </c>
      <c r="Q6687">
        <v>-7.7526600000000001E-2</v>
      </c>
      <c r="R6687">
        <v>3.479836E-2</v>
      </c>
      <c r="S6687">
        <v>3.008286</v>
      </c>
      <c r="T6687">
        <v>-7.657456E-2</v>
      </c>
      <c r="U6687">
        <v>-9.6466060000000006E-2</v>
      </c>
      <c r="V6687">
        <v>-3.1847790000000001E-2</v>
      </c>
      <c r="W6687">
        <v>-6.4557279999999995E-2</v>
      </c>
      <c r="X6687">
        <v>0.9974056</v>
      </c>
      <c r="Y6687">
        <v>3.5024960000000001E-2</v>
      </c>
      <c r="Z6687">
        <v>-7.1052629999999995E-4</v>
      </c>
      <c r="AA6687">
        <v>0.9993862</v>
      </c>
      <c r="AB6687">
        <v>24</v>
      </c>
      <c r="AC6687">
        <v>43.913600000000002</v>
      </c>
      <c r="AD6687">
        <v>-1.1208033045720001</v>
      </c>
      <c r="AE6687">
        <v>-1.4121300000000001</v>
      </c>
      <c r="AF6687">
        <v>1.54258305160906</v>
      </c>
      <c r="AG6687">
        <v>-1.1208033045720001</v>
      </c>
      <c r="AH6687">
        <v>43.880620595064997</v>
      </c>
      <c r="AI6687">
        <v>91.462233689968699</v>
      </c>
      <c r="AJ6687">
        <v>87.986648415950498</v>
      </c>
      <c r="AK6687">
        <v>43.9220289413717</v>
      </c>
      <c r="AL6687">
        <v>93.701434034038101</v>
      </c>
      <c r="AM6687">
        <v>91.828869002182202</v>
      </c>
      <c r="AN6687">
        <v>0.99999992752011801</v>
      </c>
    </row>
    <row r="6688" spans="1:40" x14ac:dyDescent="0.25">
      <c r="A6688" t="str">
        <f>"20190303154653136"</f>
        <v>20190303154653136</v>
      </c>
      <c r="B6688" t="str">
        <f>"1551599213128742"</f>
        <v>1551599213128742</v>
      </c>
      <c r="C6688" t="s">
        <v>40</v>
      </c>
      <c r="D6688">
        <v>4.9065690000000002</v>
      </c>
      <c r="E6688">
        <v>0.52485630000000005</v>
      </c>
      <c r="F6688" t="s">
        <v>60</v>
      </c>
      <c r="G6688">
        <v>-184.55029999999999</v>
      </c>
      <c r="H6688" s="1">
        <v>-9.4700480000000004E-6</v>
      </c>
      <c r="I6688">
        <v>-63.749650000000003</v>
      </c>
      <c r="J6688">
        <v>-226.98560000000001</v>
      </c>
      <c r="K6688">
        <v>1.1207929999999999</v>
      </c>
      <c r="L6688">
        <v>-62.418460000000003</v>
      </c>
      <c r="M6688">
        <v>0.99991160000000001</v>
      </c>
      <c r="N6688">
        <v>-1.299779E-2</v>
      </c>
      <c r="O6688">
        <v>2.8487970000000001E-3</v>
      </c>
      <c r="P6688">
        <v>0.99639080000000002</v>
      </c>
      <c r="Q6688">
        <v>-7.7573329999999996E-2</v>
      </c>
      <c r="R6688">
        <v>3.4468230000000002E-2</v>
      </c>
      <c r="S6688">
        <v>3.0080110000000002</v>
      </c>
      <c r="T6688">
        <v>-7.9228759999999995E-2</v>
      </c>
      <c r="U6688">
        <v>-9.408569E-2</v>
      </c>
      <c r="V6688">
        <v>-3.1661750000000002E-2</v>
      </c>
      <c r="W6688">
        <v>-6.4598900000000001E-2</v>
      </c>
      <c r="X6688">
        <v>0.99740890000000004</v>
      </c>
      <c r="Y6688">
        <v>3.4092709999999998E-2</v>
      </c>
      <c r="Z6688">
        <v>-7.0847409999999999E-4</v>
      </c>
      <c r="AA6688">
        <v>0.99941840000000004</v>
      </c>
      <c r="AB6688">
        <v>24</v>
      </c>
      <c r="AC6688">
        <v>42.435299999999998</v>
      </c>
      <c r="AD6688">
        <v>-1.1208024700479999</v>
      </c>
      <c r="AE6688">
        <v>-1.3311900000000001</v>
      </c>
      <c r="AF6688">
        <v>1.45107308284113</v>
      </c>
      <c r="AG6688">
        <v>-1.1208024700479999</v>
      </c>
      <c r="AH6688">
        <v>42.401784955258101</v>
      </c>
      <c r="AI6688">
        <v>91.513256028219899</v>
      </c>
      <c r="AJ6688">
        <v>88.039989829637193</v>
      </c>
      <c r="AK6688">
        <v>42.441408773279001</v>
      </c>
      <c r="AL6688">
        <v>93.703823407259605</v>
      </c>
      <c r="AM6688">
        <v>91.818186778968595</v>
      </c>
      <c r="AN6688">
        <v>0.99999999904674097</v>
      </c>
    </row>
    <row r="6689" spans="1:40" x14ac:dyDescent="0.25">
      <c r="A6689" t="str">
        <f>"20190303154653148"</f>
        <v>20190303154653148</v>
      </c>
      <c r="B6689" t="str">
        <f>"1551599213138502"</f>
        <v>1551599213138502</v>
      </c>
      <c r="C6689" t="s">
        <v>40</v>
      </c>
      <c r="D6689">
        <v>4.8873430000000004</v>
      </c>
      <c r="E6689">
        <v>0.52458400000000005</v>
      </c>
      <c r="F6689" t="s">
        <v>60</v>
      </c>
      <c r="G6689">
        <v>-185.1841</v>
      </c>
      <c r="H6689" s="1">
        <v>-9.5432009999999998E-6</v>
      </c>
      <c r="I6689">
        <v>-63.7226199999999</v>
      </c>
      <c r="J6689">
        <v>-226.8657</v>
      </c>
      <c r="K6689">
        <v>1.120784</v>
      </c>
      <c r="L6689">
        <v>-62.418300000000002</v>
      </c>
      <c r="M6689">
        <v>0.99991180000000002</v>
      </c>
      <c r="N6689">
        <v>-1.300259E-2</v>
      </c>
      <c r="O6689">
        <v>2.701251E-3</v>
      </c>
      <c r="P6689">
        <v>0.99637779999999998</v>
      </c>
      <c r="Q6689">
        <v>-7.7767370000000002E-2</v>
      </c>
      <c r="R6689">
        <v>3.4403099999999999E-2</v>
      </c>
      <c r="S6689">
        <v>3.0078429999999998</v>
      </c>
      <c r="T6689">
        <v>-8.0647830000000004E-2</v>
      </c>
      <c r="U6689">
        <v>-9.3841549999999996E-2</v>
      </c>
      <c r="V6689">
        <v>-3.1743630000000002E-2</v>
      </c>
      <c r="W6689">
        <v>-6.4788319999999996E-2</v>
      </c>
      <c r="X6689">
        <v>0.997394</v>
      </c>
      <c r="Y6689">
        <v>3.3865520000000003E-2</v>
      </c>
      <c r="Z6689">
        <v>-7.1139399999999996E-4</v>
      </c>
      <c r="AA6689">
        <v>0.99942609999999998</v>
      </c>
      <c r="AB6689">
        <v>24</v>
      </c>
      <c r="AC6689">
        <v>41.681600000000003</v>
      </c>
      <c r="AD6689">
        <v>-1.1207935432009899</v>
      </c>
      <c r="AE6689">
        <v>-1.3043199999999899</v>
      </c>
      <c r="AF6689">
        <v>1.41589447764754</v>
      </c>
      <c r="AG6689">
        <v>-1.1207935432009899</v>
      </c>
      <c r="AH6689">
        <v>41.647840703148503</v>
      </c>
      <c r="AI6689">
        <v>91.540636724210799</v>
      </c>
      <c r="AJ6689">
        <v>88.052875158869995</v>
      </c>
      <c r="AK6689">
        <v>41.686971232906203</v>
      </c>
      <c r="AL6689">
        <v>93.714699198310996</v>
      </c>
      <c r="AM6689">
        <v>91.822912811224498</v>
      </c>
      <c r="AN6689">
        <v>0.99999998784499899</v>
      </c>
    </row>
    <row r="6690" spans="1:40" x14ac:dyDescent="0.25">
      <c r="A6690" t="str">
        <f>"20190303154653159"</f>
        <v>20190303154653159</v>
      </c>
      <c r="B6690" t="str">
        <f>"1551599213148262"</f>
        <v>1551599213148262</v>
      </c>
      <c r="C6690" t="s">
        <v>40</v>
      </c>
      <c r="D6690">
        <v>4.9216899999999999</v>
      </c>
      <c r="E6690">
        <v>0.52431079999999997</v>
      </c>
      <c r="F6690" t="s">
        <v>60</v>
      </c>
      <c r="G6690">
        <v>-186.1</v>
      </c>
      <c r="H6690" s="1">
        <v>-9.6559390000000002E-6</v>
      </c>
      <c r="I6690">
        <v>-63.664189999999998</v>
      </c>
      <c r="J6690">
        <v>-226.73429999999999</v>
      </c>
      <c r="K6690">
        <v>1.1207830000000001</v>
      </c>
      <c r="L6690">
        <v>-62.418120000000002</v>
      </c>
      <c r="M6690">
        <v>0.99991229999999998</v>
      </c>
      <c r="N6690">
        <v>-1.3007499999999899E-2</v>
      </c>
      <c r="O6690">
        <v>2.539459E-3</v>
      </c>
      <c r="P6690">
        <v>0.99640079999999998</v>
      </c>
      <c r="Q6690">
        <v>-7.7613059999999998E-2</v>
      </c>
      <c r="R6690">
        <v>3.4086060000000001E-2</v>
      </c>
      <c r="S6690">
        <v>3.0076290000000001</v>
      </c>
      <c r="T6690">
        <v>-8.2690479999999997E-2</v>
      </c>
      <c r="U6690">
        <v>-9.1918949999999999E-2</v>
      </c>
      <c r="V6690">
        <v>-3.1587490000000003E-2</v>
      </c>
      <c r="W6690">
        <v>-6.4628969999999994E-2</v>
      </c>
      <c r="X6690">
        <v>0.99740930000000005</v>
      </c>
      <c r="Y6690">
        <v>3.3067399999999997E-2</v>
      </c>
      <c r="Z6690">
        <v>-7.0632759999999996E-4</v>
      </c>
      <c r="AA6690">
        <v>0.99945289999999998</v>
      </c>
      <c r="AB6690">
        <v>24</v>
      </c>
      <c r="AC6690">
        <v>40.634300000000003</v>
      </c>
      <c r="AD6690">
        <v>-1.120792655939</v>
      </c>
      <c r="AE6690">
        <v>-1.24607000000001</v>
      </c>
      <c r="AF6690">
        <v>1.3482390743658801</v>
      </c>
      <c r="AG6690">
        <v>-1.120792655939</v>
      </c>
      <c r="AH6690">
        <v>40.600145165312703</v>
      </c>
      <c r="AI6690">
        <v>91.580413865729895</v>
      </c>
      <c r="AJ6690">
        <v>88.098035564564</v>
      </c>
      <c r="AK6690">
        <v>40.637983614147501</v>
      </c>
      <c r="AL6690">
        <v>93.7055499234053</v>
      </c>
      <c r="AM6690">
        <v>91.813924498426204</v>
      </c>
      <c r="AN6690">
        <v>0.99999999250712501</v>
      </c>
    </row>
    <row r="6691" spans="1:40" x14ac:dyDescent="0.25">
      <c r="A6691" t="str">
        <f>"20190303154653171"</f>
        <v>20190303154653171</v>
      </c>
      <c r="B6691" t="str">
        <f>"1551599213167783"</f>
        <v>1551599213167783</v>
      </c>
      <c r="C6691" t="s">
        <v>40</v>
      </c>
      <c r="D6691">
        <v>4.9040819999999998</v>
      </c>
      <c r="E6691">
        <v>0.52363199999999999</v>
      </c>
      <c r="F6691" t="s">
        <v>60</v>
      </c>
      <c r="G6691">
        <v>-186.39269999999999</v>
      </c>
      <c r="H6691" s="1">
        <v>-9.6955890000000007E-6</v>
      </c>
      <c r="I6691">
        <v>-63.635559999999998</v>
      </c>
      <c r="J6691">
        <v>-226.62350000000001</v>
      </c>
      <c r="K6691">
        <v>1.1207819999999999</v>
      </c>
      <c r="L6691">
        <v>-62.417999999999999</v>
      </c>
      <c r="M6691">
        <v>0.99991260000000004</v>
      </c>
      <c r="N6691">
        <v>-1.301102E-2</v>
      </c>
      <c r="O6691">
        <v>2.403068E-3</v>
      </c>
      <c r="P6691">
        <v>0.99641310000000005</v>
      </c>
      <c r="Q6691">
        <v>-7.756014E-2</v>
      </c>
      <c r="R6691">
        <v>3.384595E-2</v>
      </c>
      <c r="S6691">
        <v>3.0074459999999998</v>
      </c>
      <c r="T6691">
        <v>-8.3554630000000005E-2</v>
      </c>
      <c r="U6691">
        <v>-9.0759279999999998E-2</v>
      </c>
      <c r="V6691">
        <v>-3.1483919999999999E-2</v>
      </c>
      <c r="W6691">
        <v>-6.4572530000000003E-2</v>
      </c>
      <c r="X6691">
        <v>0.99741630000000003</v>
      </c>
      <c r="Y6691">
        <v>3.2547850000000003E-2</v>
      </c>
      <c r="Z6691">
        <v>-6.9927789999999997E-4</v>
      </c>
      <c r="AA6691">
        <v>0.99946990000000002</v>
      </c>
      <c r="AB6691">
        <v>24</v>
      </c>
      <c r="AC6691">
        <v>40.230800000000002</v>
      </c>
      <c r="AD6691">
        <v>-1.120791695589</v>
      </c>
      <c r="AE6691">
        <v>-1.21755999999999</v>
      </c>
      <c r="AF6691">
        <v>1.3132237081397899</v>
      </c>
      <c r="AG6691">
        <v>-1.120791695589</v>
      </c>
      <c r="AH6691">
        <v>40.196588606384999</v>
      </c>
      <c r="AI6691">
        <v>91.596299237182393</v>
      </c>
      <c r="AJ6691">
        <v>88.128810768762406</v>
      </c>
      <c r="AK6691">
        <v>40.233648431673203</v>
      </c>
      <c r="AL6691">
        <v>93.702309122406106</v>
      </c>
      <c r="AM6691">
        <v>91.807968222508407</v>
      </c>
      <c r="AN6691">
        <v>1.0000000621774201</v>
      </c>
    </row>
    <row r="6692" spans="1:40" x14ac:dyDescent="0.25">
      <c r="A6692" t="str">
        <f>"20190303154653182"</f>
        <v>20190303154653182</v>
      </c>
      <c r="B6692" t="str">
        <f>"1551599213178518"</f>
        <v>1551599213178518</v>
      </c>
      <c r="C6692" t="s">
        <v>40</v>
      </c>
      <c r="D6692">
        <v>4.8964600000000003</v>
      </c>
      <c r="E6692">
        <v>0.523366</v>
      </c>
      <c r="F6692" t="s">
        <v>60</v>
      </c>
      <c r="G6692">
        <v>-188.09540000000001</v>
      </c>
      <c r="H6692" s="1">
        <v>-9.9234829999999993E-6</v>
      </c>
      <c r="I6692">
        <v>-63.520710000000001</v>
      </c>
      <c r="J6692">
        <v>-226.5044</v>
      </c>
      <c r="K6692">
        <v>1.1207879999999999</v>
      </c>
      <c r="L6692">
        <v>-62.417879999999997</v>
      </c>
      <c r="M6692">
        <v>0.99991289999999999</v>
      </c>
      <c r="N6692">
        <v>-1.3014700000000001E-2</v>
      </c>
      <c r="O6692">
        <v>2.256723E-3</v>
      </c>
      <c r="P6692">
        <v>0.99639509999999998</v>
      </c>
      <c r="Q6692">
        <v>-7.7889739999999999E-2</v>
      </c>
      <c r="R6692">
        <v>3.3620459999999998E-2</v>
      </c>
      <c r="S6692">
        <v>3.0069119999999998</v>
      </c>
      <c r="T6692">
        <v>-8.7471960000000001E-2</v>
      </c>
      <c r="U6692">
        <v>-8.6059570000000002E-2</v>
      </c>
      <c r="V6692">
        <v>-3.1403830000000001E-2</v>
      </c>
      <c r="W6692">
        <v>-6.4898769999999995E-2</v>
      </c>
      <c r="X6692">
        <v>0.9973976</v>
      </c>
      <c r="Y6692">
        <v>3.0845609999999999E-2</v>
      </c>
      <c r="Z6692">
        <v>-6.8556119999999996E-4</v>
      </c>
      <c r="AA6692">
        <v>0.99952390000000002</v>
      </c>
      <c r="AB6692">
        <v>24</v>
      </c>
      <c r="AC6692">
        <v>38.408999999999899</v>
      </c>
      <c r="AD6692">
        <v>-1.1207979234829999</v>
      </c>
      <c r="AE6692">
        <v>-1.10282999999999</v>
      </c>
      <c r="AF6692">
        <v>1.1885018096355</v>
      </c>
      <c r="AG6692">
        <v>-1.1207979234829999</v>
      </c>
      <c r="AH6692">
        <v>38.373764542610097</v>
      </c>
      <c r="AI6692">
        <v>91.672183810570999</v>
      </c>
      <c r="AJ6692">
        <v>88.226017768211094</v>
      </c>
      <c r="AK6692">
        <v>38.408521576708303</v>
      </c>
      <c r="AL6692">
        <v>93.721040774798297</v>
      </c>
      <c r="AM6692">
        <v>91.803405873261894</v>
      </c>
      <c r="AN6692">
        <v>1.00000001168597</v>
      </c>
    </row>
    <row r="6693" spans="1:40" x14ac:dyDescent="0.25">
      <c r="A6693" t="str">
        <f>"20190303154653193"</f>
        <v>20190303154653193</v>
      </c>
      <c r="B6693" t="str">
        <f>"1551599213188278"</f>
        <v>1551599213188278</v>
      </c>
      <c r="C6693" t="s">
        <v>40</v>
      </c>
      <c r="D6693">
        <v>4.8951500000000001</v>
      </c>
      <c r="E6693">
        <v>0.52311479999999999</v>
      </c>
      <c r="F6693" t="s">
        <v>60</v>
      </c>
      <c r="G6693">
        <v>-189.08959999999999</v>
      </c>
      <c r="H6693" s="1">
        <v>-1.0052769999999999E-5</v>
      </c>
      <c r="I6693">
        <v>-63.470950000000002</v>
      </c>
      <c r="J6693">
        <v>-226.3862</v>
      </c>
      <c r="K6693">
        <v>1.120787</v>
      </c>
      <c r="L6693">
        <v>-62.417760000000001</v>
      </c>
      <c r="M6693">
        <v>0.9999131</v>
      </c>
      <c r="N6693">
        <v>-1.301779E-2</v>
      </c>
      <c r="O6693">
        <v>2.1110370000000001E-3</v>
      </c>
      <c r="P6693">
        <v>0.99641109999999999</v>
      </c>
      <c r="Q6693">
        <v>-7.7868030000000005E-2</v>
      </c>
      <c r="R6693">
        <v>3.319238E-2</v>
      </c>
      <c r="S6693">
        <v>3.0066679999999999</v>
      </c>
      <c r="T6693">
        <v>-9.0067629999999996E-2</v>
      </c>
      <c r="U6693">
        <v>-8.4625240000000004E-2</v>
      </c>
      <c r="V6693">
        <v>-3.1121369999999999E-2</v>
      </c>
      <c r="W6693">
        <v>-6.4873990000000006E-2</v>
      </c>
      <c r="X6693">
        <v>0.99740799999999996</v>
      </c>
      <c r="Y6693">
        <v>3.0225289999999998E-2</v>
      </c>
      <c r="Z6693">
        <v>-6.8510520000000005E-4</v>
      </c>
      <c r="AA6693">
        <v>0.99954290000000001</v>
      </c>
      <c r="AB6693">
        <v>24</v>
      </c>
      <c r="AC6693">
        <v>37.296599999999998</v>
      </c>
      <c r="AD6693">
        <v>-1.12079705277</v>
      </c>
      <c r="AE6693">
        <v>-1.0531900000000001</v>
      </c>
      <c r="AF6693">
        <v>1.13090836082377</v>
      </c>
      <c r="AG6693">
        <v>-1.12079705277</v>
      </c>
      <c r="AH6693">
        <v>37.260671644182203</v>
      </c>
      <c r="AI6693">
        <v>91.722138906691299</v>
      </c>
      <c r="AJ6693">
        <v>88.261534549232294</v>
      </c>
      <c r="AK6693">
        <v>37.294675104224197</v>
      </c>
      <c r="AL6693">
        <v>93.719618230441199</v>
      </c>
      <c r="AM6693">
        <v>91.787177183605706</v>
      </c>
      <c r="AN6693">
        <v>0.99999994635659695</v>
      </c>
    </row>
    <row r="6694" spans="1:40" x14ac:dyDescent="0.25">
      <c r="A6694" t="str">
        <f>"20190303154653204"</f>
        <v>20190303154653204</v>
      </c>
      <c r="B6694" t="str">
        <f>"1551599213198037"</f>
        <v>1551599213198037</v>
      </c>
      <c r="C6694" t="s">
        <v>40</v>
      </c>
      <c r="D6694">
        <v>4.8755600000000001</v>
      </c>
      <c r="E6694">
        <v>0.52285249999999905</v>
      </c>
      <c r="F6694" t="s">
        <v>60</v>
      </c>
      <c r="G6694">
        <v>-189.51759999999999</v>
      </c>
      <c r="H6694" s="1">
        <v>-1.0109339999999999E-5</v>
      </c>
      <c r="I6694">
        <v>-63.446930000000002</v>
      </c>
      <c r="J6694">
        <v>-226.2638</v>
      </c>
      <c r="K6694">
        <v>1.1207879999999999</v>
      </c>
      <c r="L6694">
        <v>-62.41769</v>
      </c>
      <c r="M6694">
        <v>0.9999133</v>
      </c>
      <c r="N6694">
        <v>-1.3020830000000001E-2</v>
      </c>
      <c r="O6694">
        <v>1.960285E-3</v>
      </c>
      <c r="P6694">
        <v>0.99642019999999998</v>
      </c>
      <c r="Q6694">
        <v>-7.7832719999999994E-2</v>
      </c>
      <c r="R6694">
        <v>3.3003390000000001E-2</v>
      </c>
      <c r="S6694">
        <v>3.0064540000000002</v>
      </c>
      <c r="T6694">
        <v>-9.1395379999999998E-2</v>
      </c>
      <c r="U6694">
        <v>-8.3923339999999999E-2</v>
      </c>
      <c r="V6694">
        <v>-3.1081979999999999E-2</v>
      </c>
      <c r="W6694">
        <v>-6.4835649999999995E-2</v>
      </c>
      <c r="X6694">
        <v>0.99741179999999996</v>
      </c>
      <c r="Y6694">
        <v>2.984318E-2</v>
      </c>
      <c r="Z6694">
        <v>-6.8187079999999995E-4</v>
      </c>
      <c r="AA6694">
        <v>0.99955430000000001</v>
      </c>
      <c r="AB6694">
        <v>24</v>
      </c>
      <c r="AC6694">
        <v>36.746200000000002</v>
      </c>
      <c r="AD6694">
        <v>-1.1207981093399999</v>
      </c>
      <c r="AE6694">
        <v>-1.0292399999999999</v>
      </c>
      <c r="AF6694">
        <v>1.1002543736769601</v>
      </c>
      <c r="AG6694">
        <v>-1.1207981093399999</v>
      </c>
      <c r="AH6694">
        <v>36.709986540360802</v>
      </c>
      <c r="AI6694">
        <v>91.747978374777304</v>
      </c>
      <c r="AJ6694">
        <v>88.283271882929995</v>
      </c>
      <c r="AK6694">
        <v>36.7435689595087</v>
      </c>
      <c r="AL6694">
        <v>93.717416583311206</v>
      </c>
      <c r="AM6694">
        <v>91.784909839968805</v>
      </c>
      <c r="AN6694">
        <v>1.0000000248854399</v>
      </c>
    </row>
    <row r="6695" spans="1:40" x14ac:dyDescent="0.25">
      <c r="A6695" t="str">
        <f>"20190303154653217"</f>
        <v>20190303154653217</v>
      </c>
      <c r="B6695" t="str">
        <f>"1551599213208774"</f>
        <v>1551599213208774</v>
      </c>
      <c r="C6695" t="s">
        <v>40</v>
      </c>
      <c r="D6695">
        <v>4.911098</v>
      </c>
      <c r="E6695">
        <v>0.52260879999999998</v>
      </c>
      <c r="F6695" t="s">
        <v>60</v>
      </c>
      <c r="G6695">
        <v>-189.8956</v>
      </c>
      <c r="H6695" s="1">
        <v>-1.0163000000000001E-5</v>
      </c>
      <c r="I6695">
        <v>-63.415230000000001</v>
      </c>
      <c r="J6695">
        <v>-226.12889999999999</v>
      </c>
      <c r="K6695">
        <v>1.1207860000000001</v>
      </c>
      <c r="L6695">
        <v>-62.4176</v>
      </c>
      <c r="M6695">
        <v>0.99991359999999996</v>
      </c>
      <c r="N6695">
        <v>-1.3023760000000001E-2</v>
      </c>
      <c r="O6695">
        <v>1.79386E-3</v>
      </c>
      <c r="P6695">
        <v>0.99641199999999996</v>
      </c>
      <c r="Q6695">
        <v>-7.8078079999999994E-2</v>
      </c>
      <c r="R6695">
        <v>3.2661809999999999E-2</v>
      </c>
      <c r="S6695">
        <v>3.0062869999999999</v>
      </c>
      <c r="T6695">
        <v>-9.2648149999999999E-2</v>
      </c>
      <c r="U6695">
        <v>-8.2458500000000004E-2</v>
      </c>
      <c r="V6695">
        <v>-3.090646E-2</v>
      </c>
      <c r="W6695">
        <v>-6.5078349999999993E-2</v>
      </c>
      <c r="X6695">
        <v>0.99740139999999999</v>
      </c>
      <c r="Y6695">
        <v>2.9191680000000001E-2</v>
      </c>
      <c r="Z6695">
        <v>-6.7173030000000004E-4</v>
      </c>
      <c r="AA6695">
        <v>0.99957359999999995</v>
      </c>
      <c r="AB6695">
        <v>24</v>
      </c>
      <c r="AC6695">
        <v>36.2332999999999</v>
      </c>
      <c r="AD6695">
        <v>-1.1207961630000001</v>
      </c>
      <c r="AE6695">
        <v>-0.99763000000000701</v>
      </c>
      <c r="AF6695">
        <v>1.06161635054892</v>
      </c>
      <c r="AG6695">
        <v>-1.1207961630000001</v>
      </c>
      <c r="AH6695">
        <v>36.196843725937697</v>
      </c>
      <c r="AI6695">
        <v>91.772773451487794</v>
      </c>
      <c r="AJ6695">
        <v>88.320055053675503</v>
      </c>
      <c r="AK6695">
        <v>36.229748950754598</v>
      </c>
      <c r="AL6695">
        <v>93.731351878380096</v>
      </c>
      <c r="AM6695">
        <v>91.774855410170304</v>
      </c>
      <c r="AN6695">
        <v>0.99999997681520603</v>
      </c>
    </row>
    <row r="6696" spans="1:40" x14ac:dyDescent="0.25">
      <c r="A6696" t="str">
        <f>"20190303154653233"</f>
        <v>20190303154653233</v>
      </c>
      <c r="B6696" t="str">
        <f>"1551599213228294"</f>
        <v>1551599213228294</v>
      </c>
      <c r="C6696" t="s">
        <v>40</v>
      </c>
      <c r="D6696">
        <v>4.8891580000000001</v>
      </c>
      <c r="E6696">
        <v>0.52220869999999997</v>
      </c>
      <c r="F6696" t="s">
        <v>60</v>
      </c>
      <c r="G6696">
        <v>-190.5001</v>
      </c>
      <c r="H6696" s="1">
        <v>-9.823737E-6</v>
      </c>
      <c r="I6696">
        <v>-63.383710000000001</v>
      </c>
      <c r="J6696">
        <v>-225.97829999999999</v>
      </c>
      <c r="K6696">
        <v>1.120787</v>
      </c>
      <c r="L6696">
        <v>-62.417569999999998</v>
      </c>
      <c r="M6696">
        <v>0.99991390000000002</v>
      </c>
      <c r="N6696">
        <v>-1.302655E-2</v>
      </c>
      <c r="O6696">
        <v>1.608064E-3</v>
      </c>
      <c r="P6696">
        <v>0.99642770000000003</v>
      </c>
      <c r="Q6696">
        <v>-7.8111379999999994E-2</v>
      </c>
      <c r="R6696">
        <v>3.2103489999999998E-2</v>
      </c>
      <c r="S6696">
        <v>3.0060730000000002</v>
      </c>
      <c r="T6696">
        <v>-9.4563720000000004E-2</v>
      </c>
      <c r="U6696">
        <v>-8.151245E-2</v>
      </c>
      <c r="V6696">
        <v>-3.0533060000000001E-2</v>
      </c>
      <c r="W6696">
        <v>-6.5108949999999999E-2</v>
      </c>
      <c r="X6696">
        <v>0.99741100000000005</v>
      </c>
      <c r="Y6696">
        <v>2.8693199999999999E-2</v>
      </c>
      <c r="Z6696">
        <v>-6.6773169999999999E-4</v>
      </c>
      <c r="AA6696">
        <v>0.99958800000000003</v>
      </c>
      <c r="AB6696">
        <v>24</v>
      </c>
      <c r="AC6696">
        <v>35.478199999999902</v>
      </c>
      <c r="AD6696">
        <v>-1.1207968237369901</v>
      </c>
      <c r="AE6696">
        <v>-0.966140000000002</v>
      </c>
      <c r="AF6696">
        <v>1.02217543025019</v>
      </c>
      <c r="AG6696">
        <v>-1.1207968237369901</v>
      </c>
      <c r="AH6696">
        <v>35.441256204194197</v>
      </c>
      <c r="AI6696">
        <v>91.810569789194801</v>
      </c>
      <c r="AJ6696">
        <v>88.347967497803197</v>
      </c>
      <c r="AK6696">
        <v>35.473703915176998</v>
      </c>
      <c r="AL6696">
        <v>93.733108495883002</v>
      </c>
      <c r="AM6696">
        <v>91.753408889134406</v>
      </c>
      <c r="AN6696">
        <v>1.00000007302203</v>
      </c>
    </row>
    <row r="6697" spans="1:40" x14ac:dyDescent="0.25">
      <c r="A6697" t="str">
        <f>"20190303154653249"</f>
        <v>20190303154653249</v>
      </c>
      <c r="B6697" t="str">
        <f>"1551599213238053"</f>
        <v>1551599213238053</v>
      </c>
      <c r="C6697" t="s">
        <v>40</v>
      </c>
      <c r="D6697">
        <v>4.9092830000000003</v>
      </c>
      <c r="E6697">
        <v>0.52197059999999995</v>
      </c>
      <c r="F6697" t="s">
        <v>60</v>
      </c>
      <c r="G6697">
        <v>-191.03989999999999</v>
      </c>
      <c r="H6697" s="1">
        <v>-9.5845999999999997E-6</v>
      </c>
      <c r="I6697">
        <v>-63.347320000000003</v>
      </c>
      <c r="J6697">
        <v>-225.78829999999999</v>
      </c>
      <c r="K6697">
        <v>1.1207860000000001</v>
      </c>
      <c r="L6697">
        <v>-62.417540000000002</v>
      </c>
      <c r="M6697">
        <v>0.99991419999999998</v>
      </c>
      <c r="N6697">
        <v>-1.3029519999999999E-2</v>
      </c>
      <c r="O6697">
        <v>1.3739309999999999E-3</v>
      </c>
      <c r="P6697">
        <v>0.9964594</v>
      </c>
      <c r="Q6697">
        <v>-7.7895210000000006E-2</v>
      </c>
      <c r="R6697">
        <v>3.163908E-2</v>
      </c>
      <c r="S6697">
        <v>3.0057529999999999</v>
      </c>
      <c r="T6697">
        <v>-9.6422079999999993E-2</v>
      </c>
      <c r="U6697">
        <v>-7.9986570000000007E-2</v>
      </c>
      <c r="V6697">
        <v>-3.0301870000000002E-2</v>
      </c>
      <c r="W6697">
        <v>-6.4889660000000002E-2</v>
      </c>
      <c r="X6697">
        <v>0.99743230000000005</v>
      </c>
      <c r="Y6697">
        <v>2.7954819999999998E-2</v>
      </c>
      <c r="Z6697">
        <v>-6.5657330000000002E-4</v>
      </c>
      <c r="AA6697">
        <v>0.99960899999999997</v>
      </c>
      <c r="AB6697">
        <v>24</v>
      </c>
      <c r="AC6697">
        <v>34.748399999999997</v>
      </c>
      <c r="AD6697">
        <v>-1.1207955846</v>
      </c>
      <c r="AE6697">
        <v>-0.92977999999999295</v>
      </c>
      <c r="AF6697">
        <v>0.97650988384485604</v>
      </c>
      <c r="AG6697">
        <v>-1.1207955846</v>
      </c>
      <c r="AH6697">
        <v>34.711003569247701</v>
      </c>
      <c r="AI6697">
        <v>91.848669761000593</v>
      </c>
      <c r="AJ6697">
        <v>88.388547264841904</v>
      </c>
      <c r="AK6697">
        <v>34.742819734155603</v>
      </c>
      <c r="AL6697">
        <v>93.720517631305597</v>
      </c>
      <c r="AM6697">
        <v>91.740103496799193</v>
      </c>
      <c r="AN6697">
        <v>1.0000000321918501</v>
      </c>
    </row>
    <row r="6698" spans="1:40" x14ac:dyDescent="0.25">
      <c r="A6698" t="str">
        <f>"20190303154653260"</f>
        <v>20190303154653260</v>
      </c>
      <c r="B6698" t="str">
        <f>"1551599213247814"</f>
        <v>1551599213247814</v>
      </c>
      <c r="C6698" t="s">
        <v>40</v>
      </c>
      <c r="D6698">
        <v>4.980194</v>
      </c>
      <c r="E6698">
        <v>0.52187429999999901</v>
      </c>
      <c r="F6698" t="s">
        <v>60</v>
      </c>
      <c r="G6698">
        <v>-191.1482</v>
      </c>
      <c r="H6698" s="1">
        <v>-9.5360580000000002E-6</v>
      </c>
      <c r="I6698">
        <v>-63.333770000000001</v>
      </c>
      <c r="J6698">
        <v>-225.67310000000001</v>
      </c>
      <c r="K6698">
        <v>1.1207879999999999</v>
      </c>
      <c r="L6698">
        <v>-62.417540000000002</v>
      </c>
      <c r="M6698">
        <v>0.99991450000000004</v>
      </c>
      <c r="N6698">
        <v>-1.30311E-2</v>
      </c>
      <c r="O6698">
        <v>1.2318920000000001E-3</v>
      </c>
      <c r="P6698">
        <v>0.9964653</v>
      </c>
      <c r="Q6698">
        <v>-7.7878649999999994E-2</v>
      </c>
      <c r="R6698">
        <v>3.1499399999999997E-2</v>
      </c>
      <c r="S6698">
        <v>3.0055999999999998</v>
      </c>
      <c r="T6698">
        <v>-9.7247479999999997E-2</v>
      </c>
      <c r="U6698">
        <v>-7.9498289999999999E-2</v>
      </c>
      <c r="V6698">
        <v>-3.030381E-2</v>
      </c>
      <c r="W6698">
        <v>-6.4871490000000004E-2</v>
      </c>
      <c r="X6698">
        <v>0.99743340000000003</v>
      </c>
      <c r="Y6698">
        <v>2.765184E-2</v>
      </c>
      <c r="Z6698">
        <v>-6.5121349999999897E-4</v>
      </c>
      <c r="AA6698">
        <v>0.99961739999999999</v>
      </c>
      <c r="AB6698">
        <v>24</v>
      </c>
      <c r="AC6698">
        <v>34.524900000000002</v>
      </c>
      <c r="AD6698">
        <v>-1.12079753605799</v>
      </c>
      <c r="AE6698">
        <v>-0.916229999999991</v>
      </c>
      <c r="AF6698">
        <v>0.95775521242628603</v>
      </c>
      <c r="AG6698">
        <v>-1.12079753605799</v>
      </c>
      <c r="AH6698">
        <v>34.487425119564897</v>
      </c>
      <c r="AI6698">
        <v>91.860668108008994</v>
      </c>
      <c r="AJ6698">
        <v>88.409239584314506</v>
      </c>
      <c r="AK6698">
        <v>34.518921963777501</v>
      </c>
      <c r="AL6698">
        <v>93.719474454265907</v>
      </c>
      <c r="AM6698">
        <v>91.740212916010094</v>
      </c>
      <c r="AN6698">
        <v>1.00000000927544</v>
      </c>
    </row>
    <row r="6699" spans="1:40" x14ac:dyDescent="0.25">
      <c r="A6699" t="str">
        <f>"20190303154653273"</f>
        <v>20190303154653273</v>
      </c>
      <c r="B6699" t="str">
        <f>"1551599213268309"</f>
        <v>1551599213268309</v>
      </c>
      <c r="C6699" t="s">
        <v>40</v>
      </c>
      <c r="D6699">
        <v>4.998926</v>
      </c>
      <c r="E6699">
        <v>0.52159840000000002</v>
      </c>
      <c r="F6699" t="s">
        <v>60</v>
      </c>
      <c r="G6699">
        <v>-191.26589999999999</v>
      </c>
      <c r="H6699" s="1">
        <v>-9.4837250000000004E-6</v>
      </c>
      <c r="I6699">
        <v>-63.323810000000002</v>
      </c>
      <c r="J6699">
        <v>-225.55179999999999</v>
      </c>
      <c r="K6699">
        <v>1.1207860000000001</v>
      </c>
      <c r="L6699">
        <v>-62.417569999999998</v>
      </c>
      <c r="M6699">
        <v>0.99991450000000004</v>
      </c>
      <c r="N6699">
        <v>-1.3032470000000001E-2</v>
      </c>
      <c r="O6699">
        <v>1.082462E-3</v>
      </c>
      <c r="P6699">
        <v>0.99648239999999999</v>
      </c>
      <c r="Q6699">
        <v>-7.7666120000000005E-2</v>
      </c>
      <c r="R6699">
        <v>3.1481490000000001E-2</v>
      </c>
      <c r="S6699">
        <v>3.0054780000000001</v>
      </c>
      <c r="T6699">
        <v>-9.7902059999999999E-2</v>
      </c>
      <c r="U6699">
        <v>-7.91626E-2</v>
      </c>
      <c r="V6699">
        <v>-3.043502E-2</v>
      </c>
      <c r="W6699">
        <v>-6.4657409999999998E-2</v>
      </c>
      <c r="X6699">
        <v>0.99744330000000003</v>
      </c>
      <c r="Y6699">
        <v>2.7391929999999998E-2</v>
      </c>
      <c r="Z6699">
        <v>-6.4568359999999997E-4</v>
      </c>
      <c r="AA6699">
        <v>0.99962459999999997</v>
      </c>
      <c r="AB6699">
        <v>24</v>
      </c>
      <c r="AC6699">
        <v>34.285899999999998</v>
      </c>
      <c r="AD6699">
        <v>-1.120795483725</v>
      </c>
      <c r="AE6699">
        <v>-0.90623999999999605</v>
      </c>
      <c r="AF6699">
        <v>0.94234949794543998</v>
      </c>
      <c r="AG6699">
        <v>-1.120795483725</v>
      </c>
      <c r="AH6699">
        <v>34.248326101207603</v>
      </c>
      <c r="AI6699">
        <v>91.873658635880304</v>
      </c>
      <c r="AJ6699">
        <v>88.423892911162795</v>
      </c>
      <c r="AK6699">
        <v>34.279615602093301</v>
      </c>
      <c r="AL6699">
        <v>93.707182788366495</v>
      </c>
      <c r="AM6699">
        <v>91.747725722913401</v>
      </c>
      <c r="AN6699">
        <v>1.00000000391259</v>
      </c>
    </row>
    <row r="6700" spans="1:40" x14ac:dyDescent="0.25">
      <c r="A6700" t="str">
        <f>"20190303154653283"</f>
        <v>20190303154653283</v>
      </c>
      <c r="B6700" t="str">
        <f>"1551599213278070"</f>
        <v>1551599213278070</v>
      </c>
      <c r="C6700" t="s">
        <v>40</v>
      </c>
      <c r="D6700">
        <v>4.9565679999999999</v>
      </c>
      <c r="E6700">
        <v>0.52140609999999998</v>
      </c>
      <c r="F6700" t="s">
        <v>60</v>
      </c>
      <c r="G6700">
        <v>-191.46619999999999</v>
      </c>
      <c r="H6700" s="1">
        <v>-9.3932630000000008E-6</v>
      </c>
      <c r="I6700">
        <v>-63.29083</v>
      </c>
      <c r="J6700">
        <v>-225.4246</v>
      </c>
      <c r="K6700">
        <v>1.1207929999999999</v>
      </c>
      <c r="L6700">
        <v>-62.4176</v>
      </c>
      <c r="M6700">
        <v>0.99991470000000005</v>
      </c>
      <c r="N6700">
        <v>-1.303379E-2</v>
      </c>
      <c r="O6700">
        <v>9.2558229999999998E-4</v>
      </c>
      <c r="P6700">
        <v>0.99648990000000004</v>
      </c>
      <c r="Q6700">
        <v>-7.7550930000000004E-2</v>
      </c>
      <c r="R6700">
        <v>3.1526070000000003E-2</v>
      </c>
      <c r="S6700">
        <v>3.005341</v>
      </c>
      <c r="T6700">
        <v>-9.8821160000000005E-2</v>
      </c>
      <c r="U6700">
        <v>-7.6995850000000005E-2</v>
      </c>
      <c r="V6700">
        <v>-3.0635969999999998E-2</v>
      </c>
      <c r="W6700">
        <v>-6.4540769999999997E-2</v>
      </c>
      <c r="X6700">
        <v>0.99744469999999996</v>
      </c>
      <c r="Y6700">
        <v>2.6516430000000001E-2</v>
      </c>
      <c r="Z6700">
        <v>-6.2703249999999998E-4</v>
      </c>
      <c r="AA6700">
        <v>0.99964819999999999</v>
      </c>
      <c r="AB6700">
        <v>24</v>
      </c>
      <c r="AC6700">
        <v>33.958399999999997</v>
      </c>
      <c r="AD6700">
        <v>-1.120802393263</v>
      </c>
      <c r="AE6700">
        <v>-0.87323000000000595</v>
      </c>
      <c r="AF6700">
        <v>0.90367982317228601</v>
      </c>
      <c r="AG6700">
        <v>-1.120802393263</v>
      </c>
      <c r="AH6700">
        <v>33.920650415096901</v>
      </c>
      <c r="AI6700">
        <v>91.891801582027696</v>
      </c>
      <c r="AJ6700">
        <v>88.473944484453</v>
      </c>
      <c r="AK6700">
        <v>33.951190845252597</v>
      </c>
      <c r="AL6700">
        <v>93.700485829247597</v>
      </c>
      <c r="AM6700">
        <v>91.759255546196698</v>
      </c>
      <c r="AN6700">
        <v>1.00000000160406</v>
      </c>
    </row>
    <row r="6701" spans="1:40" x14ac:dyDescent="0.25">
      <c r="A6701" t="str">
        <f>"20190303154653295"</f>
        <v>20190303154653295</v>
      </c>
      <c r="B6701" t="str">
        <f>"1551599213287830"</f>
        <v>1551599213287830</v>
      </c>
      <c r="C6701" t="s">
        <v>40</v>
      </c>
      <c r="D6701">
        <v>5.0354720000000004</v>
      </c>
      <c r="E6701">
        <v>0.52131379999999905</v>
      </c>
      <c r="F6701" t="s">
        <v>60</v>
      </c>
      <c r="G6701">
        <v>-191.64259999999999</v>
      </c>
      <c r="H6701" s="1">
        <v>-9.3138009999999999E-6</v>
      </c>
      <c r="I6701">
        <v>-63.263919999999999</v>
      </c>
      <c r="J6701">
        <v>-225.2945</v>
      </c>
      <c r="K6701">
        <v>1.1207929999999999</v>
      </c>
      <c r="L6701">
        <v>-62.41769</v>
      </c>
      <c r="M6701">
        <v>0.99991479999999999</v>
      </c>
      <c r="N6701">
        <v>-1.3034830000000001E-2</v>
      </c>
      <c r="O6701">
        <v>7.6500910000000001E-4</v>
      </c>
      <c r="P6701">
        <v>0.9964906</v>
      </c>
      <c r="Q6701">
        <v>-7.7574799999999999E-2</v>
      </c>
      <c r="R6701">
        <v>3.1446540000000002E-2</v>
      </c>
      <c r="S6701">
        <v>3.0052029999999998</v>
      </c>
      <c r="T6701">
        <v>-9.9705100000000005E-2</v>
      </c>
      <c r="U6701">
        <v>-7.5286870000000006E-2</v>
      </c>
      <c r="V6701">
        <v>-3.071583E-2</v>
      </c>
      <c r="W6701">
        <v>-6.456365E-2</v>
      </c>
      <c r="X6701">
        <v>0.99744080000000002</v>
      </c>
      <c r="Y6701">
        <v>2.578923E-2</v>
      </c>
      <c r="Z6701">
        <v>-6.1120450000000002E-4</v>
      </c>
      <c r="AA6701">
        <v>0.99966719999999998</v>
      </c>
      <c r="AB6701">
        <v>24</v>
      </c>
      <c r="AC6701">
        <v>33.651899999999998</v>
      </c>
      <c r="AD6701">
        <v>-1.1208023138009999</v>
      </c>
      <c r="AE6701">
        <v>-0.84622999999999804</v>
      </c>
      <c r="AF6701">
        <v>0.87101036948094601</v>
      </c>
      <c r="AG6701">
        <v>-1.1208023138009999</v>
      </c>
      <c r="AH6701">
        <v>33.613979170882303</v>
      </c>
      <c r="AI6701">
        <v>91.909084762659802</v>
      </c>
      <c r="AJ6701">
        <v>88.515675490701298</v>
      </c>
      <c r="AK6701">
        <v>33.643936342094001</v>
      </c>
      <c r="AL6701">
        <v>93.701799360491194</v>
      </c>
      <c r="AM6701">
        <v>91.763845466694306</v>
      </c>
      <c r="AN6701">
        <v>1.00000003830927</v>
      </c>
    </row>
    <row r="6702" spans="1:40" x14ac:dyDescent="0.25">
      <c r="A6702" t="str">
        <f>"20190303154653307"</f>
        <v>20190303154653307</v>
      </c>
      <c r="B6702" t="str">
        <f>"1551599213298566"</f>
        <v>1551599213298566</v>
      </c>
      <c r="C6702" t="s">
        <v>40</v>
      </c>
      <c r="D6702">
        <v>4.973433</v>
      </c>
      <c r="E6702">
        <v>0.5211616</v>
      </c>
      <c r="F6702" t="s">
        <v>60</v>
      </c>
      <c r="G6702">
        <v>-191.8184</v>
      </c>
      <c r="H6702" s="1">
        <v>-9.2358269999999994E-6</v>
      </c>
      <c r="I6702">
        <v>-63.25094</v>
      </c>
      <c r="J6702">
        <v>-225.18100000000001</v>
      </c>
      <c r="K6702">
        <v>1.120792</v>
      </c>
      <c r="L6702">
        <v>-62.417720000000003</v>
      </c>
      <c r="M6702">
        <v>0.99991490000000005</v>
      </c>
      <c r="N6702">
        <v>-1.303559E-2</v>
      </c>
      <c r="O6702">
        <v>6.2511960000000003E-4</v>
      </c>
      <c r="P6702">
        <v>0.99649520000000003</v>
      </c>
      <c r="Q6702">
        <v>-7.7430520000000003E-2</v>
      </c>
      <c r="R6702">
        <v>3.1652979999999997E-2</v>
      </c>
      <c r="S6702">
        <v>3.0050810000000001</v>
      </c>
      <c r="T6702">
        <v>-0.1006122</v>
      </c>
      <c r="U6702">
        <v>-7.4798580000000003E-2</v>
      </c>
      <c r="V6702">
        <v>-3.1062369999999999E-2</v>
      </c>
      <c r="W6702">
        <v>-6.4418459999999997E-2</v>
      </c>
      <c r="X6702">
        <v>0.99743939999999998</v>
      </c>
      <c r="Y6702">
        <v>2.5488009999999998E-2</v>
      </c>
      <c r="Z6702">
        <v>-6.0548939999999999E-4</v>
      </c>
      <c r="AA6702">
        <v>0.99967490000000003</v>
      </c>
      <c r="AB6702">
        <v>24</v>
      </c>
      <c r="AC6702">
        <v>33.362599999999901</v>
      </c>
      <c r="AD6702">
        <v>-1.1208012358270001</v>
      </c>
      <c r="AE6702">
        <v>-0.83322000000000396</v>
      </c>
      <c r="AF6702">
        <v>0.85311500361301795</v>
      </c>
      <c r="AG6702">
        <v>-1.1208012358270001</v>
      </c>
      <c r="AH6702">
        <v>33.3244862295712</v>
      </c>
      <c r="AI6702">
        <v>91.925670326061805</v>
      </c>
      <c r="AJ6702">
        <v>88.533534325849402</v>
      </c>
      <c r="AK6702">
        <v>33.354240856066603</v>
      </c>
      <c r="AL6702">
        <v>93.693463438643306</v>
      </c>
      <c r="AM6702">
        <v>91.7837351194013</v>
      </c>
      <c r="AN6702">
        <v>0.999999982745574</v>
      </c>
    </row>
    <row r="6703" spans="1:40" x14ac:dyDescent="0.25">
      <c r="A6703" t="str">
        <f>"20190303154653317"</f>
        <v>20190303154653317</v>
      </c>
      <c r="B6703" t="str">
        <f>"1551599213308327"</f>
        <v>1551599213308327</v>
      </c>
      <c r="C6703" t="s">
        <v>40</v>
      </c>
      <c r="D6703">
        <v>4.9889469999999996</v>
      </c>
      <c r="E6703">
        <v>0.52102269999999995</v>
      </c>
      <c r="F6703" t="s">
        <v>60</v>
      </c>
      <c r="G6703">
        <v>-191.82169999999999</v>
      </c>
      <c r="H6703" s="1">
        <v>-9.2324139999999999E-6</v>
      </c>
      <c r="I6703">
        <v>-63.228430000000003</v>
      </c>
      <c r="J6703">
        <v>-225.0676</v>
      </c>
      <c r="K6703">
        <v>1.120795</v>
      </c>
      <c r="L6703">
        <v>-62.417850000000001</v>
      </c>
      <c r="M6703">
        <v>0.99991490000000005</v>
      </c>
      <c r="N6703">
        <v>-1.3036229999999999E-2</v>
      </c>
      <c r="O6703">
        <v>4.854099E-4</v>
      </c>
      <c r="P6703">
        <v>0.99649319999999997</v>
      </c>
      <c r="Q6703">
        <v>-7.7448370000000002E-2</v>
      </c>
      <c r="R6703">
        <v>3.1674750000000002E-2</v>
      </c>
      <c r="S6703">
        <v>3.00502</v>
      </c>
      <c r="T6703">
        <v>-0.1009622</v>
      </c>
      <c r="U6703">
        <v>-7.3028560000000006E-2</v>
      </c>
      <c r="V6703">
        <v>-3.1223089999999998E-2</v>
      </c>
      <c r="W6703">
        <v>-6.4435679999999995E-2</v>
      </c>
      <c r="X6703">
        <v>0.99743329999999997</v>
      </c>
      <c r="Y6703">
        <v>2.4760830000000001E-2</v>
      </c>
      <c r="Z6703">
        <v>-5.8724000000000005E-4</v>
      </c>
      <c r="AA6703">
        <v>0.99969319999999895</v>
      </c>
      <c r="AB6703">
        <v>24</v>
      </c>
      <c r="AC6703">
        <v>33.245899999999999</v>
      </c>
      <c r="AD6703">
        <v>-1.120804232414</v>
      </c>
      <c r="AE6703">
        <v>-0.81058000000000097</v>
      </c>
      <c r="AF6703">
        <v>0.82578119225591795</v>
      </c>
      <c r="AG6703">
        <v>-1.120804232414</v>
      </c>
      <c r="AH6703">
        <v>33.207783154766403</v>
      </c>
      <c r="AI6703">
        <v>91.9324735063459</v>
      </c>
      <c r="AJ6703">
        <v>88.575513818547805</v>
      </c>
      <c r="AK6703">
        <v>33.236952007650601</v>
      </c>
      <c r="AL6703">
        <v>93.694452013847098</v>
      </c>
      <c r="AM6703">
        <v>91.792969303800007</v>
      </c>
      <c r="AN6703">
        <v>1.0000000130775499</v>
      </c>
    </row>
    <row r="6704" spans="1:40" x14ac:dyDescent="0.25">
      <c r="A6704" t="str">
        <f>"20190303154653328"</f>
        <v>20190303154653328</v>
      </c>
      <c r="B6704" t="str">
        <f>"1551599213318086"</f>
        <v>1551599213318086</v>
      </c>
      <c r="C6704" t="s">
        <v>40</v>
      </c>
      <c r="D6704">
        <v>5.0657399999999999</v>
      </c>
      <c r="E6704">
        <v>0.52095100000000005</v>
      </c>
      <c r="F6704" t="s">
        <v>60</v>
      </c>
      <c r="G6704">
        <v>-192.0668</v>
      </c>
      <c r="H6704" s="1">
        <v>-9.1233760000000008E-6</v>
      </c>
      <c r="I6704">
        <v>-63.206789999999998</v>
      </c>
      <c r="J6704">
        <v>-224.95099999999999</v>
      </c>
      <c r="K6704">
        <v>1.120797</v>
      </c>
      <c r="L6704">
        <v>-62.417940000000002</v>
      </c>
      <c r="M6704">
        <v>0.999915</v>
      </c>
      <c r="N6704">
        <v>-1.3037989999999999E-2</v>
      </c>
      <c r="O6704">
        <v>3.4146140000000002E-4</v>
      </c>
      <c r="P6704">
        <v>0.99647980000000003</v>
      </c>
      <c r="Q6704">
        <v>-7.7603699999999998E-2</v>
      </c>
      <c r="R6704">
        <v>3.1715119999999999E-2</v>
      </c>
      <c r="S6704">
        <v>3.0049130000000002</v>
      </c>
      <c r="T6704">
        <v>-0.1020557</v>
      </c>
      <c r="U6704">
        <v>-7.1838379999999993E-2</v>
      </c>
      <c r="V6704">
        <v>-3.1406839999999998E-2</v>
      </c>
      <c r="W6704">
        <v>-6.4589380000000002E-2</v>
      </c>
      <c r="X6704">
        <v>0.99741760000000002</v>
      </c>
      <c r="Y6704">
        <v>2.422214E-2</v>
      </c>
      <c r="Z6704">
        <v>-5.7628789999999996E-4</v>
      </c>
      <c r="AA6704">
        <v>0.9997064</v>
      </c>
      <c r="AB6704">
        <v>24</v>
      </c>
      <c r="AC6704">
        <v>32.8841999999999</v>
      </c>
      <c r="AD6704">
        <v>-1.1208061233759901</v>
      </c>
      <c r="AE6704">
        <v>-0.78885000000000305</v>
      </c>
      <c r="AF6704">
        <v>0.79915176831699097</v>
      </c>
      <c r="AG6704">
        <v>-1.1208061233759901</v>
      </c>
      <c r="AH6704">
        <v>32.845794347657801</v>
      </c>
      <c r="AI6704">
        <v>91.953783656381006</v>
      </c>
      <c r="AJ6704">
        <v>88.606244951562601</v>
      </c>
      <c r="AK6704">
        <v>32.874626328577897</v>
      </c>
      <c r="AL6704">
        <v>93.703276720367995</v>
      </c>
      <c r="AM6704">
        <v>91.803542471198298</v>
      </c>
      <c r="AN6704">
        <v>1.0000000231986601</v>
      </c>
    </row>
    <row r="6705" spans="1:40" x14ac:dyDescent="0.25">
      <c r="A6705" t="str">
        <f>"20190303154653338"</f>
        <v>20190303154653338</v>
      </c>
      <c r="B6705" t="str">
        <f>"1551599213327845"</f>
        <v>1551599213327845</v>
      </c>
      <c r="C6705" t="s">
        <v>40</v>
      </c>
      <c r="D6705">
        <v>4.9875129999999999</v>
      </c>
      <c r="E6705">
        <v>0.5208159</v>
      </c>
      <c r="F6705" t="s">
        <v>60</v>
      </c>
      <c r="G6705">
        <v>-192.32589999999999</v>
      </c>
      <c r="H6705" s="1">
        <v>-9.0087500000000008E-6</v>
      </c>
      <c r="I6705">
        <v>-63.190969999999901</v>
      </c>
      <c r="J6705">
        <v>-224.8407</v>
      </c>
      <c r="K6705">
        <v>1.120798</v>
      </c>
      <c r="L6705">
        <v>-62.418059999999997</v>
      </c>
      <c r="M6705">
        <v>0.999915</v>
      </c>
      <c r="N6705">
        <v>-1.304018E-2</v>
      </c>
      <c r="O6705">
        <v>2.054375E-4</v>
      </c>
      <c r="P6705">
        <v>0.99649180000000004</v>
      </c>
      <c r="Q6705">
        <v>-7.7493560000000003E-2</v>
      </c>
      <c r="R6705">
        <v>3.1608520000000001E-2</v>
      </c>
      <c r="S6705">
        <v>3.0048219999999999</v>
      </c>
      <c r="T6705">
        <v>-0.10322770000000001</v>
      </c>
      <c r="U6705">
        <v>-7.1197510000000006E-2</v>
      </c>
      <c r="V6705">
        <v>-3.1435610000000003E-2</v>
      </c>
      <c r="W6705">
        <v>-6.4476969999999995E-2</v>
      </c>
      <c r="X6705">
        <v>0.99742390000000003</v>
      </c>
      <c r="Y6705">
        <v>2.3873700000000001E-2</v>
      </c>
      <c r="Z6705">
        <v>-5.7002729999999996E-4</v>
      </c>
      <c r="AA6705">
        <v>0.99971480000000001</v>
      </c>
      <c r="AB6705">
        <v>24</v>
      </c>
      <c r="AC6705">
        <v>32.514800000000001</v>
      </c>
      <c r="AD6705">
        <v>-1.1208070087499999</v>
      </c>
      <c r="AE6705">
        <v>-0.77290999999999599</v>
      </c>
      <c r="AF6705">
        <v>0.77866560144248498</v>
      </c>
      <c r="AG6705">
        <v>-1.1208070087499999</v>
      </c>
      <c r="AH6705">
        <v>32.476073353556004</v>
      </c>
      <c r="AI6705">
        <v>91.976027223884103</v>
      </c>
      <c r="AJ6705">
        <v>88.626505555630203</v>
      </c>
      <c r="AK6705">
        <v>32.504736100071398</v>
      </c>
      <c r="AL6705">
        <v>93.696822894768104</v>
      </c>
      <c r="AM6705">
        <v>91.805182105573707</v>
      </c>
      <c r="AN6705">
        <v>0.99999995676383002</v>
      </c>
    </row>
    <row r="6706" spans="1:40" x14ac:dyDescent="0.25">
      <c r="A6706" t="str">
        <f>"20190303154653350"</f>
        <v>20190303154653350</v>
      </c>
      <c r="B6706" t="str">
        <f>"1551599213338583"</f>
        <v>1551599213338583</v>
      </c>
      <c r="C6706" t="s">
        <v>40</v>
      </c>
      <c r="D6706">
        <v>5.0254859999999999</v>
      </c>
      <c r="E6706">
        <v>0.52072759999999996</v>
      </c>
      <c r="F6706" t="s">
        <v>60</v>
      </c>
      <c r="G6706">
        <v>-192.34540000000001</v>
      </c>
      <c r="H6706" s="1">
        <v>-8.9992429999999994E-6</v>
      </c>
      <c r="I6706">
        <v>-63.180120000000002</v>
      </c>
      <c r="J6706">
        <v>-224.72739999999999</v>
      </c>
      <c r="K6706">
        <v>1.1208049999999901</v>
      </c>
      <c r="L6706">
        <v>-62.418210000000002</v>
      </c>
      <c r="M6706">
        <v>0.99991490000000005</v>
      </c>
      <c r="N6706">
        <v>-1.304406E-2</v>
      </c>
      <c r="O6706" s="1">
        <v>6.5827489999999999E-5</v>
      </c>
      <c r="P6706">
        <v>0.9965041</v>
      </c>
      <c r="Q6706">
        <v>-7.7362810000000004E-2</v>
      </c>
      <c r="R6706">
        <v>3.1538829999999997E-2</v>
      </c>
      <c r="S6706">
        <v>3.004715</v>
      </c>
      <c r="T6706">
        <v>-0.1036369</v>
      </c>
      <c r="U6706">
        <v>-7.0465089999999994E-2</v>
      </c>
      <c r="V6706">
        <v>-3.1504839999999999E-2</v>
      </c>
      <c r="W6706">
        <v>-6.4342239999999995E-2</v>
      </c>
      <c r="X6706">
        <v>0.99743040000000005</v>
      </c>
      <c r="Y6706">
        <v>2.349161E-2</v>
      </c>
      <c r="Z6706">
        <v>-5.596679E-4</v>
      </c>
      <c r="AA6706">
        <v>0.9997239</v>
      </c>
      <c r="AB6706">
        <v>24</v>
      </c>
      <c r="AC6706">
        <v>32.381999999999898</v>
      </c>
      <c r="AD6706">
        <v>-1.12081399924299</v>
      </c>
      <c r="AE6706">
        <v>-0.76190999999999998</v>
      </c>
      <c r="AF6706">
        <v>0.76312807776346103</v>
      </c>
      <c r="AG6706">
        <v>-1.12081399924299</v>
      </c>
      <c r="AH6706">
        <v>32.343223765600698</v>
      </c>
      <c r="AI6706">
        <v>91.984167633809406</v>
      </c>
      <c r="AJ6706">
        <v>88.648375089073994</v>
      </c>
      <c r="AK6706">
        <v>32.371634373872503</v>
      </c>
      <c r="AL6706">
        <v>93.6890874304992</v>
      </c>
      <c r="AM6706">
        <v>91.809143200147403</v>
      </c>
      <c r="AN6706">
        <v>0.999999940817899</v>
      </c>
    </row>
    <row r="6707" spans="1:40" x14ac:dyDescent="0.25">
      <c r="A6707" t="str">
        <f>"20190303154653362"</f>
        <v>20190303154653362</v>
      </c>
      <c r="B6707" t="str">
        <f>"1551599213358102"</f>
        <v>1551599213358102</v>
      </c>
      <c r="C6707" t="s">
        <v>40</v>
      </c>
      <c r="D6707">
        <v>5.0150560000000004</v>
      </c>
      <c r="E6707">
        <v>0.52047259999999995</v>
      </c>
      <c r="F6707" t="s">
        <v>60</v>
      </c>
      <c r="G6707">
        <v>-192.33080000000001</v>
      </c>
      <c r="H6707" s="1">
        <v>-9.0049689999999995E-6</v>
      </c>
      <c r="I6707">
        <v>-63.172710000000002</v>
      </c>
      <c r="J6707">
        <v>-224.5941</v>
      </c>
      <c r="K6707">
        <v>1.120806</v>
      </c>
      <c r="L6707">
        <v>-62.418370000000003</v>
      </c>
      <c r="M6707">
        <v>0.99991490000000005</v>
      </c>
      <c r="N6707">
        <v>-1.304926E-2</v>
      </c>
      <c r="O6707" s="1">
        <v>-9.8763059999999994E-5</v>
      </c>
      <c r="P6707">
        <v>0.99652529999999995</v>
      </c>
      <c r="Q6707">
        <v>-7.7242179999999994E-2</v>
      </c>
      <c r="R6707">
        <v>3.1159030000000001E-2</v>
      </c>
      <c r="S6707">
        <v>3.0046689999999998</v>
      </c>
      <c r="T6707">
        <v>-0.1039515</v>
      </c>
      <c r="U6707">
        <v>-6.997681E-2</v>
      </c>
      <c r="V6707">
        <v>-3.1288690000000001E-2</v>
      </c>
      <c r="W6707">
        <v>-6.4216350000000005E-2</v>
      </c>
      <c r="X6707">
        <v>0.99744540000000004</v>
      </c>
      <c r="Y6707">
        <v>2.316524E-2</v>
      </c>
      <c r="Z6707">
        <v>-5.4965229999999997E-4</v>
      </c>
      <c r="AA6707">
        <v>0.9997315</v>
      </c>
      <c r="AB6707">
        <v>24</v>
      </c>
      <c r="AC6707">
        <v>32.263299999999902</v>
      </c>
      <c r="AD6707">
        <v>-1.120815004969</v>
      </c>
      <c r="AE6707">
        <v>-0.75433999999999901</v>
      </c>
      <c r="AF6707">
        <v>0.75024836660874805</v>
      </c>
      <c r="AG6707">
        <v>-1.120815004969</v>
      </c>
      <c r="AH6707">
        <v>32.224505721226897</v>
      </c>
      <c r="AI6707">
        <v>91.991487979347596</v>
      </c>
      <c r="AJ6707">
        <v>88.666285185067807</v>
      </c>
      <c r="AK6707">
        <v>32.252718767017903</v>
      </c>
      <c r="AL6707">
        <v>93.681859210525801</v>
      </c>
      <c r="AM6707">
        <v>91.796712100408001</v>
      </c>
      <c r="AN6707">
        <v>1.00000002385519</v>
      </c>
    </row>
    <row r="6708" spans="1:40" x14ac:dyDescent="0.25">
      <c r="A6708" t="str">
        <f>"20190303154653374"</f>
        <v>20190303154653374</v>
      </c>
      <c r="B6708" t="str">
        <f>"1551599213367862"</f>
        <v>1551599213367862</v>
      </c>
      <c r="C6708" t="s">
        <v>40</v>
      </c>
      <c r="D6708">
        <v>5.0584170000000004</v>
      </c>
      <c r="E6708">
        <v>0.5203681</v>
      </c>
      <c r="F6708" t="s">
        <v>60</v>
      </c>
      <c r="G6708">
        <v>-192.65430000000001</v>
      </c>
      <c r="H6708" s="1">
        <v>-8.8618970000000008E-6</v>
      </c>
      <c r="I6708">
        <v>-63.153509999999997</v>
      </c>
      <c r="J6708">
        <v>-224.46549999999999</v>
      </c>
      <c r="K6708">
        <v>1.120808</v>
      </c>
      <c r="L6708">
        <v>-62.418579999999999</v>
      </c>
      <c r="M6708">
        <v>0.99991490000000005</v>
      </c>
      <c r="N6708">
        <v>-1.30554E-2</v>
      </c>
      <c r="O6708">
        <v>-2.5793410000000001E-4</v>
      </c>
      <c r="P6708">
        <v>0.99652200000000002</v>
      </c>
      <c r="Q6708">
        <v>-7.7385259999999997E-2</v>
      </c>
      <c r="R6708">
        <v>3.0920670000000001E-2</v>
      </c>
      <c r="S6708">
        <v>3.0044710000000001</v>
      </c>
      <c r="T6708">
        <v>-0.105431399999999</v>
      </c>
      <c r="U6708">
        <v>-6.9152829999999998E-2</v>
      </c>
      <c r="V6708">
        <v>-3.1209460000000001E-2</v>
      </c>
      <c r="W6708">
        <v>-6.4353469999999996E-2</v>
      </c>
      <c r="X6708">
        <v>0.99743899999999996</v>
      </c>
      <c r="Y6708">
        <v>2.2733529999999998E-2</v>
      </c>
      <c r="Z6708">
        <v>-5.4150699999999999E-4</v>
      </c>
      <c r="AA6708">
        <v>0.9997414</v>
      </c>
      <c r="AB6708">
        <v>24</v>
      </c>
      <c r="AC6708">
        <v>31.8111999999999</v>
      </c>
      <c r="AD6708">
        <v>-1.120816861897</v>
      </c>
      <c r="AE6708">
        <v>-0.73492999999999098</v>
      </c>
      <c r="AF6708">
        <v>0.72582353284297796</v>
      </c>
      <c r="AG6708">
        <v>-1.120816861897</v>
      </c>
      <c r="AH6708">
        <v>31.771968070536001</v>
      </c>
      <c r="AI6708">
        <v>92.019853688506501</v>
      </c>
      <c r="AJ6708">
        <v>88.691318308871303</v>
      </c>
      <c r="AK6708">
        <v>31.800015806818401</v>
      </c>
      <c r="AL6708">
        <v>93.689732056929003</v>
      </c>
      <c r="AM6708">
        <v>91.792176883840696</v>
      </c>
      <c r="AN6708">
        <v>0.99999997910776595</v>
      </c>
    </row>
    <row r="6709" spans="1:40" x14ac:dyDescent="0.25">
      <c r="A6709" t="str">
        <f>"20190303154653386"</f>
        <v>20190303154653386</v>
      </c>
      <c r="B6709" t="str">
        <f>"1551599213378598"</f>
        <v>1551599213378598</v>
      </c>
      <c r="C6709" t="s">
        <v>40</v>
      </c>
      <c r="D6709">
        <v>5.0205780000000004</v>
      </c>
      <c r="E6709">
        <v>0.52023520000000001</v>
      </c>
      <c r="F6709" t="s">
        <v>60</v>
      </c>
      <c r="G6709">
        <v>-192.84809999999999</v>
      </c>
      <c r="H6709" s="1">
        <v>-8.7803189999999999E-6</v>
      </c>
      <c r="I6709">
        <v>-63.1453699999999</v>
      </c>
      <c r="J6709">
        <v>-224.34630000000001</v>
      </c>
      <c r="K6709">
        <v>1.120808</v>
      </c>
      <c r="L6709">
        <v>-62.418729999999996</v>
      </c>
      <c r="M6709">
        <v>0.99991459999999999</v>
      </c>
      <c r="N6709">
        <v>-1.3061110000000001E-2</v>
      </c>
      <c r="O6709">
        <v>-4.0530159999999999E-4</v>
      </c>
      <c r="P6709">
        <v>0.99652669999999999</v>
      </c>
      <c r="Q6709">
        <v>-7.7427999999999997E-2</v>
      </c>
      <c r="R6709">
        <v>3.0650819999999999E-2</v>
      </c>
      <c r="S6709">
        <v>3.0043489999999999</v>
      </c>
      <c r="T6709">
        <v>-0.1065021</v>
      </c>
      <c r="U6709">
        <v>-6.9061280000000003E-2</v>
      </c>
      <c r="V6709">
        <v>-3.1086200000000001E-2</v>
      </c>
      <c r="W6709">
        <v>-6.4390619999999996E-2</v>
      </c>
      <c r="X6709">
        <v>0.99744049999999995</v>
      </c>
      <c r="Y6709">
        <v>2.255652E-2</v>
      </c>
      <c r="Z6709">
        <v>-5.3795470000000001E-4</v>
      </c>
      <c r="AA6709">
        <v>0.99974540000000001</v>
      </c>
      <c r="AB6709">
        <v>24</v>
      </c>
      <c r="AC6709">
        <v>31.498200000000001</v>
      </c>
      <c r="AD6709">
        <v>-1.1208167803189999</v>
      </c>
      <c r="AE6709">
        <v>-0.72663999999998896</v>
      </c>
      <c r="AF6709">
        <v>0.71297030676796302</v>
      </c>
      <c r="AG6709">
        <v>-1.1208167803189999</v>
      </c>
      <c r="AH6709">
        <v>31.458680567605001</v>
      </c>
      <c r="AI6709">
        <v>92.039960135596004</v>
      </c>
      <c r="AJ6709">
        <v>88.701687522564896</v>
      </c>
      <c r="AK6709">
        <v>31.486713705434301</v>
      </c>
      <c r="AL6709">
        <v>93.691864840449298</v>
      </c>
      <c r="AM6709">
        <v>91.785100688264095</v>
      </c>
      <c r="AN6709">
        <v>1.00000002740733</v>
      </c>
    </row>
    <row r="6710" spans="1:40" x14ac:dyDescent="0.25">
      <c r="A6710" t="str">
        <f>"20190303154653397"</f>
        <v>20190303154653397</v>
      </c>
      <c r="B6710" t="str">
        <f>"1551599213388358"</f>
        <v>1551599213388358</v>
      </c>
      <c r="C6710" t="s">
        <v>40</v>
      </c>
      <c r="D6710">
        <v>5.0302350000000002</v>
      </c>
      <c r="E6710">
        <v>0.52023520000000001</v>
      </c>
      <c r="F6710" t="s">
        <v>60</v>
      </c>
      <c r="G6710">
        <v>-193.0247</v>
      </c>
      <c r="H6710" s="1">
        <v>-8.7078529999999999E-6</v>
      </c>
      <c r="I6710">
        <v>-63.136220000000002</v>
      </c>
      <c r="J6710">
        <v>-224.22640000000001</v>
      </c>
      <c r="K6710">
        <v>1.1208100000000001</v>
      </c>
      <c r="L6710">
        <v>-62.418979999999998</v>
      </c>
      <c r="M6710">
        <v>0.99991459999999999</v>
      </c>
      <c r="N6710">
        <v>-1.306686E-2</v>
      </c>
      <c r="O6710">
        <v>-5.5421910000000003E-4</v>
      </c>
      <c r="P6710">
        <v>0.99650490000000003</v>
      </c>
      <c r="Q6710">
        <v>-7.7825930000000001E-2</v>
      </c>
      <c r="R6710">
        <v>3.0353979999999999E-2</v>
      </c>
      <c r="S6710">
        <v>3.0041959999999999</v>
      </c>
      <c r="T6710">
        <v>-0.1075025</v>
      </c>
      <c r="U6710">
        <v>-6.8817139999999999E-2</v>
      </c>
      <c r="V6710">
        <v>-3.0937969999999999E-2</v>
      </c>
      <c r="W6710">
        <v>-6.4783250000000001E-2</v>
      </c>
      <c r="X6710">
        <v>0.99741970000000002</v>
      </c>
      <c r="Y6710">
        <v>2.2327509999999998E-2</v>
      </c>
      <c r="Z6710">
        <v>-5.3268569999999999E-4</v>
      </c>
      <c r="AA6710">
        <v>0.99975060000000004</v>
      </c>
      <c r="AB6710">
        <v>24</v>
      </c>
      <c r="AC6710">
        <v>31.201699999999999</v>
      </c>
      <c r="AD6710">
        <v>-1.1208187078530001</v>
      </c>
      <c r="AE6710">
        <v>-0.717239999999989</v>
      </c>
      <c r="AF6710">
        <v>0.69904428815045905</v>
      </c>
      <c r="AG6710">
        <v>-1.1208187078530001</v>
      </c>
      <c r="AH6710">
        <v>31.161903602766898</v>
      </c>
      <c r="AI6710">
        <v>92.059385729800297</v>
      </c>
      <c r="AJ6710">
        <v>88.714918975531006</v>
      </c>
      <c r="AK6710">
        <v>31.189888323634701</v>
      </c>
      <c r="AL6710">
        <v>93.714407893088193</v>
      </c>
      <c r="AM6710">
        <v>91.776631189584705</v>
      </c>
      <c r="AN6710">
        <v>1.0000000427081801</v>
      </c>
    </row>
    <row r="6711" spans="1:40" x14ac:dyDescent="0.25">
      <c r="A6711" t="str">
        <f>"20190303154653408"</f>
        <v>20190303154653408</v>
      </c>
      <c r="B6711" t="str">
        <f>"1551599213398118"</f>
        <v>1551599213398118</v>
      </c>
      <c r="C6711" t="s">
        <v>40</v>
      </c>
      <c r="D6711">
        <v>5.0755530000000002</v>
      </c>
      <c r="E6711">
        <v>0.50005100000000002</v>
      </c>
      <c r="F6711" t="s">
        <v>60</v>
      </c>
      <c r="G6711">
        <v>-193.26490000000001</v>
      </c>
      <c r="H6711" s="1">
        <v>-8.6100799999999994E-6</v>
      </c>
      <c r="I6711">
        <v>-63.137340000000002</v>
      </c>
      <c r="J6711">
        <v>-224.10769999999999</v>
      </c>
      <c r="K6711">
        <v>1.120811</v>
      </c>
      <c r="L6711">
        <v>-62.419220000000003</v>
      </c>
      <c r="M6711">
        <v>0.99991430000000003</v>
      </c>
      <c r="N6711">
        <v>-1.307229E-2</v>
      </c>
      <c r="O6711">
        <v>-7.0134949999999896E-4</v>
      </c>
      <c r="P6711">
        <v>0.99649189999999999</v>
      </c>
      <c r="Q6711">
        <v>-7.8066590000000005E-2</v>
      </c>
      <c r="R6711">
        <v>3.0158799999999999E-2</v>
      </c>
      <c r="S6711">
        <v>3.0041660000000001</v>
      </c>
      <c r="T6711">
        <v>-0.1087519</v>
      </c>
      <c r="U6711">
        <v>-6.9702150000000004E-2</v>
      </c>
      <c r="V6711">
        <v>-3.0889460000000001E-2</v>
      </c>
      <c r="W6711">
        <v>-6.5018729999999997E-2</v>
      </c>
      <c r="X6711">
        <v>0.99740580000000001</v>
      </c>
      <c r="Y6711">
        <v>2.2474520000000001E-2</v>
      </c>
      <c r="Z6711">
        <v>-5.3738150000000003E-4</v>
      </c>
      <c r="AA6711">
        <v>0.99974730000000001</v>
      </c>
      <c r="AB6711">
        <v>24</v>
      </c>
      <c r="AC6711">
        <v>30.842799999999901</v>
      </c>
      <c r="AD6711">
        <v>-1.1208196100799901</v>
      </c>
      <c r="AE6711">
        <v>-0.71812000000000598</v>
      </c>
      <c r="AF6711">
        <v>0.69556833821669195</v>
      </c>
      <c r="AG6711">
        <v>-1.1208196100799901</v>
      </c>
      <c r="AH6711">
        <v>30.802640878691602</v>
      </c>
      <c r="AI6711">
        <v>92.083378779500407</v>
      </c>
      <c r="AJ6711">
        <v>88.706397987880493</v>
      </c>
      <c r="AK6711">
        <v>30.8308731146738</v>
      </c>
      <c r="AL6711">
        <v>93.727928709444399</v>
      </c>
      <c r="AM6711">
        <v>91.773871960119905</v>
      </c>
      <c r="AN6711">
        <v>0.99999996193177099</v>
      </c>
    </row>
    <row r="6712" spans="1:40" x14ac:dyDescent="0.25">
      <c r="A6712" t="str">
        <f>"20190303154653422"</f>
        <v>20190303154653422</v>
      </c>
      <c r="B6712" t="str">
        <f>"1551599213418615"</f>
        <v>1551599213418615</v>
      </c>
      <c r="C6712" t="s">
        <v>40</v>
      </c>
      <c r="D6712">
        <v>5.0327099999999998</v>
      </c>
      <c r="E6712">
        <v>0.49302760000000001</v>
      </c>
      <c r="F6712" t="s">
        <v>60</v>
      </c>
      <c r="G6712">
        <v>-206.8152</v>
      </c>
      <c r="H6712" s="1">
        <v>-2.2067829999999999E-6</v>
      </c>
      <c r="I6712">
        <v>-61.897950000000002</v>
      </c>
      <c r="J6712">
        <v>-223.96629999999999</v>
      </c>
      <c r="K6712">
        <v>1.1208119999999999</v>
      </c>
      <c r="L6712">
        <v>-62.419530000000002</v>
      </c>
      <c r="M6712">
        <v>0.99991410000000003</v>
      </c>
      <c r="N6712">
        <v>-1.307855E-2</v>
      </c>
      <c r="O6712">
        <v>-8.7638050000000002E-4</v>
      </c>
      <c r="P6712">
        <v>0.99651559999999995</v>
      </c>
      <c r="Q6712">
        <v>-7.7886849999999994E-2</v>
      </c>
      <c r="R6712">
        <v>2.9835279999999999E-2</v>
      </c>
      <c r="S6712">
        <v>2.9926300000000001</v>
      </c>
      <c r="T6712">
        <v>-0.193967</v>
      </c>
      <c r="U6712">
        <v>9.0209960000000006E-2</v>
      </c>
      <c r="V6712">
        <v>-3.07405E-2</v>
      </c>
      <c r="W6712">
        <v>-6.4832619999999994E-2</v>
      </c>
      <c r="X6712">
        <v>0.99742260000000005</v>
      </c>
      <c r="Y6712">
        <v>-3.092727E-2</v>
      </c>
      <c r="Z6712">
        <v>1.248828E-3</v>
      </c>
      <c r="AA6712">
        <v>0.99952079999999999</v>
      </c>
      <c r="AB6712">
        <v>24</v>
      </c>
      <c r="AC6712">
        <v>17.1510999999999</v>
      </c>
      <c r="AD6712">
        <v>-1.120814206783</v>
      </c>
      <c r="AE6712">
        <v>0.52158000000000004</v>
      </c>
      <c r="AF6712">
        <v>-0.53433219349894001</v>
      </c>
      <c r="AG6712">
        <v>-1.120814206783</v>
      </c>
      <c r="AH6712">
        <v>17.077772263169599</v>
      </c>
      <c r="AI6712">
        <v>93.753105674445393</v>
      </c>
      <c r="AJ6712">
        <v>91.792095290044401</v>
      </c>
      <c r="AK6712">
        <v>17.122851422932399</v>
      </c>
      <c r="AL6712">
        <v>93.717242536298201</v>
      </c>
      <c r="AM6712">
        <v>91.765293426978999</v>
      </c>
      <c r="AN6712">
        <v>1.00000004497353</v>
      </c>
    </row>
    <row r="6713" spans="1:40" x14ac:dyDescent="0.25">
      <c r="A6713" t="str">
        <f>"20190303154653434"</f>
        <v>20190303154653434</v>
      </c>
      <c r="B6713" t="str">
        <f>"1551599213428374"</f>
        <v>1551599213428374</v>
      </c>
      <c r="C6713" t="s">
        <v>40</v>
      </c>
      <c r="D6713">
        <v>5.0269870000000001</v>
      </c>
      <c r="E6713">
        <v>0.49128939999999999</v>
      </c>
      <c r="F6713" t="s">
        <v>60</v>
      </c>
      <c r="G6713">
        <v>-206.52440000000001</v>
      </c>
      <c r="H6713" s="1">
        <v>-2.3462410000000002E-6</v>
      </c>
      <c r="I6713">
        <v>-61.572279999999999</v>
      </c>
      <c r="J6713">
        <v>-223.83170000000001</v>
      </c>
      <c r="K6713">
        <v>1.1208119999999999</v>
      </c>
      <c r="L6713">
        <v>-62.419800000000002</v>
      </c>
      <c r="M6713">
        <v>0.99991399999999997</v>
      </c>
      <c r="N6713">
        <v>-1.308397E-2</v>
      </c>
      <c r="O6713">
        <v>-1.042947E-3</v>
      </c>
      <c r="P6713">
        <v>0.99650700000000003</v>
      </c>
      <c r="Q6713">
        <v>-7.8065860000000001E-2</v>
      </c>
      <c r="R6713">
        <v>2.966572E-2</v>
      </c>
      <c r="S6713">
        <v>2.9911189999999999</v>
      </c>
      <c r="T6713">
        <v>-0.19220889999999999</v>
      </c>
      <c r="U6713">
        <v>0.14529420000000001</v>
      </c>
      <c r="V6713">
        <v>-3.0736820000000002E-2</v>
      </c>
      <c r="W6713">
        <v>-6.5006380000000002E-2</v>
      </c>
      <c r="X6713">
        <v>0.99741139999999995</v>
      </c>
      <c r="Y6713">
        <v>-4.9435880000000001E-2</v>
      </c>
      <c r="Z6713">
        <v>1.9631010000000001E-3</v>
      </c>
      <c r="AA6713">
        <v>0.99877539999999998</v>
      </c>
      <c r="AB6713">
        <v>24</v>
      </c>
      <c r="AC6713">
        <v>17.307299999999898</v>
      </c>
      <c r="AD6713">
        <v>-1.1208143462410001</v>
      </c>
      <c r="AE6713">
        <v>0.84751999999999506</v>
      </c>
      <c r="AF6713">
        <v>-0.86196540706154101</v>
      </c>
      <c r="AG6713">
        <v>-1.1208143462410001</v>
      </c>
      <c r="AH6713">
        <v>17.234302111654198</v>
      </c>
      <c r="AI6713">
        <v>93.716297540935898</v>
      </c>
      <c r="AJ6713">
        <v>92.8632352826031</v>
      </c>
      <c r="AK6713">
        <v>17.292205713484901</v>
      </c>
      <c r="AL6713">
        <v>93.727219310537606</v>
      </c>
      <c r="AM6713">
        <v>91.765102041936302</v>
      </c>
      <c r="AN6713">
        <v>1.0000000411971799</v>
      </c>
    </row>
    <row r="6714" spans="1:40" x14ac:dyDescent="0.25">
      <c r="A6714" t="str">
        <f>"20190303154653447"</f>
        <v>20190303154653447</v>
      </c>
      <c r="B6714" t="str">
        <f>"1551599213438134"</f>
        <v>1551599213438134</v>
      </c>
      <c r="C6714" t="s">
        <v>40</v>
      </c>
      <c r="D6714">
        <v>5.0728499999999999</v>
      </c>
      <c r="E6714">
        <v>0.49004730000000002</v>
      </c>
      <c r="F6714" t="s">
        <v>60</v>
      </c>
      <c r="G6714">
        <v>-206.07310000000001</v>
      </c>
      <c r="H6714" s="1">
        <v>-2.6199920000000001E-6</v>
      </c>
      <c r="I6714">
        <v>-61.477780000000003</v>
      </c>
      <c r="J6714">
        <v>-223.69890000000001</v>
      </c>
      <c r="K6714">
        <v>1.1208100000000001</v>
      </c>
      <c r="L6714">
        <v>-62.420169999999999</v>
      </c>
      <c r="M6714">
        <v>0.99991379999999996</v>
      </c>
      <c r="N6714">
        <v>-1.3089109999999999E-2</v>
      </c>
      <c r="O6714">
        <v>-1.2068910000000001E-3</v>
      </c>
      <c r="P6714">
        <v>0.99648460000000005</v>
      </c>
      <c r="Q6714">
        <v>-7.8398759999999998E-2</v>
      </c>
      <c r="R6714">
        <v>2.9535289999999999E-2</v>
      </c>
      <c r="S6714">
        <v>2.9910130000000001</v>
      </c>
      <c r="T6714">
        <v>-0.188774</v>
      </c>
      <c r="U6714">
        <v>0.15866089999999999</v>
      </c>
      <c r="V6714">
        <v>-3.0769930000000001E-2</v>
      </c>
      <c r="W6714">
        <v>-6.5334459999999997E-2</v>
      </c>
      <c r="X6714">
        <v>0.99738890000000002</v>
      </c>
      <c r="Y6714">
        <v>-5.4045589999999998E-2</v>
      </c>
      <c r="Z6714">
        <v>2.1172809999999999E-3</v>
      </c>
      <c r="AA6714">
        <v>0.99853619999999998</v>
      </c>
      <c r="AB6714">
        <v>24</v>
      </c>
      <c r="AC6714">
        <v>17.625799999999899</v>
      </c>
      <c r="AD6714">
        <v>-1.1208126199920001</v>
      </c>
      <c r="AE6714">
        <v>0.94238999999999595</v>
      </c>
      <c r="AF6714">
        <v>-0.95979359140210896</v>
      </c>
      <c r="AG6714">
        <v>-1.1208126199920001</v>
      </c>
      <c r="AH6714">
        <v>17.553871174311201</v>
      </c>
      <c r="AI6714">
        <v>93.647935429019299</v>
      </c>
      <c r="AJ6714">
        <v>93.129646928439001</v>
      </c>
      <c r="AK6714">
        <v>17.615783203466801</v>
      </c>
      <c r="AL6714">
        <v>93.746057113335596</v>
      </c>
      <c r="AM6714">
        <v>91.767042058566204</v>
      </c>
      <c r="AN6714">
        <v>0.99999999904945303</v>
      </c>
    </row>
    <row r="6715" spans="1:40" x14ac:dyDescent="0.25">
      <c r="A6715" t="str">
        <f>"20190303154653461"</f>
        <v>20190303154653461</v>
      </c>
      <c r="B6715" t="str">
        <f>"1551599213458630"</f>
        <v>1551599213458630</v>
      </c>
      <c r="C6715" t="s">
        <v>40</v>
      </c>
      <c r="D6715">
        <v>5.0436529999999999</v>
      </c>
      <c r="E6715">
        <v>0.48843969999999998</v>
      </c>
      <c r="F6715" t="s">
        <v>60</v>
      </c>
      <c r="G6715">
        <v>-206.1113</v>
      </c>
      <c r="H6715" s="1">
        <v>-2.58918E-6</v>
      </c>
      <c r="I6715">
        <v>-61.431280000000001</v>
      </c>
      <c r="J6715">
        <v>-223.5505</v>
      </c>
      <c r="K6715">
        <v>1.120808</v>
      </c>
      <c r="L6715">
        <v>-62.420529999999999</v>
      </c>
      <c r="M6715">
        <v>0.9999133</v>
      </c>
      <c r="N6715">
        <v>-1.30946E-2</v>
      </c>
      <c r="O6715">
        <v>-1.3896729999999999E-3</v>
      </c>
      <c r="P6715">
        <v>0.99645879999999998</v>
      </c>
      <c r="Q6715">
        <v>-7.8895430000000003E-2</v>
      </c>
      <c r="R6715">
        <v>2.9081909999999999E-2</v>
      </c>
      <c r="S6715">
        <v>2.9906009999999998</v>
      </c>
      <c r="T6715">
        <v>-0.19058410000000001</v>
      </c>
      <c r="U6715">
        <v>0.16815189999999999</v>
      </c>
      <c r="V6715">
        <v>-3.0498810000000001E-2</v>
      </c>
      <c r="W6715">
        <v>-6.5826099999999999E-2</v>
      </c>
      <c r="X6715">
        <v>0.9973649</v>
      </c>
      <c r="Y6715">
        <v>-5.738389E-2</v>
      </c>
      <c r="Z6715">
        <v>2.2718949999999999E-3</v>
      </c>
      <c r="AA6715">
        <v>0.99834959999999995</v>
      </c>
      <c r="AB6715">
        <v>24</v>
      </c>
      <c r="AC6715">
        <v>17.4392</v>
      </c>
      <c r="AD6715">
        <v>-1.12081058918</v>
      </c>
      <c r="AE6715">
        <v>0.98924999999999796</v>
      </c>
      <c r="AF6715">
        <v>-1.0093301584925201</v>
      </c>
      <c r="AG6715">
        <v>-1.12081058918</v>
      </c>
      <c r="AH6715">
        <v>17.366305425160999</v>
      </c>
      <c r="AI6715">
        <v>93.686508708228601</v>
      </c>
      <c r="AJ6715">
        <v>93.326290346603002</v>
      </c>
      <c r="AK6715">
        <v>17.431681727981299</v>
      </c>
      <c r="AL6715">
        <v>93.7742867836225</v>
      </c>
      <c r="AM6715">
        <v>91.751524159285907</v>
      </c>
      <c r="AN6715">
        <v>0.99999999830231801</v>
      </c>
    </row>
    <row r="6716" spans="1:40" x14ac:dyDescent="0.25">
      <c r="A6716" t="str">
        <f>"20190303154653472"</f>
        <v>20190303154653472</v>
      </c>
      <c r="B6716" t="str">
        <f>"1551599213468391"</f>
        <v>1551599213468391</v>
      </c>
      <c r="C6716" t="s">
        <v>40</v>
      </c>
      <c r="D6716">
        <v>5.0089569999999997</v>
      </c>
      <c r="E6716">
        <v>0.4879791</v>
      </c>
      <c r="F6716" t="s">
        <v>60</v>
      </c>
      <c r="G6716">
        <v>-206.19280000000001</v>
      </c>
      <c r="H6716" s="1">
        <v>-2.5299940000000002E-6</v>
      </c>
      <c r="I6716">
        <v>-61.377969999999998</v>
      </c>
      <c r="J6716">
        <v>-223.4306</v>
      </c>
      <c r="K6716">
        <v>1.1208100000000001</v>
      </c>
      <c r="L6716">
        <v>-62.420870000000001</v>
      </c>
      <c r="M6716">
        <v>0.99991319999999995</v>
      </c>
      <c r="N6716">
        <v>-1.3100479999999999E-2</v>
      </c>
      <c r="O6716">
        <v>-1.537409E-3</v>
      </c>
      <c r="P6716">
        <v>0.99644330000000003</v>
      </c>
      <c r="Q6716">
        <v>-7.9204620000000003E-2</v>
      </c>
      <c r="R6716">
        <v>2.8770500000000001E-2</v>
      </c>
      <c r="S6716">
        <v>2.9901119999999999</v>
      </c>
      <c r="T6716">
        <v>-0.19307589999999999</v>
      </c>
      <c r="U6716">
        <v>0.179595899999999</v>
      </c>
      <c r="V6716">
        <v>-3.0334590000000002E-2</v>
      </c>
      <c r="W6716">
        <v>-6.6129709999999994E-2</v>
      </c>
      <c r="X6716">
        <v>0.99734979999999995</v>
      </c>
      <c r="Y6716">
        <v>-6.1334670000000001E-2</v>
      </c>
      <c r="Z6716">
        <v>2.4580119999999999E-3</v>
      </c>
      <c r="AA6716">
        <v>0.99811419999999995</v>
      </c>
      <c r="AB6716">
        <v>24</v>
      </c>
      <c r="AC6716">
        <v>17.237799999999901</v>
      </c>
      <c r="AD6716">
        <v>-1.1208125299939999</v>
      </c>
      <c r="AE6716">
        <v>1.0428999999999899</v>
      </c>
      <c r="AF6716">
        <v>-1.0649168750139599</v>
      </c>
      <c r="AG6716">
        <v>-1.1208125299939999</v>
      </c>
      <c r="AH6716">
        <v>17.163877351924199</v>
      </c>
      <c r="AI6716">
        <v>93.728997604381604</v>
      </c>
      <c r="AJ6716">
        <v>93.550312641991894</v>
      </c>
      <c r="AK6716">
        <v>17.2333674721447</v>
      </c>
      <c r="AL6716">
        <v>93.791720431112694</v>
      </c>
      <c r="AM6716">
        <v>91.742125312385895</v>
      </c>
      <c r="AN6716">
        <v>0.99999997472759505</v>
      </c>
    </row>
    <row r="6717" spans="1:40" x14ac:dyDescent="0.25">
      <c r="A6717" t="str">
        <f>"20190303154653484"</f>
        <v>20190303154653484</v>
      </c>
      <c r="B6717" t="str">
        <f>"1551599213478151"</f>
        <v>1551599213478151</v>
      </c>
      <c r="C6717" t="s">
        <v>40</v>
      </c>
      <c r="D6717">
        <v>5.0070540000000001</v>
      </c>
      <c r="E6717">
        <v>0.48751870000000003</v>
      </c>
      <c r="F6717" t="s">
        <v>60</v>
      </c>
      <c r="G6717">
        <v>-206.12719999999999</v>
      </c>
      <c r="H6717" s="1">
        <v>-2.5700060000000001E-6</v>
      </c>
      <c r="I6717">
        <v>-61.366010000000003</v>
      </c>
      <c r="J6717">
        <v>-223.31319999999999</v>
      </c>
      <c r="K6717">
        <v>1.120808</v>
      </c>
      <c r="L6717">
        <v>-62.421199999999999</v>
      </c>
      <c r="M6717">
        <v>0.99991269999999999</v>
      </c>
      <c r="N6717">
        <v>-1.3106710000000001E-2</v>
      </c>
      <c r="O6717">
        <v>-1.68169E-3</v>
      </c>
      <c r="P6717">
        <v>0.99641469999999999</v>
      </c>
      <c r="Q6717">
        <v>-7.9674659999999994E-2</v>
      </c>
      <c r="R6717">
        <v>2.846212E-2</v>
      </c>
      <c r="S6717">
        <v>2.9900509999999998</v>
      </c>
      <c r="T6717">
        <v>-0.1936784</v>
      </c>
      <c r="U6717">
        <v>0.18228150000000001</v>
      </c>
      <c r="V6717">
        <v>-3.0170539999999999E-2</v>
      </c>
      <c r="W6717">
        <v>-6.6594E-2</v>
      </c>
      <c r="X6717">
        <v>0.99732390000000004</v>
      </c>
      <c r="Y6717">
        <v>-6.2369389999999997E-2</v>
      </c>
      <c r="Z6717">
        <v>2.5123379999999998E-3</v>
      </c>
      <c r="AA6717">
        <v>0.99804999999999999</v>
      </c>
      <c r="AB6717">
        <v>24</v>
      </c>
      <c r="AC6717">
        <v>17.186</v>
      </c>
      <c r="AD6717">
        <v>-1.120810570006</v>
      </c>
      <c r="AE6717">
        <v>1.0551900000000001</v>
      </c>
      <c r="AF6717">
        <v>-1.0795183607413299</v>
      </c>
      <c r="AG6717">
        <v>-1.120810570006</v>
      </c>
      <c r="AH6717">
        <v>17.111695071509999</v>
      </c>
      <c r="AI6717">
        <v>93.740088151498</v>
      </c>
      <c r="AJ6717">
        <v>93.6098110700772</v>
      </c>
      <c r="AK6717">
        <v>17.182307308547198</v>
      </c>
      <c r="AL6717">
        <v>93.818380993864395</v>
      </c>
      <c r="AM6717">
        <v>91.732754596794507</v>
      </c>
      <c r="AN6717">
        <v>0.99999999191555</v>
      </c>
    </row>
    <row r="6718" spans="1:40" x14ac:dyDescent="0.25">
      <c r="A6718" t="str">
        <f>"20190303154653494"</f>
        <v>20190303154653494</v>
      </c>
      <c r="B6718" t="str">
        <f>"1551599213487910"</f>
        <v>1551599213487910</v>
      </c>
      <c r="C6718" t="s">
        <v>40</v>
      </c>
      <c r="D6718">
        <v>5.0107460000000001</v>
      </c>
      <c r="E6718">
        <v>0.48718840000000002</v>
      </c>
      <c r="F6718" t="s">
        <v>60</v>
      </c>
      <c r="G6718">
        <v>-206.1155</v>
      </c>
      <c r="H6718" s="1">
        <v>-2.5762040000000001E-6</v>
      </c>
      <c r="I6718">
        <v>-61.357120000000002</v>
      </c>
      <c r="J6718">
        <v>-223.19669999999999</v>
      </c>
      <c r="K6718">
        <v>1.1208100000000001</v>
      </c>
      <c r="L6718">
        <v>-62.421570000000003</v>
      </c>
      <c r="M6718">
        <v>0.99991240000000003</v>
      </c>
      <c r="N6718">
        <v>-1.3114300000000001E-2</v>
      </c>
      <c r="O6718">
        <v>-1.825499E-3</v>
      </c>
      <c r="P6718">
        <v>0.99638090000000001</v>
      </c>
      <c r="Q6718">
        <v>-8.0194470000000004E-2</v>
      </c>
      <c r="R6718">
        <v>2.817996E-2</v>
      </c>
      <c r="S6718">
        <v>2.9899290000000001</v>
      </c>
      <c r="T6718">
        <v>-0.1948607</v>
      </c>
      <c r="U6718">
        <v>0.18499760000000001</v>
      </c>
      <c r="V6718">
        <v>-3.0032070000000001E-2</v>
      </c>
      <c r="W6718">
        <v>-6.7106780000000005E-2</v>
      </c>
      <c r="X6718">
        <v>0.99729369999999995</v>
      </c>
      <c r="Y6718">
        <v>-6.3413940000000002E-2</v>
      </c>
      <c r="Z6718">
        <v>2.5738559999999998E-3</v>
      </c>
      <c r="AA6718">
        <v>0.99798399999999998</v>
      </c>
      <c r="AB6718">
        <v>23</v>
      </c>
      <c r="AC6718">
        <v>17.0811999999999</v>
      </c>
      <c r="AD6718">
        <v>-1.120812576204</v>
      </c>
      <c r="AE6718">
        <v>1.0644499999999999</v>
      </c>
      <c r="AF6718">
        <v>-1.0909536279912599</v>
      </c>
      <c r="AG6718">
        <v>-1.120812576204</v>
      </c>
      <c r="AH6718">
        <v>17.006289931726801</v>
      </c>
      <c r="AI6718">
        <v>93.7629567327795</v>
      </c>
      <c r="AJ6718">
        <v>93.670495234023093</v>
      </c>
      <c r="AK6718">
        <v>17.078064816932699</v>
      </c>
      <c r="AL6718">
        <v>93.847827022812297</v>
      </c>
      <c r="AM6718">
        <v>91.724859000819606</v>
      </c>
      <c r="AN6718">
        <v>0.999999984605071</v>
      </c>
    </row>
    <row r="6719" spans="1:40" x14ac:dyDescent="0.25">
      <c r="A6719" t="str">
        <f>"20190303154653507"</f>
        <v>20190303154653507</v>
      </c>
      <c r="B6719" t="str">
        <f>"1551599213498647"</f>
        <v>1551599213498647</v>
      </c>
      <c r="C6719" t="s">
        <v>40</v>
      </c>
      <c r="D6719">
        <v>5.0397080000000001</v>
      </c>
      <c r="E6719">
        <v>0.48697970000000002</v>
      </c>
      <c r="F6719" t="s">
        <v>60</v>
      </c>
      <c r="G6719">
        <v>-206.17490000000001</v>
      </c>
      <c r="H6719" s="1">
        <v>-2.5386149999999999E-6</v>
      </c>
      <c r="I6719">
        <v>-61.358420000000002</v>
      </c>
      <c r="J6719">
        <v>-223.07050000000001</v>
      </c>
      <c r="K6719">
        <v>1.1208100000000001</v>
      </c>
      <c r="L6719">
        <v>-62.421999999999997</v>
      </c>
      <c r="M6719">
        <v>0.99991200000000002</v>
      </c>
      <c r="N6719">
        <v>-1.3122969999999999E-2</v>
      </c>
      <c r="O6719">
        <v>-1.9814720000000002E-3</v>
      </c>
      <c r="P6719">
        <v>0.99638409999999999</v>
      </c>
      <c r="Q6719">
        <v>-8.0337549999999994E-2</v>
      </c>
      <c r="R6719">
        <v>2.765428E-2</v>
      </c>
      <c r="S6719">
        <v>2.9897770000000001</v>
      </c>
      <c r="T6719">
        <v>-0.19686480000000001</v>
      </c>
      <c r="U6719">
        <v>0.18673709999999999</v>
      </c>
      <c r="V6719">
        <v>-2.9661340000000001E-2</v>
      </c>
      <c r="W6719">
        <v>-6.7241410000000001E-2</v>
      </c>
      <c r="X6719">
        <v>0.99729570000000001</v>
      </c>
      <c r="Y6719">
        <v>-6.4145889999999997E-2</v>
      </c>
      <c r="Z6719">
        <v>2.6336599999999999E-3</v>
      </c>
      <c r="AA6719">
        <v>0.99793710000000002</v>
      </c>
      <c r="AB6719">
        <v>23</v>
      </c>
      <c r="AC6719">
        <v>16.895600000000002</v>
      </c>
      <c r="AD6719">
        <v>-1.1208125386149901</v>
      </c>
      <c r="AE6719">
        <v>1.06358</v>
      </c>
      <c r="AF6719">
        <v>-1.09227119891751</v>
      </c>
      <c r="AG6719">
        <v>-1.1208125386149901</v>
      </c>
      <c r="AH6719">
        <v>16.819733263864499</v>
      </c>
      <c r="AI6719">
        <v>93.804379079666603</v>
      </c>
      <c r="AJ6719">
        <v>93.715562944937602</v>
      </c>
      <c r="AK6719">
        <v>16.892385982632799</v>
      </c>
      <c r="AL6719">
        <v>93.855558320021203</v>
      </c>
      <c r="AM6719">
        <v>91.703575740770901</v>
      </c>
      <c r="AN6719">
        <v>0.99999995777393502</v>
      </c>
    </row>
    <row r="6720" spans="1:40" x14ac:dyDescent="0.25">
      <c r="A6720" t="str">
        <f>"20190303154653520"</f>
        <v>20190303154653520</v>
      </c>
      <c r="B6720" t="str">
        <f>"1551599213508407"</f>
        <v>1551599213508407</v>
      </c>
      <c r="C6720" t="s">
        <v>40</v>
      </c>
      <c r="D6720">
        <v>5.0485329999999999</v>
      </c>
      <c r="E6720">
        <v>0.48657590000000001</v>
      </c>
      <c r="F6720" t="s">
        <v>60</v>
      </c>
      <c r="G6720">
        <v>-206.11840000000001</v>
      </c>
      <c r="H6720" s="1">
        <v>-2.5751239999999999E-6</v>
      </c>
      <c r="I6720">
        <v>-61.362499999999997</v>
      </c>
      <c r="J6720">
        <v>-222.93620000000001</v>
      </c>
      <c r="K6720">
        <v>1.1208119999999999</v>
      </c>
      <c r="L6720">
        <v>-62.422449999999998</v>
      </c>
      <c r="M6720">
        <v>0.99991149999999995</v>
      </c>
      <c r="N6720">
        <v>-1.3132700000000001E-2</v>
      </c>
      <c r="O6720">
        <v>-2.148058E-3</v>
      </c>
      <c r="P6720">
        <v>0.99637920000000002</v>
      </c>
      <c r="Q6720">
        <v>-8.0509819999999996E-2</v>
      </c>
      <c r="R6720">
        <v>2.7329989999999998E-2</v>
      </c>
      <c r="S6720">
        <v>2.9897610000000001</v>
      </c>
      <c r="T6720">
        <v>-0.19767199999999999</v>
      </c>
      <c r="U6720">
        <v>0.1868591</v>
      </c>
      <c r="V6720">
        <v>-2.950361E-2</v>
      </c>
      <c r="W6720">
        <v>-6.7404179999999994E-2</v>
      </c>
      <c r="X6720">
        <v>0.99728939999999999</v>
      </c>
      <c r="Y6720">
        <v>-6.4350980000000002E-2</v>
      </c>
      <c r="Z6720">
        <v>2.6600450000000002E-3</v>
      </c>
      <c r="AA6720">
        <v>0.99792380000000003</v>
      </c>
      <c r="AB6720">
        <v>23</v>
      </c>
      <c r="AC6720">
        <v>16.817799999999998</v>
      </c>
      <c r="AD6720">
        <v>-1.120814575124</v>
      </c>
      <c r="AE6720">
        <v>1.0599499999999999</v>
      </c>
      <c r="AF6720">
        <v>-1.09124867880332</v>
      </c>
      <c r="AG6720">
        <v>-1.120814575124</v>
      </c>
      <c r="AH6720">
        <v>16.7414214171671</v>
      </c>
      <c r="AI6720">
        <v>93.822069317495703</v>
      </c>
      <c r="AJ6720">
        <v>93.729409667534995</v>
      </c>
      <c r="AK6720">
        <v>16.814346257228699</v>
      </c>
      <c r="AL6720">
        <v>93.864905525643294</v>
      </c>
      <c r="AM6720">
        <v>91.694532636225304</v>
      </c>
      <c r="AN6720">
        <v>0.99999996691843096</v>
      </c>
    </row>
    <row r="6721" spans="1:40" x14ac:dyDescent="0.25">
      <c r="A6721" t="str">
        <f>"20190303154653532"</f>
        <v>20190303154653532</v>
      </c>
      <c r="B6721" t="str">
        <f>"1551599213527927"</f>
        <v>1551599213527927</v>
      </c>
      <c r="C6721" t="s">
        <v>40</v>
      </c>
      <c r="D6721">
        <v>4.9959550000000004</v>
      </c>
      <c r="E6721">
        <v>0.486182</v>
      </c>
      <c r="F6721" t="s">
        <v>60</v>
      </c>
      <c r="G6721">
        <v>-206.0231</v>
      </c>
      <c r="H6721" s="1">
        <v>-2.6342839999999999E-6</v>
      </c>
      <c r="I6721">
        <v>-61.352600000000002</v>
      </c>
      <c r="J6721">
        <v>-222.8064</v>
      </c>
      <c r="K6721">
        <v>1.1208129999999901</v>
      </c>
      <c r="L6721">
        <v>-62.422910000000002</v>
      </c>
      <c r="M6721">
        <v>0.99991099999999999</v>
      </c>
      <c r="N6721">
        <v>-1.314186E-2</v>
      </c>
      <c r="O6721">
        <v>-2.309157E-3</v>
      </c>
      <c r="P6721">
        <v>0.99638539999999998</v>
      </c>
      <c r="Q6721">
        <v>-8.0513059999999997E-2</v>
      </c>
      <c r="R6721">
        <v>2.7088839999999999E-2</v>
      </c>
      <c r="S6721">
        <v>2.989716</v>
      </c>
      <c r="T6721">
        <v>-0.19812660000000001</v>
      </c>
      <c r="U6721">
        <v>0.18911739999999999</v>
      </c>
      <c r="V6721">
        <v>-2.9422779999999999E-2</v>
      </c>
      <c r="W6721">
        <v>-6.7398360000000004E-2</v>
      </c>
      <c r="X6721">
        <v>0.99729219999999996</v>
      </c>
      <c r="Y6721">
        <v>-6.5260150000000003E-2</v>
      </c>
      <c r="Z6721">
        <v>2.7101030000000002E-3</v>
      </c>
      <c r="AA6721">
        <v>0.99786459999999999</v>
      </c>
      <c r="AB6721">
        <v>23</v>
      </c>
      <c r="AC6721">
        <v>16.783299999999901</v>
      </c>
      <c r="AD6721">
        <v>-1.1208156342840001</v>
      </c>
      <c r="AE6721">
        <v>1.0703099999999901</v>
      </c>
      <c r="AF6721">
        <v>-1.1041613931629</v>
      </c>
      <c r="AG6721">
        <v>-1.1208156342840001</v>
      </c>
      <c r="AH6721">
        <v>16.706577610967901</v>
      </c>
      <c r="AI6721">
        <v>93.829793847895402</v>
      </c>
      <c r="AJ6721">
        <v>93.781260064126201</v>
      </c>
      <c r="AK6721">
        <v>16.780498667783998</v>
      </c>
      <c r="AL6721">
        <v>93.864571232056903</v>
      </c>
      <c r="AM6721">
        <v>91.689888138677105</v>
      </c>
      <c r="AN6721">
        <v>0.99999998554722802</v>
      </c>
    </row>
    <row r="6722" spans="1:40" x14ac:dyDescent="0.25">
      <c r="A6722" t="str">
        <f>"20190303154653545"</f>
        <v>20190303154653545</v>
      </c>
      <c r="B6722" t="str">
        <f>"1551599213538663"</f>
        <v>1551599213538663</v>
      </c>
      <c r="C6722" t="s">
        <v>40</v>
      </c>
      <c r="D6722">
        <v>4.9812560000000001</v>
      </c>
      <c r="E6722">
        <v>0.48594549999999997</v>
      </c>
      <c r="F6722" t="s">
        <v>60</v>
      </c>
      <c r="G6722">
        <v>-205.9358</v>
      </c>
      <c r="H6722" s="1">
        <v>-2.6883230000000002E-6</v>
      </c>
      <c r="I6722">
        <v>-61.341769999999997</v>
      </c>
      <c r="J6722">
        <v>-222.67080000000001</v>
      </c>
      <c r="K6722">
        <v>1.120814</v>
      </c>
      <c r="L6722">
        <v>-62.423430000000003</v>
      </c>
      <c r="M6722">
        <v>0.99991050000000004</v>
      </c>
      <c r="N6722">
        <v>-1.315116E-2</v>
      </c>
      <c r="O6722">
        <v>-2.4775280000000001E-3</v>
      </c>
      <c r="P6722">
        <v>0.99638769999999999</v>
      </c>
      <c r="Q6722">
        <v>-8.0541370000000001E-2</v>
      </c>
      <c r="R6722">
        <v>2.6928000000000001E-2</v>
      </c>
      <c r="S6722">
        <v>2.9896389999999999</v>
      </c>
      <c r="T6722">
        <v>-0.1986195</v>
      </c>
      <c r="U6722">
        <v>0.19158939999999999</v>
      </c>
      <c r="V6722">
        <v>-2.9429400000000001E-2</v>
      </c>
      <c r="W6722">
        <v>-6.7417439999999995E-2</v>
      </c>
      <c r="X6722">
        <v>0.99729069999999997</v>
      </c>
      <c r="Y6722">
        <v>-6.6247829999999994E-2</v>
      </c>
      <c r="Z6722">
        <v>2.7643360000000001E-3</v>
      </c>
      <c r="AA6722">
        <v>0.9977994</v>
      </c>
      <c r="AB6722">
        <v>23</v>
      </c>
      <c r="AC6722">
        <v>16.734999999999999</v>
      </c>
      <c r="AD6722">
        <v>-1.120816688323</v>
      </c>
      <c r="AE6722">
        <v>1.0816600000000001</v>
      </c>
      <c r="AF6722">
        <v>-1.11812712145044</v>
      </c>
      <c r="AG6722">
        <v>-1.120816688323</v>
      </c>
      <c r="AH6722">
        <v>16.657859397025501</v>
      </c>
      <c r="AI6722">
        <v>93.840702752516705</v>
      </c>
      <c r="AJ6722">
        <v>93.840109892743996</v>
      </c>
      <c r="AK6722">
        <v>16.732923175572701</v>
      </c>
      <c r="AL6722">
        <v>93.865666985753606</v>
      </c>
      <c r="AM6722">
        <v>91.690270676577995</v>
      </c>
      <c r="AN6722">
        <v>0.99999997055350098</v>
      </c>
    </row>
    <row r="6723" spans="1:40" x14ac:dyDescent="0.25">
      <c r="A6723" t="str">
        <f>"20190303154653557"</f>
        <v>20190303154653557</v>
      </c>
      <c r="B6723" t="str">
        <f>"1551599213548422"</f>
        <v>1551599213548422</v>
      </c>
      <c r="C6723" t="s">
        <v>40</v>
      </c>
      <c r="D6723">
        <v>5.0638649999999998</v>
      </c>
      <c r="E6723">
        <v>0.4858886</v>
      </c>
      <c r="F6723" t="s">
        <v>60</v>
      </c>
      <c r="G6723">
        <v>-205.86179999999999</v>
      </c>
      <c r="H6723" s="1">
        <v>-2.7348449999999998E-6</v>
      </c>
      <c r="I6723">
        <v>-61.33849</v>
      </c>
      <c r="J6723">
        <v>-222.5461</v>
      </c>
      <c r="K6723">
        <v>1.120816</v>
      </c>
      <c r="L6723">
        <v>-62.423920000000003</v>
      </c>
      <c r="M6723">
        <v>0.99990999999999997</v>
      </c>
      <c r="N6723">
        <v>-1.3159209999999999E-2</v>
      </c>
      <c r="O6723">
        <v>-2.632662E-3</v>
      </c>
      <c r="P6723">
        <v>0.99637989999999999</v>
      </c>
      <c r="Q6723">
        <v>-8.0603140000000004E-2</v>
      </c>
      <c r="R6723">
        <v>2.7028429999999999E-2</v>
      </c>
      <c r="S6723">
        <v>2.989563</v>
      </c>
      <c r="T6723">
        <v>-0.19934279999999999</v>
      </c>
      <c r="U6723">
        <v>0.19296260000000001</v>
      </c>
      <c r="V6723">
        <v>-2.9684660000000002E-2</v>
      </c>
      <c r="W6723">
        <v>-6.7471240000000002E-2</v>
      </c>
      <c r="X6723">
        <v>0.99727949999999999</v>
      </c>
      <c r="Y6723">
        <v>-6.6857669999999994E-2</v>
      </c>
      <c r="Z6723">
        <v>2.805793E-3</v>
      </c>
      <c r="AA6723">
        <v>0.99775860000000005</v>
      </c>
      <c r="AB6723">
        <v>23</v>
      </c>
      <c r="AC6723">
        <v>16.6843</v>
      </c>
      <c r="AD6723">
        <v>-1.1208187348450001</v>
      </c>
      <c r="AE6723">
        <v>1.0854299999999899</v>
      </c>
      <c r="AF6723">
        <v>-1.1243016955277001</v>
      </c>
      <c r="AG6723">
        <v>-1.1208187348450001</v>
      </c>
      <c r="AH6723">
        <v>16.6067557444477</v>
      </c>
      <c r="AI6723">
        <v>93.852344078554495</v>
      </c>
      <c r="AJ6723">
        <v>93.873098002888995</v>
      </c>
      <c r="AK6723">
        <v>16.682464604928501</v>
      </c>
      <c r="AL6723">
        <v>93.868756519462096</v>
      </c>
      <c r="AM6723">
        <v>91.704941995075401</v>
      </c>
      <c r="AN6723">
        <v>0.99999997419335096</v>
      </c>
    </row>
    <row r="6724" spans="1:40" x14ac:dyDescent="0.25">
      <c r="A6724" t="str">
        <f>"20190303154653569"</f>
        <v>20190303154653569</v>
      </c>
      <c r="B6724" t="str">
        <f>"1551599213558182"</f>
        <v>1551599213558182</v>
      </c>
      <c r="C6724" t="s">
        <v>40</v>
      </c>
      <c r="D6724">
        <v>4.9804559999999896</v>
      </c>
      <c r="E6724">
        <v>0.48574329999999999</v>
      </c>
      <c r="F6724" t="s">
        <v>60</v>
      </c>
      <c r="G6724">
        <v>-205.72989999999999</v>
      </c>
      <c r="H6724" s="1">
        <v>-2.8181670000000001E-6</v>
      </c>
      <c r="I6724">
        <v>-61.334389999999999</v>
      </c>
      <c r="J6724">
        <v>-222.42009999999999</v>
      </c>
      <c r="K6724">
        <v>1.1208149999999999</v>
      </c>
      <c r="L6724">
        <v>-62.424410000000002</v>
      </c>
      <c r="M6724">
        <v>0.99990950000000001</v>
      </c>
      <c r="N6724">
        <v>-1.3166799999999999E-2</v>
      </c>
      <c r="O6724">
        <v>-2.788989E-3</v>
      </c>
      <c r="P6724">
        <v>0.99640399999999996</v>
      </c>
      <c r="Q6724">
        <v>-8.0378889999999995E-2</v>
      </c>
      <c r="R6724">
        <v>2.6806259999999998E-2</v>
      </c>
      <c r="S6724">
        <v>2.989563</v>
      </c>
      <c r="T6724">
        <v>-0.19925770000000001</v>
      </c>
      <c r="U6724">
        <v>0.19369510000000001</v>
      </c>
      <c r="V6724">
        <v>-2.961807E-2</v>
      </c>
      <c r="W6724">
        <v>-6.7239199999999999E-2</v>
      </c>
      <c r="X6724">
        <v>0.99729719999999999</v>
      </c>
      <c r="Y6724">
        <v>-6.7255910000000002E-2</v>
      </c>
      <c r="Z6724">
        <v>2.8292040000000001E-3</v>
      </c>
      <c r="AA6724">
        <v>0.9977317</v>
      </c>
      <c r="AB6724">
        <v>23</v>
      </c>
      <c r="AC6724">
        <v>16.690200000000001</v>
      </c>
      <c r="AD6724">
        <v>-1.1208178181670001</v>
      </c>
      <c r="AE6724">
        <v>1.09001999999999</v>
      </c>
      <c r="AF6724">
        <v>-1.13148758627805</v>
      </c>
      <c r="AG6724">
        <v>-1.1208178181670001</v>
      </c>
      <c r="AH6724">
        <v>16.612495689816502</v>
      </c>
      <c r="AI6724">
        <v>93.850907696248797</v>
      </c>
      <c r="AJ6724">
        <v>93.896433947741002</v>
      </c>
      <c r="AK6724">
        <v>16.688664110215498</v>
      </c>
      <c r="AL6724">
        <v>93.855431158780306</v>
      </c>
      <c r="AM6724">
        <v>91.701089466517701</v>
      </c>
      <c r="AN6724">
        <v>1.0000000226075001</v>
      </c>
    </row>
    <row r="6725" spans="1:40" x14ac:dyDescent="0.25">
      <c r="A6725" t="str">
        <f>"20190303154653584"</f>
        <v>20190303154653584</v>
      </c>
      <c r="B6725" t="str">
        <f>"1551599213578677"</f>
        <v>1551599213578677</v>
      </c>
      <c r="C6725" t="s">
        <v>40</v>
      </c>
      <c r="D6725">
        <v>4.9769019999999999</v>
      </c>
      <c r="E6725">
        <v>0.4854617</v>
      </c>
      <c r="F6725" t="s">
        <v>60</v>
      </c>
      <c r="G6725">
        <v>-205.63200000000001</v>
      </c>
      <c r="H6725" s="1">
        <v>-2.880255E-6</v>
      </c>
      <c r="I6725">
        <v>-61.333759999999998</v>
      </c>
      <c r="J6725">
        <v>-222.25970000000001</v>
      </c>
      <c r="K6725">
        <v>1.120819</v>
      </c>
      <c r="L6725">
        <v>-62.425080000000001</v>
      </c>
      <c r="M6725">
        <v>0.99990889999999999</v>
      </c>
      <c r="N6725">
        <v>-1.3175900000000001E-2</v>
      </c>
      <c r="O6725">
        <v>-2.9877649999999999E-3</v>
      </c>
      <c r="P6725">
        <v>0.99639960000000005</v>
      </c>
      <c r="Q6725">
        <v>-8.0349309999999993E-2</v>
      </c>
      <c r="R6725">
        <v>2.705538E-2</v>
      </c>
      <c r="S6725">
        <v>2.9895019999999999</v>
      </c>
      <c r="T6725">
        <v>-0.19958719999999999</v>
      </c>
      <c r="U6725">
        <v>0.19421389999999999</v>
      </c>
      <c r="V6725">
        <v>-3.006516E-2</v>
      </c>
      <c r="W6725">
        <v>-6.7200469999999998E-2</v>
      </c>
      <c r="X6725">
        <v>0.99728640000000002</v>
      </c>
      <c r="Y6725">
        <v>-6.7626140000000001E-2</v>
      </c>
      <c r="Z6725">
        <v>2.8589269999999998E-3</v>
      </c>
      <c r="AA6725">
        <v>0.99770669999999995</v>
      </c>
      <c r="AB6725">
        <v>23</v>
      </c>
      <c r="AC6725">
        <v>16.627700000000001</v>
      </c>
      <c r="AD6725">
        <v>-1.1208218802550001</v>
      </c>
      <c r="AE6725">
        <v>1.0913200000000001</v>
      </c>
      <c r="AF6725">
        <v>-1.1358602305751699</v>
      </c>
      <c r="AG6725">
        <v>-1.1208218802550001</v>
      </c>
      <c r="AH6725">
        <v>16.549491623511901</v>
      </c>
      <c r="AI6725">
        <v>93.865400443206099</v>
      </c>
      <c r="AJ6725">
        <v>93.926289523286798</v>
      </c>
      <c r="AK6725">
        <v>16.626247115550498</v>
      </c>
      <c r="AL6725">
        <v>93.853207187405502</v>
      </c>
      <c r="AM6725">
        <v>91.726770970721802</v>
      </c>
      <c r="AN6725">
        <v>0.99999999031950304</v>
      </c>
    </row>
    <row r="6726" spans="1:40" x14ac:dyDescent="0.25">
      <c r="A6726" t="str">
        <f>"20190303154653595"</f>
        <v>20190303154653595</v>
      </c>
      <c r="B6726" t="str">
        <f>"1551599213588438"</f>
        <v>1551599213588438</v>
      </c>
      <c r="C6726" t="s">
        <v>40</v>
      </c>
      <c r="D6726">
        <v>4.968985</v>
      </c>
      <c r="E6726">
        <v>0.4853267</v>
      </c>
      <c r="F6726" t="s">
        <v>60</v>
      </c>
      <c r="G6726">
        <v>-205.60319999999999</v>
      </c>
      <c r="H6726" s="1">
        <v>-2.8975729999999999E-6</v>
      </c>
      <c r="I6726">
        <v>-61.3264</v>
      </c>
      <c r="J6726">
        <v>-222.14400000000001</v>
      </c>
      <c r="K6726">
        <v>1.1208199999999999</v>
      </c>
      <c r="L6726">
        <v>-62.425600000000003</v>
      </c>
      <c r="M6726">
        <v>0.99990829999999997</v>
      </c>
      <c r="N6726">
        <v>-1.3181899999999899E-2</v>
      </c>
      <c r="O6726">
        <v>-3.1309710000000002E-3</v>
      </c>
      <c r="P6726">
        <v>0.9963862</v>
      </c>
      <c r="Q6726">
        <v>-8.0487320000000001E-2</v>
      </c>
      <c r="R6726">
        <v>2.7141220000000001E-2</v>
      </c>
      <c r="S6726">
        <v>2.9892729999999998</v>
      </c>
      <c r="T6726">
        <v>-0.20114860000000001</v>
      </c>
      <c r="U6726">
        <v>0.19717409999999999</v>
      </c>
      <c r="V6726">
        <v>-3.0294109999999999E-2</v>
      </c>
      <c r="W6726">
        <v>-6.7332600000000006E-2</v>
      </c>
      <c r="X6726">
        <v>0.99727060000000001</v>
      </c>
      <c r="Y6726">
        <v>-6.8751770000000004E-2</v>
      </c>
      <c r="Z6726">
        <v>2.9313400000000002E-3</v>
      </c>
      <c r="AA6726">
        <v>0.99762949999999995</v>
      </c>
      <c r="AB6726">
        <v>23</v>
      </c>
      <c r="AC6726">
        <v>16.540800000000001</v>
      </c>
      <c r="AD6726">
        <v>-1.1208228975729999</v>
      </c>
      <c r="AE6726">
        <v>1.0992</v>
      </c>
      <c r="AF6726">
        <v>-1.1457502127324199</v>
      </c>
      <c r="AG6726">
        <v>-1.1208228975729999</v>
      </c>
      <c r="AH6726">
        <v>16.4620228916862</v>
      </c>
      <c r="AI6726">
        <v>93.885622215334493</v>
      </c>
      <c r="AJ6726">
        <v>93.9813429537612</v>
      </c>
      <c r="AK6726">
        <v>16.539866541302601</v>
      </c>
      <c r="AL6726">
        <v>93.860794707795193</v>
      </c>
      <c r="AM6726">
        <v>91.7399400471364</v>
      </c>
      <c r="AN6726">
        <v>1.0000000308739001</v>
      </c>
    </row>
    <row r="6727" spans="1:40" x14ac:dyDescent="0.25">
      <c r="A6727" t="str">
        <f>"20190303154653606"</f>
        <v>20190303154653606</v>
      </c>
      <c r="B6727" t="str">
        <f>"1551599213598198"</f>
        <v>1551599213598198</v>
      </c>
      <c r="C6727" t="s">
        <v>40</v>
      </c>
      <c r="D6727">
        <v>4.983212</v>
      </c>
      <c r="E6727">
        <v>0.48512379999999999</v>
      </c>
      <c r="F6727" t="s">
        <v>60</v>
      </c>
      <c r="G6727">
        <v>-205.5367</v>
      </c>
      <c r="H6727" s="1">
        <v>-2.9393419999999999E-6</v>
      </c>
      <c r="I6727">
        <v>-61.322679999999998</v>
      </c>
      <c r="J6727">
        <v>-222.0316</v>
      </c>
      <c r="K6727">
        <v>1.120819</v>
      </c>
      <c r="L6727">
        <v>-62.426119999999997</v>
      </c>
      <c r="M6727">
        <v>0.99990769999999995</v>
      </c>
      <c r="N6727">
        <v>-1.318744E-2</v>
      </c>
      <c r="O6727">
        <v>-3.2698829999999999E-3</v>
      </c>
      <c r="P6727">
        <v>0.99637779999999998</v>
      </c>
      <c r="Q6727">
        <v>-8.0544009999999999E-2</v>
      </c>
      <c r="R6727">
        <v>2.728032E-2</v>
      </c>
      <c r="S6727">
        <v>2.9891969999999999</v>
      </c>
      <c r="T6727">
        <v>-0.20174030000000001</v>
      </c>
      <c r="U6727">
        <v>0.19851679999999999</v>
      </c>
      <c r="V6727">
        <v>-3.057124E-2</v>
      </c>
      <c r="W6727">
        <v>-6.7383799999999994E-2</v>
      </c>
      <c r="X6727">
        <v>0.99725870000000005</v>
      </c>
      <c r="Y6727">
        <v>-6.9335389999999997E-2</v>
      </c>
      <c r="Z6727">
        <v>2.969976E-3</v>
      </c>
      <c r="AA6727">
        <v>0.99758899999999995</v>
      </c>
      <c r="AB6727">
        <v>23</v>
      </c>
      <c r="AC6727">
        <v>16.494900000000001</v>
      </c>
      <c r="AD6727">
        <v>-1.120821939342</v>
      </c>
      <c r="AE6727">
        <v>1.10343999999999</v>
      </c>
      <c r="AF6727">
        <v>-1.1520795587750501</v>
      </c>
      <c r="AG6727">
        <v>-1.120821939342</v>
      </c>
      <c r="AH6727">
        <v>16.415747091581999</v>
      </c>
      <c r="AI6727">
        <v>93.896381549130496</v>
      </c>
      <c r="AJ6727">
        <v>94.014513660019006</v>
      </c>
      <c r="AK6727">
        <v>16.494249958826298</v>
      </c>
      <c r="AL6727">
        <v>93.863734870855694</v>
      </c>
      <c r="AM6727">
        <v>91.755868009367404</v>
      </c>
      <c r="AN6727">
        <v>1.0000000459716301</v>
      </c>
    </row>
    <row r="6728" spans="1:40" x14ac:dyDescent="0.25">
      <c r="A6728" t="str">
        <f>"20190303154653617"</f>
        <v>20190303154653617</v>
      </c>
      <c r="B6728" t="str">
        <f>"1551599213608934"</f>
        <v>1551599213608934</v>
      </c>
      <c r="C6728" t="s">
        <v>40</v>
      </c>
      <c r="D6728">
        <v>4.9729190000000001</v>
      </c>
      <c r="E6728">
        <v>0.4850081</v>
      </c>
      <c r="F6728" t="s">
        <v>60</v>
      </c>
      <c r="G6728">
        <v>-205.45699999999999</v>
      </c>
      <c r="H6728" s="1">
        <v>-2.9887400000000001E-6</v>
      </c>
      <c r="I6728">
        <v>-61.313809999999997</v>
      </c>
      <c r="J6728">
        <v>-221.91579999999999</v>
      </c>
      <c r="K6728">
        <v>1.120824</v>
      </c>
      <c r="L6728">
        <v>-62.426639999999999</v>
      </c>
      <c r="M6728">
        <v>0.99990710000000005</v>
      </c>
      <c r="N6728">
        <v>-1.3192809999999999E-2</v>
      </c>
      <c r="O6728">
        <v>-3.412609E-3</v>
      </c>
      <c r="P6728">
        <v>0.99637730000000002</v>
      </c>
      <c r="Q6728">
        <v>-8.0569790000000002E-2</v>
      </c>
      <c r="R6728">
        <v>2.7218679999999999E-2</v>
      </c>
      <c r="S6728">
        <v>2.9890750000000001</v>
      </c>
      <c r="T6728">
        <v>-0.2021297</v>
      </c>
      <c r="U6728">
        <v>0.20059199999999999</v>
      </c>
      <c r="V6728">
        <v>-3.065203E-2</v>
      </c>
      <c r="W6728">
        <v>-6.7404259999999994E-2</v>
      </c>
      <c r="X6728">
        <v>0.9972548</v>
      </c>
      <c r="Y6728">
        <v>-7.0166779999999998E-2</v>
      </c>
      <c r="Z6728">
        <v>3.0164219999999999E-3</v>
      </c>
      <c r="AA6728">
        <v>0.99753069999999999</v>
      </c>
      <c r="AB6728">
        <v>23</v>
      </c>
      <c r="AC6728">
        <v>16.458799999999901</v>
      </c>
      <c r="AD6728">
        <v>-1.12082698874</v>
      </c>
      <c r="AE6728">
        <v>1.11283</v>
      </c>
      <c r="AF6728">
        <v>-1.1636241476431199</v>
      </c>
      <c r="AG6728">
        <v>-1.12082698874</v>
      </c>
      <c r="AH6728">
        <v>16.3792933945222</v>
      </c>
      <c r="AI6728">
        <v>93.904808555144896</v>
      </c>
      <c r="AJ6728">
        <v>94.063601922864095</v>
      </c>
      <c r="AK6728">
        <v>16.458782652417</v>
      </c>
      <c r="AL6728">
        <v>93.864909958157497</v>
      </c>
      <c r="AM6728">
        <v>91.760512170696003</v>
      </c>
      <c r="AN6728">
        <v>1.00000000866615</v>
      </c>
    </row>
    <row r="6729" spans="1:40" x14ac:dyDescent="0.25">
      <c r="A6729" t="str">
        <f>"20190303154653630"</f>
        <v>20190303154653630</v>
      </c>
      <c r="B6729" t="str">
        <f>"1551599213618694"</f>
        <v>1551599213618694</v>
      </c>
      <c r="C6729" t="s">
        <v>40</v>
      </c>
      <c r="D6729">
        <v>5.0534749999999997</v>
      </c>
      <c r="E6729">
        <v>0.48490369999999999</v>
      </c>
      <c r="F6729" t="s">
        <v>60</v>
      </c>
      <c r="G6729">
        <v>-205.33109999999999</v>
      </c>
      <c r="H6729" s="1">
        <v>-3.0681919999999999E-6</v>
      </c>
      <c r="I6729">
        <v>-61.309769999999901</v>
      </c>
      <c r="J6729">
        <v>-221.7868</v>
      </c>
      <c r="K6729">
        <v>1.1208260000000001</v>
      </c>
      <c r="L6729">
        <v>-62.427280000000003</v>
      </c>
      <c r="M6729">
        <v>0.99990659999999998</v>
      </c>
      <c r="N6729">
        <v>-1.319825E-2</v>
      </c>
      <c r="O6729">
        <v>-3.5720219999999998E-3</v>
      </c>
      <c r="P6729">
        <v>0.9963687</v>
      </c>
      <c r="Q6729">
        <v>-8.0646229999999999E-2</v>
      </c>
      <c r="R6729">
        <v>2.7308010000000001E-2</v>
      </c>
      <c r="S6729">
        <v>2.98909</v>
      </c>
      <c r="T6729">
        <v>-0.20200850000000001</v>
      </c>
      <c r="U6729">
        <v>0.2012939</v>
      </c>
      <c r="V6729">
        <v>-3.0899630000000001E-2</v>
      </c>
      <c r="W6729">
        <v>-6.747533E-2</v>
      </c>
      <c r="X6729">
        <v>0.99724230000000003</v>
      </c>
      <c r="Y6729">
        <v>-7.055757E-2</v>
      </c>
      <c r="Z6729">
        <v>3.0394200000000001E-3</v>
      </c>
      <c r="AA6729">
        <v>0.99750309999999998</v>
      </c>
      <c r="AB6729">
        <v>23</v>
      </c>
      <c r="AC6729">
        <v>16.4557</v>
      </c>
      <c r="AD6729">
        <v>-1.1208290681919999</v>
      </c>
      <c r="AE6729">
        <v>1.11751000000001</v>
      </c>
      <c r="AF6729">
        <v>-1.1708810551884601</v>
      </c>
      <c r="AG6729">
        <v>-1.1208290681919999</v>
      </c>
      <c r="AH6729">
        <v>16.375979679037201</v>
      </c>
      <c r="AI6729">
        <v>93.905477164460294</v>
      </c>
      <c r="AJ6729">
        <v>94.089683347449096</v>
      </c>
      <c r="AK6729">
        <v>16.4559998387744</v>
      </c>
      <c r="AL6729">
        <v>93.868991464573199</v>
      </c>
      <c r="AM6729">
        <v>91.774746353523199</v>
      </c>
      <c r="AN6729">
        <v>0.999999956101017</v>
      </c>
    </row>
    <row r="6730" spans="1:40" x14ac:dyDescent="0.25">
      <c r="A6730" t="str">
        <f>"20190303154653644"</f>
        <v>20190303154653644</v>
      </c>
      <c r="B6730" t="str">
        <f>"1551599213638215"</f>
        <v>1551599213638215</v>
      </c>
      <c r="C6730" t="s">
        <v>40</v>
      </c>
      <c r="D6730">
        <v>4.9610180000000001</v>
      </c>
      <c r="E6730">
        <v>0.48469200000000001</v>
      </c>
      <c r="F6730" t="s">
        <v>60</v>
      </c>
      <c r="G6730">
        <v>-205.28800000000001</v>
      </c>
      <c r="H6730" s="1">
        <v>-3.09569E-6</v>
      </c>
      <c r="I6730">
        <v>-61.31024</v>
      </c>
      <c r="J6730">
        <v>-221.64279999999999</v>
      </c>
      <c r="K6730">
        <v>1.120825</v>
      </c>
      <c r="L6730">
        <v>-62.427979999999998</v>
      </c>
      <c r="M6730">
        <v>0.99990579999999996</v>
      </c>
      <c r="N6730">
        <v>-1.3203909999999999E-2</v>
      </c>
      <c r="O6730">
        <v>-3.7500319999999999E-3</v>
      </c>
      <c r="P6730">
        <v>0.99637260000000005</v>
      </c>
      <c r="Q6730">
        <v>-8.0587510000000001E-2</v>
      </c>
      <c r="R6730">
        <v>2.734058E-2</v>
      </c>
      <c r="S6730">
        <v>2.988937</v>
      </c>
      <c r="T6730">
        <v>-0.2030497</v>
      </c>
      <c r="U6730">
        <v>0.20236209999999999</v>
      </c>
      <c r="V6730">
        <v>-3.110947E-2</v>
      </c>
      <c r="W6730">
        <v>-6.7410860000000003E-2</v>
      </c>
      <c r="X6730">
        <v>0.99724020000000002</v>
      </c>
      <c r="Y6730">
        <v>-7.1089769999999997E-2</v>
      </c>
      <c r="Z6730">
        <v>3.0844650000000002E-3</v>
      </c>
      <c r="AA6730">
        <v>0.99746509999999999</v>
      </c>
      <c r="AB6730">
        <v>23</v>
      </c>
      <c r="AC6730">
        <v>16.354800000000001</v>
      </c>
      <c r="AD6730">
        <v>-1.1208280956900001</v>
      </c>
      <c r="AE6730">
        <v>1.11774</v>
      </c>
      <c r="AF6730">
        <v>-1.1735822378399099</v>
      </c>
      <c r="AG6730">
        <v>-1.1208280956900001</v>
      </c>
      <c r="AH6730">
        <v>16.274413301911899</v>
      </c>
      <c r="AI6730">
        <v>93.929599857347995</v>
      </c>
      <c r="AJ6730">
        <v>94.124579799747906</v>
      </c>
      <c r="AK6730">
        <v>16.3551239435997</v>
      </c>
      <c r="AL6730">
        <v>93.865288929129804</v>
      </c>
      <c r="AM6730">
        <v>91.786794665087996</v>
      </c>
      <c r="AN6730">
        <v>1.00000001983283</v>
      </c>
    </row>
    <row r="6731" spans="1:40" x14ac:dyDescent="0.25">
      <c r="A6731" t="str">
        <f>"20190303154653656"</f>
        <v>20190303154653656</v>
      </c>
      <c r="B6731" t="str">
        <f>"1551599213647974"</f>
        <v>1551599213647974</v>
      </c>
      <c r="C6731" t="s">
        <v>40</v>
      </c>
      <c r="D6731">
        <v>4.9478090000000003</v>
      </c>
      <c r="E6731">
        <v>0.48458220000000002</v>
      </c>
      <c r="F6731" t="s">
        <v>60</v>
      </c>
      <c r="G6731">
        <v>-205.19820000000001</v>
      </c>
      <c r="H6731" s="1">
        <v>-3.1519479999999999E-6</v>
      </c>
      <c r="I6731">
        <v>-61.304679999999998</v>
      </c>
      <c r="J6731">
        <v>-221.50720000000001</v>
      </c>
      <c r="K6731">
        <v>1.1208229999999999</v>
      </c>
      <c r="L6731">
        <v>-62.428710000000002</v>
      </c>
      <c r="M6731">
        <v>0.99990520000000005</v>
      </c>
      <c r="N6731">
        <v>-1.320854E-2</v>
      </c>
      <c r="O6731">
        <v>-3.918019E-3</v>
      </c>
      <c r="P6731">
        <v>0.99640410000000001</v>
      </c>
      <c r="Q6731">
        <v>-8.0232719999999993E-2</v>
      </c>
      <c r="R6731">
        <v>2.7236860000000002E-2</v>
      </c>
      <c r="S6731">
        <v>2.988861</v>
      </c>
      <c r="T6731">
        <v>-0.2037148</v>
      </c>
      <c r="U6731">
        <v>0.2041626</v>
      </c>
      <c r="V6731">
        <v>-3.117348E-2</v>
      </c>
      <c r="W6731">
        <v>-6.705113E-2</v>
      </c>
      <c r="X6731">
        <v>0.99726239999999999</v>
      </c>
      <c r="Y6731">
        <v>-7.1853570000000005E-2</v>
      </c>
      <c r="Z6731">
        <v>3.1335830000000001E-3</v>
      </c>
      <c r="AA6731">
        <v>0.99741029999999997</v>
      </c>
      <c r="AB6731">
        <v>23</v>
      </c>
      <c r="AC6731">
        <v>16.308999999999902</v>
      </c>
      <c r="AD6731">
        <v>-1.1208261519479901</v>
      </c>
      <c r="AE6731">
        <v>1.1240299999999901</v>
      </c>
      <c r="AF6731">
        <v>-1.18236793743337</v>
      </c>
      <c r="AG6731">
        <v>-1.1208261519479901</v>
      </c>
      <c r="AH6731">
        <v>16.228186387291998</v>
      </c>
      <c r="AI6731">
        <v>93.940539983225307</v>
      </c>
      <c r="AJ6731">
        <v>94.167144679839595</v>
      </c>
      <c r="AK6731">
        <v>16.309760225798801</v>
      </c>
      <c r="AL6731">
        <v>93.8446313819708</v>
      </c>
      <c r="AM6731">
        <v>91.790428903111106</v>
      </c>
      <c r="AN6731">
        <v>0.99999996717167305</v>
      </c>
    </row>
    <row r="6732" spans="1:40" x14ac:dyDescent="0.25">
      <c r="A6732" t="str">
        <f>"20190303154653670"</f>
        <v>20190303154653670</v>
      </c>
      <c r="B6732" t="str">
        <f>"1551599213668470"</f>
        <v>1551599213668470</v>
      </c>
      <c r="C6732" t="s">
        <v>40</v>
      </c>
      <c r="D6732">
        <v>5.0086779999999997</v>
      </c>
      <c r="E6732">
        <v>0.48427569999999998</v>
      </c>
      <c r="F6732" t="s">
        <v>60</v>
      </c>
      <c r="G6732">
        <v>-204.97149999999999</v>
      </c>
      <c r="H6732" s="1">
        <v>-3.2948720000000001E-6</v>
      </c>
      <c r="I6732">
        <v>-61.29618</v>
      </c>
      <c r="J6732">
        <v>-221.3657</v>
      </c>
      <c r="K6732">
        <v>1.120825</v>
      </c>
      <c r="L6732">
        <v>-62.429470000000002</v>
      </c>
      <c r="M6732">
        <v>0.99990449999999997</v>
      </c>
      <c r="N6732">
        <v>-1.321287E-2</v>
      </c>
      <c r="O6732">
        <v>-4.0932750000000004E-3</v>
      </c>
      <c r="P6732">
        <v>0.99639610000000001</v>
      </c>
      <c r="Q6732">
        <v>-8.0401299999999995E-2</v>
      </c>
      <c r="R6732">
        <v>2.703289E-2</v>
      </c>
      <c r="S6732">
        <v>2.9889220000000001</v>
      </c>
      <c r="T6732">
        <v>-0.20259630000000001</v>
      </c>
      <c r="U6732">
        <v>0.2047119</v>
      </c>
      <c r="V6732">
        <v>-3.1144120000000001E-2</v>
      </c>
      <c r="W6732">
        <v>-6.7215570000000002E-2</v>
      </c>
      <c r="X6732">
        <v>0.99725229999999998</v>
      </c>
      <c r="Y6732">
        <v>-7.2210280000000002E-2</v>
      </c>
      <c r="Z6732">
        <v>3.1427690000000001E-3</v>
      </c>
      <c r="AA6732">
        <v>0.99738450000000001</v>
      </c>
      <c r="AB6732">
        <v>23</v>
      </c>
      <c r="AC6732">
        <v>16.394200000000001</v>
      </c>
      <c r="AD6732">
        <v>-1.1208282948720001</v>
      </c>
      <c r="AE6732">
        <v>1.1332899999999799</v>
      </c>
      <c r="AF6732">
        <v>-1.1948341102100299</v>
      </c>
      <c r="AG6732">
        <v>-1.1208282948720001</v>
      </c>
      <c r="AH6732">
        <v>16.313534959600101</v>
      </c>
      <c r="AI6732">
        <v>93.919887173393207</v>
      </c>
      <c r="AJ6732">
        <v>94.188971382058398</v>
      </c>
      <c r="AK6732">
        <v>16.395588049704202</v>
      </c>
      <c r="AL6732">
        <v>93.854074201799307</v>
      </c>
      <c r="AM6732">
        <v>91.788761830584903</v>
      </c>
      <c r="AN6732">
        <v>1.00000001945814</v>
      </c>
    </row>
    <row r="6733" spans="1:40" x14ac:dyDescent="0.25">
      <c r="A6733" t="str">
        <f>"20190303154653682"</f>
        <v>20190303154653682</v>
      </c>
      <c r="B6733" t="str">
        <f>"1551599213678230"</f>
        <v>1551599213678230</v>
      </c>
      <c r="C6733" t="s">
        <v>40</v>
      </c>
      <c r="D6733">
        <v>4.9499180000000003</v>
      </c>
      <c r="E6733">
        <v>0.48421350000000002</v>
      </c>
      <c r="F6733" t="s">
        <v>60</v>
      </c>
      <c r="G6733">
        <v>-204.9213</v>
      </c>
      <c r="H6733" s="1">
        <v>-3.315837E-6</v>
      </c>
      <c r="I6733">
        <v>-61.292920000000002</v>
      </c>
      <c r="J6733">
        <v>-221.24260000000001</v>
      </c>
      <c r="K6733">
        <v>1.120827</v>
      </c>
      <c r="L6733">
        <v>-62.430149999999998</v>
      </c>
      <c r="M6733">
        <v>0.99990369999999995</v>
      </c>
      <c r="N6733">
        <v>-1.321635E-2</v>
      </c>
      <c r="O6733">
        <v>-4.2455180000000002E-3</v>
      </c>
      <c r="P6733">
        <v>0.99638320000000002</v>
      </c>
      <c r="Q6733">
        <v>-8.0523590000000006E-2</v>
      </c>
      <c r="R6733">
        <v>2.7142550000000001E-2</v>
      </c>
      <c r="S6733">
        <v>2.9888309999999998</v>
      </c>
      <c r="T6733">
        <v>-0.2037146</v>
      </c>
      <c r="U6733">
        <v>0.20657349999999999</v>
      </c>
      <c r="V6733">
        <v>-3.1405879999999997E-2</v>
      </c>
      <c r="W6733">
        <v>-6.7334519999999995E-2</v>
      </c>
      <c r="X6733">
        <v>0.99723609999999896</v>
      </c>
      <c r="Y6733">
        <v>-7.2978059999999997E-2</v>
      </c>
      <c r="Z6733">
        <v>3.1974320000000001E-3</v>
      </c>
      <c r="AA6733">
        <v>0.9973284</v>
      </c>
      <c r="AB6733">
        <v>23</v>
      </c>
      <c r="AC6733">
        <v>16.321300000000001</v>
      </c>
      <c r="AD6733">
        <v>-1.1208303158370001</v>
      </c>
      <c r="AE6733">
        <v>1.13723</v>
      </c>
      <c r="AF6733">
        <v>-1.2008822191936499</v>
      </c>
      <c r="AG6733">
        <v>-1.1208303158370001</v>
      </c>
      <c r="AH6733">
        <v>16.240106649469201</v>
      </c>
      <c r="AI6733">
        <v>93.937359932310301</v>
      </c>
      <c r="AJ6733">
        <v>94.229066118566806</v>
      </c>
      <c r="AK6733">
        <v>16.322972850783302</v>
      </c>
      <c r="AL6733">
        <v>93.860904880311594</v>
      </c>
      <c r="AM6733">
        <v>91.803815402817193</v>
      </c>
      <c r="AN6733">
        <v>1.0000000530127</v>
      </c>
    </row>
    <row r="6734" spans="1:40" x14ac:dyDescent="0.25">
      <c r="A6734" t="str">
        <f>"20190303154653694"</f>
        <v>20190303154653694</v>
      </c>
      <c r="B6734" t="str">
        <f>"1551599213687990"</f>
        <v>1551599213687990</v>
      </c>
      <c r="C6734" t="s">
        <v>40</v>
      </c>
      <c r="D6734">
        <v>4.9822480000000002</v>
      </c>
      <c r="E6734">
        <v>0.48412739999999999</v>
      </c>
      <c r="F6734" t="s">
        <v>60</v>
      </c>
      <c r="G6734">
        <v>-204.8466</v>
      </c>
      <c r="H6734" s="1">
        <v>-3.34168E-6</v>
      </c>
      <c r="I6734">
        <v>-61.292380000000001</v>
      </c>
      <c r="J6734">
        <v>-221.1028</v>
      </c>
      <c r="K6734">
        <v>1.1208309999999999</v>
      </c>
      <c r="L6734">
        <v>-62.43094</v>
      </c>
      <c r="M6734">
        <v>0.99990299999999999</v>
      </c>
      <c r="N6734">
        <v>-1.321958E-2</v>
      </c>
      <c r="O6734">
        <v>-4.419096E-3</v>
      </c>
      <c r="P6734">
        <v>0.99641610000000003</v>
      </c>
      <c r="Q6734">
        <v>-8.0236689999999999E-2</v>
      </c>
      <c r="R6734">
        <v>2.6783850000000001E-2</v>
      </c>
      <c r="S6734">
        <v>2.9887389999999998</v>
      </c>
      <c r="T6734">
        <v>-0.20430960000000001</v>
      </c>
      <c r="U6734">
        <v>0.20739750000000001</v>
      </c>
      <c r="V6734">
        <v>-3.1219139999999999E-2</v>
      </c>
      <c r="W6734">
        <v>-6.7044149999999997E-2</v>
      </c>
      <c r="X6734">
        <v>0.99726150000000002</v>
      </c>
      <c r="Y6734">
        <v>-7.342427E-2</v>
      </c>
      <c r="Z6734">
        <v>3.2333959999999999E-3</v>
      </c>
      <c r="AA6734">
        <v>0.99729559999999995</v>
      </c>
      <c r="AB6734">
        <v>23</v>
      </c>
      <c r="AC6734">
        <v>16.2562</v>
      </c>
      <c r="AD6734">
        <v>-1.12083434168</v>
      </c>
      <c r="AE6734">
        <v>1.13855999999999</v>
      </c>
      <c r="AF6734">
        <v>-1.20469388723182</v>
      </c>
      <c r="AG6734">
        <v>-1.12083434168</v>
      </c>
      <c r="AH6734">
        <v>16.174493741081601</v>
      </c>
      <c r="AI6734">
        <v>93.953139920898295</v>
      </c>
      <c r="AJ6734">
        <v>94.259587008024695</v>
      </c>
      <c r="AK6734">
        <v>16.257976650361801</v>
      </c>
      <c r="AL6734">
        <v>93.844230328719703</v>
      </c>
      <c r="AM6734">
        <v>91.793051262533595</v>
      </c>
      <c r="AN6734">
        <v>1.0000000260669</v>
      </c>
    </row>
    <row r="6735" spans="1:40" x14ac:dyDescent="0.25">
      <c r="A6735" t="str">
        <f>"20190303154653706"</f>
        <v>20190303154653706</v>
      </c>
      <c r="B6735" t="str">
        <f>"1551599213698726"</f>
        <v>1551599213698726</v>
      </c>
      <c r="C6735" t="s">
        <v>40</v>
      </c>
      <c r="D6735">
        <v>4.9654689999999997</v>
      </c>
      <c r="E6735">
        <v>0.4840063</v>
      </c>
      <c r="F6735" t="s">
        <v>60</v>
      </c>
      <c r="G6735">
        <v>-204.67259999999999</v>
      </c>
      <c r="H6735" s="1">
        <v>-3.402192E-6</v>
      </c>
      <c r="I6735">
        <v>-61.29318</v>
      </c>
      <c r="J6735">
        <v>-220.98759999999999</v>
      </c>
      <c r="K6735">
        <v>1.120833</v>
      </c>
      <c r="L6735">
        <v>-62.431609999999999</v>
      </c>
      <c r="M6735">
        <v>0.99990219999999996</v>
      </c>
      <c r="N6735">
        <v>-1.3222019999999999E-2</v>
      </c>
      <c r="O6735">
        <v>-4.5617950000000004E-3</v>
      </c>
      <c r="P6735">
        <v>0.996421</v>
      </c>
      <c r="Q6735">
        <v>-8.021462E-2</v>
      </c>
      <c r="R6735">
        <v>2.665996E-2</v>
      </c>
      <c r="S6735">
        <v>2.9888309999999998</v>
      </c>
      <c r="T6735">
        <v>-0.2038915</v>
      </c>
      <c r="U6735">
        <v>0.20697019999999999</v>
      </c>
      <c r="V6735">
        <v>-3.1238209999999999E-2</v>
      </c>
      <c r="W6735">
        <v>-6.7019659999999995E-2</v>
      </c>
      <c r="X6735">
        <v>0.99726250000000005</v>
      </c>
      <c r="Y6735">
        <v>-7.3423210000000003E-2</v>
      </c>
      <c r="Z6735">
        <v>3.2354580000000001E-3</v>
      </c>
      <c r="AA6735">
        <v>0.99729559999999995</v>
      </c>
      <c r="AB6735">
        <v>23</v>
      </c>
      <c r="AC6735">
        <v>16.314999999999898</v>
      </c>
      <c r="AD6735">
        <v>-1.1208364021920001</v>
      </c>
      <c r="AE6735">
        <v>1.1384299999999901</v>
      </c>
      <c r="AF6735">
        <v>-1.20718047343941</v>
      </c>
      <c r="AG6735">
        <v>-1.1208364021920001</v>
      </c>
      <c r="AH6735">
        <v>16.233391692439799</v>
      </c>
      <c r="AI6735">
        <v>93.938883612042602</v>
      </c>
      <c r="AJ6735">
        <v>94.252917201173403</v>
      </c>
      <c r="AK6735">
        <v>16.316757177089599</v>
      </c>
      <c r="AL6735">
        <v>93.8428241799121</v>
      </c>
      <c r="AM6735">
        <v>91.794144022223094</v>
      </c>
      <c r="AN6735">
        <v>0.99999997724838396</v>
      </c>
    </row>
    <row r="6736" spans="1:40" x14ac:dyDescent="0.25">
      <c r="A6736" t="str">
        <f>"20190303154653718"</f>
        <v>20190303154653718</v>
      </c>
      <c r="B6736" t="str">
        <f>"1551599213708487"</f>
        <v>1551599213708487</v>
      </c>
      <c r="C6736" t="s">
        <v>40</v>
      </c>
      <c r="D6736">
        <v>4.91622</v>
      </c>
      <c r="E6736">
        <v>0.48388710000000001</v>
      </c>
      <c r="F6736" t="s">
        <v>60</v>
      </c>
      <c r="G6736">
        <v>-204.63220000000001</v>
      </c>
      <c r="H6736" s="1">
        <v>-3.4165950000000001E-6</v>
      </c>
      <c r="I6736">
        <v>-61.295999999999999</v>
      </c>
      <c r="J6736">
        <v>-220.87049999999999</v>
      </c>
      <c r="K6736">
        <v>1.120833</v>
      </c>
      <c r="L6736">
        <v>-62.432279999999999</v>
      </c>
      <c r="M6736">
        <v>0.99990159999999995</v>
      </c>
      <c r="N6736">
        <v>-1.322425E-2</v>
      </c>
      <c r="O6736">
        <v>-4.7071159999999999E-3</v>
      </c>
      <c r="P6736">
        <v>0.99640669999999998</v>
      </c>
      <c r="Q6736">
        <v>-8.0453430000000006E-2</v>
      </c>
      <c r="R6736">
        <v>2.6476989999999999E-2</v>
      </c>
      <c r="S6736">
        <v>2.9887540000000001</v>
      </c>
      <c r="T6736">
        <v>-0.20482030000000001</v>
      </c>
      <c r="U6736">
        <v>0.2075195</v>
      </c>
      <c r="V6736">
        <v>-3.1199669999999999E-2</v>
      </c>
      <c r="W6736">
        <v>-6.7256490000000002E-2</v>
      </c>
      <c r="X6736">
        <v>0.99724780000000002</v>
      </c>
      <c r="Y6736">
        <v>-7.3749380000000003E-2</v>
      </c>
      <c r="Z6736">
        <v>3.26969E-3</v>
      </c>
      <c r="AA6736">
        <v>0.99727140000000003</v>
      </c>
      <c r="AB6736">
        <v>23</v>
      </c>
      <c r="AC6736">
        <v>16.238299999999899</v>
      </c>
      <c r="AD6736">
        <v>-1.120836416595</v>
      </c>
      <c r="AE6736">
        <v>1.13627999999999</v>
      </c>
      <c r="AF6736">
        <v>-1.2069871614687699</v>
      </c>
      <c r="AG6736">
        <v>-1.120836416595</v>
      </c>
      <c r="AH6736">
        <v>16.1561724665527</v>
      </c>
      <c r="AI6736">
        <v>93.957549633059003</v>
      </c>
      <c r="AJ6736">
        <v>94.272487364135799</v>
      </c>
      <c r="AK6736">
        <v>16.239919982860499</v>
      </c>
      <c r="AL6736">
        <v>93.856424080817604</v>
      </c>
      <c r="AM6736">
        <v>91.791958346059801</v>
      </c>
      <c r="AN6736">
        <v>1.0000000147300301</v>
      </c>
    </row>
    <row r="6737" spans="1:40" x14ac:dyDescent="0.25">
      <c r="A6737" t="str">
        <f>"20190303154653729"</f>
        <v>20190303154653729</v>
      </c>
      <c r="B6737" t="str">
        <f>"1551599213718247"</f>
        <v>1551599213718247</v>
      </c>
      <c r="C6737" t="s">
        <v>40</v>
      </c>
      <c r="D6737">
        <v>4.9648349999999999</v>
      </c>
      <c r="E6737">
        <v>0.48380279999999998</v>
      </c>
      <c r="F6737" t="s">
        <v>60</v>
      </c>
      <c r="G6737">
        <v>-204.63499999999999</v>
      </c>
      <c r="H6737" s="1">
        <v>-3.4165970000000002E-6</v>
      </c>
      <c r="I6737">
        <v>-61.302790000000002</v>
      </c>
      <c r="J6737">
        <v>-220.7516</v>
      </c>
      <c r="K6737">
        <v>1.1208340000000001</v>
      </c>
      <c r="L6737">
        <v>-62.433039999999998</v>
      </c>
      <c r="M6737">
        <v>0.99990080000000003</v>
      </c>
      <c r="N6737">
        <v>-1.322627E-2</v>
      </c>
      <c r="O6737">
        <v>-4.8545810000000002E-3</v>
      </c>
      <c r="P6737">
        <v>0.99641500000000005</v>
      </c>
      <c r="Q6737">
        <v>-8.0455090000000007E-2</v>
      </c>
      <c r="R6737">
        <v>2.6158359999999999E-2</v>
      </c>
      <c r="S6737">
        <v>2.988632</v>
      </c>
      <c r="T6737">
        <v>-0.2063228</v>
      </c>
      <c r="U6737">
        <v>0.2079163</v>
      </c>
      <c r="V6737">
        <v>-3.1028010000000002E-2</v>
      </c>
      <c r="W6737">
        <v>-6.7256179999999999E-2</v>
      </c>
      <c r="X6737">
        <v>0.99725319999999995</v>
      </c>
      <c r="Y6737">
        <v>-7.4027090000000004E-2</v>
      </c>
      <c r="Z6737">
        <v>3.3102919999999998E-3</v>
      </c>
      <c r="AA6737">
        <v>0.99725070000000005</v>
      </c>
      <c r="AB6737">
        <v>23</v>
      </c>
      <c r="AC6737">
        <v>16.116599999999998</v>
      </c>
      <c r="AD6737">
        <v>-1.1208374165970001</v>
      </c>
      <c r="AE6737">
        <v>1.13025</v>
      </c>
      <c r="AF6737">
        <v>-1.20269440009574</v>
      </c>
      <c r="AG6737">
        <v>-1.1208374165970001</v>
      </c>
      <c r="AH6737">
        <v>16.033753681009099</v>
      </c>
      <c r="AI6737">
        <v>93.987582668200801</v>
      </c>
      <c r="AJ6737">
        <v>94.289732094605696</v>
      </c>
      <c r="AK6737">
        <v>16.117816459984201</v>
      </c>
      <c r="AL6737">
        <v>93.856406188821893</v>
      </c>
      <c r="AM6737">
        <v>91.782095756317204</v>
      </c>
      <c r="AN6737">
        <v>1.00000003803149</v>
      </c>
    </row>
    <row r="6738" spans="1:40" x14ac:dyDescent="0.25">
      <c r="A6738" t="str">
        <f>"20190303154653740"</f>
        <v>20190303154653740</v>
      </c>
      <c r="B6738" t="str">
        <f>"1551599213728982"</f>
        <v>1551599213728982</v>
      </c>
      <c r="C6738" t="s">
        <v>40</v>
      </c>
      <c r="D6738">
        <v>4.9558770000000001</v>
      </c>
      <c r="E6738">
        <v>0.4837342</v>
      </c>
      <c r="F6738" t="s">
        <v>60</v>
      </c>
      <c r="G6738">
        <v>-204.5453</v>
      </c>
      <c r="H6738" s="1">
        <v>-3.448314E-6</v>
      </c>
      <c r="I6738">
        <v>-61.306919999999998</v>
      </c>
      <c r="J6738">
        <v>-220.6335</v>
      </c>
      <c r="K6738">
        <v>1.1208359999999999</v>
      </c>
      <c r="L6738">
        <v>-62.433779999999999</v>
      </c>
      <c r="M6738">
        <v>0.99990009999999996</v>
      </c>
      <c r="N6738">
        <v>-1.3228169999999999E-2</v>
      </c>
      <c r="O6738">
        <v>-5.001091E-3</v>
      </c>
      <c r="P6738">
        <v>0.99643559999999998</v>
      </c>
      <c r="Q6738">
        <v>-8.0303589999999994E-2</v>
      </c>
      <c r="R6738">
        <v>2.5839999999999998E-2</v>
      </c>
      <c r="S6738">
        <v>2.9886629999999998</v>
      </c>
      <c r="T6738">
        <v>-0.2066973</v>
      </c>
      <c r="U6738">
        <v>0.2076721</v>
      </c>
      <c r="V6738">
        <v>-3.0855230000000001E-2</v>
      </c>
      <c r="W6738">
        <v>-6.7102670000000003E-2</v>
      </c>
      <c r="X6738">
        <v>0.99726890000000001</v>
      </c>
      <c r="Y6738">
        <v>-7.4090299999999998E-2</v>
      </c>
      <c r="Z6738">
        <v>3.3263310000000001E-3</v>
      </c>
      <c r="AA6738">
        <v>0.99724599999999997</v>
      </c>
      <c r="AB6738">
        <v>23</v>
      </c>
      <c r="AC6738">
        <v>16.088200000000001</v>
      </c>
      <c r="AD6738">
        <v>-1.1208394483140001</v>
      </c>
      <c r="AE6738">
        <v>1.12686</v>
      </c>
      <c r="AF6738">
        <v>-1.2015082140197699</v>
      </c>
      <c r="AG6738">
        <v>-1.1208394483140001</v>
      </c>
      <c r="AH6738">
        <v>16.005058435760098</v>
      </c>
      <c r="AI6738">
        <v>93.994698104138806</v>
      </c>
      <c r="AJ6738">
        <v>94.293171755781501</v>
      </c>
      <c r="AK6738">
        <v>16.089182657591699</v>
      </c>
      <c r="AL6738">
        <v>93.847590806251205</v>
      </c>
      <c r="AM6738">
        <v>91.772150589951906</v>
      </c>
      <c r="AN6738">
        <v>1.0000000362233401</v>
      </c>
    </row>
    <row r="6739" spans="1:40" x14ac:dyDescent="0.25">
      <c r="A6739" t="str">
        <f>"20190303154653752"</f>
        <v>20190303154653752</v>
      </c>
      <c r="B6739" t="str">
        <f>"1551599213748503"</f>
        <v>1551599213748503</v>
      </c>
      <c r="C6739" t="s">
        <v>40</v>
      </c>
      <c r="D6739">
        <v>4.9281040000000003</v>
      </c>
      <c r="E6739">
        <v>0.48354530000000001</v>
      </c>
      <c r="F6739" t="s">
        <v>60</v>
      </c>
      <c r="G6739">
        <v>-204.41980000000001</v>
      </c>
      <c r="H6739" s="1">
        <v>-3.504413E-6</v>
      </c>
      <c r="I6739">
        <v>-61.309489999999997</v>
      </c>
      <c r="J6739">
        <v>-220.5198</v>
      </c>
      <c r="K6739">
        <v>1.1208389999999999</v>
      </c>
      <c r="L6739">
        <v>-62.434510000000003</v>
      </c>
      <c r="M6739">
        <v>0.99989939999999999</v>
      </c>
      <c r="N6739">
        <v>-1.3229690000000001E-2</v>
      </c>
      <c r="O6739">
        <v>-5.1418790000000002E-3</v>
      </c>
      <c r="P6739">
        <v>0.99646000000000001</v>
      </c>
      <c r="Q6739">
        <v>-7.9971249999999994E-2</v>
      </c>
      <c r="R6739">
        <v>2.5932899999999998E-2</v>
      </c>
      <c r="S6739">
        <v>2.9887079999999999</v>
      </c>
      <c r="T6739">
        <v>-0.20660729999999999</v>
      </c>
      <c r="U6739">
        <v>0.20724490000000001</v>
      </c>
      <c r="V6739">
        <v>-3.1088939999999999E-2</v>
      </c>
      <c r="W6739">
        <v>-6.6768480000000005E-2</v>
      </c>
      <c r="X6739">
        <v>0.99728410000000001</v>
      </c>
      <c r="Y6739">
        <v>-7.4087719999999996E-2</v>
      </c>
      <c r="Z6739">
        <v>3.3328310000000001E-3</v>
      </c>
      <c r="AA6739">
        <v>0.99724610000000002</v>
      </c>
      <c r="AB6739">
        <v>23</v>
      </c>
      <c r="AC6739">
        <v>16.099999999999898</v>
      </c>
      <c r="AD6739">
        <v>-1.1208425044129999</v>
      </c>
      <c r="AE6739">
        <v>1.1250199999999899</v>
      </c>
      <c r="AF6739">
        <v>-1.2019993051462601</v>
      </c>
      <c r="AG6739">
        <v>-1.1208425044129999</v>
      </c>
      <c r="AH6739">
        <v>16.0167522633926</v>
      </c>
      <c r="AI6739">
        <v>93.991809028062704</v>
      </c>
      <c r="AJ6739">
        <v>94.291795934890899</v>
      </c>
      <c r="AK6739">
        <v>16.100852254342399</v>
      </c>
      <c r="AL6739">
        <v>93.8283999843473</v>
      </c>
      <c r="AM6739">
        <v>91.785537722309201</v>
      </c>
      <c r="AN6739">
        <v>1.0000000641123199</v>
      </c>
    </row>
    <row r="6740" spans="1:40" x14ac:dyDescent="0.25">
      <c r="A6740" t="str">
        <f>"20190303154653763"</f>
        <v>20190303154653763</v>
      </c>
      <c r="B6740" t="str">
        <f>"1551599213758263"</f>
        <v>1551599213758263</v>
      </c>
      <c r="C6740" t="s">
        <v>40</v>
      </c>
      <c r="D6740">
        <v>4.9234660000000003</v>
      </c>
      <c r="E6740">
        <v>0.48344599999999999</v>
      </c>
      <c r="F6740" t="s">
        <v>60</v>
      </c>
      <c r="G6740">
        <v>-204.3066</v>
      </c>
      <c r="H6740" s="1">
        <v>-3.5615929999999999E-6</v>
      </c>
      <c r="I6740">
        <v>-61.300609999999999</v>
      </c>
      <c r="J6740">
        <v>-220.40649999999999</v>
      </c>
      <c r="K6740">
        <v>1.120841</v>
      </c>
      <c r="L6740">
        <v>-62.43524</v>
      </c>
      <c r="M6740">
        <v>0.99989870000000003</v>
      </c>
      <c r="N6740">
        <v>-1.3231150000000001E-2</v>
      </c>
      <c r="O6740">
        <v>-5.2820690000000003E-3</v>
      </c>
      <c r="P6740">
        <v>0.99645680000000003</v>
      </c>
      <c r="Q6740">
        <v>-8.005044E-2</v>
      </c>
      <c r="R6740">
        <v>2.5806470000000001E-2</v>
      </c>
      <c r="S6740">
        <v>2.988632</v>
      </c>
      <c r="T6740">
        <v>-0.2066076</v>
      </c>
      <c r="U6740">
        <v>0.2090149</v>
      </c>
      <c r="V6740">
        <v>-3.110162E-2</v>
      </c>
      <c r="W6740">
        <v>-6.6846310000000006E-2</v>
      </c>
      <c r="X6740">
        <v>0.99727849999999996</v>
      </c>
      <c r="Y6740">
        <v>-7.4814770000000003E-2</v>
      </c>
      <c r="Z6740">
        <v>3.370619E-3</v>
      </c>
      <c r="AA6740">
        <v>0.99719170000000001</v>
      </c>
      <c r="AB6740">
        <v>23</v>
      </c>
      <c r="AC6740">
        <v>16.099899999999899</v>
      </c>
      <c r="AD6740">
        <v>-1.1208445615930001</v>
      </c>
      <c r="AE6740">
        <v>1.13463</v>
      </c>
      <c r="AF6740">
        <v>-1.2138085120019699</v>
      </c>
      <c r="AG6740">
        <v>-1.1208445615930001</v>
      </c>
      <c r="AH6740">
        <v>16.016438716957499</v>
      </c>
      <c r="AI6740">
        <v>93.991673789925002</v>
      </c>
      <c r="AJ6740">
        <v>94.333885924016997</v>
      </c>
      <c r="AK6740">
        <v>16.101426421566298</v>
      </c>
      <c r="AL6740">
        <v>93.832869264465103</v>
      </c>
      <c r="AM6740">
        <v>91.786275527641095</v>
      </c>
      <c r="AN6740">
        <v>1.0000000732447401</v>
      </c>
    </row>
    <row r="6741" spans="1:40" x14ac:dyDescent="0.25">
      <c r="A6741" t="str">
        <f>"20190303154653773"</f>
        <v>20190303154653773</v>
      </c>
      <c r="B6741" t="str">
        <f>"1551599213768022"</f>
        <v>1551599213768022</v>
      </c>
      <c r="C6741" t="s">
        <v>40</v>
      </c>
      <c r="D6741">
        <v>4.9105290000000004</v>
      </c>
      <c r="E6741">
        <v>0.48333480000000001</v>
      </c>
      <c r="F6741" t="s">
        <v>60</v>
      </c>
      <c r="G6741">
        <v>-204.249</v>
      </c>
      <c r="H6741" s="1">
        <v>-3.591069E-6</v>
      </c>
      <c r="I6741">
        <v>-61.303069999999998</v>
      </c>
      <c r="J6741">
        <v>-220.2851</v>
      </c>
      <c r="K6741">
        <v>1.120841</v>
      </c>
      <c r="L6741">
        <v>-62.436070000000001</v>
      </c>
      <c r="M6741">
        <v>0.99989779999999995</v>
      </c>
      <c r="N6741">
        <v>-1.323239E-2</v>
      </c>
      <c r="O6741">
        <v>-5.4325090000000003E-3</v>
      </c>
      <c r="P6741">
        <v>0.99649109999999996</v>
      </c>
      <c r="Q6741">
        <v>-7.9713279999999997E-2</v>
      </c>
      <c r="R6741">
        <v>2.5523589999999999E-2</v>
      </c>
      <c r="S6741">
        <v>2.9885860000000002</v>
      </c>
      <c r="T6741">
        <v>-0.20731769999999999</v>
      </c>
      <c r="U6741">
        <v>0.2094116</v>
      </c>
      <c r="V6741">
        <v>-3.0968699999999998E-2</v>
      </c>
      <c r="W6741">
        <v>-6.6507579999999997E-2</v>
      </c>
      <c r="X6741">
        <v>0.9973052</v>
      </c>
      <c r="Y6741">
        <v>-7.5095149999999999E-2</v>
      </c>
      <c r="Z6741">
        <v>3.4007799999999999E-3</v>
      </c>
      <c r="AA6741">
        <v>0.99717060000000002</v>
      </c>
      <c r="AB6741">
        <v>23</v>
      </c>
      <c r="AC6741">
        <v>16.036099999999902</v>
      </c>
      <c r="AD6741">
        <v>-1.1208445910689999</v>
      </c>
      <c r="AE6741">
        <v>1.13299999999999</v>
      </c>
      <c r="AF6741">
        <v>-1.21420483487978</v>
      </c>
      <c r="AG6741">
        <v>-1.1208445910689999</v>
      </c>
      <c r="AH6741">
        <v>15.952163374871301</v>
      </c>
      <c r="AI6741">
        <v>94.007605457992099</v>
      </c>
      <c r="AJ6741">
        <v>94.352696611811794</v>
      </c>
      <c r="AK6741">
        <v>16.0375217012155</v>
      </c>
      <c r="AL6741">
        <v>93.813418497194704</v>
      </c>
      <c r="AM6741">
        <v>91.778598790620805</v>
      </c>
      <c r="AN6741">
        <v>0.99999999026209296</v>
      </c>
    </row>
    <row r="6742" spans="1:40" x14ac:dyDescent="0.25">
      <c r="A6742" t="str">
        <f>"20190303154653785"</f>
        <v>20190303154653785</v>
      </c>
      <c r="B6742" t="str">
        <f>"1551599213778759"</f>
        <v>1551599213778759</v>
      </c>
      <c r="C6742" t="s">
        <v>40</v>
      </c>
      <c r="D6742">
        <v>4.9231930000000004</v>
      </c>
      <c r="E6742">
        <v>0.48326599999999997</v>
      </c>
      <c r="F6742" t="s">
        <v>60</v>
      </c>
      <c r="G6742">
        <v>-204.0772</v>
      </c>
      <c r="H6742" s="1">
        <v>-3.6784140000000002E-6</v>
      </c>
      <c r="I6742">
        <v>-61.300080000000001</v>
      </c>
      <c r="J6742">
        <v>-220.17179999999999</v>
      </c>
      <c r="K6742">
        <v>1.1208419999999999</v>
      </c>
      <c r="L6742">
        <v>-62.436860000000003</v>
      </c>
      <c r="M6742">
        <v>0.99989689999999998</v>
      </c>
      <c r="N6742">
        <v>-1.3233429999999999E-2</v>
      </c>
      <c r="O6742">
        <v>-5.5725779999999999E-3</v>
      </c>
      <c r="P6742">
        <v>0.99651009999999995</v>
      </c>
      <c r="Q6742">
        <v>-7.9550850000000006E-2</v>
      </c>
      <c r="R6742">
        <v>2.5280130000000001E-2</v>
      </c>
      <c r="S6742">
        <v>2.9886629999999998</v>
      </c>
      <c r="T6742">
        <v>-0.206679</v>
      </c>
      <c r="U6742">
        <v>0.20947270000000001</v>
      </c>
      <c r="V6742">
        <v>-3.0864889999999999E-2</v>
      </c>
      <c r="W6742">
        <v>-6.6343990000000005E-2</v>
      </c>
      <c r="X6742">
        <v>0.99731930000000002</v>
      </c>
      <c r="Y6742">
        <v>-7.5253929999999997E-2</v>
      </c>
      <c r="Z6742">
        <v>3.4059350000000001E-3</v>
      </c>
      <c r="AA6742">
        <v>0.99715860000000001</v>
      </c>
      <c r="AB6742">
        <v>23</v>
      </c>
      <c r="AC6742">
        <v>16.0945999999999</v>
      </c>
      <c r="AD6742">
        <v>-1.120845678414</v>
      </c>
      <c r="AE6742">
        <v>1.1367799999999899</v>
      </c>
      <c r="AF6742">
        <v>-1.22056838591171</v>
      </c>
      <c r="AG6742">
        <v>-1.120845678414</v>
      </c>
      <c r="AH6742">
        <v>16.010749897002501</v>
      </c>
      <c r="AI6742">
        <v>93.992956365121003</v>
      </c>
      <c r="AJ6742">
        <v>94.359471692131805</v>
      </c>
      <c r="AK6742">
        <v>16.096278901779499</v>
      </c>
      <c r="AL6742">
        <v>93.804024786356194</v>
      </c>
      <c r="AM6742">
        <v>91.772615524660097</v>
      </c>
      <c r="AN6742">
        <v>0.99999997629815995</v>
      </c>
    </row>
    <row r="6743" spans="1:40" x14ac:dyDescent="0.25">
      <c r="A6743" t="str">
        <f>"20190303154653796"</f>
        <v>20190303154653796</v>
      </c>
      <c r="B6743" t="str">
        <f>"1551599213788518"</f>
        <v>1551599213788518</v>
      </c>
      <c r="C6743" t="s">
        <v>40</v>
      </c>
      <c r="D6743">
        <v>4.9213469999999999</v>
      </c>
      <c r="E6743">
        <v>0.4831801</v>
      </c>
      <c r="F6743" t="s">
        <v>60</v>
      </c>
      <c r="G6743">
        <v>-203.95869999999999</v>
      </c>
      <c r="H6743" s="1">
        <v>-3.738881E-6</v>
      </c>
      <c r="I6743">
        <v>-61.30133</v>
      </c>
      <c r="J6743">
        <v>-220.0566</v>
      </c>
      <c r="K6743">
        <v>1.1208419999999999</v>
      </c>
      <c r="L6743">
        <v>-62.437620000000003</v>
      </c>
      <c r="M6743">
        <v>0.99989620000000001</v>
      </c>
      <c r="N6743">
        <v>-1.3234279999999999E-2</v>
      </c>
      <c r="O6743">
        <v>-5.7155069999999999E-3</v>
      </c>
      <c r="P6743">
        <v>0.99652249999999998</v>
      </c>
      <c r="Q6743">
        <v>-7.9513349999999997E-2</v>
      </c>
      <c r="R6743">
        <v>2.4916319999999999E-2</v>
      </c>
      <c r="S6743">
        <v>2.988693</v>
      </c>
      <c r="T6743">
        <v>-0.2066144</v>
      </c>
      <c r="U6743">
        <v>0.20932010000000001</v>
      </c>
      <c r="V6743">
        <v>-3.064383E-2</v>
      </c>
      <c r="W6743">
        <v>-6.6305619999999996E-2</v>
      </c>
      <c r="X6743">
        <v>0.99732869999999996</v>
      </c>
      <c r="Y6743">
        <v>-7.5344739999999993E-2</v>
      </c>
      <c r="Z6743">
        <v>3.4167109999999998E-3</v>
      </c>
      <c r="AA6743">
        <v>0.99715169999999997</v>
      </c>
      <c r="AB6743">
        <v>23</v>
      </c>
      <c r="AC6743">
        <v>16.097899999999999</v>
      </c>
      <c r="AD6743">
        <v>-1.120845738881</v>
      </c>
      <c r="AE6743">
        <v>1.13628999999998</v>
      </c>
      <c r="AF6743">
        <v>-1.2223905035123901</v>
      </c>
      <c r="AG6743">
        <v>-1.120845738881</v>
      </c>
      <c r="AH6743">
        <v>16.013893181756199</v>
      </c>
      <c r="AI6743">
        <v>93.992145533928294</v>
      </c>
      <c r="AJ6743">
        <v>94.365100898360893</v>
      </c>
      <c r="AK6743">
        <v>16.099543737328201</v>
      </c>
      <c r="AL6743">
        <v>93.801821376219294</v>
      </c>
      <c r="AM6743">
        <v>91.759911163100895</v>
      </c>
      <c r="AN6743">
        <v>1.00000000770217</v>
      </c>
    </row>
    <row r="6744" spans="1:40" x14ac:dyDescent="0.25">
      <c r="A6744" t="str">
        <f>"20190303154653807"</f>
        <v>20190303154653807</v>
      </c>
      <c r="B6744" t="str">
        <f>"1551599213798278"</f>
        <v>1551599213798278</v>
      </c>
      <c r="C6744" t="s">
        <v>40</v>
      </c>
      <c r="D6744">
        <v>4.9157989999999998</v>
      </c>
      <c r="E6744">
        <v>0.483153</v>
      </c>
      <c r="F6744" t="s">
        <v>60</v>
      </c>
      <c r="G6744">
        <v>-203.87389999999999</v>
      </c>
      <c r="H6744" s="1">
        <v>-3.782407E-6</v>
      </c>
      <c r="I6744">
        <v>-61.306730000000002</v>
      </c>
      <c r="J6744">
        <v>-219.94200000000001</v>
      </c>
      <c r="K6744">
        <v>1.1208419999999999</v>
      </c>
      <c r="L6744">
        <v>-62.438479999999998</v>
      </c>
      <c r="M6744">
        <v>0.99989539999999999</v>
      </c>
      <c r="N6744">
        <v>-1.323497E-2</v>
      </c>
      <c r="O6744">
        <v>-5.8576000000000001E-3</v>
      </c>
      <c r="P6744">
        <v>0.99653630000000004</v>
      </c>
      <c r="Q6744">
        <v>-7.9347130000000002E-2</v>
      </c>
      <c r="R6744">
        <v>2.4892040000000001E-2</v>
      </c>
      <c r="S6744">
        <v>2.9887389999999998</v>
      </c>
      <c r="T6744">
        <v>-0.20700569999999999</v>
      </c>
      <c r="U6744">
        <v>0.2088623</v>
      </c>
      <c r="V6744">
        <v>-3.076069E-2</v>
      </c>
      <c r="W6744">
        <v>-6.6138600000000006E-2</v>
      </c>
      <c r="X6744">
        <v>0.99733620000000001</v>
      </c>
      <c r="Y6744">
        <v>-7.5332440000000001E-2</v>
      </c>
      <c r="Z6744">
        <v>3.429793E-3</v>
      </c>
      <c r="AA6744">
        <v>0.99715259999999994</v>
      </c>
      <c r="AB6744">
        <v>23</v>
      </c>
      <c r="AC6744">
        <v>16.068100000000001</v>
      </c>
      <c r="AD6744">
        <v>-1.1208457824069999</v>
      </c>
      <c r="AE6744">
        <v>1.13175</v>
      </c>
      <c r="AF6744">
        <v>-1.21995245821486</v>
      </c>
      <c r="AG6744">
        <v>-1.1208457824069999</v>
      </c>
      <c r="AH6744">
        <v>15.9838028173825</v>
      </c>
      <c r="AI6744">
        <v>93.999639419586501</v>
      </c>
      <c r="AJ6744">
        <v>94.364597847269096</v>
      </c>
      <c r="AK6744">
        <v>16.069428483092</v>
      </c>
      <c r="AL6744">
        <v>93.792230754676595</v>
      </c>
      <c r="AM6744">
        <v>91.766605048823806</v>
      </c>
      <c r="AN6744">
        <v>1.0000000151448301</v>
      </c>
    </row>
    <row r="6745" spans="1:40" x14ac:dyDescent="0.25">
      <c r="A6745" t="str">
        <f>"20190303154653820"</f>
        <v>20190303154653820</v>
      </c>
      <c r="B6745" t="str">
        <f>"1551599213808038"</f>
        <v>1551599213808038</v>
      </c>
      <c r="C6745" t="s">
        <v>40</v>
      </c>
      <c r="D6745">
        <v>4.9692239999999996</v>
      </c>
      <c r="E6745">
        <v>0.483153</v>
      </c>
      <c r="F6745" t="s">
        <v>60</v>
      </c>
      <c r="G6745">
        <v>-203.75559999999999</v>
      </c>
      <c r="H6745" s="1">
        <v>-3.8426920000000003E-6</v>
      </c>
      <c r="I6745">
        <v>-61.306649999999998</v>
      </c>
      <c r="J6745">
        <v>-219.8049</v>
      </c>
      <c r="K6745">
        <v>1.1208389999999999</v>
      </c>
      <c r="L6745">
        <v>-62.439480000000003</v>
      </c>
      <c r="M6745">
        <v>0.99989439999999996</v>
      </c>
      <c r="N6745">
        <v>-1.323564E-2</v>
      </c>
      <c r="O6745">
        <v>-6.0274680000000002E-3</v>
      </c>
      <c r="P6745">
        <v>0.99653879999999995</v>
      </c>
      <c r="Q6745">
        <v>-7.9447080000000003E-2</v>
      </c>
      <c r="R6745">
        <v>2.447355E-2</v>
      </c>
      <c r="S6745">
        <v>2.9887079999999999</v>
      </c>
      <c r="T6745">
        <v>-0.20695659999999999</v>
      </c>
      <c r="U6745">
        <v>0.20898439999999999</v>
      </c>
      <c r="V6745">
        <v>-3.0511759999999999E-2</v>
      </c>
      <c r="W6745">
        <v>-6.6237969999999993E-2</v>
      </c>
      <c r="X6745">
        <v>0.99733720000000003</v>
      </c>
      <c r="Y6745">
        <v>-7.5542289999999998E-2</v>
      </c>
      <c r="Z6745">
        <v>3.447262E-3</v>
      </c>
      <c r="AA6745">
        <v>0.99713669999999999</v>
      </c>
      <c r="AB6745">
        <v>23</v>
      </c>
      <c r="AC6745">
        <v>16.049299999999999</v>
      </c>
      <c r="AD6745">
        <v>-1.1208428426920001</v>
      </c>
      <c r="AE6745">
        <v>1.13283</v>
      </c>
      <c r="AF6745">
        <v>-1.2236161918827899</v>
      </c>
      <c r="AG6745">
        <v>-1.1208428426920001</v>
      </c>
      <c r="AH6745">
        <v>15.9647014812717</v>
      </c>
      <c r="AI6745">
        <v>94.004301487539493</v>
      </c>
      <c r="AJ6745">
        <v>94.382871981758001</v>
      </c>
      <c r="AK6745">
        <v>16.050707730476301</v>
      </c>
      <c r="AL6745">
        <v>93.797936945640302</v>
      </c>
      <c r="AM6745">
        <v>91.752316041742503</v>
      </c>
      <c r="AN6745">
        <v>0.999999963335928</v>
      </c>
    </row>
    <row r="6746" spans="1:40" x14ac:dyDescent="0.25">
      <c r="A6746" t="str">
        <f>"20190303154653836"</f>
        <v>20190303154653836</v>
      </c>
      <c r="B6746" t="str">
        <f>"1551599213828534"</f>
        <v>1551599213828534</v>
      </c>
      <c r="C6746" t="s">
        <v>40</v>
      </c>
      <c r="D6746">
        <v>4.9515789999999997</v>
      </c>
      <c r="E6746">
        <v>0.49967509999999998</v>
      </c>
      <c r="F6746" t="s">
        <v>60</v>
      </c>
      <c r="G6746">
        <v>-203.63800000000001</v>
      </c>
      <c r="H6746" s="1">
        <v>-3.9031259999999901E-6</v>
      </c>
      <c r="I6746">
        <v>-61.315840000000001</v>
      </c>
      <c r="J6746">
        <v>-219.65199999999999</v>
      </c>
      <c r="K6746">
        <v>1.1208400000000001</v>
      </c>
      <c r="L6746">
        <v>-62.44061</v>
      </c>
      <c r="M6746">
        <v>0.99989320000000004</v>
      </c>
      <c r="N6746">
        <v>-1.3236080000000001E-2</v>
      </c>
      <c r="O6746">
        <v>-6.2168830000000003E-3</v>
      </c>
      <c r="P6746">
        <v>0.9965579</v>
      </c>
      <c r="Q6746">
        <v>-7.9276319999999997E-2</v>
      </c>
      <c r="R6746">
        <v>2.425037E-2</v>
      </c>
      <c r="S6746">
        <v>2.9888309999999998</v>
      </c>
      <c r="T6746">
        <v>-0.2072147</v>
      </c>
      <c r="U6746">
        <v>0.20773320000000001</v>
      </c>
      <c r="V6746">
        <v>-3.0477870000000001E-2</v>
      </c>
      <c r="W6746">
        <v>-6.6066639999999996E-2</v>
      </c>
      <c r="X6746">
        <v>0.99734959999999995</v>
      </c>
      <c r="Y6746">
        <v>-7.5312799999999999E-2</v>
      </c>
      <c r="Z6746">
        <v>3.4520950000000001E-3</v>
      </c>
      <c r="AA6746">
        <v>0.99715399999999998</v>
      </c>
      <c r="AB6746">
        <v>23</v>
      </c>
      <c r="AC6746">
        <v>16.013999999999999</v>
      </c>
      <c r="AD6746">
        <v>-1.120843903126</v>
      </c>
      <c r="AE6746">
        <v>1.1247699999999901</v>
      </c>
      <c r="AF6746">
        <v>-1.21837484615773</v>
      </c>
      <c r="AG6746">
        <v>-1.120843903126</v>
      </c>
      <c r="AH6746">
        <v>15.9290469848612</v>
      </c>
      <c r="AI6746">
        <v>94.0132869269883</v>
      </c>
      <c r="AJ6746">
        <v>94.373901283939304</v>
      </c>
      <c r="AK6746">
        <v>16.014845180857701</v>
      </c>
      <c r="AL6746">
        <v>93.788098910593703</v>
      </c>
      <c r="AM6746">
        <v>91.750349173231399</v>
      </c>
      <c r="AN6746">
        <v>0.99999996305039196</v>
      </c>
    </row>
    <row r="6747" spans="1:40" x14ac:dyDescent="0.25">
      <c r="A6747" t="str">
        <f>"20190303154653852"</f>
        <v>20190303154653852</v>
      </c>
      <c r="B6747" t="str">
        <f>"1551599213848055"</f>
        <v>1551599213848055</v>
      </c>
      <c r="C6747" t="s">
        <v>40</v>
      </c>
      <c r="D6747">
        <v>4.935136</v>
      </c>
      <c r="E6747">
        <v>0.50026809999999999</v>
      </c>
      <c r="F6747" t="s">
        <v>60</v>
      </c>
      <c r="G6747">
        <v>-201.6788</v>
      </c>
      <c r="H6747" s="1">
        <v>-4.9404509999999997E-6</v>
      </c>
      <c r="I6747">
        <v>-61.988250000000001</v>
      </c>
      <c r="J6747">
        <v>-219.47329999999999</v>
      </c>
      <c r="K6747">
        <v>1.1208450000000001</v>
      </c>
      <c r="L6747">
        <v>-62.441989999999997</v>
      </c>
      <c r="M6747">
        <v>0.9998918</v>
      </c>
      <c r="N6747">
        <v>-1.3236339999999999E-2</v>
      </c>
      <c r="O6747">
        <v>-6.4383610000000001E-3</v>
      </c>
      <c r="P6747">
        <v>0.99659169999999997</v>
      </c>
      <c r="Q6747">
        <v>-7.8996430000000006E-2</v>
      </c>
      <c r="R6747">
        <v>2.376354E-2</v>
      </c>
      <c r="S6747">
        <v>2.9936980000000002</v>
      </c>
      <c r="T6747">
        <v>-0.18669269999999999</v>
      </c>
      <c r="U6747">
        <v>7.5347899999999995E-2</v>
      </c>
      <c r="V6747">
        <v>-3.021163E-2</v>
      </c>
      <c r="W6747">
        <v>-6.5786259999999999E-2</v>
      </c>
      <c r="X6747">
        <v>0.99737629999999999</v>
      </c>
      <c r="Y6747">
        <v>-3.1515269999999998E-2</v>
      </c>
      <c r="Z6747">
        <v>1.506346E-3</v>
      </c>
      <c r="AA6747">
        <v>0.99950209999999995</v>
      </c>
      <c r="AB6747">
        <v>23</v>
      </c>
      <c r="AC6747">
        <v>17.794499999999999</v>
      </c>
      <c r="AD6747">
        <v>-1.1208499404509999</v>
      </c>
      <c r="AE6747">
        <v>0.45374000000000297</v>
      </c>
      <c r="AF6747">
        <v>-0.56606359975220799</v>
      </c>
      <c r="AG6747">
        <v>-1.1208499404509999</v>
      </c>
      <c r="AH6747">
        <v>17.720946309919299</v>
      </c>
      <c r="AI6747">
        <v>93.617297162293696</v>
      </c>
      <c r="AJ6747">
        <v>91.829588001172695</v>
      </c>
      <c r="AK6747">
        <v>17.765378428477501</v>
      </c>
      <c r="AL6747">
        <v>93.771999044464593</v>
      </c>
      <c r="AM6747">
        <v>91.735021932926699</v>
      </c>
      <c r="AN6747">
        <v>1.00000002919686</v>
      </c>
    </row>
    <row r="6748" spans="1:40" x14ac:dyDescent="0.25">
      <c r="A6748" t="str">
        <f>"20190303154653866"</f>
        <v>20190303154653866</v>
      </c>
      <c r="B6748" t="str">
        <f>"1551599213858792"</f>
        <v>1551599213858792</v>
      </c>
      <c r="C6748" t="s">
        <v>40</v>
      </c>
      <c r="D6748">
        <v>5.0257779999999999</v>
      </c>
      <c r="E6748">
        <v>0.50082059999999995</v>
      </c>
      <c r="F6748" t="s">
        <v>60</v>
      </c>
      <c r="G6748">
        <v>-201.14009999999999</v>
      </c>
      <c r="H6748" s="1">
        <v>-5.2166880000000001E-6</v>
      </c>
      <c r="I6748">
        <v>-62.018929999999997</v>
      </c>
      <c r="J6748">
        <v>-219.33590000000001</v>
      </c>
      <c r="K6748">
        <v>1.1208469999999999</v>
      </c>
      <c r="L6748">
        <v>-62.443049999999999</v>
      </c>
      <c r="M6748">
        <v>0.99989070000000002</v>
      </c>
      <c r="N6748">
        <v>-1.3236380000000001E-2</v>
      </c>
      <c r="O6748">
        <v>-6.608699E-3</v>
      </c>
      <c r="P6748">
        <v>0.99660519999999997</v>
      </c>
      <c r="Q6748">
        <v>-7.8938129999999995E-2</v>
      </c>
      <c r="R6748">
        <v>2.339778E-2</v>
      </c>
      <c r="S6748">
        <v>2.99411</v>
      </c>
      <c r="T6748">
        <v>-0.18305370000000001</v>
      </c>
      <c r="U6748">
        <v>6.9091799999999995E-2</v>
      </c>
      <c r="V6748">
        <v>-3.0015799999999999E-2</v>
      </c>
      <c r="W6748">
        <v>-6.5727880000000002E-2</v>
      </c>
      <c r="X6748">
        <v>0.99738599999999999</v>
      </c>
      <c r="Y6748">
        <v>-2.9601969999999998E-2</v>
      </c>
      <c r="Z6748">
        <v>1.4163209999999999E-3</v>
      </c>
      <c r="AA6748">
        <v>0.99956080000000003</v>
      </c>
      <c r="AB6748">
        <v>23</v>
      </c>
      <c r="AC6748">
        <v>18.195799999999998</v>
      </c>
      <c r="AD6748">
        <v>-1.1208522166879999</v>
      </c>
      <c r="AE6748">
        <v>0.424119999999994</v>
      </c>
      <c r="AF6748">
        <v>-0.542315123322195</v>
      </c>
      <c r="AG6748">
        <v>-1.1208522166879999</v>
      </c>
      <c r="AH6748">
        <v>18.123865808207999</v>
      </c>
      <c r="AI6748">
        <v>93.537313404704406</v>
      </c>
      <c r="AJ6748">
        <v>91.713933401488106</v>
      </c>
      <c r="AK6748">
        <v>18.166588210739199</v>
      </c>
      <c r="AL6748">
        <v>93.768647093687804</v>
      </c>
      <c r="AM6748">
        <v>91.723765676176001</v>
      </c>
      <c r="AN6748">
        <v>0.99999996772746602</v>
      </c>
    </row>
    <row r="6749" spans="1:40" x14ac:dyDescent="0.25">
      <c r="A6749" t="str">
        <f>"20190303154653878"</f>
        <v>20190303154653878</v>
      </c>
      <c r="B6749" t="str">
        <f>"1551599213868551"</f>
        <v>1551599213868551</v>
      </c>
      <c r="C6749" t="s">
        <v>40</v>
      </c>
      <c r="D6749">
        <v>5.045363</v>
      </c>
      <c r="E6749">
        <v>0.50119219999999998</v>
      </c>
      <c r="F6749" t="s">
        <v>60</v>
      </c>
      <c r="G6749">
        <v>-200.79220000000001</v>
      </c>
      <c r="H6749" s="1">
        <v>-5.3957309999999997E-6</v>
      </c>
      <c r="I6749">
        <v>-62.048999999999999</v>
      </c>
      <c r="J6749">
        <v>-219.20419999999999</v>
      </c>
      <c r="K6749">
        <v>1.1208480000000001</v>
      </c>
      <c r="L6749">
        <v>-62.444119999999998</v>
      </c>
      <c r="M6749">
        <v>0.99988960000000005</v>
      </c>
      <c r="N6749">
        <v>-1.323626E-2</v>
      </c>
      <c r="O6749">
        <v>-6.7721229999999997E-3</v>
      </c>
      <c r="P6749">
        <v>0.99661549999999999</v>
      </c>
      <c r="Q6749">
        <v>-7.8892680000000007E-2</v>
      </c>
      <c r="R6749">
        <v>2.3103660000000002E-2</v>
      </c>
      <c r="S6749">
        <v>2.99437</v>
      </c>
      <c r="T6749">
        <v>-0.18099080000000001</v>
      </c>
      <c r="U6749">
        <v>6.3629149999999995E-2</v>
      </c>
      <c r="V6749">
        <v>-2.988416E-2</v>
      </c>
      <c r="W6749">
        <v>-6.5682560000000001E-2</v>
      </c>
      <c r="X6749">
        <v>0.99739299999999997</v>
      </c>
      <c r="Y6749">
        <v>-2.79458E-2</v>
      </c>
      <c r="Z6749">
        <v>1.348244E-3</v>
      </c>
      <c r="AA6749">
        <v>0.99960850000000001</v>
      </c>
      <c r="AB6749">
        <v>23</v>
      </c>
      <c r="AC6749">
        <v>18.4119999999999</v>
      </c>
      <c r="AD6749">
        <v>-1.1208533957310001</v>
      </c>
      <c r="AE6749">
        <v>0.39511999999999797</v>
      </c>
      <c r="AF6749">
        <v>-0.51789179307051003</v>
      </c>
      <c r="AG6749">
        <v>-1.1208533957310001</v>
      </c>
      <c r="AH6749">
        <v>18.340962884743401</v>
      </c>
      <c r="AI6749">
        <v>93.495722074828194</v>
      </c>
      <c r="AJ6749">
        <v>91.617424975339304</v>
      </c>
      <c r="AK6749">
        <v>18.382476541086302</v>
      </c>
      <c r="AL6749">
        <v>93.766044594193204</v>
      </c>
      <c r="AM6749">
        <v>91.716198267301294</v>
      </c>
      <c r="AN6749">
        <v>1.00000002907802</v>
      </c>
    </row>
    <row r="6750" spans="1:40" x14ac:dyDescent="0.25">
      <c r="A6750" t="str">
        <f>"20190303154653889"</f>
        <v>20190303154653889</v>
      </c>
      <c r="B6750" t="str">
        <f>"1551599213878310"</f>
        <v>1551599213878310</v>
      </c>
      <c r="C6750" t="s">
        <v>40</v>
      </c>
      <c r="D6750">
        <v>4.9451269999999896</v>
      </c>
      <c r="E6750">
        <v>0.50107109999999899</v>
      </c>
      <c r="F6750" t="s">
        <v>60</v>
      </c>
      <c r="G6750">
        <v>-200.54589999999999</v>
      </c>
      <c r="H6750" s="1">
        <v>-5.5225289999999901E-6</v>
      </c>
      <c r="I6750">
        <v>-62.071820000000002</v>
      </c>
      <c r="J6750">
        <v>-219.10130000000001</v>
      </c>
      <c r="K6750">
        <v>1.120852</v>
      </c>
      <c r="L6750">
        <v>-62.444980000000001</v>
      </c>
      <c r="M6750">
        <v>0.99988860000000002</v>
      </c>
      <c r="N6750">
        <v>-1.3236049999999999E-2</v>
      </c>
      <c r="O6750">
        <v>-6.8994290000000003E-3</v>
      </c>
      <c r="P6750">
        <v>0.99661200000000005</v>
      </c>
      <c r="Q6750">
        <v>-7.9061930000000002E-2</v>
      </c>
      <c r="R6750">
        <v>2.2661690000000002E-2</v>
      </c>
      <c r="S6750">
        <v>2.994583</v>
      </c>
      <c r="T6750">
        <v>-0.1798931</v>
      </c>
      <c r="U6750">
        <v>5.9753420000000002E-2</v>
      </c>
      <c r="V6750">
        <v>-2.9568980000000002E-2</v>
      </c>
      <c r="W6750">
        <v>-6.5852229999999998E-2</v>
      </c>
      <c r="X6750">
        <v>0.99739120000000003</v>
      </c>
      <c r="Y6750">
        <v>-2.6781570000000001E-2</v>
      </c>
      <c r="Z6750">
        <v>1.3038870000000001E-3</v>
      </c>
      <c r="AA6750">
        <v>0.99964050000000004</v>
      </c>
      <c r="AB6750">
        <v>23</v>
      </c>
      <c r="AC6750">
        <v>18.555399999999999</v>
      </c>
      <c r="AD6750">
        <v>-1.1208575225290001</v>
      </c>
      <c r="AE6750">
        <v>0.37316000000001198</v>
      </c>
      <c r="AF6750">
        <v>-0.499362616695887</v>
      </c>
      <c r="AG6750">
        <v>-1.1208575225290001</v>
      </c>
      <c r="AH6750">
        <v>18.484961232294701</v>
      </c>
      <c r="AI6750">
        <v>93.468686544368595</v>
      </c>
      <c r="AJ6750">
        <v>91.547442432778595</v>
      </c>
      <c r="AK6750">
        <v>18.525643750439599</v>
      </c>
      <c r="AL6750">
        <v>93.775787083281799</v>
      </c>
      <c r="AM6750">
        <v>91.698111713845506</v>
      </c>
      <c r="AN6750">
        <v>1.0000000233058199</v>
      </c>
    </row>
    <row r="6751" spans="1:40" x14ac:dyDescent="0.25">
      <c r="A6751" t="str">
        <f>"20190303154653900"</f>
        <v>20190303154653900</v>
      </c>
      <c r="B6751" t="str">
        <f>"1551599213888071"</f>
        <v>1551599213888071</v>
      </c>
      <c r="C6751" t="s">
        <v>40</v>
      </c>
      <c r="D6751">
        <v>5.0501480000000001</v>
      </c>
      <c r="E6751">
        <v>0.50137169999999998</v>
      </c>
      <c r="F6751" t="s">
        <v>60</v>
      </c>
      <c r="G6751">
        <v>-200.6378</v>
      </c>
      <c r="H6751" s="1">
        <v>-5.476118E-6</v>
      </c>
      <c r="I6751">
        <v>-62.078800000000001</v>
      </c>
      <c r="J6751">
        <v>-218.982</v>
      </c>
      <c r="K6751">
        <v>1.120852</v>
      </c>
      <c r="L6751">
        <v>-62.445950000000003</v>
      </c>
      <c r="M6751">
        <v>0.99988759999999999</v>
      </c>
      <c r="N6751">
        <v>-1.3235759999999999E-2</v>
      </c>
      <c r="O6751">
        <v>-7.0475939999999999E-3</v>
      </c>
      <c r="P6751">
        <v>0.99662539999999999</v>
      </c>
      <c r="Q6751">
        <v>-7.8926399999999994E-2</v>
      </c>
      <c r="R6751">
        <v>2.2553940000000001E-2</v>
      </c>
      <c r="S6751">
        <v>2.9944459999999999</v>
      </c>
      <c r="T6751">
        <v>-0.18178279999999999</v>
      </c>
      <c r="U6751">
        <v>5.9387210000000003E-2</v>
      </c>
      <c r="V6751">
        <v>-2.9608720000000002E-2</v>
      </c>
      <c r="W6751">
        <v>-6.5716839999999999E-2</v>
      </c>
      <c r="X6751">
        <v>0.99739889999999998</v>
      </c>
      <c r="Y6751">
        <v>-2.680685E-2</v>
      </c>
      <c r="Z6751">
        <v>1.3246759999999999E-3</v>
      </c>
      <c r="AA6751">
        <v>0.99963970000000002</v>
      </c>
      <c r="AB6751">
        <v>23</v>
      </c>
      <c r="AC6751">
        <v>18.344200000000001</v>
      </c>
      <c r="AD6751">
        <v>-1.1208574761179999</v>
      </c>
      <c r="AE6751">
        <v>0.36715000000000197</v>
      </c>
      <c r="AF6751">
        <v>-0.49458892219459</v>
      </c>
      <c r="AG6751">
        <v>-1.1208574761179999</v>
      </c>
      <c r="AH6751">
        <v>18.272963834869099</v>
      </c>
      <c r="AI6751">
        <v>93.508824149118496</v>
      </c>
      <c r="AJ6751">
        <v>91.550429419413206</v>
      </c>
      <c r="AK6751">
        <v>18.313987741455001</v>
      </c>
      <c r="AL6751">
        <v>93.768013159540899</v>
      </c>
      <c r="AM6751">
        <v>91.700379476891698</v>
      </c>
      <c r="AN6751">
        <v>0.99999997254041595</v>
      </c>
    </row>
    <row r="6752" spans="1:40" x14ac:dyDescent="0.25">
      <c r="A6752" t="str">
        <f>"20190303154653911"</f>
        <v>20190303154653911</v>
      </c>
      <c r="B6752" t="str">
        <f>"1551599213908566"</f>
        <v>1551599213908566</v>
      </c>
      <c r="C6752" t="s">
        <v>40</v>
      </c>
      <c r="D6752">
        <v>4.9520600000000004</v>
      </c>
      <c r="E6752">
        <v>0.50127290000000002</v>
      </c>
      <c r="F6752" t="s">
        <v>60</v>
      </c>
      <c r="G6752">
        <v>-200.42429999999999</v>
      </c>
      <c r="H6752" s="1">
        <v>-5.5858400000000002E-6</v>
      </c>
      <c r="I6752">
        <v>-62.094940000000001</v>
      </c>
      <c r="J6752">
        <v>-218.87469999999999</v>
      </c>
      <c r="K6752">
        <v>1.120854</v>
      </c>
      <c r="L6752">
        <v>-62.446869999999997</v>
      </c>
      <c r="M6752">
        <v>0.99988670000000002</v>
      </c>
      <c r="N6752">
        <v>-1.3235399999999901E-2</v>
      </c>
      <c r="O6752">
        <v>-7.1806200000000004E-3</v>
      </c>
      <c r="P6752">
        <v>0.99662399999999995</v>
      </c>
      <c r="Q6752">
        <v>-7.8965839999999995E-2</v>
      </c>
      <c r="R6752">
        <v>2.2477859999999999E-2</v>
      </c>
      <c r="S6752">
        <v>2.9945680000000001</v>
      </c>
      <c r="T6752">
        <v>-0.1808679</v>
      </c>
      <c r="U6752">
        <v>5.6640629999999997E-2</v>
      </c>
      <c r="V6752">
        <v>-2.9665710000000001E-2</v>
      </c>
      <c r="W6752">
        <v>-6.5756690000000007E-2</v>
      </c>
      <c r="X6752">
        <v>0.99739460000000002</v>
      </c>
      <c r="Y6752">
        <v>-2.6024749999999999E-2</v>
      </c>
      <c r="Z6752">
        <v>1.295888E-3</v>
      </c>
      <c r="AA6752">
        <v>0.9996604</v>
      </c>
      <c r="AB6752">
        <v>23</v>
      </c>
      <c r="AC6752">
        <v>18.450399999999998</v>
      </c>
      <c r="AD6752">
        <v>-1.1208595858399999</v>
      </c>
      <c r="AE6752">
        <v>0.35192999999999502</v>
      </c>
      <c r="AF6752">
        <v>-0.48263728405400003</v>
      </c>
      <c r="AG6752">
        <v>-1.1208595858399999</v>
      </c>
      <c r="AH6752">
        <v>18.3795908597106</v>
      </c>
      <c r="AI6752">
        <v>93.488599939488694</v>
      </c>
      <c r="AJ6752">
        <v>91.504207908013996</v>
      </c>
      <c r="AK6752">
        <v>18.4200603997241</v>
      </c>
      <c r="AL6752">
        <v>93.770301270896198</v>
      </c>
      <c r="AM6752">
        <v>91.703657731296602</v>
      </c>
      <c r="AN6752">
        <v>0.99999999236935999</v>
      </c>
    </row>
    <row r="6753" spans="1:40" x14ac:dyDescent="0.25">
      <c r="A6753" t="str">
        <f>"20190303154653922"</f>
        <v>20190303154653922</v>
      </c>
      <c r="B6753" t="str">
        <f>"1551599213918326"</f>
        <v>1551599213918326</v>
      </c>
      <c r="C6753" t="s">
        <v>40</v>
      </c>
      <c r="D6753">
        <v>4.96502</v>
      </c>
      <c r="E6753">
        <v>0.50127569999999999</v>
      </c>
      <c r="F6753" t="s">
        <v>60</v>
      </c>
      <c r="G6753">
        <v>-200.52430000000001</v>
      </c>
      <c r="H6753" s="1">
        <v>-5.5349460000000001E-6</v>
      </c>
      <c r="I6753">
        <v>-62.096020000000003</v>
      </c>
      <c r="J6753">
        <v>-218.762</v>
      </c>
      <c r="K6753">
        <v>1.1208530000000001</v>
      </c>
      <c r="L6753">
        <v>-62.447850000000003</v>
      </c>
      <c r="M6753">
        <v>0.99988569999999999</v>
      </c>
      <c r="N6753">
        <v>-1.323501E-2</v>
      </c>
      <c r="O6753">
        <v>-7.3203219999999998E-3</v>
      </c>
      <c r="P6753">
        <v>0.99663170000000001</v>
      </c>
      <c r="Q6753">
        <v>-7.8895839999999995E-2</v>
      </c>
      <c r="R6753">
        <v>2.2382599999999999E-2</v>
      </c>
      <c r="S6753">
        <v>2.9943849999999999</v>
      </c>
      <c r="T6753">
        <v>-0.18290029999999999</v>
      </c>
      <c r="U6753">
        <v>5.725098E-2</v>
      </c>
      <c r="V6753">
        <v>-2.970913E-2</v>
      </c>
      <c r="W6753">
        <v>-6.5687019999999999E-2</v>
      </c>
      <c r="X6753">
        <v>0.99739789999999995</v>
      </c>
      <c r="Y6753">
        <v>-2.636691E-2</v>
      </c>
      <c r="Z6753">
        <v>1.3290140000000001E-3</v>
      </c>
      <c r="AA6753">
        <v>0.99965139999999997</v>
      </c>
      <c r="AB6753">
        <v>23</v>
      </c>
      <c r="AC6753">
        <v>18.237699999999901</v>
      </c>
      <c r="AD6753">
        <v>-1.1208585349460001</v>
      </c>
      <c r="AE6753">
        <v>0.35183000000000603</v>
      </c>
      <c r="AF6753">
        <v>-0.48351248311419498</v>
      </c>
      <c r="AG6753">
        <v>-1.1208585349460001</v>
      </c>
      <c r="AH6753">
        <v>18.166045604009099</v>
      </c>
      <c r="AI6753">
        <v>93.529469522140403</v>
      </c>
      <c r="AJ6753">
        <v>91.524640315846199</v>
      </c>
      <c r="AK6753">
        <v>18.207012963790302</v>
      </c>
      <c r="AL6753">
        <v>93.766300818857502</v>
      </c>
      <c r="AM6753">
        <v>91.706144163135505</v>
      </c>
      <c r="AN6753">
        <v>0.999999993963123</v>
      </c>
    </row>
    <row r="6754" spans="1:40" x14ac:dyDescent="0.25">
      <c r="A6754" t="str">
        <f>"20190303154653933"</f>
        <v>20190303154653933</v>
      </c>
      <c r="B6754" t="str">
        <f>"1551599213928086"</f>
        <v>1551599213928086</v>
      </c>
      <c r="C6754" t="s">
        <v>40</v>
      </c>
      <c r="D6754">
        <v>4.9890189999999999</v>
      </c>
      <c r="E6754">
        <v>0.50122540000000004</v>
      </c>
      <c r="F6754" t="s">
        <v>60</v>
      </c>
      <c r="G6754">
        <v>-200.43719999999999</v>
      </c>
      <c r="H6754" s="1">
        <v>-5.5795340000000002E-6</v>
      </c>
      <c r="I6754">
        <v>-62.099730000000001</v>
      </c>
      <c r="J6754">
        <v>-218.63939999999999</v>
      </c>
      <c r="K6754">
        <v>1.120852</v>
      </c>
      <c r="L6754">
        <v>-62.448909999999998</v>
      </c>
      <c r="M6754">
        <v>0.99988449999999995</v>
      </c>
      <c r="N6754">
        <v>-1.3234330000000001E-2</v>
      </c>
      <c r="O6754">
        <v>-7.4723000000000003E-3</v>
      </c>
      <c r="P6754">
        <v>0.99664209999999998</v>
      </c>
      <c r="Q6754">
        <v>-7.8789960000000006E-2</v>
      </c>
      <c r="R6754">
        <v>2.2286819999999999E-2</v>
      </c>
      <c r="S6754">
        <v>2.9943849999999999</v>
      </c>
      <c r="T6754">
        <v>-0.18315580000000001</v>
      </c>
      <c r="U6754">
        <v>5.6884770000000001E-2</v>
      </c>
      <c r="V6754">
        <v>-2.9764499999999999E-2</v>
      </c>
      <c r="W6754">
        <v>-6.5581749999999994E-2</v>
      </c>
      <c r="X6754">
        <v>0.99740320000000005</v>
      </c>
      <c r="Y6754">
        <v>-2.639621E-2</v>
      </c>
      <c r="Z6754">
        <v>1.33912299999999E-3</v>
      </c>
      <c r="AA6754">
        <v>0.9996507</v>
      </c>
      <c r="AB6754">
        <v>23</v>
      </c>
      <c r="AC6754">
        <v>18.202200000000001</v>
      </c>
      <c r="AD6754">
        <v>-1.1208575795339999</v>
      </c>
      <c r="AE6754">
        <v>0.349179999999989</v>
      </c>
      <c r="AF6754">
        <v>-0.48336229057333202</v>
      </c>
      <c r="AG6754">
        <v>-1.1208575795339999</v>
      </c>
      <c r="AH6754">
        <v>18.130359711751101</v>
      </c>
      <c r="AI6754">
        <v>93.536391797618407</v>
      </c>
      <c r="AJ6754">
        <v>91.527165533766095</v>
      </c>
      <c r="AK6754">
        <v>18.1714034707019</v>
      </c>
      <c r="AL6754">
        <v>93.7602561702722</v>
      </c>
      <c r="AM6754">
        <v>91.709313004608404</v>
      </c>
      <c r="AN6754">
        <v>1.00000001738177</v>
      </c>
    </row>
    <row r="6755" spans="1:40" x14ac:dyDescent="0.25">
      <c r="A6755" t="str">
        <f>"20190303154653945"</f>
        <v>20190303154653945</v>
      </c>
      <c r="B6755" t="str">
        <f>"1551599213938823"</f>
        <v>1551599213938823</v>
      </c>
      <c r="C6755" t="s">
        <v>40</v>
      </c>
      <c r="D6755">
        <v>4.9915289999999999</v>
      </c>
      <c r="E6755">
        <v>0.50115310000000002</v>
      </c>
      <c r="F6755" t="s">
        <v>60</v>
      </c>
      <c r="G6755">
        <v>-200.50890000000001</v>
      </c>
      <c r="H6755" s="1">
        <v>-5.5432529999999997E-6</v>
      </c>
      <c r="I6755">
        <v>-62.103540000000002</v>
      </c>
      <c r="J6755">
        <v>-218.51759999999999</v>
      </c>
      <c r="K6755">
        <v>1.1208530000000001</v>
      </c>
      <c r="L6755">
        <v>-62.449979999999996</v>
      </c>
      <c r="M6755">
        <v>0.99988350000000004</v>
      </c>
      <c r="N6755">
        <v>-1.32336E-2</v>
      </c>
      <c r="O6755">
        <v>-7.6233239999999999E-3</v>
      </c>
      <c r="P6755">
        <v>0.9966391</v>
      </c>
      <c r="Q6755">
        <v>-7.8783179999999994E-2</v>
      </c>
      <c r="R6755">
        <v>2.245012E-2</v>
      </c>
      <c r="S6755">
        <v>2.9942169999999999</v>
      </c>
      <c r="T6755">
        <v>-0.18510740000000001</v>
      </c>
      <c r="U6755">
        <v>5.7037350000000001E-2</v>
      </c>
      <c r="V6755">
        <v>-3.007889E-2</v>
      </c>
      <c r="W6755">
        <v>-6.5575640000000004E-2</v>
      </c>
      <c r="X6755">
        <v>0.99739409999999895</v>
      </c>
      <c r="Y6755">
        <v>-2.659713E-2</v>
      </c>
      <c r="Z6755">
        <v>1.36749299999999E-3</v>
      </c>
      <c r="AA6755">
        <v>0.99964529999999996</v>
      </c>
      <c r="AB6755">
        <v>23</v>
      </c>
      <c r="AC6755">
        <v>18.008699999999902</v>
      </c>
      <c r="AD6755">
        <v>-1.1208585432529901</v>
      </c>
      <c r="AE6755">
        <v>0.34644000000000102</v>
      </c>
      <c r="AF6755">
        <v>-0.48186214589138998</v>
      </c>
      <c r="AG6755">
        <v>-1.1208585432529901</v>
      </c>
      <c r="AH6755">
        <v>17.936080322255702</v>
      </c>
      <c r="AI6755">
        <v>93.574581873665394</v>
      </c>
      <c r="AJ6755">
        <v>91.538910810122104</v>
      </c>
      <c r="AK6755">
        <v>17.977527425317199</v>
      </c>
      <c r="AL6755">
        <v>93.759905601179099</v>
      </c>
      <c r="AM6755">
        <v>91.727372634509194</v>
      </c>
      <c r="AN6755">
        <v>0.99999994744992404</v>
      </c>
    </row>
    <row r="6756" spans="1:40" x14ac:dyDescent="0.25">
      <c r="A6756" t="str">
        <f>"20190303154653956"</f>
        <v>20190303154653956</v>
      </c>
      <c r="B6756" t="str">
        <f>"1551599213948582"</f>
        <v>1551599213948582</v>
      </c>
      <c r="C6756" t="s">
        <v>40</v>
      </c>
      <c r="D6756">
        <v>5.0065150000000003</v>
      </c>
      <c r="E6756">
        <v>0.50114320000000001</v>
      </c>
      <c r="F6756" t="s">
        <v>60</v>
      </c>
      <c r="G6756">
        <v>-200.56559999999999</v>
      </c>
      <c r="H6756" s="1">
        <v>-5.5142170000000003E-6</v>
      </c>
      <c r="I6756">
        <v>-62.101590000000002</v>
      </c>
      <c r="J6756">
        <v>-218.40379999999999</v>
      </c>
      <c r="K6756">
        <v>1.1208499999999999</v>
      </c>
      <c r="L6756">
        <v>-62.451050000000002</v>
      </c>
      <c r="M6756">
        <v>0.99988239999999995</v>
      </c>
      <c r="N6756">
        <v>-1.3232860000000001E-2</v>
      </c>
      <c r="O6756">
        <v>-7.7646919999999897E-3</v>
      </c>
      <c r="P6756">
        <v>0.99665899999999996</v>
      </c>
      <c r="Q6756">
        <v>-7.8524979999999994E-2</v>
      </c>
      <c r="R6756">
        <v>2.246635E-2</v>
      </c>
      <c r="S6756">
        <v>2.9940340000000001</v>
      </c>
      <c r="T6756">
        <v>-0.18693650000000001</v>
      </c>
      <c r="U6756">
        <v>5.8105469999999999E-2</v>
      </c>
      <c r="V6756">
        <v>-3.0235870000000001E-2</v>
      </c>
      <c r="W6756">
        <v>-6.5317940000000005E-2</v>
      </c>
      <c r="X6756">
        <v>0.99740629999999997</v>
      </c>
      <c r="Y6756">
        <v>-2.709342E-2</v>
      </c>
      <c r="Z6756">
        <v>1.4060260000000001E-3</v>
      </c>
      <c r="AA6756">
        <v>0.99963190000000002</v>
      </c>
      <c r="AB6756">
        <v>23</v>
      </c>
      <c r="AC6756">
        <v>17.838200000000001</v>
      </c>
      <c r="AD6756">
        <v>-1.12085551421699</v>
      </c>
      <c r="AE6756">
        <v>0.34945999999999999</v>
      </c>
      <c r="AF6756">
        <v>-0.48605142265937401</v>
      </c>
      <c r="AG6756">
        <v>-1.12085551421699</v>
      </c>
      <c r="AH6756">
        <v>17.7648365679687</v>
      </c>
      <c r="AI6756">
        <v>93.608890366110998</v>
      </c>
      <c r="AJ6756">
        <v>91.567239254077705</v>
      </c>
      <c r="AK6756">
        <v>17.806795931774399</v>
      </c>
      <c r="AL6756">
        <v>93.745108616605293</v>
      </c>
      <c r="AM6756">
        <v>91.736360962701795</v>
      </c>
      <c r="AN6756">
        <v>0.99999998420009495</v>
      </c>
    </row>
    <row r="6757" spans="1:40" x14ac:dyDescent="0.25">
      <c r="A6757" t="str">
        <f>"20190303154653967"</f>
        <v>20190303154653967</v>
      </c>
      <c r="B6757" t="str">
        <f>"1551599213958342"</f>
        <v>1551599213958342</v>
      </c>
      <c r="C6757" t="s">
        <v>40</v>
      </c>
      <c r="D6757">
        <v>5.008114</v>
      </c>
      <c r="E6757">
        <v>0.50110759999999999</v>
      </c>
      <c r="F6757" t="s">
        <v>60</v>
      </c>
      <c r="G6757">
        <v>-200.5163</v>
      </c>
      <c r="H6757" s="1">
        <v>-5.5394179999999898E-6</v>
      </c>
      <c r="I6757">
        <v>-62.102800000000002</v>
      </c>
      <c r="J6757">
        <v>-218.30189999999999</v>
      </c>
      <c r="K6757">
        <v>1.120851</v>
      </c>
      <c r="L6757">
        <v>-62.451929999999997</v>
      </c>
      <c r="M6757">
        <v>0.99988140000000003</v>
      </c>
      <c r="N6757">
        <v>-1.323215E-2</v>
      </c>
      <c r="O6757">
        <v>-7.8909229999999993E-3</v>
      </c>
      <c r="P6757">
        <v>0.99664010000000003</v>
      </c>
      <c r="Q6757">
        <v>-7.8734499999999999E-2</v>
      </c>
      <c r="R6757">
        <v>2.2572160000000001E-2</v>
      </c>
      <c r="S6757">
        <v>2.993973</v>
      </c>
      <c r="T6757">
        <v>-0.1876063</v>
      </c>
      <c r="U6757">
        <v>5.8288569999999998E-2</v>
      </c>
      <c r="V6757">
        <v>-3.0467540000000001E-2</v>
      </c>
      <c r="W6757">
        <v>-6.5528390000000006E-2</v>
      </c>
      <c r="X6757">
        <v>0.99738539999999998</v>
      </c>
      <c r="Y6757">
        <v>-2.728003E-2</v>
      </c>
      <c r="Z6757">
        <v>1.4241130000000001E-3</v>
      </c>
      <c r="AA6757">
        <v>0.99962680000000004</v>
      </c>
      <c r="AB6757">
        <v>23</v>
      </c>
      <c r="AC6757">
        <v>17.785599999999899</v>
      </c>
      <c r="AD6757">
        <v>-1.1208565394179999</v>
      </c>
      <c r="AE6757">
        <v>0.34913000000000199</v>
      </c>
      <c r="AF6757">
        <v>-0.48754064505693701</v>
      </c>
      <c r="AG6757">
        <v>-1.1208565394179999</v>
      </c>
      <c r="AH6757">
        <v>17.711973594200199</v>
      </c>
      <c r="AI6757">
        <v>93.619619724546098</v>
      </c>
      <c r="AJ6757">
        <v>91.576728268720501</v>
      </c>
      <c r="AK6757">
        <v>17.754098790537999</v>
      </c>
      <c r="AL6757">
        <v>93.757192573708295</v>
      </c>
      <c r="AM6757">
        <v>91.7496935220084</v>
      </c>
      <c r="AN6757">
        <v>0.99999993851139901</v>
      </c>
    </row>
    <row r="6758" spans="1:40" x14ac:dyDescent="0.25">
      <c r="A6758" t="str">
        <f>"20190303154653978"</f>
        <v>20190303154653978</v>
      </c>
      <c r="B6758" t="str">
        <f>"1551599213968103"</f>
        <v>1551599213968103</v>
      </c>
      <c r="C6758" t="s">
        <v>40</v>
      </c>
      <c r="D6758">
        <v>5.0156660000000004</v>
      </c>
      <c r="E6758">
        <v>0.50099970000000005</v>
      </c>
      <c r="F6758" t="s">
        <v>60</v>
      </c>
      <c r="G6758">
        <v>-200.6421</v>
      </c>
      <c r="H6758" s="1">
        <v>-5.4754269999999998E-6</v>
      </c>
      <c r="I6758">
        <v>-62.104860000000002</v>
      </c>
      <c r="J6758">
        <v>-218.17500000000001</v>
      </c>
      <c r="K6758">
        <v>1.1208530000000001</v>
      </c>
      <c r="L6758">
        <v>-62.453130000000002</v>
      </c>
      <c r="M6758">
        <v>0.99988010000000005</v>
      </c>
      <c r="N6758">
        <v>-1.323123E-2</v>
      </c>
      <c r="O6758">
        <v>-8.0485019999999904E-3</v>
      </c>
      <c r="P6758">
        <v>0.99663639999999998</v>
      </c>
      <c r="Q6758">
        <v>-7.8775090000000006E-2</v>
      </c>
      <c r="R6758">
        <v>2.259297E-2</v>
      </c>
      <c r="S6758">
        <v>2.9937740000000002</v>
      </c>
      <c r="T6758">
        <v>-0.19001290000000001</v>
      </c>
      <c r="U6758">
        <v>5.8837889999999997E-2</v>
      </c>
      <c r="V6758">
        <v>-3.0644850000000001E-2</v>
      </c>
      <c r="W6758">
        <v>-6.5569920000000004E-2</v>
      </c>
      <c r="X6758">
        <v>0.99737730000000002</v>
      </c>
      <c r="Y6758">
        <v>-2.7619319999999999E-2</v>
      </c>
      <c r="Z6758">
        <v>1.4623679999999999E-3</v>
      </c>
      <c r="AA6758">
        <v>0.99961750000000005</v>
      </c>
      <c r="AB6758">
        <v>23</v>
      </c>
      <c r="AC6758">
        <v>17.532900000000001</v>
      </c>
      <c r="AD6758">
        <v>-1.1208584754269999</v>
      </c>
      <c r="AE6758">
        <v>0.34827000000000602</v>
      </c>
      <c r="AF6758">
        <v>-0.48739350490477701</v>
      </c>
      <c r="AG6758">
        <v>-1.1208584754269999</v>
      </c>
      <c r="AH6758">
        <v>17.458206907376901</v>
      </c>
      <c r="AI6758">
        <v>93.672056975794007</v>
      </c>
      <c r="AJ6758">
        <v>91.599152723241204</v>
      </c>
      <c r="AK6758">
        <v>17.5009389625626</v>
      </c>
      <c r="AL6758">
        <v>93.759576964968204</v>
      </c>
      <c r="AM6758">
        <v>91.759884000540794</v>
      </c>
      <c r="AN6758">
        <v>0.99999999989780897</v>
      </c>
    </row>
    <row r="6759" spans="1:40" x14ac:dyDescent="0.25">
      <c r="A6759" t="str">
        <f>"20190303154653989"</f>
        <v>20190303154653989</v>
      </c>
      <c r="B6759" t="str">
        <f>"1551599213978838"</f>
        <v>1551599213978838</v>
      </c>
      <c r="C6759" t="s">
        <v>40</v>
      </c>
      <c r="D6759">
        <v>4.986739</v>
      </c>
      <c r="E6759">
        <v>0.50095999999999996</v>
      </c>
      <c r="F6759" t="s">
        <v>60</v>
      </c>
      <c r="G6759">
        <v>-200.5856</v>
      </c>
      <c r="H6759" s="1">
        <v>-5.5040419999999899E-6</v>
      </c>
      <c r="I6759">
        <v>-62.102040000000002</v>
      </c>
      <c r="J6759">
        <v>-218.0651</v>
      </c>
      <c r="K6759">
        <v>1.1208549999999999</v>
      </c>
      <c r="L6759">
        <v>-62.454160000000002</v>
      </c>
      <c r="M6759">
        <v>0.99987890000000001</v>
      </c>
      <c r="N6759">
        <v>-1.323036E-2</v>
      </c>
      <c r="O6759">
        <v>-8.1839029999999993E-3</v>
      </c>
      <c r="P6759">
        <v>0.99663729999999995</v>
      </c>
      <c r="Q6759">
        <v>-7.8813240000000007E-2</v>
      </c>
      <c r="R6759">
        <v>2.241396E-2</v>
      </c>
      <c r="S6759">
        <v>2.9936980000000002</v>
      </c>
      <c r="T6759">
        <v>-0.19076960000000001</v>
      </c>
      <c r="U6759">
        <v>5.9753420000000002E-2</v>
      </c>
      <c r="V6759">
        <v>-3.060102E-2</v>
      </c>
      <c r="W6759">
        <v>-6.5609020000000004E-2</v>
      </c>
      <c r="X6759">
        <v>0.99737609999999999</v>
      </c>
      <c r="Y6759">
        <v>-2.8058929999999999E-2</v>
      </c>
      <c r="Z6759">
        <v>1.4916370000000001E-3</v>
      </c>
      <c r="AA6759">
        <v>0.99960519999999997</v>
      </c>
      <c r="AB6759">
        <v>23</v>
      </c>
      <c r="AC6759">
        <v>17.479500000000002</v>
      </c>
      <c r="AD6759">
        <v>-1.1208605040420001</v>
      </c>
      <c r="AE6759">
        <v>0.35211999999999199</v>
      </c>
      <c r="AF6759">
        <v>-0.49314432229139799</v>
      </c>
      <c r="AG6759">
        <v>-1.1208605040420001</v>
      </c>
      <c r="AH6759">
        <v>17.404495623605399</v>
      </c>
      <c r="AI6759">
        <v>93.683321652484395</v>
      </c>
      <c r="AJ6759">
        <v>91.623001966689301</v>
      </c>
      <c r="AK6759">
        <v>17.4475209558329</v>
      </c>
      <c r="AL6759">
        <v>93.761821968299103</v>
      </c>
      <c r="AM6759">
        <v>91.757370607325797</v>
      </c>
      <c r="AN6759">
        <v>1.0000000253907999</v>
      </c>
    </row>
    <row r="6760" spans="1:40" x14ac:dyDescent="0.25">
      <c r="A6760" t="str">
        <f>"20190303154654000"</f>
        <v>20190303154654000</v>
      </c>
      <c r="B6760" t="str">
        <f>"1551599213988599"</f>
        <v>1551599213988599</v>
      </c>
      <c r="C6760" t="s">
        <v>40</v>
      </c>
      <c r="D6760">
        <v>4.9936939999999996</v>
      </c>
      <c r="E6760">
        <v>0.50087230000000005</v>
      </c>
      <c r="F6760" t="s">
        <v>60</v>
      </c>
      <c r="G6760">
        <v>-200.53720000000001</v>
      </c>
      <c r="H6760" s="1">
        <v>-5.5289090000000002E-6</v>
      </c>
      <c r="I6760">
        <v>-62.105369999999901</v>
      </c>
      <c r="J6760">
        <v>-217.95320000000001</v>
      </c>
      <c r="K6760">
        <v>1.1208579999999999</v>
      </c>
      <c r="L6760">
        <v>-62.45523</v>
      </c>
      <c r="M6760">
        <v>0.99987789999999999</v>
      </c>
      <c r="N6760">
        <v>-1.322945E-2</v>
      </c>
      <c r="O6760">
        <v>-8.3216869999999995E-3</v>
      </c>
      <c r="P6760">
        <v>0.99665669999999995</v>
      </c>
      <c r="Q6760">
        <v>-7.8640920000000003E-2</v>
      </c>
      <c r="R6760">
        <v>2.21668E-2</v>
      </c>
      <c r="S6760">
        <v>2.9936219999999998</v>
      </c>
      <c r="T6760">
        <v>-0.19143389999999999</v>
      </c>
      <c r="U6760">
        <v>5.9570310000000001E-2</v>
      </c>
      <c r="V6760">
        <v>-3.0491029999999999E-2</v>
      </c>
      <c r="W6760">
        <v>-6.5437490000000001E-2</v>
      </c>
      <c r="X6760">
        <v>0.99739069999999996</v>
      </c>
      <c r="Y6760">
        <v>-2.8135170000000001E-2</v>
      </c>
      <c r="Z6760">
        <v>1.5065040000000001E-3</v>
      </c>
      <c r="AA6760">
        <v>0.99960300000000002</v>
      </c>
      <c r="AB6760">
        <v>23</v>
      </c>
      <c r="AC6760">
        <v>17.415999999999901</v>
      </c>
      <c r="AD6760">
        <v>-1.1208635289090001</v>
      </c>
      <c r="AE6760">
        <v>0.34986000000001299</v>
      </c>
      <c r="AF6760">
        <v>-0.49275091862186299</v>
      </c>
      <c r="AG6760">
        <v>-1.1208635289090001</v>
      </c>
      <c r="AH6760">
        <v>17.340689248673101</v>
      </c>
      <c r="AI6760">
        <v>93.696838620250404</v>
      </c>
      <c r="AJ6760">
        <v>91.627671908434905</v>
      </c>
      <c r="AK6760">
        <v>17.383861542743801</v>
      </c>
      <c r="AL6760">
        <v>93.751972997795093</v>
      </c>
      <c r="AM6760">
        <v>91.751032370033201</v>
      </c>
      <c r="AN6760">
        <v>0.99999998822722502</v>
      </c>
    </row>
    <row r="6761" spans="1:40" x14ac:dyDescent="0.25">
      <c r="A6761" t="str">
        <f>"20190303154654010"</f>
        <v>20190303154654010</v>
      </c>
      <c r="B6761" t="str">
        <f>"1551599213998358"</f>
        <v>1551599213998358</v>
      </c>
      <c r="C6761" t="s">
        <v>40</v>
      </c>
      <c r="D6761">
        <v>5.0409379999999997</v>
      </c>
      <c r="E6761">
        <v>0.50074149999999995</v>
      </c>
      <c r="F6761" t="s">
        <v>60</v>
      </c>
      <c r="G6761">
        <v>-200.47489999999999</v>
      </c>
      <c r="H6761" s="1">
        <v>-5.5608049999999997E-6</v>
      </c>
      <c r="I6761">
        <v>-62.107959999999999</v>
      </c>
      <c r="J6761">
        <v>-217.85499999999999</v>
      </c>
      <c r="K6761">
        <v>1.1208610000000001</v>
      </c>
      <c r="L6761">
        <v>-62.456209999999999</v>
      </c>
      <c r="M6761">
        <v>0.99987689999999996</v>
      </c>
      <c r="N6761">
        <v>-1.32286E-2</v>
      </c>
      <c r="O6761">
        <v>-8.4389449999999998E-3</v>
      </c>
      <c r="P6761">
        <v>0.996672</v>
      </c>
      <c r="Q6761">
        <v>-7.8353080000000006E-2</v>
      </c>
      <c r="R6761">
        <v>2.2489760000000001E-2</v>
      </c>
      <c r="S6761">
        <v>2.9935909999999999</v>
      </c>
      <c r="T6761">
        <v>-0.1919756</v>
      </c>
      <c r="U6761">
        <v>5.9478759999999999E-2</v>
      </c>
      <c r="V6761">
        <v>-3.0930579999999999E-2</v>
      </c>
      <c r="W6761">
        <v>-6.5150340000000001E-2</v>
      </c>
      <c r="X6761">
        <v>0.99739599999999995</v>
      </c>
      <c r="Y6761">
        <v>-2.822123E-2</v>
      </c>
      <c r="Z6761">
        <v>1.519842E-3</v>
      </c>
      <c r="AA6761">
        <v>0.9996005</v>
      </c>
      <c r="AB6761">
        <v>23</v>
      </c>
      <c r="AC6761">
        <v>17.380099999999999</v>
      </c>
      <c r="AD6761">
        <v>-1.1208665608049999</v>
      </c>
      <c r="AE6761">
        <v>0.34825</v>
      </c>
      <c r="AF6761">
        <v>-0.49287104240281898</v>
      </c>
      <c r="AG6761">
        <v>-1.1208665608049999</v>
      </c>
      <c r="AH6761">
        <v>17.3045985710799</v>
      </c>
      <c r="AI6761">
        <v>93.7045303836843</v>
      </c>
      <c r="AJ6761">
        <v>91.631462177882696</v>
      </c>
      <c r="AK6761">
        <v>17.3478642898136</v>
      </c>
      <c r="AL6761">
        <v>93.735485196458697</v>
      </c>
      <c r="AM6761">
        <v>91.776249265322704</v>
      </c>
      <c r="AN6761">
        <v>1.00000002419862</v>
      </c>
    </row>
    <row r="6762" spans="1:40" x14ac:dyDescent="0.25">
      <c r="A6762" t="str">
        <f>"20190303154654021"</f>
        <v>20190303154654021</v>
      </c>
      <c r="B6762" t="str">
        <f>"1551599214018854"</f>
        <v>1551599214018854</v>
      </c>
      <c r="C6762" t="s">
        <v>40</v>
      </c>
      <c r="D6762">
        <v>5.0816819999999998</v>
      </c>
      <c r="E6762">
        <v>0.50059010000000004</v>
      </c>
      <c r="F6762" t="s">
        <v>60</v>
      </c>
      <c r="G6762">
        <v>-200.40520000000001</v>
      </c>
      <c r="H6762" s="1">
        <v>-5.5957389999999997E-6</v>
      </c>
      <c r="I6762">
        <v>-62.097760000000001</v>
      </c>
      <c r="J6762">
        <v>-217.73830000000001</v>
      </c>
      <c r="K6762">
        <v>1.1208659999999999</v>
      </c>
      <c r="L6762">
        <v>-62.457340000000002</v>
      </c>
      <c r="M6762">
        <v>0.99987579999999998</v>
      </c>
      <c r="N6762">
        <v>-1.3227579999999999E-2</v>
      </c>
      <c r="O6762">
        <v>-8.5776480000000002E-3</v>
      </c>
      <c r="P6762">
        <v>0.99667910000000004</v>
      </c>
      <c r="Q6762">
        <v>-7.8303199999999906E-2</v>
      </c>
      <c r="R6762">
        <v>2.2341489999999999E-2</v>
      </c>
      <c r="S6762">
        <v>2.9935459999999998</v>
      </c>
      <c r="T6762">
        <v>-0.19228709999999999</v>
      </c>
      <c r="U6762">
        <v>6.149292E-2</v>
      </c>
      <c r="V6762">
        <v>-3.092021E-2</v>
      </c>
      <c r="W6762">
        <v>-6.5101629999999994E-2</v>
      </c>
      <c r="X6762">
        <v>0.99739940000000005</v>
      </c>
      <c r="Y6762">
        <v>-2.9030050000000002E-2</v>
      </c>
      <c r="Z6762">
        <v>1.5605619999999999E-3</v>
      </c>
      <c r="AA6762">
        <v>0.9995773</v>
      </c>
      <c r="AB6762">
        <v>23</v>
      </c>
      <c r="AC6762">
        <v>17.333100000000002</v>
      </c>
      <c r="AD6762">
        <v>-1.1208715957390001</v>
      </c>
      <c r="AE6762">
        <v>0.35958000000000101</v>
      </c>
      <c r="AF6762">
        <v>-0.50614134468635097</v>
      </c>
      <c r="AG6762">
        <v>-1.1208715957390001</v>
      </c>
      <c r="AH6762">
        <v>17.2572429789933</v>
      </c>
      <c r="AI6762">
        <v>93.714593570554499</v>
      </c>
      <c r="AJ6762">
        <v>91.679958495522698</v>
      </c>
      <c r="AK6762">
        <v>17.301010589874402</v>
      </c>
      <c r="AL6762">
        <v>93.7326887622486</v>
      </c>
      <c r="AM6762">
        <v>91.775648079926299</v>
      </c>
      <c r="AN6762">
        <v>0.99999992236772695</v>
      </c>
    </row>
    <row r="6763" spans="1:40" x14ac:dyDescent="0.25">
      <c r="A6763" t="str">
        <f>"20190303154654032"</f>
        <v>20190303154654032</v>
      </c>
      <c r="B6763" t="str">
        <f>"1551599214028614"</f>
        <v>1551599214028614</v>
      </c>
      <c r="C6763" t="s">
        <v>40</v>
      </c>
      <c r="D6763">
        <v>5.0151899999999996</v>
      </c>
      <c r="E6763">
        <v>0.50053459999999905</v>
      </c>
      <c r="F6763" t="s">
        <v>60</v>
      </c>
      <c r="G6763">
        <v>-200.5386</v>
      </c>
      <c r="H6763" s="1">
        <v>-5.5278480000000003E-6</v>
      </c>
      <c r="I6763">
        <v>-62.099429999999998</v>
      </c>
      <c r="J6763">
        <v>-217.6266</v>
      </c>
      <c r="K6763">
        <v>1.120871</v>
      </c>
      <c r="L6763">
        <v>-62.458469999999998</v>
      </c>
      <c r="M6763">
        <v>0.99987470000000001</v>
      </c>
      <c r="N6763">
        <v>-1.322652E-2</v>
      </c>
      <c r="O6763">
        <v>-8.7023559999999996E-3</v>
      </c>
      <c r="P6763">
        <v>0.99673400000000001</v>
      </c>
      <c r="Q6763">
        <v>-7.7571349999999997E-2</v>
      </c>
      <c r="R6763">
        <v>2.2461120000000001E-2</v>
      </c>
      <c r="S6763">
        <v>2.9932859999999999</v>
      </c>
      <c r="T6763">
        <v>-0.19506670000000001</v>
      </c>
      <c r="U6763">
        <v>6.2286380000000002E-2</v>
      </c>
      <c r="V6763">
        <v>-3.116377E-2</v>
      </c>
      <c r="W6763">
        <v>-6.4370549999999999E-2</v>
      </c>
      <c r="X6763">
        <v>0.99743930000000003</v>
      </c>
      <c r="Y6763">
        <v>-2.9417849999999999E-2</v>
      </c>
      <c r="Z6763">
        <v>1.6037239999999999E-3</v>
      </c>
      <c r="AA6763">
        <v>0.99956590000000001</v>
      </c>
      <c r="AB6763">
        <v>23</v>
      </c>
      <c r="AC6763">
        <v>17.087999999999901</v>
      </c>
      <c r="AD6763">
        <v>-1.120876527848</v>
      </c>
      <c r="AE6763">
        <v>0.35903999999999298</v>
      </c>
      <c r="AF6763">
        <v>-0.50557094383471601</v>
      </c>
      <c r="AG6763">
        <v>-1.120876527848</v>
      </c>
      <c r="AH6763">
        <v>17.011068182990901</v>
      </c>
      <c r="AI6763">
        <v>93.768168552016803</v>
      </c>
      <c r="AJ6763">
        <v>91.702336196566606</v>
      </c>
      <c r="AK6763">
        <v>17.055450943797901</v>
      </c>
      <c r="AL6763">
        <v>93.690712799619007</v>
      </c>
      <c r="AM6763">
        <v>91.789554343552595</v>
      </c>
      <c r="AN6763">
        <v>0.99999995272620101</v>
      </c>
    </row>
    <row r="6764" spans="1:40" x14ac:dyDescent="0.25">
      <c r="A6764" t="str">
        <f>"20190303154654047"</f>
        <v>20190303154654047</v>
      </c>
      <c r="B6764" t="str">
        <f>"1551599214038374"</f>
        <v>1551599214038374</v>
      </c>
      <c r="C6764" t="s">
        <v>40</v>
      </c>
      <c r="D6764">
        <v>5.0125209999999996</v>
      </c>
      <c r="E6764">
        <v>0.50047549999999996</v>
      </c>
      <c r="F6764" t="s">
        <v>60</v>
      </c>
      <c r="G6764">
        <v>-200.34059999999999</v>
      </c>
      <c r="H6764" s="1">
        <v>-5.6284360000000003E-6</v>
      </c>
      <c r="I6764">
        <v>-62.094009999999997</v>
      </c>
      <c r="J6764">
        <v>-217.48670000000001</v>
      </c>
      <c r="K6764">
        <v>1.120879</v>
      </c>
      <c r="L6764">
        <v>-62.45984</v>
      </c>
      <c r="M6764">
        <v>0.99987349999999997</v>
      </c>
      <c r="N6764">
        <v>-1.322515E-2</v>
      </c>
      <c r="O6764">
        <v>-8.8539580000000003E-3</v>
      </c>
      <c r="P6764">
        <v>0.99678750000000005</v>
      </c>
      <c r="Q6764">
        <v>-7.6936240000000003E-2</v>
      </c>
      <c r="R6764">
        <v>2.2261940000000001E-2</v>
      </c>
      <c r="S6764">
        <v>2.9933010000000002</v>
      </c>
      <c r="T6764">
        <v>-0.19409489999999999</v>
      </c>
      <c r="U6764">
        <v>6.3110349999999996E-2</v>
      </c>
      <c r="V6764">
        <v>-3.111415E-2</v>
      </c>
      <c r="W6764">
        <v>-6.3736829999999994E-2</v>
      </c>
      <c r="X6764">
        <v>0.99748159999999997</v>
      </c>
      <c r="Y6764">
        <v>-2.984388E-2</v>
      </c>
      <c r="Z6764">
        <v>1.6205589999999999E-3</v>
      </c>
      <c r="AA6764">
        <v>0.99955329999999998</v>
      </c>
      <c r="AB6764">
        <v>23</v>
      </c>
      <c r="AC6764">
        <v>17.146100000000001</v>
      </c>
      <c r="AD6764">
        <v>-1.1208846284359999</v>
      </c>
      <c r="AE6764">
        <v>0.36583000000000199</v>
      </c>
      <c r="AF6764">
        <v>-0.515438001869299</v>
      </c>
      <c r="AG6764">
        <v>-1.1208846284359999</v>
      </c>
      <c r="AH6764">
        <v>17.069274880539702</v>
      </c>
      <c r="AI6764">
        <v>93.755329456252397</v>
      </c>
      <c r="AJ6764">
        <v>91.729625356469199</v>
      </c>
      <c r="AK6764">
        <v>17.113801554051602</v>
      </c>
      <c r="AL6764">
        <v>93.654328396682104</v>
      </c>
      <c r="AM6764">
        <v>91.786631084034397</v>
      </c>
      <c r="AN6764">
        <v>1.00000000808361</v>
      </c>
    </row>
    <row r="6765" spans="1:40" x14ac:dyDescent="0.25">
      <c r="A6765" t="str">
        <f>"20190303154654059"</f>
        <v>20190303154654059</v>
      </c>
      <c r="B6765" t="str">
        <f>"1551599214049111"</f>
        <v>1551599214049111</v>
      </c>
      <c r="C6765" t="s">
        <v>40</v>
      </c>
      <c r="D6765">
        <v>5.0196839999999998</v>
      </c>
      <c r="E6765">
        <v>0.50036639999999999</v>
      </c>
      <c r="F6765" t="s">
        <v>60</v>
      </c>
      <c r="G6765">
        <v>-200.0943</v>
      </c>
      <c r="H6765" s="1">
        <v>-5.7539089999999997E-6</v>
      </c>
      <c r="I6765">
        <v>-62.093499999999999</v>
      </c>
      <c r="J6765">
        <v>-217.35149999999999</v>
      </c>
      <c r="K6765">
        <v>1.1208899999999999</v>
      </c>
      <c r="L6765">
        <v>-62.461179999999999</v>
      </c>
      <c r="M6765">
        <v>0.99987210000000004</v>
      </c>
      <c r="N6765">
        <v>-1.3223749999999999E-2</v>
      </c>
      <c r="O6765">
        <v>-8.9922960000000003E-3</v>
      </c>
      <c r="P6765">
        <v>0.99681629999999999</v>
      </c>
      <c r="Q6765">
        <v>-7.6585429999999996E-2</v>
      </c>
      <c r="R6765">
        <v>2.2181180000000002E-2</v>
      </c>
      <c r="S6765">
        <v>2.9933930000000002</v>
      </c>
      <c r="T6765">
        <v>-0.19291420000000001</v>
      </c>
      <c r="U6765">
        <v>6.3049320000000006E-2</v>
      </c>
      <c r="V6765">
        <v>-3.117002E-2</v>
      </c>
      <c r="W6765">
        <v>-6.3387869999999999E-2</v>
      </c>
      <c r="X6765">
        <v>0.99750209999999995</v>
      </c>
      <c r="Y6765">
        <v>-2.9961700000000001E-2</v>
      </c>
      <c r="Z6765">
        <v>1.6228029999999999E-3</v>
      </c>
      <c r="AA6765">
        <v>0.99954969999999999</v>
      </c>
      <c r="AB6765">
        <v>23</v>
      </c>
      <c r="AC6765">
        <v>17.257199999999902</v>
      </c>
      <c r="AD6765">
        <v>-1.1208957539090001</v>
      </c>
      <c r="AE6765">
        <v>0.367680000000007</v>
      </c>
      <c r="AF6765">
        <v>-0.52066496725760603</v>
      </c>
      <c r="AG6765">
        <v>-1.1208957539090001</v>
      </c>
      <c r="AH6765">
        <v>17.1807461812074</v>
      </c>
      <c r="AI6765">
        <v>93.731058099984693</v>
      </c>
      <c r="AJ6765">
        <v>91.735825517788598</v>
      </c>
      <c r="AK6765">
        <v>17.225142630536698</v>
      </c>
      <c r="AL6765">
        <v>93.634293920962307</v>
      </c>
      <c r="AM6765">
        <v>91.789800396594899</v>
      </c>
      <c r="AN6765">
        <v>1.00000001585717</v>
      </c>
    </row>
    <row r="6766" spans="1:40" x14ac:dyDescent="0.25">
      <c r="A6766" t="str">
        <f>"20190303154654072"</f>
        <v>20190303154654072</v>
      </c>
      <c r="B6766" t="str">
        <f>"1551599214068630"</f>
        <v>1551599214068630</v>
      </c>
      <c r="C6766" t="s">
        <v>40</v>
      </c>
      <c r="D6766">
        <v>5.057741</v>
      </c>
      <c r="E6766">
        <v>0.50017479999999903</v>
      </c>
      <c r="F6766" t="s">
        <v>60</v>
      </c>
      <c r="G6766">
        <v>-199.9528</v>
      </c>
      <c r="H6766" s="1">
        <v>-5.8253720000000002E-6</v>
      </c>
      <c r="I6766">
        <v>-62.091160000000002</v>
      </c>
      <c r="J6766">
        <v>-217.2174</v>
      </c>
      <c r="K6766">
        <v>1.1209009999999999</v>
      </c>
      <c r="L6766">
        <v>-62.46255</v>
      </c>
      <c r="M6766">
        <v>0.99987099999999995</v>
      </c>
      <c r="N6766">
        <v>-1.3222329999999999E-2</v>
      </c>
      <c r="O6766">
        <v>-9.1173650000000005E-3</v>
      </c>
      <c r="P6766">
        <v>0.9968108</v>
      </c>
      <c r="Q6766">
        <v>-7.669107E-2</v>
      </c>
      <c r="R6766">
        <v>2.2061310000000001E-2</v>
      </c>
      <c r="S6766">
        <v>2.9933619999999999</v>
      </c>
      <c r="T6766">
        <v>-0.19284399999999999</v>
      </c>
      <c r="U6766">
        <v>6.3659670000000002E-2</v>
      </c>
      <c r="V6766">
        <v>-3.117313E-2</v>
      </c>
      <c r="W6766">
        <v>-6.3495969999999999E-2</v>
      </c>
      <c r="X6766">
        <v>0.99749509999999997</v>
      </c>
      <c r="Y6766">
        <v>-3.0289739999999999E-2</v>
      </c>
      <c r="Z6766">
        <v>1.6413689999999999E-3</v>
      </c>
      <c r="AA6766">
        <v>0.99953979999999998</v>
      </c>
      <c r="AB6766">
        <v>23</v>
      </c>
      <c r="AC6766">
        <v>17.264600000000002</v>
      </c>
      <c r="AD6766">
        <v>-1.12090682537199</v>
      </c>
      <c r="AE6766">
        <v>0.37139000000000499</v>
      </c>
      <c r="AF6766">
        <v>-0.52657734233230002</v>
      </c>
      <c r="AG6766">
        <v>-1.12090682537199</v>
      </c>
      <c r="AH6766">
        <v>17.188076922585299</v>
      </c>
      <c r="AI6766">
        <v>93.729470542919699</v>
      </c>
      <c r="AJ6766">
        <v>91.754776034089701</v>
      </c>
      <c r="AK6766">
        <v>17.232634856728499</v>
      </c>
      <c r="AL6766">
        <v>93.640500196930304</v>
      </c>
      <c r="AM6766">
        <v>91.789991411554396</v>
      </c>
      <c r="AN6766">
        <v>0.99999998838212301</v>
      </c>
    </row>
    <row r="6767" spans="1:40" x14ac:dyDescent="0.25">
      <c r="A6767" t="str">
        <f>"20190303154654086"</f>
        <v>20190303154654086</v>
      </c>
      <c r="B6767" t="str">
        <f>"1551599214078391"</f>
        <v>1551599214078391</v>
      </c>
      <c r="C6767" t="s">
        <v>40</v>
      </c>
      <c r="D6767">
        <v>5.0575859999999997</v>
      </c>
      <c r="E6767">
        <v>0.50009619999999999</v>
      </c>
      <c r="F6767" t="s">
        <v>60</v>
      </c>
      <c r="G6767">
        <v>-200.02510000000001</v>
      </c>
      <c r="H6767" s="1">
        <v>-5.788986E-6</v>
      </c>
      <c r="I6767">
        <v>-62.090229999999998</v>
      </c>
      <c r="J6767">
        <v>-217.07589999999999</v>
      </c>
      <c r="K6767">
        <v>1.1209089999999999</v>
      </c>
      <c r="L6767">
        <v>-62.464019999999998</v>
      </c>
      <c r="M6767">
        <v>0.99986989999999998</v>
      </c>
      <c r="N6767">
        <v>-1.322079E-2</v>
      </c>
      <c r="O6767">
        <v>-9.2412190000000002E-3</v>
      </c>
      <c r="P6767">
        <v>0.99671980000000004</v>
      </c>
      <c r="Q6767">
        <v>-7.8023250000000002E-2</v>
      </c>
      <c r="R6767">
        <v>2.1493749999999999E-2</v>
      </c>
      <c r="S6767">
        <v>2.993134</v>
      </c>
      <c r="T6767">
        <v>-0.19514619999999999</v>
      </c>
      <c r="U6767">
        <v>6.4819340000000003E-2</v>
      </c>
      <c r="V6767">
        <v>-3.072623E-2</v>
      </c>
      <c r="W6767">
        <v>-6.4831929999999996E-2</v>
      </c>
      <c r="X6767">
        <v>0.99742310000000001</v>
      </c>
      <c r="Y6767">
        <v>-3.0798760000000001E-2</v>
      </c>
      <c r="Z6767">
        <v>1.6864569999999999E-3</v>
      </c>
      <c r="AA6767">
        <v>0.99952419999999997</v>
      </c>
      <c r="AB6767">
        <v>23</v>
      </c>
      <c r="AC6767">
        <v>17.050799999999899</v>
      </c>
      <c r="AD6767">
        <v>-1.1209147889859901</v>
      </c>
      <c r="AE6767">
        <v>0.37378999999999202</v>
      </c>
      <c r="AF6767">
        <v>-0.52907258477172903</v>
      </c>
      <c r="AG6767">
        <v>-1.1209147889859901</v>
      </c>
      <c r="AH6767">
        <v>16.973298760590598</v>
      </c>
      <c r="AI6767">
        <v>93.776491707880496</v>
      </c>
      <c r="AJ6767">
        <v>91.7853815277808</v>
      </c>
      <c r="AK6767">
        <v>17.0184969542081</v>
      </c>
      <c r="AL6767">
        <v>93.717202861493803</v>
      </c>
      <c r="AM6767">
        <v>91.764473597022402</v>
      </c>
      <c r="AN6767">
        <v>1.0000000603855701</v>
      </c>
    </row>
    <row r="6768" spans="1:40" x14ac:dyDescent="0.25">
      <c r="A6768" t="str">
        <f>"20190303154654096"</f>
        <v>20190303154654096</v>
      </c>
      <c r="B6768" t="str">
        <f>"1551599214088152"</f>
        <v>1551599214088152</v>
      </c>
      <c r="C6768" t="s">
        <v>40</v>
      </c>
      <c r="D6768">
        <v>5.0873269999999904</v>
      </c>
      <c r="E6768">
        <v>0.50003529999999996</v>
      </c>
      <c r="F6768" t="s">
        <v>60</v>
      </c>
      <c r="G6768">
        <v>-200.29640000000001</v>
      </c>
      <c r="H6768" s="1">
        <v>-5.6516640000000003E-6</v>
      </c>
      <c r="I6768">
        <v>-62.106589999999997</v>
      </c>
      <c r="J6768">
        <v>-216.96190000000001</v>
      </c>
      <c r="K6768">
        <v>1.1209150000000001</v>
      </c>
      <c r="L6768">
        <v>-62.465150000000001</v>
      </c>
      <c r="M6768">
        <v>0.99986909999999896</v>
      </c>
      <c r="N6768">
        <v>-1.321951E-2</v>
      </c>
      <c r="O6768">
        <v>-9.3330459999999994E-3</v>
      </c>
      <c r="P6768">
        <v>0.99664649999999999</v>
      </c>
      <c r="Q6768">
        <v>-7.9060179999999994E-2</v>
      </c>
      <c r="R6768">
        <v>2.110544E-2</v>
      </c>
      <c r="S6768">
        <v>2.9928590000000002</v>
      </c>
      <c r="T6768">
        <v>-0.19993140000000001</v>
      </c>
      <c r="U6768">
        <v>6.3751219999999997E-2</v>
      </c>
      <c r="V6768">
        <v>-3.04269E-2</v>
      </c>
      <c r="W6768">
        <v>-6.5871970000000002E-2</v>
      </c>
      <c r="X6768">
        <v>0.99736400000000003</v>
      </c>
      <c r="Y6768">
        <v>-3.0532199999999999E-2</v>
      </c>
      <c r="Z6768">
        <v>1.7201390000000001E-3</v>
      </c>
      <c r="AA6768">
        <v>0.99953230000000004</v>
      </c>
      <c r="AB6768">
        <v>23</v>
      </c>
      <c r="AC6768">
        <v>16.665500000000002</v>
      </c>
      <c r="AD6768">
        <v>-1.12092065166399</v>
      </c>
      <c r="AE6768">
        <v>0.35855999999999699</v>
      </c>
      <c r="AF6768">
        <v>-0.51178365801986403</v>
      </c>
      <c r="AG6768">
        <v>-1.12092065166399</v>
      </c>
      <c r="AH6768">
        <v>16.586426651456001</v>
      </c>
      <c r="AI6768">
        <v>93.864370878800003</v>
      </c>
      <c r="AJ6768">
        <v>91.767333237589995</v>
      </c>
      <c r="AK6768">
        <v>16.6321356020227</v>
      </c>
      <c r="AL6768">
        <v>93.776920913733093</v>
      </c>
      <c r="AM6768">
        <v>91.747398560178098</v>
      </c>
      <c r="AN6768">
        <v>0.99999993058564296</v>
      </c>
    </row>
    <row r="6769" spans="1:40" x14ac:dyDescent="0.25">
      <c r="A6769" t="str">
        <f>"20190303154654109"</f>
        <v>20190303154654109</v>
      </c>
      <c r="B6769" t="str">
        <f>"1551599214098887"</f>
        <v>1551599214098887</v>
      </c>
      <c r="C6769" t="s">
        <v>40</v>
      </c>
      <c r="D6769">
        <v>5.0749029999999999</v>
      </c>
      <c r="E6769">
        <v>0.49997340000000001</v>
      </c>
      <c r="F6769" t="s">
        <v>60</v>
      </c>
      <c r="G6769">
        <v>-200.5317</v>
      </c>
      <c r="H6769" s="1">
        <v>-5.5325080000000002E-6</v>
      </c>
      <c r="I6769">
        <v>-62.118989999999997</v>
      </c>
      <c r="J6769">
        <v>-216.846</v>
      </c>
      <c r="K6769">
        <v>1.1209180000000001</v>
      </c>
      <c r="L6769">
        <v>-62.466340000000002</v>
      </c>
      <c r="M6769">
        <v>0.99986830000000004</v>
      </c>
      <c r="N6769">
        <v>-1.3218189999999999E-2</v>
      </c>
      <c r="O6769">
        <v>-9.4186900000000004E-3</v>
      </c>
      <c r="P6769">
        <v>0.9965503</v>
      </c>
      <c r="Q6769">
        <v>-8.0317349999999996E-2</v>
      </c>
      <c r="R6769">
        <v>2.0908469999999998E-2</v>
      </c>
      <c r="S6769">
        <v>2.992569</v>
      </c>
      <c r="T6769">
        <v>-0.20416280000000001</v>
      </c>
      <c r="U6769">
        <v>6.3049320000000006E-2</v>
      </c>
      <c r="V6769">
        <v>-3.031354E-2</v>
      </c>
      <c r="W6769">
        <v>-6.7132440000000002E-2</v>
      </c>
      <c r="X6769">
        <v>0.99728349999999999</v>
      </c>
      <c r="Y6769">
        <v>-3.03819E-2</v>
      </c>
      <c r="Z6769">
        <v>1.753559E-3</v>
      </c>
      <c r="AA6769">
        <v>0.9995368</v>
      </c>
      <c r="AB6769">
        <v>23</v>
      </c>
      <c r="AC6769">
        <v>16.3142999999999</v>
      </c>
      <c r="AD6769">
        <v>-1.120923532508</v>
      </c>
      <c r="AE6769">
        <v>0.34734999999999799</v>
      </c>
      <c r="AF6769">
        <v>-0.49865436778772898</v>
      </c>
      <c r="AG6769">
        <v>-1.120923532508</v>
      </c>
      <c r="AH6769">
        <v>16.233703104796302</v>
      </c>
      <c r="AI6769">
        <v>93.948099506951493</v>
      </c>
      <c r="AJ6769">
        <v>91.759414326933907</v>
      </c>
      <c r="AK6769">
        <v>16.279995154757099</v>
      </c>
      <c r="AL6769">
        <v>93.849300390892594</v>
      </c>
      <c r="AM6769">
        <v>91.741032814247006</v>
      </c>
      <c r="AN6769">
        <v>1.0000000272899601</v>
      </c>
    </row>
    <row r="6770" spans="1:40" x14ac:dyDescent="0.25">
      <c r="A6770" t="str">
        <f>"20190303154654121"</f>
        <v>20190303154654121</v>
      </c>
      <c r="B6770" t="str">
        <f>"1551599214118407"</f>
        <v>1551599214118407</v>
      </c>
      <c r="C6770" t="s">
        <v>40</v>
      </c>
      <c r="D6770">
        <v>5.0725319999999998</v>
      </c>
      <c r="E6770">
        <v>0.49982260000000001</v>
      </c>
      <c r="F6770" t="s">
        <v>60</v>
      </c>
      <c r="G6770">
        <v>-200.78819999999999</v>
      </c>
      <c r="H6770" s="1">
        <v>-5.402371E-6</v>
      </c>
      <c r="I6770">
        <v>-62.128309999999999</v>
      </c>
      <c r="J6770">
        <v>-216.7236</v>
      </c>
      <c r="K6770">
        <v>1.1209260000000001</v>
      </c>
      <c r="L6770">
        <v>-62.467619999999997</v>
      </c>
      <c r="M6770">
        <v>0.99986759999999997</v>
      </c>
      <c r="N6770">
        <v>-1.3216790000000001E-2</v>
      </c>
      <c r="O6770">
        <v>-9.5050470000000008E-3</v>
      </c>
      <c r="P6770">
        <v>0.99641970000000002</v>
      </c>
      <c r="Q6770">
        <v>-8.2024260000000002E-2</v>
      </c>
      <c r="R6770">
        <v>2.0501430000000001E-2</v>
      </c>
      <c r="S6770">
        <v>2.9922179999999998</v>
      </c>
      <c r="T6770">
        <v>-0.2088728</v>
      </c>
      <c r="U6770">
        <v>6.2988279999999994E-2</v>
      </c>
      <c r="V6770">
        <v>-2.9989519999999999E-2</v>
      </c>
      <c r="W6770">
        <v>-6.884316E-2</v>
      </c>
      <c r="X6770">
        <v>0.99717659999999997</v>
      </c>
      <c r="Y6770">
        <v>-3.044554E-2</v>
      </c>
      <c r="Z6770">
        <v>1.7998809999999999E-3</v>
      </c>
      <c r="AA6770">
        <v>0.99953479999999995</v>
      </c>
      <c r="AB6770">
        <v>23</v>
      </c>
      <c r="AC6770">
        <v>15.9354</v>
      </c>
      <c r="AD6770">
        <v>-1.120931402371</v>
      </c>
      <c r="AE6770">
        <v>0.339309999999997</v>
      </c>
      <c r="AF6770">
        <v>-0.48835928742985402</v>
      </c>
      <c r="AG6770">
        <v>-1.120931402371</v>
      </c>
      <c r="AH6770">
        <v>15.8530487916445</v>
      </c>
      <c r="AI6770">
        <v>94.0426057369815</v>
      </c>
      <c r="AJ6770">
        <v>91.764460604578005</v>
      </c>
      <c r="AK6770">
        <v>15.9001301250242</v>
      </c>
      <c r="AL6770">
        <v>93.947545017767595</v>
      </c>
      <c r="AM6770">
        <v>91.722618805564395</v>
      </c>
      <c r="AN6770">
        <v>0.99999996178808703</v>
      </c>
    </row>
    <row r="6771" spans="1:40" x14ac:dyDescent="0.25">
      <c r="A6771" t="str">
        <f>"20190303154654132"</f>
        <v>20190303154654132</v>
      </c>
      <c r="B6771" t="str">
        <f>"1551599214128167"</f>
        <v>1551599214128167</v>
      </c>
      <c r="C6771" t="s">
        <v>40</v>
      </c>
      <c r="D6771">
        <v>5.0745870000000002</v>
      </c>
      <c r="E6771">
        <v>0.4997299</v>
      </c>
      <c r="F6771" t="s">
        <v>60</v>
      </c>
      <c r="G6771">
        <v>-201.12899999999999</v>
      </c>
      <c r="H6771" s="1">
        <v>-5.2293479999999997E-6</v>
      </c>
      <c r="I6771">
        <v>-62.139290000000003</v>
      </c>
      <c r="J6771">
        <v>-216.6131</v>
      </c>
      <c r="K6771">
        <v>1.1209290000000001</v>
      </c>
      <c r="L6771">
        <v>-62.468719999999998</v>
      </c>
      <c r="M6771">
        <v>0.99986679999999994</v>
      </c>
      <c r="N6771">
        <v>-1.321548E-2</v>
      </c>
      <c r="O6771">
        <v>-9.5744209999999996E-3</v>
      </c>
      <c r="P6771">
        <v>0.99632129999999997</v>
      </c>
      <c r="Q6771">
        <v>-8.3195870000000005E-2</v>
      </c>
      <c r="R6771">
        <v>2.0546769999999999E-2</v>
      </c>
      <c r="S6771">
        <v>2.9917760000000002</v>
      </c>
      <c r="T6771">
        <v>-0.2150465</v>
      </c>
      <c r="U6771">
        <v>6.2988279999999994E-2</v>
      </c>
      <c r="V6771">
        <v>-3.0102589999999999E-2</v>
      </c>
      <c r="W6771">
        <v>-7.0017789999999996E-2</v>
      </c>
      <c r="X6771">
        <v>0.99709139999999996</v>
      </c>
      <c r="Y6771">
        <v>-3.0511670000000001E-2</v>
      </c>
      <c r="Z6771">
        <v>1.857858E-3</v>
      </c>
      <c r="AA6771">
        <v>0.99953270000000005</v>
      </c>
      <c r="AB6771">
        <v>23</v>
      </c>
      <c r="AC6771">
        <v>15.4840999999999</v>
      </c>
      <c r="AD6771">
        <v>-1.120934229348</v>
      </c>
      <c r="AE6771">
        <v>0.329429999999995</v>
      </c>
      <c r="AF6771">
        <v>-0.47518994659811098</v>
      </c>
      <c r="AG6771">
        <v>-1.120934229348</v>
      </c>
      <c r="AH6771">
        <v>15.399567950970701</v>
      </c>
      <c r="AI6771">
        <v>94.161242500308305</v>
      </c>
      <c r="AJ6771">
        <v>91.767435423446003</v>
      </c>
      <c r="AK6771">
        <v>15.4476209206608</v>
      </c>
      <c r="AL6771">
        <v>94.015009184401606</v>
      </c>
      <c r="AM6771">
        <v>91.729257349558495</v>
      </c>
      <c r="AN6771">
        <v>0.99999995839757505</v>
      </c>
    </row>
    <row r="6772" spans="1:40" x14ac:dyDescent="0.25">
      <c r="A6772" t="str">
        <f>"20190303154654143"</f>
        <v>20190303154654143</v>
      </c>
      <c r="B6772" t="str">
        <f>"1551599214138903"</f>
        <v>1551599214138903</v>
      </c>
      <c r="C6772" t="s">
        <v>40</v>
      </c>
      <c r="D6772">
        <v>5.0586379999999904</v>
      </c>
      <c r="E6772">
        <v>0.49962620000000002</v>
      </c>
      <c r="F6772" t="s">
        <v>60</v>
      </c>
      <c r="G6772">
        <v>-201.35489999999999</v>
      </c>
      <c r="H6772" s="1">
        <v>-5.1144529999999997E-6</v>
      </c>
      <c r="I6772">
        <v>-62.143079999999998</v>
      </c>
      <c r="J6772">
        <v>-216.499</v>
      </c>
      <c r="K6772">
        <v>1.1209359999999999</v>
      </c>
      <c r="L6772">
        <v>-62.469909999999999</v>
      </c>
      <c r="M6772">
        <v>0.99986629999999999</v>
      </c>
      <c r="N6772">
        <v>-1.3214139999999999E-2</v>
      </c>
      <c r="O6772">
        <v>-9.644873E-3</v>
      </c>
      <c r="P6772">
        <v>0.99625209999999997</v>
      </c>
      <c r="Q6772">
        <v>-8.4064260000000002E-2</v>
      </c>
      <c r="R6772">
        <v>2.0378159999999999E-2</v>
      </c>
      <c r="S6772">
        <v>2.991425</v>
      </c>
      <c r="T6772">
        <v>-0.21976299999999999</v>
      </c>
      <c r="U6772">
        <v>6.3842769999999993E-2</v>
      </c>
      <c r="V6772">
        <v>-3.0002319999999999E-2</v>
      </c>
      <c r="W6772">
        <v>-7.0888880000000001E-2</v>
      </c>
      <c r="X6772">
        <v>0.9970329</v>
      </c>
      <c r="Y6772">
        <v>-3.0863979999999999E-2</v>
      </c>
      <c r="Z6772">
        <v>1.916556E-3</v>
      </c>
      <c r="AA6772">
        <v>0.99952169999999896</v>
      </c>
      <c r="AB6772">
        <v>23</v>
      </c>
      <c r="AC6772">
        <v>15.1441</v>
      </c>
      <c r="AD6772">
        <v>-1.1209411144529999</v>
      </c>
      <c r="AE6772">
        <v>0.32682999999999401</v>
      </c>
      <c r="AF6772">
        <v>-0.47031493046004103</v>
      </c>
      <c r="AG6772">
        <v>-1.1209411144529999</v>
      </c>
      <c r="AH6772">
        <v>15.0577840803498</v>
      </c>
      <c r="AI6772">
        <v>94.255328403902098</v>
      </c>
      <c r="AJ6772">
        <v>91.788995159306893</v>
      </c>
      <c r="AK6772">
        <v>15.106772207401599</v>
      </c>
      <c r="AL6772">
        <v>94.065043178693699</v>
      </c>
      <c r="AM6772">
        <v>91.723601836236597</v>
      </c>
      <c r="AN6772">
        <v>0.99999998809772295</v>
      </c>
    </row>
    <row r="6773" spans="1:40" x14ac:dyDescent="0.25">
      <c r="A6773" t="str">
        <f>"20190303154654153"</f>
        <v>20190303154654153</v>
      </c>
      <c r="B6773" t="str">
        <f>"1551599214148662"</f>
        <v>1551599214148662</v>
      </c>
      <c r="C6773" t="s">
        <v>40</v>
      </c>
      <c r="D6773">
        <v>5.0760759999999996</v>
      </c>
      <c r="E6773">
        <v>0.49956129999999999</v>
      </c>
      <c r="F6773" t="s">
        <v>60</v>
      </c>
      <c r="G6773">
        <v>-201.49719999999999</v>
      </c>
      <c r="H6773" s="1">
        <v>-5.0422370000000002E-6</v>
      </c>
      <c r="I6773">
        <v>-62.147869999999998</v>
      </c>
      <c r="J6773">
        <v>-216.38929999999999</v>
      </c>
      <c r="K6773">
        <v>1.1209370000000001</v>
      </c>
      <c r="L6773">
        <v>-62.471040000000002</v>
      </c>
      <c r="M6773">
        <v>0.99986560000000002</v>
      </c>
      <c r="N6773">
        <v>-1.321281E-2</v>
      </c>
      <c r="O6773">
        <v>-9.7072660000000009E-3</v>
      </c>
      <c r="P6773">
        <v>0.99626479999999995</v>
      </c>
      <c r="Q6773">
        <v>-8.3945210000000006E-2</v>
      </c>
      <c r="R6773">
        <v>2.023436E-2</v>
      </c>
      <c r="S6773">
        <v>2.9911189999999999</v>
      </c>
      <c r="T6773">
        <v>-0.22349740000000001</v>
      </c>
      <c r="U6773">
        <v>6.4208979999999999E-2</v>
      </c>
      <c r="V6773">
        <v>-2.992032E-2</v>
      </c>
      <c r="W6773">
        <v>-7.0771310000000004E-2</v>
      </c>
      <c r="X6773">
        <v>0.99704369999999998</v>
      </c>
      <c r="Y6773">
        <v>-3.1046270000000001E-2</v>
      </c>
      <c r="Z6773">
        <v>1.9597640000000001E-3</v>
      </c>
      <c r="AA6773">
        <v>0.99951599999999996</v>
      </c>
      <c r="AB6773">
        <v>23</v>
      </c>
      <c r="AC6773">
        <v>14.892099999999999</v>
      </c>
      <c r="AD6773">
        <v>-1.120942042237</v>
      </c>
      <c r="AE6773">
        <v>0.32317000000000401</v>
      </c>
      <c r="AF6773">
        <v>-0.46509511078652499</v>
      </c>
      <c r="AG6773">
        <v>-1.120942042237</v>
      </c>
      <c r="AH6773">
        <v>14.8044227396331</v>
      </c>
      <c r="AI6773">
        <v>94.327858287569697</v>
      </c>
      <c r="AJ6773">
        <v>91.799409927912706</v>
      </c>
      <c r="AK6773">
        <v>14.854082172180799</v>
      </c>
      <c r="AL6773">
        <v>94.058290018670107</v>
      </c>
      <c r="AM6773">
        <v>91.718875244175294</v>
      </c>
      <c r="AN6773">
        <v>0.99999997178885303</v>
      </c>
    </row>
    <row r="6774" spans="1:40" x14ac:dyDescent="0.25">
      <c r="A6774" t="str">
        <f>"20190303154654165"</f>
        <v>20190303154654165</v>
      </c>
      <c r="B6774" t="str">
        <f>"1551599214158422"</f>
        <v>1551599214158422</v>
      </c>
      <c r="C6774" t="s">
        <v>40</v>
      </c>
      <c r="D6774">
        <v>5.1204799999999997</v>
      </c>
      <c r="E6774">
        <v>0.49952279999999999</v>
      </c>
      <c r="F6774" t="s">
        <v>60</v>
      </c>
      <c r="G6774">
        <v>-201.39</v>
      </c>
      <c r="H6774" s="1">
        <v>-5.0969110000000004E-6</v>
      </c>
      <c r="I6774">
        <v>-62.148600000000002</v>
      </c>
      <c r="J6774">
        <v>-216.27430000000001</v>
      </c>
      <c r="K6774">
        <v>1.1209450000000001</v>
      </c>
      <c r="L6774">
        <v>-62.472230000000003</v>
      </c>
      <c r="M6774">
        <v>0.99986509999999995</v>
      </c>
      <c r="N6774">
        <v>-1.321143E-2</v>
      </c>
      <c r="O6774">
        <v>-9.7714589999999997E-3</v>
      </c>
      <c r="P6774">
        <v>0.99630669999999999</v>
      </c>
      <c r="Q6774">
        <v>-8.3476930000000005E-2</v>
      </c>
      <c r="R6774">
        <v>2.012299E-2</v>
      </c>
      <c r="S6774">
        <v>2.9911189999999999</v>
      </c>
      <c r="T6774">
        <v>-0.2235355</v>
      </c>
      <c r="U6774">
        <v>6.4300540000000003E-2</v>
      </c>
      <c r="V6774">
        <v>-2.9872820000000001E-2</v>
      </c>
      <c r="W6774">
        <v>-7.0304099999999994E-2</v>
      </c>
      <c r="X6774">
        <v>0.99707820000000003</v>
      </c>
      <c r="Y6774">
        <v>-3.1140560000000001E-2</v>
      </c>
      <c r="Z6774">
        <v>1.968161E-3</v>
      </c>
      <c r="AA6774">
        <v>0.99951310000000004</v>
      </c>
      <c r="AB6774">
        <v>23</v>
      </c>
      <c r="AC6774">
        <v>14.8843</v>
      </c>
      <c r="AD6774">
        <v>-1.120950096911</v>
      </c>
      <c r="AE6774">
        <v>0.32363000000000097</v>
      </c>
      <c r="AF6774">
        <v>-0.46642436660089098</v>
      </c>
      <c r="AG6774">
        <v>-1.120950096911</v>
      </c>
      <c r="AH6774">
        <v>14.796544276692201</v>
      </c>
      <c r="AI6774">
        <v>94.3301704510761</v>
      </c>
      <c r="AJ6774">
        <v>91.805509501912496</v>
      </c>
      <c r="AK6774">
        <v>14.8462723719335</v>
      </c>
      <c r="AL6774">
        <v>94.031453919836807</v>
      </c>
      <c r="AM6774">
        <v>91.716088732008004</v>
      </c>
      <c r="AN6774">
        <v>0.99999999438340104</v>
      </c>
    </row>
    <row r="6775" spans="1:40" x14ac:dyDescent="0.25">
      <c r="A6775" t="str">
        <f>"20190303154654175"</f>
        <v>20190303154654175</v>
      </c>
      <c r="B6775" t="str">
        <f>"1551599214168690"</f>
        <v>1551599214168690</v>
      </c>
      <c r="C6775" t="s">
        <v>40</v>
      </c>
      <c r="D6775">
        <v>5.0572900000000001</v>
      </c>
      <c r="E6775">
        <v>0.499419</v>
      </c>
      <c r="F6775" t="s">
        <v>60</v>
      </c>
      <c r="G6775">
        <v>-201.2244</v>
      </c>
      <c r="H6775" s="1">
        <v>-5.1812989999999996E-6</v>
      </c>
      <c r="I6775">
        <v>-62.14931</v>
      </c>
      <c r="J6775">
        <v>-216.1619</v>
      </c>
      <c r="K6775">
        <v>1.120951</v>
      </c>
      <c r="L6775">
        <v>-62.473390000000002</v>
      </c>
      <c r="M6775">
        <v>0.99986439999999999</v>
      </c>
      <c r="N6775">
        <v>-1.3210090000000001E-2</v>
      </c>
      <c r="O6775">
        <v>-9.8316319999999999E-3</v>
      </c>
      <c r="P6775">
        <v>0.99637600000000004</v>
      </c>
      <c r="Q6775">
        <v>-8.2678589999999996E-2</v>
      </c>
      <c r="R6775">
        <v>1.9977890000000002E-2</v>
      </c>
      <c r="S6775">
        <v>2.9911650000000001</v>
      </c>
      <c r="T6775">
        <v>-0.22278880000000001</v>
      </c>
      <c r="U6775">
        <v>6.4178470000000001E-2</v>
      </c>
      <c r="V6775">
        <v>-2.9787959999999999E-2</v>
      </c>
      <c r="W6775">
        <v>-6.9506349999999995E-2</v>
      </c>
      <c r="X6775">
        <v>0.99713669999999999</v>
      </c>
      <c r="Y6775">
        <v>-3.1160210000000001E-2</v>
      </c>
      <c r="Z6775">
        <v>1.9663649999999999E-3</v>
      </c>
      <c r="AA6775">
        <v>0.99951250000000003</v>
      </c>
      <c r="AB6775">
        <v>23</v>
      </c>
      <c r="AC6775">
        <v>14.9375</v>
      </c>
      <c r="AD6775">
        <v>-1.1209561812989901</v>
      </c>
      <c r="AE6775">
        <v>0.32408000000000198</v>
      </c>
      <c r="AF6775">
        <v>-0.46830117249290598</v>
      </c>
      <c r="AG6775">
        <v>-1.1209561812989901</v>
      </c>
      <c r="AH6775">
        <v>14.8500034679351</v>
      </c>
      <c r="AI6775">
        <v>94.314662631910807</v>
      </c>
      <c r="AJ6775">
        <v>91.806248162558006</v>
      </c>
      <c r="AK6775">
        <v>14.8996124696663</v>
      </c>
      <c r="AL6775">
        <v>93.9856339887031</v>
      </c>
      <c r="AM6775">
        <v>91.711116391251295</v>
      </c>
      <c r="AN6775">
        <v>1.0000000268690801</v>
      </c>
    </row>
    <row r="6776" spans="1:40" x14ac:dyDescent="0.25">
      <c r="A6776" t="str">
        <f>"20190303154654187"</f>
        <v>20190303154654187</v>
      </c>
      <c r="B6776" t="str">
        <f>"1551599214178450"</f>
        <v>1551599214178450</v>
      </c>
      <c r="C6776" t="s">
        <v>40</v>
      </c>
      <c r="D6776">
        <v>5.0743929999999997</v>
      </c>
      <c r="E6776">
        <v>0.49934669999999998</v>
      </c>
      <c r="F6776" t="s">
        <v>60</v>
      </c>
      <c r="G6776">
        <v>-200.9667</v>
      </c>
      <c r="H6776" s="1">
        <v>-5.312417E-6</v>
      </c>
      <c r="I6776">
        <v>-62.145519999999998</v>
      </c>
      <c r="J6776">
        <v>-216.0496</v>
      </c>
      <c r="K6776">
        <v>1.1209559999999901</v>
      </c>
      <c r="L6776">
        <v>-62.474609999999998</v>
      </c>
      <c r="M6776">
        <v>0.99986390000000003</v>
      </c>
      <c r="N6776">
        <v>-1.320874E-2</v>
      </c>
      <c r="O6776">
        <v>-9.8908659999999999E-3</v>
      </c>
      <c r="P6776">
        <v>0.99645220000000001</v>
      </c>
      <c r="Q6776">
        <v>-8.1790630000000003E-2</v>
      </c>
      <c r="R6776">
        <v>1.9840279999999998E-2</v>
      </c>
      <c r="S6776">
        <v>2.9913020000000001</v>
      </c>
      <c r="T6776">
        <v>-0.2206688</v>
      </c>
      <c r="U6776">
        <v>6.4544679999999993E-2</v>
      </c>
      <c r="V6776">
        <v>-2.9710380000000002E-2</v>
      </c>
      <c r="W6776">
        <v>-6.8618849999999995E-2</v>
      </c>
      <c r="X6776">
        <v>0.99720039999999999</v>
      </c>
      <c r="Y6776">
        <v>-3.1342269999999998E-2</v>
      </c>
      <c r="Z6776">
        <v>1.959817E-3</v>
      </c>
      <c r="AA6776">
        <v>0.99950680000000003</v>
      </c>
      <c r="AB6776">
        <v>23</v>
      </c>
      <c r="AC6776">
        <v>15.082899999999899</v>
      </c>
      <c r="AD6776">
        <v>-1.1209613124169999</v>
      </c>
      <c r="AE6776">
        <v>0.32908999999999999</v>
      </c>
      <c r="AF6776">
        <v>-0.475643897229519</v>
      </c>
      <c r="AG6776">
        <v>-1.1209613124169999</v>
      </c>
      <c r="AH6776">
        <v>14.9961157149529</v>
      </c>
      <c r="AI6776">
        <v>94.272774814547901</v>
      </c>
      <c r="AJ6776">
        <v>91.816687406500705</v>
      </c>
      <c r="AK6776">
        <v>15.0454736687538</v>
      </c>
      <c r="AL6776">
        <v>93.9346626009782</v>
      </c>
      <c r="AM6776">
        <v>91.706553629941297</v>
      </c>
      <c r="AN6776">
        <v>0.99999994550761195</v>
      </c>
    </row>
    <row r="6777" spans="1:40" x14ac:dyDescent="0.25">
      <c r="A6777" t="str">
        <f>"20190303154654196"</f>
        <v>20190303154654196</v>
      </c>
      <c r="B6777" t="str">
        <f>"1551599214188210"</f>
        <v>1551599214188210</v>
      </c>
      <c r="C6777" t="s">
        <v>40</v>
      </c>
      <c r="D6777">
        <v>5.0709099999999996</v>
      </c>
      <c r="E6777">
        <v>0.49926019999999999</v>
      </c>
      <c r="F6777" t="s">
        <v>60</v>
      </c>
      <c r="G6777">
        <v>-200.6609</v>
      </c>
      <c r="H6777" s="1">
        <v>-5.4679760000000002E-6</v>
      </c>
      <c r="I6777">
        <v>-62.141800000000003</v>
      </c>
      <c r="J6777">
        <v>-215.93879999999999</v>
      </c>
      <c r="K6777">
        <v>1.1209549999999999</v>
      </c>
      <c r="L6777">
        <v>-62.475740000000002</v>
      </c>
      <c r="M6777">
        <v>0.99986339999999996</v>
      </c>
      <c r="N6777">
        <v>-1.3207379999999999E-2</v>
      </c>
      <c r="O6777">
        <v>-9.9489209999999995E-3</v>
      </c>
      <c r="P6777">
        <v>0.9965406</v>
      </c>
      <c r="Q6777">
        <v>-8.0742060000000004E-2</v>
      </c>
      <c r="R6777">
        <v>1.969137E-2</v>
      </c>
      <c r="S6777">
        <v>2.9915310000000002</v>
      </c>
      <c r="T6777">
        <v>-0.217914</v>
      </c>
      <c r="U6777">
        <v>6.4697270000000001E-2</v>
      </c>
      <c r="V6777">
        <v>-2.9619309999999999E-2</v>
      </c>
      <c r="W6777">
        <v>-6.7570539999999998E-2</v>
      </c>
      <c r="X6777">
        <v>0.99727480000000002</v>
      </c>
      <c r="Y6777">
        <v>-3.1452029999999999E-2</v>
      </c>
      <c r="Z6777">
        <v>1.944386E-3</v>
      </c>
      <c r="AA6777">
        <v>0.99950340000000004</v>
      </c>
      <c r="AB6777">
        <v>23</v>
      </c>
      <c r="AC6777">
        <v>15.277899999999899</v>
      </c>
      <c r="AD6777">
        <v>-1.1209604679759999</v>
      </c>
      <c r="AE6777">
        <v>0.33393999999999802</v>
      </c>
      <c r="AF6777">
        <v>-0.48333461007309397</v>
      </c>
      <c r="AG6777">
        <v>-1.1209604679759999</v>
      </c>
      <c r="AH6777">
        <v>15.1920757771734</v>
      </c>
      <c r="AI6777">
        <v>94.217845078063704</v>
      </c>
      <c r="AJ6777">
        <v>91.822245741766395</v>
      </c>
      <c r="AK6777">
        <v>15.2410410121959</v>
      </c>
      <c r="AL6777">
        <v>93.874458694478605</v>
      </c>
      <c r="AM6777">
        <v>91.701198830726</v>
      </c>
      <c r="AN6777">
        <v>1.0000000540578999</v>
      </c>
    </row>
    <row r="6778" spans="1:40" x14ac:dyDescent="0.25">
      <c r="A6778" t="str">
        <f>"20190303154654209"</f>
        <v>20190303154654209</v>
      </c>
      <c r="B6778" t="str">
        <f>"1551599214198946"</f>
        <v>1551599214198946</v>
      </c>
      <c r="C6778" t="s">
        <v>40</v>
      </c>
      <c r="D6778">
        <v>5.1156600000000001</v>
      </c>
      <c r="E6778">
        <v>0.49920189999999998</v>
      </c>
      <c r="F6778" t="s">
        <v>60</v>
      </c>
      <c r="G6778">
        <v>-200.3287</v>
      </c>
      <c r="H6778" s="1">
        <v>-5.6369680000000004E-6</v>
      </c>
      <c r="I6778">
        <v>-62.136890000000001</v>
      </c>
      <c r="J6778">
        <v>-215.82390000000001</v>
      </c>
      <c r="K6778">
        <v>1.1209549999999999</v>
      </c>
      <c r="L6778">
        <v>-62.476959999999998</v>
      </c>
      <c r="M6778">
        <v>0.99986269999999999</v>
      </c>
      <c r="N6778">
        <v>-1.3205980000000001E-2</v>
      </c>
      <c r="O6778">
        <v>-1.0009489999999999E-2</v>
      </c>
      <c r="P6778">
        <v>0.99659469999999994</v>
      </c>
      <c r="Q6778">
        <v>-8.0003229999999995E-2</v>
      </c>
      <c r="R6778">
        <v>1.9959370000000001E-2</v>
      </c>
      <c r="S6778">
        <v>2.9917449999999999</v>
      </c>
      <c r="T6778">
        <v>-0.21483830000000001</v>
      </c>
      <c r="U6778">
        <v>6.4941410000000005E-2</v>
      </c>
      <c r="V6778">
        <v>-2.9948450000000001E-2</v>
      </c>
      <c r="W6778">
        <v>-6.6832349999999999E-2</v>
      </c>
      <c r="X6778">
        <v>0.99731460000000005</v>
      </c>
      <c r="Y6778">
        <v>-3.1595190000000002E-2</v>
      </c>
      <c r="Z6778">
        <v>1.9275659999999999E-3</v>
      </c>
      <c r="AA6778">
        <v>0.99949889999999997</v>
      </c>
      <c r="AB6778">
        <v>23</v>
      </c>
      <c r="AC6778">
        <v>15.495200000000001</v>
      </c>
      <c r="AD6778">
        <v>-1.1209606369680001</v>
      </c>
      <c r="AE6778">
        <v>0.34006999999999699</v>
      </c>
      <c r="AF6778">
        <v>-0.49258884822451199</v>
      </c>
      <c r="AG6778">
        <v>-1.1209606369680001</v>
      </c>
      <c r="AH6778">
        <v>15.4104089328728</v>
      </c>
      <c r="AI6778">
        <v>94.158279036687205</v>
      </c>
      <c r="AJ6778">
        <v>91.830818102346697</v>
      </c>
      <c r="AK6778">
        <v>15.458974739658199</v>
      </c>
      <c r="AL6778">
        <v>93.832068126390894</v>
      </c>
      <c r="AM6778">
        <v>91.7200232425065</v>
      </c>
      <c r="AN6778">
        <v>0.99999994201854003</v>
      </c>
    </row>
    <row r="6779" spans="1:40" x14ac:dyDescent="0.25">
      <c r="A6779" t="str">
        <f>"20190303154654221"</f>
        <v>20190303154654221</v>
      </c>
      <c r="B6779" t="str">
        <f>"1551599214218466"</f>
        <v>1551599214218466</v>
      </c>
      <c r="C6779" t="s">
        <v>40</v>
      </c>
      <c r="D6779">
        <v>5.1076180000000004</v>
      </c>
      <c r="E6779">
        <v>0.49904720000000002</v>
      </c>
      <c r="F6779" t="s">
        <v>60</v>
      </c>
      <c r="G6779">
        <v>-200.04830000000001</v>
      </c>
      <c r="H6779" s="1">
        <v>-5.7793470000000001E-6</v>
      </c>
      <c r="I6779">
        <v>-62.12809</v>
      </c>
      <c r="J6779">
        <v>-215.70519999999999</v>
      </c>
      <c r="K6779">
        <v>1.1209549999999999</v>
      </c>
      <c r="L6779">
        <v>-62.478209999999997</v>
      </c>
      <c r="M6779">
        <v>0.99986229999999998</v>
      </c>
      <c r="N6779">
        <v>-1.3204530000000001E-2</v>
      </c>
      <c r="O6779">
        <v>-1.007244E-2</v>
      </c>
      <c r="P6779">
        <v>0.99660649999999995</v>
      </c>
      <c r="Q6779">
        <v>-7.9746339999999999E-2</v>
      </c>
      <c r="R6779">
        <v>2.0410319999999999E-2</v>
      </c>
      <c r="S6779">
        <v>2.9918670000000001</v>
      </c>
      <c r="T6779">
        <v>-0.212592</v>
      </c>
      <c r="U6779">
        <v>6.6162109999999996E-2</v>
      </c>
      <c r="V6779">
        <v>-3.046304E-2</v>
      </c>
      <c r="W6779">
        <v>-6.65766E-2</v>
      </c>
      <c r="X6779">
        <v>0.99731619999999999</v>
      </c>
      <c r="Y6779">
        <v>-3.2065620000000003E-2</v>
      </c>
      <c r="Z6779">
        <v>1.9316050000000001E-3</v>
      </c>
      <c r="AA6779">
        <v>0.99948389999999998</v>
      </c>
      <c r="AB6779">
        <v>23</v>
      </c>
      <c r="AC6779">
        <v>15.656899999999901</v>
      </c>
      <c r="AD6779">
        <v>-1.120960779347</v>
      </c>
      <c r="AE6779">
        <v>0.35011999999999599</v>
      </c>
      <c r="AF6779">
        <v>-0.50523067549441503</v>
      </c>
      <c r="AG6779">
        <v>-1.120960779347</v>
      </c>
      <c r="AH6779">
        <v>15.5727942117362</v>
      </c>
      <c r="AI6779">
        <v>94.115005725205407</v>
      </c>
      <c r="AJ6779">
        <v>91.858204446660494</v>
      </c>
      <c r="AK6779">
        <v>15.6212589334336</v>
      </c>
      <c r="AL6779">
        <v>93.817381716292402</v>
      </c>
      <c r="AM6779">
        <v>91.749556567330799</v>
      </c>
      <c r="AN6779">
        <v>1.00000002162802</v>
      </c>
    </row>
    <row r="6780" spans="1:40" x14ac:dyDescent="0.25">
      <c r="A6780" t="str">
        <f>"20190303154654232"</f>
        <v>20190303154654232</v>
      </c>
      <c r="B6780" t="str">
        <f>"1551599214228226"</f>
        <v>1551599214228226</v>
      </c>
      <c r="C6780" t="s">
        <v>40</v>
      </c>
      <c r="D6780">
        <v>5.089029</v>
      </c>
      <c r="E6780">
        <v>0.4989712</v>
      </c>
      <c r="F6780" t="s">
        <v>60</v>
      </c>
      <c r="G6780">
        <v>-199.87780000000001</v>
      </c>
      <c r="H6780" s="1">
        <v>-5.857237E-6</v>
      </c>
      <c r="I6780">
        <v>-62.1143199999999</v>
      </c>
      <c r="J6780">
        <v>-215.5968</v>
      </c>
      <c r="K6780">
        <v>1.1209549999999999</v>
      </c>
      <c r="L6780">
        <v>-62.479370000000003</v>
      </c>
      <c r="M6780">
        <v>0.99986149999999996</v>
      </c>
      <c r="N6780">
        <v>-1.320318E-2</v>
      </c>
      <c r="O6780">
        <v>-1.0131940000000001E-2</v>
      </c>
      <c r="P6780">
        <v>0.99663599999999997</v>
      </c>
      <c r="Q6780">
        <v>-7.9232230000000001E-2</v>
      </c>
      <c r="R6780">
        <v>2.0954819999999999E-2</v>
      </c>
      <c r="S6780">
        <v>2.9918369999999999</v>
      </c>
      <c r="T6780">
        <v>-0.21189379999999999</v>
      </c>
      <c r="U6780">
        <v>6.8786620000000007E-2</v>
      </c>
      <c r="V6780">
        <v>-3.1066630000000001E-2</v>
      </c>
      <c r="W6780">
        <v>-6.6063380000000005E-2</v>
      </c>
      <c r="X6780">
        <v>0.99733170000000004</v>
      </c>
      <c r="Y6780">
        <v>-3.2999470000000003E-2</v>
      </c>
      <c r="Z6780">
        <v>1.9681529999999998E-3</v>
      </c>
      <c r="AA6780">
        <v>0.99945340000000005</v>
      </c>
      <c r="AB6780">
        <v>23</v>
      </c>
      <c r="AC6780">
        <v>15.7189999999999</v>
      </c>
      <c r="AD6780">
        <v>-1.120960857237</v>
      </c>
      <c r="AE6780">
        <v>0.36505000000000298</v>
      </c>
      <c r="AF6780">
        <v>-0.52165766320252105</v>
      </c>
      <c r="AG6780">
        <v>-1.120960857237</v>
      </c>
      <c r="AH6780">
        <v>15.6350254373532</v>
      </c>
      <c r="AI6780">
        <v>94.098559490839094</v>
      </c>
      <c r="AJ6780">
        <v>91.9109466257284</v>
      </c>
      <c r="AK6780">
        <v>15.683835640165301</v>
      </c>
      <c r="AL6780">
        <v>93.787911528853201</v>
      </c>
      <c r="AM6780">
        <v>91.784172113029797</v>
      </c>
      <c r="AN6780">
        <v>1.00000001275073</v>
      </c>
    </row>
    <row r="6781" spans="1:40" x14ac:dyDescent="0.25">
      <c r="A6781" t="str">
        <f>"20190303154654243"</f>
        <v>20190303154654243</v>
      </c>
      <c r="B6781" t="str">
        <f>"1551599214238964"</f>
        <v>1551599214238964</v>
      </c>
      <c r="C6781" t="s">
        <v>40</v>
      </c>
      <c r="D6781">
        <v>5.0850689999999998</v>
      </c>
      <c r="E6781">
        <v>0.49888870000000002</v>
      </c>
      <c r="F6781" t="s">
        <v>60</v>
      </c>
      <c r="G6781">
        <v>-199.6729</v>
      </c>
      <c r="H6781" s="1">
        <v>-5.939937E-6</v>
      </c>
      <c r="I6781">
        <v>-62.10125</v>
      </c>
      <c r="J6781">
        <v>-215.4734</v>
      </c>
      <c r="K6781">
        <v>1.1209549999999999</v>
      </c>
      <c r="L6781">
        <v>-62.48068</v>
      </c>
      <c r="M6781">
        <v>0.99986079999999999</v>
      </c>
      <c r="N6781">
        <v>-1.3201650000000001E-2</v>
      </c>
      <c r="O6781">
        <v>-1.0200249999999999E-2</v>
      </c>
      <c r="P6781">
        <v>0.99665619999999999</v>
      </c>
      <c r="Q6781">
        <v>-7.870191E-2</v>
      </c>
      <c r="R6781">
        <v>2.1969320000000001E-2</v>
      </c>
      <c r="S6781">
        <v>2.9919129999999998</v>
      </c>
      <c r="T6781">
        <v>-0.2106162</v>
      </c>
      <c r="U6781">
        <v>7.1044919999999998E-2</v>
      </c>
      <c r="V6781">
        <v>-3.2149650000000002E-2</v>
      </c>
      <c r="W6781">
        <v>-6.5534179999999997E-2</v>
      </c>
      <c r="X6781">
        <v>0.99733229999999995</v>
      </c>
      <c r="Y6781">
        <v>-3.3819960000000003E-2</v>
      </c>
      <c r="Z6781">
        <v>1.9949149999999999E-3</v>
      </c>
      <c r="AA6781">
        <v>0.99942589999999998</v>
      </c>
      <c r="AB6781">
        <v>23</v>
      </c>
      <c r="AC6781">
        <v>15.8005</v>
      </c>
      <c r="AD6781">
        <v>-1.120960939937</v>
      </c>
      <c r="AE6781">
        <v>0.37943000000000598</v>
      </c>
      <c r="AF6781">
        <v>-0.53788765245780201</v>
      </c>
      <c r="AG6781">
        <v>-1.120960939937</v>
      </c>
      <c r="AH6781">
        <v>15.7167481786505</v>
      </c>
      <c r="AI6781">
        <v>94.077202629111895</v>
      </c>
      <c r="AJ6781">
        <v>91.960117199790702</v>
      </c>
      <c r="AK6781">
        <v>15.765850749853101</v>
      </c>
      <c r="AL6781">
        <v>93.757524714171396</v>
      </c>
      <c r="AM6781">
        <v>91.846327058430504</v>
      </c>
      <c r="AN6781">
        <v>1.0000000226833401</v>
      </c>
    </row>
    <row r="6782" spans="1:40" x14ac:dyDescent="0.25">
      <c r="A6782" t="str">
        <f>"20190303154654257"</f>
        <v>20190303154654257</v>
      </c>
      <c r="B6782" t="str">
        <f>"1551599214248722"</f>
        <v>1551599214248722</v>
      </c>
      <c r="C6782" t="s">
        <v>40</v>
      </c>
      <c r="D6782">
        <v>5.0940989999999999</v>
      </c>
      <c r="E6782">
        <v>0.49882399999999999</v>
      </c>
      <c r="F6782" t="s">
        <v>60</v>
      </c>
      <c r="G6782">
        <v>-199.4599</v>
      </c>
      <c r="H6782" s="1">
        <v>-6.0254979999999997E-6</v>
      </c>
      <c r="I6782">
        <v>-62.080669999999998</v>
      </c>
      <c r="J6782">
        <v>-215.33920000000001</v>
      </c>
      <c r="K6782">
        <v>1.120957</v>
      </c>
      <c r="L6782">
        <v>-62.482120000000002</v>
      </c>
      <c r="M6782">
        <v>0.99986010000000003</v>
      </c>
      <c r="N6782">
        <v>-1.319996E-2</v>
      </c>
      <c r="O6782">
        <v>-1.0277150000000001E-2</v>
      </c>
      <c r="P6782">
        <v>0.99664739999999996</v>
      </c>
      <c r="Q6782">
        <v>-7.8514669999999995E-2</v>
      </c>
      <c r="R6782">
        <v>2.301982E-2</v>
      </c>
      <c r="S6782">
        <v>2.9918819999999999</v>
      </c>
      <c r="T6782">
        <v>-0.20943500000000001</v>
      </c>
      <c r="U6782">
        <v>7.473755E-2</v>
      </c>
      <c r="V6782">
        <v>-3.327712E-2</v>
      </c>
      <c r="W6782">
        <v>-6.5348569999999995E-2</v>
      </c>
      <c r="X6782">
        <v>0.99730750000000001</v>
      </c>
      <c r="Y6782">
        <v>-3.5127140000000001E-2</v>
      </c>
      <c r="Z6782">
        <v>2.0429250000000001E-3</v>
      </c>
      <c r="AA6782">
        <v>0.99938079999999996</v>
      </c>
      <c r="AB6782">
        <v>23</v>
      </c>
      <c r="AC6782">
        <v>15.879300000000001</v>
      </c>
      <c r="AD6782">
        <v>-1.1209630254979901</v>
      </c>
      <c r="AE6782">
        <v>0.40144999999999698</v>
      </c>
      <c r="AF6782">
        <v>-0.56183891425899701</v>
      </c>
      <c r="AG6782">
        <v>-1.1209630254979901</v>
      </c>
      <c r="AH6782">
        <v>15.7956703267328</v>
      </c>
      <c r="AI6782">
        <v>94.056717248062697</v>
      </c>
      <c r="AJ6782">
        <v>92.037104632560499</v>
      </c>
      <c r="AK6782">
        <v>15.845359640631001</v>
      </c>
      <c r="AL6782">
        <v>93.746867187275896</v>
      </c>
      <c r="AM6782">
        <v>91.9110769895331</v>
      </c>
      <c r="AN6782">
        <v>1.0000000259363899</v>
      </c>
    </row>
    <row r="6783" spans="1:40" x14ac:dyDescent="0.25">
      <c r="A6783" t="str">
        <f>"20190303154654270"</f>
        <v>20190303154654270</v>
      </c>
      <c r="B6783" t="str">
        <f>"1551599214258482"</f>
        <v>1551599214258482</v>
      </c>
      <c r="C6783" t="s">
        <v>40</v>
      </c>
      <c r="D6783">
        <v>5.1229620000000002</v>
      </c>
      <c r="E6783">
        <v>0.498749</v>
      </c>
      <c r="F6783" t="s">
        <v>60</v>
      </c>
      <c r="G6783">
        <v>-199.298</v>
      </c>
      <c r="H6783" s="1">
        <v>-6.090339E-6</v>
      </c>
      <c r="I6783">
        <v>-62.061599999999999</v>
      </c>
      <c r="J6783">
        <v>-215.21019999999999</v>
      </c>
      <c r="K6783">
        <v>1.1209549999999999</v>
      </c>
      <c r="L6783">
        <v>-62.483550000000001</v>
      </c>
      <c r="M6783">
        <v>0.99985930000000001</v>
      </c>
      <c r="N6783">
        <v>-1.3198329999999999E-2</v>
      </c>
      <c r="O6783">
        <v>-1.0352739999999999E-2</v>
      </c>
      <c r="P6783">
        <v>0.99665020000000004</v>
      </c>
      <c r="Q6783">
        <v>-7.8168600000000005E-2</v>
      </c>
      <c r="R6783">
        <v>2.4044869999999999E-2</v>
      </c>
      <c r="S6783">
        <v>2.9917910000000001</v>
      </c>
      <c r="T6783">
        <v>-0.2090669</v>
      </c>
      <c r="U6783">
        <v>7.8430180000000002E-2</v>
      </c>
      <c r="V6783">
        <v>-3.4377350000000001E-2</v>
      </c>
      <c r="W6783">
        <v>-6.5003950000000005E-2</v>
      </c>
      <c r="X6783">
        <v>0.99729270000000003</v>
      </c>
      <c r="Y6783">
        <v>-3.6432590000000001E-2</v>
      </c>
      <c r="Z6783">
        <v>2.0979919999999999E-3</v>
      </c>
      <c r="AA6783">
        <v>0.9993339</v>
      </c>
      <c r="AB6783">
        <v>23</v>
      </c>
      <c r="AC6783">
        <v>15.912199999999901</v>
      </c>
      <c r="AD6783">
        <v>-1.1209610903389999</v>
      </c>
      <c r="AE6783">
        <v>0.42195000000000199</v>
      </c>
      <c r="AF6783">
        <v>-0.58378148915592798</v>
      </c>
      <c r="AG6783">
        <v>-1.1209610903389999</v>
      </c>
      <c r="AH6783">
        <v>15.828481105093401</v>
      </c>
      <c r="AI6783">
        <v>94.048137531261204</v>
      </c>
      <c r="AJ6783">
        <v>92.112209095273698</v>
      </c>
      <c r="AK6783">
        <v>15.878859174620599</v>
      </c>
      <c r="AL6783">
        <v>93.727079856141003</v>
      </c>
      <c r="AM6783">
        <v>91.974242346541104</v>
      </c>
      <c r="AN6783">
        <v>1.00000002259095</v>
      </c>
    </row>
    <row r="6784" spans="1:40" x14ac:dyDescent="0.25">
      <c r="A6784" t="str">
        <f>"20190303154654283"</f>
        <v>20190303154654283</v>
      </c>
      <c r="B6784" t="str">
        <f>"1551599214278002"</f>
        <v>1551599214278002</v>
      </c>
      <c r="C6784" t="s">
        <v>40</v>
      </c>
      <c r="D6784">
        <v>5.0969720000000001</v>
      </c>
      <c r="E6784">
        <v>0.49868200000000001</v>
      </c>
      <c r="F6784" t="s">
        <v>60</v>
      </c>
      <c r="G6784">
        <v>-199.1189</v>
      </c>
      <c r="H6784" s="1">
        <v>-6.1621130000000004E-6</v>
      </c>
      <c r="I6784">
        <v>-62.041519999999998</v>
      </c>
      <c r="J6784">
        <v>-215.06880000000001</v>
      </c>
      <c r="K6784">
        <v>1.1209530000000001</v>
      </c>
      <c r="L6784">
        <v>-62.485109999999999</v>
      </c>
      <c r="M6784">
        <v>0.99985860000000004</v>
      </c>
      <c r="N6784">
        <v>-1.319655E-2</v>
      </c>
      <c r="O6784">
        <v>-1.043702E-2</v>
      </c>
      <c r="P6784">
        <v>0.99663919999999995</v>
      </c>
      <c r="Q6784">
        <v>-7.7974109999999999E-2</v>
      </c>
      <c r="R6784">
        <v>2.5106710000000001E-2</v>
      </c>
      <c r="S6784">
        <v>2.9917600000000002</v>
      </c>
      <c r="T6784">
        <v>-0.20841460000000001</v>
      </c>
      <c r="U6784">
        <v>8.2183839999999994E-2</v>
      </c>
      <c r="V6784">
        <v>-3.5522409999999997E-2</v>
      </c>
      <c r="W6784">
        <v>-6.4811240000000006E-2</v>
      </c>
      <c r="X6784">
        <v>0.99726510000000002</v>
      </c>
      <c r="Y6784">
        <v>-3.776674E-2</v>
      </c>
      <c r="Z6784">
        <v>2.1517400000000001E-3</v>
      </c>
      <c r="AA6784">
        <v>0.99928430000000001</v>
      </c>
      <c r="AB6784">
        <v>23</v>
      </c>
      <c r="AC6784">
        <v>15.9499</v>
      </c>
      <c r="AD6784">
        <v>-1.120959162113</v>
      </c>
      <c r="AE6784">
        <v>0.44358999999999998</v>
      </c>
      <c r="AF6784">
        <v>-0.60705364158025399</v>
      </c>
      <c r="AG6784">
        <v>-1.120959162113</v>
      </c>
      <c r="AH6784">
        <v>15.866094426960901</v>
      </c>
      <c r="AI6784">
        <v>94.038357286512905</v>
      </c>
      <c r="AJ6784">
        <v>92.191128653730502</v>
      </c>
      <c r="AK6784">
        <v>15.917223876421399</v>
      </c>
      <c r="AL6784">
        <v>93.716015104471296</v>
      </c>
      <c r="AM6784">
        <v>92.040003260171403</v>
      </c>
      <c r="AN6784">
        <v>1.0000000090602701</v>
      </c>
    </row>
    <row r="6785" spans="1:40" x14ac:dyDescent="0.25">
      <c r="A6785" t="str">
        <f>"20190303154654298"</f>
        <v>20190303154654298</v>
      </c>
      <c r="B6785" t="str">
        <f>"1551599214288738"</f>
        <v>1551599214288738</v>
      </c>
      <c r="C6785" t="s">
        <v>40</v>
      </c>
      <c r="D6785">
        <v>5.1015779999999999</v>
      </c>
      <c r="E6785">
        <v>0.49862069999999997</v>
      </c>
      <c r="F6785" t="s">
        <v>60</v>
      </c>
      <c r="G6785">
        <v>-198.9984</v>
      </c>
      <c r="H6785" s="1">
        <v>-6.2101799999999997E-6</v>
      </c>
      <c r="I6785">
        <v>-62.023629999999997</v>
      </c>
      <c r="J6785">
        <v>-214.9171</v>
      </c>
      <c r="K6785">
        <v>1.1209499999999999</v>
      </c>
      <c r="L6785">
        <v>-62.486759999999997</v>
      </c>
      <c r="M6785">
        <v>0.99985760000000001</v>
      </c>
      <c r="N6785">
        <v>-1.3194620000000001E-2</v>
      </c>
      <c r="O6785">
        <v>-1.0528579999999999E-2</v>
      </c>
      <c r="P6785">
        <v>0.99653029999999998</v>
      </c>
      <c r="Q6785">
        <v>-7.8744229999999998E-2</v>
      </c>
      <c r="R6785">
        <v>2.6959569999999999E-2</v>
      </c>
      <c r="S6785">
        <v>2.9916230000000001</v>
      </c>
      <c r="T6785">
        <v>-0.2086749</v>
      </c>
      <c r="U6785">
        <v>8.5906979999999994E-2</v>
      </c>
      <c r="V6785">
        <v>-3.7466319999999997E-2</v>
      </c>
      <c r="W6785">
        <v>-6.5584370000000003E-2</v>
      </c>
      <c r="X6785">
        <v>0.99714340000000001</v>
      </c>
      <c r="Y6785">
        <v>-3.909783E-2</v>
      </c>
      <c r="Z6785">
        <v>2.2146589999999999E-3</v>
      </c>
      <c r="AA6785">
        <v>0.99923289999999998</v>
      </c>
      <c r="AB6785">
        <v>23</v>
      </c>
      <c r="AC6785">
        <v>15.918699999999999</v>
      </c>
      <c r="AD6785">
        <v>-1.1209562101799999</v>
      </c>
      <c r="AE6785">
        <v>0.46312999999999199</v>
      </c>
      <c r="AF6785">
        <v>-0.62761074892209601</v>
      </c>
      <c r="AG6785">
        <v>-1.1209562101799999</v>
      </c>
      <c r="AH6785">
        <v>15.8344899498136</v>
      </c>
      <c r="AI6785">
        <v>94.046164595888598</v>
      </c>
      <c r="AJ6785">
        <v>92.269768986941003</v>
      </c>
      <c r="AK6785">
        <v>15.886519758841199</v>
      </c>
      <c r="AL6785">
        <v>93.760406684174995</v>
      </c>
      <c r="AM6785">
        <v>92.151799490765598</v>
      </c>
      <c r="AN6785">
        <v>0.99999999744309898</v>
      </c>
    </row>
    <row r="6786" spans="1:40" x14ac:dyDescent="0.25">
      <c r="A6786" t="str">
        <f>"20190303154654311"</f>
        <v>20190303154654311</v>
      </c>
      <c r="B6786" t="str">
        <f>"1551599214298498"</f>
        <v>1551599214298498</v>
      </c>
      <c r="C6786" t="s">
        <v>40</v>
      </c>
      <c r="D6786">
        <v>5.1353770000000001</v>
      </c>
      <c r="E6786">
        <v>0.4985638</v>
      </c>
      <c r="F6786" t="s">
        <v>60</v>
      </c>
      <c r="G6786">
        <v>-199.08369999999999</v>
      </c>
      <c r="H6786" s="1">
        <v>-6.1740589999999901E-6</v>
      </c>
      <c r="I6786">
        <v>-62.000039999999998</v>
      </c>
      <c r="J6786">
        <v>-214.7987</v>
      </c>
      <c r="K6786">
        <v>1.1209450000000001</v>
      </c>
      <c r="L6786">
        <v>-62.488069999999901</v>
      </c>
      <c r="M6786">
        <v>0.99985690000000005</v>
      </c>
      <c r="N6786">
        <v>-1.3193119999999999E-2</v>
      </c>
      <c r="O6786">
        <v>-1.060059E-2</v>
      </c>
      <c r="P6786">
        <v>0.99648340000000002</v>
      </c>
      <c r="Q6786">
        <v>-7.9123959999999993E-2</v>
      </c>
      <c r="R6786">
        <v>2.7581620000000001E-2</v>
      </c>
      <c r="S6786">
        <v>2.9912260000000002</v>
      </c>
      <c r="T6786">
        <v>-0.21177009999999999</v>
      </c>
      <c r="U6786">
        <v>9.1949459999999997E-2</v>
      </c>
      <c r="V6786">
        <v>-3.8160029999999998E-2</v>
      </c>
      <c r="W6786">
        <v>-6.5966029999999995E-2</v>
      </c>
      <c r="X6786">
        <v>0.99709190000000003</v>
      </c>
      <c r="Y6786">
        <v>-4.1180189999999998E-2</v>
      </c>
      <c r="Z6786">
        <v>2.3373949999999999E-3</v>
      </c>
      <c r="AA6786">
        <v>0.99914899999999995</v>
      </c>
      <c r="AB6786">
        <v>23</v>
      </c>
      <c r="AC6786">
        <v>15.715</v>
      </c>
      <c r="AD6786">
        <v>-1.1209511740589999</v>
      </c>
      <c r="AE6786">
        <v>0.48802999999998697</v>
      </c>
      <c r="AF6786">
        <v>-0.65129474874783</v>
      </c>
      <c r="AG6786">
        <v>-1.1209511740589999</v>
      </c>
      <c r="AH6786">
        <v>15.629497190490699</v>
      </c>
      <c r="AI6786">
        <v>94.098697629273104</v>
      </c>
      <c r="AJ6786">
        <v>92.386184457772998</v>
      </c>
      <c r="AK6786">
        <v>15.6831724728107</v>
      </c>
      <c r="AL6786">
        <v>93.782321711350605</v>
      </c>
      <c r="AM6786">
        <v>92.191715857559203</v>
      </c>
      <c r="AN6786">
        <v>0.99999998102458498</v>
      </c>
    </row>
    <row r="6787" spans="1:40" x14ac:dyDescent="0.25">
      <c r="A6787" t="str">
        <f>"20190303154654320"</f>
        <v>20190303154654320</v>
      </c>
      <c r="B6787" t="str">
        <f>"1551599214318018"</f>
        <v>1551599214318018</v>
      </c>
      <c r="C6787" t="s">
        <v>40</v>
      </c>
      <c r="D6787">
        <v>5.1039709999999996</v>
      </c>
      <c r="E6787">
        <v>0.49848959999999998</v>
      </c>
      <c r="F6787" t="s">
        <v>60</v>
      </c>
      <c r="G6787">
        <v>-199.1028</v>
      </c>
      <c r="H6787" s="1">
        <v>-6.1658859999999997E-6</v>
      </c>
      <c r="I6787">
        <v>-61.993049999999997</v>
      </c>
      <c r="J6787">
        <v>-214.69120000000001</v>
      </c>
      <c r="K6787">
        <v>1.1209420000000001</v>
      </c>
      <c r="L6787">
        <v>-62.489289999999997</v>
      </c>
      <c r="M6787">
        <v>0.99985610000000003</v>
      </c>
      <c r="N6787">
        <v>-1.319176E-2</v>
      </c>
      <c r="O6787">
        <v>-1.066604E-2</v>
      </c>
      <c r="P6787">
        <v>0.99641590000000002</v>
      </c>
      <c r="Q6787">
        <v>-7.9810629999999994E-2</v>
      </c>
      <c r="R6787">
        <v>2.803044E-2</v>
      </c>
      <c r="S6787">
        <v>2.991028</v>
      </c>
      <c r="T6787">
        <v>-0.21360870000000001</v>
      </c>
      <c r="U6787">
        <v>9.4329830000000003E-2</v>
      </c>
      <c r="V6787">
        <v>-3.867317E-2</v>
      </c>
      <c r="W6787">
        <v>-6.6654790000000005E-2</v>
      </c>
      <c r="X6787">
        <v>0.99702630000000003</v>
      </c>
      <c r="Y6787">
        <v>-4.203697E-2</v>
      </c>
      <c r="Z6787">
        <v>2.3966249999999999E-3</v>
      </c>
      <c r="AA6787">
        <v>0.99911320000000003</v>
      </c>
      <c r="AB6787">
        <v>23</v>
      </c>
      <c r="AC6787">
        <v>15.5884</v>
      </c>
      <c r="AD6787">
        <v>-1.1209481658859901</v>
      </c>
      <c r="AE6787">
        <v>0.49624000000000701</v>
      </c>
      <c r="AF6787">
        <v>-0.65908809052244799</v>
      </c>
      <c r="AG6787">
        <v>-1.1209481658859901</v>
      </c>
      <c r="AH6787">
        <v>15.502140535722599</v>
      </c>
      <c r="AI6787">
        <v>94.132096724567205</v>
      </c>
      <c r="AJ6787">
        <v>92.434517798465293</v>
      </c>
      <c r="AK6787">
        <v>15.5565832717524</v>
      </c>
      <c r="AL6787">
        <v>93.821871886357897</v>
      </c>
      <c r="AM6787">
        <v>92.221304652568705</v>
      </c>
      <c r="AN6787">
        <v>0.99999995899974004</v>
      </c>
    </row>
    <row r="6788" spans="1:40" x14ac:dyDescent="0.25">
      <c r="A6788" t="str">
        <f>"20190303154654332"</f>
        <v>20190303154654332</v>
      </c>
      <c r="B6788" t="str">
        <f>"1551599214328754"</f>
        <v>1551599214328754</v>
      </c>
      <c r="C6788" t="s">
        <v>40</v>
      </c>
      <c r="D6788">
        <v>5.1433210000000003</v>
      </c>
      <c r="E6788">
        <v>0.4984345</v>
      </c>
      <c r="F6788" t="s">
        <v>60</v>
      </c>
      <c r="G6788">
        <v>-199.24850000000001</v>
      </c>
      <c r="H6788" s="1">
        <v>-6.1064849999999997E-6</v>
      </c>
      <c r="I6788">
        <v>-61.992280000000001</v>
      </c>
      <c r="J6788">
        <v>-214.57820000000001</v>
      </c>
      <c r="K6788">
        <v>1.1209370000000001</v>
      </c>
      <c r="L6788">
        <v>-62.490569999999998</v>
      </c>
      <c r="M6788">
        <v>0.9998553</v>
      </c>
      <c r="N6788">
        <v>-1.319038E-2</v>
      </c>
      <c r="O6788">
        <v>-1.073495E-2</v>
      </c>
      <c r="P6788">
        <v>0.99638890000000002</v>
      </c>
      <c r="Q6788">
        <v>-7.9900970000000002E-2</v>
      </c>
      <c r="R6788">
        <v>2.8718670000000002E-2</v>
      </c>
      <c r="S6788">
        <v>2.9906769999999998</v>
      </c>
      <c r="T6788">
        <v>-0.21708559999999999</v>
      </c>
      <c r="U6788">
        <v>9.6252439999999995E-2</v>
      </c>
      <c r="V6788">
        <v>-3.9429779999999998E-2</v>
      </c>
      <c r="W6788">
        <v>-6.6746730000000004E-2</v>
      </c>
      <c r="X6788">
        <v>0.99699059999999995</v>
      </c>
      <c r="Y6788">
        <v>-4.2744249999999998E-2</v>
      </c>
      <c r="Z6788">
        <v>2.4679480000000002E-3</v>
      </c>
      <c r="AA6788">
        <v>0.99908300000000005</v>
      </c>
      <c r="AB6788">
        <v>23</v>
      </c>
      <c r="AC6788">
        <v>15.329700000000001</v>
      </c>
      <c r="AD6788">
        <v>-1.120943106485</v>
      </c>
      <c r="AE6788">
        <v>0.49828999999999002</v>
      </c>
      <c r="AF6788">
        <v>-0.65931760990633403</v>
      </c>
      <c r="AG6788">
        <v>-1.120943106485</v>
      </c>
      <c r="AH6788">
        <v>15.2420556340173</v>
      </c>
      <c r="AI6788">
        <v>94.202203199070496</v>
      </c>
      <c r="AJ6788">
        <v>92.476869424931806</v>
      </c>
      <c r="AK6788">
        <v>15.297433546486999</v>
      </c>
      <c r="AL6788">
        <v>93.827151088296304</v>
      </c>
      <c r="AM6788">
        <v>92.2647989148184</v>
      </c>
      <c r="AN6788">
        <v>1.00000004500244</v>
      </c>
    </row>
    <row r="6789" spans="1:40" x14ac:dyDescent="0.25">
      <c r="A6789" t="str">
        <f>"20190303154654344"</f>
        <v>20190303154654344</v>
      </c>
      <c r="B6789" t="str">
        <f>"1551599214338515"</f>
        <v>1551599214338515</v>
      </c>
      <c r="C6789" t="s">
        <v>40</v>
      </c>
      <c r="D6789">
        <v>5.134684</v>
      </c>
      <c r="E6789">
        <v>0.49839670000000003</v>
      </c>
      <c r="F6789" t="s">
        <v>60</v>
      </c>
      <c r="G6789">
        <v>-199.18629999999999</v>
      </c>
      <c r="H6789" s="1">
        <v>-6.1312239999999997E-6</v>
      </c>
      <c r="I6789">
        <v>-61.982289999999999</v>
      </c>
      <c r="J6789">
        <v>-214.4623</v>
      </c>
      <c r="K6789">
        <v>1.120935</v>
      </c>
      <c r="L6789">
        <v>-62.491880000000002</v>
      </c>
      <c r="M6789">
        <v>0.99985449999999998</v>
      </c>
      <c r="N6789">
        <v>-1.318896E-2</v>
      </c>
      <c r="O6789">
        <v>-1.080588E-2</v>
      </c>
      <c r="P6789">
        <v>0.99637030000000004</v>
      </c>
      <c r="Q6789">
        <v>-8.0018889999999995E-2</v>
      </c>
      <c r="R6789">
        <v>2.9039019999999999E-2</v>
      </c>
      <c r="S6789">
        <v>2.9905400000000002</v>
      </c>
      <c r="T6789">
        <v>-0.2177914</v>
      </c>
      <c r="U6789">
        <v>9.8754880000000003E-2</v>
      </c>
      <c r="V6789">
        <v>-3.9820710000000002E-2</v>
      </c>
      <c r="W6789">
        <v>-6.6866190000000006E-2</v>
      </c>
      <c r="X6789">
        <v>0.99696700000000005</v>
      </c>
      <c r="Y6789">
        <v>-4.3647810000000002E-2</v>
      </c>
      <c r="Z6789">
        <v>2.518607E-3</v>
      </c>
      <c r="AA6789">
        <v>0.99904380000000004</v>
      </c>
      <c r="AB6789">
        <v>23</v>
      </c>
      <c r="AC6789">
        <v>15.276</v>
      </c>
      <c r="AD6789">
        <v>-1.1209411312240001</v>
      </c>
      <c r="AE6789">
        <v>0.50959000000000199</v>
      </c>
      <c r="AF6789">
        <v>-0.67103606061875198</v>
      </c>
      <c r="AG6789">
        <v>-1.1209411312240001</v>
      </c>
      <c r="AH6789">
        <v>15.187912318999301</v>
      </c>
      <c r="AI6789">
        <v>94.216952519261696</v>
      </c>
      <c r="AJ6789">
        <v>92.529810891219597</v>
      </c>
      <c r="AK6789">
        <v>15.2439981311968</v>
      </c>
      <c r="AL6789">
        <v>93.834011187132205</v>
      </c>
      <c r="AM6789">
        <v>92.287283815966703</v>
      </c>
      <c r="AN6789">
        <v>0.99999998769951004</v>
      </c>
    </row>
    <row r="6790" spans="1:40" x14ac:dyDescent="0.25">
      <c r="A6790" t="str">
        <f>"20190303154654354"</f>
        <v>20190303154654354</v>
      </c>
      <c r="B6790" t="str">
        <f>"1551599214348274"</f>
        <v>1551599214348274</v>
      </c>
      <c r="C6790" t="s">
        <v>40</v>
      </c>
      <c r="D6790">
        <v>5.1139599999999996</v>
      </c>
      <c r="E6790">
        <v>0.498363</v>
      </c>
      <c r="F6790" t="s">
        <v>60</v>
      </c>
      <c r="G6790">
        <v>-199.12690000000001</v>
      </c>
      <c r="H6790" s="1">
        <v>-6.1552449999999997E-6</v>
      </c>
      <c r="I6790">
        <v>-61.979039999999998</v>
      </c>
      <c r="J6790">
        <v>-214.35230000000001</v>
      </c>
      <c r="K6790">
        <v>1.1209340000000001</v>
      </c>
      <c r="L6790">
        <v>-62.493130000000001</v>
      </c>
      <c r="M6790">
        <v>0.99985400000000002</v>
      </c>
      <c r="N6790">
        <v>-1.3187600000000001E-2</v>
      </c>
      <c r="O6790">
        <v>-1.0873229999999999E-2</v>
      </c>
      <c r="P6790">
        <v>0.9963438</v>
      </c>
      <c r="Q6790">
        <v>-8.0178749999999993E-2</v>
      </c>
      <c r="R6790">
        <v>2.9507820000000001E-2</v>
      </c>
      <c r="S6790">
        <v>2.9904630000000001</v>
      </c>
      <c r="T6790">
        <v>-0.21858730000000001</v>
      </c>
      <c r="U6790">
        <v>0.1000061</v>
      </c>
      <c r="V6790">
        <v>-4.0356980000000001E-2</v>
      </c>
      <c r="W6790">
        <v>-6.7027619999999996E-2</v>
      </c>
      <c r="X6790">
        <v>0.9969346</v>
      </c>
      <c r="Y6790">
        <v>-4.4130750000000003E-2</v>
      </c>
      <c r="Z6790">
        <v>2.5521319999999999E-3</v>
      </c>
      <c r="AA6790">
        <v>0.99902250000000004</v>
      </c>
      <c r="AB6790">
        <v>23</v>
      </c>
      <c r="AC6790">
        <v>15.2254</v>
      </c>
      <c r="AD6790">
        <v>-1.120940155245</v>
      </c>
      <c r="AE6790">
        <v>0.51409000000000205</v>
      </c>
      <c r="AF6790">
        <v>-0.67596347728022699</v>
      </c>
      <c r="AG6790">
        <v>-1.120940155245</v>
      </c>
      <c r="AH6790">
        <v>15.136955305490201</v>
      </c>
      <c r="AI6790">
        <v>94.231004687195906</v>
      </c>
      <c r="AJ6790">
        <v>92.556930324920003</v>
      </c>
      <c r="AK6790">
        <v>15.193447580278299</v>
      </c>
      <c r="AL6790">
        <v>93.843281224710694</v>
      </c>
      <c r="AM6790">
        <v>92.318128800238398</v>
      </c>
      <c r="AN6790">
        <v>0.99999999217737201</v>
      </c>
    </row>
    <row r="6791" spans="1:40" x14ac:dyDescent="0.25">
      <c r="A6791" t="str">
        <f>"20190303154654366"</f>
        <v>20190303154654366</v>
      </c>
      <c r="B6791" t="str">
        <f>"1551599214358034"</f>
        <v>1551599214358034</v>
      </c>
      <c r="C6791" t="s">
        <v>40</v>
      </c>
      <c r="D6791">
        <v>5.0904629999999997</v>
      </c>
      <c r="E6791">
        <v>0.49831229999999999</v>
      </c>
      <c r="F6791" t="s">
        <v>60</v>
      </c>
      <c r="G6791">
        <v>-199.0667</v>
      </c>
      <c r="H6791" s="1">
        <v>-6.179444E-6</v>
      </c>
      <c r="I6791">
        <v>-61.97336</v>
      </c>
      <c r="J6791">
        <v>-214.2329</v>
      </c>
      <c r="K6791">
        <v>1.1209340000000001</v>
      </c>
      <c r="L6791">
        <v>-62.494509999999998</v>
      </c>
      <c r="M6791">
        <v>0.99985310000000005</v>
      </c>
      <c r="N6791">
        <v>-1.3186130000000001E-2</v>
      </c>
      <c r="O6791">
        <v>-1.0946310000000001E-2</v>
      </c>
      <c r="P6791">
        <v>0.99633910000000003</v>
      </c>
      <c r="Q6791">
        <v>-8.0139589999999997E-2</v>
      </c>
      <c r="R6791">
        <v>2.9770970000000001E-2</v>
      </c>
      <c r="S6791">
        <v>2.9903559999999998</v>
      </c>
      <c r="T6791">
        <v>-0.2192914</v>
      </c>
      <c r="U6791">
        <v>0.1016846</v>
      </c>
      <c r="V6791">
        <v>-4.0693170000000001E-2</v>
      </c>
      <c r="W6791">
        <v>-6.6989919999999994E-2</v>
      </c>
      <c r="X6791">
        <v>0.99692340000000002</v>
      </c>
      <c r="Y6791">
        <v>-4.4761929999999998E-2</v>
      </c>
      <c r="Z6791">
        <v>2.5915729999999998E-3</v>
      </c>
      <c r="AA6791">
        <v>0.99899439999999995</v>
      </c>
      <c r="AB6791">
        <v>23</v>
      </c>
      <c r="AC6791">
        <v>15.1662</v>
      </c>
      <c r="AD6791">
        <v>-1.1209401794439999</v>
      </c>
      <c r="AE6791">
        <v>0.521149999999998</v>
      </c>
      <c r="AF6791">
        <v>-0.68341819972288598</v>
      </c>
      <c r="AG6791">
        <v>-1.1209401794439999</v>
      </c>
      <c r="AH6791">
        <v>15.077319542943499</v>
      </c>
      <c r="AI6791">
        <v>94.247551144911995</v>
      </c>
      <c r="AJ6791">
        <v>92.595301786204004</v>
      </c>
      <c r="AK6791">
        <v>15.1343692277422</v>
      </c>
      <c r="AL6791">
        <v>93.841116568383796</v>
      </c>
      <c r="AM6791">
        <v>92.337444652929193</v>
      </c>
      <c r="AN6791">
        <v>0.999999924466904</v>
      </c>
    </row>
    <row r="6792" spans="1:40" x14ac:dyDescent="0.25">
      <c r="A6792" t="str">
        <f>"20190303154654378"</f>
        <v>20190303154654378</v>
      </c>
      <c r="B6792" t="str">
        <f>"1551599214368771"</f>
        <v>1551599214368771</v>
      </c>
      <c r="C6792" t="s">
        <v>40</v>
      </c>
      <c r="D6792">
        <v>5.0952650000000004</v>
      </c>
      <c r="E6792">
        <v>0.49828709999999998</v>
      </c>
      <c r="F6792" t="s">
        <v>60</v>
      </c>
      <c r="G6792">
        <v>-198.97290000000001</v>
      </c>
      <c r="H6792" s="1">
        <v>-6.217432E-6</v>
      </c>
      <c r="I6792">
        <v>-61.969670000000001</v>
      </c>
      <c r="J6792">
        <v>-214.1112</v>
      </c>
      <c r="K6792">
        <v>1.120935</v>
      </c>
      <c r="L6792">
        <v>-62.495910000000002</v>
      </c>
      <c r="M6792">
        <v>0.99985250000000003</v>
      </c>
      <c r="N6792">
        <v>-1.3184629999999999E-2</v>
      </c>
      <c r="O6792">
        <v>-1.1021049999999999E-2</v>
      </c>
      <c r="P6792">
        <v>0.99634520000000004</v>
      </c>
      <c r="Q6792">
        <v>-7.9832719999999996E-2</v>
      </c>
      <c r="R6792">
        <v>3.038919E-2</v>
      </c>
      <c r="S6792">
        <v>2.9902799999999998</v>
      </c>
      <c r="T6792">
        <v>-0.2196536</v>
      </c>
      <c r="U6792">
        <v>0.1028442</v>
      </c>
      <c r="V6792">
        <v>-4.1385680000000001E-2</v>
      </c>
      <c r="W6792">
        <v>-6.668441E-2</v>
      </c>
      <c r="X6792">
        <v>0.99691549999999995</v>
      </c>
      <c r="Y6792">
        <v>-4.5222320000000003E-2</v>
      </c>
      <c r="Z6792">
        <v>2.620046E-3</v>
      </c>
      <c r="AA6792">
        <v>0.99897349999999996</v>
      </c>
      <c r="AB6792">
        <v>23</v>
      </c>
      <c r="AC6792">
        <v>15.1382999999999</v>
      </c>
      <c r="AD6792">
        <v>-1.1209412174319999</v>
      </c>
      <c r="AE6792">
        <v>0.52624000000000104</v>
      </c>
      <c r="AF6792">
        <v>-0.68928772754022505</v>
      </c>
      <c r="AG6792">
        <v>-1.1209412174319999</v>
      </c>
      <c r="AH6792">
        <v>15.0491665143775</v>
      </c>
      <c r="AI6792">
        <v>94.255380419819204</v>
      </c>
      <c r="AJ6792">
        <v>92.622450567444304</v>
      </c>
      <c r="AK6792">
        <v>15.106589276264099</v>
      </c>
      <c r="AL6792">
        <v>93.823572424798897</v>
      </c>
      <c r="AM6792">
        <v>92.377196484178299</v>
      </c>
      <c r="AN6792">
        <v>1.00000004959317</v>
      </c>
    </row>
    <row r="6793" spans="1:40" x14ac:dyDescent="0.25">
      <c r="A6793" t="str">
        <f>"20190303154654389"</f>
        <v>20190303154654389</v>
      </c>
      <c r="B6793" t="str">
        <f>"1551599214378531"</f>
        <v>1551599214378531</v>
      </c>
      <c r="C6793" t="s">
        <v>40</v>
      </c>
      <c r="D6793">
        <v>5.1044580000000002</v>
      </c>
      <c r="E6793">
        <v>0.49825160000000002</v>
      </c>
      <c r="F6793" t="s">
        <v>60</v>
      </c>
      <c r="G6793">
        <v>-198.8021</v>
      </c>
      <c r="H6793" s="1">
        <v>-6.2863509999999998E-6</v>
      </c>
      <c r="I6793">
        <v>-61.958449999999999</v>
      </c>
      <c r="J6793">
        <v>-214.00700000000001</v>
      </c>
      <c r="K6793">
        <v>1.120935</v>
      </c>
      <c r="L6793">
        <v>-62.497129999999999</v>
      </c>
      <c r="M6793">
        <v>0.99985170000000001</v>
      </c>
      <c r="N6793">
        <v>-1.318334E-2</v>
      </c>
      <c r="O6793">
        <v>-1.108482E-2</v>
      </c>
      <c r="P6793">
        <v>0.99631110000000001</v>
      </c>
      <c r="Q6793">
        <v>-8.0075640000000003E-2</v>
      </c>
      <c r="R6793">
        <v>3.086413E-2</v>
      </c>
      <c r="S6793">
        <v>2.9902799999999998</v>
      </c>
      <c r="T6793">
        <v>-0.21895000000000001</v>
      </c>
      <c r="U6793">
        <v>0.1049805</v>
      </c>
      <c r="V6793">
        <v>-4.1924049999999997E-2</v>
      </c>
      <c r="W6793">
        <v>-6.6928989999999994E-2</v>
      </c>
      <c r="X6793">
        <v>0.99687650000000005</v>
      </c>
      <c r="Y6793">
        <v>-4.599727E-2</v>
      </c>
      <c r="Z6793">
        <v>2.6493889999999998E-3</v>
      </c>
      <c r="AA6793">
        <v>0.99893799999999999</v>
      </c>
      <c r="AB6793">
        <v>23</v>
      </c>
      <c r="AC6793">
        <v>15.2049</v>
      </c>
      <c r="AD6793">
        <v>-1.120941286351</v>
      </c>
      <c r="AE6793">
        <v>0.53868000000000604</v>
      </c>
      <c r="AF6793">
        <v>-0.70338701077555699</v>
      </c>
      <c r="AG6793">
        <v>-1.120941286351</v>
      </c>
      <c r="AH6793">
        <v>15.1159420048551</v>
      </c>
      <c r="AI6793">
        <v>94.236508864813104</v>
      </c>
      <c r="AJ6793">
        <v>92.664210857212097</v>
      </c>
      <c r="AK6793">
        <v>15.1737591040756</v>
      </c>
      <c r="AL6793">
        <v>93.837617639538095</v>
      </c>
      <c r="AM6793">
        <v>92.408178424265003</v>
      </c>
      <c r="AN6793">
        <v>0.99999993596153403</v>
      </c>
    </row>
    <row r="6794" spans="1:40" x14ac:dyDescent="0.25">
      <c r="A6794" t="str">
        <f>"20190303154654399"</f>
        <v>20190303154654399</v>
      </c>
      <c r="B6794" t="str">
        <f>"1551599214388291"</f>
        <v>1551599214388291</v>
      </c>
      <c r="C6794" t="s">
        <v>40</v>
      </c>
      <c r="D6794">
        <v>5.1485300000000001</v>
      </c>
      <c r="E6794">
        <v>0.49824600000000002</v>
      </c>
      <c r="F6794" t="s">
        <v>60</v>
      </c>
      <c r="G6794">
        <v>-198.7852</v>
      </c>
      <c r="H6794" s="1">
        <v>-6.2929899999999999E-6</v>
      </c>
      <c r="I6794">
        <v>-61.954160000000002</v>
      </c>
      <c r="J6794">
        <v>-213.8982</v>
      </c>
      <c r="K6794">
        <v>1.120935</v>
      </c>
      <c r="L6794">
        <v>-62.498379999999997</v>
      </c>
      <c r="M6794">
        <v>0.99985089999999999</v>
      </c>
      <c r="N6794">
        <v>-1.3181989999999999E-2</v>
      </c>
      <c r="O6794">
        <v>-1.115157E-2</v>
      </c>
      <c r="P6794">
        <v>0.99627060000000001</v>
      </c>
      <c r="Q6794">
        <v>-8.0410690000000007E-2</v>
      </c>
      <c r="R6794">
        <v>3.128674E-2</v>
      </c>
      <c r="S6794">
        <v>2.990097</v>
      </c>
      <c r="T6794">
        <v>-0.22019179999999999</v>
      </c>
      <c r="U6794">
        <v>0.1066589</v>
      </c>
      <c r="V6794">
        <v>-4.2412690000000003E-2</v>
      </c>
      <c r="W6794">
        <v>-6.7265820000000004E-2</v>
      </c>
      <c r="X6794">
        <v>0.99683319999999997</v>
      </c>
      <c r="Y6794">
        <v>-4.6622209999999997E-2</v>
      </c>
      <c r="Z6794">
        <v>2.6947339999999998E-3</v>
      </c>
      <c r="AA6794">
        <v>0.99890889999999999</v>
      </c>
      <c r="AB6794">
        <v>23</v>
      </c>
      <c r="AC6794">
        <v>15.113</v>
      </c>
      <c r="AD6794">
        <v>-1.12094129299</v>
      </c>
      <c r="AE6794">
        <v>0.54422000000000903</v>
      </c>
      <c r="AF6794">
        <v>-0.70883999793351204</v>
      </c>
      <c r="AG6794">
        <v>-1.12094129299</v>
      </c>
      <c r="AH6794">
        <v>15.023449378383001</v>
      </c>
      <c r="AI6794">
        <v>94.262366383443506</v>
      </c>
      <c r="AJ6794">
        <v>92.701339881134402</v>
      </c>
      <c r="AK6794">
        <v>15.081876367012001</v>
      </c>
      <c r="AL6794">
        <v>93.856960006735093</v>
      </c>
      <c r="AM6794">
        <v>92.436318688554607</v>
      </c>
      <c r="AN6794">
        <v>0.99999997771777305</v>
      </c>
    </row>
    <row r="6795" spans="1:40" x14ac:dyDescent="0.25">
      <c r="A6795" t="str">
        <f>"20190303154654410"</f>
        <v>20190303154654410</v>
      </c>
      <c r="B6795" t="str">
        <f>"1551599214398051"</f>
        <v>1551599214398051</v>
      </c>
      <c r="C6795" t="s">
        <v>40</v>
      </c>
      <c r="D6795">
        <v>5.1299159999999997</v>
      </c>
      <c r="E6795">
        <v>0.49825439999999999</v>
      </c>
      <c r="F6795" t="s">
        <v>60</v>
      </c>
      <c r="G6795">
        <v>-198.76939999999999</v>
      </c>
      <c r="H6795" s="1">
        <v>-6.2992870000000003E-6</v>
      </c>
      <c r="I6795">
        <v>-61.952210000000001</v>
      </c>
      <c r="J6795">
        <v>-213.7903</v>
      </c>
      <c r="K6795">
        <v>1.1209340000000001</v>
      </c>
      <c r="L6795">
        <v>-62.499690000000001</v>
      </c>
      <c r="M6795">
        <v>0.99985020000000002</v>
      </c>
      <c r="N6795">
        <v>-1.318063E-2</v>
      </c>
      <c r="O6795">
        <v>-1.121772E-2</v>
      </c>
      <c r="P6795">
        <v>0.99621610000000005</v>
      </c>
      <c r="Q6795">
        <v>-8.0992960000000003E-2</v>
      </c>
      <c r="R6795">
        <v>3.1526180000000001E-2</v>
      </c>
      <c r="S6795">
        <v>2.9899439999999999</v>
      </c>
      <c r="T6795">
        <v>-0.2215345</v>
      </c>
      <c r="U6795">
        <v>0.1079407</v>
      </c>
      <c r="V6795">
        <v>-4.2717110000000003E-2</v>
      </c>
      <c r="W6795">
        <v>-6.7850079999999993E-2</v>
      </c>
      <c r="X6795">
        <v>0.99678060000000002</v>
      </c>
      <c r="Y6795">
        <v>-4.7114070000000001E-2</v>
      </c>
      <c r="Z6795">
        <v>2.7357089999999998E-3</v>
      </c>
      <c r="AA6795">
        <v>0.99888580000000005</v>
      </c>
      <c r="AB6795">
        <v>23</v>
      </c>
      <c r="AC6795">
        <v>15.020899999999999</v>
      </c>
      <c r="AD6795">
        <v>-1.1209402992869999</v>
      </c>
      <c r="AE6795">
        <v>0.54747999999999997</v>
      </c>
      <c r="AF6795">
        <v>-0.71200060321328196</v>
      </c>
      <c r="AG6795">
        <v>-1.1209402992869999</v>
      </c>
      <c r="AH6795">
        <v>14.930774327537501</v>
      </c>
      <c r="AI6795">
        <v>94.288618592816803</v>
      </c>
      <c r="AJ6795">
        <v>92.730183182452393</v>
      </c>
      <c r="AK6795">
        <v>14.9897122732024</v>
      </c>
      <c r="AL6795">
        <v>93.890512307079803</v>
      </c>
      <c r="AM6795">
        <v>92.453913563054897</v>
      </c>
      <c r="AN6795">
        <v>0.99999997468955903</v>
      </c>
    </row>
    <row r="6796" spans="1:40" x14ac:dyDescent="0.25">
      <c r="A6796" t="str">
        <f>"20190303154654422"</f>
        <v>20190303154654422</v>
      </c>
      <c r="B6796" t="str">
        <f>"1551599214418546"</f>
        <v>1551599214418546</v>
      </c>
      <c r="C6796" t="s">
        <v>40</v>
      </c>
      <c r="D6796">
        <v>5.1212559999999998</v>
      </c>
      <c r="E6796">
        <v>0.4982451</v>
      </c>
      <c r="F6796" t="s">
        <v>60</v>
      </c>
      <c r="G6796">
        <v>-198.79920000000001</v>
      </c>
      <c r="H6796" s="1">
        <v>-6.2873269999999996E-6</v>
      </c>
      <c r="I6796">
        <v>-61.955100000000002</v>
      </c>
      <c r="J6796">
        <v>-213.67570000000001</v>
      </c>
      <c r="K6796">
        <v>1.1209340000000001</v>
      </c>
      <c r="L6796">
        <v>-62.501040000000003</v>
      </c>
      <c r="M6796">
        <v>0.99984949999999995</v>
      </c>
      <c r="N6796">
        <v>-1.317919E-2</v>
      </c>
      <c r="O6796">
        <v>-1.128793E-2</v>
      </c>
      <c r="P6796">
        <v>0.9961525</v>
      </c>
      <c r="Q6796">
        <v>-8.166988E-2</v>
      </c>
      <c r="R6796">
        <v>3.1792189999999998E-2</v>
      </c>
      <c r="S6796">
        <v>2.9897770000000001</v>
      </c>
      <c r="T6796">
        <v>-0.2235559</v>
      </c>
      <c r="U6796">
        <v>0.1086121</v>
      </c>
      <c r="V6796">
        <v>-4.3053040000000001E-2</v>
      </c>
      <c r="W6796">
        <v>-6.8529220000000002E-2</v>
      </c>
      <c r="X6796">
        <v>0.99671969999999999</v>
      </c>
      <c r="Y6796">
        <v>-4.7406089999999998E-2</v>
      </c>
      <c r="Z6796">
        <v>2.7763890000000002E-3</v>
      </c>
      <c r="AA6796">
        <v>0.99887190000000003</v>
      </c>
      <c r="AB6796">
        <v>23</v>
      </c>
      <c r="AC6796">
        <v>14.876499999999901</v>
      </c>
      <c r="AD6796">
        <v>-1.120940287327</v>
      </c>
      <c r="AE6796">
        <v>0.54594000000000098</v>
      </c>
      <c r="AF6796">
        <v>-0.70982003547039696</v>
      </c>
      <c r="AG6796">
        <v>-1.120940287327</v>
      </c>
      <c r="AH6796">
        <v>14.7855556722618</v>
      </c>
      <c r="AI6796">
        <v>94.330514340893401</v>
      </c>
      <c r="AJ6796">
        <v>92.7485264659162</v>
      </c>
      <c r="AK6796">
        <v>14.8449657509898</v>
      </c>
      <c r="AL6796">
        <v>93.929514890445603</v>
      </c>
      <c r="AM6796">
        <v>92.473338347891897</v>
      </c>
      <c r="AN6796">
        <v>0.99999998930756895</v>
      </c>
    </row>
    <row r="6797" spans="1:40" x14ac:dyDescent="0.25">
      <c r="A6797" t="str">
        <f>"20190303154654433"</f>
        <v>20190303154654433</v>
      </c>
      <c r="B6797" t="str">
        <f>"1551599214428306"</f>
        <v>1551599214428306</v>
      </c>
      <c r="C6797" t="s">
        <v>40</v>
      </c>
      <c r="D6797">
        <v>5.1101789999999996</v>
      </c>
      <c r="E6797">
        <v>0.49825039999999998</v>
      </c>
      <c r="F6797" t="s">
        <v>60</v>
      </c>
      <c r="G6797">
        <v>-198.8828</v>
      </c>
      <c r="H6797" s="1">
        <v>-6.2534889999999901E-6</v>
      </c>
      <c r="I6797">
        <v>-61.959069999999997</v>
      </c>
      <c r="J6797">
        <v>-213.56290000000001</v>
      </c>
      <c r="K6797">
        <v>1.120932</v>
      </c>
      <c r="L6797">
        <v>-62.502380000000002</v>
      </c>
      <c r="M6797">
        <v>0.99984870000000003</v>
      </c>
      <c r="N6797">
        <v>-1.317777E-2</v>
      </c>
      <c r="O6797">
        <v>-1.135682E-2</v>
      </c>
      <c r="P6797">
        <v>0.99607000000000001</v>
      </c>
      <c r="Q6797">
        <v>-8.2512360000000007E-2</v>
      </c>
      <c r="R6797">
        <v>3.2188439999999999E-2</v>
      </c>
      <c r="S6797">
        <v>2.9895320000000001</v>
      </c>
      <c r="T6797">
        <v>-0.2265335</v>
      </c>
      <c r="U6797">
        <v>0.1095276</v>
      </c>
      <c r="V6797">
        <v>-4.3517199999999999E-2</v>
      </c>
      <c r="W6797">
        <v>-6.9374110000000003E-2</v>
      </c>
      <c r="X6797">
        <v>0.99664109999999995</v>
      </c>
      <c r="Y6797">
        <v>-4.7777409999999999E-2</v>
      </c>
      <c r="Z6797">
        <v>2.832083E-3</v>
      </c>
      <c r="AA6797">
        <v>0.99885400000000002</v>
      </c>
      <c r="AB6797">
        <v>22</v>
      </c>
      <c r="AC6797">
        <v>14.680099999999999</v>
      </c>
      <c r="AD6797">
        <v>-1.120938253489</v>
      </c>
      <c r="AE6797">
        <v>0.54331000000000496</v>
      </c>
      <c r="AF6797">
        <v>-0.70589857418685498</v>
      </c>
      <c r="AG6797">
        <v>-1.120938253489</v>
      </c>
      <c r="AH6797">
        <v>14.588043141659</v>
      </c>
      <c r="AI6797">
        <v>94.388831029898</v>
      </c>
      <c r="AJ6797">
        <v>92.770315790902202</v>
      </c>
      <c r="AK6797">
        <v>14.648064652645401</v>
      </c>
      <c r="AL6797">
        <v>93.978038976186795</v>
      </c>
      <c r="AM6797">
        <v>92.500166964712804</v>
      </c>
      <c r="AN6797">
        <v>0.99999999802167105</v>
      </c>
    </row>
    <row r="6798" spans="1:40" x14ac:dyDescent="0.25">
      <c r="A6798" t="str">
        <f>"20190303154654446"</f>
        <v>20190303154654446</v>
      </c>
      <c r="B6798" t="str">
        <f>"1551599214438068"</f>
        <v>1551599214438068</v>
      </c>
      <c r="C6798" t="s">
        <v>40</v>
      </c>
      <c r="D6798">
        <v>5.1382640000000004</v>
      </c>
      <c r="E6798">
        <v>0.49825059999999899</v>
      </c>
      <c r="F6798" t="s">
        <v>60</v>
      </c>
      <c r="G6798">
        <v>-198.96180000000001</v>
      </c>
      <c r="H6798" s="1">
        <v>-6.2215039999999998E-6</v>
      </c>
      <c r="I6798">
        <v>-61.961869999999998</v>
      </c>
      <c r="J6798">
        <v>-213.4289</v>
      </c>
      <c r="K6798">
        <v>1.12093</v>
      </c>
      <c r="L6798">
        <v>-62.503999999999998</v>
      </c>
      <c r="M6798">
        <v>0.99984779999999995</v>
      </c>
      <c r="N6798">
        <v>-1.31761E-2</v>
      </c>
      <c r="O6798">
        <v>-1.14387E-2</v>
      </c>
      <c r="P6798">
        <v>0.99597709999999995</v>
      </c>
      <c r="Q6798">
        <v>-8.347678E-2</v>
      </c>
      <c r="R6798">
        <v>3.257612E-2</v>
      </c>
      <c r="S6798">
        <v>2.9892430000000001</v>
      </c>
      <c r="T6798">
        <v>-0.22948560000000001</v>
      </c>
      <c r="U6798">
        <v>0.1106567</v>
      </c>
      <c r="V6798">
        <v>-4.3985169999999997E-2</v>
      </c>
      <c r="W6798">
        <v>-7.0341329999999994E-2</v>
      </c>
      <c r="X6798">
        <v>0.99655280000000002</v>
      </c>
      <c r="Y6798">
        <v>-4.823318E-2</v>
      </c>
      <c r="Z6798">
        <v>2.8926379999999999E-3</v>
      </c>
      <c r="AA6798">
        <v>0.99883189999999999</v>
      </c>
      <c r="AB6798">
        <v>22</v>
      </c>
      <c r="AC6798">
        <v>14.467099999999901</v>
      </c>
      <c r="AD6798">
        <v>-1.120936221504</v>
      </c>
      <c r="AE6798">
        <v>0.54213</v>
      </c>
      <c r="AF6798">
        <v>-0.70337695566160896</v>
      </c>
      <c r="AG6798">
        <v>-1.120936221504</v>
      </c>
      <c r="AH6798">
        <v>14.3737806793342</v>
      </c>
      <c r="AI6798">
        <v>94.453866125565199</v>
      </c>
      <c r="AJ6798">
        <v>92.801518266201299</v>
      </c>
      <c r="AK6798">
        <v>14.434569899101101</v>
      </c>
      <c r="AL6798">
        <v>94.033592149338205</v>
      </c>
      <c r="AM6798">
        <v>92.527241907234298</v>
      </c>
      <c r="AN6798">
        <v>1.00000004053696</v>
      </c>
    </row>
    <row r="6799" spans="1:40" x14ac:dyDescent="0.25">
      <c r="A6799" t="str">
        <f>"20190303154654460"</f>
        <v>20190303154654460</v>
      </c>
      <c r="B6799" t="str">
        <f>"1551599214448803"</f>
        <v>1551599214448803</v>
      </c>
      <c r="C6799" t="s">
        <v>40</v>
      </c>
      <c r="D6799">
        <v>5.1158760000000001</v>
      </c>
      <c r="E6799">
        <v>0.49823849999999997</v>
      </c>
      <c r="F6799" t="s">
        <v>60</v>
      </c>
      <c r="G6799">
        <v>-199.04929999999999</v>
      </c>
      <c r="H6799" s="1">
        <v>-6.1860959999999998E-6</v>
      </c>
      <c r="I6799">
        <v>-61.966050000000003</v>
      </c>
      <c r="J6799">
        <v>-213.28880000000001</v>
      </c>
      <c r="K6799">
        <v>1.1209260000000001</v>
      </c>
      <c r="L6799">
        <v>-62.505679999999998</v>
      </c>
      <c r="M6799">
        <v>0.99984680000000004</v>
      </c>
      <c r="N6799">
        <v>-1.317434E-2</v>
      </c>
      <c r="O6799">
        <v>-1.152416E-2</v>
      </c>
      <c r="P6799">
        <v>0.99590710000000005</v>
      </c>
      <c r="Q6799">
        <v>-8.4174100000000002E-2</v>
      </c>
      <c r="R6799">
        <v>3.2923679999999997E-2</v>
      </c>
      <c r="S6799">
        <v>2.9889070000000002</v>
      </c>
      <c r="T6799">
        <v>-0.23299500000000001</v>
      </c>
      <c r="U6799">
        <v>0.1118164</v>
      </c>
      <c r="V6799">
        <v>-4.4417289999999998E-2</v>
      </c>
      <c r="W6799">
        <v>-7.1041270000000004E-2</v>
      </c>
      <c r="X6799">
        <v>0.99648389999999998</v>
      </c>
      <c r="Y6799">
        <v>-4.8702219999999997E-2</v>
      </c>
      <c r="Z6799">
        <v>2.961343E-3</v>
      </c>
      <c r="AA6799">
        <v>0.99880899999999995</v>
      </c>
      <c r="AB6799">
        <v>22</v>
      </c>
      <c r="AC6799">
        <v>14.2395</v>
      </c>
      <c r="AD6799">
        <v>-1.120932186096</v>
      </c>
      <c r="AE6799">
        <v>0.53963000000000205</v>
      </c>
      <c r="AF6799">
        <v>-0.69937896548564904</v>
      </c>
      <c r="AG6799">
        <v>-1.120932186096</v>
      </c>
      <c r="AH6799">
        <v>14.1448077461291</v>
      </c>
      <c r="AI6799">
        <v>94.525538257398097</v>
      </c>
      <c r="AJ6799">
        <v>92.830639828470893</v>
      </c>
      <c r="AK6799">
        <v>14.206379062876801</v>
      </c>
      <c r="AL6799">
        <v>94.073796664967901</v>
      </c>
      <c r="AM6799">
        <v>92.552213644910196</v>
      </c>
      <c r="AN6799">
        <v>0.99999996032668204</v>
      </c>
    </row>
    <row r="6800" spans="1:40" x14ac:dyDescent="0.25">
      <c r="A6800" t="str">
        <f>"20190303154654474"</f>
        <v>20190303154654474</v>
      </c>
      <c r="B6800" t="str">
        <f>"1551599214468322"</f>
        <v>1551599214468322</v>
      </c>
      <c r="C6800" t="s">
        <v>40</v>
      </c>
      <c r="D6800">
        <v>5.1061680000000003</v>
      </c>
      <c r="E6800">
        <v>0.49825530000000001</v>
      </c>
      <c r="F6800" t="s">
        <v>60</v>
      </c>
      <c r="G6800">
        <v>-199.06469999999999</v>
      </c>
      <c r="H6800" s="1">
        <v>-6.1799289999999899E-6</v>
      </c>
      <c r="I6800">
        <v>-61.96799</v>
      </c>
      <c r="J6800">
        <v>-213.15880000000001</v>
      </c>
      <c r="K6800">
        <v>1.120922</v>
      </c>
      <c r="L6800">
        <v>-62.507260000000002</v>
      </c>
      <c r="M6800">
        <v>0.99984589999999995</v>
      </c>
      <c r="N6800">
        <v>-1.3172710000000001E-2</v>
      </c>
      <c r="O6800">
        <v>-1.16033E-2</v>
      </c>
      <c r="P6800">
        <v>0.99585369999999995</v>
      </c>
      <c r="Q6800">
        <v>-8.4608509999999998E-2</v>
      </c>
      <c r="R6800">
        <v>3.3416899999999999E-2</v>
      </c>
      <c r="S6800">
        <v>2.9887079999999999</v>
      </c>
      <c r="T6800">
        <v>-0.23552580000000001</v>
      </c>
      <c r="U6800">
        <v>0.1129761</v>
      </c>
      <c r="V6800">
        <v>-4.4988439999999998E-2</v>
      </c>
      <c r="W6800">
        <v>-7.1477929999999995E-2</v>
      </c>
      <c r="X6800">
        <v>0.99642710000000001</v>
      </c>
      <c r="Y6800">
        <v>-4.9164760000000002E-2</v>
      </c>
      <c r="Z6800">
        <v>3.0181639999999998E-3</v>
      </c>
      <c r="AA6800">
        <v>0.99878610000000001</v>
      </c>
      <c r="AB6800">
        <v>22</v>
      </c>
      <c r="AC6800">
        <v>14.094099999999999</v>
      </c>
      <c r="AD6800">
        <v>-1.1209281799290001</v>
      </c>
      <c r="AE6800">
        <v>0.53926999999999403</v>
      </c>
      <c r="AF6800">
        <v>-0.69837498118877095</v>
      </c>
      <c r="AG6800">
        <v>-1.1209281799290001</v>
      </c>
      <c r="AH6800">
        <v>13.9984780745691</v>
      </c>
      <c r="AI6800">
        <v>94.572528591700006</v>
      </c>
      <c r="AJ6800">
        <v>92.856081260141707</v>
      </c>
      <c r="AK6800">
        <v>14.060639957096599</v>
      </c>
      <c r="AL6800">
        <v>94.098879002409106</v>
      </c>
      <c r="AM6800">
        <v>92.585134794138199</v>
      </c>
      <c r="AN6800">
        <v>1.0000000099125601</v>
      </c>
    </row>
    <row r="6801" spans="1:40" x14ac:dyDescent="0.25">
      <c r="A6801" t="str">
        <f>"20190303154654488"</f>
        <v>20190303154654488</v>
      </c>
      <c r="B6801" t="str">
        <f>"1551599214478083"</f>
        <v>1551599214478083</v>
      </c>
      <c r="C6801" t="s">
        <v>40</v>
      </c>
      <c r="D6801">
        <v>5.133248</v>
      </c>
      <c r="E6801">
        <v>0.49826700000000002</v>
      </c>
      <c r="F6801" t="s">
        <v>60</v>
      </c>
      <c r="G6801">
        <v>-199.05950000000001</v>
      </c>
      <c r="H6801" s="1">
        <v>-6.1820529999999901E-6</v>
      </c>
      <c r="I6801">
        <v>-61.9679199999999</v>
      </c>
      <c r="J6801">
        <v>-213.00640000000001</v>
      </c>
      <c r="K6801">
        <v>1.120914</v>
      </c>
      <c r="L6801">
        <v>-62.509160000000001</v>
      </c>
      <c r="M6801">
        <v>0.99984479999999998</v>
      </c>
      <c r="N6801">
        <v>-1.317081E-2</v>
      </c>
      <c r="O6801">
        <v>-1.169591E-2</v>
      </c>
      <c r="P6801">
        <v>0.99573829999999997</v>
      </c>
      <c r="Q6801">
        <v>-8.5700139999999994E-2</v>
      </c>
      <c r="R6801">
        <v>3.4067779999999999E-2</v>
      </c>
      <c r="S6801">
        <v>2.98848</v>
      </c>
      <c r="T6801">
        <v>-0.23759189999999999</v>
      </c>
      <c r="U6801">
        <v>0.1143188</v>
      </c>
      <c r="V6801">
        <v>-4.5730760000000002E-2</v>
      </c>
      <c r="W6801">
        <v>-7.2572860000000003E-2</v>
      </c>
      <c r="X6801">
        <v>0.99631420000000004</v>
      </c>
      <c r="Y6801">
        <v>-4.9702639999999999E-2</v>
      </c>
      <c r="Z6801">
        <v>3.0742619999999999E-3</v>
      </c>
      <c r="AA6801">
        <v>0.99875930000000002</v>
      </c>
      <c r="AB6801">
        <v>22</v>
      </c>
      <c r="AC6801">
        <v>13.946899999999999</v>
      </c>
      <c r="AD6801">
        <v>-1.1209201820529999</v>
      </c>
      <c r="AE6801">
        <v>0.54124000000000105</v>
      </c>
      <c r="AF6801">
        <v>-0.69982514755015301</v>
      </c>
      <c r="AG6801">
        <v>-1.1209201820529999</v>
      </c>
      <c r="AH6801">
        <v>13.8502846565305</v>
      </c>
      <c r="AI6801">
        <v>94.621062364905001</v>
      </c>
      <c r="AJ6801">
        <v>92.892572759110806</v>
      </c>
      <c r="AK6801">
        <v>13.913180885714199</v>
      </c>
      <c r="AL6801">
        <v>94.161777049374507</v>
      </c>
      <c r="AM6801">
        <v>92.628028182188302</v>
      </c>
      <c r="AN6801">
        <v>1.0000000537701901</v>
      </c>
    </row>
    <row r="6802" spans="1:40" x14ac:dyDescent="0.25">
      <c r="A6802" t="str">
        <f>"20190303154654500"</f>
        <v>20190303154654500</v>
      </c>
      <c r="B6802" t="str">
        <f>"1551599214488820"</f>
        <v>1551599214488820</v>
      </c>
      <c r="C6802" t="s">
        <v>40</v>
      </c>
      <c r="D6802">
        <v>5.1318210000000004</v>
      </c>
      <c r="E6802">
        <v>0.49826989999999999</v>
      </c>
      <c r="F6802" t="s">
        <v>60</v>
      </c>
      <c r="G6802">
        <v>-199.12180000000001</v>
      </c>
      <c r="H6802" s="1">
        <v>-6.1567620000000003E-6</v>
      </c>
      <c r="I6802">
        <v>-61.969160000000002</v>
      </c>
      <c r="J6802">
        <v>-212.8888</v>
      </c>
      <c r="K6802">
        <v>1.1209089999999999</v>
      </c>
      <c r="L6802">
        <v>-62.510590000000001</v>
      </c>
      <c r="M6802">
        <v>0.99984410000000001</v>
      </c>
      <c r="N6802">
        <v>-1.316934E-2</v>
      </c>
      <c r="O6802">
        <v>-1.1767299999999901E-2</v>
      </c>
      <c r="P6802">
        <v>0.9956758</v>
      </c>
      <c r="Q6802">
        <v>-8.6239499999999997E-2</v>
      </c>
      <c r="R6802">
        <v>3.4537739999999997E-2</v>
      </c>
      <c r="S6802">
        <v>2.988083</v>
      </c>
      <c r="T6802">
        <v>-0.24123140000000001</v>
      </c>
      <c r="U6802">
        <v>0.11621090000000001</v>
      </c>
      <c r="V6802">
        <v>-4.6270980000000003E-2</v>
      </c>
      <c r="W6802">
        <v>-7.3114419999999999E-2</v>
      </c>
      <c r="X6802">
        <v>0.99624959999999996</v>
      </c>
      <c r="Y6802">
        <v>-5.0401469999999997E-2</v>
      </c>
      <c r="Z6802">
        <v>3.1564869999999999E-3</v>
      </c>
      <c r="AA6802">
        <v>0.99872399999999995</v>
      </c>
      <c r="AB6802">
        <v>22</v>
      </c>
      <c r="AC6802">
        <v>13.7669999999999</v>
      </c>
      <c r="AD6802">
        <v>-1.1209151567619999</v>
      </c>
      <c r="AE6802">
        <v>0.54143000000000496</v>
      </c>
      <c r="AF6802">
        <v>-0.69878169435545201</v>
      </c>
      <c r="AG6802">
        <v>-1.1209151567619999</v>
      </c>
      <c r="AH6802">
        <v>13.6691978243209</v>
      </c>
      <c r="AI6802">
        <v>94.681849860321407</v>
      </c>
      <c r="AJ6802">
        <v>92.926464297796301</v>
      </c>
      <c r="AK6802">
        <v>13.7328699041913</v>
      </c>
      <c r="AL6802">
        <v>94.192889054858199</v>
      </c>
      <c r="AM6802">
        <v>92.659201099677205</v>
      </c>
      <c r="AN6802">
        <v>0.99999999375112802</v>
      </c>
    </row>
    <row r="6803" spans="1:40" x14ac:dyDescent="0.25">
      <c r="A6803" t="str">
        <f>"20190303154654513"</f>
        <v>20190303154654513</v>
      </c>
      <c r="B6803" t="str">
        <f>"1551599214508338"</f>
        <v>1551599214508338</v>
      </c>
      <c r="C6803" t="s">
        <v>40</v>
      </c>
      <c r="D6803">
        <v>5.1330179999999999</v>
      </c>
      <c r="E6803">
        <v>0.49830410000000003</v>
      </c>
      <c r="F6803" t="s">
        <v>60</v>
      </c>
      <c r="G6803">
        <v>-199.1216</v>
      </c>
      <c r="H6803" s="1">
        <v>-6.1567859999999899E-6</v>
      </c>
      <c r="I6803">
        <v>-61.968800000000002</v>
      </c>
      <c r="J6803">
        <v>-212.7619</v>
      </c>
      <c r="K6803">
        <v>1.12090499999999</v>
      </c>
      <c r="L6803">
        <v>-62.512180000000001</v>
      </c>
      <c r="M6803">
        <v>0.99984320000000004</v>
      </c>
      <c r="N6803">
        <v>-1.3167750000000001E-2</v>
      </c>
      <c r="O6803">
        <v>-1.184429E-2</v>
      </c>
      <c r="P6803">
        <v>0.99559240000000004</v>
      </c>
      <c r="Q6803">
        <v>-8.6883349999999998E-2</v>
      </c>
      <c r="R6803">
        <v>3.5311469999999998E-2</v>
      </c>
      <c r="S6803">
        <v>2.9878849999999999</v>
      </c>
      <c r="T6803">
        <v>-0.24327289999999999</v>
      </c>
      <c r="U6803">
        <v>0.1175842</v>
      </c>
      <c r="V6803">
        <v>-4.7120479999999999E-2</v>
      </c>
      <c r="W6803">
        <v>-7.3760889999999996E-2</v>
      </c>
      <c r="X6803">
        <v>0.99616210000000005</v>
      </c>
      <c r="Y6803">
        <v>-5.0933480000000003E-2</v>
      </c>
      <c r="Z6803">
        <v>3.2121490000000001E-3</v>
      </c>
      <c r="AA6803">
        <v>0.9986969</v>
      </c>
      <c r="AB6803">
        <v>22</v>
      </c>
      <c r="AC6803">
        <v>13.6402999999999</v>
      </c>
      <c r="AD6803">
        <v>-1.12091115678599</v>
      </c>
      <c r="AE6803">
        <v>0.54338000000000597</v>
      </c>
      <c r="AF6803">
        <v>-0.70019464769870698</v>
      </c>
      <c r="AG6803">
        <v>-1.12091115678599</v>
      </c>
      <c r="AH6803">
        <v>13.541605405935099</v>
      </c>
      <c r="AI6803">
        <v>94.725606407730893</v>
      </c>
      <c r="AJ6803">
        <v>92.959951998863303</v>
      </c>
      <c r="AK6803">
        <v>13.6059469106757</v>
      </c>
      <c r="AL6803">
        <v>94.230029449050406</v>
      </c>
      <c r="AM6803">
        <v>92.7081874970184</v>
      </c>
      <c r="AN6803">
        <v>0.99999996900271504</v>
      </c>
    </row>
    <row r="6804" spans="1:40" x14ac:dyDescent="0.25">
      <c r="A6804" t="str">
        <f>"20190303154654526"</f>
        <v>20190303154654526</v>
      </c>
      <c r="B6804" t="str">
        <f>"1551599214518099"</f>
        <v>1551599214518099</v>
      </c>
      <c r="C6804" t="s">
        <v>40</v>
      </c>
      <c r="D6804">
        <v>5.1030540000000002</v>
      </c>
      <c r="E6804">
        <v>0.49830629999999998</v>
      </c>
      <c r="F6804" t="s">
        <v>60</v>
      </c>
      <c r="G6804">
        <v>-199.13460000000001</v>
      </c>
      <c r="H6804" s="1">
        <v>-6.1513800000000004E-6</v>
      </c>
      <c r="I6804">
        <v>-61.966650000000001</v>
      </c>
      <c r="J6804">
        <v>-212.6294</v>
      </c>
      <c r="K6804">
        <v>1.1209020000000001</v>
      </c>
      <c r="L6804">
        <v>-62.513820000000003</v>
      </c>
      <c r="M6804">
        <v>0.99984229999999996</v>
      </c>
      <c r="N6804">
        <v>-1.316609E-2</v>
      </c>
      <c r="O6804">
        <v>-1.192462E-2</v>
      </c>
      <c r="P6804">
        <v>0.99548760000000003</v>
      </c>
      <c r="Q6804">
        <v>-8.7789160000000005E-2</v>
      </c>
      <c r="R6804">
        <v>3.6020480000000001E-2</v>
      </c>
      <c r="S6804">
        <v>2.9875949999999998</v>
      </c>
      <c r="T6804">
        <v>-0.2457443</v>
      </c>
      <c r="U6804">
        <v>0.11959839999999999</v>
      </c>
      <c r="V6804">
        <v>-4.7908579999999999E-2</v>
      </c>
      <c r="W6804">
        <v>-7.4669620000000006E-2</v>
      </c>
      <c r="X6804">
        <v>0.99605690000000002</v>
      </c>
      <c r="Y6804">
        <v>-5.1682220000000001E-2</v>
      </c>
      <c r="Z6804">
        <v>3.2843120000000002E-3</v>
      </c>
      <c r="AA6804">
        <v>0.99865820000000005</v>
      </c>
      <c r="AB6804">
        <v>22</v>
      </c>
      <c r="AC6804">
        <v>13.4947999999999</v>
      </c>
      <c r="AD6804">
        <v>-1.1209081513799899</v>
      </c>
      <c r="AE6804">
        <v>0.54716999999999405</v>
      </c>
      <c r="AF6804">
        <v>-0.70322158977846205</v>
      </c>
      <c r="AG6804">
        <v>-1.1209081513799899</v>
      </c>
      <c r="AH6804">
        <v>13.395049752762899</v>
      </c>
      <c r="AI6804">
        <v>94.776863067808705</v>
      </c>
      <c r="AJ6804">
        <v>93.005190350701795</v>
      </c>
      <c r="AK6804">
        <v>13.460249387257001</v>
      </c>
      <c r="AL6804">
        <v>94.282239413015105</v>
      </c>
      <c r="AM6804">
        <v>92.753703732399998</v>
      </c>
      <c r="AN6804">
        <v>1.0000000661130799</v>
      </c>
    </row>
    <row r="6805" spans="1:40" x14ac:dyDescent="0.25">
      <c r="A6805" t="str">
        <f>"20190303154654538"</f>
        <v>20190303154654538</v>
      </c>
      <c r="B6805" t="str">
        <f>"1551599214528835"</f>
        <v>1551599214528835</v>
      </c>
      <c r="C6805" t="s">
        <v>40</v>
      </c>
      <c r="D6805">
        <v>5.130439</v>
      </c>
      <c r="E6805">
        <v>0.49832939999999998</v>
      </c>
      <c r="F6805" t="s">
        <v>60</v>
      </c>
      <c r="G6805">
        <v>-199.17740000000001</v>
      </c>
      <c r="H6805" s="1">
        <v>-6.1339260000000001E-6</v>
      </c>
      <c r="I6805">
        <v>-61.965910000000001</v>
      </c>
      <c r="J6805">
        <v>-212.50319999999999</v>
      </c>
      <c r="K6805">
        <v>1.1208959999999999</v>
      </c>
      <c r="L6805">
        <v>-62.515410000000003</v>
      </c>
      <c r="M6805">
        <v>0.99984139999999999</v>
      </c>
      <c r="N6805">
        <v>-1.3164510000000001E-2</v>
      </c>
      <c r="O6805">
        <v>-1.200114E-2</v>
      </c>
      <c r="P6805">
        <v>0.99539560000000005</v>
      </c>
      <c r="Q6805">
        <v>-8.8470999999999994E-2</v>
      </c>
      <c r="R6805">
        <v>3.6884430000000003E-2</v>
      </c>
      <c r="S6805">
        <v>2.987244</v>
      </c>
      <c r="T6805">
        <v>-0.24891559999999999</v>
      </c>
      <c r="U6805">
        <v>0.12167360000000001</v>
      </c>
      <c r="V6805">
        <v>-4.8846920000000002E-2</v>
      </c>
      <c r="W6805">
        <v>-7.535414E-2</v>
      </c>
      <c r="X6805">
        <v>0.9959597</v>
      </c>
      <c r="Y6805">
        <v>-5.2446890000000003E-2</v>
      </c>
      <c r="Z6805">
        <v>3.3667049999999998E-3</v>
      </c>
      <c r="AA6805">
        <v>0.99861809999999995</v>
      </c>
      <c r="AB6805">
        <v>22</v>
      </c>
      <c r="AC6805">
        <v>13.3257999999999</v>
      </c>
      <c r="AD6805">
        <v>-1.1209021339259999</v>
      </c>
      <c r="AE6805">
        <v>0.54949999999999399</v>
      </c>
      <c r="AF6805">
        <v>-0.704423466459701</v>
      </c>
      <c r="AG6805">
        <v>-1.1209021339259999</v>
      </c>
      <c r="AH6805">
        <v>13.224833284097</v>
      </c>
      <c r="AI6805">
        <v>94.837835448346993</v>
      </c>
      <c r="AJ6805">
        <v>93.048990151754296</v>
      </c>
      <c r="AK6805">
        <v>13.290931096281399</v>
      </c>
      <c r="AL6805">
        <v>94.321570631025097</v>
      </c>
      <c r="AM6805">
        <v>92.807826016985999</v>
      </c>
      <c r="AN6805">
        <v>0.99999999601635803</v>
      </c>
    </row>
    <row r="6806" spans="1:40" x14ac:dyDescent="0.25">
      <c r="A6806" t="str">
        <f>"20190303154654551"</f>
        <v>20190303154654551</v>
      </c>
      <c r="B6806" t="str">
        <f>"1551599214548354"</f>
        <v>1551599214548354</v>
      </c>
      <c r="C6806" t="s">
        <v>40</v>
      </c>
      <c r="D6806">
        <v>5.1111250000000004</v>
      </c>
      <c r="E6806">
        <v>0.49840380000000001</v>
      </c>
      <c r="F6806" t="s">
        <v>60</v>
      </c>
      <c r="G6806">
        <v>-199.18049999999999</v>
      </c>
      <c r="H6806" s="1">
        <v>-6.1323910000000003E-6</v>
      </c>
      <c r="I6806">
        <v>-61.961550000000003</v>
      </c>
      <c r="J6806">
        <v>-212.38130000000001</v>
      </c>
      <c r="K6806">
        <v>1.1208929999999999</v>
      </c>
      <c r="L6806">
        <v>-62.516939999999998</v>
      </c>
      <c r="M6806">
        <v>0.99984039999999996</v>
      </c>
      <c r="N6806">
        <v>-1.3162989999999999E-2</v>
      </c>
      <c r="O6806">
        <v>-1.207504E-2</v>
      </c>
      <c r="P6806">
        <v>0.99529190000000001</v>
      </c>
      <c r="Q6806">
        <v>-8.9267940000000004E-2</v>
      </c>
      <c r="R6806">
        <v>3.7754070000000001E-2</v>
      </c>
      <c r="S6806">
        <v>2.9869539999999999</v>
      </c>
      <c r="T6806">
        <v>-0.25130629999999998</v>
      </c>
      <c r="U6806">
        <v>0.12417599999999999</v>
      </c>
      <c r="V6806">
        <v>-4.9789420000000001E-2</v>
      </c>
      <c r="W6806">
        <v>-7.6153860000000004E-2</v>
      </c>
      <c r="X6806">
        <v>0.99585219999999997</v>
      </c>
      <c r="Y6806">
        <v>-5.3351460000000003E-2</v>
      </c>
      <c r="Z6806">
        <v>3.4465559999999999E-3</v>
      </c>
      <c r="AA6806">
        <v>0.99856979999999995</v>
      </c>
      <c r="AB6806">
        <v>22</v>
      </c>
      <c r="AC6806">
        <v>13.200799999999999</v>
      </c>
      <c r="AD6806">
        <v>-1.120899132391</v>
      </c>
      <c r="AE6806">
        <v>0.55539000000000205</v>
      </c>
      <c r="AF6806">
        <v>-0.70965596217168003</v>
      </c>
      <c r="AG6806">
        <v>-1.120899132391</v>
      </c>
      <c r="AH6806">
        <v>13.0988551956306</v>
      </c>
      <c r="AI6806">
        <v>94.883888876758206</v>
      </c>
      <c r="AJ6806">
        <v>93.101078652182196</v>
      </c>
      <c r="AK6806">
        <v>13.1658662413736</v>
      </c>
      <c r="AL6806">
        <v>94.367523236822706</v>
      </c>
      <c r="AM6806">
        <v>92.862222148972904</v>
      </c>
      <c r="AN6806">
        <v>1.00000000049083</v>
      </c>
    </row>
    <row r="6807" spans="1:40" x14ac:dyDescent="0.25">
      <c r="A6807" t="str">
        <f>"20190303154654563"</f>
        <v>20190303154654563</v>
      </c>
      <c r="B6807" t="str">
        <f>"1551599214558115"</f>
        <v>1551599214558115</v>
      </c>
      <c r="C6807" t="s">
        <v>40</v>
      </c>
      <c r="D6807">
        <v>5.1078890000000001</v>
      </c>
      <c r="E6807">
        <v>0.49843490000000001</v>
      </c>
      <c r="F6807" t="s">
        <v>60</v>
      </c>
      <c r="G6807">
        <v>-199.1952</v>
      </c>
      <c r="H6807" s="1">
        <v>-6.1263000000000001E-6</v>
      </c>
      <c r="I6807">
        <v>-61.959940000000003</v>
      </c>
      <c r="J6807">
        <v>-212.25040000000001</v>
      </c>
      <c r="K6807">
        <v>1.120892</v>
      </c>
      <c r="L6807">
        <v>-62.518619999999999</v>
      </c>
      <c r="M6807">
        <v>0.99983949999999999</v>
      </c>
      <c r="N6807">
        <v>-1.316136E-2</v>
      </c>
      <c r="O6807">
        <v>-1.215453E-2</v>
      </c>
      <c r="P6807">
        <v>0.99520699999999995</v>
      </c>
      <c r="Q6807">
        <v>-8.9680789999999996E-2</v>
      </c>
      <c r="R6807">
        <v>3.8992239999999997E-2</v>
      </c>
      <c r="S6807">
        <v>2.9866489999999999</v>
      </c>
      <c r="T6807">
        <v>-0.25388379999999999</v>
      </c>
      <c r="U6807">
        <v>0.12615970000000001</v>
      </c>
      <c r="V6807">
        <v>-5.1105949999999997E-2</v>
      </c>
      <c r="W6807">
        <v>-7.6569369999999998E-2</v>
      </c>
      <c r="X6807">
        <v>0.99575360000000002</v>
      </c>
      <c r="Y6807">
        <v>-5.4088909999999997E-2</v>
      </c>
      <c r="Z6807">
        <v>3.521934E-3</v>
      </c>
      <c r="AA6807">
        <v>0.99852989999999997</v>
      </c>
      <c r="AB6807">
        <v>22</v>
      </c>
      <c r="AC6807">
        <v>13.055199999999999</v>
      </c>
      <c r="AD6807">
        <v>-1.1208981263</v>
      </c>
      <c r="AE6807">
        <v>0.55867999999999496</v>
      </c>
      <c r="AF6807">
        <v>-0.71209258241318296</v>
      </c>
      <c r="AG6807">
        <v>-1.1208981263</v>
      </c>
      <c r="AH6807">
        <v>12.9521401490182</v>
      </c>
      <c r="AI6807">
        <v>94.938720052029595</v>
      </c>
      <c r="AJ6807">
        <v>93.146882707536605</v>
      </c>
      <c r="AK6807">
        <v>13.020039281633601</v>
      </c>
      <c r="AL6807">
        <v>94.391400103280702</v>
      </c>
      <c r="AM6807">
        <v>92.938064436949006</v>
      </c>
      <c r="AN6807">
        <v>0.99999995923027896</v>
      </c>
    </row>
    <row r="6808" spans="1:40" x14ac:dyDescent="0.25">
      <c r="A6808" t="str">
        <f>"20190303154654577"</f>
        <v>20190303154654577</v>
      </c>
      <c r="B6808" t="str">
        <f>"1551599214568851"</f>
        <v>1551599214568851</v>
      </c>
      <c r="C6808" t="s">
        <v>40</v>
      </c>
      <c r="D6808">
        <v>5.0731769999999896</v>
      </c>
      <c r="E6808">
        <v>0.4984789</v>
      </c>
      <c r="F6808" t="s">
        <v>60</v>
      </c>
      <c r="G6808">
        <v>-199.14279999999999</v>
      </c>
      <c r="H6808" s="1">
        <v>-6.14704E-6</v>
      </c>
      <c r="I6808">
        <v>-61.94961</v>
      </c>
      <c r="J6808">
        <v>-212.10980000000001</v>
      </c>
      <c r="K6808">
        <v>1.1208929999999999</v>
      </c>
      <c r="L6808">
        <v>-62.520389999999999</v>
      </c>
      <c r="M6808">
        <v>0.99983860000000002</v>
      </c>
      <c r="N6808">
        <v>-1.3159590000000001E-2</v>
      </c>
      <c r="O6808">
        <v>-1.223987E-2</v>
      </c>
      <c r="P6808">
        <v>0.99515600000000004</v>
      </c>
      <c r="Q6808">
        <v>-8.9089539999999995E-2</v>
      </c>
      <c r="R6808">
        <v>4.1566430000000001E-2</v>
      </c>
      <c r="S6808">
        <v>2.9863430000000002</v>
      </c>
      <c r="T6808">
        <v>-0.25537900000000002</v>
      </c>
      <c r="U6808">
        <v>0.1296387</v>
      </c>
      <c r="V6808">
        <v>-5.376334E-2</v>
      </c>
      <c r="W6808">
        <v>-7.5980420000000007E-2</v>
      </c>
      <c r="X6808">
        <v>0.99565879999999995</v>
      </c>
      <c r="Y6808">
        <v>-5.5331119999999998E-2</v>
      </c>
      <c r="Z6808">
        <v>3.6090470000000002E-3</v>
      </c>
      <c r="AA6808">
        <v>0.9984615</v>
      </c>
      <c r="AB6808">
        <v>22</v>
      </c>
      <c r="AC6808">
        <v>12.967000000000001</v>
      </c>
      <c r="AD6808">
        <v>-1.12089914704</v>
      </c>
      <c r="AE6808">
        <v>0.57077999999999895</v>
      </c>
      <c r="AF6808">
        <v>-0.72406538919414198</v>
      </c>
      <c r="AG6808">
        <v>-1.12089914704</v>
      </c>
      <c r="AH6808">
        <v>12.863110503619099</v>
      </c>
      <c r="AI6808">
        <v>94.972376349470494</v>
      </c>
      <c r="AJ6808">
        <v>93.221783485781799</v>
      </c>
      <c r="AK6808">
        <v>12.932142027289199</v>
      </c>
      <c r="AL6808">
        <v>94.357557055813899</v>
      </c>
      <c r="AM6808">
        <v>93.090841751590403</v>
      </c>
      <c r="AN6808">
        <v>0.99999998348438501</v>
      </c>
    </row>
    <row r="6809" spans="1:40" x14ac:dyDescent="0.25">
      <c r="A6809" t="str">
        <f>"20190303154654589"</f>
        <v>20190303154654589</v>
      </c>
      <c r="B6809" t="str">
        <f>"1551599214578611"</f>
        <v>1551599214578611</v>
      </c>
      <c r="C6809" t="s">
        <v>40</v>
      </c>
      <c r="D6809">
        <v>5.0316349999999996</v>
      </c>
      <c r="E6809">
        <v>0.49848170000000003</v>
      </c>
      <c r="F6809" t="s">
        <v>60</v>
      </c>
      <c r="G6809">
        <v>-198.91130000000001</v>
      </c>
      <c r="H6809" s="1">
        <v>-6.2393469999999999E-6</v>
      </c>
      <c r="I6809">
        <v>-61.91489</v>
      </c>
      <c r="J6809">
        <v>-211.99629999999999</v>
      </c>
      <c r="K6809">
        <v>1.120889</v>
      </c>
      <c r="L6809">
        <v>-62.521850000000001</v>
      </c>
      <c r="M6809">
        <v>0.9998378</v>
      </c>
      <c r="N6809">
        <v>-1.315817E-2</v>
      </c>
      <c r="O6809">
        <v>-1.2308879999999999E-2</v>
      </c>
      <c r="P6809">
        <v>0.99512210000000001</v>
      </c>
      <c r="Q6809">
        <v>-8.8680540000000002E-2</v>
      </c>
      <c r="R6809">
        <v>4.3224640000000002E-2</v>
      </c>
      <c r="S6809">
        <v>2.9861759999999999</v>
      </c>
      <c r="T6809">
        <v>-0.25360369999999999</v>
      </c>
      <c r="U6809">
        <v>0.13699339999999999</v>
      </c>
      <c r="V6809">
        <v>-5.5489820000000002E-2</v>
      </c>
      <c r="W6809">
        <v>-7.5573169999999995E-2</v>
      </c>
      <c r="X6809">
        <v>0.99559509999999996</v>
      </c>
      <c r="Y6809">
        <v>-5.784943E-2</v>
      </c>
      <c r="Z6809">
        <v>3.7137070000000001E-3</v>
      </c>
      <c r="AA6809">
        <v>0.99831840000000005</v>
      </c>
      <c r="AB6809">
        <v>22</v>
      </c>
      <c r="AC6809">
        <v>13.0849999999999</v>
      </c>
      <c r="AD6809">
        <v>-1.120895239347</v>
      </c>
      <c r="AE6809">
        <v>0.60696000000000006</v>
      </c>
      <c r="AF6809">
        <v>-0.76240703411889799</v>
      </c>
      <c r="AG6809">
        <v>-1.120895239347</v>
      </c>
      <c r="AH6809">
        <v>12.981482238972999</v>
      </c>
      <c r="AI6809">
        <v>94.926557066193993</v>
      </c>
      <c r="AJ6809">
        <v>93.361140427206806</v>
      </c>
      <c r="AK6809">
        <v>13.052070783750599</v>
      </c>
      <c r="AL6809">
        <v>94.334155935680499</v>
      </c>
      <c r="AM6809">
        <v>93.190098558266897</v>
      </c>
      <c r="AN6809">
        <v>1.0000000136457401</v>
      </c>
    </row>
    <row r="6810" spans="1:40" x14ac:dyDescent="0.25">
      <c r="A6810" t="str">
        <f>"20190303154654602"</f>
        <v>20190303154654602</v>
      </c>
      <c r="B6810" t="str">
        <f>"1551599214598130"</f>
        <v>1551599214598130</v>
      </c>
      <c r="C6810" t="s">
        <v>40</v>
      </c>
      <c r="D6810">
        <v>5.0513440000000003</v>
      </c>
      <c r="E6810">
        <v>0.47977180000000003</v>
      </c>
      <c r="F6810" t="s">
        <v>60</v>
      </c>
      <c r="G6810">
        <v>-198.74260000000001</v>
      </c>
      <c r="H6810" s="1">
        <v>-6.3067269999999998E-6</v>
      </c>
      <c r="I6810">
        <v>-61.891849999999998</v>
      </c>
      <c r="J6810">
        <v>-211.87649999999999</v>
      </c>
      <c r="K6810">
        <v>1.120892</v>
      </c>
      <c r="L6810">
        <v>-62.523380000000003</v>
      </c>
      <c r="M6810">
        <v>0.99983690000000003</v>
      </c>
      <c r="N6810">
        <v>-1.3156670000000001E-2</v>
      </c>
      <c r="O6810">
        <v>-1.238123E-2</v>
      </c>
      <c r="P6810">
        <v>0.99510710000000002</v>
      </c>
      <c r="Q6810">
        <v>-8.7796910000000006E-2</v>
      </c>
      <c r="R6810">
        <v>4.5316719999999998E-2</v>
      </c>
      <c r="S6810">
        <v>2.9860229999999999</v>
      </c>
      <c r="T6810">
        <v>-0.25253370000000003</v>
      </c>
      <c r="U6810">
        <v>0.14193729999999999</v>
      </c>
      <c r="V6810">
        <v>-5.7653580000000003E-2</v>
      </c>
      <c r="W6810">
        <v>-7.4691209999999994E-2</v>
      </c>
      <c r="X6810">
        <v>0.9955387</v>
      </c>
      <c r="Y6810">
        <v>-5.9568120000000002E-2</v>
      </c>
      <c r="Z6810">
        <v>3.7880489999999999E-3</v>
      </c>
      <c r="AA6810">
        <v>0.99821700000000002</v>
      </c>
      <c r="AB6810">
        <v>22</v>
      </c>
      <c r="AC6810">
        <v>13.133899999999899</v>
      </c>
      <c r="AD6810">
        <v>-1.120898306727</v>
      </c>
      <c r="AE6810">
        <v>0.63153000000000503</v>
      </c>
      <c r="AF6810">
        <v>-0.788380491197748</v>
      </c>
      <c r="AG6810">
        <v>-1.120898306727</v>
      </c>
      <c r="AH6810">
        <v>13.0303843674044</v>
      </c>
      <c r="AI6810">
        <v>94.907657518080697</v>
      </c>
      <c r="AJ6810">
        <v>93.462359676572106</v>
      </c>
      <c r="AK6810">
        <v>13.1022468903323</v>
      </c>
      <c r="AL6810">
        <v>94.283480143645306</v>
      </c>
      <c r="AM6810">
        <v>93.314407920007596</v>
      </c>
      <c r="AN6810">
        <v>1.0000000076678801</v>
      </c>
    </row>
    <row r="6811" spans="1:40" x14ac:dyDescent="0.25">
      <c r="A6811" t="str">
        <f>"20190303154654611"</f>
        <v>20190303154654611</v>
      </c>
      <c r="B6811" t="str">
        <f>"1551599214608866"</f>
        <v>1551599214608866</v>
      </c>
      <c r="C6811" t="s">
        <v>40</v>
      </c>
      <c r="D6811">
        <v>5.0318459999999998</v>
      </c>
      <c r="E6811">
        <v>0.47440450000000001</v>
      </c>
      <c r="F6811" t="s">
        <v>60</v>
      </c>
      <c r="G6811">
        <v>-199.67310000000001</v>
      </c>
      <c r="H6811" s="1">
        <v>-5.8937180000000001E-6</v>
      </c>
      <c r="I6811">
        <v>-61.30583</v>
      </c>
      <c r="J6811">
        <v>-211.76900000000001</v>
      </c>
      <c r="K6811">
        <v>1.1208940000000001</v>
      </c>
      <c r="L6811">
        <v>-62.52478</v>
      </c>
      <c r="M6811">
        <v>0.99983599999999995</v>
      </c>
      <c r="N6811">
        <v>-1.315527E-2</v>
      </c>
      <c r="O6811">
        <v>-1.2446540000000001E-2</v>
      </c>
      <c r="P6811">
        <v>0.99501729999999999</v>
      </c>
      <c r="Q6811">
        <v>-8.7746019999999994E-2</v>
      </c>
      <c r="R6811">
        <v>4.7340630000000002E-2</v>
      </c>
      <c r="S6811">
        <v>2.9770970000000001</v>
      </c>
      <c r="T6811">
        <v>-0.27344950000000001</v>
      </c>
      <c r="U6811">
        <v>0.2970276</v>
      </c>
      <c r="V6811">
        <v>-5.9740960000000003E-2</v>
      </c>
      <c r="W6811">
        <v>-7.4642769999999997E-2</v>
      </c>
      <c r="X6811">
        <v>0.99541930000000001</v>
      </c>
      <c r="Y6811">
        <v>-0.11108800000000001</v>
      </c>
      <c r="Z6811">
        <v>6.7879610000000003E-3</v>
      </c>
      <c r="AA6811">
        <v>0.99378739999999999</v>
      </c>
      <c r="AB6811">
        <v>22</v>
      </c>
      <c r="AC6811">
        <v>12.0959</v>
      </c>
      <c r="AD6811">
        <v>-1.1208998937179999</v>
      </c>
      <c r="AE6811">
        <v>1.21894999999999</v>
      </c>
      <c r="AF6811">
        <v>-1.3578774026224001</v>
      </c>
      <c r="AG6811">
        <v>-1.1208998937179999</v>
      </c>
      <c r="AH6811">
        <v>11.9779653817021</v>
      </c>
      <c r="AI6811">
        <v>95.312348046619803</v>
      </c>
      <c r="AJ6811">
        <v>96.467701522878201</v>
      </c>
      <c r="AK6811">
        <v>12.1066883290825</v>
      </c>
      <c r="AL6811">
        <v>94.280696767744899</v>
      </c>
      <c r="AM6811">
        <v>93.434536653243597</v>
      </c>
      <c r="AN6811">
        <v>1.0000000541137399</v>
      </c>
    </row>
    <row r="6812" spans="1:40" x14ac:dyDescent="0.25">
      <c r="A6812" t="str">
        <f>"20190303154654623"</f>
        <v>20190303154654623</v>
      </c>
      <c r="B6812" t="str">
        <f>"1551599214618627"</f>
        <v>1551599214618627</v>
      </c>
      <c r="C6812" t="s">
        <v>40</v>
      </c>
      <c r="D6812">
        <v>5.0033609999999999</v>
      </c>
      <c r="E6812">
        <v>0.47100880000000001</v>
      </c>
      <c r="F6812" t="s">
        <v>60</v>
      </c>
      <c r="G6812">
        <v>-199.8124</v>
      </c>
      <c r="H6812" s="1">
        <v>-5.8270560000000001E-6</v>
      </c>
      <c r="I6812">
        <v>-61.134909999999998</v>
      </c>
      <c r="J6812">
        <v>-211.65880000000001</v>
      </c>
      <c r="K6812">
        <v>1.1208940000000001</v>
      </c>
      <c r="L6812">
        <v>-62.526209999999999</v>
      </c>
      <c r="M6812">
        <v>0.99983529999999998</v>
      </c>
      <c r="N6812">
        <v>-1.315384E-2</v>
      </c>
      <c r="O6812">
        <v>-1.251352E-2</v>
      </c>
      <c r="P6812">
        <v>0.99492000000000003</v>
      </c>
      <c r="Q6812">
        <v>-8.7587479999999995E-2</v>
      </c>
      <c r="R6812">
        <v>4.9626440000000001E-2</v>
      </c>
      <c r="S6812">
        <v>2.9739840000000002</v>
      </c>
      <c r="T6812">
        <v>-0.27880290000000002</v>
      </c>
      <c r="U6812">
        <v>0.34570309999999999</v>
      </c>
      <c r="V6812">
        <v>-6.2092000000000001E-2</v>
      </c>
      <c r="W6812">
        <v>-7.4486800000000006E-2</v>
      </c>
      <c r="X6812">
        <v>0.99528709999999998</v>
      </c>
      <c r="Y6812">
        <v>-0.12721779999999999</v>
      </c>
      <c r="Z6812">
        <v>7.7749949999999998E-3</v>
      </c>
      <c r="AA6812">
        <v>0.99184439999999996</v>
      </c>
      <c r="AB6812">
        <v>22</v>
      </c>
      <c r="AC6812">
        <v>11.846399999999999</v>
      </c>
      <c r="AD6812">
        <v>-1.120899827056</v>
      </c>
      <c r="AE6812">
        <v>1.3913</v>
      </c>
      <c r="AF6812">
        <v>-1.52596814661206</v>
      </c>
      <c r="AG6812">
        <v>-1.120899827056</v>
      </c>
      <c r="AH6812">
        <v>11.724521129705201</v>
      </c>
      <c r="AI6812">
        <v>95.415651373285698</v>
      </c>
      <c r="AJ6812">
        <v>97.415467883936302</v>
      </c>
      <c r="AK6812">
        <v>11.8764216381733</v>
      </c>
      <c r="AL6812">
        <v>94.2717353920779</v>
      </c>
      <c r="AM6812">
        <v>93.569829113584802</v>
      </c>
      <c r="AN6812">
        <v>1.0000000556323201</v>
      </c>
    </row>
    <row r="6813" spans="1:40" x14ac:dyDescent="0.25">
      <c r="A6813" t="str">
        <f>"20190303154654635"</f>
        <v>20190303154654635</v>
      </c>
      <c r="B6813" t="str">
        <f>"1551599214628387"</f>
        <v>1551599214628387</v>
      </c>
      <c r="C6813" t="s">
        <v>40</v>
      </c>
      <c r="D6813">
        <v>4.9770760000000003</v>
      </c>
      <c r="E6813">
        <v>0.46908270000000002</v>
      </c>
      <c r="F6813" t="s">
        <v>60</v>
      </c>
      <c r="G6813">
        <v>-199.57640000000001</v>
      </c>
      <c r="H6813" s="1">
        <v>-5.9143310000000001E-6</v>
      </c>
      <c r="I6813">
        <v>-60.982869999999998</v>
      </c>
      <c r="J6813">
        <v>-211.54470000000001</v>
      </c>
      <c r="K6813">
        <v>1.1208929999999999</v>
      </c>
      <c r="L6813">
        <v>-62.527709999999999</v>
      </c>
      <c r="M6813">
        <v>0.99983420000000001</v>
      </c>
      <c r="N6813">
        <v>-1.315238E-2</v>
      </c>
      <c r="O6813">
        <v>-1.258277E-2</v>
      </c>
      <c r="P6813">
        <v>0.99479930000000005</v>
      </c>
      <c r="Q6813">
        <v>-8.7974739999999996E-2</v>
      </c>
      <c r="R6813">
        <v>5.1328980000000003E-2</v>
      </c>
      <c r="S6813">
        <v>2.972092</v>
      </c>
      <c r="T6813">
        <v>-0.27572439999999998</v>
      </c>
      <c r="U6813">
        <v>0.3796387</v>
      </c>
      <c r="V6813">
        <v>-6.3861680000000004E-2</v>
      </c>
      <c r="W6813">
        <v>-7.4876999999999999E-2</v>
      </c>
      <c r="X6813">
        <v>0.99514579999999997</v>
      </c>
      <c r="Y6813">
        <v>-0.1384686</v>
      </c>
      <c r="Z6813">
        <v>8.2957769999999903E-3</v>
      </c>
      <c r="AA6813">
        <v>0.99033210000000005</v>
      </c>
      <c r="AB6813">
        <v>22</v>
      </c>
      <c r="AC6813">
        <v>11.968299999999999</v>
      </c>
      <c r="AD6813">
        <v>-1.120898914331</v>
      </c>
      <c r="AE6813">
        <v>1.54484</v>
      </c>
      <c r="AF6813">
        <v>-1.6808235597547401</v>
      </c>
      <c r="AG6813">
        <v>-1.120898914331</v>
      </c>
      <c r="AH6813">
        <v>11.8457118183077</v>
      </c>
      <c r="AI6813">
        <v>95.352215253307094</v>
      </c>
      <c r="AJ6813">
        <v>98.075958442365405</v>
      </c>
      <c r="AK6813">
        <v>12.016757911249201</v>
      </c>
      <c r="AL6813">
        <v>94.294154960233698</v>
      </c>
      <c r="AM6813">
        <v>93.671818014615397</v>
      </c>
      <c r="AN6813">
        <v>1.0000000212795299</v>
      </c>
    </row>
    <row r="6814" spans="1:40" x14ac:dyDescent="0.25">
      <c r="A6814" t="str">
        <f>"20190303154654646"</f>
        <v>20190303154654646</v>
      </c>
      <c r="B6814" t="str">
        <f>"1551599214638146"</f>
        <v>1551599214638146</v>
      </c>
      <c r="C6814" t="s">
        <v>40</v>
      </c>
      <c r="D6814">
        <v>5.0163229999999999</v>
      </c>
      <c r="E6814">
        <v>0.4680762</v>
      </c>
      <c r="F6814" t="s">
        <v>60</v>
      </c>
      <c r="G6814">
        <v>-199.51660000000001</v>
      </c>
      <c r="H6814" s="1">
        <v>-5.9343290000000003E-6</v>
      </c>
      <c r="I6814">
        <v>-60.907719999999998</v>
      </c>
      <c r="J6814">
        <v>-211.42830000000001</v>
      </c>
      <c r="K6814">
        <v>1.1208910000000001</v>
      </c>
      <c r="L6814">
        <v>-62.529269999999997</v>
      </c>
      <c r="M6814">
        <v>0.99983350000000004</v>
      </c>
      <c r="N6814">
        <v>-1.3150899999999899E-2</v>
      </c>
      <c r="O6814">
        <v>-1.265345E-2</v>
      </c>
      <c r="P6814">
        <v>0.99465190000000003</v>
      </c>
      <c r="Q6814">
        <v>-8.8382420000000003E-2</v>
      </c>
      <c r="R6814">
        <v>5.344206E-2</v>
      </c>
      <c r="S6814">
        <v>2.9705659999999998</v>
      </c>
      <c r="T6814">
        <v>-0.27682669999999998</v>
      </c>
      <c r="U6814">
        <v>0.40008539999999998</v>
      </c>
      <c r="V6814">
        <v>-6.6043229999999994E-2</v>
      </c>
      <c r="W6814">
        <v>-7.5287930000000003E-2</v>
      </c>
      <c r="X6814">
        <v>0.99497230000000003</v>
      </c>
      <c r="Y6814">
        <v>-0.14526159999999999</v>
      </c>
      <c r="Z6814">
        <v>8.6917499999999998E-3</v>
      </c>
      <c r="AA6814">
        <v>0.98935510000000004</v>
      </c>
      <c r="AB6814">
        <v>22</v>
      </c>
      <c r="AC6814">
        <v>11.9116999999999</v>
      </c>
      <c r="AD6814">
        <v>-1.1208969343290001</v>
      </c>
      <c r="AE6814">
        <v>1.6215499999999901</v>
      </c>
      <c r="AF6814">
        <v>-1.7568833067351199</v>
      </c>
      <c r="AG6814">
        <v>-1.1208969343290001</v>
      </c>
      <c r="AH6814">
        <v>11.7877459936006</v>
      </c>
      <c r="AI6814">
        <v>95.372927833006699</v>
      </c>
      <c r="AJ6814">
        <v>98.477143452779302</v>
      </c>
      <c r="AK6814">
        <v>11.970547376812799</v>
      </c>
      <c r="AL6814">
        <v>94.317766559583603</v>
      </c>
      <c r="AM6814">
        <v>93.797548618454698</v>
      </c>
      <c r="AN6814">
        <v>0.99999992919990099</v>
      </c>
    </row>
    <row r="6815" spans="1:40" x14ac:dyDescent="0.25">
      <c r="A6815" t="str">
        <f>"20190303154654660"</f>
        <v>20190303154654660</v>
      </c>
      <c r="B6815" t="str">
        <f>"1551599214648883"</f>
        <v>1551599214648883</v>
      </c>
      <c r="C6815" t="s">
        <v>40</v>
      </c>
      <c r="D6815">
        <v>4.973897</v>
      </c>
      <c r="E6815">
        <v>0.4673407</v>
      </c>
      <c r="F6815" t="s">
        <v>60</v>
      </c>
      <c r="G6815">
        <v>-199.38720000000001</v>
      </c>
      <c r="H6815" s="1">
        <v>-5.98361599999999E-6</v>
      </c>
      <c r="I6815">
        <v>-60.848669999999998</v>
      </c>
      <c r="J6815">
        <v>-211.2903</v>
      </c>
      <c r="K6815">
        <v>1.120897</v>
      </c>
      <c r="L6815">
        <v>-62.531100000000002</v>
      </c>
      <c r="M6815">
        <v>0.99983259999999996</v>
      </c>
      <c r="N6815">
        <v>-1.314916E-2</v>
      </c>
      <c r="O6815">
        <v>-1.273759E-2</v>
      </c>
      <c r="P6815">
        <v>0.99452629999999997</v>
      </c>
      <c r="Q6815">
        <v>-8.8793440000000001E-2</v>
      </c>
      <c r="R6815">
        <v>5.5075979999999997E-2</v>
      </c>
      <c r="S6815">
        <v>2.969284</v>
      </c>
      <c r="T6815">
        <v>-0.27640890000000001</v>
      </c>
      <c r="U6815">
        <v>0.41442869999999998</v>
      </c>
      <c r="V6815">
        <v>-6.7758949999999998E-2</v>
      </c>
      <c r="W6815">
        <v>-7.5702240000000004E-2</v>
      </c>
      <c r="X6815">
        <v>0.99482550000000003</v>
      </c>
      <c r="Y6815">
        <v>-0.15006889999999901</v>
      </c>
      <c r="Z6815">
        <v>8.9416689999999993E-3</v>
      </c>
      <c r="AA6815">
        <v>0.98863509999999999</v>
      </c>
      <c r="AB6815">
        <v>22</v>
      </c>
      <c r="AC6815">
        <v>11.903099999999901</v>
      </c>
      <c r="AD6815">
        <v>-1.120902983616</v>
      </c>
      <c r="AE6815">
        <v>1.6824300000000001</v>
      </c>
      <c r="AF6815">
        <v>-1.8181164735864499</v>
      </c>
      <c r="AG6815">
        <v>-1.120902983616</v>
      </c>
      <c r="AH6815">
        <v>11.778300406167</v>
      </c>
      <c r="AI6815">
        <v>95.373025981041707</v>
      </c>
      <c r="AJ6815">
        <v>98.775006165779899</v>
      </c>
      <c r="AK6815">
        <v>11.9703939562622</v>
      </c>
      <c r="AL6815">
        <v>94.341572667729693</v>
      </c>
      <c r="AM6815">
        <v>93.896477294537206</v>
      </c>
      <c r="AN6815">
        <v>0.99999993994818304</v>
      </c>
    </row>
    <row r="6816" spans="1:40" x14ac:dyDescent="0.25">
      <c r="A6816" t="str">
        <f>"20190303154654674"</f>
        <v>20190303154654674</v>
      </c>
      <c r="B6816" t="str">
        <f>"1551599214668404"</f>
        <v>1551599214668404</v>
      </c>
      <c r="C6816" t="s">
        <v>40</v>
      </c>
      <c r="D6816">
        <v>4.9985629999999999</v>
      </c>
      <c r="E6816">
        <v>0.46635929999999998</v>
      </c>
      <c r="F6816" t="s">
        <v>60</v>
      </c>
      <c r="G6816">
        <v>-199.21209999999999</v>
      </c>
      <c r="H6816" s="1">
        <v>-6.0521860000000003E-6</v>
      </c>
      <c r="I6816">
        <v>-60.801110000000001</v>
      </c>
      <c r="J6816">
        <v>-211.16069999999999</v>
      </c>
      <c r="K6816">
        <v>1.1208959999999999</v>
      </c>
      <c r="L6816">
        <v>-62.53284</v>
      </c>
      <c r="M6816">
        <v>0.99983140000000004</v>
      </c>
      <c r="N6816">
        <v>-1.3147509999999999E-2</v>
      </c>
      <c r="O6816">
        <v>-1.281613E-2</v>
      </c>
      <c r="P6816">
        <v>0.99440989999999996</v>
      </c>
      <c r="Q6816">
        <v>-8.9341390000000007E-2</v>
      </c>
      <c r="R6816">
        <v>5.6277470000000003E-2</v>
      </c>
      <c r="S6816">
        <v>2.9683989999999998</v>
      </c>
      <c r="T6816">
        <v>-0.27547880000000002</v>
      </c>
      <c r="U6816">
        <v>0.42517090000000002</v>
      </c>
      <c r="V6816">
        <v>-6.9037249999999994E-2</v>
      </c>
      <c r="W6816">
        <v>-7.6253290000000001E-2</v>
      </c>
      <c r="X6816">
        <v>0.99469560000000001</v>
      </c>
      <c r="Y6816">
        <v>-0.1536807</v>
      </c>
      <c r="Z6816">
        <v>9.1115390000000001E-3</v>
      </c>
      <c r="AA6816">
        <v>0.98807849999999997</v>
      </c>
      <c r="AB6816">
        <v>22</v>
      </c>
      <c r="AC6816">
        <v>11.948600000000001</v>
      </c>
      <c r="AD6816">
        <v>-1.12090205218599</v>
      </c>
      <c r="AE6816">
        <v>1.73173</v>
      </c>
      <c r="AF6816">
        <v>-1.8686294731995401</v>
      </c>
      <c r="AG6816">
        <v>-1.12090205218599</v>
      </c>
      <c r="AH6816">
        <v>11.8235117859548</v>
      </c>
      <c r="AI6816">
        <v>95.349608588474197</v>
      </c>
      <c r="AJ6816">
        <v>98.980943959770201</v>
      </c>
      <c r="AK6816">
        <v>12.0226298483866</v>
      </c>
      <c r="AL6816">
        <v>94.3732366779508</v>
      </c>
      <c r="AM6816">
        <v>93.970269818999</v>
      </c>
      <c r="AN6816">
        <v>1.00000002139137</v>
      </c>
    </row>
    <row r="6817" spans="1:40" x14ac:dyDescent="0.25">
      <c r="A6817" t="str">
        <f>"20190303154654685"</f>
        <v>20190303154654685</v>
      </c>
      <c r="B6817" t="str">
        <f>"1551599214678163"</f>
        <v>1551599214678163</v>
      </c>
      <c r="C6817" t="s">
        <v>40</v>
      </c>
      <c r="D6817">
        <v>4.9823649999999997</v>
      </c>
      <c r="E6817">
        <v>0.46614159999999999</v>
      </c>
      <c r="F6817" t="s">
        <v>60</v>
      </c>
      <c r="G6817">
        <v>-199.0472</v>
      </c>
      <c r="H6817" s="1">
        <v>-6.1164170000000003E-6</v>
      </c>
      <c r="I6817">
        <v>-60.750549999999997</v>
      </c>
      <c r="J6817">
        <v>-211.0386</v>
      </c>
      <c r="K6817">
        <v>1.120895</v>
      </c>
      <c r="L6817">
        <v>-62.53445</v>
      </c>
      <c r="M6817">
        <v>0.99983049999999996</v>
      </c>
      <c r="N6817">
        <v>-1.314596E-2</v>
      </c>
      <c r="O6817">
        <v>-1.2890270000000001E-2</v>
      </c>
      <c r="P6817">
        <v>0.99430130000000005</v>
      </c>
      <c r="Q6817">
        <v>-8.9710200000000004E-2</v>
      </c>
      <c r="R6817">
        <v>5.7595170000000001E-2</v>
      </c>
      <c r="S6817">
        <v>2.9674990000000001</v>
      </c>
      <c r="T6817">
        <v>-0.27459220000000001</v>
      </c>
      <c r="U6817">
        <v>0.43661499999999998</v>
      </c>
      <c r="V6817">
        <v>-7.042727E-2</v>
      </c>
      <c r="W6817">
        <v>-7.6625009999999993E-2</v>
      </c>
      <c r="X6817">
        <v>0.9945695</v>
      </c>
      <c r="Y6817">
        <v>-0.15751289999999901</v>
      </c>
      <c r="Z6817">
        <v>9.2926959999999996E-3</v>
      </c>
      <c r="AA6817">
        <v>0.98747320000000005</v>
      </c>
      <c r="AB6817">
        <v>22</v>
      </c>
      <c r="AC6817">
        <v>11.991400000000001</v>
      </c>
      <c r="AD6817">
        <v>-1.120901116417</v>
      </c>
      <c r="AE6817">
        <v>1.7839</v>
      </c>
      <c r="AF6817">
        <v>-1.92190813505111</v>
      </c>
      <c r="AG6817">
        <v>-1.120901116417</v>
      </c>
      <c r="AH6817">
        <v>11.865970742844199</v>
      </c>
      <c r="AI6817">
        <v>95.327328626408899</v>
      </c>
      <c r="AJ6817">
        <v>99.200189337094201</v>
      </c>
      <c r="AK6817">
        <v>12.072754940873899</v>
      </c>
      <c r="AL6817">
        <v>94.394597512365493</v>
      </c>
      <c r="AM6817">
        <v>94.050456998892102</v>
      </c>
      <c r="AN6817">
        <v>0.99999994142369897</v>
      </c>
    </row>
    <row r="6818" spans="1:40" x14ac:dyDescent="0.25">
      <c r="A6818" t="str">
        <f>"20190303154654697"</f>
        <v>20190303154654697</v>
      </c>
      <c r="B6818" t="str">
        <f>"1551599214688898"</f>
        <v>1551599214688898</v>
      </c>
      <c r="C6818" t="s">
        <v>40</v>
      </c>
      <c r="D6818">
        <v>4.949001</v>
      </c>
      <c r="E6818">
        <v>0.46597359999999999</v>
      </c>
      <c r="F6818" t="s">
        <v>60</v>
      </c>
      <c r="G6818">
        <v>-198.96539999999999</v>
      </c>
      <c r="H6818" s="1">
        <v>-6.1487689999999997E-6</v>
      </c>
      <c r="I6818">
        <v>-60.734419999999901</v>
      </c>
      <c r="J6818">
        <v>-210.9205</v>
      </c>
      <c r="K6818">
        <v>1.1208940000000001</v>
      </c>
      <c r="L6818">
        <v>-62.536070000000002</v>
      </c>
      <c r="M6818">
        <v>0.99982959999999999</v>
      </c>
      <c r="N6818">
        <v>-1.314447E-2</v>
      </c>
      <c r="O6818">
        <v>-1.296225E-2</v>
      </c>
      <c r="P6818">
        <v>0.99421079999999995</v>
      </c>
      <c r="Q6818">
        <v>-9.0037149999999996E-2</v>
      </c>
      <c r="R6818">
        <v>5.8636029999999999E-2</v>
      </c>
      <c r="S6818">
        <v>2.9667210000000002</v>
      </c>
      <c r="T6818">
        <v>-0.27543810000000002</v>
      </c>
      <c r="U6818">
        <v>0.44232179999999999</v>
      </c>
      <c r="V6818">
        <v>-7.1538459999999998E-2</v>
      </c>
      <c r="W6818">
        <v>-7.6954610000000007E-2</v>
      </c>
      <c r="X6818">
        <v>0.99446480000000004</v>
      </c>
      <c r="Y6818">
        <v>-0.15946529999999901</v>
      </c>
      <c r="Z6818">
        <v>9.4281899999999995E-3</v>
      </c>
      <c r="AA6818">
        <v>0.98715850000000005</v>
      </c>
      <c r="AB6818">
        <v>22</v>
      </c>
      <c r="AC6818">
        <v>11.9551</v>
      </c>
      <c r="AD6818">
        <v>-1.120900148769</v>
      </c>
      <c r="AE6818">
        <v>1.80165</v>
      </c>
      <c r="AF6818">
        <v>-1.93980328332231</v>
      </c>
      <c r="AG6818">
        <v>-1.120900148769</v>
      </c>
      <c r="AH6818">
        <v>11.829062479968</v>
      </c>
      <c r="AI6818">
        <v>95.342147922449698</v>
      </c>
      <c r="AJ6818">
        <v>99.312830244746806</v>
      </c>
      <c r="AK6818">
        <v>12.0393510238918</v>
      </c>
      <c r="AL6818">
        <v>94.4135378655902</v>
      </c>
      <c r="AM6818">
        <v>94.114578360715996</v>
      </c>
      <c r="AN6818">
        <v>1.00000000084923</v>
      </c>
    </row>
    <row r="6819" spans="1:40" x14ac:dyDescent="0.25">
      <c r="A6819" t="str">
        <f>"20190303154654712"</f>
        <v>20190303154654712</v>
      </c>
      <c r="B6819" t="str">
        <f>"1551599214708418"</f>
        <v>1551599214708418</v>
      </c>
      <c r="C6819" t="s">
        <v>40</v>
      </c>
      <c r="D6819">
        <v>4.9193429999999996</v>
      </c>
      <c r="E6819">
        <v>0.46599459999999998</v>
      </c>
      <c r="F6819" t="s">
        <v>60</v>
      </c>
      <c r="G6819">
        <v>-198.85300000000001</v>
      </c>
      <c r="H6819" s="1">
        <v>-6.1936399999999997E-6</v>
      </c>
      <c r="I6819">
        <v>-60.718679999999999</v>
      </c>
      <c r="J6819">
        <v>-210.77770000000001</v>
      </c>
      <c r="K6819">
        <v>1.1208929999999999</v>
      </c>
      <c r="L6819">
        <v>-62.537990000000001</v>
      </c>
      <c r="M6819">
        <v>0.99982850000000001</v>
      </c>
      <c r="N6819">
        <v>-1.314269E-2</v>
      </c>
      <c r="O6819">
        <v>-1.304902E-2</v>
      </c>
      <c r="P6819">
        <v>0.99406950000000005</v>
      </c>
      <c r="Q6819">
        <v>-9.0373990000000001E-2</v>
      </c>
      <c r="R6819">
        <v>6.0485490000000003E-2</v>
      </c>
      <c r="S6819">
        <v>2.9661870000000001</v>
      </c>
      <c r="T6819">
        <v>-0.27551779999999998</v>
      </c>
      <c r="U6819">
        <v>0.44671630000000001</v>
      </c>
      <c r="V6819">
        <v>-7.3472060000000006E-2</v>
      </c>
      <c r="W6819">
        <v>-7.7294989999999994E-2</v>
      </c>
      <c r="X6819">
        <v>0.9942974</v>
      </c>
      <c r="Y6819">
        <v>-0.1609989</v>
      </c>
      <c r="Z6819">
        <v>9.5189650000000008E-3</v>
      </c>
      <c r="AA6819">
        <v>0.98690869999999997</v>
      </c>
      <c r="AB6819">
        <v>22</v>
      </c>
      <c r="AC6819">
        <v>11.9247</v>
      </c>
      <c r="AD6819">
        <v>-1.1208991936399999</v>
      </c>
      <c r="AE6819">
        <v>1.81930999999999</v>
      </c>
      <c r="AF6819">
        <v>-1.95786863276815</v>
      </c>
      <c r="AG6819">
        <v>-1.1208991936399999</v>
      </c>
      <c r="AH6819">
        <v>11.7980699618663</v>
      </c>
      <c r="AI6819">
        <v>95.354417670245397</v>
      </c>
      <c r="AJ6819">
        <v>99.422265762367402</v>
      </c>
      <c r="AK6819">
        <v>12.0118324751293</v>
      </c>
      <c r="AL6819">
        <v>94.433098516409601</v>
      </c>
      <c r="AM6819">
        <v>94.226101841123395</v>
      </c>
      <c r="AN6819">
        <v>0.99999998936325096</v>
      </c>
    </row>
    <row r="6820" spans="1:40" x14ac:dyDescent="0.25">
      <c r="A6820" t="str">
        <f>"20190303154654724"</f>
        <v>20190303154654724</v>
      </c>
      <c r="B6820" t="str">
        <f>"1551599214718178"</f>
        <v>1551599214718178</v>
      </c>
      <c r="C6820" t="s">
        <v>40</v>
      </c>
      <c r="D6820">
        <v>4.9613880000000004</v>
      </c>
      <c r="E6820">
        <v>0.46599390000000002</v>
      </c>
      <c r="F6820" t="s">
        <v>60</v>
      </c>
      <c r="G6820">
        <v>-198.68510000000001</v>
      </c>
      <c r="H6820" s="1">
        <v>-6.260622E-6</v>
      </c>
      <c r="I6820">
        <v>-60.694299999999998</v>
      </c>
      <c r="J6820">
        <v>-210.65989999999999</v>
      </c>
      <c r="K6820">
        <v>1.1208929999999999</v>
      </c>
      <c r="L6820">
        <v>-62.539610000000003</v>
      </c>
      <c r="M6820">
        <v>0.99982760000000004</v>
      </c>
      <c r="N6820">
        <v>-1.314124E-2</v>
      </c>
      <c r="O6820">
        <v>-1.3120649999999999E-2</v>
      </c>
      <c r="P6820">
        <v>0.99400440000000001</v>
      </c>
      <c r="Q6820">
        <v>-9.0654600000000002E-2</v>
      </c>
      <c r="R6820">
        <v>6.1129830000000003E-2</v>
      </c>
      <c r="S6820">
        <v>2.9653930000000002</v>
      </c>
      <c r="T6820">
        <v>-0.2748717</v>
      </c>
      <c r="U6820">
        <v>0.45211790000000002</v>
      </c>
      <c r="V6820">
        <v>-7.4186299999999997E-2</v>
      </c>
      <c r="W6820">
        <v>-7.7577869999999993E-2</v>
      </c>
      <c r="X6820">
        <v>0.9942223</v>
      </c>
      <c r="Y6820">
        <v>-0.1628598</v>
      </c>
      <c r="Z6820">
        <v>9.6035540000000003E-3</v>
      </c>
      <c r="AA6820">
        <v>0.98660250000000005</v>
      </c>
      <c r="AB6820">
        <v>22</v>
      </c>
      <c r="AC6820">
        <v>11.974799999999901</v>
      </c>
      <c r="AD6820">
        <v>-1.1208992606219901</v>
      </c>
      <c r="AE6820">
        <v>1.84530999999999</v>
      </c>
      <c r="AF6820">
        <v>-1.98529048905446</v>
      </c>
      <c r="AG6820">
        <v>-1.1208992606219901</v>
      </c>
      <c r="AH6820">
        <v>11.8481513639165</v>
      </c>
      <c r="AI6820">
        <v>95.330528788522798</v>
      </c>
      <c r="AJ6820">
        <v>99.512182866692399</v>
      </c>
      <c r="AK6820">
        <v>12.065508038233199</v>
      </c>
      <c r="AL6820">
        <v>94.449355303126794</v>
      </c>
      <c r="AM6820">
        <v>94.267354932060798</v>
      </c>
      <c r="AN6820">
        <v>0.99999995741935699</v>
      </c>
    </row>
    <row r="6821" spans="1:40" x14ac:dyDescent="0.25">
      <c r="A6821" t="str">
        <f>"20190303154654734"</f>
        <v>20190303154654734</v>
      </c>
      <c r="B6821" t="str">
        <f>"1551599214728914"</f>
        <v>1551599214728914</v>
      </c>
      <c r="C6821" t="s">
        <v>40</v>
      </c>
      <c r="D6821">
        <v>4.9493910000000003</v>
      </c>
      <c r="E6821">
        <v>0.4660029</v>
      </c>
      <c r="F6821" t="s">
        <v>60</v>
      </c>
      <c r="G6821">
        <v>-198.57060000000001</v>
      </c>
      <c r="H6821" s="1">
        <v>-6.3068959999999996E-6</v>
      </c>
      <c r="I6821">
        <v>-60.688279999999999</v>
      </c>
      <c r="J6821">
        <v>-210.5514</v>
      </c>
      <c r="K6821">
        <v>1.120892</v>
      </c>
      <c r="L6821">
        <v>-62.541110000000003</v>
      </c>
      <c r="M6821">
        <v>0.99982680000000002</v>
      </c>
      <c r="N6821">
        <v>-1.3139919999999999E-2</v>
      </c>
      <c r="O6821">
        <v>-1.3186679999999999E-2</v>
      </c>
      <c r="P6821">
        <v>0.99396600000000002</v>
      </c>
      <c r="Q6821">
        <v>-9.0792970000000001E-2</v>
      </c>
      <c r="R6821">
        <v>6.1551010000000003E-2</v>
      </c>
      <c r="S6821">
        <v>2.9650880000000002</v>
      </c>
      <c r="T6821">
        <v>-0.27491989999999999</v>
      </c>
      <c r="U6821">
        <v>0.454071</v>
      </c>
      <c r="V6821">
        <v>-7.4672849999999999E-2</v>
      </c>
      <c r="W6821">
        <v>-7.7718090000000004E-2</v>
      </c>
      <c r="X6821">
        <v>0.99417500000000003</v>
      </c>
      <c r="Y6821">
        <v>-0.1635711</v>
      </c>
      <c r="Z6821">
        <v>9.6481420000000002E-3</v>
      </c>
      <c r="AA6821">
        <v>0.98648429999999998</v>
      </c>
      <c r="AB6821">
        <v>22</v>
      </c>
      <c r="AC6821">
        <v>11.980799999999901</v>
      </c>
      <c r="AD6821">
        <v>-1.1208983068959999</v>
      </c>
      <c r="AE6821">
        <v>1.85282999999999</v>
      </c>
      <c r="AF6821">
        <v>-1.9936267099994001</v>
      </c>
      <c r="AG6821">
        <v>-1.1208983068959999</v>
      </c>
      <c r="AH6821">
        <v>11.8539880455053</v>
      </c>
      <c r="AI6821">
        <v>95.327377896579193</v>
      </c>
      <c r="AJ6821">
        <v>99.5467737267996</v>
      </c>
      <c r="AK6821">
        <v>12.0726133482443</v>
      </c>
      <c r="AL6821">
        <v>94.457413308066194</v>
      </c>
      <c r="AM6821">
        <v>94.295441520127696</v>
      </c>
      <c r="AN6821">
        <v>1.0000000333326799</v>
      </c>
    </row>
    <row r="6822" spans="1:40" x14ac:dyDescent="0.25">
      <c r="A6822" t="str">
        <f>"20190303154654745"</f>
        <v>20190303154654745</v>
      </c>
      <c r="B6822" t="str">
        <f>"1551599214738674"</f>
        <v>1551599214738674</v>
      </c>
      <c r="C6822" t="s">
        <v>40</v>
      </c>
      <c r="D6822">
        <v>4.9513759999999998</v>
      </c>
      <c r="E6822">
        <v>0.46599160000000001</v>
      </c>
      <c r="F6822" t="s">
        <v>60</v>
      </c>
      <c r="G6822">
        <v>-198.44329999999999</v>
      </c>
      <c r="H6822" s="1">
        <v>-6.358418E-6</v>
      </c>
      <c r="I6822">
        <v>-60.682070000000003</v>
      </c>
      <c r="J6822">
        <v>-210.44749999999999</v>
      </c>
      <c r="K6822">
        <v>1.1208910000000001</v>
      </c>
      <c r="L6822">
        <v>-62.542569999999998</v>
      </c>
      <c r="M6822">
        <v>0.99982599999999999</v>
      </c>
      <c r="N6822">
        <v>-1.313866E-2</v>
      </c>
      <c r="O6822">
        <v>-1.3249729999999999E-2</v>
      </c>
      <c r="P6822">
        <v>0.9938903</v>
      </c>
      <c r="Q6822">
        <v>-9.1205209999999995E-2</v>
      </c>
      <c r="R6822">
        <v>6.2160029999999998E-2</v>
      </c>
      <c r="S6822">
        <v>2.9649809999999999</v>
      </c>
      <c r="T6822">
        <v>-0.27447939999999998</v>
      </c>
      <c r="U6822">
        <v>0.45523069999999999</v>
      </c>
      <c r="V6822">
        <v>-7.5343549999999995E-2</v>
      </c>
      <c r="W6822">
        <v>-7.8132560000000004E-2</v>
      </c>
      <c r="X6822">
        <v>0.99409190000000003</v>
      </c>
      <c r="Y6822">
        <v>-0.16401579999999999</v>
      </c>
      <c r="Z6822">
        <v>9.6625329999999992E-3</v>
      </c>
      <c r="AA6822">
        <v>0.98641040000000002</v>
      </c>
      <c r="AB6822">
        <v>22</v>
      </c>
      <c r="AC6822">
        <v>12.0041999999999</v>
      </c>
      <c r="AD6822">
        <v>-1.120897358418</v>
      </c>
      <c r="AE6822">
        <v>1.8605</v>
      </c>
      <c r="AF6822">
        <v>-2.0023538448755298</v>
      </c>
      <c r="AG6822">
        <v>-1.120897358418</v>
      </c>
      <c r="AH6822">
        <v>11.8773636644734</v>
      </c>
      <c r="AI6822">
        <v>95.316599356090506</v>
      </c>
      <c r="AJ6822">
        <v>99.5692704554518</v>
      </c>
      <c r="AK6822">
        <v>12.0970078708063</v>
      </c>
      <c r="AL6822">
        <v>94.481233150944206</v>
      </c>
      <c r="AM6822">
        <v>94.334237075758793</v>
      </c>
      <c r="AN6822">
        <v>1.00000002655218</v>
      </c>
    </row>
    <row r="6823" spans="1:40" x14ac:dyDescent="0.25">
      <c r="A6823" t="str">
        <f>"20190303154654756"</f>
        <v>20190303154654756</v>
      </c>
      <c r="B6823" t="str">
        <f>"1551599214748435"</f>
        <v>1551599214748435</v>
      </c>
      <c r="C6823" t="s">
        <v>40</v>
      </c>
      <c r="D6823">
        <v>4.9230989999999997</v>
      </c>
      <c r="E6823">
        <v>0.46599049999999997</v>
      </c>
      <c r="F6823" t="s">
        <v>60</v>
      </c>
      <c r="G6823">
        <v>-198.3699</v>
      </c>
      <c r="H6823" s="1">
        <v>-6.3881970000000002E-6</v>
      </c>
      <c r="I6823">
        <v>-60.680149999999998</v>
      </c>
      <c r="J6823">
        <v>-210.3349</v>
      </c>
      <c r="K6823">
        <v>1.1208849999999999</v>
      </c>
      <c r="L6823">
        <v>-62.544130000000003</v>
      </c>
      <c r="M6823">
        <v>0.99982510000000002</v>
      </c>
      <c r="N6823">
        <v>-1.3137299999999999E-2</v>
      </c>
      <c r="O6823">
        <v>-1.331826E-2</v>
      </c>
      <c r="P6823">
        <v>0.99382230000000005</v>
      </c>
      <c r="Q6823">
        <v>-9.1838820000000002E-2</v>
      </c>
      <c r="R6823">
        <v>6.2316000000000003E-2</v>
      </c>
      <c r="S6823">
        <v>2.9645999999999999</v>
      </c>
      <c r="T6823">
        <v>-0.27513729999999997</v>
      </c>
      <c r="U6823">
        <v>0.45715329999999899</v>
      </c>
      <c r="V6823">
        <v>-7.5566820000000007E-2</v>
      </c>
      <c r="W6823">
        <v>-7.8768389999999994E-2</v>
      </c>
      <c r="X6823">
        <v>0.99402480000000004</v>
      </c>
      <c r="Y6823">
        <v>-0.1647198</v>
      </c>
      <c r="Z6823">
        <v>9.7265770000000001E-3</v>
      </c>
      <c r="AA6823">
        <v>0.98629239999999996</v>
      </c>
      <c r="AB6823">
        <v>22</v>
      </c>
      <c r="AC6823">
        <v>11.965</v>
      </c>
      <c r="AD6823">
        <v>-1.120891388197</v>
      </c>
      <c r="AE6823">
        <v>1.86398</v>
      </c>
      <c r="AF6823">
        <v>-2.0059936972863799</v>
      </c>
      <c r="AG6823">
        <v>-1.120891388197</v>
      </c>
      <c r="AH6823">
        <v>11.8376843480658</v>
      </c>
      <c r="AI6823">
        <v>95.333529043749493</v>
      </c>
      <c r="AJ6823">
        <v>99.617876481762593</v>
      </c>
      <c r="AK6823">
        <v>12.0586557684565</v>
      </c>
      <c r="AL6823">
        <v>94.517776030161698</v>
      </c>
      <c r="AM6823">
        <v>94.347324131699693</v>
      </c>
      <c r="AN6823">
        <v>1.00000005328157</v>
      </c>
    </row>
    <row r="6824" spans="1:40" x14ac:dyDescent="0.25">
      <c r="A6824" t="str">
        <f>"20190303154654767"</f>
        <v>20190303154654767</v>
      </c>
      <c r="B6824" t="str">
        <f>"1551599214758194"</f>
        <v>1551599214758194</v>
      </c>
      <c r="C6824" t="s">
        <v>40</v>
      </c>
      <c r="D6824">
        <v>4.9553949999999896</v>
      </c>
      <c r="E6824">
        <v>0.4659895</v>
      </c>
      <c r="F6824" t="s">
        <v>60</v>
      </c>
      <c r="G6824">
        <v>-198.34960000000001</v>
      </c>
      <c r="H6824" s="1">
        <v>-6.3972460000000003E-6</v>
      </c>
      <c r="I6824">
        <v>-60.693809999999999</v>
      </c>
      <c r="J6824">
        <v>-210.22540000000001</v>
      </c>
      <c r="K6824">
        <v>1.1208800000000001</v>
      </c>
      <c r="L6824">
        <v>-62.545650000000002</v>
      </c>
      <c r="M6824">
        <v>0.99982420000000005</v>
      </c>
      <c r="N6824">
        <v>-1.313601E-2</v>
      </c>
      <c r="O6824">
        <v>-1.338489E-2</v>
      </c>
      <c r="P6824">
        <v>0.99377289999999996</v>
      </c>
      <c r="Q6824">
        <v>-9.2185059999999999E-2</v>
      </c>
      <c r="R6824">
        <v>6.2592919999999996E-2</v>
      </c>
      <c r="S6824">
        <v>2.96434</v>
      </c>
      <c r="T6824">
        <v>-0.2772307</v>
      </c>
      <c r="U6824">
        <v>0.45764159999999998</v>
      </c>
      <c r="V6824">
        <v>-7.5909279999999996E-2</v>
      </c>
      <c r="W6824">
        <v>-7.9116580000000006E-2</v>
      </c>
      <c r="X6824">
        <v>0.99397100000000005</v>
      </c>
      <c r="Y6824">
        <v>-0.164943799999999</v>
      </c>
      <c r="Z6824">
        <v>9.811129E-3</v>
      </c>
      <c r="AA6824">
        <v>0.98625419999999997</v>
      </c>
      <c r="AB6824">
        <v>22</v>
      </c>
      <c r="AC6824">
        <v>11.8757999999999</v>
      </c>
      <c r="AD6824">
        <v>-1.1208863972459999</v>
      </c>
      <c r="AE6824">
        <v>1.8518399999999999</v>
      </c>
      <c r="AF6824">
        <v>-1.9933084864452499</v>
      </c>
      <c r="AG6824">
        <v>-1.1208863972459999</v>
      </c>
      <c r="AH6824">
        <v>11.747778070529399</v>
      </c>
      <c r="AI6824">
        <v>95.373893757773899</v>
      </c>
      <c r="AJ6824">
        <v>99.629966362877695</v>
      </c>
      <c r="AK6824">
        <v>11.9682895449633</v>
      </c>
      <c r="AL6824">
        <v>94.537788541843199</v>
      </c>
      <c r="AM6824">
        <v>94.367185109471706</v>
      </c>
      <c r="AN6824">
        <v>1.0000000004309999</v>
      </c>
    </row>
    <row r="6825" spans="1:40" x14ac:dyDescent="0.25">
      <c r="A6825" t="str">
        <f>"20190303154654778"</f>
        <v>20190303154654778</v>
      </c>
      <c r="B6825" t="str">
        <f>"1551599214768931"</f>
        <v>1551599214768931</v>
      </c>
      <c r="C6825" t="s">
        <v>40</v>
      </c>
      <c r="D6825">
        <v>4.9509740000000004</v>
      </c>
      <c r="E6825">
        <v>0.46600599999999998</v>
      </c>
      <c r="F6825" t="s">
        <v>60</v>
      </c>
      <c r="G6825">
        <v>-198.298</v>
      </c>
      <c r="H6825" s="1">
        <v>-6.4186540000000001E-6</v>
      </c>
      <c r="I6825">
        <v>-60.70093</v>
      </c>
      <c r="J6825">
        <v>-210.11199999999999</v>
      </c>
      <c r="K6825">
        <v>1.120878</v>
      </c>
      <c r="L6825">
        <v>-62.547240000000002</v>
      </c>
      <c r="M6825">
        <v>0.99982320000000002</v>
      </c>
      <c r="N6825">
        <v>-1.3134679999999999E-2</v>
      </c>
      <c r="O6825">
        <v>-1.345378E-2</v>
      </c>
      <c r="P6825">
        <v>0.99370910000000001</v>
      </c>
      <c r="Q6825">
        <v>-9.2860559999999995E-2</v>
      </c>
      <c r="R6825">
        <v>6.2604450000000006E-2</v>
      </c>
      <c r="S6825">
        <v>2.9640810000000002</v>
      </c>
      <c r="T6825">
        <v>-0.27855360000000001</v>
      </c>
      <c r="U6825">
        <v>0.45843509999999998</v>
      </c>
      <c r="V6825">
        <v>-7.5988589999999995E-2</v>
      </c>
      <c r="W6825">
        <v>-7.979427E-2</v>
      </c>
      <c r="X6825">
        <v>0.99391079999999998</v>
      </c>
      <c r="Y6825">
        <v>-0.165273</v>
      </c>
      <c r="Z6825">
        <v>9.8769849999999996E-3</v>
      </c>
      <c r="AA6825">
        <v>0.98619840000000003</v>
      </c>
      <c r="AB6825">
        <v>22</v>
      </c>
      <c r="AC6825">
        <v>11.813999999999901</v>
      </c>
      <c r="AD6825">
        <v>-1.1208844186539999</v>
      </c>
      <c r="AE6825">
        <v>1.8463099999999899</v>
      </c>
      <c r="AF6825">
        <v>-1.9876339047813101</v>
      </c>
      <c r="AG6825">
        <v>-1.1208844186539999</v>
      </c>
      <c r="AH6825">
        <v>11.6854071619302</v>
      </c>
      <c r="AI6825">
        <v>95.402025744001605</v>
      </c>
      <c r="AJ6825">
        <v>99.653357239508196</v>
      </c>
      <c r="AK6825">
        <v>11.906124934650499</v>
      </c>
      <c r="AL6825">
        <v>94.576740311199899</v>
      </c>
      <c r="AM6825">
        <v>94.371994027821998</v>
      </c>
      <c r="AN6825">
        <v>1.00000003484582</v>
      </c>
    </row>
    <row r="6826" spans="1:40" x14ac:dyDescent="0.25">
      <c r="A6826" t="str">
        <f>"20190303154654791"</f>
        <v>20190303154654791</v>
      </c>
      <c r="B6826" t="str">
        <f>"1551599214788451"</f>
        <v>1551599214788451</v>
      </c>
      <c r="C6826" t="s">
        <v>40</v>
      </c>
      <c r="D6826">
        <v>4.9373009999999997</v>
      </c>
      <c r="E6826">
        <v>0.46596939999999998</v>
      </c>
      <c r="F6826" t="s">
        <v>60</v>
      </c>
      <c r="G6826">
        <v>-198.25810000000001</v>
      </c>
      <c r="H6826" s="1">
        <v>-6.4357019999999997E-6</v>
      </c>
      <c r="I6826">
        <v>-60.714260000000003</v>
      </c>
      <c r="J6826">
        <v>-209.99770000000001</v>
      </c>
      <c r="K6826">
        <v>1.120878</v>
      </c>
      <c r="L6826">
        <v>-62.54889</v>
      </c>
      <c r="M6826">
        <v>0.99982230000000005</v>
      </c>
      <c r="N6826">
        <v>-1.313331E-2</v>
      </c>
      <c r="O6826">
        <v>-1.3523139999999999E-2</v>
      </c>
      <c r="P6826">
        <v>0.99364810000000003</v>
      </c>
      <c r="Q6826">
        <v>-9.3332020000000002E-2</v>
      </c>
      <c r="R6826">
        <v>6.2869739999999993E-2</v>
      </c>
      <c r="S6826">
        <v>2.9639280000000001</v>
      </c>
      <c r="T6826">
        <v>-0.28026269999999998</v>
      </c>
      <c r="U6826">
        <v>0.45831300000000003</v>
      </c>
      <c r="V6826">
        <v>-7.6322180000000003E-2</v>
      </c>
      <c r="W6826">
        <v>-8.0267909999999998E-2</v>
      </c>
      <c r="X6826">
        <v>0.99384709999999998</v>
      </c>
      <c r="Y6826">
        <v>-0.165299</v>
      </c>
      <c r="Z6826">
        <v>9.939125E-3</v>
      </c>
      <c r="AA6826">
        <v>0.9861934</v>
      </c>
      <c r="AB6826">
        <v>22</v>
      </c>
      <c r="AC6826">
        <v>11.7395999999999</v>
      </c>
      <c r="AD6826">
        <v>-1.120884435702</v>
      </c>
      <c r="AE6826">
        <v>1.83463</v>
      </c>
      <c r="AF6826">
        <v>-1.9756510509716101</v>
      </c>
      <c r="AG6826">
        <v>-1.120884435702</v>
      </c>
      <c r="AH6826">
        <v>11.6103945719141</v>
      </c>
      <c r="AI6826">
        <v>95.436659093600198</v>
      </c>
      <c r="AJ6826">
        <v>99.657081096868893</v>
      </c>
      <c r="AK6826">
        <v>11.830504685301401</v>
      </c>
      <c r="AL6826">
        <v>94.603965208621702</v>
      </c>
      <c r="AM6826">
        <v>94.391392527916807</v>
      </c>
      <c r="AN6826">
        <v>1.0000000353570599</v>
      </c>
    </row>
    <row r="6827" spans="1:40" x14ac:dyDescent="0.25">
      <c r="A6827" t="str">
        <f>"20190303154654803"</f>
        <v>20190303154654803</v>
      </c>
      <c r="B6827" t="str">
        <f>"1551599214798211"</f>
        <v>1551599214798211</v>
      </c>
      <c r="C6827" t="s">
        <v>40</v>
      </c>
      <c r="D6827">
        <v>4.9542020000000004</v>
      </c>
      <c r="E6827">
        <v>0.46599560000000001</v>
      </c>
      <c r="F6827" t="s">
        <v>60</v>
      </c>
      <c r="G6827">
        <v>-198.20189999999999</v>
      </c>
      <c r="H6827" s="1">
        <v>-6.4589390000000001E-6</v>
      </c>
      <c r="I6827">
        <v>-60.720230000000001</v>
      </c>
      <c r="J6827">
        <v>-209.8837</v>
      </c>
      <c r="K6827">
        <v>1.1208739999999999</v>
      </c>
      <c r="L6827">
        <v>-62.55048</v>
      </c>
      <c r="M6827">
        <v>0.99982139999999997</v>
      </c>
      <c r="N6827">
        <v>-1.313195E-2</v>
      </c>
      <c r="O6827">
        <v>-1.359251E-2</v>
      </c>
      <c r="P6827">
        <v>0.993614</v>
      </c>
      <c r="Q6827">
        <v>-9.3662930000000005E-2</v>
      </c>
      <c r="R6827">
        <v>6.2917719999999996E-2</v>
      </c>
      <c r="S6827">
        <v>2.963654</v>
      </c>
      <c r="T6827">
        <v>-0.28161779999999997</v>
      </c>
      <c r="U6827">
        <v>0.45944210000000002</v>
      </c>
      <c r="V6827">
        <v>-7.6438580000000006E-2</v>
      </c>
      <c r="W6827">
        <v>-8.0600669999999999E-2</v>
      </c>
      <c r="X6827">
        <v>0.99381120000000001</v>
      </c>
      <c r="Y6827">
        <v>-0.16573769999999999</v>
      </c>
      <c r="Z6827">
        <v>1.0012299999999899E-2</v>
      </c>
      <c r="AA6827">
        <v>0.98611899999999997</v>
      </c>
      <c r="AB6827">
        <v>22</v>
      </c>
      <c r="AC6827">
        <v>11.681800000000001</v>
      </c>
      <c r="AD6827">
        <v>-1.120880458939</v>
      </c>
      <c r="AE6827">
        <v>1.8302499999999999</v>
      </c>
      <c r="AF6827">
        <v>-1.9711666295672601</v>
      </c>
      <c r="AG6827">
        <v>-1.120880458939</v>
      </c>
      <c r="AH6827">
        <v>11.552034040844701</v>
      </c>
      <c r="AI6827">
        <v>95.463515891133596</v>
      </c>
      <c r="AJ6827">
        <v>99.683331650834106</v>
      </c>
      <c r="AK6827">
        <v>11.772483228511501</v>
      </c>
      <c r="AL6827">
        <v>94.623093031222496</v>
      </c>
      <c r="AM6827">
        <v>94.398221893712801</v>
      </c>
      <c r="AN6827">
        <v>1.0000000128811499</v>
      </c>
    </row>
    <row r="6828" spans="1:40" x14ac:dyDescent="0.25">
      <c r="A6828" t="str">
        <f>"20190303154654814"</f>
        <v>20190303154654814</v>
      </c>
      <c r="B6828" t="str">
        <f>"1551599214808948"</f>
        <v>1551599214808948</v>
      </c>
      <c r="C6828" t="s">
        <v>40</v>
      </c>
      <c r="D6828">
        <v>4.9159649999999999</v>
      </c>
      <c r="E6828">
        <v>0.46598089999999998</v>
      </c>
      <c r="F6828" t="s">
        <v>60</v>
      </c>
      <c r="G6828">
        <v>-198.10730000000001</v>
      </c>
      <c r="H6828" s="1">
        <v>-6.4977469999999999E-6</v>
      </c>
      <c r="I6828">
        <v>-60.72504</v>
      </c>
      <c r="J6828">
        <v>-209.76310000000001</v>
      </c>
      <c r="K6828">
        <v>1.120871</v>
      </c>
      <c r="L6828">
        <v>-62.552190000000003</v>
      </c>
      <c r="M6828">
        <v>0.9998205</v>
      </c>
      <c r="N6828">
        <v>-1.31305E-2</v>
      </c>
      <c r="O6828">
        <v>-1.3666050000000001E-2</v>
      </c>
      <c r="P6828">
        <v>0.99355579999999999</v>
      </c>
      <c r="Q6828">
        <v>-9.4355369999999994E-2</v>
      </c>
      <c r="R6828">
        <v>6.2802609999999995E-2</v>
      </c>
      <c r="S6828">
        <v>2.9636079999999998</v>
      </c>
      <c r="T6828">
        <v>-0.2820761</v>
      </c>
      <c r="U6828">
        <v>0.45938109999999999</v>
      </c>
      <c r="V6828">
        <v>-7.6395879999999999E-2</v>
      </c>
      <c r="W6828">
        <v>-8.1295329999999999E-2</v>
      </c>
      <c r="X6828">
        <v>0.99375789999999997</v>
      </c>
      <c r="Y6828">
        <v>-0.1657894</v>
      </c>
      <c r="Z6828">
        <v>1.0035860000000001E-2</v>
      </c>
      <c r="AA6828">
        <v>0.98611009999999999</v>
      </c>
      <c r="AB6828">
        <v>22</v>
      </c>
      <c r="AC6828">
        <v>11.655799999999999</v>
      </c>
      <c r="AD6828">
        <v>-1.120877497747</v>
      </c>
      <c r="AE6828">
        <v>1.8271500000000001</v>
      </c>
      <c r="AF6828">
        <v>-1.96851425142368</v>
      </c>
      <c r="AG6828">
        <v>-1.120877497747</v>
      </c>
      <c r="AH6828">
        <v>11.5257097064086</v>
      </c>
      <c r="AI6828">
        <v>95.475760153865494</v>
      </c>
      <c r="AJ6828">
        <v>99.692216807437305</v>
      </c>
      <c r="AK6828">
        <v>11.746207854427499</v>
      </c>
      <c r="AL6828">
        <v>94.663025163805301</v>
      </c>
      <c r="AM6828">
        <v>94.396009440631104</v>
      </c>
      <c r="AN6828">
        <v>1.00000001248659</v>
      </c>
    </row>
    <row r="6829" spans="1:40" x14ac:dyDescent="0.25">
      <c r="A6829" t="str">
        <f>"20190303154654829"</f>
        <v>20190303154654829</v>
      </c>
      <c r="B6829" t="str">
        <f>"1551599214818707"</f>
        <v>1551599214818707</v>
      </c>
      <c r="C6829" t="s">
        <v>40</v>
      </c>
      <c r="D6829">
        <v>4.9273509999999998</v>
      </c>
      <c r="E6829">
        <v>0.46597559999999899</v>
      </c>
      <c r="F6829" t="s">
        <v>60</v>
      </c>
      <c r="G6829">
        <v>-198.06540000000001</v>
      </c>
      <c r="H6829" s="1">
        <v>-6.5156470000000002E-6</v>
      </c>
      <c r="I6829">
        <v>-60.739719999999998</v>
      </c>
      <c r="J6829">
        <v>-209.62309999999999</v>
      </c>
      <c r="K6829">
        <v>1.1208689999999999</v>
      </c>
      <c r="L6829">
        <v>-62.554200000000002</v>
      </c>
      <c r="M6829">
        <v>0.99981920000000002</v>
      </c>
      <c r="N6829">
        <v>-1.3128809999999999E-2</v>
      </c>
      <c r="O6829">
        <v>-1.3751029999999999E-2</v>
      </c>
      <c r="P6829">
        <v>0.99352589999999996</v>
      </c>
      <c r="Q6829">
        <v>-9.4695639999999998E-2</v>
      </c>
      <c r="R6829">
        <v>6.2762419999999999E-2</v>
      </c>
      <c r="S6829">
        <v>2.96347</v>
      </c>
      <c r="T6829">
        <v>-0.28396110000000002</v>
      </c>
      <c r="U6829">
        <v>0.45916750000000001</v>
      </c>
      <c r="V6829">
        <v>-7.6439690000000005E-2</v>
      </c>
      <c r="W6829">
        <v>-8.163774E-2</v>
      </c>
      <c r="X6829">
        <v>0.99372640000000001</v>
      </c>
      <c r="Y6829">
        <v>-0.1657991</v>
      </c>
      <c r="Z6829">
        <v>1.010439E-2</v>
      </c>
      <c r="AA6829">
        <v>0.98610779999999998</v>
      </c>
      <c r="AB6829">
        <v>22</v>
      </c>
      <c r="AC6829">
        <v>11.557699999999899</v>
      </c>
      <c r="AD6829">
        <v>-1.1208755156470001</v>
      </c>
      <c r="AE6829">
        <v>1.8144800000000001</v>
      </c>
      <c r="AF6829">
        <v>-1.95530456098798</v>
      </c>
      <c r="AG6829">
        <v>-1.1208755156470001</v>
      </c>
      <c r="AH6829">
        <v>11.4267670494661</v>
      </c>
      <c r="AI6829">
        <v>95.522578003736896</v>
      </c>
      <c r="AJ6829">
        <v>99.710189113106097</v>
      </c>
      <c r="AK6829">
        <v>11.646913026659099</v>
      </c>
      <c r="AL6829">
        <v>94.682709521724902</v>
      </c>
      <c r="AM6829">
        <v>94.398659368049294</v>
      </c>
      <c r="AN6829">
        <v>0.99999995242827999</v>
      </c>
    </row>
    <row r="6830" spans="1:40" x14ac:dyDescent="0.25">
      <c r="A6830" t="str">
        <f>"20190303154654841"</f>
        <v>20190303154654841</v>
      </c>
      <c r="B6830" t="str">
        <f>"1551599214838228"</f>
        <v>1551599214838228</v>
      </c>
      <c r="C6830" t="s">
        <v>40</v>
      </c>
      <c r="D6830">
        <v>4.9335519999999997</v>
      </c>
      <c r="E6830">
        <v>0.46589520000000001</v>
      </c>
      <c r="F6830" t="s">
        <v>60</v>
      </c>
      <c r="G6830">
        <v>-197.97649999999999</v>
      </c>
      <c r="H6830" s="1">
        <v>-6.5524850000000002E-6</v>
      </c>
      <c r="I6830">
        <v>-60.750059999999998</v>
      </c>
      <c r="J6830">
        <v>-209.50040000000001</v>
      </c>
      <c r="K6830">
        <v>1.12086</v>
      </c>
      <c r="L6830">
        <v>-62.555970000000002</v>
      </c>
      <c r="M6830">
        <v>0.99981830000000005</v>
      </c>
      <c r="N6830">
        <v>-1.3127339999999999E-2</v>
      </c>
      <c r="O6830">
        <v>-1.3825520000000001E-2</v>
      </c>
      <c r="P6830">
        <v>0.99351889999999998</v>
      </c>
      <c r="Q6830">
        <v>-9.4815490000000002E-2</v>
      </c>
      <c r="R6830">
        <v>6.269363E-2</v>
      </c>
      <c r="S6830">
        <v>2.9633790000000002</v>
      </c>
      <c r="T6830">
        <v>-0.28519559999999999</v>
      </c>
      <c r="U6830">
        <v>0.45904539999999999</v>
      </c>
      <c r="V6830">
        <v>-7.644463E-2</v>
      </c>
      <c r="W6830">
        <v>-8.1759230000000002E-2</v>
      </c>
      <c r="X6830">
        <v>0.99371609999999999</v>
      </c>
      <c r="Y6830">
        <v>-0.1658297</v>
      </c>
      <c r="Z6830">
        <v>1.015218E-2</v>
      </c>
      <c r="AA6830">
        <v>0.98610220000000004</v>
      </c>
      <c r="AB6830">
        <v>22</v>
      </c>
      <c r="AC6830">
        <v>11.523899999999999</v>
      </c>
      <c r="AD6830">
        <v>-1.1208665524849999</v>
      </c>
      <c r="AE6830">
        <v>1.8059099999999899</v>
      </c>
      <c r="AF6830">
        <v>-1.9470962385248201</v>
      </c>
      <c r="AG6830">
        <v>-1.1208665524849999</v>
      </c>
      <c r="AH6830">
        <v>11.392633274253001</v>
      </c>
      <c r="AI6830">
        <v>95.5391676451856</v>
      </c>
      <c r="AJ6830">
        <v>99.698620899397298</v>
      </c>
      <c r="AK6830">
        <v>11.612046267225001</v>
      </c>
      <c r="AL6830">
        <v>94.689693415018098</v>
      </c>
      <c r="AM6830">
        <v>94.398987937222799</v>
      </c>
      <c r="AN6830">
        <v>1.00000002027261</v>
      </c>
    </row>
    <row r="6831" spans="1:40" x14ac:dyDescent="0.25">
      <c r="A6831" t="str">
        <f>"20190303154654854"</f>
        <v>20190303154654854</v>
      </c>
      <c r="B6831" t="str">
        <f>"1551599214847986"</f>
        <v>1551599214847986</v>
      </c>
      <c r="C6831" t="s">
        <v>40</v>
      </c>
      <c r="D6831">
        <v>4.927778</v>
      </c>
      <c r="E6831">
        <v>0.46585510000000002</v>
      </c>
      <c r="F6831" t="s">
        <v>60</v>
      </c>
      <c r="G6831">
        <v>-197.88570000000001</v>
      </c>
      <c r="H6831" s="1">
        <v>-6.5897389999999998E-6</v>
      </c>
      <c r="I6831">
        <v>-60.754550000000002</v>
      </c>
      <c r="J6831">
        <v>-209.3775</v>
      </c>
      <c r="K6831">
        <v>1.120859</v>
      </c>
      <c r="L6831">
        <v>-62.557740000000003</v>
      </c>
      <c r="M6831">
        <v>0.99981739999999997</v>
      </c>
      <c r="N6831">
        <v>-1.313019E-2</v>
      </c>
      <c r="O6831">
        <v>-1.3899190000000001E-2</v>
      </c>
      <c r="P6831">
        <v>0.99344310000000002</v>
      </c>
      <c r="Q6831">
        <v>-9.5509849999999993E-2</v>
      </c>
      <c r="R6831">
        <v>6.2840380000000001E-2</v>
      </c>
      <c r="S6831">
        <v>2.9632719999999999</v>
      </c>
      <c r="T6831">
        <v>-0.28596680000000002</v>
      </c>
      <c r="U6831">
        <v>0.45959470000000002</v>
      </c>
      <c r="V6831">
        <v>-7.6663399999999896E-2</v>
      </c>
      <c r="W6831">
        <v>-8.2451849999999993E-2</v>
      </c>
      <c r="X6831">
        <v>0.99364200000000003</v>
      </c>
      <c r="Y6831">
        <v>-0.16608010000000001</v>
      </c>
      <c r="Z6831">
        <v>1.01972E-2</v>
      </c>
      <c r="AA6831">
        <v>0.98605949999999998</v>
      </c>
      <c r="AB6831">
        <v>22</v>
      </c>
      <c r="AC6831">
        <v>11.4917999999999</v>
      </c>
      <c r="AD6831">
        <v>-1.1208655897390001</v>
      </c>
      <c r="AE6831">
        <v>1.8031900000000001</v>
      </c>
      <c r="AF6831">
        <v>-1.94470028266217</v>
      </c>
      <c r="AG6831">
        <v>-1.1208655897390001</v>
      </c>
      <c r="AH6831">
        <v>11.360149155677901</v>
      </c>
      <c r="AI6831">
        <v>95.554648275211605</v>
      </c>
      <c r="AJ6831">
        <v>99.714085234585994</v>
      </c>
      <c r="AK6831">
        <v>11.579774941634</v>
      </c>
      <c r="AL6831">
        <v>94.729512135538201</v>
      </c>
      <c r="AM6831">
        <v>94.411855066174198</v>
      </c>
      <c r="AN6831">
        <v>1.00000000431599</v>
      </c>
    </row>
    <row r="6832" spans="1:40" x14ac:dyDescent="0.25">
      <c r="A6832" t="str">
        <f>"20190303154654869"</f>
        <v>20190303154654869</v>
      </c>
      <c r="B6832" t="str">
        <f>"1551599214858723"</f>
        <v>1551599214858723</v>
      </c>
      <c r="C6832" t="s">
        <v>40</v>
      </c>
      <c r="D6832">
        <v>4.9342139999999999</v>
      </c>
      <c r="E6832">
        <v>0.46576240000000002</v>
      </c>
      <c r="F6832" t="s">
        <v>60</v>
      </c>
      <c r="G6832">
        <v>-197.84190000000001</v>
      </c>
      <c r="H6832" s="1">
        <v>-6.6081920000000003E-6</v>
      </c>
      <c r="I6832">
        <v>-60.765839999999997</v>
      </c>
      <c r="J6832">
        <v>-209.226</v>
      </c>
      <c r="K6832">
        <v>1.1208640000000001</v>
      </c>
      <c r="L6832">
        <v>-62.5599699999999</v>
      </c>
      <c r="M6832">
        <v>0.99981589999999998</v>
      </c>
      <c r="N6832">
        <v>-1.3139899999999999E-2</v>
      </c>
      <c r="O6832">
        <v>-1.398756E-2</v>
      </c>
      <c r="P6832">
        <v>0.99335689999999999</v>
      </c>
      <c r="Q6832">
        <v>-9.6282809999999996E-2</v>
      </c>
      <c r="R6832">
        <v>6.302228E-2</v>
      </c>
      <c r="S6832">
        <v>2.9630130000000001</v>
      </c>
      <c r="T6832">
        <v>-0.28790470000000001</v>
      </c>
      <c r="U6832">
        <v>0.46026610000000001</v>
      </c>
      <c r="V6832">
        <v>-7.6931399999999997E-2</v>
      </c>
      <c r="W6832">
        <v>-8.3216600000000002E-2</v>
      </c>
      <c r="X6832">
        <v>0.99355749999999998</v>
      </c>
      <c r="Y6832">
        <v>-0.16638459999999999</v>
      </c>
      <c r="Z6832">
        <v>1.0285239999999999E-2</v>
      </c>
      <c r="AA6832">
        <v>0.98600730000000003</v>
      </c>
      <c r="AB6832">
        <v>22</v>
      </c>
      <c r="AC6832">
        <v>11.384099999999901</v>
      </c>
      <c r="AD6832">
        <v>-1.1208706081919999</v>
      </c>
      <c r="AE6832">
        <v>1.79412999999998</v>
      </c>
      <c r="AF6832">
        <v>-1.93490117832144</v>
      </c>
      <c r="AG6832">
        <v>-1.1208706081919999</v>
      </c>
      <c r="AH6832">
        <v>11.251457639285499</v>
      </c>
      <c r="AI6832">
        <v>95.607264958935801</v>
      </c>
      <c r="AJ6832">
        <v>99.757652463620403</v>
      </c>
      <c r="AK6832">
        <v>11.4715078563724</v>
      </c>
      <c r="AL6832">
        <v>94.773480330606702</v>
      </c>
      <c r="AM6832">
        <v>94.427591852591206</v>
      </c>
      <c r="AN6832">
        <v>0.99999997431388399</v>
      </c>
    </row>
    <row r="6833" spans="1:40" x14ac:dyDescent="0.25">
      <c r="A6833" t="str">
        <f>"20190303154654882"</f>
        <v>20190303154654882</v>
      </c>
      <c r="B6833" t="str">
        <f>"1551599214878242"</f>
        <v>1551599214878242</v>
      </c>
      <c r="C6833" t="s">
        <v>40</v>
      </c>
      <c r="D6833">
        <v>4.951403</v>
      </c>
      <c r="E6833">
        <v>0.4656498</v>
      </c>
      <c r="F6833" t="s">
        <v>60</v>
      </c>
      <c r="G6833">
        <v>-197.7963</v>
      </c>
      <c r="H6833" s="1">
        <v>-6.6275499999999998E-6</v>
      </c>
      <c r="I6833">
        <v>-60.779220000000002</v>
      </c>
      <c r="J6833">
        <v>-209.10059999999999</v>
      </c>
      <c r="K6833">
        <v>1.120868</v>
      </c>
      <c r="L6833">
        <v>-62.561799999999998</v>
      </c>
      <c r="M6833">
        <v>0.9998146</v>
      </c>
      <c r="N6833">
        <v>-1.315347E-2</v>
      </c>
      <c r="O6833">
        <v>-1.4058660000000001E-2</v>
      </c>
      <c r="P6833">
        <v>0.99334480000000003</v>
      </c>
      <c r="Q6833">
        <v>-9.6125779999999994E-2</v>
      </c>
      <c r="R6833">
        <v>6.3452720000000004E-2</v>
      </c>
      <c r="S6833">
        <v>2.9626160000000001</v>
      </c>
      <c r="T6833">
        <v>-0.29053499999999999</v>
      </c>
      <c r="U6833">
        <v>0.4615784</v>
      </c>
      <c r="V6833">
        <v>-7.7431860000000005E-2</v>
      </c>
      <c r="W6833">
        <v>-8.3046770000000006E-2</v>
      </c>
      <c r="X6833">
        <v>0.99353279999999999</v>
      </c>
      <c r="Y6833">
        <v>-0.166882</v>
      </c>
      <c r="Z6833">
        <v>1.0405859999999999E-2</v>
      </c>
      <c r="AA6833">
        <v>0.98592199999999997</v>
      </c>
      <c r="AB6833">
        <v>22</v>
      </c>
      <c r="AC6833">
        <v>11.3042999999999</v>
      </c>
      <c r="AD6833">
        <v>-1.1208746275499999</v>
      </c>
      <c r="AE6833">
        <v>1.7825800000000001</v>
      </c>
      <c r="AF6833">
        <v>-1.9228943282250499</v>
      </c>
      <c r="AG6833">
        <v>-1.1208746275499999</v>
      </c>
      <c r="AH6833">
        <v>11.1709555408434</v>
      </c>
      <c r="AI6833">
        <v>95.647278668265102</v>
      </c>
      <c r="AJ6833">
        <v>99.766803591265997</v>
      </c>
      <c r="AK6833">
        <v>11.390528092397901</v>
      </c>
      <c r="AL6833">
        <v>94.763716144714195</v>
      </c>
      <c r="AM6833">
        <v>94.456389257492205</v>
      </c>
      <c r="AN6833">
        <v>0.99999994181316398</v>
      </c>
    </row>
    <row r="6834" spans="1:40" x14ac:dyDescent="0.25">
      <c r="A6834" t="str">
        <f>"20190303154654893"</f>
        <v>20190303154654893</v>
      </c>
      <c r="B6834" t="str">
        <f>"1551599214888003"</f>
        <v>1551599214888003</v>
      </c>
      <c r="C6834" t="s">
        <v>40</v>
      </c>
      <c r="D6834">
        <v>4.9536680000000004</v>
      </c>
      <c r="E6834">
        <v>0.46558959999999999</v>
      </c>
      <c r="F6834" t="s">
        <v>60</v>
      </c>
      <c r="G6834">
        <v>-197.654</v>
      </c>
      <c r="H6834" s="1">
        <v>-6.6849979999999999E-6</v>
      </c>
      <c r="I6834">
        <v>-60.770029999999998</v>
      </c>
      <c r="J6834">
        <v>-208.97489999999999</v>
      </c>
      <c r="K6834">
        <v>1.120881</v>
      </c>
      <c r="L6834">
        <v>-62.563630000000003</v>
      </c>
      <c r="M6834">
        <v>0.99981339999999996</v>
      </c>
      <c r="N6834">
        <v>-1.318015E-2</v>
      </c>
      <c r="O6834">
        <v>-1.412504E-2</v>
      </c>
      <c r="P6834">
        <v>0.99333859999999996</v>
      </c>
      <c r="Q6834">
        <v>-9.6008750000000004E-2</v>
      </c>
      <c r="R6834">
        <v>6.3725900000000002E-2</v>
      </c>
      <c r="S6834">
        <v>2.962402</v>
      </c>
      <c r="T6834">
        <v>-0.29008479999999998</v>
      </c>
      <c r="U6834">
        <v>0.46371459999999998</v>
      </c>
      <c r="V6834">
        <v>-7.7770080000000005E-2</v>
      </c>
      <c r="W6834">
        <v>-8.2904229999999995E-2</v>
      </c>
      <c r="X6834">
        <v>0.99351840000000002</v>
      </c>
      <c r="Y6834">
        <v>-0.16765050000000001</v>
      </c>
      <c r="Z6834">
        <v>1.044133E-2</v>
      </c>
      <c r="AA6834">
        <v>0.98579119999999998</v>
      </c>
      <c r="AB6834">
        <v>22</v>
      </c>
      <c r="AC6834">
        <v>11.3208999999999</v>
      </c>
      <c r="AD6834">
        <v>-1.1208876849980001</v>
      </c>
      <c r="AE6834">
        <v>1.7935999999999901</v>
      </c>
      <c r="AF6834">
        <v>-1.9348401435063201</v>
      </c>
      <c r="AG6834">
        <v>-1.1208876849980001</v>
      </c>
      <c r="AH6834">
        <v>11.187447586305</v>
      </c>
      <c r="AI6834">
        <v>95.638308533764103</v>
      </c>
      <c r="AJ6834">
        <v>99.812096044581097</v>
      </c>
      <c r="AK6834">
        <v>11.408723814679099</v>
      </c>
      <c r="AL6834">
        <v>94.755520409042603</v>
      </c>
      <c r="AM6834">
        <v>94.475840316570796</v>
      </c>
      <c r="AN6834">
        <v>1.0000000539168199</v>
      </c>
    </row>
    <row r="6835" spans="1:40" x14ac:dyDescent="0.25">
      <c r="A6835" t="str">
        <f>"20190303154654904"</f>
        <v>20190303154654904</v>
      </c>
      <c r="B6835" t="str">
        <f>"1551599214898739"</f>
        <v>1551599214898739</v>
      </c>
      <c r="C6835" t="s">
        <v>40</v>
      </c>
      <c r="D6835">
        <v>4.9198279999999999</v>
      </c>
      <c r="E6835">
        <v>0.46553369999999999</v>
      </c>
      <c r="F6835" t="s">
        <v>60</v>
      </c>
      <c r="G6835">
        <v>-197.50479999999999</v>
      </c>
      <c r="H6835" s="1">
        <v>-6.7453609999999998E-6</v>
      </c>
      <c r="I6835">
        <v>-60.763159999999999</v>
      </c>
      <c r="J6835">
        <v>-208.87889999999999</v>
      </c>
      <c r="K6835">
        <v>1.1208929999999999</v>
      </c>
      <c r="L6835">
        <v>-62.56503</v>
      </c>
      <c r="M6835">
        <v>0.99981249999999999</v>
      </c>
      <c r="N6835">
        <v>-1.320384E-2</v>
      </c>
      <c r="O6835">
        <v>-1.4174000000000001E-2</v>
      </c>
      <c r="P6835">
        <v>0.99329559999999995</v>
      </c>
      <c r="Q6835">
        <v>-9.6049739999999995E-2</v>
      </c>
      <c r="R6835">
        <v>6.4332260000000002E-2</v>
      </c>
      <c r="S6835">
        <v>2.9623110000000001</v>
      </c>
      <c r="T6835">
        <v>-0.28948439999999998</v>
      </c>
      <c r="U6835">
        <v>0.46499629999999997</v>
      </c>
      <c r="V6835">
        <v>-7.8423240000000005E-2</v>
      </c>
      <c r="W6835">
        <v>-8.2923029999999995E-2</v>
      </c>
      <c r="X6835">
        <v>0.99346540000000005</v>
      </c>
      <c r="Y6835">
        <v>-0.16812060000000001</v>
      </c>
      <c r="Z6835">
        <v>1.045342E-2</v>
      </c>
      <c r="AA6835">
        <v>0.985711</v>
      </c>
      <c r="AB6835">
        <v>22</v>
      </c>
      <c r="AC6835">
        <v>11.3741</v>
      </c>
      <c r="AD6835">
        <v>-1.1208997453609999</v>
      </c>
      <c r="AE6835">
        <v>1.8018700000000001</v>
      </c>
      <c r="AF6835">
        <v>-1.9444972619805601</v>
      </c>
      <c r="AG6835">
        <v>-1.1208997453609999</v>
      </c>
      <c r="AH6835">
        <v>11.2409184852033</v>
      </c>
      <c r="AI6835">
        <v>95.611685656968206</v>
      </c>
      <c r="AJ6835">
        <v>99.814122490636706</v>
      </c>
      <c r="AK6835">
        <v>11.4627978361299</v>
      </c>
      <c r="AL6835">
        <v>94.756601704653406</v>
      </c>
      <c r="AM6835">
        <v>94.5135162389806</v>
      </c>
      <c r="AN6835">
        <v>0.99999996723681805</v>
      </c>
    </row>
    <row r="6836" spans="1:40" x14ac:dyDescent="0.25">
      <c r="A6836" t="str">
        <f>"20190303154654916"</f>
        <v>20190303154654916</v>
      </c>
      <c r="B6836" t="str">
        <f>"1551599214908499"</f>
        <v>1551599214908499</v>
      </c>
      <c r="C6836" t="s">
        <v>40</v>
      </c>
      <c r="D6836">
        <v>4.9168260000000004</v>
      </c>
      <c r="E6836">
        <v>0.46548129999999999</v>
      </c>
      <c r="F6836" t="s">
        <v>60</v>
      </c>
      <c r="G6836">
        <v>-197.41470000000001</v>
      </c>
      <c r="H6836" s="1">
        <v>-6.7816579999999999E-6</v>
      </c>
      <c r="I6836">
        <v>-60.756430000000002</v>
      </c>
      <c r="J6836">
        <v>-208.7593</v>
      </c>
      <c r="K6836">
        <v>1.1209070000000001</v>
      </c>
      <c r="L6836">
        <v>-62.566800000000001</v>
      </c>
      <c r="M6836">
        <v>0.99981120000000001</v>
      </c>
      <c r="N6836">
        <v>-1.324266E-2</v>
      </c>
      <c r="O6836">
        <v>-1.423018E-2</v>
      </c>
      <c r="P6836">
        <v>0.99326110000000001</v>
      </c>
      <c r="Q6836">
        <v>-9.6014279999999994E-2</v>
      </c>
      <c r="R6836">
        <v>6.4914479999999997E-2</v>
      </c>
      <c r="S6836">
        <v>2.9619749999999998</v>
      </c>
      <c r="T6836">
        <v>-0.28960429999999998</v>
      </c>
      <c r="U6836">
        <v>0.46728520000000001</v>
      </c>
      <c r="V6836">
        <v>-7.905943E-2</v>
      </c>
      <c r="W6836">
        <v>-8.2850720000000003E-2</v>
      </c>
      <c r="X6836">
        <v>0.993421</v>
      </c>
      <c r="Y6836">
        <v>-0.16893069999999999</v>
      </c>
      <c r="Z6836">
        <v>1.051007E-2</v>
      </c>
      <c r="AA6836">
        <v>0.98557189999999995</v>
      </c>
      <c r="AB6836">
        <v>22</v>
      </c>
      <c r="AC6836">
        <v>11.3445999999999</v>
      </c>
      <c r="AD6836">
        <v>-1.1209137816579999</v>
      </c>
      <c r="AE6836">
        <v>1.81036999999999</v>
      </c>
      <c r="AF6836">
        <v>-1.95304318236316</v>
      </c>
      <c r="AG6836">
        <v>-1.1209137816579999</v>
      </c>
      <c r="AH6836">
        <v>11.210956706213</v>
      </c>
      <c r="AI6836">
        <v>95.625503455744905</v>
      </c>
      <c r="AJ6836">
        <v>99.882233739664102</v>
      </c>
      <c r="AK6836">
        <v>11.4348754101943</v>
      </c>
      <c r="AL6836">
        <v>94.752444379058204</v>
      </c>
      <c r="AM6836">
        <v>94.550180448599093</v>
      </c>
      <c r="AN6836">
        <v>0.99999995925871998</v>
      </c>
    </row>
    <row r="6837" spans="1:40" x14ac:dyDescent="0.25">
      <c r="A6837" t="str">
        <f>"20190303154654928"</f>
        <v>20190303154654928</v>
      </c>
      <c r="B6837" t="str">
        <f>"1551599214918258"</f>
        <v>1551599214918258</v>
      </c>
      <c r="C6837" t="s">
        <v>40</v>
      </c>
      <c r="D6837">
        <v>4.980988</v>
      </c>
      <c r="E6837">
        <v>0.46526279999999998</v>
      </c>
      <c r="F6837" t="s">
        <v>60</v>
      </c>
      <c r="G6837">
        <v>-197.26300000000001</v>
      </c>
      <c r="H6837" s="1">
        <v>-6.84275499999999E-6</v>
      </c>
      <c r="I6837">
        <v>-60.744590000000002</v>
      </c>
      <c r="J6837">
        <v>-208.6481</v>
      </c>
      <c r="K6837">
        <v>1.120922</v>
      </c>
      <c r="L6837">
        <v>-62.568420000000003</v>
      </c>
      <c r="M6837">
        <v>0.99980999999999998</v>
      </c>
      <c r="N6837">
        <v>-1.3286020000000001E-2</v>
      </c>
      <c r="O6837">
        <v>-1.4275639999999999E-2</v>
      </c>
      <c r="P6837">
        <v>0.99323479999999997</v>
      </c>
      <c r="Q6837">
        <v>-9.5921870000000006E-2</v>
      </c>
      <c r="R6837">
        <v>6.5453940000000002E-2</v>
      </c>
      <c r="S6837">
        <v>2.9617610000000001</v>
      </c>
      <c r="T6837">
        <v>-0.2887788</v>
      </c>
      <c r="U6837">
        <v>0.46945189999999998</v>
      </c>
      <c r="V6837">
        <v>-7.9642009999999999E-2</v>
      </c>
      <c r="W6837">
        <v>-8.2717109999999996E-2</v>
      </c>
      <c r="X6837">
        <v>0.99338559999999998</v>
      </c>
      <c r="Y6837">
        <v>-0.16969049999999999</v>
      </c>
      <c r="Z6837">
        <v>1.0531810000000001E-2</v>
      </c>
      <c r="AA6837">
        <v>0.98544109999999996</v>
      </c>
      <c r="AB6837">
        <v>22</v>
      </c>
      <c r="AC6837">
        <v>11.3850999999999</v>
      </c>
      <c r="AD6837">
        <v>-1.1209288427549999</v>
      </c>
      <c r="AE6837">
        <v>1.8238299999999901</v>
      </c>
      <c r="AF6837">
        <v>-1.96759229693906</v>
      </c>
      <c r="AG6837">
        <v>-1.1209288427549999</v>
      </c>
      <c r="AH6837">
        <v>11.2515624182184</v>
      </c>
      <c r="AI6837">
        <v>95.604779224811494</v>
      </c>
      <c r="AJ6837">
        <v>99.919174252436306</v>
      </c>
      <c r="AK6837">
        <v>11.4771755135381</v>
      </c>
      <c r="AL6837">
        <v>94.7447627181987</v>
      </c>
      <c r="AM6837">
        <v>94.583730504048901</v>
      </c>
      <c r="AN6837">
        <v>0.99999996016547499</v>
      </c>
    </row>
    <row r="6838" spans="1:40" x14ac:dyDescent="0.25">
      <c r="A6838" t="str">
        <f>"20190303154654938"</f>
        <v>20190303154654938</v>
      </c>
      <c r="B6838" t="str">
        <f>"1551599214928019"</f>
        <v>1551599214928019</v>
      </c>
      <c r="C6838" t="s">
        <v>40</v>
      </c>
      <c r="D6838">
        <v>4.9884389999999996</v>
      </c>
      <c r="E6838">
        <v>0.46503990000000001</v>
      </c>
      <c r="F6838" t="s">
        <v>60</v>
      </c>
      <c r="G6838">
        <v>-197.21170000000001</v>
      </c>
      <c r="H6838" s="1">
        <v>-6.863544E-6</v>
      </c>
      <c r="I6838">
        <v>-60.742789999999999</v>
      </c>
      <c r="J6838">
        <v>-208.5403</v>
      </c>
      <c r="K6838">
        <v>1.120941</v>
      </c>
      <c r="L6838">
        <v>-62.570010000000003</v>
      </c>
      <c r="M6838">
        <v>0.99980869999999999</v>
      </c>
      <c r="N6838">
        <v>-1.3333269999999999E-2</v>
      </c>
      <c r="O6838">
        <v>-1.4315029999999999E-2</v>
      </c>
      <c r="P6838">
        <v>0.99314429999999998</v>
      </c>
      <c r="Q6838">
        <v>-9.6416730000000006E-2</v>
      </c>
      <c r="R6838">
        <v>6.6092890000000001E-2</v>
      </c>
      <c r="S6838">
        <v>2.9612579999999999</v>
      </c>
      <c r="T6838">
        <v>-0.2902459</v>
      </c>
      <c r="U6838">
        <v>0.47271730000000001</v>
      </c>
      <c r="V6838">
        <v>-8.0316789999999999E-2</v>
      </c>
      <c r="W6838">
        <v>-8.3167920000000006E-2</v>
      </c>
      <c r="X6838">
        <v>0.9932936</v>
      </c>
      <c r="Y6838">
        <v>-0.17079929999999999</v>
      </c>
      <c r="Z6838">
        <v>1.0649219999999999E-2</v>
      </c>
      <c r="AA6838">
        <v>0.98524829999999997</v>
      </c>
      <c r="AB6838">
        <v>22</v>
      </c>
      <c r="AC6838">
        <v>11.3285999999999</v>
      </c>
      <c r="AD6838">
        <v>-1.120947863544</v>
      </c>
      <c r="AE6838">
        <v>1.8272199999999901</v>
      </c>
      <c r="AF6838">
        <v>-1.9704136222762201</v>
      </c>
      <c r="AG6838">
        <v>-1.120947863544</v>
      </c>
      <c r="AH6838">
        <v>11.1944563010649</v>
      </c>
      <c r="AI6838">
        <v>95.632192516570996</v>
      </c>
      <c r="AJ6838">
        <v>99.982769121225999</v>
      </c>
      <c r="AK6838">
        <v>11.4216857701518</v>
      </c>
      <c r="AL6838">
        <v>94.7706816685902</v>
      </c>
      <c r="AM6838">
        <v>94.622825596174295</v>
      </c>
      <c r="AN6838">
        <v>0.99999993273699295</v>
      </c>
    </row>
    <row r="6839" spans="1:40" x14ac:dyDescent="0.25">
      <c r="A6839" t="str">
        <f>"20190303154654949"</f>
        <v>20190303154654949</v>
      </c>
      <c r="B6839" t="str">
        <f>"1551599214938755"</f>
        <v>1551599214938755</v>
      </c>
      <c r="C6839" t="s">
        <v>40</v>
      </c>
      <c r="D6839">
        <v>4.9942349999999998</v>
      </c>
      <c r="E6839">
        <v>0.46503990000000001</v>
      </c>
      <c r="F6839" t="s">
        <v>60</v>
      </c>
      <c r="G6839">
        <v>-197.20750000000001</v>
      </c>
      <c r="H6839" s="1">
        <v>-6.8654859999999998E-6</v>
      </c>
      <c r="I6839">
        <v>-60.74635</v>
      </c>
      <c r="J6839">
        <v>-208.43430000000001</v>
      </c>
      <c r="K6839">
        <v>1.120959</v>
      </c>
      <c r="L6839">
        <v>-62.571559999999998</v>
      </c>
      <c r="M6839">
        <v>0.99980740000000001</v>
      </c>
      <c r="N6839">
        <v>-1.3385589999999999E-2</v>
      </c>
      <c r="O6839">
        <v>-1.4343939999999999E-2</v>
      </c>
      <c r="P6839">
        <v>0.99308260000000004</v>
      </c>
      <c r="Q6839">
        <v>-9.6637609999999999E-2</v>
      </c>
      <c r="R6839">
        <v>6.6690769999999996E-2</v>
      </c>
      <c r="S6839">
        <v>2.9605869999999999</v>
      </c>
      <c r="T6839">
        <v>-0.29283490000000001</v>
      </c>
      <c r="U6839">
        <v>0.4764099</v>
      </c>
      <c r="V6839">
        <v>-8.0940830000000005E-2</v>
      </c>
      <c r="W6839">
        <v>-8.3339609999999995E-2</v>
      </c>
      <c r="X6839">
        <v>0.99322860000000002</v>
      </c>
      <c r="Y6839">
        <v>-0.17203679999999999</v>
      </c>
      <c r="Z6839">
        <v>1.0811909999999999E-2</v>
      </c>
      <c r="AA6839">
        <v>0.9850312</v>
      </c>
      <c r="AB6839">
        <v>22</v>
      </c>
      <c r="AC6839">
        <v>11.2267999999999</v>
      </c>
      <c r="AD6839">
        <v>-1.120965865486</v>
      </c>
      <c r="AE6839">
        <v>1.82520999999999</v>
      </c>
      <c r="AF6839">
        <v>-1.96696847349933</v>
      </c>
      <c r="AG6839">
        <v>-1.120965865486</v>
      </c>
      <c r="AH6839">
        <v>11.0917303225857</v>
      </c>
      <c r="AI6839">
        <v>95.682829182741798</v>
      </c>
      <c r="AJ6839">
        <v>100.056086563013</v>
      </c>
      <c r="AK6839">
        <v>11.3204245060109</v>
      </c>
      <c r="AL6839">
        <v>94.780552823889906</v>
      </c>
      <c r="AM6839">
        <v>94.658889759209302</v>
      </c>
      <c r="AN6839">
        <v>0.99999998020699998</v>
      </c>
    </row>
    <row r="6840" spans="1:40" x14ac:dyDescent="0.25">
      <c r="A6840" t="str">
        <f>"20190303154654960"</f>
        <v>20190303154654960</v>
      </c>
      <c r="B6840" t="str">
        <f>"1551599214948515"</f>
        <v>1551599214948515</v>
      </c>
      <c r="C6840" t="s">
        <v>40</v>
      </c>
      <c r="D6840">
        <v>4.9540930000000003</v>
      </c>
      <c r="E6840">
        <v>0.45887850000000002</v>
      </c>
      <c r="F6840" t="s">
        <v>60</v>
      </c>
      <c r="G6840">
        <v>-197.12260000000001</v>
      </c>
      <c r="H6840" s="1">
        <v>-6.8999090000000002E-6</v>
      </c>
      <c r="I6840">
        <v>-60.744100000000003</v>
      </c>
      <c r="J6840">
        <v>-208.3289</v>
      </c>
      <c r="K6840">
        <v>1.120986</v>
      </c>
      <c r="L6840">
        <v>-62.573120000000003</v>
      </c>
      <c r="M6840">
        <v>0.99980650000000004</v>
      </c>
      <c r="N6840">
        <v>-1.3439339999999999E-2</v>
      </c>
      <c r="O6840">
        <v>-1.436988E-2</v>
      </c>
      <c r="P6840">
        <v>0.99304530000000002</v>
      </c>
      <c r="Q6840">
        <v>-9.6777500000000002E-2</v>
      </c>
      <c r="R6840">
        <v>6.7048979999999994E-2</v>
      </c>
      <c r="S6840">
        <v>2.9602360000000001</v>
      </c>
      <c r="T6840">
        <v>-0.29335339999999999</v>
      </c>
      <c r="U6840">
        <v>0.47824100000000003</v>
      </c>
      <c r="V6840">
        <v>-8.1322409999999998E-2</v>
      </c>
      <c r="W6840">
        <v>-8.3428639999999998E-2</v>
      </c>
      <c r="X6840">
        <v>0.99319000000000002</v>
      </c>
      <c r="Y6840">
        <v>-0.17266719999999999</v>
      </c>
      <c r="Z6840">
        <v>1.087135E-2</v>
      </c>
      <c r="AA6840">
        <v>0.98492020000000002</v>
      </c>
      <c r="AB6840">
        <v>22</v>
      </c>
      <c r="AC6840">
        <v>11.206300000000001</v>
      </c>
      <c r="AD6840">
        <v>-1.120992899909</v>
      </c>
      <c r="AE6840">
        <v>1.8290199999999901</v>
      </c>
      <c r="AF6840">
        <v>-1.9706710292299401</v>
      </c>
      <c r="AG6840">
        <v>-1.120992899909</v>
      </c>
      <c r="AH6840">
        <v>11.0709508156773</v>
      </c>
      <c r="AI6840">
        <v>95.692911884798704</v>
      </c>
      <c r="AJ6840">
        <v>100.09314943674801</v>
      </c>
      <c r="AK6840">
        <v>11.300713311567501</v>
      </c>
      <c r="AL6840">
        <v>94.785671482686794</v>
      </c>
      <c r="AM6840">
        <v>94.680936942899905</v>
      </c>
      <c r="AN6840">
        <v>1.0000000242202201</v>
      </c>
    </row>
    <row r="6841" spans="1:40" x14ac:dyDescent="0.25">
      <c r="A6841" t="str">
        <f>"20190303154654971"</f>
        <v>20190303154654971</v>
      </c>
      <c r="B6841" t="str">
        <f>"1551599214968034"</f>
        <v>1551599214968034</v>
      </c>
      <c r="C6841" t="s">
        <v>40</v>
      </c>
      <c r="D6841">
        <v>4.959479</v>
      </c>
      <c r="E6841">
        <v>0.45971499999999998</v>
      </c>
      <c r="F6841" t="s">
        <v>60</v>
      </c>
      <c r="G6841">
        <v>-197.8064</v>
      </c>
      <c r="H6841" s="1">
        <v>-6.6184360000000002E-6</v>
      </c>
      <c r="I6841">
        <v>-60.692700000000002</v>
      </c>
      <c r="J6841">
        <v>-208.22470000000001</v>
      </c>
      <c r="K6841">
        <v>1.121008</v>
      </c>
      <c r="L6841">
        <v>-62.574579999999997</v>
      </c>
      <c r="M6841">
        <v>0.99980550000000001</v>
      </c>
      <c r="N6841">
        <v>-1.3493990000000001E-2</v>
      </c>
      <c r="O6841">
        <v>-1.43845E-2</v>
      </c>
      <c r="P6841">
        <v>0.99300840000000001</v>
      </c>
      <c r="Q6841">
        <v>-9.6820550000000005E-2</v>
      </c>
      <c r="R6841">
        <v>6.7527580000000004E-2</v>
      </c>
      <c r="S6841">
        <v>2.9546809999999999</v>
      </c>
      <c r="T6841">
        <v>-0.31476959999999998</v>
      </c>
      <c r="U6841">
        <v>0.52801509999999996</v>
      </c>
      <c r="V6841">
        <v>-8.1812629999999997E-2</v>
      </c>
      <c r="W6841">
        <v>-8.3419989999999999E-2</v>
      </c>
      <c r="X6841">
        <v>0.99315039999999999</v>
      </c>
      <c r="Y6841">
        <v>-0.18882940000000001</v>
      </c>
      <c r="Z6841">
        <v>1.2564290000000001E-2</v>
      </c>
      <c r="AA6841">
        <v>0.98192950000000001</v>
      </c>
      <c r="AB6841">
        <v>22</v>
      </c>
      <c r="AC6841">
        <v>10.4183</v>
      </c>
      <c r="AD6841">
        <v>-1.1210146184359999</v>
      </c>
      <c r="AE6841">
        <v>1.88188</v>
      </c>
      <c r="AF6841">
        <v>-2.0090355374278501</v>
      </c>
      <c r="AG6841">
        <v>-1.1210146184359999</v>
      </c>
      <c r="AH6841">
        <v>10.274946344231299</v>
      </c>
      <c r="AI6841">
        <v>96.111612612136796</v>
      </c>
      <c r="AJ6841">
        <v>101.06332767823</v>
      </c>
      <c r="AK6841">
        <v>10.529359901828199</v>
      </c>
      <c r="AL6841">
        <v>94.785174452917005</v>
      </c>
      <c r="AM6841">
        <v>94.709214519967901</v>
      </c>
      <c r="AN6841">
        <v>0.99999995908963701</v>
      </c>
    </row>
    <row r="6842" spans="1:40" x14ac:dyDescent="0.25">
      <c r="A6842" t="str">
        <f>"20190303154654983"</f>
        <v>20190303154654983</v>
      </c>
      <c r="B6842" t="str">
        <f>"1551599214978771"</f>
        <v>1551599214978771</v>
      </c>
      <c r="C6842" t="s">
        <v>40</v>
      </c>
      <c r="D6842">
        <v>4.941287</v>
      </c>
      <c r="E6842">
        <v>0.4604162</v>
      </c>
      <c r="F6842" t="s">
        <v>60</v>
      </c>
      <c r="G6842">
        <v>-198.1601</v>
      </c>
      <c r="H6842" s="1">
        <v>-6.4802250000000003E-6</v>
      </c>
      <c r="I6842">
        <v>-60.793900000000001</v>
      </c>
      <c r="J6842">
        <v>-208.1104</v>
      </c>
      <c r="K6842">
        <v>1.1210340000000001</v>
      </c>
      <c r="L6842">
        <v>-62.576259999999998</v>
      </c>
      <c r="M6842">
        <v>0.99980449999999998</v>
      </c>
      <c r="N6842">
        <v>-1.355377E-2</v>
      </c>
      <c r="O6842">
        <v>-1.4397470000000001E-2</v>
      </c>
      <c r="P6842">
        <v>0.9929637</v>
      </c>
      <c r="Q6842">
        <v>-9.6886479999999997E-2</v>
      </c>
      <c r="R6842">
        <v>6.8090280000000003E-2</v>
      </c>
      <c r="S6842">
        <v>2.953506</v>
      </c>
      <c r="T6842">
        <v>-0.32896829999999999</v>
      </c>
      <c r="U6842">
        <v>0.52255249999999998</v>
      </c>
      <c r="V6842">
        <v>-8.2385109999999998E-2</v>
      </c>
      <c r="W6842">
        <v>-8.3429489999999995E-2</v>
      </c>
      <c r="X6842">
        <v>0.99310229999999999</v>
      </c>
      <c r="Y6842">
        <v>-0.1870511</v>
      </c>
      <c r="Z6842">
        <v>1.298126E-2</v>
      </c>
      <c r="AA6842">
        <v>0.98226440000000004</v>
      </c>
      <c r="AB6842">
        <v>22</v>
      </c>
      <c r="AC6842">
        <v>9.9503000000000004</v>
      </c>
      <c r="AD6842">
        <v>-1.121040480225</v>
      </c>
      <c r="AE6842">
        <v>1.78235999999999</v>
      </c>
      <c r="AF6842">
        <v>-1.90205499306104</v>
      </c>
      <c r="AG6842">
        <v>-1.121040480225</v>
      </c>
      <c r="AH6842">
        <v>9.8030413490983399</v>
      </c>
      <c r="AI6842">
        <v>96.405363922851805</v>
      </c>
      <c r="AJ6842">
        <v>100.980494229523</v>
      </c>
      <c r="AK6842">
        <v>10.048590182063499</v>
      </c>
      <c r="AL6842">
        <v>94.785720556005103</v>
      </c>
      <c r="AM6842">
        <v>94.742245897682395</v>
      </c>
      <c r="AN6842">
        <v>0.99999998220833097</v>
      </c>
    </row>
    <row r="6843" spans="1:40" x14ac:dyDescent="0.25">
      <c r="A6843" t="str">
        <f>"20190303154654993"</f>
        <v>20190303154654993</v>
      </c>
      <c r="B6843" t="str">
        <f>"1551599214988531"</f>
        <v>1551599214988531</v>
      </c>
      <c r="C6843" t="s">
        <v>40</v>
      </c>
      <c r="D6843">
        <v>4.9518209999999998</v>
      </c>
      <c r="E6843">
        <v>0.46100629999999998</v>
      </c>
      <c r="F6843" t="s">
        <v>60</v>
      </c>
      <c r="G6843">
        <v>-197.93170000000001</v>
      </c>
      <c r="H6843" s="1">
        <v>-6.5729979999999999E-6</v>
      </c>
      <c r="I6843">
        <v>-60.789020000000001</v>
      </c>
      <c r="J6843">
        <v>-207.99969999999999</v>
      </c>
      <c r="K6843">
        <v>1.121057</v>
      </c>
      <c r="L6843">
        <v>-62.577849999999998</v>
      </c>
      <c r="M6843">
        <v>0.99980369999999996</v>
      </c>
      <c r="N6843">
        <v>-1.3609339999999999E-2</v>
      </c>
      <c r="O6843">
        <v>-1.439491E-2</v>
      </c>
      <c r="P6843">
        <v>0.99294579999999999</v>
      </c>
      <c r="Q6843">
        <v>-9.6445429999999999E-2</v>
      </c>
      <c r="R6843">
        <v>6.8970760000000006E-2</v>
      </c>
      <c r="S6843">
        <v>2.953964</v>
      </c>
      <c r="T6843">
        <v>-0.32533779999999901</v>
      </c>
      <c r="U6843">
        <v>0.51867680000000005</v>
      </c>
      <c r="V6843">
        <v>-8.3260310000000004E-2</v>
      </c>
      <c r="W6843">
        <v>-8.2936019999999999E-2</v>
      </c>
      <c r="X6843">
        <v>0.99307069999999997</v>
      </c>
      <c r="Y6843">
        <v>-0.185808</v>
      </c>
      <c r="Z6843">
        <v>1.277797E-2</v>
      </c>
      <c r="AA6843">
        <v>0.98250300000000002</v>
      </c>
      <c r="AB6843">
        <v>22</v>
      </c>
      <c r="AC6843">
        <v>10.0679999999999</v>
      </c>
      <c r="AD6843">
        <v>-1.1210635729979901</v>
      </c>
      <c r="AE6843">
        <v>1.7888299999999999</v>
      </c>
      <c r="AF6843">
        <v>-1.91062183549637</v>
      </c>
      <c r="AG6843">
        <v>-1.1210635729979901</v>
      </c>
      <c r="AH6843">
        <v>9.9219501651614799</v>
      </c>
      <c r="AI6843">
        <v>96.331065704898407</v>
      </c>
      <c r="AJ6843">
        <v>100.899751611958</v>
      </c>
      <c r="AK6843">
        <v>10.1662360002572</v>
      </c>
      <c r="AL6843">
        <v>94.757348207633001</v>
      </c>
      <c r="AM6843">
        <v>94.792542468067097</v>
      </c>
      <c r="AN6843">
        <v>1.0000000389166099</v>
      </c>
    </row>
    <row r="6844" spans="1:40" x14ac:dyDescent="0.25">
      <c r="A6844" t="str">
        <f>"20190303154655004"</f>
        <v>20190303154655004</v>
      </c>
      <c r="B6844" t="str">
        <f>"1551599214998290"</f>
        <v>1551599214998290</v>
      </c>
      <c r="C6844" t="s">
        <v>40</v>
      </c>
      <c r="D6844">
        <v>5.03817</v>
      </c>
      <c r="E6844">
        <v>0.46056219999999998</v>
      </c>
      <c r="F6844" t="s">
        <v>60</v>
      </c>
      <c r="G6844">
        <v>-197.62989999999999</v>
      </c>
      <c r="H6844" s="1">
        <v>-6.6944690000000002E-6</v>
      </c>
      <c r="I6844">
        <v>-60.764279999999999</v>
      </c>
      <c r="J6844">
        <v>-207.904</v>
      </c>
      <c r="K6844">
        <v>1.121076</v>
      </c>
      <c r="L6844">
        <v>-62.5792199999999</v>
      </c>
      <c r="M6844">
        <v>0.99980340000000001</v>
      </c>
      <c r="N6844">
        <v>-1.3656430000000001E-2</v>
      </c>
      <c r="O6844">
        <v>-1.438826E-2</v>
      </c>
      <c r="P6844">
        <v>0.99294420000000005</v>
      </c>
      <c r="Q6844">
        <v>-9.5754880000000001E-2</v>
      </c>
      <c r="R6844">
        <v>6.9952410000000007E-2</v>
      </c>
      <c r="S6844">
        <v>2.9544069999999998</v>
      </c>
      <c r="T6844">
        <v>-0.31939529999999999</v>
      </c>
      <c r="U6844">
        <v>0.51669309999999902</v>
      </c>
      <c r="V6844">
        <v>-8.423332E-2</v>
      </c>
      <c r="W6844">
        <v>-8.2201070000000001E-2</v>
      </c>
      <c r="X6844">
        <v>0.99304970000000004</v>
      </c>
      <c r="Y6844">
        <v>-0.18518480000000001</v>
      </c>
      <c r="Z6844">
        <v>1.2529820000000001E-2</v>
      </c>
      <c r="AA6844">
        <v>0.98262380000000005</v>
      </c>
      <c r="AB6844">
        <v>22</v>
      </c>
      <c r="AC6844">
        <v>10.274100000000001</v>
      </c>
      <c r="AD6844">
        <v>-1.121082694469</v>
      </c>
      <c r="AE6844">
        <v>1.81493999999998</v>
      </c>
      <c r="AF6844">
        <v>-1.94019027865111</v>
      </c>
      <c r="AG6844">
        <v>-1.121082694469</v>
      </c>
      <c r="AH6844">
        <v>10.1299566252953</v>
      </c>
      <c r="AI6844">
        <v>96.203373483078906</v>
      </c>
      <c r="AJ6844">
        <v>100.84254977003999</v>
      </c>
      <c r="AK6844">
        <v>10.374834261595399</v>
      </c>
      <c r="AL6844">
        <v>94.7150946382841</v>
      </c>
      <c r="AM6844">
        <v>94.848386445036596</v>
      </c>
      <c r="AN6844">
        <v>0.99999998738872797</v>
      </c>
    </row>
    <row r="6845" spans="1:40" x14ac:dyDescent="0.25">
      <c r="A6845" t="str">
        <f>"20190303154655014"</f>
        <v>20190303154655014</v>
      </c>
      <c r="B6845" t="str">
        <f>"1551599215008051"</f>
        <v>1551599215008051</v>
      </c>
      <c r="C6845" t="s">
        <v>40</v>
      </c>
      <c r="D6845">
        <v>4.9684839999999904</v>
      </c>
      <c r="E6845">
        <v>0.46091510000000002</v>
      </c>
      <c r="F6845" t="s">
        <v>60</v>
      </c>
      <c r="G6845">
        <v>-197.58150000000001</v>
      </c>
      <c r="H6845" s="1">
        <v>-6.7134330000000002E-6</v>
      </c>
      <c r="I6845">
        <v>-60.751089999999998</v>
      </c>
      <c r="J6845">
        <v>-207.79429999999999</v>
      </c>
      <c r="K6845">
        <v>1.121097</v>
      </c>
      <c r="L6845">
        <v>-62.580779999999997</v>
      </c>
      <c r="M6845">
        <v>0.99980290000000005</v>
      </c>
      <c r="N6845">
        <v>-1.370734E-2</v>
      </c>
      <c r="O6845">
        <v>-1.436634E-2</v>
      </c>
      <c r="P6845">
        <v>0.99284519999999998</v>
      </c>
      <c r="Q6845">
        <v>-9.5877270000000001E-2</v>
      </c>
      <c r="R6845">
        <v>7.1176929999999999E-2</v>
      </c>
      <c r="S6845">
        <v>2.953506</v>
      </c>
      <c r="T6845">
        <v>-0.32076759999999999</v>
      </c>
      <c r="U6845">
        <v>0.52307130000000002</v>
      </c>
      <c r="V6845">
        <v>-8.5431670000000001E-2</v>
      </c>
      <c r="W6845">
        <v>-8.2277100000000006E-2</v>
      </c>
      <c r="X6845">
        <v>0.99294099999999996</v>
      </c>
      <c r="Y6845">
        <v>-0.18724779999999999</v>
      </c>
      <c r="Z6845">
        <v>1.270747E-2</v>
      </c>
      <c r="AA6845">
        <v>0.98223050000000001</v>
      </c>
      <c r="AB6845">
        <v>22</v>
      </c>
      <c r="AC6845">
        <v>10.2127999999999</v>
      </c>
      <c r="AD6845">
        <v>-1.121103713433</v>
      </c>
      <c r="AE6845">
        <v>1.82969</v>
      </c>
      <c r="AF6845">
        <v>-1.95342791505309</v>
      </c>
      <c r="AG6845">
        <v>-1.121103713433</v>
      </c>
      <c r="AH6845">
        <v>10.0679079571622</v>
      </c>
      <c r="AI6845">
        <v>96.238549045363996</v>
      </c>
      <c r="AJ6845">
        <v>100.980393539248</v>
      </c>
      <c r="AK6845">
        <v>10.3167594131817</v>
      </c>
      <c r="AL6845">
        <v>94.719465770083403</v>
      </c>
      <c r="AM6845">
        <v>94.917562115426193</v>
      </c>
      <c r="AN6845">
        <v>0.99999996045219797</v>
      </c>
    </row>
    <row r="6846" spans="1:40" x14ac:dyDescent="0.25">
      <c r="A6846" t="str">
        <f>"20190303154655026"</f>
        <v>20190303154655026</v>
      </c>
      <c r="B6846" t="str">
        <f>"1551599215018786"</f>
        <v>1551599215018786</v>
      </c>
      <c r="C6846" t="s">
        <v>40</v>
      </c>
      <c r="D6846">
        <v>5.008159</v>
      </c>
      <c r="E6846">
        <v>0.4610532</v>
      </c>
      <c r="F6846" t="s">
        <v>60</v>
      </c>
      <c r="G6846">
        <v>-197.4162</v>
      </c>
      <c r="H6846" s="1">
        <v>-6.78008799999999E-6</v>
      </c>
      <c r="I6846">
        <v>-60.739640000000001</v>
      </c>
      <c r="J6846">
        <v>-207.6842</v>
      </c>
      <c r="K6846">
        <v>1.121113</v>
      </c>
      <c r="L6846">
        <v>-62.58231</v>
      </c>
      <c r="M6846">
        <v>0.99980270000000004</v>
      </c>
      <c r="N6846">
        <v>-1.3756320000000001E-2</v>
      </c>
      <c r="O6846">
        <v>-1.4333540000000001E-2</v>
      </c>
      <c r="P6846">
        <v>0.99275930000000001</v>
      </c>
      <c r="Q6846">
        <v>-9.5979930000000005E-2</v>
      </c>
      <c r="R6846">
        <v>7.2230849999999999E-2</v>
      </c>
      <c r="S6846">
        <v>2.9532470000000002</v>
      </c>
      <c r="T6846">
        <v>-0.31902770000000003</v>
      </c>
      <c r="U6846">
        <v>0.5239258</v>
      </c>
      <c r="V6846">
        <v>-8.6449650000000003E-2</v>
      </c>
      <c r="W6846">
        <v>-8.2335389999999994E-2</v>
      </c>
      <c r="X6846">
        <v>0.99284810000000001</v>
      </c>
      <c r="Y6846">
        <v>-0.18751680000000001</v>
      </c>
      <c r="Z6846">
        <v>1.2662710000000001E-2</v>
      </c>
      <c r="AA6846">
        <v>0.98217980000000005</v>
      </c>
      <c r="AB6846">
        <v>22</v>
      </c>
      <c r="AC6846">
        <v>10.267999999999899</v>
      </c>
      <c r="AD6846">
        <v>-1.121119780088</v>
      </c>
      <c r="AE6846">
        <v>1.84266999999999</v>
      </c>
      <c r="AF6846">
        <v>-1.9669538735847001</v>
      </c>
      <c r="AG6846">
        <v>-1.121119780088</v>
      </c>
      <c r="AH6846">
        <v>10.123607030715</v>
      </c>
      <c r="AI6846">
        <v>96.204272479083301</v>
      </c>
      <c r="AJ6846">
        <v>100.99522265057701</v>
      </c>
      <c r="AK6846">
        <v>10.373679984193499</v>
      </c>
      <c r="AL6846">
        <v>94.722816704957495</v>
      </c>
      <c r="AM6846">
        <v>94.976329203236006</v>
      </c>
      <c r="AN6846">
        <v>1.00000000405259</v>
      </c>
    </row>
    <row r="6847" spans="1:40" x14ac:dyDescent="0.25">
      <c r="A6847" t="str">
        <f>"20190303154655038"</f>
        <v>20190303154655038</v>
      </c>
      <c r="B6847" t="str">
        <f>"1551599215028547"</f>
        <v>1551599215028547</v>
      </c>
      <c r="C6847" t="s">
        <v>40</v>
      </c>
      <c r="D6847">
        <v>5.0138910000000001</v>
      </c>
      <c r="E6847">
        <v>0.46097880000000002</v>
      </c>
      <c r="F6847" t="s">
        <v>60</v>
      </c>
      <c r="G6847">
        <v>-197.3075</v>
      </c>
      <c r="H6847" s="1">
        <v>-6.8240259999999997E-6</v>
      </c>
      <c r="I6847">
        <v>-60.733930000000001</v>
      </c>
      <c r="J6847">
        <v>-207.57259999999999</v>
      </c>
      <c r="K6847">
        <v>1.1211340000000001</v>
      </c>
      <c r="L6847">
        <v>-62.583889999999997</v>
      </c>
      <c r="M6847">
        <v>0.99980279999999999</v>
      </c>
      <c r="N6847">
        <v>-1.3803609999999999E-2</v>
      </c>
      <c r="O6847">
        <v>-1.4287350000000001E-2</v>
      </c>
      <c r="P6847">
        <v>0.99266379999999999</v>
      </c>
      <c r="Q6847">
        <v>-9.6185989999999999E-2</v>
      </c>
      <c r="R6847">
        <v>7.3260779999999998E-2</v>
      </c>
      <c r="S6847">
        <v>2.9527739999999998</v>
      </c>
      <c r="T6847">
        <v>-0.31902419999999998</v>
      </c>
      <c r="U6847">
        <v>0.52597050000000001</v>
      </c>
      <c r="V6847">
        <v>-8.742888E-2</v>
      </c>
      <c r="W6847">
        <v>-8.2499310000000006E-2</v>
      </c>
      <c r="X6847">
        <v>0.99274870000000004</v>
      </c>
      <c r="Y6847">
        <v>-0.1881533</v>
      </c>
      <c r="Z6847">
        <v>1.2701759999999999E-2</v>
      </c>
      <c r="AA6847">
        <v>0.98205750000000003</v>
      </c>
      <c r="AB6847">
        <v>22</v>
      </c>
      <c r="AC6847">
        <v>10.265099999999901</v>
      </c>
      <c r="AD6847">
        <v>-1.1211408240259999</v>
      </c>
      <c r="AE6847">
        <v>1.8499599999999901</v>
      </c>
      <c r="AF6847">
        <v>-1.97364371196648</v>
      </c>
      <c r="AG6847">
        <v>-1.1211408240259999</v>
      </c>
      <c r="AH6847">
        <v>10.1206893107894</v>
      </c>
      <c r="AI6847">
        <v>96.205334748452501</v>
      </c>
      <c r="AJ6847">
        <v>101.034805090117</v>
      </c>
      <c r="AK6847">
        <v>10.3721057830418</v>
      </c>
      <c r="AL6847">
        <v>94.732240883804906</v>
      </c>
      <c r="AM6847">
        <v>95.0329103805919</v>
      </c>
      <c r="AN6847">
        <v>0.99999996328010898</v>
      </c>
    </row>
    <row r="6848" spans="1:40" x14ac:dyDescent="0.25">
      <c r="A6848" t="str">
        <f>"20190303154655050"</f>
        <v>20190303154655050</v>
      </c>
      <c r="B6848" t="str">
        <f>"1551599215038307"</f>
        <v>1551599215038307</v>
      </c>
      <c r="C6848" t="s">
        <v>40</v>
      </c>
      <c r="D6848">
        <v>5.0157910000000001</v>
      </c>
      <c r="E6848">
        <v>0.4610127</v>
      </c>
      <c r="F6848" t="s">
        <v>60</v>
      </c>
      <c r="G6848">
        <v>-197.24879999999999</v>
      </c>
      <c r="H6848" s="1">
        <v>-6.8478029999999998E-6</v>
      </c>
      <c r="I6848">
        <v>-60.731679999999997</v>
      </c>
      <c r="J6848">
        <v>-207.4658</v>
      </c>
      <c r="K6848">
        <v>1.1211580000000001</v>
      </c>
      <c r="L6848">
        <v>-62.585329999999999</v>
      </c>
      <c r="M6848">
        <v>0.999803</v>
      </c>
      <c r="N6848">
        <v>-1.3845990000000001E-2</v>
      </c>
      <c r="O6848">
        <v>-1.422489E-2</v>
      </c>
      <c r="P6848">
        <v>0.99259589999999998</v>
      </c>
      <c r="Q6848">
        <v>-9.6001740000000002E-2</v>
      </c>
      <c r="R6848">
        <v>7.4412249999999999E-2</v>
      </c>
      <c r="S6848">
        <v>2.9520420000000001</v>
      </c>
      <c r="T6848">
        <v>-0.32058500000000001</v>
      </c>
      <c r="U6848">
        <v>0.52963260000000001</v>
      </c>
      <c r="V6848">
        <v>-8.8513549999999996E-2</v>
      </c>
      <c r="W6848">
        <v>-8.2277799999999998E-2</v>
      </c>
      <c r="X6848">
        <v>0.99267099999999997</v>
      </c>
      <c r="Y6848">
        <v>-0.18929489999999999</v>
      </c>
      <c r="Z6848">
        <v>1.2826799999999999E-2</v>
      </c>
      <c r="AA6848">
        <v>0.9818365</v>
      </c>
      <c r="AB6848">
        <v>22</v>
      </c>
      <c r="AC6848">
        <v>10.217000000000001</v>
      </c>
      <c r="AD6848">
        <v>-1.1211648478030001</v>
      </c>
      <c r="AE6848">
        <v>1.85365</v>
      </c>
      <c r="AF6848">
        <v>-1.9757782564045701</v>
      </c>
      <c r="AG6848">
        <v>-1.1211648478030001</v>
      </c>
      <c r="AH6848">
        <v>10.0721733417162</v>
      </c>
      <c r="AI6848">
        <v>96.233781053444602</v>
      </c>
      <c r="AJ6848">
        <v>101.098337024255</v>
      </c>
      <c r="AK6848">
        <v>10.3251821368927</v>
      </c>
      <c r="AL6848">
        <v>94.719505828524703</v>
      </c>
      <c r="AM6848">
        <v>95.095420295021398</v>
      </c>
      <c r="AN6848">
        <v>0.99999999957372099</v>
      </c>
    </row>
    <row r="6849" spans="1:40" x14ac:dyDescent="0.25">
      <c r="A6849" t="str">
        <f>"20190303154655063"</f>
        <v>20190303154655063</v>
      </c>
      <c r="B6849" t="str">
        <f>"1551599215058803"</f>
        <v>1551599215058803</v>
      </c>
      <c r="C6849" t="s">
        <v>40</v>
      </c>
      <c r="D6849">
        <v>5.0159779999999996</v>
      </c>
      <c r="E6849">
        <v>0.4610225</v>
      </c>
      <c r="F6849" t="s">
        <v>60</v>
      </c>
      <c r="G6849">
        <v>-197.17840000000001</v>
      </c>
      <c r="H6849" s="1">
        <v>-6.8762829999999999E-6</v>
      </c>
      <c r="I6849">
        <v>-60.728479999999998</v>
      </c>
      <c r="J6849">
        <v>-207.32650000000001</v>
      </c>
      <c r="K6849">
        <v>1.121184</v>
      </c>
      <c r="L6849">
        <v>-62.587220000000002</v>
      </c>
      <c r="M6849">
        <v>0.99980349999999996</v>
      </c>
      <c r="N6849">
        <v>-1.3898850000000001E-2</v>
      </c>
      <c r="O6849">
        <v>-1.412794E-2</v>
      </c>
      <c r="P6849">
        <v>0.99247929999999995</v>
      </c>
      <c r="Q6849">
        <v>-9.6140329999999996E-2</v>
      </c>
      <c r="R6849">
        <v>7.5773380000000001E-2</v>
      </c>
      <c r="S6849">
        <v>2.951355</v>
      </c>
      <c r="T6849">
        <v>-0.32165300000000002</v>
      </c>
      <c r="U6849">
        <v>0.53271480000000004</v>
      </c>
      <c r="V6849">
        <v>-8.9772350000000001E-2</v>
      </c>
      <c r="W6849">
        <v>-8.2371089999999994E-2</v>
      </c>
      <c r="X6849">
        <v>0.99255020000000005</v>
      </c>
      <c r="Y6849">
        <v>-0.1902181</v>
      </c>
      <c r="Z6849">
        <v>1.291876E-2</v>
      </c>
      <c r="AA6849">
        <v>0.9816568</v>
      </c>
      <c r="AB6849">
        <v>22</v>
      </c>
      <c r="AC6849">
        <v>10.148099999999999</v>
      </c>
      <c r="AD6849">
        <v>-1.1211908762829901</v>
      </c>
      <c r="AE6849">
        <v>1.8587399999999901</v>
      </c>
      <c r="AF6849">
        <v>-1.9785726355321001</v>
      </c>
      <c r="AG6849">
        <v>-1.1211908762829901</v>
      </c>
      <c r="AH6849">
        <v>10.0026900431267</v>
      </c>
      <c r="AI6849">
        <v>96.274945382370404</v>
      </c>
      <c r="AJ6849">
        <v>101.188902243538</v>
      </c>
      <c r="AK6849">
        <v>10.2579543162368</v>
      </c>
      <c r="AL6849">
        <v>94.724869224271899</v>
      </c>
      <c r="AM6849">
        <v>95.168120993621898</v>
      </c>
      <c r="AN6849">
        <v>0.99999998540617496</v>
      </c>
    </row>
    <row r="6850" spans="1:40" x14ac:dyDescent="0.25">
      <c r="A6850" t="str">
        <f>"20190303154655077"</f>
        <v>20190303154655077</v>
      </c>
      <c r="B6850" t="str">
        <f>"1551599215068563"</f>
        <v>1551599215068563</v>
      </c>
      <c r="C6850" t="s">
        <v>40</v>
      </c>
      <c r="D6850">
        <v>5.0013009999999998</v>
      </c>
      <c r="E6850">
        <v>0.46098359999999999</v>
      </c>
      <c r="F6850" t="s">
        <v>60</v>
      </c>
      <c r="G6850">
        <v>-197.12909999999999</v>
      </c>
      <c r="H6850" s="1">
        <v>-6.89661399999999E-6</v>
      </c>
      <c r="I6850">
        <v>-60.73245</v>
      </c>
      <c r="J6850">
        <v>-207.1901</v>
      </c>
      <c r="K6850">
        <v>1.12121</v>
      </c>
      <c r="L6850">
        <v>-62.589019999999998</v>
      </c>
      <c r="M6850">
        <v>0.9998049</v>
      </c>
      <c r="N6850">
        <v>-1.3946190000000001E-2</v>
      </c>
      <c r="O6850">
        <v>-1.400217E-2</v>
      </c>
      <c r="P6850">
        <v>0.99238590000000004</v>
      </c>
      <c r="Q6850">
        <v>-9.6298220000000004E-2</v>
      </c>
      <c r="R6850">
        <v>7.6793940000000005E-2</v>
      </c>
      <c r="S6850">
        <v>2.9503330000000001</v>
      </c>
      <c r="T6850">
        <v>-0.32438339999999999</v>
      </c>
      <c r="U6850">
        <v>0.53662109999999996</v>
      </c>
      <c r="V6850">
        <v>-9.0661179999999994E-2</v>
      </c>
      <c r="W6850">
        <v>-8.2489450000000006E-2</v>
      </c>
      <c r="X6850">
        <v>0.9924596</v>
      </c>
      <c r="Y6850">
        <v>-0.19138330000000001</v>
      </c>
      <c r="Z6850">
        <v>1.308457E-2</v>
      </c>
      <c r="AA6850">
        <v>0.98142810000000003</v>
      </c>
      <c r="AB6850">
        <v>22</v>
      </c>
      <c r="AC6850">
        <v>10.061</v>
      </c>
      <c r="AD6850">
        <v>-1.1212168966139999</v>
      </c>
      <c r="AE6850">
        <v>1.8565699999999901</v>
      </c>
      <c r="AF6850">
        <v>-1.97357419950561</v>
      </c>
      <c r="AG6850">
        <v>-1.1212168966139999</v>
      </c>
      <c r="AH6850">
        <v>9.9149333977706195</v>
      </c>
      <c r="AI6850">
        <v>96.328687346047502</v>
      </c>
      <c r="AJ6850">
        <v>101.25762271337</v>
      </c>
      <c r="AK6850">
        <v>10.1714318919429</v>
      </c>
      <c r="AL6850">
        <v>94.731673801851102</v>
      </c>
      <c r="AM6850">
        <v>95.219482817380793</v>
      </c>
      <c r="AN6850">
        <v>1.0000000082762199</v>
      </c>
    </row>
    <row r="6851" spans="1:40" x14ac:dyDescent="0.25">
      <c r="A6851" t="str">
        <f>"20190303154655092"</f>
        <v>20190303154655092</v>
      </c>
      <c r="B6851" t="str">
        <f>"1551599215088083"</f>
        <v>1551599215088083</v>
      </c>
      <c r="C6851" t="s">
        <v>40</v>
      </c>
      <c r="D6851">
        <v>5.0783820000000004</v>
      </c>
      <c r="E6851">
        <v>0.46086549999999998</v>
      </c>
      <c r="F6851" t="s">
        <v>60</v>
      </c>
      <c r="G6851">
        <v>-197.0797</v>
      </c>
      <c r="H6851" s="1">
        <v>-6.9170650000000003E-6</v>
      </c>
      <c r="I6851">
        <v>-60.738269999999901</v>
      </c>
      <c r="J6851">
        <v>-207.04470000000001</v>
      </c>
      <c r="K6851">
        <v>1.1212470000000001</v>
      </c>
      <c r="L6851">
        <v>-62.590850000000003</v>
      </c>
      <c r="M6851">
        <v>0.99980639999999998</v>
      </c>
      <c r="N6851">
        <v>-1.399248E-2</v>
      </c>
      <c r="O6851">
        <v>-1.3838069999999999E-2</v>
      </c>
      <c r="P6851">
        <v>0.99216070000000001</v>
      </c>
      <c r="Q6851">
        <v>-9.633775E-2</v>
      </c>
      <c r="R6851">
        <v>7.9601839999999993E-2</v>
      </c>
      <c r="S6851">
        <v>2.9494929999999999</v>
      </c>
      <c r="T6851">
        <v>-0.32709070000000001</v>
      </c>
      <c r="U6851">
        <v>0.53991699999999998</v>
      </c>
      <c r="V6851">
        <v>-9.3297279999999996E-2</v>
      </c>
      <c r="W6851">
        <v>-8.249418E-2</v>
      </c>
      <c r="X6851">
        <v>0.99221490000000001</v>
      </c>
      <c r="Y6851">
        <v>-0.19230530000000001</v>
      </c>
      <c r="Z6851">
        <v>1.3231120000000001E-2</v>
      </c>
      <c r="AA6851">
        <v>0.9812459</v>
      </c>
      <c r="AB6851">
        <v>22</v>
      </c>
      <c r="AC6851">
        <v>9.9649999999999999</v>
      </c>
      <c r="AD6851">
        <v>-1.12125391706499</v>
      </c>
      <c r="AE6851">
        <v>1.8525800000000101</v>
      </c>
      <c r="AF6851">
        <v>-1.9662502259853101</v>
      </c>
      <c r="AG6851">
        <v>-1.12125391706499</v>
      </c>
      <c r="AH6851">
        <v>9.8182549885736705</v>
      </c>
      <c r="AI6851">
        <v>96.389223671101107</v>
      </c>
      <c r="AJ6851">
        <v>101.324516495296</v>
      </c>
      <c r="AK6851">
        <v>10.075786883334301</v>
      </c>
      <c r="AL6851">
        <v>94.731945587324205</v>
      </c>
      <c r="AM6851">
        <v>95.371688347990002</v>
      </c>
      <c r="AN6851">
        <v>1.0000000399856299</v>
      </c>
    </row>
    <row r="6852" spans="1:40" x14ac:dyDescent="0.25">
      <c r="A6852" t="str">
        <f>"20190303154655105"</f>
        <v>20190303154655105</v>
      </c>
      <c r="B6852" t="str">
        <f>"1551599215098819"</f>
        <v>1551599215098819</v>
      </c>
      <c r="C6852" t="s">
        <v>40</v>
      </c>
      <c r="D6852">
        <v>5.1143559999999999</v>
      </c>
      <c r="E6852">
        <v>0.46069830000000001</v>
      </c>
      <c r="F6852" t="s">
        <v>60</v>
      </c>
      <c r="G6852">
        <v>-197.06460000000001</v>
      </c>
      <c r="H6852" s="1">
        <v>-6.9228269999999997E-6</v>
      </c>
      <c r="I6852">
        <v>-60.73151</v>
      </c>
      <c r="J6852">
        <v>-206.92519999999999</v>
      </c>
      <c r="K6852">
        <v>1.1212770000000001</v>
      </c>
      <c r="L6852">
        <v>-62.592379999999999</v>
      </c>
      <c r="M6852">
        <v>0.99980809999999998</v>
      </c>
      <c r="N6852">
        <v>-1.402811E-2</v>
      </c>
      <c r="O6852">
        <v>-1.368374E-2</v>
      </c>
      <c r="P6852">
        <v>0.99204919999999996</v>
      </c>
      <c r="Q6852">
        <v>-9.6320539999999996E-2</v>
      </c>
      <c r="R6852">
        <v>8.1001580000000004E-2</v>
      </c>
      <c r="S6852">
        <v>2.947495</v>
      </c>
      <c r="T6852">
        <v>-0.331148</v>
      </c>
      <c r="U6852">
        <v>0.54913330000000005</v>
      </c>
      <c r="V6852">
        <v>-9.453715E-2</v>
      </c>
      <c r="W6852">
        <v>-8.2449679999999997E-2</v>
      </c>
      <c r="X6852">
        <v>0.99210120000000002</v>
      </c>
      <c r="Y6852">
        <v>-0.19518550000000001</v>
      </c>
      <c r="Z6852">
        <v>1.355342E-2</v>
      </c>
      <c r="AA6852">
        <v>0.98067269999999895</v>
      </c>
      <c r="AB6852">
        <v>22</v>
      </c>
      <c r="AC6852">
        <v>9.8605999999999696</v>
      </c>
      <c r="AD6852">
        <v>-1.121283922827</v>
      </c>
      <c r="AE6852">
        <v>1.86087</v>
      </c>
      <c r="AF6852">
        <v>-1.97102844813335</v>
      </c>
      <c r="AG6852">
        <v>-1.121283922827</v>
      </c>
      <c r="AH6852">
        <v>9.7129338796558304</v>
      </c>
      <c r="AI6852">
        <v>96.454790421444997</v>
      </c>
      <c r="AJ6852">
        <v>101.471163400626</v>
      </c>
      <c r="AK6852">
        <v>9.97413230960505</v>
      </c>
      <c r="AL6852">
        <v>94.729387367371999</v>
      </c>
      <c r="AM6852">
        <v>95.443269287359598</v>
      </c>
      <c r="AN6852">
        <v>1.00000000675183</v>
      </c>
    </row>
    <row r="6853" spans="1:40" x14ac:dyDescent="0.25">
      <c r="A6853" t="str">
        <f>"20190303154655117"</f>
        <v>20190303154655117</v>
      </c>
      <c r="B6853" t="str">
        <f>"1551599215108579"</f>
        <v>1551599215108579</v>
      </c>
      <c r="C6853" t="s">
        <v>40</v>
      </c>
      <c r="D6853">
        <v>5.0725920000000002</v>
      </c>
      <c r="E6853">
        <v>0.46053699999999997</v>
      </c>
      <c r="F6853" t="s">
        <v>60</v>
      </c>
      <c r="G6853">
        <v>-197.0333</v>
      </c>
      <c r="H6853" s="1">
        <v>-6.9355260000000002E-6</v>
      </c>
      <c r="I6853">
        <v>-60.730719999999998</v>
      </c>
      <c r="J6853">
        <v>-206.80850000000001</v>
      </c>
      <c r="K6853">
        <v>1.1213059999999999</v>
      </c>
      <c r="L6853">
        <v>-62.593780000000002</v>
      </c>
      <c r="M6853">
        <v>0.99980999999999998</v>
      </c>
      <c r="N6853">
        <v>-1.4060029999999999E-2</v>
      </c>
      <c r="O6853">
        <v>-1.3508040000000001E-2</v>
      </c>
      <c r="P6853">
        <v>0.99195949999999999</v>
      </c>
      <c r="Q6853">
        <v>-9.6044459999999998E-2</v>
      </c>
      <c r="R6853">
        <v>8.2414329999999994E-2</v>
      </c>
      <c r="S6853">
        <v>2.9463499999999998</v>
      </c>
      <c r="T6853">
        <v>-0.33398060000000002</v>
      </c>
      <c r="U6853">
        <v>0.55450440000000001</v>
      </c>
      <c r="V6853">
        <v>-9.5768969999999995E-2</v>
      </c>
      <c r="W6853">
        <v>-8.2150039999999994E-2</v>
      </c>
      <c r="X6853">
        <v>0.99200790000000005</v>
      </c>
      <c r="Y6853">
        <v>-0.1967747</v>
      </c>
      <c r="Z6853">
        <v>1.37473E-2</v>
      </c>
      <c r="AA6853">
        <v>0.98035229999999995</v>
      </c>
      <c r="AB6853">
        <v>22</v>
      </c>
      <c r="AC6853">
        <v>9.7752000000000105</v>
      </c>
      <c r="AD6853">
        <v>-1.1213129355260001</v>
      </c>
      <c r="AE6853">
        <v>1.8630599999999999</v>
      </c>
      <c r="AF6853">
        <v>-1.96993425363468</v>
      </c>
      <c r="AG6853">
        <v>-1.1213129355260001</v>
      </c>
      <c r="AH6853">
        <v>9.6269048570595803</v>
      </c>
      <c r="AI6853">
        <v>96.509999427678295</v>
      </c>
      <c r="AJ6853">
        <v>101.56467010510001</v>
      </c>
      <c r="AK6853">
        <v>9.8901608070798499</v>
      </c>
      <c r="AL6853">
        <v>94.712160856712103</v>
      </c>
      <c r="AM6853">
        <v>95.514276227379497</v>
      </c>
      <c r="AN6853">
        <v>0.999999999174636</v>
      </c>
    </row>
    <row r="6854" spans="1:40" x14ac:dyDescent="0.25">
      <c r="A6854" t="str">
        <f>"20190303154655129"</f>
        <v>20190303154655129</v>
      </c>
      <c r="B6854" t="str">
        <f>"1551599215118338"</f>
        <v>1551599215118338</v>
      </c>
      <c r="C6854" t="s">
        <v>40</v>
      </c>
      <c r="D6854">
        <v>5.0769279999999997</v>
      </c>
      <c r="E6854">
        <v>0.46039940000000001</v>
      </c>
      <c r="F6854" t="s">
        <v>60</v>
      </c>
      <c r="G6854">
        <v>-196.98580000000001</v>
      </c>
      <c r="H6854" s="1">
        <v>-6.9546159999999999E-6</v>
      </c>
      <c r="I6854">
        <v>-60.726329999999997</v>
      </c>
      <c r="J6854">
        <v>-206.6944</v>
      </c>
      <c r="K6854">
        <v>1.121335</v>
      </c>
      <c r="L6854">
        <v>-62.595059999999997</v>
      </c>
      <c r="M6854">
        <v>0.99981220000000004</v>
      </c>
      <c r="N6854">
        <v>-1.4088750000000001E-2</v>
      </c>
      <c r="O6854">
        <v>-1.3310870000000001E-2</v>
      </c>
      <c r="P6854">
        <v>0.99183750000000004</v>
      </c>
      <c r="Q6854">
        <v>-9.5952850000000006E-2</v>
      </c>
      <c r="R6854">
        <v>8.3972359999999996E-2</v>
      </c>
      <c r="S6854">
        <v>2.9452509999999998</v>
      </c>
      <c r="T6854">
        <v>-0.33621489999999998</v>
      </c>
      <c r="U6854">
        <v>0.55993649999999995</v>
      </c>
      <c r="V6854">
        <v>-9.7124500000000002E-2</v>
      </c>
      <c r="W6854">
        <v>-8.2038669999999994E-2</v>
      </c>
      <c r="X6854">
        <v>0.99188529999999997</v>
      </c>
      <c r="Y6854">
        <v>-0.19836380000000001</v>
      </c>
      <c r="Z6854">
        <v>1.391738E-2</v>
      </c>
      <c r="AA6854">
        <v>0.98002959999999995</v>
      </c>
      <c r="AB6854">
        <v>22</v>
      </c>
      <c r="AC6854">
        <v>9.7085999999999899</v>
      </c>
      <c r="AD6854">
        <v>-1.1213419546159999</v>
      </c>
      <c r="AE6854">
        <v>1.86872999999999</v>
      </c>
      <c r="AF6854">
        <v>-1.9724344761935799</v>
      </c>
      <c r="AG6854">
        <v>-1.1213419546159999</v>
      </c>
      <c r="AH6854">
        <v>9.5598879620289807</v>
      </c>
      <c r="AI6854">
        <v>96.553235744597004</v>
      </c>
      <c r="AJ6854">
        <v>101.657908288058</v>
      </c>
      <c r="AK6854">
        <v>9.8254446916465703</v>
      </c>
      <c r="AL6854">
        <v>94.705758303901604</v>
      </c>
      <c r="AM6854">
        <v>95.592521745679903</v>
      </c>
      <c r="AN6854">
        <v>0.999999980115854</v>
      </c>
    </row>
    <row r="6855" spans="1:40" x14ac:dyDescent="0.25">
      <c r="A6855" t="str">
        <f>"20190303154655141"</f>
        <v>20190303154655141</v>
      </c>
      <c r="B6855" t="str">
        <f>"1551599215138835"</f>
        <v>1551599215138835</v>
      </c>
      <c r="C6855" t="s">
        <v>40</v>
      </c>
      <c r="D6855">
        <v>5.0742770000000004</v>
      </c>
      <c r="E6855">
        <v>0.4602214</v>
      </c>
      <c r="F6855" t="s">
        <v>60</v>
      </c>
      <c r="G6855">
        <v>-196.95580000000001</v>
      </c>
      <c r="H6855" s="1">
        <v>-6.9667029999999996E-6</v>
      </c>
      <c r="I6855">
        <v>-60.724359999999997</v>
      </c>
      <c r="J6855">
        <v>-206.57509999999999</v>
      </c>
      <c r="K6855">
        <v>1.1213649999999999</v>
      </c>
      <c r="L6855">
        <v>-62.596440000000001</v>
      </c>
      <c r="M6855">
        <v>0.9998146</v>
      </c>
      <c r="N6855">
        <v>-1.4117380000000001E-2</v>
      </c>
      <c r="O6855">
        <v>-1.309043E-2</v>
      </c>
      <c r="P6855">
        <v>0.9917163</v>
      </c>
      <c r="Q6855">
        <v>-9.6071569999999995E-2</v>
      </c>
      <c r="R6855">
        <v>8.525771E-2</v>
      </c>
      <c r="S6855">
        <v>2.944016</v>
      </c>
      <c r="T6855">
        <v>-0.33898590000000001</v>
      </c>
      <c r="U6855">
        <v>0.56552119999999995</v>
      </c>
      <c r="V6855">
        <v>-9.8184030000000005E-2</v>
      </c>
      <c r="W6855">
        <v>-8.2137959999999996E-2</v>
      </c>
      <c r="X6855">
        <v>0.99177280000000001</v>
      </c>
      <c r="Y6855">
        <v>-0.1999821</v>
      </c>
      <c r="Z6855">
        <v>1.410875E-2</v>
      </c>
      <c r="AA6855">
        <v>0.97969790000000001</v>
      </c>
      <c r="AB6855">
        <v>22</v>
      </c>
      <c r="AC6855">
        <v>9.6192999999999795</v>
      </c>
      <c r="AD6855">
        <v>-1.121371966703</v>
      </c>
      <c r="AE6855">
        <v>1.87208</v>
      </c>
      <c r="AF6855">
        <v>-1.9720314258313301</v>
      </c>
      <c r="AG6855">
        <v>-1.121371966703</v>
      </c>
      <c r="AH6855">
        <v>9.4699685828219398</v>
      </c>
      <c r="AI6855">
        <v>96.612589822651103</v>
      </c>
      <c r="AJ6855">
        <v>101.763193645654</v>
      </c>
      <c r="AK6855">
        <v>9.7378995677614295</v>
      </c>
      <c r="AL6855">
        <v>94.711466290051106</v>
      </c>
      <c r="AM6855">
        <v>95.653774533087102</v>
      </c>
      <c r="AN6855">
        <v>1.00000001751992</v>
      </c>
    </row>
    <row r="6856" spans="1:40" x14ac:dyDescent="0.25">
      <c r="A6856" t="str">
        <f>"20190303154655154"</f>
        <v>20190303154655154</v>
      </c>
      <c r="B6856" t="str">
        <f>"1551599215148595"</f>
        <v>1551599215148595</v>
      </c>
      <c r="C6856" t="s">
        <v>40</v>
      </c>
      <c r="D6856">
        <v>5.0882860000000001</v>
      </c>
      <c r="E6856">
        <v>0.46012330000000001</v>
      </c>
      <c r="F6856" t="s">
        <v>60</v>
      </c>
      <c r="G6856">
        <v>-196.96719999999999</v>
      </c>
      <c r="H6856" s="1">
        <v>-6.962607E-6</v>
      </c>
      <c r="I6856">
        <v>-60.733370000000001</v>
      </c>
      <c r="J6856">
        <v>-206.45249999999999</v>
      </c>
      <c r="K6856">
        <v>1.121402</v>
      </c>
      <c r="L6856">
        <v>-62.597749999999998</v>
      </c>
      <c r="M6856">
        <v>0.99981779999999998</v>
      </c>
      <c r="N6856">
        <v>-1.4143299999999999E-2</v>
      </c>
      <c r="O6856">
        <v>-1.281759E-2</v>
      </c>
      <c r="P6856">
        <v>0.99156619999999995</v>
      </c>
      <c r="Q6856">
        <v>-9.623218E-2</v>
      </c>
      <c r="R6856">
        <v>8.6807750000000003E-2</v>
      </c>
      <c r="S6856">
        <v>2.9427189999999999</v>
      </c>
      <c r="T6856">
        <v>-0.34345320000000001</v>
      </c>
      <c r="U6856">
        <v>0.57061770000000001</v>
      </c>
      <c r="V6856">
        <v>-9.9455379999999996E-2</v>
      </c>
      <c r="W6856">
        <v>-8.2283209999999996E-2</v>
      </c>
      <c r="X6856">
        <v>0.99163409999999996</v>
      </c>
      <c r="Y6856">
        <v>-0.20138259999999999</v>
      </c>
      <c r="Z6856">
        <v>1.434644E-2</v>
      </c>
      <c r="AA6856">
        <v>0.97940760000000004</v>
      </c>
      <c r="AB6856">
        <v>21</v>
      </c>
      <c r="AC6856">
        <v>9.4852999999999899</v>
      </c>
      <c r="AD6856">
        <v>-1.1214089626070001</v>
      </c>
      <c r="AE6856">
        <v>1.8643799999999999</v>
      </c>
      <c r="AF6856">
        <v>-1.95944844165941</v>
      </c>
      <c r="AG6856">
        <v>-1.1214089626070001</v>
      </c>
      <c r="AH6856">
        <v>9.3349959453875204</v>
      </c>
      <c r="AI6856">
        <v>96.705340371776401</v>
      </c>
      <c r="AJ6856">
        <v>101.85448421431801</v>
      </c>
      <c r="AK6856">
        <v>9.6041212798120306</v>
      </c>
      <c r="AL6856">
        <v>94.719816644236204</v>
      </c>
      <c r="AM6856">
        <v>95.727295402238099</v>
      </c>
      <c r="AN6856">
        <v>1.0000000437708201</v>
      </c>
    </row>
    <row r="6857" spans="1:40" x14ac:dyDescent="0.25">
      <c r="A6857" t="str">
        <f>"20190303154655166"</f>
        <v>20190303154655166</v>
      </c>
      <c r="B6857" t="str">
        <f>"1551599215158355"</f>
        <v>1551599215158355</v>
      </c>
      <c r="C6857" t="s">
        <v>40</v>
      </c>
      <c r="D6857">
        <v>5.0720280000000004</v>
      </c>
      <c r="E6857">
        <v>0.46002090000000001</v>
      </c>
      <c r="F6857" t="s">
        <v>60</v>
      </c>
      <c r="G6857">
        <v>-196.91120000000001</v>
      </c>
      <c r="H6857" s="1">
        <v>-6.9851649999999997E-6</v>
      </c>
      <c r="I6857">
        <v>-60.729559999999999</v>
      </c>
      <c r="J6857">
        <v>-206.34299999999999</v>
      </c>
      <c r="K6857">
        <v>1.1214329999999999</v>
      </c>
      <c r="L6857">
        <v>-62.598880000000001</v>
      </c>
      <c r="M6857">
        <v>0.99982090000000001</v>
      </c>
      <c r="N6857">
        <v>-1.416535E-2</v>
      </c>
      <c r="O6857">
        <v>-1.2556690000000001E-2</v>
      </c>
      <c r="P6857">
        <v>0.9913826</v>
      </c>
      <c r="Q6857">
        <v>-9.6800300000000006E-2</v>
      </c>
      <c r="R6857">
        <v>8.8264140000000005E-2</v>
      </c>
      <c r="S6857">
        <v>2.9415439999999999</v>
      </c>
      <c r="T6857">
        <v>-0.34572720000000001</v>
      </c>
      <c r="U6857">
        <v>0.57595830000000003</v>
      </c>
      <c r="V6857">
        <v>-0.1006451</v>
      </c>
      <c r="W6857">
        <v>-8.2839679999999999E-2</v>
      </c>
      <c r="X6857">
        <v>0.99146769999999995</v>
      </c>
      <c r="Y6857">
        <v>-0.2028829</v>
      </c>
      <c r="Z6857">
        <v>1.450888E-2</v>
      </c>
      <c r="AA6857">
        <v>0.97909550000000001</v>
      </c>
      <c r="AB6857">
        <v>21</v>
      </c>
      <c r="AC6857">
        <v>9.4317999999999795</v>
      </c>
      <c r="AD6857">
        <v>-1.1214399851650001</v>
      </c>
      <c r="AE6857">
        <v>1.8693200000000001</v>
      </c>
      <c r="AF6857">
        <v>-1.96094224545839</v>
      </c>
      <c r="AG6857">
        <v>-1.1214399851650001</v>
      </c>
      <c r="AH6857">
        <v>9.2813288624140906</v>
      </c>
      <c r="AI6857">
        <v>96.742089229075404</v>
      </c>
      <c r="AJ6857">
        <v>101.929902010517</v>
      </c>
      <c r="AK6857">
        <v>9.55227656543879</v>
      </c>
      <c r="AL6857">
        <v>94.751809341264803</v>
      </c>
      <c r="AM6857">
        <v>95.796309722961794</v>
      </c>
      <c r="AN6857">
        <v>1.0000000244399001</v>
      </c>
    </row>
    <row r="6858" spans="1:40" x14ac:dyDescent="0.25">
      <c r="A6858" t="str">
        <f>"20190303154655177"</f>
        <v>20190303154655177</v>
      </c>
      <c r="B6858" t="str">
        <f>"1551599215168115"</f>
        <v>1551599215168115</v>
      </c>
      <c r="C6858" t="s">
        <v>40</v>
      </c>
      <c r="D6858">
        <v>5.1118790000000001</v>
      </c>
      <c r="E6858">
        <v>0.45998620000000001</v>
      </c>
      <c r="F6858" t="s">
        <v>60</v>
      </c>
      <c r="G6858">
        <v>-196.90129999999999</v>
      </c>
      <c r="H6858" s="1">
        <v>-6.9894369999999999E-6</v>
      </c>
      <c r="I6858">
        <v>-60.733179999999997</v>
      </c>
      <c r="J6858">
        <v>-206.23330000000001</v>
      </c>
      <c r="K6858">
        <v>1.1214660000000001</v>
      </c>
      <c r="L6858">
        <v>-62.599980000000002</v>
      </c>
      <c r="M6858">
        <v>0.99982400000000005</v>
      </c>
      <c r="N6858">
        <v>-1.418581E-2</v>
      </c>
      <c r="O6858">
        <v>-1.2268950000000001E-2</v>
      </c>
      <c r="P6858">
        <v>0.99125189999999996</v>
      </c>
      <c r="Q6858">
        <v>-9.6919740000000004E-2</v>
      </c>
      <c r="R6858">
        <v>8.958998E-2</v>
      </c>
      <c r="S6858">
        <v>2.9402469999999998</v>
      </c>
      <c r="T6858">
        <v>-0.34922560000000002</v>
      </c>
      <c r="U6858">
        <v>0.58099369999999995</v>
      </c>
      <c r="V6858">
        <v>-0.101678</v>
      </c>
      <c r="W6858">
        <v>-8.2948579999999994E-2</v>
      </c>
      <c r="X6858">
        <v>0.99135320000000005</v>
      </c>
      <c r="Y6858">
        <v>-0.2042563</v>
      </c>
      <c r="Z6858">
        <v>1.470832E-2</v>
      </c>
      <c r="AA6858">
        <v>0.97880690000000004</v>
      </c>
      <c r="AB6858">
        <v>21</v>
      </c>
      <c r="AC6858">
        <v>9.3320000000000203</v>
      </c>
      <c r="AD6858">
        <v>-1.1214729894369999</v>
      </c>
      <c r="AE6858">
        <v>1.86679999999999</v>
      </c>
      <c r="AF6858">
        <v>-1.95403051473763</v>
      </c>
      <c r="AG6858">
        <v>-1.1214729894369999</v>
      </c>
      <c r="AH6858">
        <v>9.1809023919505908</v>
      </c>
      <c r="AI6858">
        <v>96.813212614268906</v>
      </c>
      <c r="AJ6858">
        <v>102.015341391432</v>
      </c>
      <c r="AK6858">
        <v>9.4533013095471894</v>
      </c>
      <c r="AL6858">
        <v>94.7580703977236</v>
      </c>
      <c r="AM6858">
        <v>95.856056407510806</v>
      </c>
      <c r="AN6858">
        <v>1.0000000248791201</v>
      </c>
    </row>
    <row r="6859" spans="1:40" x14ac:dyDescent="0.25">
      <c r="A6859" t="str">
        <f>"20190303154655188"</f>
        <v>20190303154655188</v>
      </c>
      <c r="B6859" t="str">
        <f>"1551599215178383"</f>
        <v>1551599215178383</v>
      </c>
      <c r="C6859" t="s">
        <v>40</v>
      </c>
      <c r="D6859">
        <v>5.0779129999999997</v>
      </c>
      <c r="E6859">
        <v>0.4599319</v>
      </c>
      <c r="F6859" t="s">
        <v>60</v>
      </c>
      <c r="G6859">
        <v>-196.84469999999999</v>
      </c>
      <c r="H6859" s="1">
        <v>-7.0123620000000002E-6</v>
      </c>
      <c r="I6859">
        <v>-60.730989999999998</v>
      </c>
      <c r="J6859">
        <v>-206.131</v>
      </c>
      <c r="K6859">
        <v>1.121494</v>
      </c>
      <c r="L6859">
        <v>-62.60089</v>
      </c>
      <c r="M6859">
        <v>0.99982749999999998</v>
      </c>
      <c r="N6859">
        <v>-1.420334E-2</v>
      </c>
      <c r="O6859">
        <v>-1.197165E-2</v>
      </c>
      <c r="P6859">
        <v>0.99112089999999997</v>
      </c>
      <c r="Q6859">
        <v>-9.6928310000000004E-2</v>
      </c>
      <c r="R6859">
        <v>9.1018450000000001E-2</v>
      </c>
      <c r="S6859">
        <v>2.9392399999999999</v>
      </c>
      <c r="T6859">
        <v>-0.3510934</v>
      </c>
      <c r="U6859">
        <v>0.58511349999999995</v>
      </c>
      <c r="V6859">
        <v>-0.1028044</v>
      </c>
      <c r="W6859">
        <v>-8.2949759999999997E-2</v>
      </c>
      <c r="X6859">
        <v>0.99123689999999998</v>
      </c>
      <c r="Y6859">
        <v>-0.20532529999999999</v>
      </c>
      <c r="Z6859">
        <v>1.4823950000000001E-2</v>
      </c>
      <c r="AA6859">
        <v>0.97858149999999999</v>
      </c>
      <c r="AB6859">
        <v>21</v>
      </c>
      <c r="AC6859">
        <v>9.2862999999999793</v>
      </c>
      <c r="AD6859">
        <v>-1.1215010123619999</v>
      </c>
      <c r="AE6859">
        <v>1.8698999999999899</v>
      </c>
      <c r="AF6859">
        <v>-1.95356653450773</v>
      </c>
      <c r="AG6859">
        <v>-1.1215010123619999</v>
      </c>
      <c r="AH6859">
        <v>9.1351990102940999</v>
      </c>
      <c r="AI6859">
        <v>96.845742555793606</v>
      </c>
      <c r="AJ6859">
        <v>102.070911711414</v>
      </c>
      <c r="AK6859">
        <v>9.4088281780015492</v>
      </c>
      <c r="AL6859">
        <v>94.758138360946802</v>
      </c>
      <c r="AM6859">
        <v>95.921161832349796</v>
      </c>
      <c r="AN6859">
        <v>0.99999999963251296</v>
      </c>
    </row>
    <row r="6860" spans="1:40" x14ac:dyDescent="0.25">
      <c r="A6860" t="str">
        <f>"20190303154655198"</f>
        <v>20190303154655198</v>
      </c>
      <c r="B6860" t="str">
        <f>"1551599215188144"</f>
        <v>1551599215188144</v>
      </c>
      <c r="C6860" t="s">
        <v>40</v>
      </c>
      <c r="D6860">
        <v>5.1263360000000002</v>
      </c>
      <c r="E6860">
        <v>0.45991559999999998</v>
      </c>
      <c r="F6860" t="s">
        <v>60</v>
      </c>
      <c r="G6860">
        <v>-196.77269999999999</v>
      </c>
      <c r="H6860" s="1">
        <v>-7.0411850000000002E-6</v>
      </c>
      <c r="I6860">
        <v>-60.722659999999998</v>
      </c>
      <c r="J6860">
        <v>-206.02979999999999</v>
      </c>
      <c r="K6860">
        <v>1.121526</v>
      </c>
      <c r="L6860">
        <v>-62.601779999999998</v>
      </c>
      <c r="M6860">
        <v>0.99983089999999997</v>
      </c>
      <c r="N6860">
        <v>-1.421979E-2</v>
      </c>
      <c r="O6860">
        <v>-1.166086E-2</v>
      </c>
      <c r="P6860">
        <v>0.99100969999999999</v>
      </c>
      <c r="Q6860">
        <v>-9.6923140000000005E-2</v>
      </c>
      <c r="R6860">
        <v>9.222516E-2</v>
      </c>
      <c r="S6860">
        <v>2.9382779999999999</v>
      </c>
      <c r="T6860">
        <v>-0.35212539999999998</v>
      </c>
      <c r="U6860">
        <v>0.58972170000000002</v>
      </c>
      <c r="V6860">
        <v>-0.10369589999999899</v>
      </c>
      <c r="W6860">
        <v>-8.2938129999999999E-2</v>
      </c>
      <c r="X6860">
        <v>0.99114500000000005</v>
      </c>
      <c r="Y6860">
        <v>-0.20654049999999999</v>
      </c>
      <c r="Z6860">
        <v>1.4915690000000001E-2</v>
      </c>
      <c r="AA6860">
        <v>0.97832439999999998</v>
      </c>
      <c r="AB6860">
        <v>21</v>
      </c>
      <c r="AC6860">
        <v>9.2570999999999994</v>
      </c>
      <c r="AD6860">
        <v>-1.121533041185</v>
      </c>
      <c r="AE6860">
        <v>1.8791199999999999</v>
      </c>
      <c r="AF6860">
        <v>-1.9593275391563201</v>
      </c>
      <c r="AG6860">
        <v>-1.121533041185</v>
      </c>
      <c r="AH6860">
        <v>9.1061830186964894</v>
      </c>
      <c r="AI6860">
        <v>96.8657094047649</v>
      </c>
      <c r="AJ6860">
        <v>102.142889934545</v>
      </c>
      <c r="AK6860">
        <v>9.3818638840137893</v>
      </c>
      <c r="AL6860">
        <v>94.757469743126094</v>
      </c>
      <c r="AM6860">
        <v>95.972689222703195</v>
      </c>
      <c r="AN6860">
        <v>0.99999999205485302</v>
      </c>
    </row>
    <row r="6861" spans="1:40" x14ac:dyDescent="0.25">
      <c r="A6861" t="str">
        <f>"20190303154655209"</f>
        <v>20190303154655209</v>
      </c>
      <c r="B6861" t="str">
        <f>"1551599215198880"</f>
        <v>1551599215198880</v>
      </c>
      <c r="C6861" t="s">
        <v>40</v>
      </c>
      <c r="D6861">
        <v>5.0882969999999998</v>
      </c>
      <c r="E6861">
        <v>0.45992830000000001</v>
      </c>
      <c r="F6861" t="s">
        <v>60</v>
      </c>
      <c r="G6861">
        <v>-196.708</v>
      </c>
      <c r="H6861" s="1">
        <v>-7.0673099999999999E-6</v>
      </c>
      <c r="I6861">
        <v>-60.718589999999999</v>
      </c>
      <c r="J6861">
        <v>-205.92670000000001</v>
      </c>
      <c r="K6861">
        <v>1.121564</v>
      </c>
      <c r="L6861">
        <v>-62.602600000000002</v>
      </c>
      <c r="M6861">
        <v>0.99983489999999997</v>
      </c>
      <c r="N6861">
        <v>-1.4234999999999999E-2</v>
      </c>
      <c r="O6861">
        <v>-1.1301220000000001E-2</v>
      </c>
      <c r="P6861">
        <v>0.99090109999999998</v>
      </c>
      <c r="Q6861">
        <v>-9.6825620000000001E-2</v>
      </c>
      <c r="R6861">
        <v>9.3491030000000003E-2</v>
      </c>
      <c r="S6861">
        <v>2.937424</v>
      </c>
      <c r="T6861">
        <v>-0.35340929999999998</v>
      </c>
      <c r="U6861">
        <v>0.59341429999999995</v>
      </c>
      <c r="V6861">
        <v>-0.1045976</v>
      </c>
      <c r="W6861">
        <v>-8.2836699999999999E-2</v>
      </c>
      <c r="X6861">
        <v>0.99105880000000002</v>
      </c>
      <c r="Y6861">
        <v>-0.2074085</v>
      </c>
      <c r="Z6861">
        <v>1.4988899999999999E-2</v>
      </c>
      <c r="AA6861">
        <v>0.9781396</v>
      </c>
      <c r="AB6861">
        <v>21</v>
      </c>
      <c r="AC6861">
        <v>9.2187000000000108</v>
      </c>
      <c r="AD6861">
        <v>-1.1215710673099999</v>
      </c>
      <c r="AE6861">
        <v>1.88401</v>
      </c>
      <c r="AF6861">
        <v>-1.9602311009492901</v>
      </c>
      <c r="AG6861">
        <v>-1.1215710673099999</v>
      </c>
      <c r="AH6861">
        <v>9.0679763475718609</v>
      </c>
      <c r="AI6861">
        <v>96.893175013199198</v>
      </c>
      <c r="AJ6861">
        <v>102.197979138162</v>
      </c>
      <c r="AK6861">
        <v>9.3449784733983492</v>
      </c>
      <c r="AL6861">
        <v>94.751637837223001</v>
      </c>
      <c r="AM6861">
        <v>96.024765272972004</v>
      </c>
      <c r="AN6861">
        <v>1.0000000609250399</v>
      </c>
    </row>
    <row r="6862" spans="1:40" x14ac:dyDescent="0.25">
      <c r="A6862" t="str">
        <f>"20190303154655221"</f>
        <v>20190303154655221</v>
      </c>
      <c r="B6862" t="str">
        <f>"1551599215218400"</f>
        <v>1551599215218400</v>
      </c>
      <c r="C6862" t="s">
        <v>40</v>
      </c>
      <c r="D6862">
        <v>5.052727</v>
      </c>
      <c r="E6862">
        <v>0.45996369999999998</v>
      </c>
      <c r="F6862" t="s">
        <v>60</v>
      </c>
      <c r="G6862">
        <v>-196.6396</v>
      </c>
      <c r="H6862" s="1">
        <v>-7.0949410000000001E-6</v>
      </c>
      <c r="I6862">
        <v>-60.714500000000001</v>
      </c>
      <c r="J6862">
        <v>-205.8159</v>
      </c>
      <c r="K6862">
        <v>1.121613</v>
      </c>
      <c r="L6862">
        <v>-62.603450000000002</v>
      </c>
      <c r="M6862">
        <v>0.99983900000000003</v>
      </c>
      <c r="N6862">
        <v>-1.4250789999999999E-2</v>
      </c>
      <c r="O6862">
        <v>-1.0900160000000001E-2</v>
      </c>
      <c r="P6862">
        <v>0.99080550000000001</v>
      </c>
      <c r="Q6862">
        <v>-9.6656850000000002E-2</v>
      </c>
      <c r="R6862">
        <v>9.4666680000000003E-2</v>
      </c>
      <c r="S6862">
        <v>2.9365839999999999</v>
      </c>
      <c r="T6862">
        <v>-0.35464059999999997</v>
      </c>
      <c r="U6862">
        <v>0.59701539999999997</v>
      </c>
      <c r="V6862">
        <v>-0.105367</v>
      </c>
      <c r="W6862">
        <v>-8.2664329999999994E-2</v>
      </c>
      <c r="X6862">
        <v>0.99099170000000003</v>
      </c>
      <c r="Y6862">
        <v>-0.2082068</v>
      </c>
      <c r="Z6862">
        <v>1.5051180000000001E-2</v>
      </c>
      <c r="AA6862">
        <v>0.97796899999999998</v>
      </c>
      <c r="AB6862">
        <v>21</v>
      </c>
      <c r="AC6862">
        <v>9.1762999999999906</v>
      </c>
      <c r="AD6862">
        <v>-1.121620094941</v>
      </c>
      <c r="AE6862">
        <v>1.8889499999999999</v>
      </c>
      <c r="AF6862">
        <v>-1.96076767029537</v>
      </c>
      <c r="AG6862">
        <v>-1.121620094941</v>
      </c>
      <c r="AH6862">
        <v>9.0257973968496898</v>
      </c>
      <c r="AI6862">
        <v>96.923857345690195</v>
      </c>
      <c r="AJ6862">
        <v>102.256516448358</v>
      </c>
      <c r="AK6862">
        <v>9.3041743396837493</v>
      </c>
      <c r="AL6862">
        <v>94.741727719245304</v>
      </c>
      <c r="AM6862">
        <v>96.069160620354893</v>
      </c>
      <c r="AN6862">
        <v>1.00000007280611</v>
      </c>
    </row>
    <row r="6863" spans="1:40" x14ac:dyDescent="0.25">
      <c r="A6863" t="str">
        <f>"20190303154655233"</f>
        <v>20190303154655233</v>
      </c>
      <c r="B6863" t="str">
        <f>"1551599215228159"</f>
        <v>1551599215228159</v>
      </c>
      <c r="C6863" t="s">
        <v>40</v>
      </c>
      <c r="D6863">
        <v>5.1180199999999996</v>
      </c>
      <c r="E6863">
        <v>0.45992339999999998</v>
      </c>
      <c r="F6863" t="s">
        <v>60</v>
      </c>
      <c r="G6863">
        <v>-196.55359999999999</v>
      </c>
      <c r="H6863" s="1">
        <v>-7.1296899999999897E-6</v>
      </c>
      <c r="I6863">
        <v>-60.71</v>
      </c>
      <c r="J6863">
        <v>-205.70519999999999</v>
      </c>
      <c r="K6863">
        <v>1.1216649999999999</v>
      </c>
      <c r="L6863">
        <v>-62.60416</v>
      </c>
      <c r="M6863">
        <v>0.99984399999999996</v>
      </c>
      <c r="N6863">
        <v>-1.42647E-2</v>
      </c>
      <c r="O6863">
        <v>-1.0431869999999999E-2</v>
      </c>
      <c r="P6863">
        <v>0.99072800000000005</v>
      </c>
      <c r="Q6863">
        <v>-9.6245360000000002E-2</v>
      </c>
      <c r="R6863">
        <v>9.5892989999999997E-2</v>
      </c>
      <c r="S6863">
        <v>2.9358219999999999</v>
      </c>
      <c r="T6863">
        <v>-0.35551389999999999</v>
      </c>
      <c r="U6863">
        <v>0.60015869999999905</v>
      </c>
      <c r="V6863">
        <v>-0.10612000000000001</v>
      </c>
      <c r="W6863">
        <v>-8.2252729999999996E-2</v>
      </c>
      <c r="X6863">
        <v>0.99094550000000003</v>
      </c>
      <c r="Y6863">
        <v>-0.20879320000000001</v>
      </c>
      <c r="Z6863">
        <v>1.507815E-2</v>
      </c>
      <c r="AA6863">
        <v>0.97784360000000003</v>
      </c>
      <c r="AB6863">
        <v>21</v>
      </c>
      <c r="AC6863">
        <v>9.1516000000000002</v>
      </c>
      <c r="AD6863">
        <v>-1.1216721296900001</v>
      </c>
      <c r="AE6863">
        <v>1.8941599999999901</v>
      </c>
      <c r="AF6863">
        <v>-1.9612821686923101</v>
      </c>
      <c r="AG6863">
        <v>-1.1216721296900001</v>
      </c>
      <c r="AH6863">
        <v>9.0016690755758795</v>
      </c>
      <c r="AI6863">
        <v>96.941641161831399</v>
      </c>
      <c r="AJ6863">
        <v>102.29149861444201</v>
      </c>
      <c r="AK6863">
        <v>9.2808847777533003</v>
      </c>
      <c r="AL6863">
        <v>94.718064654323697</v>
      </c>
      <c r="AM6863">
        <v>96.112489216783999</v>
      </c>
      <c r="AN6863">
        <v>0.99999997498135096</v>
      </c>
    </row>
    <row r="6864" spans="1:40" x14ac:dyDescent="0.25">
      <c r="A6864" t="str">
        <f>"20190303154655244"</f>
        <v>20190303154655244</v>
      </c>
      <c r="B6864" t="str">
        <f>"1551599215238896"</f>
        <v>1551599215238896</v>
      </c>
      <c r="C6864" t="s">
        <v>40</v>
      </c>
      <c r="D6864">
        <v>5.1303219999999996</v>
      </c>
      <c r="E6864">
        <v>0.4598719</v>
      </c>
      <c r="F6864" t="s">
        <v>60</v>
      </c>
      <c r="G6864">
        <v>-196.43879999999999</v>
      </c>
      <c r="H6864" s="1">
        <v>-7.1757109999999998E-6</v>
      </c>
      <c r="I6864">
        <v>-60.697040000000001</v>
      </c>
      <c r="J6864">
        <v>-205.59289999999999</v>
      </c>
      <c r="K6864">
        <v>1.1217189999999999</v>
      </c>
      <c r="L6864">
        <v>-62.604799999999997</v>
      </c>
      <c r="M6864">
        <v>0.99984879999999998</v>
      </c>
      <c r="N6864">
        <v>-1.4278310000000001E-2</v>
      </c>
      <c r="O6864">
        <v>-9.9322939999999995E-3</v>
      </c>
      <c r="P6864">
        <v>0.99061600000000005</v>
      </c>
      <c r="Q6864">
        <v>-9.5841739999999995E-2</v>
      </c>
      <c r="R6864">
        <v>9.7440650000000004E-2</v>
      </c>
      <c r="S6864">
        <v>2.9350890000000001</v>
      </c>
      <c r="T6864">
        <v>-0.35528209999999999</v>
      </c>
      <c r="U6864">
        <v>0.60406490000000002</v>
      </c>
      <c r="V6864">
        <v>-0.1071621</v>
      </c>
      <c r="W6864">
        <v>-8.185125E-2</v>
      </c>
      <c r="X6864">
        <v>0.99086660000000004</v>
      </c>
      <c r="Y6864">
        <v>-0.20959949999999999</v>
      </c>
      <c r="Z6864">
        <v>1.5073639999999999E-2</v>
      </c>
      <c r="AA6864">
        <v>0.97767110000000002</v>
      </c>
      <c r="AB6864">
        <v>21</v>
      </c>
      <c r="AC6864">
        <v>9.1540999999999997</v>
      </c>
      <c r="AD6864">
        <v>-1.121726175711</v>
      </c>
      <c r="AE6864">
        <v>1.9077599999999899</v>
      </c>
      <c r="AF6864">
        <v>-1.9702434278179499</v>
      </c>
      <c r="AG6864">
        <v>-1.121726175711</v>
      </c>
      <c r="AH6864">
        <v>9.0051093510259292</v>
      </c>
      <c r="AI6864">
        <v>96.938040380611497</v>
      </c>
      <c r="AJ6864">
        <v>102.341368867762</v>
      </c>
      <c r="AK6864">
        <v>9.2861253061796294</v>
      </c>
      <c r="AL6864">
        <v>94.694983688421004</v>
      </c>
      <c r="AM6864">
        <v>96.172540566625202</v>
      </c>
      <c r="AN6864">
        <v>0.99999998089926601</v>
      </c>
    </row>
    <row r="6865" spans="1:40" x14ac:dyDescent="0.25">
      <c r="A6865" t="str">
        <f>"20190303154655256"</f>
        <v>20190303154655256</v>
      </c>
      <c r="B6865" t="str">
        <f>"1551599215248655"</f>
        <v>1551599215248655</v>
      </c>
      <c r="C6865" t="s">
        <v>40</v>
      </c>
      <c r="D6865">
        <v>5.096317</v>
      </c>
      <c r="E6865">
        <v>0.45993869999999998</v>
      </c>
      <c r="F6865" t="s">
        <v>60</v>
      </c>
      <c r="G6865">
        <v>-196.32900000000001</v>
      </c>
      <c r="H6865" s="1">
        <v>-7.2195470000000003E-6</v>
      </c>
      <c r="I6865">
        <v>-60.682090000000002</v>
      </c>
      <c r="J6865">
        <v>-205.47710000000001</v>
      </c>
      <c r="K6865">
        <v>1.1217900000000001</v>
      </c>
      <c r="L6865">
        <v>-62.605350000000001</v>
      </c>
      <c r="M6865">
        <v>0.99985409999999997</v>
      </c>
      <c r="N6865">
        <v>-1.4291170000000001E-2</v>
      </c>
      <c r="O6865">
        <v>-9.3577339999999995E-3</v>
      </c>
      <c r="P6865">
        <v>0.99050490000000002</v>
      </c>
      <c r="Q6865">
        <v>-9.5648460000000005E-2</v>
      </c>
      <c r="R6865">
        <v>9.8748920000000004E-2</v>
      </c>
      <c r="S6865">
        <v>2.9341430000000002</v>
      </c>
      <c r="T6865">
        <v>-0.35528369999999998</v>
      </c>
      <c r="U6865">
        <v>0.60897829999999997</v>
      </c>
      <c r="V6865">
        <v>-0.107889</v>
      </c>
      <c r="W6865">
        <v>-8.1662659999999998E-2</v>
      </c>
      <c r="X6865">
        <v>0.99080330000000005</v>
      </c>
      <c r="Y6865">
        <v>-0.2106642</v>
      </c>
      <c r="Z6865">
        <v>1.5088000000000001E-2</v>
      </c>
      <c r="AA6865">
        <v>0.97744200000000003</v>
      </c>
      <c r="AB6865">
        <v>21</v>
      </c>
      <c r="AC6865">
        <v>9.1480999999999995</v>
      </c>
      <c r="AD6865">
        <v>-1.1217972195469901</v>
      </c>
      <c r="AE6865">
        <v>1.92325999999999</v>
      </c>
      <c r="AF6865">
        <v>-1.98027269184021</v>
      </c>
      <c r="AG6865">
        <v>-1.1217972195469901</v>
      </c>
      <c r="AH6865">
        <v>9.0000925578433293</v>
      </c>
      <c r="AI6865">
        <v>96.940526487488597</v>
      </c>
      <c r="AJ6865">
        <v>102.408950720327</v>
      </c>
      <c r="AK6865">
        <v>9.2834032006359806</v>
      </c>
      <c r="AL6865">
        <v>94.684141879388903</v>
      </c>
      <c r="AM6865">
        <v>96.2144774554219</v>
      </c>
      <c r="AN6865">
        <v>1.0000000028250799</v>
      </c>
    </row>
    <row r="6866" spans="1:40" x14ac:dyDescent="0.25">
      <c r="A6866" t="str">
        <f>"20190303154655273"</f>
        <v>20190303154655273</v>
      </c>
      <c r="B6866" t="str">
        <f>"1551599215268176"</f>
        <v>1551599215268176</v>
      </c>
      <c r="C6866" t="s">
        <v>40</v>
      </c>
      <c r="D6866">
        <v>5.075952</v>
      </c>
      <c r="E6866">
        <v>0.46007439999999999</v>
      </c>
      <c r="F6866" t="s">
        <v>60</v>
      </c>
      <c r="G6866">
        <v>-196.18790000000001</v>
      </c>
      <c r="H6866" s="1">
        <v>-7.276126E-6</v>
      </c>
      <c r="I6866">
        <v>-60.666220000000003</v>
      </c>
      <c r="J6866">
        <v>-205.3366</v>
      </c>
      <c r="K6866">
        <v>1.121875</v>
      </c>
      <c r="L6866">
        <v>-62.605800000000002</v>
      </c>
      <c r="M6866">
        <v>0.99986090000000005</v>
      </c>
      <c r="N6866">
        <v>-1.430558E-2</v>
      </c>
      <c r="O6866">
        <v>-8.5905589999999993E-3</v>
      </c>
      <c r="P6866">
        <v>0.99033059999999995</v>
      </c>
      <c r="Q6866">
        <v>-9.4918470000000005E-2</v>
      </c>
      <c r="R6866">
        <v>0.1011734</v>
      </c>
      <c r="S6866">
        <v>2.9335019999999998</v>
      </c>
      <c r="T6866">
        <v>-0.35425810000000002</v>
      </c>
      <c r="U6866">
        <v>0.61236569999999901</v>
      </c>
      <c r="V6866">
        <v>-0.1095395</v>
      </c>
      <c r="W6866">
        <v>-8.0942490000000006E-2</v>
      </c>
      <c r="X6866">
        <v>0.99068129999999999</v>
      </c>
      <c r="Y6866">
        <v>-0.21104880000000001</v>
      </c>
      <c r="Z6866">
        <v>1.4996779999999999E-2</v>
      </c>
      <c r="AA6866">
        <v>0.97736049999999997</v>
      </c>
      <c r="AB6866">
        <v>21</v>
      </c>
      <c r="AC6866">
        <v>9.1486999999999892</v>
      </c>
      <c r="AD6866">
        <v>-1.1218822761260001</v>
      </c>
      <c r="AE6866">
        <v>1.9395800000000001</v>
      </c>
      <c r="AF6866">
        <v>-1.9894789150049601</v>
      </c>
      <c r="AG6866">
        <v>-1.1218822761260001</v>
      </c>
      <c r="AH6866">
        <v>9.0021513707278302</v>
      </c>
      <c r="AI6866">
        <v>96.938070678381905</v>
      </c>
      <c r="AJ6866">
        <v>102.462078740328</v>
      </c>
      <c r="AK6866">
        <v>9.2873772129827898</v>
      </c>
      <c r="AL6866">
        <v>94.642742072269201</v>
      </c>
      <c r="AM6866">
        <v>96.309557132671799</v>
      </c>
      <c r="AN6866">
        <v>1.00000001345867</v>
      </c>
    </row>
    <row r="6867" spans="1:40" x14ac:dyDescent="0.25">
      <c r="A6867" t="str">
        <f>"20190303154655293"</f>
        <v>20190303154655293</v>
      </c>
      <c r="B6867" t="str">
        <f>"1551599215288671"</f>
        <v>1551599215288671</v>
      </c>
      <c r="C6867" t="s">
        <v>40</v>
      </c>
      <c r="D6867">
        <v>5.1285309999999997</v>
      </c>
      <c r="E6867">
        <v>0.4602251</v>
      </c>
      <c r="F6867" t="s">
        <v>60</v>
      </c>
      <c r="G6867">
        <v>-195.98689999999999</v>
      </c>
      <c r="H6867" s="1">
        <v>-7.356108E-6</v>
      </c>
      <c r="I6867">
        <v>-60.633960000000002</v>
      </c>
      <c r="J6867">
        <v>-205.1311</v>
      </c>
      <c r="K6867">
        <v>1.122004</v>
      </c>
      <c r="L6867">
        <v>-62.606169999999999</v>
      </c>
      <c r="M6867">
        <v>0.9998705</v>
      </c>
      <c r="N6867">
        <v>-1.432464E-2</v>
      </c>
      <c r="O6867">
        <v>-7.33579E-3</v>
      </c>
      <c r="P6867">
        <v>0.99015439999999999</v>
      </c>
      <c r="Q6867">
        <v>-9.3666899999999997E-2</v>
      </c>
      <c r="R6867">
        <v>0.1040239</v>
      </c>
      <c r="S6867">
        <v>2.932404</v>
      </c>
      <c r="T6867">
        <v>-0.3518616</v>
      </c>
      <c r="U6867">
        <v>0.61843870000000001</v>
      </c>
      <c r="V6867">
        <v>-0.1111273</v>
      </c>
      <c r="W6867">
        <v>-7.9706139999999995E-2</v>
      </c>
      <c r="X6867">
        <v>0.9906047</v>
      </c>
      <c r="Y6867">
        <v>-0.21185619999999999</v>
      </c>
      <c r="Z6867">
        <v>1.4832629999999999E-2</v>
      </c>
      <c r="AA6867">
        <v>0.97718830000000001</v>
      </c>
      <c r="AB6867">
        <v>21</v>
      </c>
      <c r="AC6867">
        <v>9.1442000000000103</v>
      </c>
      <c r="AD6867">
        <v>-1.1220113561080001</v>
      </c>
      <c r="AE6867">
        <v>1.97221</v>
      </c>
      <c r="AF6867">
        <v>-2.01032213680246</v>
      </c>
      <c r="AG6867">
        <v>-1.1220113561080001</v>
      </c>
      <c r="AH6867">
        <v>9.0000056743898202</v>
      </c>
      <c r="AI6867">
        <v>96.937053399576399</v>
      </c>
      <c r="AJ6867">
        <v>102.59140519195</v>
      </c>
      <c r="AK6867">
        <v>9.2898012204784202</v>
      </c>
      <c r="AL6867">
        <v>94.571674819940398</v>
      </c>
      <c r="AM6867">
        <v>96.400752828688596</v>
      </c>
      <c r="AN6867">
        <v>1.0000000086105301</v>
      </c>
    </row>
    <row r="6868" spans="1:40" x14ac:dyDescent="0.25">
      <c r="A6868" t="str">
        <f>"20190303154655306"</f>
        <v>20190303154655306</v>
      </c>
      <c r="B6868" t="str">
        <f>"1551599215298431"</f>
        <v>1551599215298431</v>
      </c>
      <c r="C6868" t="s">
        <v>40</v>
      </c>
      <c r="D6868">
        <v>5.1270899999999999</v>
      </c>
      <c r="E6868">
        <v>0.460233</v>
      </c>
      <c r="F6868" t="s">
        <v>60</v>
      </c>
      <c r="G6868">
        <v>-195.6694</v>
      </c>
      <c r="H6868" s="1">
        <v>-7.4826479999999998E-6</v>
      </c>
      <c r="I6868">
        <v>-60.58614</v>
      </c>
      <c r="J6868">
        <v>-205.02199999999999</v>
      </c>
      <c r="K6868">
        <v>1.1220699999999999</v>
      </c>
      <c r="L6868">
        <v>-62.606169999999999</v>
      </c>
      <c r="M6868">
        <v>0.99987539999999997</v>
      </c>
      <c r="N6868">
        <v>-1.433387E-2</v>
      </c>
      <c r="O6868">
        <v>-6.6042380000000001E-3</v>
      </c>
      <c r="P6868">
        <v>0.990089</v>
      </c>
      <c r="Q6868">
        <v>-9.2972860000000004E-2</v>
      </c>
      <c r="R6868">
        <v>0.1052603</v>
      </c>
      <c r="S6868">
        <v>2.9311829999999999</v>
      </c>
      <c r="T6868">
        <v>-0.3475935</v>
      </c>
      <c r="U6868">
        <v>0.6257935</v>
      </c>
      <c r="V6868">
        <v>-0.1116294</v>
      </c>
      <c r="W6868">
        <v>-7.9020209999999994E-2</v>
      </c>
      <c r="X6868">
        <v>0.99060320000000002</v>
      </c>
      <c r="Y6868">
        <v>-0.21359800000000001</v>
      </c>
      <c r="Z6868">
        <v>1.471369E-2</v>
      </c>
      <c r="AA6868">
        <v>0.97681090000000004</v>
      </c>
      <c r="AB6868">
        <v>21</v>
      </c>
      <c r="AC6868">
        <v>9.3526000000000202</v>
      </c>
      <c r="AD6868">
        <v>-1.122077482648</v>
      </c>
      <c r="AE6868">
        <v>2.02002999999999</v>
      </c>
      <c r="AF6868">
        <v>-2.0535182126250802</v>
      </c>
      <c r="AG6868">
        <v>-1.122077482648</v>
      </c>
      <c r="AH6868">
        <v>9.2123614829153997</v>
      </c>
      <c r="AI6868">
        <v>96.779703880166494</v>
      </c>
      <c r="AJ6868">
        <v>102.56629954601701</v>
      </c>
      <c r="AK6868">
        <v>9.5049249875289394</v>
      </c>
      <c r="AL6868">
        <v>94.532249570989904</v>
      </c>
      <c r="AM6868">
        <v>96.429441001268202</v>
      </c>
      <c r="AN6868">
        <v>1.0000000081915199</v>
      </c>
    </row>
    <row r="6869" spans="1:40" x14ac:dyDescent="0.25">
      <c r="A6869" t="str">
        <f>"20190303154655316"</f>
        <v>20190303154655316</v>
      </c>
      <c r="B6869" t="str">
        <f>"1551599215308191"</f>
        <v>1551599215308191</v>
      </c>
      <c r="C6869" t="s">
        <v>40</v>
      </c>
      <c r="D6869">
        <v>5.1368260000000001</v>
      </c>
      <c r="E6869">
        <v>0.46024379999999998</v>
      </c>
      <c r="F6869" t="s">
        <v>60</v>
      </c>
      <c r="G6869">
        <v>-195.52119999999999</v>
      </c>
      <c r="H6869" s="1">
        <v>-7.54183099999999E-6</v>
      </c>
      <c r="I6869">
        <v>-60.565719999999999</v>
      </c>
      <c r="J6869">
        <v>-204.9033</v>
      </c>
      <c r="K6869">
        <v>1.1221369999999999</v>
      </c>
      <c r="L6869">
        <v>-62.606020000000001</v>
      </c>
      <c r="M6869">
        <v>0.99988060000000001</v>
      </c>
      <c r="N6869">
        <v>-1.4343140000000001E-2</v>
      </c>
      <c r="O6869">
        <v>-5.7455650000000002E-3</v>
      </c>
      <c r="P6869">
        <v>0.98991779999999996</v>
      </c>
      <c r="Q6869">
        <v>-9.2627769999999998E-2</v>
      </c>
      <c r="R6869">
        <v>0.1071598</v>
      </c>
      <c r="S6869">
        <v>2.9306179999999999</v>
      </c>
      <c r="T6869">
        <v>-0.34611540000000002</v>
      </c>
      <c r="U6869">
        <v>0.62939449999999997</v>
      </c>
      <c r="V6869">
        <v>-0.11266669999999999</v>
      </c>
      <c r="W6869">
        <v>-7.868696E-2</v>
      </c>
      <c r="X6869">
        <v>0.99051230000000001</v>
      </c>
      <c r="Y6869">
        <v>-0.21396009999999999</v>
      </c>
      <c r="Z6869">
        <v>1.4595500000000001E-2</v>
      </c>
      <c r="AA6869">
        <v>0.97673339999999997</v>
      </c>
      <c r="AB6869">
        <v>21</v>
      </c>
      <c r="AC6869">
        <v>9.3820999999999994</v>
      </c>
      <c r="AD6869">
        <v>-1.1221445418310001</v>
      </c>
      <c r="AE6869">
        <v>2.04029999999999</v>
      </c>
      <c r="AF6869">
        <v>-2.0659577113813099</v>
      </c>
      <c r="AG6869">
        <v>-1.1221445418310001</v>
      </c>
      <c r="AH6869">
        <v>9.2439549100366492</v>
      </c>
      <c r="AI6869">
        <v>96.756316320972203</v>
      </c>
      <c r="AJ6869">
        <v>102.598163974912</v>
      </c>
      <c r="AK6869">
        <v>9.5382436547179807</v>
      </c>
      <c r="AL6869">
        <v>94.5130960605741</v>
      </c>
      <c r="AM6869">
        <v>96.489268834462393</v>
      </c>
      <c r="AN6869">
        <v>1.0000000197071099</v>
      </c>
    </row>
    <row r="6870" spans="1:40" x14ac:dyDescent="0.25">
      <c r="A6870" t="str">
        <f>"20190303154655327"</f>
        <v>20190303154655327</v>
      </c>
      <c r="B6870" t="str">
        <f>"1551599215318927"</f>
        <v>1551599215318927</v>
      </c>
      <c r="C6870" t="s">
        <v>40</v>
      </c>
      <c r="D6870">
        <v>5.144908</v>
      </c>
      <c r="E6870">
        <v>0.46027459999999998</v>
      </c>
      <c r="F6870" t="s">
        <v>60</v>
      </c>
      <c r="G6870">
        <v>-195.3939</v>
      </c>
      <c r="H6870" s="1">
        <v>-7.5924590000000001E-6</v>
      </c>
      <c r="I6870">
        <v>-60.544589999999999</v>
      </c>
      <c r="J6870">
        <v>-204.81290000000001</v>
      </c>
      <c r="K6870">
        <v>1.122187</v>
      </c>
      <c r="L6870">
        <v>-62.6057699999999</v>
      </c>
      <c r="M6870">
        <v>0.99988440000000001</v>
      </c>
      <c r="N6870">
        <v>-1.434973E-2</v>
      </c>
      <c r="O6870">
        <v>-5.0443490000000001E-3</v>
      </c>
      <c r="P6870">
        <v>0.98978940000000004</v>
      </c>
      <c r="Q6870">
        <v>-9.2288609999999993E-2</v>
      </c>
      <c r="R6870">
        <v>0.10862769999999999</v>
      </c>
      <c r="S6870">
        <v>2.9294739999999999</v>
      </c>
      <c r="T6870">
        <v>-0.34568690000000002</v>
      </c>
      <c r="U6870">
        <v>0.6350403</v>
      </c>
      <c r="V6870">
        <v>-0.1134315</v>
      </c>
      <c r="W6870">
        <v>-7.8357079999999996E-2</v>
      </c>
      <c r="X6870">
        <v>0.99045119999999998</v>
      </c>
      <c r="Y6870">
        <v>-0.21515010000000001</v>
      </c>
      <c r="Z6870">
        <v>1.458895E-2</v>
      </c>
      <c r="AA6870">
        <v>0.97647200000000001</v>
      </c>
      <c r="AB6870">
        <v>21</v>
      </c>
      <c r="AC6870">
        <v>9.4190000000000094</v>
      </c>
      <c r="AD6870">
        <v>-1.122194592459</v>
      </c>
      <c r="AE6870">
        <v>2.06117999999999</v>
      </c>
      <c r="AF6870">
        <v>-2.08048901224387</v>
      </c>
      <c r="AG6870">
        <v>-1.122194592459</v>
      </c>
      <c r="AH6870">
        <v>9.2827375021837497</v>
      </c>
      <c r="AI6870">
        <v>96.727748092529097</v>
      </c>
      <c r="AJ6870">
        <v>102.63262985435399</v>
      </c>
      <c r="AK6870">
        <v>9.5789858945433402</v>
      </c>
      <c r="AL6870">
        <v>94.494136615924603</v>
      </c>
      <c r="AM6870">
        <v>96.533339043963196</v>
      </c>
      <c r="AN6870">
        <v>1.0000000583799</v>
      </c>
    </row>
    <row r="6871" spans="1:40" x14ac:dyDescent="0.25">
      <c r="A6871" t="str">
        <f>"20190303154655338"</f>
        <v>20190303154655338</v>
      </c>
      <c r="B6871" t="str">
        <f>"1551599215328687"</f>
        <v>1551599215328687</v>
      </c>
      <c r="C6871" t="s">
        <v>40</v>
      </c>
      <c r="D6871">
        <v>5.1251769999999999</v>
      </c>
      <c r="E6871">
        <v>0.46029399999999998</v>
      </c>
      <c r="F6871" t="s">
        <v>60</v>
      </c>
      <c r="G6871">
        <v>-195.29480000000001</v>
      </c>
      <c r="H6871" s="1">
        <v>-7.6318840000000001E-6</v>
      </c>
      <c r="I6871">
        <v>-60.528590000000001</v>
      </c>
      <c r="J6871">
        <v>-204.71029999999999</v>
      </c>
      <c r="K6871">
        <v>1.122244</v>
      </c>
      <c r="L6871">
        <v>-62.605409999999999</v>
      </c>
      <c r="M6871">
        <v>0.99988809999999995</v>
      </c>
      <c r="N6871">
        <v>-1.4356839999999999E-2</v>
      </c>
      <c r="O6871">
        <v>-4.2173000000000002E-3</v>
      </c>
      <c r="P6871">
        <v>0.98960360000000003</v>
      </c>
      <c r="Q6871">
        <v>-9.2081730000000001E-2</v>
      </c>
      <c r="R6871">
        <v>0.11048040000000001</v>
      </c>
      <c r="S6871">
        <v>2.9286189999999999</v>
      </c>
      <c r="T6871">
        <v>-0.3452886</v>
      </c>
      <c r="U6871">
        <v>0.63912959999999996</v>
      </c>
      <c r="V6871">
        <v>-0.11445520000000001</v>
      </c>
      <c r="W6871">
        <v>-7.8162019999999999E-2</v>
      </c>
      <c r="X6871">
        <v>0.99034880000000003</v>
      </c>
      <c r="Y6871">
        <v>-0.2157067</v>
      </c>
      <c r="Z6871">
        <v>1.452875E-2</v>
      </c>
      <c r="AA6871">
        <v>0.9763501</v>
      </c>
      <c r="AB6871">
        <v>21</v>
      </c>
      <c r="AC6871">
        <v>9.4154999999999802</v>
      </c>
      <c r="AD6871">
        <v>-1.1222516318839999</v>
      </c>
      <c r="AE6871">
        <v>2.0768199999999899</v>
      </c>
      <c r="AF6871">
        <v>-2.0882232266035698</v>
      </c>
      <c r="AG6871">
        <v>-1.1222516318839999</v>
      </c>
      <c r="AH6871">
        <v>9.2809226974078403</v>
      </c>
      <c r="AI6871">
        <v>96.7281402411991</v>
      </c>
      <c r="AJ6871">
        <v>102.68047527348</v>
      </c>
      <c r="AK6871">
        <v>9.5789170100096896</v>
      </c>
      <c r="AL6871">
        <v>94.482926292190697</v>
      </c>
      <c r="AM6871">
        <v>96.592460271377107</v>
      </c>
      <c r="AN6871">
        <v>1.0000000199194801</v>
      </c>
    </row>
    <row r="6872" spans="1:40" x14ac:dyDescent="0.25">
      <c r="A6872" t="str">
        <f>"20190303154655349"</f>
        <v>20190303154655349</v>
      </c>
      <c r="B6872" t="str">
        <f>"1551599215338448"</f>
        <v>1551599215338448</v>
      </c>
      <c r="C6872" t="s">
        <v>40</v>
      </c>
      <c r="D6872">
        <v>5.0730389999999996</v>
      </c>
      <c r="E6872">
        <v>0.46037519999999998</v>
      </c>
      <c r="F6872" t="s">
        <v>60</v>
      </c>
      <c r="G6872">
        <v>-195.19990000000001</v>
      </c>
      <c r="H6872" s="1">
        <v>-7.6695429999999993E-6</v>
      </c>
      <c r="I6872">
        <v>-60.511690000000002</v>
      </c>
      <c r="J6872">
        <v>-204.6103</v>
      </c>
      <c r="K6872">
        <v>1.1222989999999999</v>
      </c>
      <c r="L6872">
        <v>-62.604860000000002</v>
      </c>
      <c r="M6872">
        <v>0.99989130000000004</v>
      </c>
      <c r="N6872">
        <v>-1.436338E-2</v>
      </c>
      <c r="O6872">
        <v>-3.3481919999999998E-3</v>
      </c>
      <c r="P6872">
        <v>0.98937969999999997</v>
      </c>
      <c r="Q6872">
        <v>-9.1961500000000002E-2</v>
      </c>
      <c r="R6872">
        <v>0.112565899999999</v>
      </c>
      <c r="S6872">
        <v>2.9274140000000002</v>
      </c>
      <c r="T6872">
        <v>-0.34544170000000002</v>
      </c>
      <c r="U6872">
        <v>0.64447019999999899</v>
      </c>
      <c r="V6872">
        <v>-0.1156707</v>
      </c>
      <c r="W6872">
        <v>-7.8055109999999997E-2</v>
      </c>
      <c r="X6872">
        <v>0.99021599999999999</v>
      </c>
      <c r="Y6872">
        <v>-0.216637</v>
      </c>
      <c r="Z6872">
        <v>1.451033E-2</v>
      </c>
      <c r="AA6872">
        <v>0.97614440000000002</v>
      </c>
      <c r="AB6872">
        <v>21</v>
      </c>
      <c r="AC6872">
        <v>9.4103999999999797</v>
      </c>
      <c r="AD6872">
        <v>-1.122306669543</v>
      </c>
      <c r="AE6872">
        <v>2.09316999999999</v>
      </c>
      <c r="AF6872">
        <v>-2.0962588059330001</v>
      </c>
      <c r="AG6872">
        <v>-1.122306669543</v>
      </c>
      <c r="AH6872">
        <v>9.2775991572356098</v>
      </c>
      <c r="AI6872">
        <v>96.729500820032598</v>
      </c>
      <c r="AJ6872">
        <v>102.73209462757799</v>
      </c>
      <c r="AK6872">
        <v>9.5774589200001898</v>
      </c>
      <c r="AL6872">
        <v>94.476782033749103</v>
      </c>
      <c r="AM6872">
        <v>96.662730760068399</v>
      </c>
      <c r="AN6872">
        <v>1.0000000188458</v>
      </c>
    </row>
    <row r="6873" spans="1:40" x14ac:dyDescent="0.25">
      <c r="A6873" t="str">
        <f>"20190303154655361"</f>
        <v>20190303154655361</v>
      </c>
      <c r="B6873" t="str">
        <f>"1551599215348208"</f>
        <v>1551599215348208</v>
      </c>
      <c r="C6873" t="s">
        <v>40</v>
      </c>
      <c r="D6873">
        <v>5.1307169999999998</v>
      </c>
      <c r="E6873">
        <v>0.46041559999999998</v>
      </c>
      <c r="F6873" t="s">
        <v>60</v>
      </c>
      <c r="G6873">
        <v>-195.09379999999999</v>
      </c>
      <c r="H6873" s="1">
        <v>-7.7115419999999903E-6</v>
      </c>
      <c r="I6873">
        <v>-60.490879999999997</v>
      </c>
      <c r="J6873">
        <v>-204.49289999999999</v>
      </c>
      <c r="K6873">
        <v>1.1223609999999999</v>
      </c>
      <c r="L6873">
        <v>-62.60416</v>
      </c>
      <c r="M6873">
        <v>0.99989430000000001</v>
      </c>
      <c r="N6873">
        <v>-1.437074E-2</v>
      </c>
      <c r="O6873">
        <v>-2.2980140000000001E-3</v>
      </c>
      <c r="P6873">
        <v>0.9891276</v>
      </c>
      <c r="Q6873">
        <v>-9.1927250000000002E-2</v>
      </c>
      <c r="R6873">
        <v>0.114788</v>
      </c>
      <c r="S6873">
        <v>2.926193</v>
      </c>
      <c r="T6873">
        <v>-0.34509679999999998</v>
      </c>
      <c r="U6873">
        <v>0.65002439999999995</v>
      </c>
      <c r="V6873">
        <v>-0.1168423</v>
      </c>
      <c r="W6873">
        <v>-7.8036209999999995E-2</v>
      </c>
      <c r="X6873">
        <v>0.99007990000000001</v>
      </c>
      <c r="Y6873">
        <v>-0.21746560000000001</v>
      </c>
      <c r="Z6873">
        <v>1.4448269999999999E-2</v>
      </c>
      <c r="AA6873">
        <v>0.97596099999999997</v>
      </c>
      <c r="AB6873">
        <v>21</v>
      </c>
      <c r="AC6873">
        <v>9.3991000000000007</v>
      </c>
      <c r="AD6873">
        <v>-1.122368711542</v>
      </c>
      <c r="AE6873">
        <v>2.1132799999999898</v>
      </c>
      <c r="AF6873">
        <v>-2.1062869462937099</v>
      </c>
      <c r="AG6873">
        <v>-1.122368711542</v>
      </c>
      <c r="AH6873">
        <v>9.2684166604525302</v>
      </c>
      <c r="AI6873">
        <v>96.734597362241203</v>
      </c>
      <c r="AJ6873">
        <v>102.803258621561</v>
      </c>
      <c r="AK6873">
        <v>9.5707734074383897</v>
      </c>
      <c r="AL6873">
        <v>94.475695956333396</v>
      </c>
      <c r="AM6873">
        <v>96.730516619785405</v>
      </c>
      <c r="AN6873">
        <v>0.99999999076223201</v>
      </c>
    </row>
    <row r="6874" spans="1:40" x14ac:dyDescent="0.25">
      <c r="A6874" t="str">
        <f>"20190303154655374"</f>
        <v>20190303154655374</v>
      </c>
      <c r="B6874" t="str">
        <f>"1551599215368130"</f>
        <v>1551599215368130</v>
      </c>
      <c r="C6874" t="s">
        <v>40</v>
      </c>
      <c r="D6874">
        <v>5.1371630000000001</v>
      </c>
      <c r="E6874">
        <v>0.46042149999999998</v>
      </c>
      <c r="F6874" t="s">
        <v>60</v>
      </c>
      <c r="G6874">
        <v>-195.01159999999999</v>
      </c>
      <c r="H6874" s="1">
        <v>-7.7442400000000006E-6</v>
      </c>
      <c r="I6874">
        <v>-60.476790000000001</v>
      </c>
      <c r="J6874">
        <v>-204.375</v>
      </c>
      <c r="K6874">
        <v>1.122428</v>
      </c>
      <c r="L6874">
        <v>-62.603119999999997</v>
      </c>
      <c r="M6874">
        <v>0.99989589999999995</v>
      </c>
      <c r="N6874">
        <v>-1.4377640000000001E-2</v>
      </c>
      <c r="O6874">
        <v>-1.1424439999999901E-3</v>
      </c>
      <c r="P6874">
        <v>0.98876209999999998</v>
      </c>
      <c r="Q6874">
        <v>-9.2140749999999993E-2</v>
      </c>
      <c r="R6874">
        <v>0.11772729999999999</v>
      </c>
      <c r="S6874">
        <v>2.924652</v>
      </c>
      <c r="T6874">
        <v>-0.34621180000000001</v>
      </c>
      <c r="U6874">
        <v>0.65621949999999996</v>
      </c>
      <c r="V6874">
        <v>-0.11862540000000001</v>
      </c>
      <c r="W6874">
        <v>-7.8269649999999996E-2</v>
      </c>
      <c r="X6874">
        <v>0.98984939999999999</v>
      </c>
      <c r="Y6874">
        <v>-0.21840399999999999</v>
      </c>
      <c r="Z6874">
        <v>1.4437719999999999E-2</v>
      </c>
      <c r="AA6874">
        <v>0.97575160000000005</v>
      </c>
      <c r="AB6874">
        <v>21</v>
      </c>
      <c r="AC6874">
        <v>9.3634000000000093</v>
      </c>
      <c r="AD6874">
        <v>-1.1224357442399999</v>
      </c>
      <c r="AE6874">
        <v>2.1263299999999901</v>
      </c>
      <c r="AF6874">
        <v>-2.1082175459080901</v>
      </c>
      <c r="AG6874">
        <v>-1.1224357442399999</v>
      </c>
      <c r="AH6874">
        <v>9.2347689398355008</v>
      </c>
      <c r="AI6874">
        <v>96.757805096924201</v>
      </c>
      <c r="AJ6874">
        <v>102.85974817512501</v>
      </c>
      <c r="AK6874">
        <v>9.5386267666248905</v>
      </c>
      <c r="AL6874">
        <v>94.489112170368003</v>
      </c>
      <c r="AM6874">
        <v>96.833841500857105</v>
      </c>
      <c r="AN6874">
        <v>0.99999997915832095</v>
      </c>
    </row>
    <row r="6875" spans="1:40" x14ac:dyDescent="0.25">
      <c r="A6875" t="str">
        <f>"20190303154655385"</f>
        <v>20190303154655385</v>
      </c>
      <c r="B6875" t="str">
        <f>"1551599215378901"</f>
        <v>1551599215378901</v>
      </c>
      <c r="C6875" t="s">
        <v>40</v>
      </c>
      <c r="D6875">
        <v>5.0692740000000001</v>
      </c>
      <c r="E6875">
        <v>0.46044010000000002</v>
      </c>
      <c r="F6875" t="s">
        <v>60</v>
      </c>
      <c r="G6875">
        <v>-194.9743</v>
      </c>
      <c r="H6875" s="1">
        <v>-7.7587199999999903E-6</v>
      </c>
      <c r="I6875">
        <v>-60.46463</v>
      </c>
      <c r="J6875">
        <v>-204.27019999999999</v>
      </c>
      <c r="K6875">
        <v>1.122474</v>
      </c>
      <c r="L6875">
        <v>-62.602110000000003</v>
      </c>
      <c r="M6875">
        <v>0.99989649999999997</v>
      </c>
      <c r="N6875">
        <v>-1.438356E-2</v>
      </c>
      <c r="O6875" s="1">
        <v>-8.4850309999999997E-5</v>
      </c>
      <c r="P6875">
        <v>0.9884153</v>
      </c>
      <c r="Q6875">
        <v>-9.2520190000000002E-2</v>
      </c>
      <c r="R6875">
        <v>0.1203123</v>
      </c>
      <c r="S6875">
        <v>2.9224399999999999</v>
      </c>
      <c r="T6875">
        <v>-0.34893410000000002</v>
      </c>
      <c r="U6875">
        <v>0.66479489999999997</v>
      </c>
      <c r="V6875">
        <v>-0.1201526</v>
      </c>
      <c r="W6875">
        <v>-7.8667249999999994E-2</v>
      </c>
      <c r="X6875">
        <v>0.98963369999999995</v>
      </c>
      <c r="Y6875">
        <v>-0.2202199</v>
      </c>
      <c r="Z6875">
        <v>1.4555480000000001E-2</v>
      </c>
      <c r="AA6875">
        <v>0.97534169999999998</v>
      </c>
      <c r="AB6875">
        <v>21</v>
      </c>
      <c r="AC6875">
        <v>9.2958999999999801</v>
      </c>
      <c r="AD6875">
        <v>-1.12248175872</v>
      </c>
      <c r="AE6875">
        <v>2.1374799999999801</v>
      </c>
      <c r="AF6875">
        <v>-2.10906165419193</v>
      </c>
      <c r="AG6875">
        <v>-1.12248175872</v>
      </c>
      <c r="AH6875">
        <v>9.1687459023232094</v>
      </c>
      <c r="AI6875">
        <v>96.8037408456359</v>
      </c>
      <c r="AJ6875">
        <v>102.954248844757</v>
      </c>
      <c r="AK6875">
        <v>9.4749146582547397</v>
      </c>
      <c r="AL6875">
        <v>94.511963239584503</v>
      </c>
      <c r="AM6875">
        <v>96.922467205478</v>
      </c>
      <c r="AN6875">
        <v>1.0000000218425</v>
      </c>
    </row>
    <row r="6876" spans="1:40" x14ac:dyDescent="0.25">
      <c r="A6876" t="str">
        <f>"20190303154655395"</f>
        <v>20190303154655395</v>
      </c>
      <c r="B6876" t="str">
        <f>"1551599215388479"</f>
        <v>1551599215388479</v>
      </c>
      <c r="C6876" t="s">
        <v>40</v>
      </c>
      <c r="D6876">
        <v>5.100759</v>
      </c>
      <c r="E6876">
        <v>0.46044010000000002</v>
      </c>
      <c r="F6876" t="s">
        <v>60</v>
      </c>
      <c r="G6876">
        <v>-194.90989999999999</v>
      </c>
      <c r="H6876" s="1">
        <v>-7.7839440000000005E-6</v>
      </c>
      <c r="I6876">
        <v>-60.447609999999997</v>
      </c>
      <c r="J6876">
        <v>-204.16399999999999</v>
      </c>
      <c r="K6876">
        <v>1.122528</v>
      </c>
      <c r="L6876">
        <v>-62.600859999999997</v>
      </c>
      <c r="M6876">
        <v>0.99989589999999995</v>
      </c>
      <c r="N6876">
        <v>-1.4389300000000001E-2</v>
      </c>
      <c r="O6876">
        <v>1.0386460000000001E-3</v>
      </c>
      <c r="P6876">
        <v>0.9880565</v>
      </c>
      <c r="Q6876">
        <v>-9.2889230000000003E-2</v>
      </c>
      <c r="R6876">
        <v>0.1229466</v>
      </c>
      <c r="S6876">
        <v>2.920563</v>
      </c>
      <c r="T6876">
        <v>-0.35023339999999997</v>
      </c>
      <c r="U6876">
        <v>0.67224119999999998</v>
      </c>
      <c r="V6876">
        <v>-0.12166490000000001</v>
      </c>
      <c r="W6876">
        <v>-7.9054769999999996E-2</v>
      </c>
      <c r="X6876">
        <v>0.98941800000000002</v>
      </c>
      <c r="Y6876">
        <v>-0.2216052</v>
      </c>
      <c r="Z6876">
        <v>1.458421E-2</v>
      </c>
      <c r="AA6876">
        <v>0.97502739999999999</v>
      </c>
      <c r="AB6876">
        <v>21</v>
      </c>
      <c r="AC6876">
        <v>9.2541000000000206</v>
      </c>
      <c r="AD6876">
        <v>-1.122535783944</v>
      </c>
      <c r="AE6876">
        <v>2.1532499999999999</v>
      </c>
      <c r="AF6876">
        <v>-2.1141264250501099</v>
      </c>
      <c r="AG6876">
        <v>-1.122535783944</v>
      </c>
      <c r="AH6876">
        <v>9.1289073609514606</v>
      </c>
      <c r="AI6876">
        <v>96.831166473080401</v>
      </c>
      <c r="AJ6876">
        <v>103.03903584143001</v>
      </c>
      <c r="AK6876">
        <v>9.4375085023624603</v>
      </c>
      <c r="AL6876">
        <v>94.534236002357403</v>
      </c>
      <c r="AM6876">
        <v>97.010248271243498</v>
      </c>
      <c r="AN6876">
        <v>0.999999991637881</v>
      </c>
    </row>
    <row r="6877" spans="1:40" x14ac:dyDescent="0.25">
      <c r="A6877" t="str">
        <f>"20190303154655407"</f>
        <v>20190303154655407</v>
      </c>
      <c r="B6877" t="str">
        <f>"1551599215398797"</f>
        <v>1551599215398797</v>
      </c>
      <c r="C6877" t="s">
        <v>40</v>
      </c>
      <c r="D6877">
        <v>5.1163829999999999</v>
      </c>
      <c r="E6877">
        <v>0.43831530000000002</v>
      </c>
      <c r="F6877" t="s">
        <v>60</v>
      </c>
      <c r="G6877">
        <v>-194.83949999999999</v>
      </c>
      <c r="H6877" s="1">
        <v>-7.8114979999999992E-6</v>
      </c>
      <c r="I6877">
        <v>-60.428310000000003</v>
      </c>
      <c r="J6877">
        <v>-204.06370000000001</v>
      </c>
      <c r="K6877">
        <v>1.1225810000000001</v>
      </c>
      <c r="L6877">
        <v>-62.599550000000001</v>
      </c>
      <c r="M6877">
        <v>0.99989419999999996</v>
      </c>
      <c r="N6877">
        <v>-1.4394489999999999E-2</v>
      </c>
      <c r="O6877">
        <v>2.1461230000000002E-3</v>
      </c>
      <c r="P6877">
        <v>0.98767190000000005</v>
      </c>
      <c r="Q6877">
        <v>-9.3666550000000001E-2</v>
      </c>
      <c r="R6877">
        <v>0.1254236</v>
      </c>
      <c r="S6877">
        <v>2.918625</v>
      </c>
      <c r="T6877">
        <v>-0.35136230000000002</v>
      </c>
      <c r="U6877">
        <v>0.68002320000000005</v>
      </c>
      <c r="V6877">
        <v>-0.12303559999999999</v>
      </c>
      <c r="W6877">
        <v>-7.9850420000000005E-2</v>
      </c>
      <c r="X6877">
        <v>0.98918459999999997</v>
      </c>
      <c r="Y6877">
        <v>-0.22311710000000001</v>
      </c>
      <c r="Z6877">
        <v>1.461646E-2</v>
      </c>
      <c r="AA6877">
        <v>0.97468200000000005</v>
      </c>
      <c r="AB6877">
        <v>21</v>
      </c>
      <c r="AC6877">
        <v>9.2242000000000193</v>
      </c>
      <c r="AD6877">
        <v>-1.122588811498</v>
      </c>
      <c r="AE6877">
        <v>2.1712400000000001</v>
      </c>
      <c r="AF6877">
        <v>-2.1216624441950001</v>
      </c>
      <c r="AG6877">
        <v>-1.122588811498</v>
      </c>
      <c r="AH6877">
        <v>9.1011189123504899</v>
      </c>
      <c r="AI6877">
        <v>96.849850183962204</v>
      </c>
      <c r="AJ6877">
        <v>103.122487119938</v>
      </c>
      <c r="AK6877">
        <v>9.4123335376277399</v>
      </c>
      <c r="AL6877">
        <v>94.579967878589201</v>
      </c>
      <c r="AM6877">
        <v>97.090083555707494</v>
      </c>
      <c r="AN6877">
        <v>1.0000000106593401</v>
      </c>
    </row>
    <row r="6878" spans="1:40" x14ac:dyDescent="0.25">
      <c r="A6878" t="str">
        <f>"20190303154655421"</f>
        <v>20190303154655421</v>
      </c>
      <c r="B6878" t="str">
        <f>"1551599215408558"</f>
        <v>1551599215408558</v>
      </c>
      <c r="C6878" t="s">
        <v>40</v>
      </c>
      <c r="D6878">
        <v>5.0810339999999998</v>
      </c>
      <c r="E6878">
        <v>0.42660910000000002</v>
      </c>
      <c r="F6878" t="s">
        <v>60</v>
      </c>
      <c r="G6878">
        <v>-195.41329999999999</v>
      </c>
      <c r="H6878" s="1">
        <v>-6.9025910000000002E-6</v>
      </c>
      <c r="I6878">
        <v>-60.022300000000001</v>
      </c>
      <c r="J6878">
        <v>-203.94110000000001</v>
      </c>
      <c r="K6878">
        <v>1.1226529999999999</v>
      </c>
      <c r="L6878">
        <v>-62.59778</v>
      </c>
      <c r="M6878">
        <v>0.99988999999999995</v>
      </c>
      <c r="N6878">
        <v>-1.440056E-2</v>
      </c>
      <c r="O6878">
        <v>3.542272E-3</v>
      </c>
      <c r="P6878">
        <v>0.98728150000000003</v>
      </c>
      <c r="Q6878">
        <v>-9.39585E-2</v>
      </c>
      <c r="R6878">
        <v>0.1282462</v>
      </c>
      <c r="S6878">
        <v>2.8924259999999999</v>
      </c>
      <c r="T6878">
        <v>-0.37536039999999998</v>
      </c>
      <c r="U6878">
        <v>0.86175539999999995</v>
      </c>
      <c r="V6878">
        <v>-0.1244667</v>
      </c>
      <c r="W6878">
        <v>-8.0163460000000006E-2</v>
      </c>
      <c r="X6878">
        <v>0.98898019999999998</v>
      </c>
      <c r="Y6878">
        <v>-0.2797443</v>
      </c>
      <c r="Z6878">
        <v>1.9363709999999999E-2</v>
      </c>
      <c r="AA6878">
        <v>0.95987929999999999</v>
      </c>
      <c r="AB6878">
        <v>21</v>
      </c>
      <c r="AC6878">
        <v>8.5278000000000098</v>
      </c>
      <c r="AD6878">
        <v>-1.122659902591</v>
      </c>
      <c r="AE6878">
        <v>2.5754800000000002</v>
      </c>
      <c r="AF6878">
        <v>-2.5054603813141898</v>
      </c>
      <c r="AG6878">
        <v>-1.122659902591</v>
      </c>
      <c r="AH6878">
        <v>8.4034048754876505</v>
      </c>
      <c r="AI6878">
        <v>97.295699675606002</v>
      </c>
      <c r="AJ6878">
        <v>106.601857096941</v>
      </c>
      <c r="AK6878">
        <v>8.8405265952085799</v>
      </c>
      <c r="AL6878">
        <v>94.597961536160199</v>
      </c>
      <c r="AM6878">
        <v>97.173165475569405</v>
      </c>
      <c r="AN6878">
        <v>0.99999998786004995</v>
      </c>
    </row>
    <row r="6879" spans="1:40" x14ac:dyDescent="0.25">
      <c r="A6879" t="str">
        <f>"20190303154655432"</f>
        <v>20190303154655432</v>
      </c>
      <c r="B6879" t="str">
        <f>"1551599215428078"</f>
        <v>1551599215428078</v>
      </c>
      <c r="C6879" t="s">
        <v>40</v>
      </c>
      <c r="D6879">
        <v>5.0228760000000001</v>
      </c>
      <c r="E6879">
        <v>0.36281170000000001</v>
      </c>
      <c r="F6879" t="s">
        <v>60</v>
      </c>
      <c r="G6879">
        <v>-195.14099999999999</v>
      </c>
      <c r="H6879" s="1">
        <v>-7.001179E-6</v>
      </c>
      <c r="I6879">
        <v>-59.654179999999997</v>
      </c>
      <c r="J6879">
        <v>-203.82929999999999</v>
      </c>
      <c r="K6879">
        <v>1.1227149999999999</v>
      </c>
      <c r="L6879">
        <v>-62.595790000000001</v>
      </c>
      <c r="M6879">
        <v>0.9998842</v>
      </c>
      <c r="N6879">
        <v>-1.440583E-2</v>
      </c>
      <c r="O6879">
        <v>4.9066520000000001E-3</v>
      </c>
      <c r="P6879">
        <v>0.98685690000000004</v>
      </c>
      <c r="Q6879">
        <v>-9.4226779999999996E-2</v>
      </c>
      <c r="R6879">
        <v>0.13128229999999999</v>
      </c>
      <c r="S6879">
        <v>2.8786160000000001</v>
      </c>
      <c r="T6879">
        <v>-0.36723660000000002</v>
      </c>
      <c r="U6879">
        <v>0.96289060000000004</v>
      </c>
      <c r="V6879">
        <v>-0.12614429999999999</v>
      </c>
      <c r="W6879">
        <v>-8.0454090000000006E-2</v>
      </c>
      <c r="X6879">
        <v>0.98874399999999996</v>
      </c>
      <c r="Y6879">
        <v>-0.31005280000000002</v>
      </c>
      <c r="Z6879">
        <v>2.094464E-2</v>
      </c>
      <c r="AA6879">
        <v>0.95048860000000002</v>
      </c>
      <c r="AB6879">
        <v>21</v>
      </c>
      <c r="AC6879">
        <v>8.6882999999999893</v>
      </c>
      <c r="AD6879">
        <v>-1.122722001179</v>
      </c>
      <c r="AE6879">
        <v>2.9416099999999901</v>
      </c>
      <c r="AF6879">
        <v>-2.8561513863004402</v>
      </c>
      <c r="AG6879">
        <v>-1.122722001179</v>
      </c>
      <c r="AH6879">
        <v>8.5741796481985002</v>
      </c>
      <c r="AI6879">
        <v>97.081628372408204</v>
      </c>
      <c r="AJ6879">
        <v>108.42347011748799</v>
      </c>
      <c r="AK6879">
        <v>9.1068469885564003</v>
      </c>
      <c r="AL6879">
        <v>94.614667444779002</v>
      </c>
      <c r="AM6879">
        <v>97.270538156996807</v>
      </c>
      <c r="AN6879">
        <v>0.99999997127810802</v>
      </c>
    </row>
    <row r="6880" spans="1:40" x14ac:dyDescent="0.25">
      <c r="A6880" t="str">
        <f>"20190303154655444"</f>
        <v>20190303154655444</v>
      </c>
      <c r="B6880" t="str">
        <f>"1551599215438813"</f>
        <v>1551599215438813</v>
      </c>
      <c r="C6880" t="s">
        <v>40</v>
      </c>
      <c r="D6880">
        <v>4.9938859999999998</v>
      </c>
      <c r="E6880">
        <v>0.35329429999999901</v>
      </c>
      <c r="F6880" t="s">
        <v>42</v>
      </c>
      <c r="G6880">
        <v>-203.01390000000001</v>
      </c>
      <c r="H6880">
        <v>1.028589</v>
      </c>
      <c r="I6880">
        <v>-62.167569999999998</v>
      </c>
      <c r="J6880">
        <v>-203.71600000000001</v>
      </c>
      <c r="K6880">
        <v>1.1227799999999999</v>
      </c>
      <c r="L6880">
        <v>-62.593690000000002</v>
      </c>
      <c r="M6880">
        <v>0.99987610000000005</v>
      </c>
      <c r="N6880">
        <v>-1.441104E-2</v>
      </c>
      <c r="O6880">
        <v>6.3271930000000001E-3</v>
      </c>
      <c r="P6880">
        <v>0.98648559999999996</v>
      </c>
      <c r="Q6880">
        <v>-9.3966339999999995E-2</v>
      </c>
      <c r="R6880">
        <v>0.13422529999999999</v>
      </c>
      <c r="S6880">
        <v>2.812424</v>
      </c>
      <c r="T6880">
        <v>-0.32464080000000001</v>
      </c>
      <c r="U6880">
        <v>1.477325</v>
      </c>
      <c r="V6880">
        <v>-0.1276755</v>
      </c>
      <c r="W6880">
        <v>-8.0215679999999998E-2</v>
      </c>
      <c r="X6880">
        <v>0.98856679999999997</v>
      </c>
      <c r="Y6880">
        <v>-0.45670880000000003</v>
      </c>
      <c r="Z6880">
        <v>2.7590050000000001E-2</v>
      </c>
      <c r="AA6880">
        <v>0.88918829999999904</v>
      </c>
      <c r="AB6880">
        <v>21</v>
      </c>
      <c r="AC6880">
        <v>0.70209999999997297</v>
      </c>
      <c r="AD6880">
        <v>-9.41909999999999E-2</v>
      </c>
      <c r="AE6880">
        <v>0.426120000000004</v>
      </c>
      <c r="AF6880">
        <v>-0.41619451066854402</v>
      </c>
      <c r="AG6880">
        <v>-9.41909999999999E-2</v>
      </c>
      <c r="AH6880">
        <v>0.69563276283795505</v>
      </c>
      <c r="AI6880">
        <v>96.627742256333207</v>
      </c>
      <c r="AJ6880">
        <v>120.891927129509</v>
      </c>
      <c r="AK6880">
        <v>0.81608501758407304</v>
      </c>
      <c r="AL6880">
        <v>94.600963347397396</v>
      </c>
      <c r="AM6880">
        <v>97.359134487094494</v>
      </c>
      <c r="AN6880">
        <v>0.999999953340175</v>
      </c>
    </row>
    <row r="6881" spans="1:40" x14ac:dyDescent="0.25">
      <c r="A6881" t="str">
        <f>"20190303154655456"</f>
        <v>20190303154655456</v>
      </c>
      <c r="B6881" t="str">
        <f>"1551599215448574"</f>
        <v>1551599215448574</v>
      </c>
      <c r="C6881" t="s">
        <v>40</v>
      </c>
      <c r="D6881">
        <v>4.997509</v>
      </c>
      <c r="E6881">
        <v>0.34834369999999998</v>
      </c>
      <c r="F6881" t="s">
        <v>42</v>
      </c>
      <c r="G6881">
        <v>-202.85140000000001</v>
      </c>
      <c r="H6881">
        <v>1.018624</v>
      </c>
      <c r="I6881">
        <v>-62.111260000000001</v>
      </c>
      <c r="J6881">
        <v>-203.60720000000001</v>
      </c>
      <c r="K6881">
        <v>1.1228479999999901</v>
      </c>
      <c r="L6881">
        <v>-62.591430000000003</v>
      </c>
      <c r="M6881">
        <v>0.99986600000000003</v>
      </c>
      <c r="N6881">
        <v>-1.441597E-2</v>
      </c>
      <c r="O6881">
        <v>7.7606559999999899E-3</v>
      </c>
      <c r="P6881">
        <v>0.98606740000000004</v>
      </c>
      <c r="Q6881">
        <v>-9.3499509999999994E-2</v>
      </c>
      <c r="R6881">
        <v>0.13758339999999999</v>
      </c>
      <c r="S6881">
        <v>2.7966769999999999</v>
      </c>
      <c r="T6881">
        <v>-0.33692440000000001</v>
      </c>
      <c r="U6881">
        <v>1.5604549999999999</v>
      </c>
      <c r="V6881">
        <v>-0.12961120000000001</v>
      </c>
      <c r="W6881">
        <v>-7.9773659999999996E-2</v>
      </c>
      <c r="X6881">
        <v>0.98835070000000003</v>
      </c>
      <c r="Y6881">
        <v>-0.47746929999999999</v>
      </c>
      <c r="Z6881">
        <v>2.965744E-2</v>
      </c>
      <c r="AA6881">
        <v>0.87814780000000003</v>
      </c>
      <c r="AB6881">
        <v>21</v>
      </c>
      <c r="AC6881">
        <v>0.75579999999999303</v>
      </c>
      <c r="AD6881">
        <v>-0.104223999999999</v>
      </c>
      <c r="AE6881">
        <v>0.48017000000000798</v>
      </c>
      <c r="AF6881">
        <v>-0.467949700669817</v>
      </c>
      <c r="AG6881">
        <v>-0.104223999999999</v>
      </c>
      <c r="AH6881">
        <v>0.74935193137087797</v>
      </c>
      <c r="AI6881">
        <v>96.728213265117205</v>
      </c>
      <c r="AJ6881">
        <v>121.98364575455599</v>
      </c>
      <c r="AK6881">
        <v>0.88958860243498905</v>
      </c>
      <c r="AL6881">
        <v>94.575555814393994</v>
      </c>
      <c r="AM6881">
        <v>97.471071109908806</v>
      </c>
      <c r="AN6881">
        <v>1.00000000309286</v>
      </c>
    </row>
    <row r="6882" spans="1:40" x14ac:dyDescent="0.25">
      <c r="A6882" t="str">
        <f>"20190303154655468"</f>
        <v>20190303154655468</v>
      </c>
      <c r="B6882" t="str">
        <f>"1551599215458333"</f>
        <v>1551599215458333</v>
      </c>
      <c r="C6882" t="s">
        <v>40</v>
      </c>
      <c r="D6882">
        <v>5.0077870000000004</v>
      </c>
      <c r="E6882">
        <v>0.34558699999999998</v>
      </c>
      <c r="F6882" t="s">
        <v>42</v>
      </c>
      <c r="G6882">
        <v>-202.84270000000001</v>
      </c>
      <c r="H6882">
        <v>1.0297130000000001</v>
      </c>
      <c r="I6882">
        <v>-62.149850000000001</v>
      </c>
      <c r="J6882">
        <v>-203.50880000000001</v>
      </c>
      <c r="K6882">
        <v>1.1229070000000001</v>
      </c>
      <c r="L6882">
        <v>-62.589170000000003</v>
      </c>
      <c r="M6882">
        <v>0.99985469999999999</v>
      </c>
      <c r="N6882">
        <v>-1.442046E-2</v>
      </c>
      <c r="O6882">
        <v>9.1069570000000006E-3</v>
      </c>
      <c r="P6882">
        <v>0.98567439999999995</v>
      </c>
      <c r="Q6882">
        <v>-9.3001429999999996E-2</v>
      </c>
      <c r="R6882">
        <v>0.14070289999999999</v>
      </c>
      <c r="S6882">
        <v>2.785736</v>
      </c>
      <c r="T6882">
        <v>-0.3393737</v>
      </c>
      <c r="U6882">
        <v>1.608948</v>
      </c>
      <c r="V6882">
        <v>-0.1313965</v>
      </c>
      <c r="W6882">
        <v>-7.9298579999999994E-2</v>
      </c>
      <c r="X6882">
        <v>0.98815319999999995</v>
      </c>
      <c r="Y6882">
        <v>-0.48915760000000003</v>
      </c>
      <c r="Z6882">
        <v>3.0460689999999999E-2</v>
      </c>
      <c r="AA6882">
        <v>0.87166330000000003</v>
      </c>
      <c r="AB6882">
        <v>21</v>
      </c>
      <c r="AC6882">
        <v>0.66610000000000003</v>
      </c>
      <c r="AD6882">
        <v>-9.3193999999999999E-2</v>
      </c>
      <c r="AE6882">
        <v>0.43931999999999499</v>
      </c>
      <c r="AF6882">
        <v>-0.42740476488963303</v>
      </c>
      <c r="AG6882">
        <v>-9.3193999999999999E-2</v>
      </c>
      <c r="AH6882">
        <v>0.66105617158466001</v>
      </c>
      <c r="AI6882">
        <v>96.751706439814598</v>
      </c>
      <c r="AJ6882">
        <v>122.88462112461301</v>
      </c>
      <c r="AK6882">
        <v>0.79268860006721997</v>
      </c>
      <c r="AL6882">
        <v>94.548249123938504</v>
      </c>
      <c r="AM6882">
        <v>97.574289342227502</v>
      </c>
      <c r="AN6882">
        <v>1.00000002583625</v>
      </c>
    </row>
    <row r="6883" spans="1:40" x14ac:dyDescent="0.25">
      <c r="A6883" t="str">
        <f>"20190303154655480"</f>
        <v>20190303154655480</v>
      </c>
      <c r="B6883" t="str">
        <f>"1551599215468094"</f>
        <v>1551599215468094</v>
      </c>
      <c r="C6883" t="s">
        <v>40</v>
      </c>
      <c r="D6883">
        <v>4.9918950000000004</v>
      </c>
      <c r="E6883">
        <v>0.34376030000000002</v>
      </c>
      <c r="F6883" t="s">
        <v>42</v>
      </c>
      <c r="G6883">
        <v>-202.6704</v>
      </c>
      <c r="H6883">
        <v>1.019933</v>
      </c>
      <c r="I6883">
        <v>-62.094430000000003</v>
      </c>
      <c r="J6883">
        <v>-203.3877</v>
      </c>
      <c r="K6883">
        <v>1.1229789999999999</v>
      </c>
      <c r="L6883">
        <v>-62.586210000000001</v>
      </c>
      <c r="M6883">
        <v>0.99983759999999999</v>
      </c>
      <c r="N6883">
        <v>-1.442591E-2</v>
      </c>
      <c r="O6883">
        <v>1.08066E-2</v>
      </c>
      <c r="P6883">
        <v>0.98523179999999999</v>
      </c>
      <c r="Q6883">
        <v>-9.2757820000000005E-2</v>
      </c>
      <c r="R6883">
        <v>0.14392569999999999</v>
      </c>
      <c r="S6883">
        <v>2.777374</v>
      </c>
      <c r="T6883">
        <v>-0.34116459999999998</v>
      </c>
      <c r="U6883">
        <v>1.639465</v>
      </c>
      <c r="V6883">
        <v>-0.13293379999999999</v>
      </c>
      <c r="W6883">
        <v>-7.9080399999999995E-2</v>
      </c>
      <c r="X6883">
        <v>0.98796499999999998</v>
      </c>
      <c r="Y6883">
        <v>-0.49587249999999999</v>
      </c>
      <c r="Z6883">
        <v>3.0874950000000002E-2</v>
      </c>
      <c r="AA6883">
        <v>0.86784640000000002</v>
      </c>
      <c r="AB6883">
        <v>21</v>
      </c>
      <c r="AC6883">
        <v>0.71729999999999405</v>
      </c>
      <c r="AD6883">
        <v>-0.103046</v>
      </c>
      <c r="AE6883">
        <v>0.491779999999991</v>
      </c>
      <c r="AF6883">
        <v>-0.477298206136613</v>
      </c>
      <c r="AG6883">
        <v>-0.103046</v>
      </c>
      <c r="AH6883">
        <v>0.71256951227864396</v>
      </c>
      <c r="AI6883">
        <v>96.8511782387083</v>
      </c>
      <c r="AJ6883">
        <v>123.815238363411</v>
      </c>
      <c r="AK6883">
        <v>0.86382137362203104</v>
      </c>
      <c r="AL6883">
        <v>94.535709189654099</v>
      </c>
      <c r="AM6883">
        <v>97.663301756933194</v>
      </c>
      <c r="AN6883">
        <v>0.99999997303579902</v>
      </c>
    </row>
    <row r="6884" spans="1:40" x14ac:dyDescent="0.25">
      <c r="A6884" t="str">
        <f>"20190303154655495"</f>
        <v>20190303154655495</v>
      </c>
      <c r="B6884" t="str">
        <f>"1551599215488591"</f>
        <v>1551599215488591</v>
      </c>
      <c r="C6884" t="s">
        <v>40</v>
      </c>
      <c r="D6884">
        <v>4.9960889999999996</v>
      </c>
      <c r="E6884">
        <v>0.34172249999999998</v>
      </c>
      <c r="F6884" t="s">
        <v>42</v>
      </c>
      <c r="G6884">
        <v>-202.65819999999999</v>
      </c>
      <c r="H6884">
        <v>1.0327679999999999</v>
      </c>
      <c r="I6884">
        <v>-62.148330000000001</v>
      </c>
      <c r="J6884">
        <v>-203.25399999999999</v>
      </c>
      <c r="K6884">
        <v>1.1230610000000001</v>
      </c>
      <c r="L6884">
        <v>-62.582459999999998</v>
      </c>
      <c r="M6884">
        <v>0.99981399999999998</v>
      </c>
      <c r="N6884">
        <v>-1.443202E-2</v>
      </c>
      <c r="O6884">
        <v>1.279513E-2</v>
      </c>
      <c r="P6884">
        <v>0.98449330000000002</v>
      </c>
      <c r="Q6884">
        <v>-9.3021419999999994E-2</v>
      </c>
      <c r="R6884">
        <v>0.148728</v>
      </c>
      <c r="S6884">
        <v>2.769806</v>
      </c>
      <c r="T6884">
        <v>-0.34249810000000003</v>
      </c>
      <c r="U6884">
        <v>1.6628419999999999</v>
      </c>
      <c r="V6884">
        <v>-0.1357669</v>
      </c>
      <c r="W6884">
        <v>-7.9380300000000001E-2</v>
      </c>
      <c r="X6884">
        <v>0.98755559999999998</v>
      </c>
      <c r="Y6884">
        <v>-0.50053930000000002</v>
      </c>
      <c r="Z6884">
        <v>3.1100740000000002E-2</v>
      </c>
      <c r="AA6884">
        <v>0.86515499999999901</v>
      </c>
      <c r="AB6884">
        <v>21</v>
      </c>
      <c r="AC6884">
        <v>0.59580000000002498</v>
      </c>
      <c r="AD6884">
        <v>-9.0292999999999901E-2</v>
      </c>
      <c r="AE6884">
        <v>0.43412999999999602</v>
      </c>
      <c r="AF6884">
        <v>-0.42016694531024901</v>
      </c>
      <c r="AG6884">
        <v>-9.0292999999999901E-2</v>
      </c>
      <c r="AH6884">
        <v>0.59241902977945904</v>
      </c>
      <c r="AI6884">
        <v>97.086677503830202</v>
      </c>
      <c r="AJ6884">
        <v>125.34576966151</v>
      </c>
      <c r="AK6884">
        <v>0.73188345699652302</v>
      </c>
      <c r="AL6884">
        <v>94.552946382012095</v>
      </c>
      <c r="AM6884">
        <v>97.827824083924497</v>
      </c>
      <c r="AN6884">
        <v>0.99999997312752897</v>
      </c>
    </row>
    <row r="6885" spans="1:40" x14ac:dyDescent="0.25">
      <c r="A6885" t="str">
        <f>"20190303154655510"</f>
        <v>20190303154655510</v>
      </c>
      <c r="B6885" t="str">
        <f>"1551599215498349"</f>
        <v>1551599215498349</v>
      </c>
      <c r="C6885" t="s">
        <v>40</v>
      </c>
      <c r="D6885">
        <v>4.992515</v>
      </c>
      <c r="E6885">
        <v>0.34128320000000001</v>
      </c>
      <c r="F6885" t="s">
        <v>42</v>
      </c>
      <c r="G6885">
        <v>-202.48259999999999</v>
      </c>
      <c r="H6885">
        <v>1.0264500000000001</v>
      </c>
      <c r="I6885">
        <v>-62.109349999999999</v>
      </c>
      <c r="J6885">
        <v>-203.12309999999999</v>
      </c>
      <c r="K6885">
        <v>1.1231340000000001</v>
      </c>
      <c r="L6885">
        <v>-62.578519999999997</v>
      </c>
      <c r="M6885">
        <v>0.99978599999999995</v>
      </c>
      <c r="N6885">
        <v>-1.443793E-2</v>
      </c>
      <c r="O6885">
        <v>1.4814580000000001E-2</v>
      </c>
      <c r="P6885">
        <v>0.98394470000000001</v>
      </c>
      <c r="Q6885">
        <v>-9.3556520000000004E-2</v>
      </c>
      <c r="R6885">
        <v>0.15198789999999901</v>
      </c>
      <c r="S6885">
        <v>2.7589419999999998</v>
      </c>
      <c r="T6885">
        <v>-0.34553859999999997</v>
      </c>
      <c r="U6885">
        <v>1.692291</v>
      </c>
      <c r="V6885">
        <v>-0.13702590000000001</v>
      </c>
      <c r="W6885">
        <v>-7.9942559999999996E-2</v>
      </c>
      <c r="X6885">
        <v>0.98733629999999994</v>
      </c>
      <c r="Y6885">
        <v>-0.50693739999999998</v>
      </c>
      <c r="Z6885">
        <v>3.1586059999999999E-2</v>
      </c>
      <c r="AA6885">
        <v>0.8614039</v>
      </c>
      <c r="AB6885">
        <v>21</v>
      </c>
      <c r="AC6885">
        <v>0.64050000000000296</v>
      </c>
      <c r="AD6885">
        <v>-9.6684000000000006E-2</v>
      </c>
      <c r="AE6885">
        <v>0.46916999999999798</v>
      </c>
      <c r="AF6885">
        <v>-0.45291240898970703</v>
      </c>
      <c r="AG6885">
        <v>-9.6684000000000006E-2</v>
      </c>
      <c r="AH6885">
        <v>0.63792106672009397</v>
      </c>
      <c r="AI6885">
        <v>97.044971644594497</v>
      </c>
      <c r="AJ6885">
        <v>125.37406223345999</v>
      </c>
      <c r="AK6885">
        <v>0.78830243779793296</v>
      </c>
      <c r="AL6885">
        <v>94.585264368526197</v>
      </c>
      <c r="AM6885">
        <v>97.901233579738005</v>
      </c>
      <c r="AN6885">
        <v>0.99999993973392498</v>
      </c>
    </row>
    <row r="6886" spans="1:40" x14ac:dyDescent="0.25">
      <c r="A6886" t="str">
        <f>"20190303154655523"</f>
        <v>20190303154655523</v>
      </c>
      <c r="B6886" t="str">
        <f>"1551599215518846"</f>
        <v>1551599215518846</v>
      </c>
      <c r="C6886" t="s">
        <v>40</v>
      </c>
      <c r="D6886">
        <v>5.0102769999999897</v>
      </c>
      <c r="E6886">
        <v>0.34067760000000002</v>
      </c>
      <c r="F6886" t="s">
        <v>42</v>
      </c>
      <c r="G6886">
        <v>-202.30690000000001</v>
      </c>
      <c r="H6886">
        <v>1.0192639999999999</v>
      </c>
      <c r="I6886">
        <v>-62.073210000000003</v>
      </c>
      <c r="J6886">
        <v>-202.99690000000001</v>
      </c>
      <c r="K6886">
        <v>1.1231990000000001</v>
      </c>
      <c r="L6886">
        <v>-62.574399999999997</v>
      </c>
      <c r="M6886">
        <v>0.99975420000000004</v>
      </c>
      <c r="N6886">
        <v>-1.444351E-2</v>
      </c>
      <c r="O6886">
        <v>1.6828139999999998E-2</v>
      </c>
      <c r="P6886">
        <v>0.98331449999999998</v>
      </c>
      <c r="Q6886">
        <v>-9.4427629999999999E-2</v>
      </c>
      <c r="R6886">
        <v>0.15548699999999999</v>
      </c>
      <c r="S6886">
        <v>2.752335</v>
      </c>
      <c r="T6886">
        <v>-0.35027469999999999</v>
      </c>
      <c r="U6886">
        <v>1.7046509999999999</v>
      </c>
      <c r="V6886">
        <v>-0.13853119999999999</v>
      </c>
      <c r="W6886">
        <v>-8.0842899999999995E-2</v>
      </c>
      <c r="X6886">
        <v>0.98705299999999996</v>
      </c>
      <c r="Y6886">
        <v>-0.50883610000000001</v>
      </c>
      <c r="Z6886">
        <v>3.191078E-2</v>
      </c>
      <c r="AA6886">
        <v>0.86027180000000003</v>
      </c>
      <c r="AB6886">
        <v>21</v>
      </c>
      <c r="AC6886">
        <v>0.68999999999999695</v>
      </c>
      <c r="AD6886">
        <v>-0.103935</v>
      </c>
      <c r="AE6886">
        <v>0.50119000000000102</v>
      </c>
      <c r="AF6886">
        <v>-0.48234214435503198</v>
      </c>
      <c r="AG6886">
        <v>-0.103935</v>
      </c>
      <c r="AH6886">
        <v>0.68811662794718897</v>
      </c>
      <c r="AI6886">
        <v>97.050718488199095</v>
      </c>
      <c r="AJ6886">
        <v>125.02891408652</v>
      </c>
      <c r="AK6886">
        <v>0.84673544989177196</v>
      </c>
      <c r="AL6886">
        <v>94.637017071516894</v>
      </c>
      <c r="AM6886">
        <v>97.989181355447798</v>
      </c>
      <c r="AN6886">
        <v>1.00000004633142</v>
      </c>
    </row>
    <row r="6887" spans="1:40" x14ac:dyDescent="0.25">
      <c r="A6887" t="str">
        <f>"20190303154655535"</f>
        <v>20190303154655535</v>
      </c>
      <c r="B6887" t="str">
        <f>"1551599215528606"</f>
        <v>1551599215528606</v>
      </c>
      <c r="C6887" t="s">
        <v>40</v>
      </c>
      <c r="D6887">
        <v>4.9998440000000004</v>
      </c>
      <c r="E6887">
        <v>0.34055429999999998</v>
      </c>
      <c r="F6887" t="s">
        <v>42</v>
      </c>
      <c r="G6887">
        <v>-202.1326</v>
      </c>
      <c r="H6887">
        <v>1.011833</v>
      </c>
      <c r="I6887">
        <v>-62.033110000000001</v>
      </c>
      <c r="J6887">
        <v>-202.87979999999999</v>
      </c>
      <c r="K6887">
        <v>1.123259</v>
      </c>
      <c r="L6887">
        <v>-62.5702199999999</v>
      </c>
      <c r="M6887">
        <v>0.99971909999999997</v>
      </c>
      <c r="N6887">
        <v>-1.444876E-2</v>
      </c>
      <c r="O6887">
        <v>1.8788740000000002E-2</v>
      </c>
      <c r="P6887">
        <v>0.98265409999999997</v>
      </c>
      <c r="Q6887">
        <v>-9.5224980000000001E-2</v>
      </c>
      <c r="R6887">
        <v>0.15913329999999901</v>
      </c>
      <c r="S6887">
        <v>2.7450869999999998</v>
      </c>
      <c r="T6887">
        <v>-0.35371360000000002</v>
      </c>
      <c r="U6887">
        <v>1.7190859999999999</v>
      </c>
      <c r="V6887">
        <v>-0.14023939999999999</v>
      </c>
      <c r="W6887">
        <v>-8.1669370000000005E-2</v>
      </c>
      <c r="X6887">
        <v>0.98674360000000005</v>
      </c>
      <c r="Y6887">
        <v>-0.51134990000000002</v>
      </c>
      <c r="Z6887">
        <v>3.2178400000000003E-2</v>
      </c>
      <c r="AA6887">
        <v>0.85877000000000003</v>
      </c>
      <c r="AB6887">
        <v>21</v>
      </c>
      <c r="AC6887">
        <v>0.74719999999999198</v>
      </c>
      <c r="AD6887">
        <v>-0.111426</v>
      </c>
      <c r="AE6887">
        <v>0.53710999999999098</v>
      </c>
      <c r="AF6887">
        <v>-0.51541767416013795</v>
      </c>
      <c r="AG6887">
        <v>-0.111426</v>
      </c>
      <c r="AH6887">
        <v>0.74621963494419397</v>
      </c>
      <c r="AI6887">
        <v>97.004390764298606</v>
      </c>
      <c r="AJ6887">
        <v>124.633033708892</v>
      </c>
      <c r="AK6887">
        <v>0.91373676509643298</v>
      </c>
      <c r="AL6887">
        <v>94.684527853071799</v>
      </c>
      <c r="AM6887">
        <v>98.088901107768393</v>
      </c>
      <c r="AN6887">
        <v>0.99999995372475703</v>
      </c>
    </row>
    <row r="6888" spans="1:40" x14ac:dyDescent="0.25">
      <c r="A6888" t="str">
        <f>"20190303154655547"</f>
        <v>20190303154655547</v>
      </c>
      <c r="B6888" t="str">
        <f>"1551599215538366"</f>
        <v>1551599215538366</v>
      </c>
      <c r="C6888" t="s">
        <v>40</v>
      </c>
      <c r="D6888">
        <v>4.9365629999999996</v>
      </c>
      <c r="E6888">
        <v>0.34055000000000002</v>
      </c>
      <c r="F6888" t="s">
        <v>42</v>
      </c>
      <c r="G6888">
        <v>-202.11930000000001</v>
      </c>
      <c r="H6888">
        <v>1.0237810000000001</v>
      </c>
      <c r="I6888">
        <v>-62.08961</v>
      </c>
      <c r="J6888">
        <v>-202.77279999999999</v>
      </c>
      <c r="K6888">
        <v>1.1233120000000001</v>
      </c>
      <c r="L6888">
        <v>-62.566130000000001</v>
      </c>
      <c r="M6888">
        <v>0.99968270000000004</v>
      </c>
      <c r="N6888">
        <v>-1.4453519999999999E-2</v>
      </c>
      <c r="O6888">
        <v>2.0626350000000002E-2</v>
      </c>
      <c r="P6888">
        <v>0.9819871</v>
      </c>
      <c r="Q6888">
        <v>-9.6312330000000002E-2</v>
      </c>
      <c r="R6888">
        <v>0.16255839999999999</v>
      </c>
      <c r="S6888">
        <v>2.7380520000000002</v>
      </c>
      <c r="T6888">
        <v>-0.35813390000000001</v>
      </c>
      <c r="U6888">
        <v>1.7301029999999999</v>
      </c>
      <c r="V6888">
        <v>-0.141849</v>
      </c>
      <c r="W6888">
        <v>-8.2784029999999995E-2</v>
      </c>
      <c r="X6888">
        <v>0.98642059999999998</v>
      </c>
      <c r="Y6888">
        <v>-0.51314989999999905</v>
      </c>
      <c r="Z6888">
        <v>3.2491760000000001E-2</v>
      </c>
      <c r="AA6888">
        <v>0.8576838</v>
      </c>
      <c r="AB6888">
        <v>21</v>
      </c>
      <c r="AC6888">
        <v>0.65349999999997899</v>
      </c>
      <c r="AD6888">
        <v>-9.9530999999999994E-2</v>
      </c>
      <c r="AE6888">
        <v>0.47652</v>
      </c>
      <c r="AF6888">
        <v>-0.45603157580558901</v>
      </c>
      <c r="AG6888">
        <v>-9.9530999999999994E-2</v>
      </c>
      <c r="AH6888">
        <v>0.65329708529548203</v>
      </c>
      <c r="AI6888">
        <v>97.120843504864695</v>
      </c>
      <c r="AJ6888">
        <v>124.916822331549</v>
      </c>
      <c r="AK6888">
        <v>0.80291238609720095</v>
      </c>
      <c r="AL6888">
        <v>94.748610113698007</v>
      </c>
      <c r="AM6888">
        <v>98.183134403624507</v>
      </c>
      <c r="AN6888">
        <v>0.99999996726419904</v>
      </c>
    </row>
    <row r="6889" spans="1:40" x14ac:dyDescent="0.25">
      <c r="A6889" t="str">
        <f>"20190303154655562"</f>
        <v>20190303154655562</v>
      </c>
      <c r="B6889" t="str">
        <f>"1551599215558862"</f>
        <v>1551599215558862</v>
      </c>
      <c r="C6889" t="s">
        <v>40</v>
      </c>
      <c r="D6889">
        <v>4.9274440000000004</v>
      </c>
      <c r="E6889">
        <v>0.34033659999999999</v>
      </c>
      <c r="F6889" t="s">
        <v>42</v>
      </c>
      <c r="G6889">
        <v>-201.94749999999999</v>
      </c>
      <c r="H6889">
        <v>1.013258</v>
      </c>
      <c r="I6889">
        <v>-62.040619999999997</v>
      </c>
      <c r="J6889">
        <v>-202.6397</v>
      </c>
      <c r="K6889">
        <v>1.123373</v>
      </c>
      <c r="L6889">
        <v>-62.560760000000002</v>
      </c>
      <c r="M6889">
        <v>0.99963159999999895</v>
      </c>
      <c r="N6889">
        <v>-1.4459390000000001E-2</v>
      </c>
      <c r="O6889">
        <v>2.2973980000000001E-2</v>
      </c>
      <c r="P6889">
        <v>0.98081459999999998</v>
      </c>
      <c r="Q6889">
        <v>-9.7815070000000004E-2</v>
      </c>
      <c r="R6889">
        <v>0.1686272</v>
      </c>
      <c r="S6889">
        <v>2.7313689999999999</v>
      </c>
      <c r="T6889">
        <v>-0.36423830000000001</v>
      </c>
      <c r="U6889">
        <v>1.7394099999999999</v>
      </c>
      <c r="V6889">
        <v>-0.14560780000000001</v>
      </c>
      <c r="W6889">
        <v>-8.4333859999999997E-2</v>
      </c>
      <c r="X6889">
        <v>0.98574139999999999</v>
      </c>
      <c r="Y6889">
        <v>-0.51405719999999999</v>
      </c>
      <c r="Z6889">
        <v>3.2818880000000002E-2</v>
      </c>
      <c r="AA6889">
        <v>0.8571278</v>
      </c>
      <c r="AB6889">
        <v>21</v>
      </c>
      <c r="AC6889">
        <v>0.69220000000001303</v>
      </c>
      <c r="AD6889">
        <v>-0.11011499999999901</v>
      </c>
      <c r="AE6889">
        <v>0.52013999999999705</v>
      </c>
      <c r="AF6889">
        <v>-0.49607499682589801</v>
      </c>
      <c r="AG6889">
        <v>-0.11011499999999901</v>
      </c>
      <c r="AH6889">
        <v>0.69276354807060303</v>
      </c>
      <c r="AI6889">
        <v>97.363713112874706</v>
      </c>
      <c r="AJ6889">
        <v>125.605741474269</v>
      </c>
      <c r="AK6889">
        <v>0.85914902620918199</v>
      </c>
      <c r="AL6889">
        <v>94.837720466324797</v>
      </c>
      <c r="AM6889">
        <v>98.402626565964297</v>
      </c>
      <c r="AN6889">
        <v>0.999999969518649</v>
      </c>
    </row>
    <row r="6890" spans="1:40" x14ac:dyDescent="0.25">
      <c r="A6890" t="str">
        <f>"20190303154655574"</f>
        <v>20190303154655574</v>
      </c>
      <c r="B6890" t="str">
        <f>"1551599215568622"</f>
        <v>1551599215568622</v>
      </c>
      <c r="C6890" t="s">
        <v>40</v>
      </c>
      <c r="D6890">
        <v>4.913176</v>
      </c>
      <c r="E6890">
        <v>0.34049040000000003</v>
      </c>
      <c r="F6890" t="s">
        <v>42</v>
      </c>
      <c r="G6890">
        <v>-201.7741</v>
      </c>
      <c r="H6890">
        <v>1.004367</v>
      </c>
      <c r="I6890">
        <v>-62.0013199999999</v>
      </c>
      <c r="J6890">
        <v>-202.52170000000001</v>
      </c>
      <c r="K6890">
        <v>1.123429</v>
      </c>
      <c r="L6890">
        <v>-62.555509999999998</v>
      </c>
      <c r="M6890">
        <v>0.99957890000000005</v>
      </c>
      <c r="N6890">
        <v>-1.4464670000000001E-2</v>
      </c>
      <c r="O6890">
        <v>2.5157599999999999E-2</v>
      </c>
      <c r="P6890">
        <v>0.97999829999999999</v>
      </c>
      <c r="Q6890">
        <v>-9.8484379999999996E-2</v>
      </c>
      <c r="R6890">
        <v>0.1729289</v>
      </c>
      <c r="S6890">
        <v>2.7192229999999999</v>
      </c>
      <c r="T6890">
        <v>-0.373834</v>
      </c>
      <c r="U6890">
        <v>1.757538</v>
      </c>
      <c r="V6890">
        <v>-0.14776210000000001</v>
      </c>
      <c r="W6890">
        <v>-8.5036139999999996E-2</v>
      </c>
      <c r="X6890">
        <v>0.98536040000000003</v>
      </c>
      <c r="Y6890">
        <v>-0.51775340000000003</v>
      </c>
      <c r="Z6890">
        <v>3.36517E-2</v>
      </c>
      <c r="AA6890">
        <v>0.85486779999999996</v>
      </c>
      <c r="AB6890">
        <v>21</v>
      </c>
      <c r="AC6890">
        <v>0.74760000000000504</v>
      </c>
      <c r="AD6890">
        <v>-0.119061999999999</v>
      </c>
      <c r="AE6890">
        <v>0.55419000000000496</v>
      </c>
      <c r="AF6890">
        <v>-0.52658529399376897</v>
      </c>
      <c r="AG6890">
        <v>-0.119061999999999</v>
      </c>
      <c r="AH6890">
        <v>0.74904602664770004</v>
      </c>
      <c r="AI6890">
        <v>97.4088354468538</v>
      </c>
      <c r="AJ6890">
        <v>125.10752225282501</v>
      </c>
      <c r="AK6890">
        <v>0.92332972535882896</v>
      </c>
      <c r="AL6890">
        <v>94.878103304958202</v>
      </c>
      <c r="AM6890">
        <v>98.528379434332606</v>
      </c>
      <c r="AN6890">
        <v>0.99999995059533298</v>
      </c>
    </row>
    <row r="6891" spans="1:40" x14ac:dyDescent="0.25">
      <c r="A6891" t="str">
        <f>"20190303154655589"</f>
        <v>20190303154655589</v>
      </c>
      <c r="B6891" t="str">
        <f>"1551599215578382"</f>
        <v>1551599215578382</v>
      </c>
      <c r="C6891" t="s">
        <v>40</v>
      </c>
      <c r="D6891">
        <v>4.9600759999999999</v>
      </c>
      <c r="E6891">
        <v>0.34050649999999999</v>
      </c>
      <c r="F6891" t="s">
        <v>42</v>
      </c>
      <c r="G6891">
        <v>-201.76009999999999</v>
      </c>
      <c r="H6891">
        <v>1.0175670000000001</v>
      </c>
      <c r="I6891">
        <v>-62.05885</v>
      </c>
      <c r="J6891">
        <v>-202.4051</v>
      </c>
      <c r="K6891">
        <v>1.1234900000000001</v>
      </c>
      <c r="L6891">
        <v>-62.550080000000001</v>
      </c>
      <c r="M6891">
        <v>0.99952079999999999</v>
      </c>
      <c r="N6891">
        <v>-1.4469829999999999E-2</v>
      </c>
      <c r="O6891">
        <v>2.7365980000000002E-2</v>
      </c>
      <c r="P6891">
        <v>0.97915750000000001</v>
      </c>
      <c r="Q6891">
        <v>-9.8884390000000003E-2</v>
      </c>
      <c r="R6891">
        <v>0.1774056</v>
      </c>
      <c r="S6891">
        <v>2.7113339999999999</v>
      </c>
      <c r="T6891">
        <v>-0.3768611</v>
      </c>
      <c r="U6891">
        <v>1.7682500000000001</v>
      </c>
      <c r="V6891">
        <v>-0.1500716</v>
      </c>
      <c r="W6891">
        <v>-8.5470169999999998E-2</v>
      </c>
      <c r="X6891">
        <v>0.98497380000000001</v>
      </c>
      <c r="Y6891">
        <v>-0.51930929999999997</v>
      </c>
      <c r="Z6891">
        <v>3.3797830000000001E-2</v>
      </c>
      <c r="AA6891">
        <v>0.8539177</v>
      </c>
      <c r="AB6891">
        <v>21</v>
      </c>
      <c r="AC6891">
        <v>0.64500000000001001</v>
      </c>
      <c r="AD6891">
        <v>-0.105922999999999</v>
      </c>
      <c r="AE6891">
        <v>0.491230000000001</v>
      </c>
      <c r="AF6891">
        <v>-0.46544856494015802</v>
      </c>
      <c r="AG6891">
        <v>-0.105922999999999</v>
      </c>
      <c r="AH6891">
        <v>0.647156774765697</v>
      </c>
      <c r="AI6891">
        <v>97.568923467542703</v>
      </c>
      <c r="AJ6891">
        <v>125.724470993002</v>
      </c>
      <c r="AK6891">
        <v>0.80416039423674202</v>
      </c>
      <c r="AL6891">
        <v>94.903061964753803</v>
      </c>
      <c r="AM6891">
        <v>98.663018574832904</v>
      </c>
      <c r="AN6891">
        <v>1.00000001088641</v>
      </c>
    </row>
    <row r="6892" spans="1:40" x14ac:dyDescent="0.25">
      <c r="A6892" t="str">
        <f>"20190303154655599"</f>
        <v>20190303154655599</v>
      </c>
      <c r="B6892" t="str">
        <f>"1551599215588142"</f>
        <v>1551599215588142</v>
      </c>
      <c r="C6892" t="s">
        <v>40</v>
      </c>
      <c r="D6892">
        <v>4.9554640000000001</v>
      </c>
      <c r="E6892">
        <v>0.34053840000000002</v>
      </c>
      <c r="F6892" t="s">
        <v>42</v>
      </c>
      <c r="G6892">
        <v>-201.58869999999999</v>
      </c>
      <c r="H6892">
        <v>1.0089999999999999</v>
      </c>
      <c r="I6892">
        <v>-62.012450000000001</v>
      </c>
      <c r="J6892">
        <v>-202.291</v>
      </c>
      <c r="K6892">
        <v>1.1235440000000001</v>
      </c>
      <c r="L6892">
        <v>-62.544490000000003</v>
      </c>
      <c r="M6892">
        <v>0.99945790000000001</v>
      </c>
      <c r="N6892">
        <v>-1.4474839999999999E-2</v>
      </c>
      <c r="O6892">
        <v>2.9575359999999998E-2</v>
      </c>
      <c r="P6892">
        <v>0.97835329999999998</v>
      </c>
      <c r="Q6892">
        <v>-9.8710519999999996E-2</v>
      </c>
      <c r="R6892">
        <v>0.18188309999999999</v>
      </c>
      <c r="S6892">
        <v>2.7030180000000001</v>
      </c>
      <c r="T6892">
        <v>-0.3790654</v>
      </c>
      <c r="U6892">
        <v>1.780365</v>
      </c>
      <c r="V6892">
        <v>-0.15238570000000001</v>
      </c>
      <c r="W6892">
        <v>-8.5329619999999995E-2</v>
      </c>
      <c r="X6892">
        <v>0.98463060000000002</v>
      </c>
      <c r="Y6892">
        <v>-0.52124759999999903</v>
      </c>
      <c r="Z6892">
        <v>3.3905629999999999E-2</v>
      </c>
      <c r="AA6892">
        <v>0.85273169999999898</v>
      </c>
      <c r="AB6892">
        <v>21</v>
      </c>
      <c r="AC6892">
        <v>0.70230000000000803</v>
      </c>
      <c r="AD6892">
        <v>-0.11454399999999899</v>
      </c>
      <c r="AE6892">
        <v>0.53204000000000196</v>
      </c>
      <c r="AF6892">
        <v>-0.50254068178072497</v>
      </c>
      <c r="AG6892">
        <v>-0.11454399999999899</v>
      </c>
      <c r="AH6892">
        <v>0.70580070058726796</v>
      </c>
      <c r="AI6892">
        <v>97.530955869154496</v>
      </c>
      <c r="AJ6892">
        <v>125.45143616676999</v>
      </c>
      <c r="AK6892">
        <v>0.87396916062874597</v>
      </c>
      <c r="AL6892">
        <v>94.894979657437005</v>
      </c>
      <c r="AM6892">
        <v>98.797546693623005</v>
      </c>
      <c r="AN6892">
        <v>0.99999998203509699</v>
      </c>
    </row>
    <row r="6893" spans="1:40" x14ac:dyDescent="0.25">
      <c r="A6893" t="str">
        <f>"20190303154655612"</f>
        <v>20190303154655612</v>
      </c>
      <c r="B6893" t="str">
        <f>"1551599215608637"</f>
        <v>1551599215608637</v>
      </c>
      <c r="C6893" t="s">
        <v>40</v>
      </c>
      <c r="D6893">
        <v>4.8886459999999996</v>
      </c>
      <c r="E6893">
        <v>0.3409083</v>
      </c>
      <c r="F6893" t="s">
        <v>42</v>
      </c>
      <c r="G6893">
        <v>-201.57490000000001</v>
      </c>
      <c r="H6893">
        <v>1.022635</v>
      </c>
      <c r="I6893">
        <v>-62.068280000000001</v>
      </c>
      <c r="J6893">
        <v>-202.1849</v>
      </c>
      <c r="K6893">
        <v>1.12359599999999</v>
      </c>
      <c r="L6893">
        <v>-62.538879999999999</v>
      </c>
      <c r="M6893">
        <v>0.9993919</v>
      </c>
      <c r="N6893">
        <v>-1.4479819999999999E-2</v>
      </c>
      <c r="O6893">
        <v>3.1721109999999997E-2</v>
      </c>
      <c r="P6893">
        <v>0.97702440000000002</v>
      </c>
      <c r="Q6893">
        <v>-9.865314E-2</v>
      </c>
      <c r="R6893">
        <v>0.1889197</v>
      </c>
      <c r="S6893">
        <v>2.694855</v>
      </c>
      <c r="T6893">
        <v>-0.37972349999999999</v>
      </c>
      <c r="U6893">
        <v>1.792389</v>
      </c>
      <c r="V6893">
        <v>-0.15733800000000001</v>
      </c>
      <c r="W6893">
        <v>-8.5327159999999999E-2</v>
      </c>
      <c r="X6893">
        <v>0.98385160000000005</v>
      </c>
      <c r="Y6893">
        <v>-0.52322409999999997</v>
      </c>
      <c r="Z6893">
        <v>3.3901779999999999E-2</v>
      </c>
      <c r="AA6893">
        <v>0.85152050000000001</v>
      </c>
      <c r="AB6893">
        <v>21</v>
      </c>
      <c r="AC6893">
        <v>0.609999999999985</v>
      </c>
      <c r="AD6893">
        <v>-0.100960999999999</v>
      </c>
      <c r="AE6893">
        <v>0.47060000000000402</v>
      </c>
      <c r="AF6893">
        <v>-0.44339688259695897</v>
      </c>
      <c r="AG6893">
        <v>-0.100960999999999</v>
      </c>
      <c r="AH6893">
        <v>0.614077094392804</v>
      </c>
      <c r="AI6893">
        <v>97.592495525604406</v>
      </c>
      <c r="AJ6893">
        <v>125.831321765902</v>
      </c>
      <c r="AK6893">
        <v>0.76412341730613798</v>
      </c>
      <c r="AL6893">
        <v>94.894838249746201</v>
      </c>
      <c r="AM6893">
        <v>99.085833289107597</v>
      </c>
      <c r="AN6893">
        <v>0.99999997065011204</v>
      </c>
    </row>
    <row r="6894" spans="1:40" x14ac:dyDescent="0.25">
      <c r="A6894" t="str">
        <f>"20190303154655623"</f>
        <v>20190303154655623</v>
      </c>
      <c r="B6894" t="str">
        <f>"1551599215618398"</f>
        <v>1551599215618398</v>
      </c>
      <c r="C6894" t="s">
        <v>40</v>
      </c>
      <c r="D6894">
        <v>4.9062700000000001</v>
      </c>
      <c r="E6894">
        <v>0.3411148</v>
      </c>
      <c r="F6894" t="s">
        <v>42</v>
      </c>
      <c r="G6894">
        <v>-201.40600000000001</v>
      </c>
      <c r="H6894">
        <v>1.012915</v>
      </c>
      <c r="I6894">
        <v>-62.0137</v>
      </c>
      <c r="J6894">
        <v>-202.08609999999999</v>
      </c>
      <c r="K6894">
        <v>1.123642</v>
      </c>
      <c r="L6894">
        <v>-62.533540000000002</v>
      </c>
      <c r="M6894">
        <v>0.99932580000000004</v>
      </c>
      <c r="N6894">
        <v>-1.448441E-2</v>
      </c>
      <c r="O6894">
        <v>3.3741189999999997E-2</v>
      </c>
      <c r="P6894">
        <v>0.97604469999999999</v>
      </c>
      <c r="Q6894">
        <v>-9.8107029999999998E-2</v>
      </c>
      <c r="R6894">
        <v>0.1941958</v>
      </c>
      <c r="S6894">
        <v>2.6823429999999999</v>
      </c>
      <c r="T6894">
        <v>-0.38113979999999997</v>
      </c>
      <c r="U6894">
        <v>1.808624</v>
      </c>
      <c r="V6894">
        <v>-0.16065099999999999</v>
      </c>
      <c r="W6894">
        <v>-8.4822750000000002E-2</v>
      </c>
      <c r="X6894">
        <v>0.98335980000000001</v>
      </c>
      <c r="Y6894">
        <v>-0.52682609999999996</v>
      </c>
      <c r="Z6894">
        <v>3.4116279999999999E-2</v>
      </c>
      <c r="AA6894">
        <v>0.84928809999999999</v>
      </c>
      <c r="AB6894">
        <v>21</v>
      </c>
      <c r="AC6894">
        <v>0.68010000000001003</v>
      </c>
      <c r="AD6894">
        <v>-0.11072700000000001</v>
      </c>
      <c r="AE6894">
        <v>0.51984000000000197</v>
      </c>
      <c r="AF6894">
        <v>-0.488422033785476</v>
      </c>
      <c r="AG6894">
        <v>-0.11072700000000001</v>
      </c>
      <c r="AH6894">
        <v>0.68578027274854403</v>
      </c>
      <c r="AI6894">
        <v>97.492270860785695</v>
      </c>
      <c r="AJ6894">
        <v>125.458986403765</v>
      </c>
      <c r="AK6894">
        <v>0.84918262706393599</v>
      </c>
      <c r="AL6894">
        <v>94.865832043664</v>
      </c>
      <c r="AM6894">
        <v>99.278416617112896</v>
      </c>
      <c r="AN6894">
        <v>1.0000000694872899</v>
      </c>
    </row>
    <row r="6895" spans="1:40" x14ac:dyDescent="0.25">
      <c r="A6895" t="str">
        <f>"20190303154655634"</f>
        <v>20190303154655634</v>
      </c>
      <c r="B6895" t="str">
        <f>"1551599215628157"</f>
        <v>1551599215628157</v>
      </c>
      <c r="C6895" t="s">
        <v>40</v>
      </c>
      <c r="D6895">
        <v>4.9085369999999999</v>
      </c>
      <c r="E6895">
        <v>0.34138069999999998</v>
      </c>
      <c r="F6895" t="s">
        <v>42</v>
      </c>
      <c r="G6895">
        <v>-201.23849999999999</v>
      </c>
      <c r="H6895">
        <v>1.003333</v>
      </c>
      <c r="I6895">
        <v>-61.956169999999901</v>
      </c>
      <c r="J6895">
        <v>-201.9847</v>
      </c>
      <c r="K6895">
        <v>1.1236999999999999</v>
      </c>
      <c r="L6895">
        <v>-62.527650000000001</v>
      </c>
      <c r="M6895">
        <v>0.99925019999999998</v>
      </c>
      <c r="N6895">
        <v>-1.448968E-2</v>
      </c>
      <c r="O6895">
        <v>3.5905569999999998E-2</v>
      </c>
      <c r="P6895">
        <v>0.97493189999999996</v>
      </c>
      <c r="Q6895">
        <v>-9.8189310000000002E-2</v>
      </c>
      <c r="R6895">
        <v>0.19966709999999999</v>
      </c>
      <c r="S6895">
        <v>2.6730800000000001</v>
      </c>
      <c r="T6895">
        <v>-0.37943900000000003</v>
      </c>
      <c r="U6895">
        <v>1.8215030000000001</v>
      </c>
      <c r="V6895">
        <v>-0.16401830000000001</v>
      </c>
      <c r="W6895">
        <v>-8.4951449999999998E-2</v>
      </c>
      <c r="X6895">
        <v>0.98279260000000002</v>
      </c>
      <c r="Y6895">
        <v>-0.52916869999999905</v>
      </c>
      <c r="Z6895">
        <v>3.3962520000000003E-2</v>
      </c>
      <c r="AA6895">
        <v>0.8478367</v>
      </c>
      <c r="AB6895">
        <v>20</v>
      </c>
      <c r="AC6895">
        <v>0.74620000000001596</v>
      </c>
      <c r="AD6895">
        <v>-0.120366999999999</v>
      </c>
      <c r="AE6895">
        <v>0.57148000000000798</v>
      </c>
      <c r="AF6895">
        <v>-0.535532900150825</v>
      </c>
      <c r="AG6895">
        <v>-0.120366999999999</v>
      </c>
      <c r="AH6895">
        <v>0.753876302098486</v>
      </c>
      <c r="AI6895">
        <v>97.416181951787195</v>
      </c>
      <c r="AJ6895">
        <v>125.388934304977</v>
      </c>
      <c r="AK6895">
        <v>0.93253052534415204</v>
      </c>
      <c r="AL6895">
        <v>94.873232948748196</v>
      </c>
      <c r="AM6895">
        <v>99.4747744131122</v>
      </c>
      <c r="AN6895">
        <v>1.0000000231033701</v>
      </c>
    </row>
    <row r="6896" spans="1:40" x14ac:dyDescent="0.25">
      <c r="A6896" t="str">
        <f>"20190303154655644"</f>
        <v>20190303154655644</v>
      </c>
      <c r="B6896" t="str">
        <f>"1551599215638893"</f>
        <v>1551599215638893</v>
      </c>
      <c r="C6896" t="s">
        <v>40</v>
      </c>
      <c r="D6896">
        <v>4.9135309999999999</v>
      </c>
      <c r="E6896">
        <v>0.34171629999999997</v>
      </c>
      <c r="F6896" t="s">
        <v>42</v>
      </c>
      <c r="G6896">
        <v>-201.2259</v>
      </c>
      <c r="H6896">
        <v>1.015498</v>
      </c>
      <c r="I6896">
        <v>-62.005249999999997</v>
      </c>
      <c r="J6896">
        <v>-201.8844</v>
      </c>
      <c r="K6896">
        <v>1.1237569999999999</v>
      </c>
      <c r="L6896">
        <v>-62.521639999999998</v>
      </c>
      <c r="M6896">
        <v>0.99916950000000004</v>
      </c>
      <c r="N6896">
        <v>-1.4495060000000001E-2</v>
      </c>
      <c r="O6896">
        <v>3.8082240000000003E-2</v>
      </c>
      <c r="P6896">
        <v>0.97385869999999997</v>
      </c>
      <c r="Q6896">
        <v>-9.8211469999999995E-2</v>
      </c>
      <c r="R6896">
        <v>0.20482629999999999</v>
      </c>
      <c r="S6896">
        <v>2.663208</v>
      </c>
      <c r="T6896">
        <v>-0.37981389999999998</v>
      </c>
      <c r="U6896">
        <v>1.83432</v>
      </c>
      <c r="V6896">
        <v>-0.16706360000000001</v>
      </c>
      <c r="W6896">
        <v>-8.5018609999999994E-2</v>
      </c>
      <c r="X6896">
        <v>0.98227370000000003</v>
      </c>
      <c r="Y6896">
        <v>-0.53153419999999996</v>
      </c>
      <c r="Z6896">
        <v>3.3973730000000001E-2</v>
      </c>
      <c r="AA6896">
        <v>0.84635530000000003</v>
      </c>
      <c r="AB6896">
        <v>20</v>
      </c>
      <c r="AC6896">
        <v>0.65850000000000297</v>
      </c>
      <c r="AD6896">
        <v>-0.10825899999999899</v>
      </c>
      <c r="AE6896">
        <v>0.51639000000000801</v>
      </c>
      <c r="AF6896">
        <v>-0.482854419504813</v>
      </c>
      <c r="AG6896">
        <v>-0.10825899999999899</v>
      </c>
      <c r="AH6896">
        <v>0.66653435890051704</v>
      </c>
      <c r="AI6896">
        <v>97.493294038210905</v>
      </c>
      <c r="AJ6896">
        <v>125.920526520951</v>
      </c>
      <c r="AK6896">
        <v>0.83014242941271998</v>
      </c>
      <c r="AL6896">
        <v>94.877094939119104</v>
      </c>
      <c r="AM6896">
        <v>99.652414519993002</v>
      </c>
      <c r="AN6896">
        <v>1.0000000161014899</v>
      </c>
    </row>
    <row r="6897" spans="1:40" x14ac:dyDescent="0.25">
      <c r="A6897" t="str">
        <f>"20190303154655656"</f>
        <v>20190303154655656</v>
      </c>
      <c r="B6897" t="str">
        <f>"1551599215648654"</f>
        <v>1551599215648654</v>
      </c>
      <c r="C6897" t="s">
        <v>40</v>
      </c>
      <c r="D6897">
        <v>4.9100570000000001</v>
      </c>
      <c r="E6897">
        <v>0.3420511</v>
      </c>
      <c r="F6897" t="s">
        <v>42</v>
      </c>
      <c r="G6897">
        <v>-201.059</v>
      </c>
      <c r="H6897">
        <v>1.00556</v>
      </c>
      <c r="I6897">
        <v>-61.94755</v>
      </c>
      <c r="J6897">
        <v>-201.78149999999999</v>
      </c>
      <c r="K6897">
        <v>1.1238250000000001</v>
      </c>
      <c r="L6897">
        <v>-62.51511</v>
      </c>
      <c r="M6897">
        <v>0.99907889999999999</v>
      </c>
      <c r="N6897">
        <v>-1.4501089999999999E-2</v>
      </c>
      <c r="O6897">
        <v>4.0384820000000002E-2</v>
      </c>
      <c r="P6897">
        <v>0.97262219999999999</v>
      </c>
      <c r="Q6897">
        <v>-9.8778160000000004E-2</v>
      </c>
      <c r="R6897">
        <v>0.2103545</v>
      </c>
      <c r="S6897">
        <v>2.6540219999999999</v>
      </c>
      <c r="T6897">
        <v>-0.38001879999999999</v>
      </c>
      <c r="U6897">
        <v>1.8456729999999999</v>
      </c>
      <c r="V6897">
        <v>-0.17035899999999901</v>
      </c>
      <c r="W6897">
        <v>-8.5635569999999994E-2</v>
      </c>
      <c r="X6897">
        <v>0.98165389999999997</v>
      </c>
      <c r="Y6897">
        <v>-0.5333831</v>
      </c>
      <c r="Z6897">
        <v>3.3917179999999998E-2</v>
      </c>
      <c r="AA6897">
        <v>0.84519359999999999</v>
      </c>
      <c r="AB6897">
        <v>20</v>
      </c>
      <c r="AC6897">
        <v>0.72249999999996795</v>
      </c>
      <c r="AD6897">
        <v>-0.118265</v>
      </c>
      <c r="AE6897">
        <v>0.56755999999999995</v>
      </c>
      <c r="AF6897">
        <v>-0.52914819629973198</v>
      </c>
      <c r="AG6897">
        <v>-0.118265</v>
      </c>
      <c r="AH6897">
        <v>0.73269349988003096</v>
      </c>
      <c r="AI6897">
        <v>97.455047675926593</v>
      </c>
      <c r="AJ6897">
        <v>125.83665945641501</v>
      </c>
      <c r="AK6897">
        <v>0.91149557795894398</v>
      </c>
      <c r="AL6897">
        <v>94.912573566141901</v>
      </c>
      <c r="AM6897">
        <v>99.845216948357105</v>
      </c>
      <c r="AN6897">
        <v>1.00000000955771</v>
      </c>
    </row>
    <row r="6898" spans="1:40" x14ac:dyDescent="0.25">
      <c r="A6898" t="str">
        <f>"20190303154655668"</f>
        <v>20190303154655668</v>
      </c>
      <c r="B6898" t="str">
        <f>"1551599215658413"</f>
        <v>1551599215658413</v>
      </c>
      <c r="C6898" t="s">
        <v>40</v>
      </c>
      <c r="D6898">
        <v>4.8399519999999896</v>
      </c>
      <c r="E6898">
        <v>0.34251169999999997</v>
      </c>
      <c r="F6898" t="s">
        <v>42</v>
      </c>
      <c r="G6898">
        <v>-201.04589999999999</v>
      </c>
      <c r="H6898">
        <v>1.0174799999999999</v>
      </c>
      <c r="I6898">
        <v>-61.998049999999999</v>
      </c>
      <c r="J6898">
        <v>-201.68119999999999</v>
      </c>
      <c r="K6898">
        <v>1.123883</v>
      </c>
      <c r="L6898">
        <v>-62.508450000000003</v>
      </c>
      <c r="M6898">
        <v>0.99898299999999995</v>
      </c>
      <c r="N6898">
        <v>-1.450741E-2</v>
      </c>
      <c r="O6898">
        <v>4.269307E-2</v>
      </c>
      <c r="P6898">
        <v>0.97136319999999998</v>
      </c>
      <c r="Q6898">
        <v>-9.9224980000000004E-2</v>
      </c>
      <c r="R6898">
        <v>0.21588889999999999</v>
      </c>
      <c r="S6898">
        <v>2.6437529999999998</v>
      </c>
      <c r="T6898">
        <v>-0.38218029999999997</v>
      </c>
      <c r="U6898">
        <v>1.858093</v>
      </c>
      <c r="V6898">
        <v>-0.17366039999999999</v>
      </c>
      <c r="W6898">
        <v>-8.6133899999999999E-2</v>
      </c>
      <c r="X6898">
        <v>0.9810316</v>
      </c>
      <c r="Y6898">
        <v>-0.5355761</v>
      </c>
      <c r="Z6898">
        <v>3.4040010000000002E-2</v>
      </c>
      <c r="AA6898">
        <v>0.84380059999999901</v>
      </c>
      <c r="AB6898">
        <v>20</v>
      </c>
      <c r="AC6898">
        <v>0.63529999999999998</v>
      </c>
      <c r="AD6898">
        <v>-0.106403</v>
      </c>
      <c r="AE6898">
        <v>0.51040000000000396</v>
      </c>
      <c r="AF6898">
        <v>-0.47471597820040801</v>
      </c>
      <c r="AG6898">
        <v>-0.106403</v>
      </c>
      <c r="AH6898">
        <v>0.64550904509827101</v>
      </c>
      <c r="AI6898">
        <v>97.564199041656806</v>
      </c>
      <c r="AJ6898">
        <v>126.331260364748</v>
      </c>
      <c r="AK6898">
        <v>0.80830612126313395</v>
      </c>
      <c r="AL6898">
        <v>94.941231749667196</v>
      </c>
      <c r="AM6898">
        <v>100.038402480719</v>
      </c>
      <c r="AN6898">
        <v>0.99999999172796405</v>
      </c>
    </row>
    <row r="6899" spans="1:40" x14ac:dyDescent="0.25">
      <c r="A6899" t="str">
        <f>"20190303154655682"</f>
        <v>20190303154655682</v>
      </c>
      <c r="B6899" t="str">
        <f>"1551599215678911"</f>
        <v>1551599215678911</v>
      </c>
      <c r="C6899" t="s">
        <v>40</v>
      </c>
      <c r="D6899">
        <v>4.8539159999999999</v>
      </c>
      <c r="E6899">
        <v>0.34292640000000002</v>
      </c>
      <c r="F6899" t="s">
        <v>42</v>
      </c>
      <c r="G6899">
        <v>-200.87970000000001</v>
      </c>
      <c r="H6899">
        <v>1.0068520000000001</v>
      </c>
      <c r="I6899">
        <v>-61.939700000000002</v>
      </c>
      <c r="J6899">
        <v>-201.55350000000001</v>
      </c>
      <c r="K6899">
        <v>1.1239680000000001</v>
      </c>
      <c r="L6899">
        <v>-62.499630000000003</v>
      </c>
      <c r="M6899">
        <v>0.99885000000000002</v>
      </c>
      <c r="N6899">
        <v>-1.4515709999999999E-2</v>
      </c>
      <c r="O6899">
        <v>4.5696399999999998E-2</v>
      </c>
      <c r="P6899">
        <v>0.97000120000000001</v>
      </c>
      <c r="Q6899">
        <v>-9.9608539999999995E-2</v>
      </c>
      <c r="R6899">
        <v>0.2217568</v>
      </c>
      <c r="S6899">
        <v>2.6336819999999999</v>
      </c>
      <c r="T6899">
        <v>-0.38458720000000002</v>
      </c>
      <c r="U6899">
        <v>1.869415</v>
      </c>
      <c r="V6899">
        <v>-0.17661769999999999</v>
      </c>
      <c r="W6899">
        <v>-8.6573839999999999E-2</v>
      </c>
      <c r="X6899">
        <v>0.98046480000000003</v>
      </c>
      <c r="Y6899">
        <v>-0.53692549999999994</v>
      </c>
      <c r="Z6899">
        <v>3.4038489999999998E-2</v>
      </c>
      <c r="AA6899">
        <v>0.84294269999999905</v>
      </c>
      <c r="AB6899">
        <v>20</v>
      </c>
      <c r="AC6899">
        <v>0.67379999999999995</v>
      </c>
      <c r="AD6899">
        <v>-0.117116</v>
      </c>
      <c r="AE6899">
        <v>0.55993000000000104</v>
      </c>
      <c r="AF6899">
        <v>-0.51927180457969002</v>
      </c>
      <c r="AG6899">
        <v>-0.117116</v>
      </c>
      <c r="AH6899">
        <v>0.68641877236292104</v>
      </c>
      <c r="AI6899">
        <v>97.748635580092198</v>
      </c>
      <c r="AJ6899">
        <v>127.107293206126</v>
      </c>
      <c r="AK6899">
        <v>0.86863691813073896</v>
      </c>
      <c r="AL6899">
        <v>94.966532762415596</v>
      </c>
      <c r="AM6899">
        <v>100.211560436124</v>
      </c>
      <c r="AN6899">
        <v>1.00000003288233</v>
      </c>
    </row>
    <row r="6900" spans="1:40" x14ac:dyDescent="0.25">
      <c r="A6900" t="str">
        <f>"20190303154655696"</f>
        <v>20190303154655696</v>
      </c>
      <c r="B6900" t="str">
        <f>"1551599215688670"</f>
        <v>1551599215688670</v>
      </c>
      <c r="C6900" t="s">
        <v>40</v>
      </c>
      <c r="D6900">
        <v>4.8326909999999996</v>
      </c>
      <c r="E6900">
        <v>0.35662199999999999</v>
      </c>
      <c r="F6900" t="s">
        <v>42</v>
      </c>
      <c r="G6900">
        <v>-200.7106</v>
      </c>
      <c r="H6900">
        <v>0.99990500000000004</v>
      </c>
      <c r="I6900">
        <v>-61.89481</v>
      </c>
      <c r="J6900">
        <v>-201.42670000000001</v>
      </c>
      <c r="K6900">
        <v>1.1240600000000001</v>
      </c>
      <c r="L6900">
        <v>-62.490200000000002</v>
      </c>
      <c r="M6900">
        <v>0.99870199999999998</v>
      </c>
      <c r="N6900">
        <v>-1.4525059999999999E-2</v>
      </c>
      <c r="O6900">
        <v>4.881986E-2</v>
      </c>
      <c r="P6900">
        <v>0.96792809999999996</v>
      </c>
      <c r="Q6900">
        <v>-9.9571290000000007E-2</v>
      </c>
      <c r="R6900">
        <v>0.23065330000000001</v>
      </c>
      <c r="S6900">
        <v>2.6228940000000001</v>
      </c>
      <c r="T6900">
        <v>-0.38606430000000003</v>
      </c>
      <c r="U6900">
        <v>1.8819269999999999</v>
      </c>
      <c r="V6900">
        <v>-0.18252270000000001</v>
      </c>
      <c r="W6900">
        <v>-8.6623629999999993E-2</v>
      </c>
      <c r="X6900">
        <v>0.97937830000000003</v>
      </c>
      <c r="Y6900">
        <v>-0.53855310000000001</v>
      </c>
      <c r="Z6900">
        <v>3.3973879999999998E-2</v>
      </c>
      <c r="AA6900">
        <v>0.84190640000000005</v>
      </c>
      <c r="AB6900">
        <v>20</v>
      </c>
      <c r="AC6900">
        <v>0.71610000000001095</v>
      </c>
      <c r="AD6900">
        <v>-0.124155</v>
      </c>
      <c r="AE6900">
        <v>0.59539000000000097</v>
      </c>
      <c r="AF6900">
        <v>-0.54994210373164298</v>
      </c>
      <c r="AG6900">
        <v>-0.124155</v>
      </c>
      <c r="AH6900">
        <v>0.73131802592050199</v>
      </c>
      <c r="AI6900">
        <v>97.727017305359695</v>
      </c>
      <c r="AJ6900">
        <v>126.94271286655901</v>
      </c>
      <c r="AK6900">
        <v>0.92340502300888805</v>
      </c>
      <c r="AL6900">
        <v>94.969396331335801</v>
      </c>
      <c r="AM6900">
        <v>100.55686906333899</v>
      </c>
      <c r="AN6900">
        <v>1.00000002190027</v>
      </c>
    </row>
    <row r="6901" spans="1:40" x14ac:dyDescent="0.25">
      <c r="A6901" t="str">
        <f>"20190303154655710"</f>
        <v>20190303154655710</v>
      </c>
      <c r="B6901" t="str">
        <f>"1551599215698429"</f>
        <v>1551599215698429</v>
      </c>
      <c r="C6901" t="s">
        <v>40</v>
      </c>
      <c r="D6901">
        <v>4.8350980000000003</v>
      </c>
      <c r="E6901">
        <v>0.35722969999999998</v>
      </c>
      <c r="F6901" t="s">
        <v>42</v>
      </c>
      <c r="G6901">
        <v>-200.6867</v>
      </c>
      <c r="H6901">
        <v>1.0175369999999999</v>
      </c>
      <c r="I6901">
        <v>-61.983890000000002</v>
      </c>
      <c r="J6901">
        <v>-201.3074</v>
      </c>
      <c r="K6901">
        <v>1.1241490000000001</v>
      </c>
      <c r="L6901">
        <v>-62.480899999999998</v>
      </c>
      <c r="M6901">
        <v>0.99854920000000003</v>
      </c>
      <c r="N6901">
        <v>-1.453425E-2</v>
      </c>
      <c r="O6901">
        <v>5.1848669999999999E-2</v>
      </c>
      <c r="P6901">
        <v>0.9664857</v>
      </c>
      <c r="Q6901">
        <v>-9.8470680000000005E-2</v>
      </c>
      <c r="R6901">
        <v>0.23708419999999999</v>
      </c>
      <c r="S6901">
        <v>2.6314850000000001</v>
      </c>
      <c r="T6901">
        <v>-0.3787701</v>
      </c>
      <c r="U6901">
        <v>1.800079</v>
      </c>
      <c r="V6901">
        <v>-0.18604119999999999</v>
      </c>
      <c r="W6901">
        <v>-8.5585999999999995E-2</v>
      </c>
      <c r="X6901">
        <v>0.97880730000000005</v>
      </c>
      <c r="Y6901">
        <v>-0.51722849999999998</v>
      </c>
      <c r="Z6901">
        <v>3.1656110000000001E-2</v>
      </c>
      <c r="AA6901">
        <v>0.85526170000000001</v>
      </c>
      <c r="AB6901">
        <v>20</v>
      </c>
      <c r="AC6901">
        <v>0.62069999999999903</v>
      </c>
      <c r="AD6901">
        <v>-0.106611999999999</v>
      </c>
      <c r="AE6901">
        <v>0.49700999999999601</v>
      </c>
      <c r="AF6901">
        <v>-0.45595908152213799</v>
      </c>
      <c r="AG6901">
        <v>-0.106611999999999</v>
      </c>
      <c r="AH6901">
        <v>0.63423583869822597</v>
      </c>
      <c r="AI6901">
        <v>97.772019323179805</v>
      </c>
      <c r="AJ6901">
        <v>125.712771011737</v>
      </c>
      <c r="AK6901">
        <v>0.78836533514339202</v>
      </c>
      <c r="AL6901">
        <v>94.909722941621098</v>
      </c>
      <c r="AM6901">
        <v>100.761798256406</v>
      </c>
      <c r="AN6901">
        <v>1.00000001101336</v>
      </c>
    </row>
    <row r="6902" spans="1:40" x14ac:dyDescent="0.25">
      <c r="A6902" t="str">
        <f>"20190303154655723"</f>
        <v>20190303154655723</v>
      </c>
      <c r="B6902" t="str">
        <f>"1551599215718926"</f>
        <v>1551599215718926</v>
      </c>
      <c r="C6902" t="s">
        <v>40</v>
      </c>
      <c r="D6902">
        <v>4.779458</v>
      </c>
      <c r="E6902">
        <v>0.35830519999999999</v>
      </c>
      <c r="F6902" t="s">
        <v>42</v>
      </c>
      <c r="G6902">
        <v>-200.5187</v>
      </c>
      <c r="H6902">
        <v>1.010451</v>
      </c>
      <c r="I6902">
        <v>-61.935580000000002</v>
      </c>
      <c r="J6902">
        <v>-201.1865</v>
      </c>
      <c r="K6902">
        <v>1.124244</v>
      </c>
      <c r="L6902">
        <v>-62.471130000000002</v>
      </c>
      <c r="M6902">
        <v>0.99838090000000002</v>
      </c>
      <c r="N6902">
        <v>-1.4543850000000001E-2</v>
      </c>
      <c r="O6902">
        <v>5.4992640000000002E-2</v>
      </c>
      <c r="P6902">
        <v>0.96498450000000002</v>
      </c>
      <c r="Q6902">
        <v>-9.7685750000000002E-2</v>
      </c>
      <c r="R6902">
        <v>0.2434393</v>
      </c>
      <c r="S6902">
        <v>2.620895</v>
      </c>
      <c r="T6902">
        <v>-0.37787159999999997</v>
      </c>
      <c r="U6902">
        <v>1.812622</v>
      </c>
      <c r="V6902">
        <v>-0.1893783</v>
      </c>
      <c r="W6902">
        <v>-8.4865060000000006E-2</v>
      </c>
      <c r="X6902">
        <v>0.97822989999999999</v>
      </c>
      <c r="Y6902">
        <v>-0.51893259999999997</v>
      </c>
      <c r="Z6902">
        <v>3.1419519999999999E-2</v>
      </c>
      <c r="AA6902">
        <v>0.85423760000000004</v>
      </c>
      <c r="AB6902">
        <v>20</v>
      </c>
      <c r="AC6902">
        <v>0.66779999999999895</v>
      </c>
      <c r="AD6902">
        <v>-0.11379300000000001</v>
      </c>
      <c r="AE6902">
        <v>0.53554999999999997</v>
      </c>
      <c r="AF6902">
        <v>-0.48936385892140999</v>
      </c>
      <c r="AG6902">
        <v>-0.11379300000000001</v>
      </c>
      <c r="AH6902">
        <v>0.68415392892734594</v>
      </c>
      <c r="AI6902">
        <v>97.704296688707899</v>
      </c>
      <c r="AJ6902">
        <v>125.575506271398</v>
      </c>
      <c r="AK6902">
        <v>0.84881825600900995</v>
      </c>
      <c r="AL6902">
        <v>94.868265446582896</v>
      </c>
      <c r="AM6902">
        <v>100.956517365351</v>
      </c>
      <c r="AN6902">
        <v>0.99999997808685104</v>
      </c>
    </row>
    <row r="6903" spans="1:40" x14ac:dyDescent="0.25">
      <c r="A6903" t="str">
        <f>"20190303154655733"</f>
        <v>20190303154655733</v>
      </c>
      <c r="B6903" t="str">
        <f>"1551599215728686"</f>
        <v>1551599215728686</v>
      </c>
      <c r="C6903" t="s">
        <v>40</v>
      </c>
      <c r="D6903">
        <v>4.8354749999999997</v>
      </c>
      <c r="E6903">
        <v>0.35832700000000001</v>
      </c>
      <c r="F6903" t="s">
        <v>42</v>
      </c>
      <c r="G6903">
        <v>-200.35120000000001</v>
      </c>
      <c r="H6903">
        <v>1.004616</v>
      </c>
      <c r="I6903">
        <v>-61.888339999999999</v>
      </c>
      <c r="J6903">
        <v>-201.08519999999999</v>
      </c>
      <c r="K6903">
        <v>1.124331</v>
      </c>
      <c r="L6903">
        <v>-62.4623699999999</v>
      </c>
      <c r="M6903">
        <v>0.99822480000000002</v>
      </c>
      <c r="N6903">
        <v>-1.455301E-2</v>
      </c>
      <c r="O6903">
        <v>5.7752860000000003E-2</v>
      </c>
      <c r="P6903">
        <v>0.96347559999999999</v>
      </c>
      <c r="Q6903">
        <v>-9.6760460000000006E-2</v>
      </c>
      <c r="R6903">
        <v>0.24970419999999999</v>
      </c>
      <c r="S6903">
        <v>2.6114649999999999</v>
      </c>
      <c r="T6903">
        <v>-0.37394919999999998</v>
      </c>
      <c r="U6903">
        <v>1.821655</v>
      </c>
      <c r="V6903">
        <v>-0.19300800000000001</v>
      </c>
      <c r="W6903">
        <v>-8.4004560000000006E-2</v>
      </c>
      <c r="X6903">
        <v>0.97759459999999998</v>
      </c>
      <c r="Y6903">
        <v>-0.52007420000000004</v>
      </c>
      <c r="Z6903">
        <v>3.0975240000000001E-2</v>
      </c>
      <c r="AA6903">
        <v>0.85355919999999896</v>
      </c>
      <c r="AB6903">
        <v>20</v>
      </c>
      <c r="AC6903">
        <v>0.73399999999998</v>
      </c>
      <c r="AD6903">
        <v>-0.119715</v>
      </c>
      <c r="AE6903">
        <v>0.57402999999999305</v>
      </c>
      <c r="AF6903">
        <v>-0.52205944071171295</v>
      </c>
      <c r="AG6903">
        <v>-0.119715</v>
      </c>
      <c r="AH6903">
        <v>0.75349279758375698</v>
      </c>
      <c r="AI6903">
        <v>97.440527102957006</v>
      </c>
      <c r="AJ6903">
        <v>124.716253322122</v>
      </c>
      <c r="AK6903">
        <v>0.924461538881864</v>
      </c>
      <c r="AL6903">
        <v>94.818785492508596</v>
      </c>
      <c r="AM6903">
        <v>101.168360574899</v>
      </c>
      <c r="AN6903">
        <v>1.0000000280569701</v>
      </c>
    </row>
    <row r="6904" spans="1:40" x14ac:dyDescent="0.25">
      <c r="A6904" t="str">
        <f>"20190303154655744"</f>
        <v>20190303154655744</v>
      </c>
      <c r="B6904" t="str">
        <f>"1551599215738446"</f>
        <v>1551599215738446</v>
      </c>
      <c r="C6904" t="s">
        <v>40</v>
      </c>
      <c r="D6904">
        <v>4.8482159999999999</v>
      </c>
      <c r="E6904">
        <v>0.35832700000000001</v>
      </c>
      <c r="F6904" t="s">
        <v>42</v>
      </c>
      <c r="G6904">
        <v>-200.3383</v>
      </c>
      <c r="H6904">
        <v>1.018589</v>
      </c>
      <c r="I6904">
        <v>-61.934240000000003</v>
      </c>
      <c r="J6904">
        <v>-200.9939</v>
      </c>
      <c r="K6904">
        <v>1.124414</v>
      </c>
      <c r="L6904">
        <v>-62.454279999999997</v>
      </c>
      <c r="M6904">
        <v>0.99807509999999999</v>
      </c>
      <c r="N6904">
        <v>-1.456145E-2</v>
      </c>
      <c r="O6904">
        <v>6.0282580000000002E-2</v>
      </c>
      <c r="P6904">
        <v>0.96202829999999995</v>
      </c>
      <c r="Q6904">
        <v>-9.516405E-2</v>
      </c>
      <c r="R6904">
        <v>0.25582300000000002</v>
      </c>
      <c r="S6904">
        <v>2.600266</v>
      </c>
      <c r="T6904">
        <v>-0.3681275</v>
      </c>
      <c r="U6904">
        <v>1.83847</v>
      </c>
      <c r="V6904">
        <v>-0.19672519999999999</v>
      </c>
      <c r="W6904">
        <v>-8.2472219999999999E-2</v>
      </c>
      <c r="X6904">
        <v>0.97698390000000002</v>
      </c>
      <c r="Y6904">
        <v>-0.52341040000000005</v>
      </c>
      <c r="Z6904">
        <v>3.0583880000000001E-2</v>
      </c>
      <c r="AA6904">
        <v>0.851531699999999</v>
      </c>
      <c r="AB6904">
        <v>20</v>
      </c>
      <c r="AC6904">
        <v>0.65559999999999197</v>
      </c>
      <c r="AD6904">
        <v>-0.105825</v>
      </c>
      <c r="AE6904">
        <v>0.52004000000000095</v>
      </c>
      <c r="AF6904">
        <v>-0.47201971144686899</v>
      </c>
      <c r="AG6904">
        <v>-0.105825</v>
      </c>
      <c r="AH6904">
        <v>0.67496560136442696</v>
      </c>
      <c r="AI6904">
        <v>97.321517728082497</v>
      </c>
      <c r="AJ6904">
        <v>124.96602118006101</v>
      </c>
      <c r="AK6904">
        <v>0.83040959871898701</v>
      </c>
      <c r="AL6904">
        <v>94.730683230530701</v>
      </c>
      <c r="AM6904">
        <v>101.384822416715</v>
      </c>
      <c r="AN6904">
        <v>1.0000000061229799</v>
      </c>
    </row>
    <row r="6905" spans="1:40" x14ac:dyDescent="0.25">
      <c r="A6905" t="str">
        <f>"20190303154655758"</f>
        <v>20190303154655758</v>
      </c>
      <c r="B6905" t="str">
        <f>"1551599215748206"</f>
        <v>1551599215748206</v>
      </c>
      <c r="C6905" t="s">
        <v>40</v>
      </c>
      <c r="D6905">
        <v>4.7990019999999998</v>
      </c>
      <c r="E6905">
        <v>0.3397829</v>
      </c>
      <c r="F6905" t="s">
        <v>42</v>
      </c>
      <c r="G6905">
        <v>-200.1764</v>
      </c>
      <c r="H6905">
        <v>1.008891</v>
      </c>
      <c r="I6905">
        <v>-61.868659999999998</v>
      </c>
      <c r="J6905">
        <v>-200.86080000000001</v>
      </c>
      <c r="K6905">
        <v>1.12453799999999</v>
      </c>
      <c r="L6905">
        <v>-62.441929999999999</v>
      </c>
      <c r="M6905">
        <v>0.99783699999999997</v>
      </c>
      <c r="N6905">
        <v>-1.457489E-2</v>
      </c>
      <c r="O6905">
        <v>6.4101030000000003E-2</v>
      </c>
      <c r="P6905">
        <v>0.96008150000000003</v>
      </c>
      <c r="Q6905">
        <v>-9.4187679999999996E-2</v>
      </c>
      <c r="R6905">
        <v>0.26338630000000002</v>
      </c>
      <c r="S6905">
        <v>2.588959</v>
      </c>
      <c r="T6905">
        <v>-0.36585129999999999</v>
      </c>
      <c r="U6905">
        <v>1.8549500000000001</v>
      </c>
      <c r="V6905">
        <v>-0.2006484</v>
      </c>
      <c r="W6905">
        <v>-8.1578559999999994E-2</v>
      </c>
      <c r="X6905">
        <v>0.97626080000000004</v>
      </c>
      <c r="Y6905">
        <v>-0.52553649999999996</v>
      </c>
      <c r="Z6905">
        <v>3.0211470000000001E-2</v>
      </c>
      <c r="AA6905">
        <v>0.850234499999999</v>
      </c>
      <c r="AB6905">
        <v>20</v>
      </c>
      <c r="AC6905">
        <v>0.68440000000001</v>
      </c>
      <c r="AD6905">
        <v>-0.115646999999999</v>
      </c>
      <c r="AE6905">
        <v>0.57327000000000705</v>
      </c>
      <c r="AF6905">
        <v>-0.51949827218824196</v>
      </c>
      <c r="AG6905">
        <v>-0.115646999999999</v>
      </c>
      <c r="AH6905">
        <v>0.70786541077592602</v>
      </c>
      <c r="AI6905">
        <v>97.503272333438204</v>
      </c>
      <c r="AJ6905">
        <v>126.27472689574699</v>
      </c>
      <c r="AK6905">
        <v>0.88562188499863703</v>
      </c>
      <c r="AL6905">
        <v>94.679307206412304</v>
      </c>
      <c r="AM6905">
        <v>101.61412547692601</v>
      </c>
      <c r="AN6905">
        <v>0.99999999574543597</v>
      </c>
    </row>
    <row r="6906" spans="1:40" x14ac:dyDescent="0.25">
      <c r="A6906" t="str">
        <f>"20190303154655773"</f>
        <v>20190303154655773</v>
      </c>
      <c r="B6906" t="str">
        <f>"1551599215768711"</f>
        <v>1551599215768711</v>
      </c>
      <c r="C6906" t="s">
        <v>40</v>
      </c>
      <c r="D6906">
        <v>4.8809879999999897</v>
      </c>
      <c r="E6906">
        <v>0.33177699999999999</v>
      </c>
      <c r="F6906" t="s">
        <v>42</v>
      </c>
      <c r="G6906">
        <v>-200.1696</v>
      </c>
      <c r="H6906">
        <v>1.022653</v>
      </c>
      <c r="I6906">
        <v>-61.892000000000003</v>
      </c>
      <c r="J6906">
        <v>-200.74080000000001</v>
      </c>
      <c r="K6906">
        <v>1.1246590000000001</v>
      </c>
      <c r="L6906">
        <v>-62.430019999999899</v>
      </c>
      <c r="M6906">
        <v>0.99759799999999998</v>
      </c>
      <c r="N6906">
        <v>-1.4589120000000001E-2</v>
      </c>
      <c r="O6906">
        <v>6.771518E-2</v>
      </c>
      <c r="P6906">
        <v>0.95705980000000002</v>
      </c>
      <c r="Q6906">
        <v>-9.2934870000000003E-2</v>
      </c>
      <c r="R6906">
        <v>0.2745901</v>
      </c>
      <c r="S6906">
        <v>2.5346980000000001</v>
      </c>
      <c r="T6906">
        <v>-0.37364829999999999</v>
      </c>
      <c r="U6906">
        <v>2.0171510000000001</v>
      </c>
      <c r="V6906">
        <v>-0.2084859</v>
      </c>
      <c r="W6906">
        <v>-8.0453419999999998E-2</v>
      </c>
      <c r="X6906">
        <v>0.97471059999999998</v>
      </c>
      <c r="Y6906">
        <v>-0.56440170000000001</v>
      </c>
      <c r="Z6906">
        <v>3.3219319999999997E-2</v>
      </c>
      <c r="AA6906">
        <v>0.82483169999999995</v>
      </c>
      <c r="AB6906">
        <v>20</v>
      </c>
      <c r="AC6906">
        <v>0.57120000000000404</v>
      </c>
      <c r="AD6906">
        <v>-0.102006</v>
      </c>
      <c r="AE6906">
        <v>0.53801999999999595</v>
      </c>
      <c r="AF6906">
        <v>-0.489824310573727</v>
      </c>
      <c r="AG6906">
        <v>-0.102006</v>
      </c>
      <c r="AH6906">
        <v>0.59624871233159005</v>
      </c>
      <c r="AI6906">
        <v>97.530406482415401</v>
      </c>
      <c r="AJ6906">
        <v>129.40344813087401</v>
      </c>
      <c r="AK6906">
        <v>0.77836084576634901</v>
      </c>
      <c r="AL6906">
        <v>94.614629083251899</v>
      </c>
      <c r="AM6906">
        <v>102.073361802303</v>
      </c>
      <c r="AN6906">
        <v>0.99999993852043101</v>
      </c>
    </row>
    <row r="6907" spans="1:40" x14ac:dyDescent="0.25">
      <c r="A6907" t="str">
        <f>"20190303154655785"</f>
        <v>20190303154655785</v>
      </c>
      <c r="B6907" t="str">
        <f>"1551599215778462"</f>
        <v>1551599215778462</v>
      </c>
      <c r="C6907" t="s">
        <v>40</v>
      </c>
      <c r="D6907">
        <v>4.875229</v>
      </c>
      <c r="E6907">
        <v>0.33241690000000002</v>
      </c>
      <c r="F6907" t="s">
        <v>42</v>
      </c>
      <c r="G6907">
        <v>-200.0121</v>
      </c>
      <c r="H6907">
        <v>1.004831</v>
      </c>
      <c r="I6907">
        <v>-61.814250000000001</v>
      </c>
      <c r="J6907">
        <v>-200.6388</v>
      </c>
      <c r="K6907">
        <v>1.1247659999999999</v>
      </c>
      <c r="L6907">
        <v>-62.419589999999999</v>
      </c>
      <c r="M6907">
        <v>0.99737940000000003</v>
      </c>
      <c r="N6907">
        <v>-1.4601879999999999E-2</v>
      </c>
      <c r="O6907">
        <v>7.0860800000000002E-2</v>
      </c>
      <c r="P6907">
        <v>0.95507030000000004</v>
      </c>
      <c r="Q6907">
        <v>-9.2096369999999997E-2</v>
      </c>
      <c r="R6907">
        <v>0.2817075</v>
      </c>
      <c r="S6907">
        <v>2.4908600000000001</v>
      </c>
      <c r="T6907">
        <v>-0.40960859999999899</v>
      </c>
      <c r="U6907">
        <v>2.1050110000000002</v>
      </c>
      <c r="V6907">
        <v>-0.2126432</v>
      </c>
      <c r="W6907">
        <v>-7.9700629999999995E-2</v>
      </c>
      <c r="X6907">
        <v>0.97387400000000002</v>
      </c>
      <c r="Y6907">
        <v>-0.58502699999999996</v>
      </c>
      <c r="Z6907">
        <v>3.7261809999999999E-2</v>
      </c>
      <c r="AA6907">
        <v>0.81015740000000003</v>
      </c>
      <c r="AB6907">
        <v>20</v>
      </c>
      <c r="AC6907">
        <v>0.62669999999999904</v>
      </c>
      <c r="AD6907">
        <v>-0.119934999999999</v>
      </c>
      <c r="AE6907">
        <v>0.60533999999999799</v>
      </c>
      <c r="AF6907">
        <v>-0.54900279786515604</v>
      </c>
      <c r="AG6907">
        <v>-0.119934999999999</v>
      </c>
      <c r="AH6907">
        <v>0.65560199379020001</v>
      </c>
      <c r="AI6907">
        <v>97.984014518119196</v>
      </c>
      <c r="AJ6907">
        <v>129.94289295743599</v>
      </c>
      <c r="AK6907">
        <v>0.86348274479022102</v>
      </c>
      <c r="AL6907">
        <v>94.571358406776397</v>
      </c>
      <c r="AM6907">
        <v>102.317090874085</v>
      </c>
      <c r="AN6907">
        <v>0.99999994440231699</v>
      </c>
    </row>
    <row r="6908" spans="1:40" x14ac:dyDescent="0.25">
      <c r="A6908" t="str">
        <f>"20190303154655795"</f>
        <v>20190303154655795</v>
      </c>
      <c r="B6908" t="str">
        <f>"1551599215788222"</f>
        <v>1551599215788222</v>
      </c>
      <c r="C6908" t="s">
        <v>40</v>
      </c>
      <c r="D6908">
        <v>4.8074469999999998</v>
      </c>
      <c r="E6908">
        <v>0.33326889999999998</v>
      </c>
      <c r="F6908" t="s">
        <v>60</v>
      </c>
      <c r="G6908">
        <v>-193.94820000000001</v>
      </c>
      <c r="H6908" s="1">
        <v>-7.9048620000000005E-6</v>
      </c>
      <c r="I6908">
        <v>-56.6973699999999</v>
      </c>
      <c r="J6908">
        <v>-200.54419999999999</v>
      </c>
      <c r="K6908">
        <v>1.1248720000000001</v>
      </c>
      <c r="L6908">
        <v>-62.409419999999997</v>
      </c>
      <c r="M6908">
        <v>0.99715849999999995</v>
      </c>
      <c r="N6908">
        <v>-1.4615360000000001E-2</v>
      </c>
      <c r="O6908">
        <v>7.3900199999999999E-2</v>
      </c>
      <c r="P6908">
        <v>0.95303070000000001</v>
      </c>
      <c r="Q6908">
        <v>-9.1903739999999998E-2</v>
      </c>
      <c r="R6908">
        <v>0.2885935</v>
      </c>
      <c r="S6908">
        <v>2.4762879999999998</v>
      </c>
      <c r="T6908">
        <v>-0.4162921</v>
      </c>
      <c r="U6908">
        <v>2.1178590000000002</v>
      </c>
      <c r="V6908">
        <v>-0.2166777</v>
      </c>
      <c r="W6908">
        <v>-7.9595879999999994E-2</v>
      </c>
      <c r="X6908">
        <v>0.972993</v>
      </c>
      <c r="Y6908">
        <v>-0.58717940000000002</v>
      </c>
      <c r="Z6908">
        <v>3.7661630000000001E-2</v>
      </c>
      <c r="AA6908">
        <v>0.80858019999999997</v>
      </c>
      <c r="AB6908">
        <v>20</v>
      </c>
      <c r="AC6908">
        <v>6.5959999999999699</v>
      </c>
      <c r="AD6908">
        <v>-1.124879904862</v>
      </c>
      <c r="AE6908">
        <v>5.7120499999999996</v>
      </c>
      <c r="AF6908">
        <v>-5.1237732459367704</v>
      </c>
      <c r="AG6908">
        <v>-1.124879904862</v>
      </c>
      <c r="AH6908">
        <v>6.8856873363797098</v>
      </c>
      <c r="AI6908">
        <v>97.466682767219694</v>
      </c>
      <c r="AJ6908">
        <v>126.653649275554</v>
      </c>
      <c r="AK6908">
        <v>8.6562750170335807</v>
      </c>
      <c r="AL6908">
        <v>94.565337044400707</v>
      </c>
      <c r="AM6908">
        <v>102.55445158465299</v>
      </c>
      <c r="AN6908">
        <v>1.0000000539196301</v>
      </c>
    </row>
    <row r="6909" spans="1:40" x14ac:dyDescent="0.25">
      <c r="A6909" t="str">
        <f>"20190303154655806"</f>
        <v>20190303154655806</v>
      </c>
      <c r="B6909" t="str">
        <f>"1551599215797983"</f>
        <v>1551599215797983</v>
      </c>
      <c r="C6909" t="s">
        <v>40</v>
      </c>
      <c r="D6909">
        <v>4.762041</v>
      </c>
      <c r="E6909">
        <v>0.33380029999999999</v>
      </c>
      <c r="F6909" t="s">
        <v>42</v>
      </c>
      <c r="G6909">
        <v>-199.8372</v>
      </c>
      <c r="H6909">
        <v>1.0033810000000001</v>
      </c>
      <c r="I6909">
        <v>-61.7986</v>
      </c>
      <c r="J6909">
        <v>-200.44300000000001</v>
      </c>
      <c r="K6909">
        <v>1.124989</v>
      </c>
      <c r="L6909">
        <v>-62.39819</v>
      </c>
      <c r="M6909">
        <v>0.99690460000000003</v>
      </c>
      <c r="N6909">
        <v>-1.463098E-2</v>
      </c>
      <c r="O6909">
        <v>7.7247280000000001E-2</v>
      </c>
      <c r="P6909">
        <v>0.95093749999999999</v>
      </c>
      <c r="Q6909">
        <v>-9.1241959999999997E-2</v>
      </c>
      <c r="R6909">
        <v>0.29562290000000002</v>
      </c>
      <c r="S6909">
        <v>2.4625089999999998</v>
      </c>
      <c r="T6909">
        <v>-0.42321740000000002</v>
      </c>
      <c r="U6909">
        <v>2.128479</v>
      </c>
      <c r="V6909">
        <v>-0.22056790000000001</v>
      </c>
      <c r="W6909">
        <v>-7.9026159999999998E-2</v>
      </c>
      <c r="X6909">
        <v>0.9721649</v>
      </c>
      <c r="Y6909">
        <v>-0.58854169999999995</v>
      </c>
      <c r="Z6909">
        <v>3.7967220000000003E-2</v>
      </c>
      <c r="AA6909">
        <v>0.80757489999999998</v>
      </c>
      <c r="AB6909">
        <v>20</v>
      </c>
      <c r="AC6909">
        <v>0.60579999999998702</v>
      </c>
      <c r="AD6909">
        <v>-0.12160799999999999</v>
      </c>
      <c r="AE6909">
        <v>0.59958999999999896</v>
      </c>
      <c r="AF6909">
        <v>-0.54000440085052204</v>
      </c>
      <c r="AG6909">
        <v>-0.12160799999999999</v>
      </c>
      <c r="AH6909">
        <v>0.63733761547052104</v>
      </c>
      <c r="AI6909">
        <v>98.282813437243107</v>
      </c>
      <c r="AJ6909">
        <v>130.27399087101401</v>
      </c>
      <c r="AK6909">
        <v>0.84415193815780698</v>
      </c>
      <c r="AL6909">
        <v>94.532591757248596</v>
      </c>
      <c r="AM6909">
        <v>102.78304312126301</v>
      </c>
      <c r="AN6909">
        <v>0.99999996263338198</v>
      </c>
    </row>
    <row r="6910" spans="1:40" x14ac:dyDescent="0.25">
      <c r="A6910" t="str">
        <f>"20190303154655822"</f>
        <v>20190303154655822</v>
      </c>
      <c r="B6910" t="str">
        <f>"1551599215818477"</f>
        <v>1551599215818477</v>
      </c>
      <c r="C6910" t="s">
        <v>40</v>
      </c>
      <c r="D6910">
        <v>4.6896060000000004</v>
      </c>
      <c r="E6910">
        <v>0.33244259999999998</v>
      </c>
      <c r="F6910" t="s">
        <v>42</v>
      </c>
      <c r="G6910">
        <v>-199.6789</v>
      </c>
      <c r="H6910">
        <v>0.99165110000000001</v>
      </c>
      <c r="I6910">
        <v>-61.729579999999999</v>
      </c>
      <c r="J6910">
        <v>-200.31479999999999</v>
      </c>
      <c r="K6910">
        <v>1.1251389999999999</v>
      </c>
      <c r="L6910">
        <v>-62.383389999999999</v>
      </c>
      <c r="M6910">
        <v>0.99655649999999996</v>
      </c>
      <c r="N6910">
        <v>-1.465209E-2</v>
      </c>
      <c r="O6910">
        <v>8.1612409999999996E-2</v>
      </c>
      <c r="P6910">
        <v>0.9484032</v>
      </c>
      <c r="Q6910">
        <v>-9.0848440000000003E-2</v>
      </c>
      <c r="R6910">
        <v>0.30377310000000002</v>
      </c>
      <c r="S6910">
        <v>2.4479060000000001</v>
      </c>
      <c r="T6910">
        <v>-0.42718099999999998</v>
      </c>
      <c r="U6910">
        <v>2.1419679999999999</v>
      </c>
      <c r="V6910">
        <v>-0.2246184</v>
      </c>
      <c r="W6910">
        <v>-7.8744120000000001E-2</v>
      </c>
      <c r="X6910">
        <v>0.97126000000000001</v>
      </c>
      <c r="Y6910">
        <v>-0.58983240000000003</v>
      </c>
      <c r="Z6910">
        <v>3.7900160000000002E-2</v>
      </c>
      <c r="AA6910">
        <v>0.80663580000000001</v>
      </c>
      <c r="AB6910">
        <v>20</v>
      </c>
      <c r="AC6910">
        <v>0.63589999999999203</v>
      </c>
      <c r="AD6910">
        <v>-0.13348789999999899</v>
      </c>
      <c r="AE6910">
        <v>0.65381</v>
      </c>
      <c r="AF6910">
        <v>-0.58714813566478496</v>
      </c>
      <c r="AG6910">
        <v>-0.13348789999999899</v>
      </c>
      <c r="AH6910">
        <v>0.67273220609900897</v>
      </c>
      <c r="AI6910">
        <v>98.502489081152405</v>
      </c>
      <c r="AJ6910">
        <v>131.11384980546501</v>
      </c>
      <c r="AK6910">
        <v>0.90284581949737297</v>
      </c>
      <c r="AL6910">
        <v>94.516381257748407</v>
      </c>
      <c r="AM6910">
        <v>103.021580654679</v>
      </c>
      <c r="AN6910">
        <v>1.0000000248265599</v>
      </c>
    </row>
    <row r="6911" spans="1:40" x14ac:dyDescent="0.25">
      <c r="A6911" t="str">
        <f>"20190303154655833"</f>
        <v>20190303154655833</v>
      </c>
      <c r="B6911" t="str">
        <f>"1551599215828238"</f>
        <v>1551599215828238</v>
      </c>
      <c r="C6911" t="s">
        <v>40</v>
      </c>
      <c r="D6911">
        <v>4.6873060000000004</v>
      </c>
      <c r="E6911">
        <v>0.33171319999999999</v>
      </c>
      <c r="F6911" t="s">
        <v>60</v>
      </c>
      <c r="G6911">
        <v>-193.8854</v>
      </c>
      <c r="H6911" s="1">
        <v>-7.9231569999999997E-6</v>
      </c>
      <c r="I6911">
        <v>-56.625149999999998</v>
      </c>
      <c r="J6911">
        <v>-200.2158</v>
      </c>
      <c r="K6911">
        <v>1.1252629999999999</v>
      </c>
      <c r="L6911">
        <v>-62.37115</v>
      </c>
      <c r="M6911">
        <v>0.99625830000000004</v>
      </c>
      <c r="N6911">
        <v>-1.4671450000000001E-2</v>
      </c>
      <c r="O6911">
        <v>8.5170759999999998E-2</v>
      </c>
      <c r="P6911">
        <v>0.94602790000000003</v>
      </c>
      <c r="Q6911">
        <v>-9.0332999999999997E-2</v>
      </c>
      <c r="R6911">
        <v>0.31124109999999899</v>
      </c>
      <c r="S6911">
        <v>2.4264679999999998</v>
      </c>
      <c r="T6911">
        <v>-0.4246354</v>
      </c>
      <c r="U6911">
        <v>2.173187</v>
      </c>
      <c r="V6911">
        <v>-0.22877720000000001</v>
      </c>
      <c r="W6911">
        <v>-7.8330789999999997E-2</v>
      </c>
      <c r="X6911">
        <v>0.97032229999999997</v>
      </c>
      <c r="Y6911">
        <v>-0.59625919999999999</v>
      </c>
      <c r="Z6911">
        <v>3.788855E-2</v>
      </c>
      <c r="AA6911">
        <v>0.80189730000000004</v>
      </c>
      <c r="AB6911">
        <v>20</v>
      </c>
      <c r="AC6911">
        <v>6.3303999999999903</v>
      </c>
      <c r="AD6911">
        <v>-1.1252709231569999</v>
      </c>
      <c r="AE6911">
        <v>5.7460000000000004</v>
      </c>
      <c r="AF6911">
        <v>-5.0975820418964499</v>
      </c>
      <c r="AG6911">
        <v>-1.1252709231569999</v>
      </c>
      <c r="AH6911">
        <v>6.68109196450831</v>
      </c>
      <c r="AI6911">
        <v>97.626636781687495</v>
      </c>
      <c r="AJ6911">
        <v>127.34313763079599</v>
      </c>
      <c r="AK6911">
        <v>8.4787125887475003</v>
      </c>
      <c r="AL6911">
        <v>94.492625735634405</v>
      </c>
      <c r="AM6911">
        <v>103.266594042695</v>
      </c>
      <c r="AN6911">
        <v>1.0000000428895699</v>
      </c>
    </row>
    <row r="6912" spans="1:40" x14ac:dyDescent="0.25">
      <c r="A6912" t="str">
        <f>"20190303154655846"</f>
        <v>20190303154655846</v>
      </c>
      <c r="B6912" t="str">
        <f>"1551599215837998"</f>
        <v>1551599215837998</v>
      </c>
      <c r="C6912" t="s">
        <v>40</v>
      </c>
      <c r="D6912">
        <v>4.3117190000000001</v>
      </c>
      <c r="E6912">
        <v>0.3304337</v>
      </c>
      <c r="F6912" t="s">
        <v>42</v>
      </c>
      <c r="G6912">
        <v>-199.50290000000001</v>
      </c>
      <c r="H6912">
        <v>1.0004999999999999</v>
      </c>
      <c r="I6912">
        <v>-61.720480000000002</v>
      </c>
      <c r="J6912">
        <v>-200.09350000000001</v>
      </c>
      <c r="K6912">
        <v>1.1254139999999999</v>
      </c>
      <c r="L6912">
        <v>-62.355620000000002</v>
      </c>
      <c r="M6912">
        <v>0.99586379999999997</v>
      </c>
      <c r="N6912">
        <v>-1.4695710000000001E-2</v>
      </c>
      <c r="O6912">
        <v>8.9662220000000001E-2</v>
      </c>
      <c r="P6912">
        <v>0.94329479999999999</v>
      </c>
      <c r="Q6912">
        <v>-9.0056600000000001E-2</v>
      </c>
      <c r="R6912">
        <v>0.3195075</v>
      </c>
      <c r="S6912">
        <v>2.4077760000000001</v>
      </c>
      <c r="T6912">
        <v>-0.42141840000000003</v>
      </c>
      <c r="U6912">
        <v>2.1980590000000002</v>
      </c>
      <c r="V6912">
        <v>-0.2328577</v>
      </c>
      <c r="W6912">
        <v>-7.8169169999999996E-2</v>
      </c>
      <c r="X6912">
        <v>0.96936420000000001</v>
      </c>
      <c r="Y6912">
        <v>-0.6003193</v>
      </c>
      <c r="Z6912">
        <v>3.7503139999999997E-2</v>
      </c>
      <c r="AA6912">
        <v>0.79888059999999905</v>
      </c>
      <c r="AB6912">
        <v>20</v>
      </c>
      <c r="AC6912">
        <v>0.59059999999999402</v>
      </c>
      <c r="AD6912">
        <v>-0.124913999999999</v>
      </c>
      <c r="AE6912">
        <v>0.63513999999999204</v>
      </c>
      <c r="AF6912">
        <v>-0.56784198160747901</v>
      </c>
      <c r="AG6912">
        <v>-0.124913999999999</v>
      </c>
      <c r="AH6912">
        <v>0.63206367306344302</v>
      </c>
      <c r="AI6912">
        <v>98.363356344515097</v>
      </c>
      <c r="AJ6912">
        <v>131.936322213789</v>
      </c>
      <c r="AK6912">
        <v>0.85880877398776001</v>
      </c>
      <c r="AL6912">
        <v>94.483337124438805</v>
      </c>
      <c r="AM6912">
        <v>103.50748538353299</v>
      </c>
      <c r="AN6912">
        <v>1.0000000399147</v>
      </c>
    </row>
    <row r="6913" spans="1:40" x14ac:dyDescent="0.25">
      <c r="A6913" t="str">
        <f>"20190303154655857"</f>
        <v>20190303154655857</v>
      </c>
      <c r="B6913" t="str">
        <f>"1551599215848734"</f>
        <v>1551599215848734</v>
      </c>
      <c r="C6913" t="s">
        <v>40</v>
      </c>
      <c r="D6913">
        <v>4.4645279999999996</v>
      </c>
      <c r="E6913">
        <v>0.32913750000000003</v>
      </c>
      <c r="F6913" t="s">
        <v>60</v>
      </c>
      <c r="G6913">
        <v>-193.6593</v>
      </c>
      <c r="H6913" s="1">
        <v>-8.0010019999999905E-6</v>
      </c>
      <c r="I6913">
        <v>-56.343060000000001</v>
      </c>
      <c r="J6913">
        <v>-199.99510000000001</v>
      </c>
      <c r="K6913">
        <v>1.1255379999999999</v>
      </c>
      <c r="L6913">
        <v>-62.342590000000001</v>
      </c>
      <c r="M6913">
        <v>0.99552149999999995</v>
      </c>
      <c r="N6913">
        <v>-1.4716129999999999E-2</v>
      </c>
      <c r="O6913">
        <v>9.338349E-2</v>
      </c>
      <c r="P6913">
        <v>0.94064349999999997</v>
      </c>
      <c r="Q6913">
        <v>-9.0482450000000006E-2</v>
      </c>
      <c r="R6913">
        <v>0.32711319999999999</v>
      </c>
      <c r="S6913">
        <v>2.385437</v>
      </c>
      <c r="T6913">
        <v>-0.41724489999999997</v>
      </c>
      <c r="U6913">
        <v>2.2291259999999999</v>
      </c>
      <c r="V6913">
        <v>-0.23703050000000001</v>
      </c>
      <c r="W6913">
        <v>-7.8700909999999999E-2</v>
      </c>
      <c r="X6913">
        <v>0.96830919999999998</v>
      </c>
      <c r="Y6913">
        <v>-0.60666350000000002</v>
      </c>
      <c r="Z6913">
        <v>3.7351790000000003E-2</v>
      </c>
      <c r="AA6913">
        <v>0.79408069999999997</v>
      </c>
      <c r="AB6913">
        <v>20</v>
      </c>
      <c r="AC6913">
        <v>6.3357999999999999</v>
      </c>
      <c r="AD6913">
        <v>-1.125546001002</v>
      </c>
      <c r="AE6913">
        <v>5.99953</v>
      </c>
      <c r="AF6913">
        <v>-5.2935048260312101</v>
      </c>
      <c r="AG6913">
        <v>-1.125546001002</v>
      </c>
      <c r="AH6913">
        <v>6.7560110147361101</v>
      </c>
      <c r="AI6913">
        <v>97.471097549036898</v>
      </c>
      <c r="AJ6913">
        <v>128.07959371095899</v>
      </c>
      <c r="AK6913">
        <v>8.6563116842465302</v>
      </c>
      <c r="AL6913">
        <v>94.513897916821506</v>
      </c>
      <c r="AM6913">
        <v>103.75484277649601</v>
      </c>
      <c r="AN6913">
        <v>0.99999999898485903</v>
      </c>
    </row>
    <row r="6914" spans="1:40" x14ac:dyDescent="0.25">
      <c r="A6914" t="str">
        <f>"20190303154655869"</f>
        <v>20190303154655869</v>
      </c>
      <c r="B6914" t="str">
        <f>"1551599215858495"</f>
        <v>1551599215858495</v>
      </c>
      <c r="C6914" t="s">
        <v>40</v>
      </c>
      <c r="D6914">
        <v>4.4234609999999996</v>
      </c>
      <c r="E6914">
        <v>0.32844000000000001</v>
      </c>
      <c r="F6914" t="s">
        <v>42</v>
      </c>
      <c r="G6914">
        <v>-199.3289</v>
      </c>
      <c r="H6914">
        <v>1.008143</v>
      </c>
      <c r="I6914">
        <v>-61.706119999999999</v>
      </c>
      <c r="J6914">
        <v>-199.90430000000001</v>
      </c>
      <c r="K6914">
        <v>1.125642</v>
      </c>
      <c r="L6914">
        <v>-62.329990000000002</v>
      </c>
      <c r="M6914">
        <v>0.99517999999999995</v>
      </c>
      <c r="N6914">
        <v>-1.473618E-2</v>
      </c>
      <c r="O6914">
        <v>9.6952769999999994E-2</v>
      </c>
      <c r="P6914">
        <v>0.93808550000000002</v>
      </c>
      <c r="Q6914">
        <v>-9.1047149999999993E-2</v>
      </c>
      <c r="R6914">
        <v>0.33422469999999999</v>
      </c>
      <c r="S6914">
        <v>2.3638759999999999</v>
      </c>
      <c r="T6914">
        <v>-0.41651110000000002</v>
      </c>
      <c r="U6914">
        <v>2.2583310000000001</v>
      </c>
      <c r="V6914">
        <v>-0.24086070000000001</v>
      </c>
      <c r="W6914">
        <v>-7.9364320000000002E-2</v>
      </c>
      <c r="X6914">
        <v>0.96730939999999999</v>
      </c>
      <c r="Y6914">
        <v>-0.612537</v>
      </c>
      <c r="Z6914">
        <v>3.7432569999999998E-2</v>
      </c>
      <c r="AA6914">
        <v>0.78955509999999995</v>
      </c>
      <c r="AB6914">
        <v>20</v>
      </c>
      <c r="AC6914">
        <v>0.57540000000000102</v>
      </c>
      <c r="AD6914">
        <v>-0.11749900000000001</v>
      </c>
      <c r="AE6914">
        <v>0.62387000000000303</v>
      </c>
      <c r="AF6914">
        <v>-0.55450930838100099</v>
      </c>
      <c r="AG6914">
        <v>-0.11749900000000001</v>
      </c>
      <c r="AH6914">
        <v>0.62127319531729397</v>
      </c>
      <c r="AI6914">
        <v>98.031344566764005</v>
      </c>
      <c r="AJ6914">
        <v>131.75009142071099</v>
      </c>
      <c r="AK6914">
        <v>0.84099165947227805</v>
      </c>
      <c r="AL6914">
        <v>94.552027666907605</v>
      </c>
      <c r="AM6914">
        <v>103.982342130406</v>
      </c>
      <c r="AN6914">
        <v>1.0000000237109501</v>
      </c>
    </row>
    <row r="6915" spans="1:40" x14ac:dyDescent="0.25">
      <c r="A6915" t="str">
        <f>"20190303154655881"</f>
        <v>20190303154655881</v>
      </c>
      <c r="B6915" t="str">
        <f>"1551599215878520"</f>
        <v>1551599215878520</v>
      </c>
      <c r="C6915" t="s">
        <v>40</v>
      </c>
      <c r="D6915">
        <v>4.781701</v>
      </c>
      <c r="E6915">
        <v>0.3282561</v>
      </c>
      <c r="F6915" t="s">
        <v>60</v>
      </c>
      <c r="G6915">
        <v>-193.5599</v>
      </c>
      <c r="H6915" s="1">
        <v>-8.0588440000000002E-6</v>
      </c>
      <c r="I6915">
        <v>-56.156680000000001</v>
      </c>
      <c r="J6915">
        <v>-199.79060000000001</v>
      </c>
      <c r="K6915">
        <v>1.1257729999999999</v>
      </c>
      <c r="L6915">
        <v>-62.313839999999999</v>
      </c>
      <c r="M6915">
        <v>0.99472590000000005</v>
      </c>
      <c r="N6915">
        <v>-1.476126E-2</v>
      </c>
      <c r="O6915">
        <v>0.1015018</v>
      </c>
      <c r="P6915">
        <v>0.93508429999999998</v>
      </c>
      <c r="Q6915">
        <v>-9.2117309999999994E-2</v>
      </c>
      <c r="R6915">
        <v>0.34224500000000002</v>
      </c>
      <c r="S6915">
        <v>2.344757</v>
      </c>
      <c r="T6915">
        <v>-0.41601670000000002</v>
      </c>
      <c r="U6915">
        <v>2.2815249999999998</v>
      </c>
      <c r="V6915">
        <v>-0.2446865</v>
      </c>
      <c r="W6915">
        <v>-8.0547679999999997E-2</v>
      </c>
      <c r="X6915">
        <v>0.96625079999999997</v>
      </c>
      <c r="Y6915">
        <v>-0.61615929999999997</v>
      </c>
      <c r="Z6915">
        <v>3.7215310000000001E-2</v>
      </c>
      <c r="AA6915">
        <v>0.78674189999999999</v>
      </c>
      <c r="AB6915">
        <v>20</v>
      </c>
      <c r="AC6915">
        <v>6.2307000000000103</v>
      </c>
      <c r="AD6915">
        <v>-1.12578105884399</v>
      </c>
      <c r="AE6915">
        <v>6.1571599999999904</v>
      </c>
      <c r="AF6915">
        <v>-5.4036062533993201</v>
      </c>
      <c r="AG6915">
        <v>-1.12578105884399</v>
      </c>
      <c r="AH6915">
        <v>6.7126716092530598</v>
      </c>
      <c r="AI6915">
        <v>97.443027513539604</v>
      </c>
      <c r="AJ6915">
        <v>128.83357607426001</v>
      </c>
      <c r="AK6915">
        <v>8.6905870726838899</v>
      </c>
      <c r="AL6915">
        <v>94.620047036263202</v>
      </c>
      <c r="AM6915">
        <v>104.21044640547299</v>
      </c>
      <c r="AN6915">
        <v>1.0000000102681299</v>
      </c>
    </row>
    <row r="6916" spans="1:40" x14ac:dyDescent="0.25">
      <c r="A6916" t="str">
        <f>"20190303154655897"</f>
        <v>20190303154655897</v>
      </c>
      <c r="B6916" t="str">
        <f>"1551599215888280"</f>
        <v>1551599215888280</v>
      </c>
      <c r="C6916" t="s">
        <v>40</v>
      </c>
      <c r="D6916">
        <v>4.7732929999999998</v>
      </c>
      <c r="E6916">
        <v>0.32868069999999999</v>
      </c>
      <c r="F6916" t="s">
        <v>60</v>
      </c>
      <c r="G6916">
        <v>-193.4666</v>
      </c>
      <c r="H6916" s="1">
        <v>-8.0892060000000002E-6</v>
      </c>
      <c r="I6916">
        <v>-56.047539999999998</v>
      </c>
      <c r="J6916">
        <v>-199.6574</v>
      </c>
      <c r="K6916">
        <v>1.1259220000000001</v>
      </c>
      <c r="L6916">
        <v>-62.293729999999996</v>
      </c>
      <c r="M6916">
        <v>0.9941354</v>
      </c>
      <c r="N6916">
        <v>-1.4793840000000001E-2</v>
      </c>
      <c r="O6916">
        <v>0.1071257</v>
      </c>
      <c r="P6916">
        <v>0.93029329999999999</v>
      </c>
      <c r="Q6916">
        <v>-9.5094579999999998E-2</v>
      </c>
      <c r="R6916">
        <v>0.35427589999999998</v>
      </c>
      <c r="S6916">
        <v>2.324478</v>
      </c>
      <c r="T6916">
        <v>-0.41379949999999999</v>
      </c>
      <c r="U6916">
        <v>2.3032840000000001</v>
      </c>
      <c r="V6916">
        <v>-0.2516333</v>
      </c>
      <c r="W6916">
        <v>-8.3702440000000003E-2</v>
      </c>
      <c r="X6916">
        <v>0.96419630000000001</v>
      </c>
      <c r="Y6916">
        <v>-0.61891059999999998</v>
      </c>
      <c r="Z6916">
        <v>3.6679589999999998E-2</v>
      </c>
      <c r="AA6916">
        <v>0.78460450000000004</v>
      </c>
      <c r="AB6916">
        <v>20</v>
      </c>
      <c r="AC6916">
        <v>6.1907999999999896</v>
      </c>
      <c r="AD6916">
        <v>-1.12593008920599</v>
      </c>
      <c r="AE6916">
        <v>6.2461899999999897</v>
      </c>
      <c r="AF6916">
        <v>-5.4575160967891296</v>
      </c>
      <c r="AG6916">
        <v>-1.12593008920599</v>
      </c>
      <c r="AH6916">
        <v>6.7143114866818401</v>
      </c>
      <c r="AI6916">
        <v>97.414073666821906</v>
      </c>
      <c r="AJ6916">
        <v>129.104846794313</v>
      </c>
      <c r="AK6916">
        <v>8.7254902012826605</v>
      </c>
      <c r="AL6916">
        <v>94.801414436616994</v>
      </c>
      <c r="AM6916">
        <v>104.62665065977301</v>
      </c>
      <c r="AN6916">
        <v>0.99999996053226503</v>
      </c>
    </row>
    <row r="6917" spans="1:40" x14ac:dyDescent="0.25">
      <c r="A6917" t="str">
        <f>"20190303154655911"</f>
        <v>20190303154655911</v>
      </c>
      <c r="B6917" t="str">
        <f>"1551599215908775"</f>
        <v>1551599215908775</v>
      </c>
      <c r="C6917" t="s">
        <v>40</v>
      </c>
      <c r="D6917">
        <v>4.8223010000000004</v>
      </c>
      <c r="E6917">
        <v>0.32981559999999999</v>
      </c>
      <c r="F6917" t="s">
        <v>42</v>
      </c>
      <c r="G6917">
        <v>-198.999</v>
      </c>
      <c r="H6917">
        <v>1.0056849999999999</v>
      </c>
      <c r="I6917">
        <v>-61.625109999999999</v>
      </c>
      <c r="J6917">
        <v>-199.535</v>
      </c>
      <c r="K6917">
        <v>1.126069</v>
      </c>
      <c r="L6917">
        <v>-62.274410000000003</v>
      </c>
      <c r="M6917">
        <v>0.99354279999999995</v>
      </c>
      <c r="N6917">
        <v>-1.4825980000000001E-2</v>
      </c>
      <c r="O6917">
        <v>0.11248619999999999</v>
      </c>
      <c r="P6917">
        <v>0.92679409999999895</v>
      </c>
      <c r="Q6917">
        <v>-9.6622169999999993E-2</v>
      </c>
      <c r="R6917">
        <v>0.36292839999999998</v>
      </c>
      <c r="S6917">
        <v>2.2946170000000001</v>
      </c>
      <c r="T6917">
        <v>-0.41901430000000001</v>
      </c>
      <c r="U6917">
        <v>2.3300480000000001</v>
      </c>
      <c r="V6917">
        <v>-0.25537840000000001</v>
      </c>
      <c r="W6917">
        <v>-8.5353289999999998E-2</v>
      </c>
      <c r="X6917">
        <v>0.96306630000000004</v>
      </c>
      <c r="Y6917">
        <v>-0.62412380000000001</v>
      </c>
      <c r="Z6917">
        <v>3.6985509999999999E-2</v>
      </c>
      <c r="AA6917">
        <v>0.78044969999999902</v>
      </c>
      <c r="AB6917">
        <v>20</v>
      </c>
      <c r="AC6917">
        <v>0.53599999999997205</v>
      </c>
      <c r="AD6917">
        <v>-0.120384</v>
      </c>
      <c r="AE6917">
        <v>0.64929999999999599</v>
      </c>
      <c r="AF6917">
        <v>-0.57316137287689894</v>
      </c>
      <c r="AG6917">
        <v>-0.120384</v>
      </c>
      <c r="AH6917">
        <v>0.59350916070881699</v>
      </c>
      <c r="AI6917">
        <v>98.301152808319898</v>
      </c>
      <c r="AJ6917">
        <v>134.00081116083601</v>
      </c>
      <c r="AK6917">
        <v>0.83382215769276402</v>
      </c>
      <c r="AL6917">
        <v>94.8963407029037</v>
      </c>
      <c r="AM6917">
        <v>104.85144506939299</v>
      </c>
      <c r="AN6917">
        <v>1.00000000474803</v>
      </c>
    </row>
    <row r="6918" spans="1:40" x14ac:dyDescent="0.25">
      <c r="A6918" t="str">
        <f>"20190303154655924"</f>
        <v>20190303154655924</v>
      </c>
      <c r="B6918" t="str">
        <f>"1551599215918536"</f>
        <v>1551599215918536</v>
      </c>
      <c r="C6918" t="s">
        <v>40</v>
      </c>
      <c r="D6918">
        <v>4.8237489999999896</v>
      </c>
      <c r="E6918">
        <v>0.33040130000000001</v>
      </c>
      <c r="F6918" t="s">
        <v>60</v>
      </c>
      <c r="G6918">
        <v>-193.3938</v>
      </c>
      <c r="H6918" s="1">
        <v>-8.1172749999999993E-6</v>
      </c>
      <c r="I6918">
        <v>-55.950330000000001</v>
      </c>
      <c r="J6918">
        <v>-199.4212</v>
      </c>
      <c r="K6918">
        <v>1.1262080000000001</v>
      </c>
      <c r="L6918">
        <v>-62.255740000000003</v>
      </c>
      <c r="M6918">
        <v>0.99294890000000002</v>
      </c>
      <c r="N6918">
        <v>-1.4857230000000001E-2</v>
      </c>
      <c r="O6918">
        <v>0.117608</v>
      </c>
      <c r="P6918">
        <v>0.9234483</v>
      </c>
      <c r="Q6918">
        <v>-9.8094909999999993E-2</v>
      </c>
      <c r="R6918">
        <v>0.37097259999999999</v>
      </c>
      <c r="S6918">
        <v>2.275757</v>
      </c>
      <c r="T6918">
        <v>-0.41729379999999999</v>
      </c>
      <c r="U6918">
        <v>2.3435359999999998</v>
      </c>
      <c r="V6918">
        <v>-0.25875039999999999</v>
      </c>
      <c r="W6918">
        <v>-8.6940879999999998E-2</v>
      </c>
      <c r="X6918">
        <v>0.96202370000000004</v>
      </c>
      <c r="Y6918">
        <v>-0.62561519999999904</v>
      </c>
      <c r="Z6918">
        <v>3.6454210000000001E-2</v>
      </c>
      <c r="AA6918">
        <v>0.77927959999999996</v>
      </c>
      <c r="AB6918">
        <v>20</v>
      </c>
      <c r="AC6918">
        <v>6.0274000000000001</v>
      </c>
      <c r="AD6918">
        <v>-1.126216117275</v>
      </c>
      <c r="AE6918">
        <v>6.3054099999999904</v>
      </c>
      <c r="AF6918">
        <v>-5.4616483833080096</v>
      </c>
      <c r="AG6918">
        <v>-1.126216117275</v>
      </c>
      <c r="AH6918">
        <v>6.6169076077704396</v>
      </c>
      <c r="AI6918">
        <v>97.478095721358798</v>
      </c>
      <c r="AJ6918">
        <v>129.53653752950001</v>
      </c>
      <c r="AK6918">
        <v>8.6534058090136607</v>
      </c>
      <c r="AL6918">
        <v>94.987642149193306</v>
      </c>
      <c r="AM6918">
        <v>105.05427201294199</v>
      </c>
      <c r="AN6918">
        <v>1.0000000427385101</v>
      </c>
    </row>
    <row r="6919" spans="1:40" x14ac:dyDescent="0.25">
      <c r="A6919" t="str">
        <f>"20190303154655936"</f>
        <v>20190303154655936</v>
      </c>
      <c r="B6919" t="str">
        <f>"1551599215928296"</f>
        <v>1551599215928296</v>
      </c>
      <c r="C6919" t="s">
        <v>40</v>
      </c>
      <c r="D6919">
        <v>4.8649839999999998</v>
      </c>
      <c r="E6919">
        <v>0.33091979999999999</v>
      </c>
      <c r="F6919" t="s">
        <v>60</v>
      </c>
      <c r="G6919">
        <v>-193.31399999999999</v>
      </c>
      <c r="H6919" s="1">
        <v>-8.1381700000000007E-6</v>
      </c>
      <c r="I6919">
        <v>-55.870939999999997</v>
      </c>
      <c r="J6919">
        <v>-199.3193</v>
      </c>
      <c r="K6919">
        <v>1.126333</v>
      </c>
      <c r="L6919">
        <v>-62.238280000000003</v>
      </c>
      <c r="M6919">
        <v>0.99237390000000003</v>
      </c>
      <c r="N6919">
        <v>-1.488769E-2</v>
      </c>
      <c r="O6919">
        <v>0.1223622</v>
      </c>
      <c r="P6919">
        <v>0.92009600000000002</v>
      </c>
      <c r="Q6919">
        <v>-9.9041660000000004E-2</v>
      </c>
      <c r="R6919">
        <v>0.37896459999999998</v>
      </c>
      <c r="S6919">
        <v>2.2566830000000002</v>
      </c>
      <c r="T6919">
        <v>-0.416155</v>
      </c>
      <c r="U6919">
        <v>2.359283</v>
      </c>
      <c r="V6919">
        <v>-0.26244879999999998</v>
      </c>
      <c r="W6919">
        <v>-8.800231E-2</v>
      </c>
      <c r="X6919">
        <v>0.96092469999999996</v>
      </c>
      <c r="Y6919">
        <v>-0.62779069999999904</v>
      </c>
      <c r="Z6919">
        <v>3.6064100000000002E-2</v>
      </c>
      <c r="AA6919">
        <v>0.77754630000000002</v>
      </c>
      <c r="AB6919">
        <v>20</v>
      </c>
      <c r="AC6919">
        <v>6.0052999999999699</v>
      </c>
      <c r="AD6919">
        <v>-1.1263411381699999</v>
      </c>
      <c r="AE6919">
        <v>6.3673399999999898</v>
      </c>
      <c r="AF6919">
        <v>-5.4936021346565003</v>
      </c>
      <c r="AG6919">
        <v>-1.1263411381699999</v>
      </c>
      <c r="AH6919">
        <v>6.6295820630341504</v>
      </c>
      <c r="AI6919">
        <v>97.453037835431402</v>
      </c>
      <c r="AJ6919">
        <v>129.646838788905</v>
      </c>
      <c r="AK6919">
        <v>8.6832981697014606</v>
      </c>
      <c r="AL6919">
        <v>95.048691679379203</v>
      </c>
      <c r="AM6919">
        <v>105.27611846098</v>
      </c>
      <c r="AN6919">
        <v>1.0000000291284299</v>
      </c>
    </row>
    <row r="6920" spans="1:40" x14ac:dyDescent="0.25">
      <c r="A6920" t="str">
        <f>"20190303154655949"</f>
        <v>20190303154655949</v>
      </c>
      <c r="B6920" t="str">
        <f>"1551599215939032"</f>
        <v>1551599215939032</v>
      </c>
      <c r="C6920" t="s">
        <v>40</v>
      </c>
      <c r="D6920">
        <v>4.4444269999999904</v>
      </c>
      <c r="E6920">
        <v>0.33064470000000001</v>
      </c>
      <c r="F6920" t="s">
        <v>42</v>
      </c>
      <c r="G6920">
        <v>-198.66919999999999</v>
      </c>
      <c r="H6920">
        <v>1.0061119999999999</v>
      </c>
      <c r="I6920">
        <v>-61.548189999999998</v>
      </c>
      <c r="J6920">
        <v>-199.20480000000001</v>
      </c>
      <c r="K6920">
        <v>1.126476</v>
      </c>
      <c r="L6920">
        <v>-62.217799999999997</v>
      </c>
      <c r="M6920">
        <v>0.99167870000000002</v>
      </c>
      <c r="N6920">
        <v>-1.492346E-2</v>
      </c>
      <c r="O6920">
        <v>0.12786939999999999</v>
      </c>
      <c r="P6920">
        <v>0.91635909999999998</v>
      </c>
      <c r="Q6920">
        <v>-9.9819260000000007E-2</v>
      </c>
      <c r="R6920">
        <v>0.387714</v>
      </c>
      <c r="S6920">
        <v>2.237625</v>
      </c>
      <c r="T6920">
        <v>-0.41380909999999899</v>
      </c>
      <c r="U6920">
        <v>2.3754270000000002</v>
      </c>
      <c r="V6920">
        <v>-0.266233</v>
      </c>
      <c r="W6920">
        <v>-8.8902410000000001E-2</v>
      </c>
      <c r="X6920">
        <v>0.95980010000000004</v>
      </c>
      <c r="Y6920">
        <v>-0.62947690000000001</v>
      </c>
      <c r="Z6920">
        <v>3.5452150000000002E-2</v>
      </c>
      <c r="AA6920">
        <v>0.77621010000000001</v>
      </c>
      <c r="AB6920">
        <v>20</v>
      </c>
      <c r="AC6920">
        <v>0.53560000000001595</v>
      </c>
      <c r="AD6920">
        <v>-0.120363999999999</v>
      </c>
      <c r="AE6920">
        <v>0.66960999999999105</v>
      </c>
      <c r="AF6920">
        <v>-0.58410802627437697</v>
      </c>
      <c r="AG6920">
        <v>-0.120363999999999</v>
      </c>
      <c r="AH6920">
        <v>0.604915019266279</v>
      </c>
      <c r="AI6920">
        <v>98.145870114448201</v>
      </c>
      <c r="AJ6920">
        <v>133.99747004792999</v>
      </c>
      <c r="AK6920">
        <v>0.84946563166973998</v>
      </c>
      <c r="AL6920">
        <v>95.100467001013797</v>
      </c>
      <c r="AM6920">
        <v>105.50315265706</v>
      </c>
      <c r="AN6920">
        <v>0.99999994037640705</v>
      </c>
    </row>
    <row r="6921" spans="1:40" x14ac:dyDescent="0.25">
      <c r="A6921" t="str">
        <f>"20190303154655963"</f>
        <v>20190303154655963</v>
      </c>
      <c r="B6921" t="str">
        <f>"1551599215958555"</f>
        <v>1551599215958555</v>
      </c>
      <c r="C6921" t="s">
        <v>40</v>
      </c>
      <c r="D6921">
        <v>4.8652160000000002</v>
      </c>
      <c r="E6921">
        <v>0.33172819999999997</v>
      </c>
      <c r="F6921" t="s">
        <v>60</v>
      </c>
      <c r="G6921">
        <v>-193.15369999999999</v>
      </c>
      <c r="H6921" s="1">
        <v>-8.1987619999999995E-6</v>
      </c>
      <c r="I6921">
        <v>-55.660240000000002</v>
      </c>
      <c r="J6921">
        <v>-199.09110000000001</v>
      </c>
      <c r="K6921">
        <v>1.126614</v>
      </c>
      <c r="L6921">
        <v>-62.196840000000002</v>
      </c>
      <c r="M6921">
        <v>0.99094070000000001</v>
      </c>
      <c r="N6921">
        <v>-1.4959500000000001E-2</v>
      </c>
      <c r="O6921">
        <v>0.13346359999999999</v>
      </c>
      <c r="P6921">
        <v>0.91088089999999999</v>
      </c>
      <c r="Q6921">
        <v>-9.9908319999999995E-2</v>
      </c>
      <c r="R6921">
        <v>0.40039279999999999</v>
      </c>
      <c r="S6921">
        <v>2.2138520000000002</v>
      </c>
      <c r="T6921">
        <v>-0.41213349999999999</v>
      </c>
      <c r="U6921">
        <v>2.3991389999999999</v>
      </c>
      <c r="V6921">
        <v>-0.27408389999999999</v>
      </c>
      <c r="W6921">
        <v>-8.9184369999999999E-2</v>
      </c>
      <c r="X6921">
        <v>0.95756160000000001</v>
      </c>
      <c r="Y6921">
        <v>-0.6331019</v>
      </c>
      <c r="Z6921">
        <v>3.5055990000000002E-2</v>
      </c>
      <c r="AA6921">
        <v>0.77327429999999997</v>
      </c>
      <c r="AB6921">
        <v>20</v>
      </c>
      <c r="AC6921">
        <v>5.9374000000000198</v>
      </c>
      <c r="AD6921">
        <v>-1.126622198762</v>
      </c>
      <c r="AE6921">
        <v>6.5366</v>
      </c>
      <c r="AF6921">
        <v>-5.5945308754787204</v>
      </c>
      <c r="AG6921">
        <v>-1.126622198762</v>
      </c>
      <c r="AH6921">
        <v>6.6485479033305204</v>
      </c>
      <c r="AI6921">
        <v>97.387639410248198</v>
      </c>
      <c r="AJ6921">
        <v>130.07949019050599</v>
      </c>
      <c r="AK6921">
        <v>8.7619200246469209</v>
      </c>
      <c r="AL6921">
        <v>95.1166861040453</v>
      </c>
      <c r="AM6921">
        <v>105.972768068191</v>
      </c>
      <c r="AN6921">
        <v>1.00000002694303</v>
      </c>
    </row>
    <row r="6922" spans="1:40" x14ac:dyDescent="0.25">
      <c r="A6922" t="str">
        <f>"20190303154655974"</f>
        <v>20190303154655974</v>
      </c>
      <c r="B6922" t="str">
        <f>"1551599215968312"</f>
        <v>1551599215968312</v>
      </c>
      <c r="C6922" t="s">
        <v>40</v>
      </c>
      <c r="D6922">
        <v>4.5576189999999999</v>
      </c>
      <c r="E6922">
        <v>0.33104460000000002</v>
      </c>
      <c r="F6922" t="s">
        <v>60</v>
      </c>
      <c r="G6922">
        <v>-193.02</v>
      </c>
      <c r="H6922" s="1">
        <v>-8.2568039999999996E-6</v>
      </c>
      <c r="I6922">
        <v>-55.463859999999997</v>
      </c>
      <c r="J6922">
        <v>-198.99629999999999</v>
      </c>
      <c r="K6922">
        <v>1.126727</v>
      </c>
      <c r="L6922">
        <v>-62.178469999999997</v>
      </c>
      <c r="M6922">
        <v>0.99027759999999998</v>
      </c>
      <c r="N6922">
        <v>-1.4990939999999999E-2</v>
      </c>
      <c r="O6922">
        <v>0.13829540000000001</v>
      </c>
      <c r="P6922">
        <v>0.90725429999999996</v>
      </c>
      <c r="Q6922">
        <v>-9.9704059999999997E-2</v>
      </c>
      <c r="R6922">
        <v>0.4085936</v>
      </c>
      <c r="S6922">
        <v>2.1842800000000002</v>
      </c>
      <c r="T6922">
        <v>-0.40533639999999999</v>
      </c>
      <c r="U6922">
        <v>2.4223940000000002</v>
      </c>
      <c r="V6922">
        <v>-0.27801880000000001</v>
      </c>
      <c r="W6922">
        <v>-8.9095359999999998E-2</v>
      </c>
      <c r="X6922">
        <v>0.95643480000000003</v>
      </c>
      <c r="Y6922">
        <v>-0.63830849999999995</v>
      </c>
      <c r="Z6922">
        <v>3.4603700000000001E-2</v>
      </c>
      <c r="AA6922">
        <v>0.76900239999999997</v>
      </c>
      <c r="AB6922">
        <v>20</v>
      </c>
      <c r="AC6922">
        <v>5.9762999999999797</v>
      </c>
      <c r="AD6922">
        <v>-1.1267352568039899</v>
      </c>
      <c r="AE6922">
        <v>6.7146100000000004</v>
      </c>
      <c r="AF6922">
        <v>-5.7334061815841197</v>
      </c>
      <c r="AG6922">
        <v>-1.1267352568039899</v>
      </c>
      <c r="AH6922">
        <v>6.7416428144448401</v>
      </c>
      <c r="AI6922">
        <v>97.255599079727403</v>
      </c>
      <c r="AJ6922">
        <v>130.37938355160699</v>
      </c>
      <c r="AK6922">
        <v>8.9213915181157706</v>
      </c>
      <c r="AL6922">
        <v>95.111566056577701</v>
      </c>
      <c r="AM6922">
        <v>106.208219995503</v>
      </c>
      <c r="AN6922">
        <v>0.99999998148900404</v>
      </c>
    </row>
    <row r="6923" spans="1:40" x14ac:dyDescent="0.25">
      <c r="A6923" t="str">
        <f>"20190303154655987"</f>
        <v>20190303154655987</v>
      </c>
      <c r="B6923" t="str">
        <f>"1551599215979048"</f>
        <v>1551599215979048</v>
      </c>
      <c r="C6923" t="s">
        <v>40</v>
      </c>
      <c r="D6923">
        <v>4.9451530000000004</v>
      </c>
      <c r="E6923">
        <v>0.33098</v>
      </c>
      <c r="F6923" t="s">
        <v>60</v>
      </c>
      <c r="G6923">
        <v>-192.98740000000001</v>
      </c>
      <c r="H6923" s="1">
        <v>-8.2869250000000003E-6</v>
      </c>
      <c r="I6923">
        <v>-55.372070000000001</v>
      </c>
      <c r="J6923">
        <v>-198.88720000000001</v>
      </c>
      <c r="K6923">
        <v>1.126852</v>
      </c>
      <c r="L6923">
        <v>-62.156680000000001</v>
      </c>
      <c r="M6923">
        <v>0.98946820000000002</v>
      </c>
      <c r="N6923">
        <v>-1.5026879999999999E-2</v>
      </c>
      <c r="O6923">
        <v>0.14396829999999999</v>
      </c>
      <c r="P6923">
        <v>0.90320029999999996</v>
      </c>
      <c r="Q6923">
        <v>-9.9510609999999999E-2</v>
      </c>
      <c r="R6923">
        <v>0.41752479999999997</v>
      </c>
      <c r="S6923">
        <v>2.1601870000000001</v>
      </c>
      <c r="T6923">
        <v>-0.40505639999999998</v>
      </c>
      <c r="U6923">
        <v>2.446869</v>
      </c>
      <c r="V6923">
        <v>-0.28193859999999998</v>
      </c>
      <c r="W6923">
        <v>-8.9023309999999994E-2</v>
      </c>
      <c r="X6923">
        <v>0.95529339999999996</v>
      </c>
      <c r="Y6923">
        <v>-0.64197649999999995</v>
      </c>
      <c r="Z6923">
        <v>3.4298219999999997E-2</v>
      </c>
      <c r="AA6923">
        <v>0.76595679999999999</v>
      </c>
      <c r="AB6923">
        <v>20</v>
      </c>
      <c r="AC6923">
        <v>5.8997999999999902</v>
      </c>
      <c r="AD6923">
        <v>-1.126860286925</v>
      </c>
      <c r="AE6923">
        <v>6.7846099999999998</v>
      </c>
      <c r="AF6923">
        <v>-5.7737397952147997</v>
      </c>
      <c r="AG6923">
        <v>-1.126860286925</v>
      </c>
      <c r="AH6923">
        <v>6.7098050007711203</v>
      </c>
      <c r="AI6923">
        <v>97.254752699431904</v>
      </c>
      <c r="AJ6923">
        <v>130.71176246413501</v>
      </c>
      <c r="AK6923">
        <v>8.9234168611283096</v>
      </c>
      <c r="AL6923">
        <v>95.107421321183196</v>
      </c>
      <c r="AM6923">
        <v>106.44306885409</v>
      </c>
      <c r="AN6923">
        <v>1.0000000019884301</v>
      </c>
    </row>
    <row r="6924" spans="1:40" x14ac:dyDescent="0.25">
      <c r="A6924" t="str">
        <f>"20190303154655998"</f>
        <v>20190303154655998</v>
      </c>
      <c r="B6924" t="str">
        <f>"1551599215988808"</f>
        <v>1551599215988808</v>
      </c>
      <c r="C6924" t="s">
        <v>40</v>
      </c>
      <c r="D6924">
        <v>4.9151099999999897</v>
      </c>
      <c r="E6924">
        <v>0.33028550000000001</v>
      </c>
      <c r="F6924" t="s">
        <v>60</v>
      </c>
      <c r="G6924">
        <v>-192.98580000000001</v>
      </c>
      <c r="H6924" s="1">
        <v>-8.3001200000000001E-6</v>
      </c>
      <c r="I6924">
        <v>-55.335340000000002</v>
      </c>
      <c r="J6924">
        <v>-198.79349999999999</v>
      </c>
      <c r="K6924">
        <v>1.126957</v>
      </c>
      <c r="L6924">
        <v>-62.137450000000001</v>
      </c>
      <c r="M6924">
        <v>0.98873279999999997</v>
      </c>
      <c r="N6924">
        <v>-1.5057620000000001E-2</v>
      </c>
      <c r="O6924">
        <v>0.14893199999999901</v>
      </c>
      <c r="P6924">
        <v>0.89946999999999999</v>
      </c>
      <c r="Q6924">
        <v>-9.9168640000000002E-2</v>
      </c>
      <c r="R6924">
        <v>0.4255813</v>
      </c>
      <c r="S6924">
        <v>2.135513</v>
      </c>
      <c r="T6924">
        <v>-0.40777330000000001</v>
      </c>
      <c r="U6924">
        <v>2.4684140000000001</v>
      </c>
      <c r="V6924">
        <v>-0.28565220000000002</v>
      </c>
      <c r="W6924">
        <v>-8.8790540000000001E-2</v>
      </c>
      <c r="X6924">
        <v>0.95421120000000004</v>
      </c>
      <c r="Y6924">
        <v>-0.64574330000000002</v>
      </c>
      <c r="Z6924">
        <v>3.4297130000000002E-2</v>
      </c>
      <c r="AA6924">
        <v>0.76278389999999996</v>
      </c>
      <c r="AB6924">
        <v>20</v>
      </c>
      <c r="AC6924">
        <v>5.8076999999999801</v>
      </c>
      <c r="AD6924">
        <v>-1.12696530012</v>
      </c>
      <c r="AE6924">
        <v>6.8021099999999901</v>
      </c>
      <c r="AF6924">
        <v>-5.7695833237384697</v>
      </c>
      <c r="AG6924">
        <v>-1.12696530012</v>
      </c>
      <c r="AH6924">
        <v>6.65049779773463</v>
      </c>
      <c r="AI6924">
        <v>97.294221235734696</v>
      </c>
      <c r="AJ6924">
        <v>130.94299748978301</v>
      </c>
      <c r="AK6924">
        <v>8.8762189852948499</v>
      </c>
      <c r="AL6924">
        <v>95.094031687036804</v>
      </c>
      <c r="AM6924">
        <v>106.665571136986</v>
      </c>
      <c r="AN6924">
        <v>0.99999997678188501</v>
      </c>
    </row>
    <row r="6925" spans="1:40" x14ac:dyDescent="0.25">
      <c r="A6925" t="str">
        <f>"20190303154656010"</f>
        <v>20190303154656010</v>
      </c>
      <c r="B6925" t="str">
        <f>"1551599215998569"</f>
        <v>1551599215998569</v>
      </c>
      <c r="C6925" t="s">
        <v>40</v>
      </c>
      <c r="D6925">
        <v>4.9231680000000004</v>
      </c>
      <c r="E6925">
        <v>0.33028550000000001</v>
      </c>
      <c r="F6925" t="s">
        <v>60</v>
      </c>
      <c r="G6925">
        <v>-192.9932</v>
      </c>
      <c r="H6925" s="1">
        <v>-8.317254E-6</v>
      </c>
      <c r="I6925">
        <v>-55.29025</v>
      </c>
      <c r="J6925">
        <v>-198.70230000000001</v>
      </c>
      <c r="K6925">
        <v>1.1270549999999999</v>
      </c>
      <c r="L6925">
        <v>-62.117890000000003</v>
      </c>
      <c r="M6925">
        <v>0.98796980000000001</v>
      </c>
      <c r="N6925">
        <v>-1.508804E-2</v>
      </c>
      <c r="O6925">
        <v>0.15390980000000001</v>
      </c>
      <c r="P6925">
        <v>0.89557980000000004</v>
      </c>
      <c r="Q6925">
        <v>-9.8983559999999998E-2</v>
      </c>
      <c r="R6925">
        <v>0.43375010000000003</v>
      </c>
      <c r="S6925">
        <v>2.110992</v>
      </c>
      <c r="T6925">
        <v>-0.4101534</v>
      </c>
      <c r="U6925">
        <v>2.4920040000000001</v>
      </c>
      <c r="V6925">
        <v>-0.28950160000000003</v>
      </c>
      <c r="W6925">
        <v>-8.8713089999999994E-2</v>
      </c>
      <c r="X6925">
        <v>0.95305759999999995</v>
      </c>
      <c r="Y6925">
        <v>-0.64976859999999903</v>
      </c>
      <c r="Z6925">
        <v>3.4280249999999998E-2</v>
      </c>
      <c r="AA6925">
        <v>0.7593588</v>
      </c>
      <c r="AB6925">
        <v>20</v>
      </c>
      <c r="AC6925">
        <v>5.7091000000000003</v>
      </c>
      <c r="AD6925">
        <v>-1.1270633172540001</v>
      </c>
      <c r="AE6925">
        <v>6.8276399999999997</v>
      </c>
      <c r="AF6925">
        <v>-5.7748733161556798</v>
      </c>
      <c r="AG6925">
        <v>-1.1270633172540001</v>
      </c>
      <c r="AH6925">
        <v>6.5863963774725001</v>
      </c>
      <c r="AI6925">
        <v>97.331779461940897</v>
      </c>
      <c r="AJ6925">
        <v>131.24389568799299</v>
      </c>
      <c r="AK6925">
        <v>8.83176374117477</v>
      </c>
      <c r="AL6925">
        <v>95.089576486334593</v>
      </c>
      <c r="AM6925">
        <v>106.896728607002</v>
      </c>
      <c r="AN6925">
        <v>0.99999998882883301</v>
      </c>
    </row>
    <row r="6926" spans="1:40" x14ac:dyDescent="0.25">
      <c r="A6926" t="str">
        <f>"20190303154656021"</f>
        <v>20190303154656021</v>
      </c>
      <c r="B6926" t="str">
        <f>"1551599216019065"</f>
        <v>1551599216019065</v>
      </c>
      <c r="C6926" t="s">
        <v>40</v>
      </c>
      <c r="D6926">
        <v>4.9410170000000004</v>
      </c>
      <c r="E6926">
        <v>0.30271209999999998</v>
      </c>
      <c r="F6926" t="s">
        <v>60</v>
      </c>
      <c r="G6926">
        <v>-192.9665</v>
      </c>
      <c r="H6926" s="1">
        <v>-8.3397939999999996E-6</v>
      </c>
      <c r="I6926">
        <v>-55.220910000000003</v>
      </c>
      <c r="J6926">
        <v>-198.60400000000001</v>
      </c>
      <c r="K6926">
        <v>1.127157</v>
      </c>
      <c r="L6926">
        <v>-62.096530000000001</v>
      </c>
      <c r="M6926">
        <v>0.9871122</v>
      </c>
      <c r="N6926">
        <v>-1.5120110000000001E-2</v>
      </c>
      <c r="O6926">
        <v>0.1593146</v>
      </c>
      <c r="P6926">
        <v>0.89141229999999905</v>
      </c>
      <c r="Q6926">
        <v>-9.8643540000000002E-2</v>
      </c>
      <c r="R6926">
        <v>0.44232769999999999</v>
      </c>
      <c r="S6926">
        <v>2.0882719999999999</v>
      </c>
      <c r="T6926">
        <v>-0.41033530000000001</v>
      </c>
      <c r="U6926">
        <v>2.5110169999999998</v>
      </c>
      <c r="V6926">
        <v>-0.29340490000000002</v>
      </c>
      <c r="W6926">
        <v>-8.8485430000000004E-2</v>
      </c>
      <c r="X6926">
        <v>0.95188439999999996</v>
      </c>
      <c r="Y6926">
        <v>-0.65249630000000003</v>
      </c>
      <c r="Z6926">
        <v>3.395219E-2</v>
      </c>
      <c r="AA6926">
        <v>0.75703100000000001</v>
      </c>
      <c r="AB6926">
        <v>20</v>
      </c>
      <c r="AC6926">
        <v>5.6375000000000099</v>
      </c>
      <c r="AD6926">
        <v>-1.127165339794</v>
      </c>
      <c r="AE6926">
        <v>6.8756199999999996</v>
      </c>
      <c r="AF6926">
        <v>-5.7963910522573103</v>
      </c>
      <c r="AG6926">
        <v>-1.127165339794</v>
      </c>
      <c r="AH6926">
        <v>6.5556366580238903</v>
      </c>
      <c r="AI6926">
        <v>97.339784577571706</v>
      </c>
      <c r="AJ6926">
        <v>131.48260937902</v>
      </c>
      <c r="AK6926">
        <v>8.8229826547459709</v>
      </c>
      <c r="AL6926">
        <v>95.076480927455805</v>
      </c>
      <c r="AM6926">
        <v>107.13117403758901</v>
      </c>
      <c r="AN6926">
        <v>1.00000000881482</v>
      </c>
    </row>
    <row r="6927" spans="1:40" x14ac:dyDescent="0.25">
      <c r="A6927" t="str">
        <f>"20190303154656031"</f>
        <v>20190303154656031</v>
      </c>
      <c r="B6927" t="str">
        <f>"1551599216028824"</f>
        <v>1551599216028824</v>
      </c>
      <c r="C6927" t="s">
        <v>40</v>
      </c>
      <c r="D6927">
        <v>4.9986670000000002</v>
      </c>
      <c r="E6927">
        <v>0.3034058</v>
      </c>
      <c r="F6927" t="s">
        <v>60</v>
      </c>
      <c r="G6927">
        <v>-194.2927</v>
      </c>
      <c r="H6927" s="1">
        <v>-8.1489499999999993E-6</v>
      </c>
      <c r="I6927">
        <v>-56.112400000000001</v>
      </c>
      <c r="J6927">
        <v>-198.51509999999999</v>
      </c>
      <c r="K6927">
        <v>1.1272409999999999</v>
      </c>
      <c r="L6927">
        <v>-62.07611</v>
      </c>
      <c r="M6927">
        <v>0.98628039999999995</v>
      </c>
      <c r="N6927">
        <v>-1.515006E-2</v>
      </c>
      <c r="O6927">
        <v>0.16438269999999999</v>
      </c>
      <c r="P6927">
        <v>0.88732829999999996</v>
      </c>
      <c r="Q6927">
        <v>-9.8271460000000005E-2</v>
      </c>
      <c r="R6927">
        <v>0.45054539999999998</v>
      </c>
      <c r="S6927">
        <v>1.95929</v>
      </c>
      <c r="T6927">
        <v>-0.51225039999999999</v>
      </c>
      <c r="U6927">
        <v>2.7195429999999998</v>
      </c>
      <c r="V6927">
        <v>-0.29728300000000002</v>
      </c>
      <c r="W6927">
        <v>-8.8217980000000001E-2</v>
      </c>
      <c r="X6927">
        <v>0.95070520000000003</v>
      </c>
      <c r="Y6927">
        <v>-0.69710360000000005</v>
      </c>
      <c r="Z6927">
        <v>4.4604579999999998E-2</v>
      </c>
      <c r="AA6927">
        <v>0.71558169999999899</v>
      </c>
      <c r="AB6927">
        <v>20</v>
      </c>
      <c r="AC6927">
        <v>4.2223999999999897</v>
      </c>
      <c r="AD6927">
        <v>-1.1272491489499901</v>
      </c>
      <c r="AE6927">
        <v>5.9637099999999901</v>
      </c>
      <c r="AF6927">
        <v>-5.06779155950926</v>
      </c>
      <c r="AG6927">
        <v>-1.1272491489499901</v>
      </c>
      <c r="AH6927">
        <v>5.0257866100780397</v>
      </c>
      <c r="AI6927">
        <v>98.975032259586499</v>
      </c>
      <c r="AJ6927">
        <v>135.23843798376001</v>
      </c>
      <c r="AK6927">
        <v>7.2257686777589001</v>
      </c>
      <c r="AL6927">
        <v>95.061097127380194</v>
      </c>
      <c r="AM6927">
        <v>107.364325572724</v>
      </c>
      <c r="AN6927">
        <v>0.99999998569565995</v>
      </c>
    </row>
    <row r="6928" spans="1:40" x14ac:dyDescent="0.25">
      <c r="A6928" t="str">
        <f>"20190303154656042"</f>
        <v>20190303154656042</v>
      </c>
      <c r="B6928" t="str">
        <f>"1551599216038584"</f>
        <v>1551599216038584</v>
      </c>
      <c r="C6928" t="s">
        <v>40</v>
      </c>
      <c r="D6928">
        <v>5.0003909999999996</v>
      </c>
      <c r="E6928">
        <v>0.30449959999999998</v>
      </c>
      <c r="F6928" t="s">
        <v>60</v>
      </c>
      <c r="G6928">
        <v>-194.2449</v>
      </c>
      <c r="H6928" s="1">
        <v>-8.1655E-6</v>
      </c>
      <c r="I6928">
        <v>-56.05153</v>
      </c>
      <c r="J6928">
        <v>-198.43190000000001</v>
      </c>
      <c r="K6928">
        <v>1.127318</v>
      </c>
      <c r="L6928">
        <v>-62.056950000000001</v>
      </c>
      <c r="M6928">
        <v>0.98547569999999995</v>
      </c>
      <c r="N6928">
        <v>-1.5177309999999999E-2</v>
      </c>
      <c r="O6928">
        <v>0.16913729999999999</v>
      </c>
      <c r="P6928">
        <v>0.88313940000000002</v>
      </c>
      <c r="Q6928">
        <v>-9.8368150000000001E-2</v>
      </c>
      <c r="R6928">
        <v>0.45868130000000001</v>
      </c>
      <c r="S6928">
        <v>1.9368590000000001</v>
      </c>
      <c r="T6928">
        <v>-0.51128689999999999</v>
      </c>
      <c r="U6928">
        <v>2.7325740000000001</v>
      </c>
      <c r="V6928">
        <v>-0.30141079999999998</v>
      </c>
      <c r="W6928">
        <v>-8.842506E-2</v>
      </c>
      <c r="X6928">
        <v>0.94938529999999999</v>
      </c>
      <c r="Y6928">
        <v>-0.69919240000000005</v>
      </c>
      <c r="Z6928">
        <v>4.4152950000000003E-2</v>
      </c>
      <c r="AA6928">
        <v>0.71356889999999995</v>
      </c>
      <c r="AB6928">
        <v>20</v>
      </c>
      <c r="AC6928">
        <v>4.18700000000001</v>
      </c>
      <c r="AD6928">
        <v>-1.1273261655</v>
      </c>
      <c r="AE6928">
        <v>6.0054199999999902</v>
      </c>
      <c r="AF6928">
        <v>-5.0899255852031198</v>
      </c>
      <c r="AG6928">
        <v>-1.1273261655</v>
      </c>
      <c r="AH6928">
        <v>5.0234047585591899</v>
      </c>
      <c r="AI6928">
        <v>98.958275563215096</v>
      </c>
      <c r="AJ6928">
        <v>135.37685980021701</v>
      </c>
      <c r="AK6928">
        <v>7.2396686467435396</v>
      </c>
      <c r="AL6928">
        <v>95.073008644498302</v>
      </c>
      <c r="AM6928">
        <v>107.61359984603401</v>
      </c>
      <c r="AN6928">
        <v>0.99999995472436498</v>
      </c>
    </row>
    <row r="6929" spans="1:40" x14ac:dyDescent="0.25">
      <c r="A6929" t="str">
        <f>"20190303154656052"</f>
        <v>20190303154656052</v>
      </c>
      <c r="B6929" t="str">
        <f>"1551599216048344"</f>
        <v>1551599216048344</v>
      </c>
      <c r="C6929" t="s">
        <v>40</v>
      </c>
      <c r="D6929">
        <v>5.0657589999999999</v>
      </c>
      <c r="E6929">
        <v>0.30567090000000002</v>
      </c>
      <c r="F6929" t="s">
        <v>60</v>
      </c>
      <c r="G6929">
        <v>-194.20930000000001</v>
      </c>
      <c r="H6929" s="1">
        <v>-8.1763869999999996E-6</v>
      </c>
      <c r="I6929">
        <v>-56.011809999999997</v>
      </c>
      <c r="J6929">
        <v>-198.34399999999999</v>
      </c>
      <c r="K6929">
        <v>1.1273930000000001</v>
      </c>
      <c r="L6929">
        <v>-62.035710000000002</v>
      </c>
      <c r="M6929">
        <v>0.98457419999999995</v>
      </c>
      <c r="N6929">
        <v>-1.5206809999999999E-2</v>
      </c>
      <c r="O6929">
        <v>0.17430580000000001</v>
      </c>
      <c r="P6929">
        <v>0.87881640000000005</v>
      </c>
      <c r="Q6929">
        <v>-9.8671599999999998E-2</v>
      </c>
      <c r="R6929">
        <v>0.46684690000000001</v>
      </c>
      <c r="S6929">
        <v>1.9156340000000001</v>
      </c>
      <c r="T6929">
        <v>-0.51142739999999998</v>
      </c>
      <c r="U6929">
        <v>2.7424620000000002</v>
      </c>
      <c r="V6929">
        <v>-0.30520589999999997</v>
      </c>
      <c r="W6929">
        <v>-8.8829610000000003E-2</v>
      </c>
      <c r="X6929">
        <v>0.94813429999999999</v>
      </c>
      <c r="Y6929">
        <v>-0.7003762</v>
      </c>
      <c r="Z6929">
        <v>4.361081E-2</v>
      </c>
      <c r="AA6929">
        <v>0.71244039999999997</v>
      </c>
      <c r="AB6929">
        <v>19</v>
      </c>
      <c r="AC6929">
        <v>4.1346999999999996</v>
      </c>
      <c r="AD6929">
        <v>-1.127401176387</v>
      </c>
      <c r="AE6929">
        <v>6.0238999999999896</v>
      </c>
      <c r="AF6929">
        <v>-5.08969275445906</v>
      </c>
      <c r="AG6929">
        <v>-1.127401176387</v>
      </c>
      <c r="AH6929">
        <v>5.0024060144388596</v>
      </c>
      <c r="AI6929">
        <v>98.977263545558202</v>
      </c>
      <c r="AJ6929">
        <v>135.49553985012599</v>
      </c>
      <c r="AK6929">
        <v>7.2249617078989399</v>
      </c>
      <c r="AL6929">
        <v>95.096279015923699</v>
      </c>
      <c r="AM6929">
        <v>107.843447504838</v>
      </c>
      <c r="AN6929">
        <v>0.99999999592202604</v>
      </c>
    </row>
    <row r="6930" spans="1:40" x14ac:dyDescent="0.25">
      <c r="A6930" t="str">
        <f>"20190303154656063"</f>
        <v>20190303154656063</v>
      </c>
      <c r="B6930" t="str">
        <f>"1551599216059080"</f>
        <v>1551599216059080</v>
      </c>
      <c r="C6930" t="s">
        <v>40</v>
      </c>
      <c r="D6930">
        <v>4.9275159999999998</v>
      </c>
      <c r="E6930">
        <v>0.30576809999999899</v>
      </c>
      <c r="F6930" t="s">
        <v>60</v>
      </c>
      <c r="G6930">
        <v>-194.17019999999999</v>
      </c>
      <c r="H6930" s="1">
        <v>-8.1865360000000005E-6</v>
      </c>
      <c r="I6930">
        <v>-55.973149999999997</v>
      </c>
      <c r="J6930">
        <v>-198.24799999999999</v>
      </c>
      <c r="K6930">
        <v>1.12747</v>
      </c>
      <c r="L6930">
        <v>-62.012180000000001</v>
      </c>
      <c r="M6930">
        <v>0.98354989999999998</v>
      </c>
      <c r="N6930">
        <v>-1.5238349999999999E-2</v>
      </c>
      <c r="O6930">
        <v>0.17999289999999901</v>
      </c>
      <c r="P6930">
        <v>0.87420620000000004</v>
      </c>
      <c r="Q6930">
        <v>-9.8854709999999998E-2</v>
      </c>
      <c r="R6930">
        <v>0.47538550000000002</v>
      </c>
      <c r="S6930">
        <v>1.8944700000000001</v>
      </c>
      <c r="T6930">
        <v>-0.51171719999999998</v>
      </c>
      <c r="U6930">
        <v>2.7517399999999999</v>
      </c>
      <c r="V6930">
        <v>-0.30893870000000001</v>
      </c>
      <c r="W6930">
        <v>-8.9115529999999998E-2</v>
      </c>
      <c r="X6930">
        <v>0.94689769999999895</v>
      </c>
      <c r="Y6930">
        <v>-0.70111709999999905</v>
      </c>
      <c r="Z6930">
        <v>4.2941029999999998E-2</v>
      </c>
      <c r="AA6930">
        <v>0.71175200000000005</v>
      </c>
      <c r="AB6930">
        <v>19</v>
      </c>
      <c r="AC6930">
        <v>4.0777999999999901</v>
      </c>
      <c r="AD6930">
        <v>-1.127478186536</v>
      </c>
      <c r="AE6930">
        <v>6.0390300000000101</v>
      </c>
      <c r="AF6930">
        <v>-5.0845884660384604</v>
      </c>
      <c r="AG6930">
        <v>-1.127478186536</v>
      </c>
      <c r="AH6930">
        <v>4.9790915873441</v>
      </c>
      <c r="AI6930">
        <v>99.002649270752698</v>
      </c>
      <c r="AJ6930">
        <v>135.60060578921099</v>
      </c>
      <c r="AK6930">
        <v>7.2052480849202301</v>
      </c>
      <c r="AL6930">
        <v>95.112726355144403</v>
      </c>
      <c r="AM6930">
        <v>108.069644111701</v>
      </c>
      <c r="AN6930">
        <v>0.99999997615507996</v>
      </c>
    </row>
    <row r="6931" spans="1:40" x14ac:dyDescent="0.25">
      <c r="A6931" t="str">
        <f>"20190303154656077"</f>
        <v>20190303154656077</v>
      </c>
      <c r="B6931" t="str">
        <f>"1551599216068840"</f>
        <v>1551599216068840</v>
      </c>
      <c r="C6931" t="s">
        <v>40</v>
      </c>
      <c r="D6931">
        <v>4.9777469999999999</v>
      </c>
      <c r="E6931">
        <v>0.30639509999999998</v>
      </c>
      <c r="F6931" t="s">
        <v>60</v>
      </c>
      <c r="G6931">
        <v>-194.13849999999999</v>
      </c>
      <c r="H6931" s="1">
        <v>-8.2030290000000002E-6</v>
      </c>
      <c r="I6931">
        <v>-55.919080000000001</v>
      </c>
      <c r="J6931">
        <v>-198.14429999999999</v>
      </c>
      <c r="K6931">
        <v>1.127545</v>
      </c>
      <c r="L6931">
        <v>-61.985779999999998</v>
      </c>
      <c r="M6931">
        <v>0.98238099999999995</v>
      </c>
      <c r="N6931">
        <v>-1.52723999999999E-2</v>
      </c>
      <c r="O6931">
        <v>0.1862644</v>
      </c>
      <c r="P6931">
        <v>0.86900509999999997</v>
      </c>
      <c r="Q6931">
        <v>-9.8819489999999996E-2</v>
      </c>
      <c r="R6931">
        <v>0.48483480000000001</v>
      </c>
      <c r="S6931">
        <v>1.8677980000000001</v>
      </c>
      <c r="T6931">
        <v>-0.51244520000000005</v>
      </c>
      <c r="U6931">
        <v>2.7693479999999999</v>
      </c>
      <c r="V6931">
        <v>-0.31313619999999998</v>
      </c>
      <c r="W6931">
        <v>-8.9190950000000005E-2</v>
      </c>
      <c r="X6931">
        <v>0.94551079999999998</v>
      </c>
      <c r="Y6931">
        <v>-0.7033876</v>
      </c>
      <c r="Z6931">
        <v>4.2377350000000001E-2</v>
      </c>
      <c r="AA6931">
        <v>0.70954209999999995</v>
      </c>
      <c r="AB6931">
        <v>19</v>
      </c>
      <c r="AC6931">
        <v>4.00579999999999</v>
      </c>
      <c r="AD6931">
        <v>-1.1275532030290001</v>
      </c>
      <c r="AE6931">
        <v>6.0666999999999902</v>
      </c>
      <c r="AF6931">
        <v>-5.0917939299578601</v>
      </c>
      <c r="AG6931">
        <v>-1.1275532030290001</v>
      </c>
      <c r="AH6931">
        <v>4.9468231666350899</v>
      </c>
      <c r="AI6931">
        <v>99.024909069285997</v>
      </c>
      <c r="AJ6931">
        <v>135.82736849701999</v>
      </c>
      <c r="AK6931">
        <v>7.1881013552101702</v>
      </c>
      <c r="AL6931">
        <v>95.117064812793203</v>
      </c>
      <c r="AM6931">
        <v>108.323943535479</v>
      </c>
      <c r="AN6931">
        <v>0.99999998911449095</v>
      </c>
    </row>
    <row r="6932" spans="1:40" x14ac:dyDescent="0.25">
      <c r="A6932" t="str">
        <f>"20190303154656087"</f>
        <v>20190303154656087</v>
      </c>
      <c r="B6932" t="str">
        <f>"1551599216079052"</f>
        <v>1551599216079052</v>
      </c>
      <c r="C6932" t="s">
        <v>40</v>
      </c>
      <c r="D6932">
        <v>4.95153</v>
      </c>
      <c r="E6932">
        <v>0.30683709999999997</v>
      </c>
      <c r="F6932" t="s">
        <v>60</v>
      </c>
      <c r="G6932">
        <v>-194.08590000000001</v>
      </c>
      <c r="H6932" s="1">
        <v>-8.2253890000000008E-6</v>
      </c>
      <c r="I6932">
        <v>-55.843130000000002</v>
      </c>
      <c r="J6932">
        <v>-198.06100000000001</v>
      </c>
      <c r="K6932">
        <v>1.1275949999999999</v>
      </c>
      <c r="L6932">
        <v>-61.96396</v>
      </c>
      <c r="M6932">
        <v>0.98139659999999995</v>
      </c>
      <c r="N6932">
        <v>-1.5299180000000001E-2</v>
      </c>
      <c r="O6932">
        <v>0.19138150000000001</v>
      </c>
      <c r="P6932">
        <v>0.86446319999999999</v>
      </c>
      <c r="Q6932">
        <v>-9.8832939999999994E-2</v>
      </c>
      <c r="R6932">
        <v>0.49288490000000001</v>
      </c>
      <c r="S6932">
        <v>1.8401639999999999</v>
      </c>
      <c r="T6932">
        <v>-0.51125299999999996</v>
      </c>
      <c r="U6932">
        <v>2.7851870000000001</v>
      </c>
      <c r="V6932">
        <v>-0.31696950000000002</v>
      </c>
      <c r="W6932">
        <v>-8.9301519999999995E-2</v>
      </c>
      <c r="X6932">
        <v>0.94422220000000001</v>
      </c>
      <c r="Y6932">
        <v>-0.70645369999999996</v>
      </c>
      <c r="Z6932">
        <v>4.1984069999999998E-2</v>
      </c>
      <c r="AA6932">
        <v>0.70651299999999995</v>
      </c>
      <c r="AB6932">
        <v>19</v>
      </c>
      <c r="AC6932">
        <v>3.9750999999999599</v>
      </c>
      <c r="AD6932">
        <v>-1.127603225389</v>
      </c>
      <c r="AE6932">
        <v>6.12082999999999</v>
      </c>
      <c r="AF6932">
        <v>-5.1244901555541196</v>
      </c>
      <c r="AG6932">
        <v>-1.127603225389</v>
      </c>
      <c r="AH6932">
        <v>4.9548806267410699</v>
      </c>
      <c r="AI6932">
        <v>98.989078364631993</v>
      </c>
      <c r="AJ6932">
        <v>135.96404758660299</v>
      </c>
      <c r="AK6932">
        <v>7.2168365932403296</v>
      </c>
      <c r="AL6932">
        <v>95.123425362425095</v>
      </c>
      <c r="AM6932">
        <v>108.55658071400499</v>
      </c>
      <c r="AN6932">
        <v>0.9999999941887</v>
      </c>
    </row>
    <row r="6933" spans="1:40" x14ac:dyDescent="0.25">
      <c r="A6933" t="str">
        <f>"20190303154656100"</f>
        <v>20190303154656100</v>
      </c>
      <c r="B6933" t="str">
        <f>"1551599216088813"</f>
        <v>1551599216088813</v>
      </c>
      <c r="C6933" t="s">
        <v>40</v>
      </c>
      <c r="D6933">
        <v>4.9227080000000001</v>
      </c>
      <c r="E6933">
        <v>0.3070562</v>
      </c>
      <c r="F6933" t="s">
        <v>60</v>
      </c>
      <c r="G6933">
        <v>-194.05160000000001</v>
      </c>
      <c r="H6933" s="1">
        <v>-8.2429450000000001E-6</v>
      </c>
      <c r="I6933">
        <v>-55.785429999999998</v>
      </c>
      <c r="J6933">
        <v>-197.95429999999999</v>
      </c>
      <c r="K6933">
        <v>1.127664</v>
      </c>
      <c r="L6933">
        <v>-61.935459999999999</v>
      </c>
      <c r="M6933">
        <v>0.98008229999999996</v>
      </c>
      <c r="N6933">
        <v>-1.5332699999999999E-2</v>
      </c>
      <c r="O6933">
        <v>0.1979988</v>
      </c>
      <c r="P6933">
        <v>0.85888069999999905</v>
      </c>
      <c r="Q6933">
        <v>-9.8318299999999997E-2</v>
      </c>
      <c r="R6933">
        <v>0.50265039999999905</v>
      </c>
      <c r="S6933">
        <v>1.8161929999999999</v>
      </c>
      <c r="T6933">
        <v>-0.51079079999999999</v>
      </c>
      <c r="U6933">
        <v>2.7987980000000001</v>
      </c>
      <c r="V6933">
        <v>-0.32127090000000003</v>
      </c>
      <c r="W6933">
        <v>-8.8897379999999998E-2</v>
      </c>
      <c r="X6933">
        <v>0.94280549999999996</v>
      </c>
      <c r="Y6933">
        <v>-0.70756799999999997</v>
      </c>
      <c r="Z6933">
        <v>4.1141810000000001E-2</v>
      </c>
      <c r="AA6933">
        <v>0.70544649999999998</v>
      </c>
      <c r="AB6933">
        <v>19</v>
      </c>
      <c r="AC6933">
        <v>3.9026999999999799</v>
      </c>
      <c r="AD6933">
        <v>-1.1276722429449999</v>
      </c>
      <c r="AE6933">
        <v>6.1500299999999903</v>
      </c>
      <c r="AF6933">
        <v>-5.1324054686660396</v>
      </c>
      <c r="AG6933">
        <v>-1.1276722429449999</v>
      </c>
      <c r="AH6933">
        <v>4.9252069632917603</v>
      </c>
      <c r="AI6933">
        <v>99.008123299702305</v>
      </c>
      <c r="AJ6933">
        <v>136.18019270680099</v>
      </c>
      <c r="AK6933">
        <v>7.2021451119481998</v>
      </c>
      <c r="AL6933">
        <v>95.100177490281794</v>
      </c>
      <c r="AM6933">
        <v>108.817083904843</v>
      </c>
      <c r="AN6933">
        <v>0.99999997309396105</v>
      </c>
    </row>
    <row r="6934" spans="1:40" x14ac:dyDescent="0.25">
      <c r="A6934" t="str">
        <f>"20190303154656114"</f>
        <v>20190303154656114</v>
      </c>
      <c r="B6934" t="str">
        <f>"1551599216109309"</f>
        <v>1551599216109309</v>
      </c>
      <c r="C6934" t="s">
        <v>40</v>
      </c>
      <c r="D6934">
        <v>4.9922360000000001</v>
      </c>
      <c r="E6934">
        <v>0.30826679999999901</v>
      </c>
      <c r="F6934" t="s">
        <v>60</v>
      </c>
      <c r="G6934">
        <v>-194.0078</v>
      </c>
      <c r="H6934" s="1">
        <v>-8.267029E-6</v>
      </c>
      <c r="I6934">
        <v>-55.707160000000002</v>
      </c>
      <c r="J6934">
        <v>-197.8458</v>
      </c>
      <c r="K6934">
        <v>1.127723</v>
      </c>
      <c r="L6934">
        <v>-61.905180000000001</v>
      </c>
      <c r="M6934">
        <v>0.97866690000000001</v>
      </c>
      <c r="N6934">
        <v>-1.5365520000000001E-2</v>
      </c>
      <c r="O6934">
        <v>0.20487830000000001</v>
      </c>
      <c r="P6934">
        <v>0.85294509999999901</v>
      </c>
      <c r="Q6934">
        <v>-9.7856209999999999E-2</v>
      </c>
      <c r="R6934">
        <v>0.51274649999999999</v>
      </c>
      <c r="S6934">
        <v>1.7854460000000001</v>
      </c>
      <c r="T6934">
        <v>-0.51017679999999999</v>
      </c>
      <c r="U6934">
        <v>2.81778</v>
      </c>
      <c r="V6934">
        <v>-0.32574160000000002</v>
      </c>
      <c r="W6934">
        <v>-8.854621E-2</v>
      </c>
      <c r="X6934">
        <v>0.94130329999999995</v>
      </c>
      <c r="Y6934">
        <v>-0.71028419999999903</v>
      </c>
      <c r="Z6934">
        <v>4.0458109999999999E-2</v>
      </c>
      <c r="AA6934">
        <v>0.70275140000000003</v>
      </c>
      <c r="AB6934">
        <v>19</v>
      </c>
      <c r="AC6934">
        <v>3.8379999999999899</v>
      </c>
      <c r="AD6934">
        <v>-1.1277312670290001</v>
      </c>
      <c r="AE6934">
        <v>6.1980199999999996</v>
      </c>
      <c r="AF6934">
        <v>-5.1566972502457196</v>
      </c>
      <c r="AG6934">
        <v>-1.1277312670290001</v>
      </c>
      <c r="AH6934">
        <v>4.9090820304166298</v>
      </c>
      <c r="AI6934">
        <v>99.000598009644094</v>
      </c>
      <c r="AJ6934">
        <v>136.40917517533001</v>
      </c>
      <c r="AK6934">
        <v>7.2084943450547296</v>
      </c>
      <c r="AL6934">
        <v>95.0799773269177</v>
      </c>
      <c r="AM6934">
        <v>109.088373849408</v>
      </c>
      <c r="AN6934">
        <v>0.99999996193340601</v>
      </c>
    </row>
    <row r="6935" spans="1:40" x14ac:dyDescent="0.25">
      <c r="A6935" t="str">
        <f>"20190303154656128"</f>
        <v>20190303154656128</v>
      </c>
      <c r="B6935" t="str">
        <f>"1551599216119068"</f>
        <v>1551599216119068</v>
      </c>
      <c r="C6935" t="s">
        <v>40</v>
      </c>
      <c r="D6935">
        <v>5.0633350000000004</v>
      </c>
      <c r="E6935">
        <v>0.30950470000000002</v>
      </c>
      <c r="F6935" t="s">
        <v>60</v>
      </c>
      <c r="G6935">
        <v>-193.9479</v>
      </c>
      <c r="H6935" s="1">
        <v>-8.2896100000000001E-6</v>
      </c>
      <c r="I6935">
        <v>-55.628590000000003</v>
      </c>
      <c r="J6935">
        <v>-197.72919999999999</v>
      </c>
      <c r="K6935">
        <v>1.1277870000000001</v>
      </c>
      <c r="L6935">
        <v>-61.8718</v>
      </c>
      <c r="M6935">
        <v>0.97707120000000003</v>
      </c>
      <c r="N6935">
        <v>-1.539942E-2</v>
      </c>
      <c r="O6935">
        <v>0.21235499999999999</v>
      </c>
      <c r="P6935">
        <v>0.8462712</v>
      </c>
      <c r="Q6935">
        <v>-9.7701560000000007E-2</v>
      </c>
      <c r="R6935">
        <v>0.52371690000000004</v>
      </c>
      <c r="S6935">
        <v>1.7575529999999999</v>
      </c>
      <c r="T6935">
        <v>-0.50849270000000002</v>
      </c>
      <c r="U6935">
        <v>2.8301090000000002</v>
      </c>
      <c r="V6935">
        <v>-0.33067229999999997</v>
      </c>
      <c r="W6935">
        <v>-8.8513549999999996E-2</v>
      </c>
      <c r="X6935">
        <v>0.93958560000000002</v>
      </c>
      <c r="Y6935">
        <v>-0.71136080000000002</v>
      </c>
      <c r="Z6935">
        <v>3.9427999999999998E-2</v>
      </c>
      <c r="AA6935">
        <v>0.70172029999999996</v>
      </c>
      <c r="AB6935">
        <v>19</v>
      </c>
      <c r="AC6935">
        <v>3.7812999999999799</v>
      </c>
      <c r="AD6935">
        <v>-1.1277952896100001</v>
      </c>
      <c r="AE6935">
        <v>6.2432099999999897</v>
      </c>
      <c r="AF6935">
        <v>-5.17418142975996</v>
      </c>
      <c r="AG6935">
        <v>-1.1277952896100001</v>
      </c>
      <c r="AH6935">
        <v>4.9038949533627996</v>
      </c>
      <c r="AI6935">
        <v>98.989792828796098</v>
      </c>
      <c r="AJ6935">
        <v>136.53626172501001</v>
      </c>
      <c r="AK6935">
        <v>7.2174968927569703</v>
      </c>
      <c r="AL6935">
        <v>95.078098684485099</v>
      </c>
      <c r="AM6935">
        <v>109.38871365628501</v>
      </c>
      <c r="AN6935">
        <v>0.99999995912412498</v>
      </c>
    </row>
    <row r="6936" spans="1:40" x14ac:dyDescent="0.25">
      <c r="A6936" t="str">
        <f>"20190303154656143"</f>
        <v>20190303154656143</v>
      </c>
      <c r="B6936" t="str">
        <f>"1551599216138589"</f>
        <v>1551599216138589</v>
      </c>
      <c r="C6936" t="s">
        <v>40</v>
      </c>
      <c r="D6936">
        <v>5.1422860000000004</v>
      </c>
      <c r="E6936">
        <v>0.3110465</v>
      </c>
      <c r="F6936" t="s">
        <v>60</v>
      </c>
      <c r="G6936">
        <v>-193.92160000000001</v>
      </c>
      <c r="H6936" s="1">
        <v>-8.2976449999999997E-6</v>
      </c>
      <c r="I6936">
        <v>-55.599260000000001</v>
      </c>
      <c r="J6936">
        <v>-197.61070000000001</v>
      </c>
      <c r="K6936">
        <v>1.1278319999999999</v>
      </c>
      <c r="L6936">
        <v>-61.836849999999998</v>
      </c>
      <c r="M6936">
        <v>0.97536590000000001</v>
      </c>
      <c r="N6936">
        <v>-1.543247E-2</v>
      </c>
      <c r="O6936">
        <v>0.220053</v>
      </c>
      <c r="P6936">
        <v>0.83533210000000002</v>
      </c>
      <c r="Q6936">
        <v>-9.8464949999999996E-2</v>
      </c>
      <c r="R6936">
        <v>0.5408558</v>
      </c>
      <c r="S6936">
        <v>1.726181</v>
      </c>
      <c r="T6936">
        <v>-0.5112814</v>
      </c>
      <c r="U6936">
        <v>2.8436279999999998</v>
      </c>
      <c r="V6936">
        <v>-0.34236309999999998</v>
      </c>
      <c r="W6936">
        <v>-8.9546150000000005E-2</v>
      </c>
      <c r="X6936">
        <v>0.93529090000000004</v>
      </c>
      <c r="Y6936">
        <v>-0.71292469999999997</v>
      </c>
      <c r="Z6936">
        <v>3.8687970000000002E-2</v>
      </c>
      <c r="AA6936">
        <v>0.70017249999999998</v>
      </c>
      <c r="AB6936">
        <v>19</v>
      </c>
      <c r="AC6936">
        <v>3.6890999999999901</v>
      </c>
      <c r="AD6936">
        <v>-1.1278402976449999</v>
      </c>
      <c r="AE6936">
        <v>6.2375899999999902</v>
      </c>
      <c r="AF6936">
        <v>-5.1480702902656601</v>
      </c>
      <c r="AG6936">
        <v>-1.1278402976449999</v>
      </c>
      <c r="AH6936">
        <v>4.8538484948726897</v>
      </c>
      <c r="AI6936">
        <v>99.056818842145006</v>
      </c>
      <c r="AJ6936">
        <v>136.684957407262</v>
      </c>
      <c r="AK6936">
        <v>7.16480960400804</v>
      </c>
      <c r="AL6936">
        <v>95.137497791285099</v>
      </c>
      <c r="AM6936">
        <v>110.105144876203</v>
      </c>
      <c r="AN6936">
        <v>1.00000003642212</v>
      </c>
    </row>
    <row r="6937" spans="1:40" x14ac:dyDescent="0.25">
      <c r="A6937" t="str">
        <f>"20190303154656154"</f>
        <v>20190303154656154</v>
      </c>
      <c r="B6937" t="str">
        <f>"1551599216148348"</f>
        <v>1551599216148348</v>
      </c>
      <c r="C6937" t="s">
        <v>40</v>
      </c>
      <c r="D6937">
        <v>5.0604779999999998</v>
      </c>
      <c r="E6937">
        <v>0.33290649999999999</v>
      </c>
      <c r="F6937" t="s">
        <v>60</v>
      </c>
      <c r="G6937">
        <v>-194.0231</v>
      </c>
      <c r="H6937" s="1">
        <v>-8.2724879999999997E-6</v>
      </c>
      <c r="I6937">
        <v>-55.696330000000003</v>
      </c>
      <c r="J6937">
        <v>-197.51830000000001</v>
      </c>
      <c r="K6937">
        <v>1.1278509999999999</v>
      </c>
      <c r="L6937">
        <v>-61.808500000000002</v>
      </c>
      <c r="M6937">
        <v>0.97396609999999995</v>
      </c>
      <c r="N6937">
        <v>-1.5457179999999999E-2</v>
      </c>
      <c r="O6937">
        <v>0.22616639999999999</v>
      </c>
      <c r="P6937">
        <v>0.82821359999999999</v>
      </c>
      <c r="Q6937">
        <v>-9.9509890000000004E-2</v>
      </c>
      <c r="R6937">
        <v>0.55150710000000003</v>
      </c>
      <c r="S6937">
        <v>1.674118</v>
      </c>
      <c r="T6937">
        <v>-0.52628469999999905</v>
      </c>
      <c r="U6937">
        <v>2.8653559999999998</v>
      </c>
      <c r="V6937">
        <v>-0.3484583</v>
      </c>
      <c r="W6937">
        <v>-9.0734980000000007E-2</v>
      </c>
      <c r="X6937">
        <v>0.93292229999999998</v>
      </c>
      <c r="Y6937">
        <v>-0.71980330000000003</v>
      </c>
      <c r="Z6937">
        <v>3.9633069999999999E-2</v>
      </c>
      <c r="AA6937">
        <v>0.69304589999999999</v>
      </c>
      <c r="AB6937">
        <v>19</v>
      </c>
      <c r="AC6937">
        <v>3.4952000000000099</v>
      </c>
      <c r="AD6937">
        <v>-1.1278592724880001</v>
      </c>
      <c r="AE6937">
        <v>6.1121699999999901</v>
      </c>
      <c r="AF6937">
        <v>-5.0339966855157803</v>
      </c>
      <c r="AG6937">
        <v>-1.1278592724880001</v>
      </c>
      <c r="AH6937">
        <v>4.6673830977675497</v>
      </c>
      <c r="AI6937">
        <v>99.330103668399403</v>
      </c>
      <c r="AJ6937">
        <v>137.16416852429199</v>
      </c>
      <c r="AK6937">
        <v>6.9568422541874</v>
      </c>
      <c r="AL6937">
        <v>95.205891242676699</v>
      </c>
      <c r="AM6937">
        <v>110.48129731971601</v>
      </c>
      <c r="AN6937">
        <v>1.0000000206358901</v>
      </c>
    </row>
    <row r="6938" spans="1:40" x14ac:dyDescent="0.25">
      <c r="A6938" t="str">
        <f>"20190303154656165"</f>
        <v>20190303154656165</v>
      </c>
      <c r="B6938" t="str">
        <f>"1551599216158108"</f>
        <v>1551599216158108</v>
      </c>
      <c r="C6938" t="s">
        <v>40</v>
      </c>
      <c r="D6938">
        <v>5.0420970000000001</v>
      </c>
      <c r="E6938">
        <v>0.33274510000000002</v>
      </c>
      <c r="F6938" t="s">
        <v>60</v>
      </c>
      <c r="G6938">
        <v>-193.8048</v>
      </c>
      <c r="H6938" s="1">
        <v>-8.1626730000000001E-6</v>
      </c>
      <c r="I6938">
        <v>-55.938389999999998</v>
      </c>
      <c r="J6938">
        <v>-197.42580000000001</v>
      </c>
      <c r="K6938">
        <v>1.127867</v>
      </c>
      <c r="L6938">
        <v>-61.779629999999997</v>
      </c>
      <c r="M6938">
        <v>0.97251489999999996</v>
      </c>
      <c r="N6938">
        <v>-1.548107E-2</v>
      </c>
      <c r="O6938">
        <v>0.23232539999999999</v>
      </c>
      <c r="P6938">
        <v>0.82080609999999998</v>
      </c>
      <c r="Q6938">
        <v>-0.10174560000000001</v>
      </c>
      <c r="R6938">
        <v>0.56207220000000002</v>
      </c>
      <c r="S6938">
        <v>1.7338709999999999</v>
      </c>
      <c r="T6938">
        <v>-0.52660269999999898</v>
      </c>
      <c r="U6938">
        <v>2.7407840000000001</v>
      </c>
      <c r="V6938">
        <v>-0.3545083</v>
      </c>
      <c r="W6938">
        <v>-9.3116019999999994E-2</v>
      </c>
      <c r="X6938">
        <v>0.93040489999999998</v>
      </c>
      <c r="Y6938">
        <v>-0.69074089999999999</v>
      </c>
      <c r="Z6938">
        <v>3.517638E-2</v>
      </c>
      <c r="AA6938">
        <v>0.72224619999999995</v>
      </c>
      <c r="AB6938">
        <v>19</v>
      </c>
      <c r="AC6938">
        <v>3.621</v>
      </c>
      <c r="AD6938">
        <v>-1.1278751626729999</v>
      </c>
      <c r="AE6938">
        <v>5.8412399999999902</v>
      </c>
      <c r="AF6938">
        <v>-4.7130841931172904</v>
      </c>
      <c r="AG6938">
        <v>-1.1278751626729999</v>
      </c>
      <c r="AH6938">
        <v>4.7511654406895696</v>
      </c>
      <c r="AI6938">
        <v>99.566363321081397</v>
      </c>
      <c r="AJ6938">
        <v>134.76946054109101</v>
      </c>
      <c r="AK6938">
        <v>6.7866661947372799</v>
      </c>
      <c r="AL6938">
        <v>95.342894999744203</v>
      </c>
      <c r="AM6938">
        <v>110.858132978387</v>
      </c>
      <c r="AN6938">
        <v>1.0000000029467699</v>
      </c>
    </row>
    <row r="6939" spans="1:40" x14ac:dyDescent="0.25">
      <c r="A6939" t="str">
        <f>"20190303154656177"</f>
        <v>20190303154656177</v>
      </c>
      <c r="B6939" t="str">
        <f>"1551599216168845"</f>
        <v>1551599216168845</v>
      </c>
      <c r="C6939" t="s">
        <v>40</v>
      </c>
      <c r="D6939">
        <v>5.0333199999999998</v>
      </c>
      <c r="E6939">
        <v>0.33253329999999998</v>
      </c>
      <c r="F6939" t="s">
        <v>60</v>
      </c>
      <c r="G6939">
        <v>-193.81</v>
      </c>
      <c r="H6939" s="1">
        <v>-8.1803129999999907E-6</v>
      </c>
      <c r="I6939">
        <v>-55.891319999999901</v>
      </c>
      <c r="J6939">
        <v>-197.33320000000001</v>
      </c>
      <c r="K6939">
        <v>1.1278699999999999</v>
      </c>
      <c r="L6939">
        <v>-61.75</v>
      </c>
      <c r="M6939">
        <v>0.9710046</v>
      </c>
      <c r="N6939">
        <v>-1.550405E-2</v>
      </c>
      <c r="O6939">
        <v>0.2385574</v>
      </c>
      <c r="P6939">
        <v>0.81345990000000001</v>
      </c>
      <c r="Q6939">
        <v>-0.10518520000000001</v>
      </c>
      <c r="R6939">
        <v>0.57203079999999995</v>
      </c>
      <c r="S6939">
        <v>1.6969449999999999</v>
      </c>
      <c r="T6939">
        <v>-0.52933140000000001</v>
      </c>
      <c r="U6939">
        <v>2.7634889999999999</v>
      </c>
      <c r="V6939">
        <v>-0.35990319999999998</v>
      </c>
      <c r="W6939">
        <v>-9.6687490000000001E-2</v>
      </c>
      <c r="X6939">
        <v>0.92796619999999996</v>
      </c>
      <c r="Y6939">
        <v>-0.69565540000000003</v>
      </c>
      <c r="Z6939">
        <v>3.4986209999999997E-2</v>
      </c>
      <c r="AA6939">
        <v>0.71752320000000003</v>
      </c>
      <c r="AB6939">
        <v>19</v>
      </c>
      <c r="AC6939">
        <v>3.5232000000000001</v>
      </c>
      <c r="AD6939">
        <v>-1.127878180313</v>
      </c>
      <c r="AE6939">
        <v>5.8586799999999997</v>
      </c>
      <c r="AF6939">
        <v>-4.7204203688738904</v>
      </c>
      <c r="AG6939">
        <v>-1.127878180313</v>
      </c>
      <c r="AH6939">
        <v>4.6915574832592304</v>
      </c>
      <c r="AI6939">
        <v>99.618559884961002</v>
      </c>
      <c r="AJ6939">
        <v>135.17570338268601</v>
      </c>
      <c r="AK6939">
        <v>6.7501992020407302</v>
      </c>
      <c r="AL6939">
        <v>95.548452896713101</v>
      </c>
      <c r="AM6939">
        <v>111.19832722576599</v>
      </c>
      <c r="AN6939">
        <v>1.0000000262175801</v>
      </c>
    </row>
    <row r="6940" spans="1:40" x14ac:dyDescent="0.25">
      <c r="A6940" t="str">
        <f>"20190303154656191"</f>
        <v>20190303154656191</v>
      </c>
      <c r="B6940" t="str">
        <f>"1551599216188765"</f>
        <v>1551599216188765</v>
      </c>
      <c r="C6940" t="s">
        <v>40</v>
      </c>
      <c r="D6940">
        <v>4.9789669999999999</v>
      </c>
      <c r="E6940">
        <v>0.33356609999999998</v>
      </c>
      <c r="F6940" t="s">
        <v>60</v>
      </c>
      <c r="G6940">
        <v>-193.83260000000001</v>
      </c>
      <c r="H6940" s="1">
        <v>-8.1873889999999903E-6</v>
      </c>
      <c r="I6940">
        <v>-55.878059999999998</v>
      </c>
      <c r="J6940">
        <v>-197.2243</v>
      </c>
      <c r="K6940">
        <v>1.127883</v>
      </c>
      <c r="L6940">
        <v>-61.714080000000003</v>
      </c>
      <c r="M6940">
        <v>0.96915130000000005</v>
      </c>
      <c r="N6940">
        <v>-1.553007E-2</v>
      </c>
      <c r="O6940">
        <v>0.24597730000000001</v>
      </c>
      <c r="P6940">
        <v>0.80521619999999905</v>
      </c>
      <c r="Q6940">
        <v>-0.1090647</v>
      </c>
      <c r="R6940">
        <v>0.58286519999999897</v>
      </c>
      <c r="S6940">
        <v>1.6602939999999999</v>
      </c>
      <c r="T6940">
        <v>-0.5349469</v>
      </c>
      <c r="U6940">
        <v>2.785034</v>
      </c>
      <c r="V6940">
        <v>-0.36526330000000001</v>
      </c>
      <c r="W6940">
        <v>-0.1007012</v>
      </c>
      <c r="X6940">
        <v>0.92544150000000003</v>
      </c>
      <c r="Y6940">
        <v>-0.69944209999999996</v>
      </c>
      <c r="Z6940">
        <v>3.4569629999999997E-2</v>
      </c>
      <c r="AA6940">
        <v>0.71385279999999995</v>
      </c>
      <c r="AB6940">
        <v>19</v>
      </c>
      <c r="AC6940">
        <v>3.3916999999999802</v>
      </c>
      <c r="AD6940">
        <v>-1.1278911873890001</v>
      </c>
      <c r="AE6940">
        <v>5.8360200000000004</v>
      </c>
      <c r="AF6940">
        <v>-4.6913022343021797</v>
      </c>
      <c r="AG6940">
        <v>-1.1278911873890001</v>
      </c>
      <c r="AH6940">
        <v>4.5948763062760101</v>
      </c>
      <c r="AI6940">
        <v>99.746018880337203</v>
      </c>
      <c r="AJ6940">
        <v>135.59492719555701</v>
      </c>
      <c r="AK6940">
        <v>6.6628329901127703</v>
      </c>
      <c r="AL6940">
        <v>95.779550167719606</v>
      </c>
      <c r="AM6940">
        <v>111.538696392177</v>
      </c>
      <c r="AN6940">
        <v>0.99999998996529005</v>
      </c>
    </row>
    <row r="6941" spans="1:40" x14ac:dyDescent="0.25">
      <c r="A6941" t="str">
        <f>"20190303154656204"</f>
        <v>20190303154656204</v>
      </c>
      <c r="B6941" t="str">
        <f>"1551599216198525"</f>
        <v>1551599216198525</v>
      </c>
      <c r="C6941" t="s">
        <v>40</v>
      </c>
      <c r="D6941">
        <v>5.1263199999999998</v>
      </c>
      <c r="E6941">
        <v>0.33402369999999998</v>
      </c>
      <c r="F6941" t="s">
        <v>60</v>
      </c>
      <c r="G6941">
        <v>-193.84280000000001</v>
      </c>
      <c r="H6941" s="1">
        <v>-8.1846380000000002E-6</v>
      </c>
      <c r="I6941">
        <v>-55.88843</v>
      </c>
      <c r="J6941">
        <v>-197.12049999999999</v>
      </c>
      <c r="K6941">
        <v>1.1278889999999999</v>
      </c>
      <c r="L6941">
        <v>-61.679139999999997</v>
      </c>
      <c r="M6941">
        <v>0.96731290000000003</v>
      </c>
      <c r="N6941">
        <v>-1.5554200000000001E-2</v>
      </c>
      <c r="O6941">
        <v>0.25310820000000001</v>
      </c>
      <c r="P6941">
        <v>0.7969444</v>
      </c>
      <c r="Q6941">
        <v>-0.1136815</v>
      </c>
      <c r="R6941">
        <v>0.59325890000000003</v>
      </c>
      <c r="S6941">
        <v>1.6253359999999999</v>
      </c>
      <c r="T6941">
        <v>-0.54213449999999996</v>
      </c>
      <c r="U6941">
        <v>2.8001710000000002</v>
      </c>
      <c r="V6941">
        <v>-0.37051309999999998</v>
      </c>
      <c r="W6941">
        <v>-0.1054534</v>
      </c>
      <c r="X6941">
        <v>0.92282160000000002</v>
      </c>
      <c r="Y6941">
        <v>-0.70234759999999996</v>
      </c>
      <c r="Z6941">
        <v>3.4152630000000003E-2</v>
      </c>
      <c r="AA6941">
        <v>0.71101440000000005</v>
      </c>
      <c r="AB6941">
        <v>19</v>
      </c>
      <c r="AC6941">
        <v>3.2776999999999799</v>
      </c>
      <c r="AD6941">
        <v>-1.1278971846379999</v>
      </c>
      <c r="AE6941">
        <v>5.79070999999999</v>
      </c>
      <c r="AF6941">
        <v>-4.6391000358932697</v>
      </c>
      <c r="AG6941">
        <v>-1.1278971846379999</v>
      </c>
      <c r="AH6941">
        <v>4.5072927297123604</v>
      </c>
      <c r="AI6941">
        <v>99.891615540247102</v>
      </c>
      <c r="AJ6941">
        <v>135.82562380934101</v>
      </c>
      <c r="AK6941">
        <v>6.5657512101401796</v>
      </c>
      <c r="AL6941">
        <v>96.053289244605693</v>
      </c>
      <c r="AM6941">
        <v>111.875472682305</v>
      </c>
      <c r="AN6941">
        <v>1.00000004113486</v>
      </c>
    </row>
    <row r="6942" spans="1:40" x14ac:dyDescent="0.25">
      <c r="A6942" t="str">
        <f>"20190303154656216"</f>
        <v>20190303154656216</v>
      </c>
      <c r="B6942" t="str">
        <f>"1551599216208286"</f>
        <v>1551599216208286</v>
      </c>
      <c r="C6942" t="s">
        <v>40</v>
      </c>
      <c r="D6942">
        <v>5.1087129999999998</v>
      </c>
      <c r="E6942">
        <v>0.33402369999999998</v>
      </c>
      <c r="F6942" t="s">
        <v>60</v>
      </c>
      <c r="G6942">
        <v>-193.86850000000001</v>
      </c>
      <c r="H6942" s="1">
        <v>-8.180161E-6</v>
      </c>
      <c r="I6942">
        <v>-55.907780000000002</v>
      </c>
      <c r="J6942">
        <v>-197.02520000000001</v>
      </c>
      <c r="K6942">
        <v>1.127899</v>
      </c>
      <c r="L6942">
        <v>-61.646059999999999</v>
      </c>
      <c r="M6942">
        <v>0.96555190000000002</v>
      </c>
      <c r="N6942">
        <v>-1.557599E-2</v>
      </c>
      <c r="O6942">
        <v>0.25974459999999999</v>
      </c>
      <c r="P6942">
        <v>0.78906719999999997</v>
      </c>
      <c r="Q6942">
        <v>-0.1177499</v>
      </c>
      <c r="R6942">
        <v>0.60291640000000002</v>
      </c>
      <c r="S6942">
        <v>1.587952</v>
      </c>
      <c r="T6942">
        <v>-0.55075069999999904</v>
      </c>
      <c r="U6942">
        <v>2.818146</v>
      </c>
      <c r="V6942">
        <v>-0.37547449999999999</v>
      </c>
      <c r="W6942">
        <v>-0.10965279999999999</v>
      </c>
      <c r="X6942">
        <v>0.92032340000000001</v>
      </c>
      <c r="Y6942">
        <v>-0.70632430000000002</v>
      </c>
      <c r="Z6942">
        <v>3.3998599999999997E-2</v>
      </c>
      <c r="AA6942">
        <v>0.70707149999999996</v>
      </c>
      <c r="AB6942">
        <v>19</v>
      </c>
      <c r="AC6942">
        <v>3.1566999999999998</v>
      </c>
      <c r="AD6942">
        <v>-1.1279071801609999</v>
      </c>
      <c r="AE6942">
        <v>5.7382799999999898</v>
      </c>
      <c r="AF6942">
        <v>-4.5852470623880004</v>
      </c>
      <c r="AG6942">
        <v>-1.1279071801609999</v>
      </c>
      <c r="AH6942">
        <v>4.4082482339700997</v>
      </c>
      <c r="AI6942">
        <v>100.055579809848</v>
      </c>
      <c r="AJ6942">
        <v>136.127478968726</v>
      </c>
      <c r="AK6942">
        <v>6.4598233507192004</v>
      </c>
      <c r="AL6942">
        <v>96.295301413186806</v>
      </c>
      <c r="AM6942">
        <v>112.194528336226</v>
      </c>
      <c r="AN6942">
        <v>0.99999999864282496</v>
      </c>
    </row>
    <row r="6943" spans="1:40" x14ac:dyDescent="0.25">
      <c r="A6943" t="str">
        <f>"20190303154656228"</f>
        <v>20190303154656228</v>
      </c>
      <c r="B6943" t="str">
        <f>"1551599216219021"</f>
        <v>1551599216219021</v>
      </c>
      <c r="C6943" t="s">
        <v>40</v>
      </c>
      <c r="D6943">
        <v>4.4274190000000004</v>
      </c>
      <c r="E6943">
        <v>0.283020099999999</v>
      </c>
      <c r="F6943" t="s">
        <v>60</v>
      </c>
      <c r="G6943">
        <v>-193.89930000000001</v>
      </c>
      <c r="H6943" s="1">
        <v>-8.1760339999999905E-6</v>
      </c>
      <c r="I6943">
        <v>-55.927599999999998</v>
      </c>
      <c r="J6943">
        <v>-196.93520000000001</v>
      </c>
      <c r="K6943">
        <v>1.1279170000000001</v>
      </c>
      <c r="L6943">
        <v>-61.614040000000003</v>
      </c>
      <c r="M6943">
        <v>0.96382540000000005</v>
      </c>
      <c r="N6943">
        <v>-1.5596479999999999E-2</v>
      </c>
      <c r="O6943">
        <v>0.26607779999999998</v>
      </c>
      <c r="P6943">
        <v>0.78113219999999906</v>
      </c>
      <c r="Q6943">
        <v>-0.12126190000000001</v>
      </c>
      <c r="R6943">
        <v>0.6124771</v>
      </c>
      <c r="S6943">
        <v>1.550797</v>
      </c>
      <c r="T6943">
        <v>-0.55955790000000005</v>
      </c>
      <c r="U6943">
        <v>2.8369450000000001</v>
      </c>
      <c r="V6943">
        <v>-0.38069530000000001</v>
      </c>
      <c r="W6943">
        <v>-0.11330229999999999</v>
      </c>
      <c r="X6943">
        <v>0.91773289999999996</v>
      </c>
      <c r="Y6943">
        <v>-0.71053619999999995</v>
      </c>
      <c r="Z6943">
        <v>3.3908069999999998E-2</v>
      </c>
      <c r="AA6943">
        <v>0.7028432</v>
      </c>
      <c r="AB6943">
        <v>19</v>
      </c>
      <c r="AC6943">
        <v>3.0358999999999901</v>
      </c>
      <c r="AD6943">
        <v>-1.1279251760340001</v>
      </c>
      <c r="AE6943">
        <v>5.6864400000000002</v>
      </c>
      <c r="AF6943">
        <v>-4.53467883504758</v>
      </c>
      <c r="AG6943">
        <v>-1.1279251760340001</v>
      </c>
      <c r="AH6943">
        <v>4.3077612412548403</v>
      </c>
      <c r="AI6943">
        <v>100.22256855387501</v>
      </c>
      <c r="AJ6943">
        <v>136.47002042266999</v>
      </c>
      <c r="AK6943">
        <v>6.3554963811977103</v>
      </c>
      <c r="AL6943">
        <v>96.505713990819402</v>
      </c>
      <c r="AM6943">
        <v>112.52972276859499</v>
      </c>
      <c r="AN6943">
        <v>0.99999999918489402</v>
      </c>
    </row>
    <row r="6944" spans="1:40" x14ac:dyDescent="0.25">
      <c r="A6944" t="str">
        <f>"20190303154656424"</f>
        <v>20190303154656424</v>
      </c>
      <c r="B6944" t="str">
        <f>"1551599216418450"</f>
        <v>1551599216418450</v>
      </c>
      <c r="C6944" t="s">
        <v>40</v>
      </c>
      <c r="D6944">
        <v>5.1726510000000001</v>
      </c>
      <c r="E6944">
        <v>0.29997669999999999</v>
      </c>
      <c r="F6944" t="s">
        <v>60</v>
      </c>
      <c r="G6944">
        <v>-195.21199999999999</v>
      </c>
      <c r="H6944" s="1">
        <v>-7.8452549999999995E-6</v>
      </c>
      <c r="I6944">
        <v>-57.272179999999999</v>
      </c>
      <c r="J6944">
        <v>-195.46039999999999</v>
      </c>
      <c r="K6944">
        <v>1.1282639999999999</v>
      </c>
      <c r="L6944">
        <v>-60.9758</v>
      </c>
      <c r="M6944">
        <v>0.92555140000000002</v>
      </c>
      <c r="N6944">
        <v>-1.5915720000000001E-2</v>
      </c>
      <c r="O6944">
        <v>0.3782874</v>
      </c>
      <c r="P6944">
        <v>0.64758369999999998</v>
      </c>
      <c r="Q6944">
        <v>-0.14349319999999999</v>
      </c>
      <c r="R6944">
        <v>0.74836159999999996</v>
      </c>
      <c r="S6944">
        <v>1.2480770000000001</v>
      </c>
      <c r="T6944">
        <v>-0.81692240000000005</v>
      </c>
      <c r="U6944">
        <v>3.1446839999999998</v>
      </c>
      <c r="V6944">
        <v>-0.4453588</v>
      </c>
      <c r="W6944">
        <v>-0.13736979999999999</v>
      </c>
      <c r="X6944">
        <v>0.88475139999999997</v>
      </c>
      <c r="Y6944">
        <v>-0.70997600000000005</v>
      </c>
      <c r="Z6944">
        <v>1.393988E-2</v>
      </c>
      <c r="AA6944">
        <v>0.70408789999999999</v>
      </c>
      <c r="AB6944">
        <v>19</v>
      </c>
      <c r="AC6944">
        <v>0.248399999999975</v>
      </c>
      <c r="AD6944">
        <v>-1.128271845255</v>
      </c>
      <c r="AE6944">
        <v>3.7036199999999901</v>
      </c>
      <c r="AF6944">
        <v>-3.0523402920675098</v>
      </c>
      <c r="AG6944">
        <v>-1.128271845255</v>
      </c>
      <c r="AH6944">
        <v>1.4931903003576199</v>
      </c>
      <c r="AI6944">
        <v>108.36823360151899</v>
      </c>
      <c r="AJ6944">
        <v>153.93234040186499</v>
      </c>
      <c r="AK6944">
        <v>3.5804183957263902</v>
      </c>
      <c r="AL6944">
        <v>97.895676505276398</v>
      </c>
      <c r="AM6944">
        <v>116.719389151483</v>
      </c>
      <c r="AN6944">
        <v>0.99999998124571898</v>
      </c>
    </row>
    <row r="6945" spans="1:40" x14ac:dyDescent="0.25">
      <c r="A6945" t="str">
        <f>"20190303154656446"</f>
        <v>20190303154656446</v>
      </c>
      <c r="B6945" t="str">
        <f>"1551599216438946"</f>
        <v>1551599216438946</v>
      </c>
      <c r="C6945" t="s">
        <v>40</v>
      </c>
      <c r="D6945">
        <v>5.1792309999999997</v>
      </c>
      <c r="E6945">
        <v>0.30734440000000002</v>
      </c>
      <c r="F6945" t="s">
        <v>60</v>
      </c>
      <c r="G6945">
        <v>-194.3552</v>
      </c>
      <c r="H6945" s="1">
        <v>-8.202798E-6</v>
      </c>
      <c r="I6945">
        <v>-55.979259999999996</v>
      </c>
      <c r="J6945">
        <v>-195.30269999999999</v>
      </c>
      <c r="K6945">
        <v>1.128274</v>
      </c>
      <c r="L6945">
        <v>-60.8932199999999</v>
      </c>
      <c r="M6945">
        <v>0.92015179999999996</v>
      </c>
      <c r="N6945">
        <v>-1.5946490000000001E-2</v>
      </c>
      <c r="O6945">
        <v>0.3912369</v>
      </c>
      <c r="P6945">
        <v>0.63271160000000004</v>
      </c>
      <c r="Q6945">
        <v>-0.1456412</v>
      </c>
      <c r="R6945">
        <v>0.76056869999999999</v>
      </c>
      <c r="S6945">
        <v>0.71813959999999999</v>
      </c>
      <c r="T6945">
        <v>-0.73315549999999996</v>
      </c>
      <c r="U6945">
        <v>3.2467649999999999</v>
      </c>
      <c r="V6945">
        <v>-0.44993339999999998</v>
      </c>
      <c r="W6945">
        <v>-0.13965179999999999</v>
      </c>
      <c r="X6945">
        <v>0.88207559999999996</v>
      </c>
      <c r="Y6945">
        <v>-0.80341300000000004</v>
      </c>
      <c r="Z6945">
        <v>2.9533569999999999E-2</v>
      </c>
      <c r="AA6945">
        <v>0.59468940000000003</v>
      </c>
      <c r="AB6945">
        <v>19</v>
      </c>
      <c r="AC6945">
        <v>0.94749999999999002</v>
      </c>
      <c r="AD6945">
        <v>-1.128282202798</v>
      </c>
      <c r="AE6945">
        <v>4.9139599999999897</v>
      </c>
      <c r="AF6945">
        <v>-3.9506112916763301</v>
      </c>
      <c r="AG6945">
        <v>-1.128282202798</v>
      </c>
      <c r="AH6945">
        <v>2.6595379062850202</v>
      </c>
      <c r="AI6945">
        <v>103.328460480598</v>
      </c>
      <c r="AJ6945">
        <v>146.05169598616499</v>
      </c>
      <c r="AK6945">
        <v>4.8942304994797796</v>
      </c>
      <c r="AL6945">
        <v>98.027697704383002</v>
      </c>
      <c r="AM6945">
        <v>117.02543951712801</v>
      </c>
      <c r="AN6945">
        <v>1.0000000268970699</v>
      </c>
    </row>
    <row r="6946" spans="1:40" x14ac:dyDescent="0.25">
      <c r="A6946" t="str">
        <f>"20190303154656469"</f>
        <v>20190303154656469</v>
      </c>
      <c r="B6946" t="str">
        <f>"1551599216458466"</f>
        <v>1551599216458466</v>
      </c>
      <c r="C6946" t="s">
        <v>40</v>
      </c>
      <c r="D6946">
        <v>5.1877649999999997</v>
      </c>
      <c r="E6946">
        <v>0.31090190000000001</v>
      </c>
      <c r="F6946" t="s">
        <v>60</v>
      </c>
      <c r="G6946">
        <v>-194.15809999999999</v>
      </c>
      <c r="H6946" s="1">
        <v>-8.3120499999999995E-6</v>
      </c>
      <c r="I6946">
        <v>-55.624630000000003</v>
      </c>
      <c r="J6946">
        <v>-195.14599999999999</v>
      </c>
      <c r="K6946">
        <v>1.1282749999999999</v>
      </c>
      <c r="L6946">
        <v>-60.808169999999997</v>
      </c>
      <c r="M6946">
        <v>0.91449639999999999</v>
      </c>
      <c r="N6946">
        <v>-1.597457E-2</v>
      </c>
      <c r="O6946">
        <v>0.40427869999999999</v>
      </c>
      <c r="P6946">
        <v>0.61772689999999997</v>
      </c>
      <c r="Q6946">
        <v>-0.14781440000000001</v>
      </c>
      <c r="R6946">
        <v>0.77237579999999995</v>
      </c>
      <c r="S6946">
        <v>0.70137019999999906</v>
      </c>
      <c r="T6946">
        <v>-0.69139459999999997</v>
      </c>
      <c r="U6946">
        <v>3.2285159999999999</v>
      </c>
      <c r="V6946">
        <v>-0.45418710000000001</v>
      </c>
      <c r="W6946">
        <v>-0.14194889999999999</v>
      </c>
      <c r="X6946">
        <v>0.87952520000000001</v>
      </c>
      <c r="Y6946">
        <v>-0.79856319999999903</v>
      </c>
      <c r="Z6946">
        <v>2.4552170000000002E-2</v>
      </c>
      <c r="AA6946">
        <v>0.60141</v>
      </c>
      <c r="AB6946">
        <v>19</v>
      </c>
      <c r="AC6946">
        <v>0.987899999999996</v>
      </c>
      <c r="AD6946">
        <v>-1.12828331205</v>
      </c>
      <c r="AE6946">
        <v>5.18353999999999</v>
      </c>
      <c r="AF6946">
        <v>-4.15168799533257</v>
      </c>
      <c r="AG6946">
        <v>-1.12828331205</v>
      </c>
      <c r="AH6946">
        <v>2.8682760973294599</v>
      </c>
      <c r="AI6946">
        <v>102.60365035472999</v>
      </c>
      <c r="AJ6946">
        <v>145.360574058471</v>
      </c>
      <c r="AK6946">
        <v>5.1707392327742303</v>
      </c>
      <c r="AL6946">
        <v>98.160636463470198</v>
      </c>
      <c r="AM6946">
        <v>117.311845111031</v>
      </c>
      <c r="AN6946">
        <v>0.99999999472633005</v>
      </c>
    </row>
    <row r="6947" spans="1:40" x14ac:dyDescent="0.25">
      <c r="A6947" t="str">
        <f>"20190303154656482"</f>
        <v>20190303154656482</v>
      </c>
      <c r="B6947" t="str">
        <f>"1551599216478962"</f>
        <v>1551599216478962</v>
      </c>
      <c r="C6947" t="s">
        <v>40</v>
      </c>
      <c r="D6947">
        <v>5.1530630000000004</v>
      </c>
      <c r="E6947">
        <v>0.31361149999999999</v>
      </c>
      <c r="F6947" t="s">
        <v>60</v>
      </c>
      <c r="G6947">
        <v>-194.0324</v>
      </c>
      <c r="H6947" s="1">
        <v>-8.3906560000000005E-6</v>
      </c>
      <c r="I6947">
        <v>-55.373899999999999</v>
      </c>
      <c r="J6947">
        <v>-195.0453</v>
      </c>
      <c r="K6947">
        <v>1.1282779999999999</v>
      </c>
      <c r="L6947">
        <v>-60.752139999999997</v>
      </c>
      <c r="M6947">
        <v>0.91071409999999997</v>
      </c>
      <c r="N6947">
        <v>-1.5992119999999999E-2</v>
      </c>
      <c r="O6947">
        <v>0.41272779999999998</v>
      </c>
      <c r="P6947">
        <v>0.60841599999999996</v>
      </c>
      <c r="Q6947">
        <v>-0.1491603</v>
      </c>
      <c r="R6947">
        <v>0.77947500000000003</v>
      </c>
      <c r="S6947">
        <v>0.66123959999999904</v>
      </c>
      <c r="T6947">
        <v>-0.67001319999999998</v>
      </c>
      <c r="U6947">
        <v>3.2270509999999999</v>
      </c>
      <c r="V6947">
        <v>-0.4563238</v>
      </c>
      <c r="W6947">
        <v>-0.14335989999999901</v>
      </c>
      <c r="X6947">
        <v>0.87818929999999995</v>
      </c>
      <c r="Y6947">
        <v>-0.80065019999999998</v>
      </c>
      <c r="Z6947">
        <v>2.2707370000000001E-2</v>
      </c>
      <c r="AA6947">
        <v>0.59870159999999994</v>
      </c>
      <c r="AB6947">
        <v>19</v>
      </c>
      <c r="AC6947">
        <v>1.0128999999999999</v>
      </c>
      <c r="AD6947">
        <v>-1.1282863906559999</v>
      </c>
      <c r="AE6947">
        <v>5.3782399999999999</v>
      </c>
      <c r="AF6947">
        <v>-4.2978859567960797</v>
      </c>
      <c r="AG6947">
        <v>-1.1282863906559999</v>
      </c>
      <c r="AH6947">
        <v>3.0144878843730201</v>
      </c>
      <c r="AI6947">
        <v>102.12979975161799</v>
      </c>
      <c r="AJ6947">
        <v>144.95462098497799</v>
      </c>
      <c r="AK6947">
        <v>5.3695429118311599</v>
      </c>
      <c r="AL6947">
        <v>98.242316486989793</v>
      </c>
      <c r="AM6947">
        <v>117.45724326804201</v>
      </c>
      <c r="AN6947">
        <v>0.99999995900446903</v>
      </c>
    </row>
    <row r="6948" spans="1:40" x14ac:dyDescent="0.25">
      <c r="A6948" t="str">
        <f>"20190303154656504"</f>
        <v>20190303154656504</v>
      </c>
      <c r="B6948" t="str">
        <f>"1551599216498483"</f>
        <v>1551599216498483</v>
      </c>
      <c r="C6948" t="s">
        <v>40</v>
      </c>
      <c r="D6948">
        <v>5.2848980000000001</v>
      </c>
      <c r="E6948">
        <v>0.31617990000000001</v>
      </c>
      <c r="F6948" t="s">
        <v>60</v>
      </c>
      <c r="G6948">
        <v>-193.9443</v>
      </c>
      <c r="H6948" s="1">
        <v>-8.4409680000000001E-6</v>
      </c>
      <c r="I6948">
        <v>-55.211319999999901</v>
      </c>
      <c r="J6948">
        <v>-194.90129999999999</v>
      </c>
      <c r="K6948">
        <v>1.1282840000000001</v>
      </c>
      <c r="L6948">
        <v>-60.669310000000003</v>
      </c>
      <c r="M6948">
        <v>0.90505610000000003</v>
      </c>
      <c r="N6948">
        <v>-1.601845E-2</v>
      </c>
      <c r="O6948">
        <v>0.42499029999999999</v>
      </c>
      <c r="P6948">
        <v>0.59398189999999995</v>
      </c>
      <c r="Q6948">
        <v>-0.15273689999999901</v>
      </c>
      <c r="R6948">
        <v>0.78984619999999905</v>
      </c>
      <c r="S6948">
        <v>0.64048769999999999</v>
      </c>
      <c r="T6948">
        <v>-0.65635299999999996</v>
      </c>
      <c r="U6948">
        <v>3.223236</v>
      </c>
      <c r="V6948">
        <v>-0.45989770000000002</v>
      </c>
      <c r="W6948">
        <v>-0.14705379999999901</v>
      </c>
      <c r="X6948">
        <v>0.87571069999999995</v>
      </c>
      <c r="Y6948">
        <v>-0.79673709999999998</v>
      </c>
      <c r="Z6948">
        <v>1.8922410000000001E-2</v>
      </c>
      <c r="AA6948">
        <v>0.60402979999999995</v>
      </c>
      <c r="AB6948">
        <v>18</v>
      </c>
      <c r="AC6948">
        <v>0.95699999999999297</v>
      </c>
      <c r="AD6948">
        <v>-1.128292440968</v>
      </c>
      <c r="AE6948">
        <v>5.4579899999999997</v>
      </c>
      <c r="AF6948">
        <v>-4.3531717596828097</v>
      </c>
      <c r="AG6948">
        <v>-1.128292440968</v>
      </c>
      <c r="AH6948">
        <v>3.0593024188536999</v>
      </c>
      <c r="AI6948">
        <v>101.972704349276</v>
      </c>
      <c r="AJ6948">
        <v>144.901391461429</v>
      </c>
      <c r="AK6948">
        <v>5.4389777984148404</v>
      </c>
      <c r="AL6948">
        <v>98.456228580344302</v>
      </c>
      <c r="AM6948">
        <v>117.707144465615</v>
      </c>
      <c r="AN6948">
        <v>0.99999997232710902</v>
      </c>
    </row>
    <row r="6949" spans="1:40" x14ac:dyDescent="0.25">
      <c r="A6949" t="str">
        <f>"20190303154656529"</f>
        <v>20190303154656529</v>
      </c>
      <c r="B6949" t="str">
        <f>"1551599216518978"</f>
        <v>1551599216518978</v>
      </c>
      <c r="C6949" t="s">
        <v>40</v>
      </c>
      <c r="D6949">
        <v>5.2438609999999999</v>
      </c>
      <c r="E6949">
        <v>0.317747</v>
      </c>
      <c r="F6949" t="s">
        <v>60</v>
      </c>
      <c r="G6949">
        <v>-193.8674</v>
      </c>
      <c r="H6949" s="1">
        <v>-8.4736479999999993E-6</v>
      </c>
      <c r="I6949">
        <v>-55.100290000000001</v>
      </c>
      <c r="J6949">
        <v>-194.73390000000001</v>
      </c>
      <c r="K6949">
        <v>1.128314</v>
      </c>
      <c r="L6949">
        <v>-60.5693699999999</v>
      </c>
      <c r="M6949">
        <v>0.89811589999999997</v>
      </c>
      <c r="N6949">
        <v>-1.6051820000000001E-2</v>
      </c>
      <c r="O6949">
        <v>0.43946580000000002</v>
      </c>
      <c r="P6949">
        <v>0.57828210000000002</v>
      </c>
      <c r="Q6949">
        <v>-0.1541081</v>
      </c>
      <c r="R6949">
        <v>0.80114949999999996</v>
      </c>
      <c r="S6949">
        <v>0.5982208</v>
      </c>
      <c r="T6949">
        <v>-0.65279770000000004</v>
      </c>
      <c r="U6949">
        <v>3.2220759999999999</v>
      </c>
      <c r="V6949">
        <v>-0.46282790000000001</v>
      </c>
      <c r="W6949">
        <v>-0.14853079999999999</v>
      </c>
      <c r="X6949">
        <v>0.87391589999999997</v>
      </c>
      <c r="Y6949">
        <v>-0.79498519999999995</v>
      </c>
      <c r="Z6949">
        <v>1.52081E-2</v>
      </c>
      <c r="AA6949">
        <v>0.60643829999999999</v>
      </c>
      <c r="AB6949">
        <v>18</v>
      </c>
      <c r="AC6949">
        <v>0.86650000000000205</v>
      </c>
      <c r="AD6949">
        <v>-1.128322473648</v>
      </c>
      <c r="AE6949">
        <v>5.4690799999999902</v>
      </c>
      <c r="AF6949">
        <v>-4.3509954539789497</v>
      </c>
      <c r="AG6949">
        <v>-1.128322473648</v>
      </c>
      <c r="AH6949">
        <v>3.0552433458994401</v>
      </c>
      <c r="AI6949">
        <v>101.982011185467</v>
      </c>
      <c r="AJ6949">
        <v>144.92369574235499</v>
      </c>
      <c r="AK6949">
        <v>5.43495951666132</v>
      </c>
      <c r="AL6949">
        <v>98.5417935892158</v>
      </c>
      <c r="AM6949">
        <v>117.90579882125699</v>
      </c>
      <c r="AN6949">
        <v>1.00000003191992</v>
      </c>
    </row>
    <row r="6950" spans="1:40" x14ac:dyDescent="0.25">
      <c r="A6950" t="str">
        <f>"20190303154656551"</f>
        <v>20190303154656551</v>
      </c>
      <c r="B6950" t="str">
        <f>"1551599216538498"</f>
        <v>1551599216538498</v>
      </c>
      <c r="C6950" t="s">
        <v>40</v>
      </c>
      <c r="D6950">
        <v>5.2727339999999998</v>
      </c>
      <c r="E6950">
        <v>0.3190887</v>
      </c>
      <c r="F6950" t="s">
        <v>60</v>
      </c>
      <c r="G6950">
        <v>-193.77869999999999</v>
      </c>
      <c r="H6950" s="1">
        <v>-8.5306439999999996E-6</v>
      </c>
      <c r="I6950">
        <v>-54.919170000000001</v>
      </c>
      <c r="J6950">
        <v>-194.58439999999999</v>
      </c>
      <c r="K6950">
        <v>1.12836</v>
      </c>
      <c r="L6950">
        <v>-60.476840000000003</v>
      </c>
      <c r="M6950">
        <v>0.89158309999999996</v>
      </c>
      <c r="N6950">
        <v>-1.608306E-2</v>
      </c>
      <c r="O6950">
        <v>0.45257140000000001</v>
      </c>
      <c r="P6950">
        <v>0.56409480000000001</v>
      </c>
      <c r="Q6950">
        <v>-0.15430150000000001</v>
      </c>
      <c r="R6950">
        <v>0.81116469999999996</v>
      </c>
      <c r="S6950">
        <v>0.54554749999999996</v>
      </c>
      <c r="T6950">
        <v>-0.64439279999999999</v>
      </c>
      <c r="U6950">
        <v>3.2268680000000001</v>
      </c>
      <c r="V6950">
        <v>-0.46534589999999998</v>
      </c>
      <c r="W6950">
        <v>-0.1488187</v>
      </c>
      <c r="X6950">
        <v>0.87252870000000005</v>
      </c>
      <c r="Y6950">
        <v>-0.79620769999999996</v>
      </c>
      <c r="Z6950">
        <v>1.2414939999999999E-2</v>
      </c>
      <c r="AA6950">
        <v>0.60489609999999905</v>
      </c>
      <c r="AB6950">
        <v>18</v>
      </c>
      <c r="AC6950">
        <v>0.80570000000000097</v>
      </c>
      <c r="AD6950">
        <v>-1.1283685306439999</v>
      </c>
      <c r="AE6950">
        <v>5.5576699999999999</v>
      </c>
      <c r="AF6950">
        <v>-4.4129219051832598</v>
      </c>
      <c r="AG6950">
        <v>-1.1283685306439999</v>
      </c>
      <c r="AH6950">
        <v>3.10851154449883</v>
      </c>
      <c r="AI6950">
        <v>101.807120219637</v>
      </c>
      <c r="AJ6950">
        <v>144.83870543565101</v>
      </c>
      <c r="AK6950">
        <v>5.51452076834211</v>
      </c>
      <c r="AL6950">
        <v>98.558474084541302</v>
      </c>
      <c r="AM6950">
        <v>118.07234685501901</v>
      </c>
      <c r="AN6950">
        <v>1.0000000722200899</v>
      </c>
    </row>
    <row r="6951" spans="1:40" x14ac:dyDescent="0.25">
      <c r="A6951" t="str">
        <f>"20190303154656571"</f>
        <v>20190303154656571</v>
      </c>
      <c r="B6951" t="str">
        <f>"1551599216568754"</f>
        <v>1551599216568754</v>
      </c>
      <c r="C6951" t="s">
        <v>40</v>
      </c>
      <c r="D6951">
        <v>5.2551639999999997</v>
      </c>
      <c r="E6951">
        <v>0.32143919999999998</v>
      </c>
      <c r="F6951" t="s">
        <v>60</v>
      </c>
      <c r="G6951">
        <v>-193.69560000000001</v>
      </c>
      <c r="H6951" s="1">
        <v>-8.5983269999999992E-6</v>
      </c>
      <c r="I6951">
        <v>-54.710169999999998</v>
      </c>
      <c r="J6951">
        <v>-194.4479</v>
      </c>
      <c r="K6951">
        <v>1.128406</v>
      </c>
      <c r="L6951">
        <v>-60.389429999999997</v>
      </c>
      <c r="M6951">
        <v>0.885320199999999</v>
      </c>
      <c r="N6951">
        <v>-1.6112149999999999E-2</v>
      </c>
      <c r="O6951">
        <v>0.46470260000000002</v>
      </c>
      <c r="P6951">
        <v>0.55104299999999995</v>
      </c>
      <c r="Q6951">
        <v>-0.15455679999999999</v>
      </c>
      <c r="R6951">
        <v>0.82003890000000002</v>
      </c>
      <c r="S6951">
        <v>0.49813839999999998</v>
      </c>
      <c r="T6951">
        <v>-0.63234820000000003</v>
      </c>
      <c r="U6951">
        <v>3.2316889999999998</v>
      </c>
      <c r="V6951">
        <v>-0.46732259999999998</v>
      </c>
      <c r="W6951">
        <v>-0.14915599999999901</v>
      </c>
      <c r="X6951">
        <v>0.87141380000000002</v>
      </c>
      <c r="Y6951">
        <v>-0.79714600000000002</v>
      </c>
      <c r="Z6951">
        <v>9.8644049999999997E-3</v>
      </c>
      <c r="AA6951">
        <v>0.60370599999999996</v>
      </c>
      <c r="AB6951">
        <v>18</v>
      </c>
      <c r="AC6951">
        <v>0.75229999999999098</v>
      </c>
      <c r="AD6951">
        <v>-1.128414598327</v>
      </c>
      <c r="AE6951">
        <v>5.6792600000000002</v>
      </c>
      <c r="AF6951">
        <v>-4.5042243586769004</v>
      </c>
      <c r="AG6951">
        <v>-1.128414598327</v>
      </c>
      <c r="AH6951">
        <v>3.18216364948039</v>
      </c>
      <c r="AI6951">
        <v>101.563774301403</v>
      </c>
      <c r="AJ6951">
        <v>144.759395543453</v>
      </c>
      <c r="AK6951">
        <v>5.62916708502157</v>
      </c>
      <c r="AL6951">
        <v>98.578018980473701</v>
      </c>
      <c r="AM6951">
        <v>118.20381056296399</v>
      </c>
      <c r="AN6951">
        <v>0.99999996781859901</v>
      </c>
    </row>
    <row r="6952" spans="1:40" x14ac:dyDescent="0.25">
      <c r="A6952" t="str">
        <f>"20190303154656594"</f>
        <v>20190303154656594</v>
      </c>
      <c r="B6952" t="str">
        <f>"1551599216588276"</f>
        <v>1551599216588276</v>
      </c>
      <c r="C6952" t="s">
        <v>40</v>
      </c>
      <c r="D6952">
        <v>5.218915</v>
      </c>
      <c r="E6952">
        <v>0.33801320000000001</v>
      </c>
      <c r="F6952" t="s">
        <v>60</v>
      </c>
      <c r="G6952">
        <v>-193.60329999999999</v>
      </c>
      <c r="H6952" s="1">
        <v>-8.6687980000000003E-6</v>
      </c>
      <c r="I6952">
        <v>-54.491</v>
      </c>
      <c r="J6952">
        <v>-194.29669999999999</v>
      </c>
      <c r="K6952">
        <v>1.1284639999999999</v>
      </c>
      <c r="L6952">
        <v>-60.289279999999998</v>
      </c>
      <c r="M6952">
        <v>0.87802819999999904</v>
      </c>
      <c r="N6952">
        <v>-1.6145130000000001E-2</v>
      </c>
      <c r="O6952">
        <v>0.4783366</v>
      </c>
      <c r="P6952">
        <v>0.53694119999999901</v>
      </c>
      <c r="Q6952">
        <v>-0.153891</v>
      </c>
      <c r="R6952">
        <v>0.82946469999999894</v>
      </c>
      <c r="S6952">
        <v>0.46266170000000001</v>
      </c>
      <c r="T6952">
        <v>-0.618112199999999</v>
      </c>
      <c r="U6952">
        <v>3.230988</v>
      </c>
      <c r="V6952">
        <v>-0.46884480000000001</v>
      </c>
      <c r="W6952">
        <v>-0.14856269999999999</v>
      </c>
      <c r="X6952">
        <v>0.87069730000000001</v>
      </c>
      <c r="Y6952">
        <v>-0.79478990000000005</v>
      </c>
      <c r="Z6952">
        <v>6.4617619999999898E-3</v>
      </c>
      <c r="AA6952">
        <v>0.60685040000000001</v>
      </c>
      <c r="AB6952">
        <v>18</v>
      </c>
      <c r="AC6952">
        <v>0.69339999999999602</v>
      </c>
      <c r="AD6952">
        <v>-1.128472668798</v>
      </c>
      <c r="AE6952">
        <v>5.7982799999999903</v>
      </c>
      <c r="AF6952">
        <v>-4.5886384333358299</v>
      </c>
      <c r="AG6952">
        <v>-1.128472668798</v>
      </c>
      <c r="AH6952">
        <v>3.2610167759744999</v>
      </c>
      <c r="AI6952">
        <v>101.335357595186</v>
      </c>
      <c r="AJ6952">
        <v>144.599658372064</v>
      </c>
      <c r="AK6952">
        <v>5.74136600899977</v>
      </c>
      <c r="AL6952">
        <v>98.543641629030006</v>
      </c>
      <c r="AM6952">
        <v>118.301153277889</v>
      </c>
      <c r="AN6952">
        <v>1.0000000552727999</v>
      </c>
    </row>
    <row r="6953" spans="1:40" x14ac:dyDescent="0.25">
      <c r="A6953" t="str">
        <f>"20190303154656615"</f>
        <v>20190303154656615</v>
      </c>
      <c r="B6953" t="str">
        <f>"1551599216608770"</f>
        <v>1551599216608770</v>
      </c>
      <c r="C6953" t="s">
        <v>40</v>
      </c>
      <c r="D6953">
        <v>5.2230470000000002</v>
      </c>
      <c r="E6953">
        <v>0.33871230000000002</v>
      </c>
      <c r="F6953" t="s">
        <v>60</v>
      </c>
      <c r="G6953">
        <v>-193.15950000000001</v>
      </c>
      <c r="H6953" s="1">
        <v>-9.0336430000000003E-6</v>
      </c>
      <c r="I6953">
        <v>-53.3656199999999</v>
      </c>
      <c r="J6953">
        <v>-194.1566</v>
      </c>
      <c r="K6953">
        <v>1.12852</v>
      </c>
      <c r="L6953">
        <v>-60.193119999999901</v>
      </c>
      <c r="M6953">
        <v>0.87091649999999998</v>
      </c>
      <c r="N6953">
        <v>-1.617704E-2</v>
      </c>
      <c r="O6953">
        <v>0.49116480000000001</v>
      </c>
      <c r="P6953">
        <v>0.52336130000000003</v>
      </c>
      <c r="Q6953">
        <v>-0.15421389999999999</v>
      </c>
      <c r="R6953">
        <v>0.83804009999999995</v>
      </c>
      <c r="S6953">
        <v>0.52267459999999999</v>
      </c>
      <c r="T6953">
        <v>-0.5186636</v>
      </c>
      <c r="U6953">
        <v>3.18222</v>
      </c>
      <c r="V6953">
        <v>-0.4701728</v>
      </c>
      <c r="W6953">
        <v>-0.14895249999999999</v>
      </c>
      <c r="X6953">
        <v>0.86991419999999997</v>
      </c>
      <c r="Y6953">
        <v>-0.77511269999999999</v>
      </c>
      <c r="Z6953">
        <v>2.243362E-3</v>
      </c>
      <c r="AA6953">
        <v>0.63181899999999902</v>
      </c>
      <c r="AB6953">
        <v>18</v>
      </c>
      <c r="AC6953">
        <v>0.997099999999989</v>
      </c>
      <c r="AD6953">
        <v>-1.1285290336430001</v>
      </c>
      <c r="AE6953">
        <v>6.8274999999999997</v>
      </c>
      <c r="AF6953">
        <v>-5.3149759489455404</v>
      </c>
      <c r="AG6953">
        <v>-1.1285290336430001</v>
      </c>
      <c r="AH6953">
        <v>4.1123618539150204</v>
      </c>
      <c r="AI6953">
        <v>99.5328456165701</v>
      </c>
      <c r="AJ6953">
        <v>142.269767248325</v>
      </c>
      <c r="AK6953">
        <v>6.8142547013727102</v>
      </c>
      <c r="AL6953">
        <v>98.566227183920006</v>
      </c>
      <c r="AM6953">
        <v>118.390415160534</v>
      </c>
      <c r="AN6953">
        <v>1.0000000122388599</v>
      </c>
    </row>
    <row r="6954" spans="1:40" x14ac:dyDescent="0.25">
      <c r="A6954" t="str">
        <f>"20190303154656649"</f>
        <v>20190303154656649</v>
      </c>
      <c r="B6954" t="str">
        <f>"1551599216639031"</f>
        <v>1551599216639031</v>
      </c>
      <c r="C6954" t="s">
        <v>40</v>
      </c>
      <c r="D6954">
        <v>5.3402289999999999</v>
      </c>
      <c r="E6954">
        <v>0.3409335</v>
      </c>
      <c r="F6954" t="s">
        <v>60</v>
      </c>
      <c r="G6954">
        <v>-193.11529999999999</v>
      </c>
      <c r="H6954" s="1">
        <v>-9.0853790000000003E-6</v>
      </c>
      <c r="I6954">
        <v>-53.211179999999999</v>
      </c>
      <c r="J6954">
        <v>-193.94300000000001</v>
      </c>
      <c r="K6954">
        <v>1.1286020000000001</v>
      </c>
      <c r="L6954">
        <v>-60.040100000000002</v>
      </c>
      <c r="M6954">
        <v>0.85937549999999996</v>
      </c>
      <c r="N6954">
        <v>-1.622871E-2</v>
      </c>
      <c r="O6954">
        <v>0.51108739999999997</v>
      </c>
      <c r="P6954">
        <v>0.50570090000000001</v>
      </c>
      <c r="Q6954">
        <v>-0.15349160000000001</v>
      </c>
      <c r="R6954">
        <v>0.84894459999999905</v>
      </c>
      <c r="S6954">
        <v>0.47546389999999999</v>
      </c>
      <c r="T6954">
        <v>-0.51530169999999997</v>
      </c>
      <c r="U6954">
        <v>3.1880489999999999</v>
      </c>
      <c r="V6954">
        <v>-0.46846080000000001</v>
      </c>
      <c r="W6954">
        <v>-0.148217299999999</v>
      </c>
      <c r="X6954">
        <v>0.87096280000000004</v>
      </c>
      <c r="Y6954">
        <v>-0.7701848</v>
      </c>
      <c r="Z6954">
        <v>-2.161942E-3</v>
      </c>
      <c r="AA6954">
        <v>0.63781719999999997</v>
      </c>
      <c r="AB6954">
        <v>18</v>
      </c>
      <c r="AC6954">
        <v>0.827699999999992</v>
      </c>
      <c r="AD6954">
        <v>-1.1286110853789999</v>
      </c>
      <c r="AE6954">
        <v>6.8289199999999903</v>
      </c>
      <c r="AF6954">
        <v>-5.3035336893185301</v>
      </c>
      <c r="AG6954">
        <v>-1.1286110853789999</v>
      </c>
      <c r="AH6954">
        <v>4.09188610632508</v>
      </c>
      <c r="AI6954">
        <v>99.563663357703604</v>
      </c>
      <c r="AJ6954">
        <v>142.34839249676</v>
      </c>
      <c r="AK6954">
        <v>6.7929937791016197</v>
      </c>
      <c r="AL6954">
        <v>98.523630214957194</v>
      </c>
      <c r="AM6954">
        <v>118.274272580126</v>
      </c>
      <c r="AN6954">
        <v>1.00000004406988</v>
      </c>
    </row>
    <row r="6955" spans="1:40" x14ac:dyDescent="0.25">
      <c r="A6955" t="str">
        <f>"20190303154656671"</f>
        <v>20190303154656671</v>
      </c>
      <c r="B6955" t="str">
        <f>"1551599216668306"</f>
        <v>1551599216668306</v>
      </c>
      <c r="C6955" t="s">
        <v>40</v>
      </c>
      <c r="D6955">
        <v>5.315512</v>
      </c>
      <c r="E6955">
        <v>0.35138200000000003</v>
      </c>
      <c r="F6955" t="s">
        <v>60</v>
      </c>
      <c r="G6955">
        <v>-192.9691</v>
      </c>
      <c r="H6955" s="1">
        <v>-9.2485520000000002E-6</v>
      </c>
      <c r="I6955">
        <v>-52.722219999999901</v>
      </c>
      <c r="J6955">
        <v>-193.80680000000001</v>
      </c>
      <c r="K6955">
        <v>1.128636</v>
      </c>
      <c r="L6955">
        <v>-59.938200000000002</v>
      </c>
      <c r="M6955">
        <v>0.85154889999999905</v>
      </c>
      <c r="N6955">
        <v>-1.6262059999999998E-2</v>
      </c>
      <c r="O6955">
        <v>0.52402309999999996</v>
      </c>
      <c r="P6955">
        <v>0.49443880000000001</v>
      </c>
      <c r="Q6955">
        <v>-0.15490079999999901</v>
      </c>
      <c r="R6955">
        <v>0.85529880000000003</v>
      </c>
      <c r="S6955">
        <v>0.42480469999999998</v>
      </c>
      <c r="T6955">
        <v>-0.49225140000000001</v>
      </c>
      <c r="U6955">
        <v>3.1917420000000001</v>
      </c>
      <c r="V6955">
        <v>-0.46654810000000002</v>
      </c>
      <c r="W6955">
        <v>-0.14959120000000001</v>
      </c>
      <c r="X6955">
        <v>0.87175419999999904</v>
      </c>
      <c r="Y6955">
        <v>-0.77099059999999997</v>
      </c>
      <c r="Z6955">
        <v>-3.6625749999999999E-3</v>
      </c>
      <c r="AA6955">
        <v>0.63683599999999996</v>
      </c>
      <c r="AB6955">
        <v>18</v>
      </c>
      <c r="AC6955">
        <v>0.83770000000001199</v>
      </c>
      <c r="AD6955">
        <v>-1.128645248552</v>
      </c>
      <c r="AE6955">
        <v>7.2159800000000001</v>
      </c>
      <c r="AF6955">
        <v>-5.5720390178031201</v>
      </c>
      <c r="AG6955">
        <v>-1.128645248552</v>
      </c>
      <c r="AH6955">
        <v>4.3893249598763102</v>
      </c>
      <c r="AI6955">
        <v>99.040886514650396</v>
      </c>
      <c r="AJ6955">
        <v>141.77103742869701</v>
      </c>
      <c r="AK6955">
        <v>7.1824530987951896</v>
      </c>
      <c r="AL6955">
        <v>98.603236569590294</v>
      </c>
      <c r="AM6955">
        <v>118.154936132404</v>
      </c>
      <c r="AN6955">
        <v>1.00000002097434</v>
      </c>
    </row>
    <row r="6956" spans="1:40" x14ac:dyDescent="0.25">
      <c r="A6956" t="str">
        <f>"20190303154656695"</f>
        <v>20190303154656695</v>
      </c>
      <c r="B6956" t="str">
        <f>"1551599216688803"</f>
        <v>1551599216688803</v>
      </c>
      <c r="C6956" t="s">
        <v>40</v>
      </c>
      <c r="D6956">
        <v>5.3626620000000003</v>
      </c>
      <c r="E6956">
        <v>0.35382400000000003</v>
      </c>
      <c r="F6956" t="s">
        <v>60</v>
      </c>
      <c r="G6956">
        <v>-192.66900000000001</v>
      </c>
      <c r="H6956" s="1">
        <v>-9.4584829999999995E-6</v>
      </c>
      <c r="I6956">
        <v>-52.062399999999997</v>
      </c>
      <c r="J6956">
        <v>-193.65530000000001</v>
      </c>
      <c r="K6956">
        <v>1.1286510000000001</v>
      </c>
      <c r="L6956">
        <v>-59.820740000000001</v>
      </c>
      <c r="M6956">
        <v>0.84240459999999995</v>
      </c>
      <c r="N6956">
        <v>-1.6296970000000001E-2</v>
      </c>
      <c r="O6956">
        <v>0.53859899999999905</v>
      </c>
      <c r="P6956">
        <v>0.48076350000000001</v>
      </c>
      <c r="Q6956">
        <v>-0.15671379999999999</v>
      </c>
      <c r="R6956">
        <v>0.86273239999999995</v>
      </c>
      <c r="S6956">
        <v>0.45674130000000002</v>
      </c>
      <c r="T6956">
        <v>-0.45305529999999999</v>
      </c>
      <c r="U6956">
        <v>3.1614689999999999</v>
      </c>
      <c r="V6956">
        <v>-0.46510479999999998</v>
      </c>
      <c r="W6956">
        <v>-0.1513707</v>
      </c>
      <c r="X6956">
        <v>0.8722181</v>
      </c>
      <c r="Y6956">
        <v>-0.75343329999999997</v>
      </c>
      <c r="Z6956">
        <v>-6.9740599999999998E-3</v>
      </c>
      <c r="AA6956">
        <v>0.6574873</v>
      </c>
      <c r="AB6956">
        <v>18</v>
      </c>
      <c r="AC6956">
        <v>0.98629999999999995</v>
      </c>
      <c r="AD6956">
        <v>-1.128660458483</v>
      </c>
      <c r="AE6956">
        <v>7.7583399999999996</v>
      </c>
      <c r="AF6956">
        <v>-5.8827194048817599</v>
      </c>
      <c r="AG6956">
        <v>-1.128660458483</v>
      </c>
      <c r="AH6956">
        <v>4.9079455534369201</v>
      </c>
      <c r="AI6956">
        <v>98.380601076285302</v>
      </c>
      <c r="AJ6956">
        <v>140.16179928173599</v>
      </c>
      <c r="AK6956">
        <v>7.7439131957051703</v>
      </c>
      <c r="AL6956">
        <v>98.706369079398698</v>
      </c>
      <c r="AM6956">
        <v>118.068488123032</v>
      </c>
      <c r="AN6956">
        <v>0.99999998888456898</v>
      </c>
    </row>
    <row r="6957" spans="1:40" x14ac:dyDescent="0.25">
      <c r="A6957" t="str">
        <f>"20190303154656718"</f>
        <v>20190303154656718</v>
      </c>
      <c r="B6957" t="str">
        <f>"1551599216708323"</f>
        <v>1551599216708323</v>
      </c>
      <c r="C6957" t="s">
        <v>40</v>
      </c>
      <c r="D6957">
        <v>5.4284280000000003</v>
      </c>
      <c r="E6957">
        <v>0.35744229999999999</v>
      </c>
      <c r="F6957" t="s">
        <v>60</v>
      </c>
      <c r="G6957">
        <v>-192.60149999999999</v>
      </c>
      <c r="H6957" s="1">
        <v>-9.4862000000000008E-6</v>
      </c>
      <c r="I6957">
        <v>-51.96763</v>
      </c>
      <c r="J6957">
        <v>-193.5188</v>
      </c>
      <c r="K6957">
        <v>1.128657</v>
      </c>
      <c r="L6957">
        <v>-59.711089999999999</v>
      </c>
      <c r="M6957">
        <v>0.83374859999999995</v>
      </c>
      <c r="N6957">
        <v>-1.6325639999999999E-2</v>
      </c>
      <c r="O6957">
        <v>0.55190289999999997</v>
      </c>
      <c r="P6957">
        <v>0.46702270000000001</v>
      </c>
      <c r="Q6957">
        <v>-0.15852820000000001</v>
      </c>
      <c r="R6957">
        <v>0.86991870000000004</v>
      </c>
      <c r="S6957">
        <v>0.42384339999999998</v>
      </c>
      <c r="T6957">
        <v>-0.45396710000000001</v>
      </c>
      <c r="U6957">
        <v>3.1586609999999999</v>
      </c>
      <c r="V6957">
        <v>-0.46477600000000002</v>
      </c>
      <c r="W6957">
        <v>-0.15317500000000001</v>
      </c>
      <c r="X6957">
        <v>0.87207839999999903</v>
      </c>
      <c r="Y6957">
        <v>-0.749733599999999</v>
      </c>
      <c r="Z6957">
        <v>-9.778719E-3</v>
      </c>
      <c r="AA6957">
        <v>0.66166749999999996</v>
      </c>
      <c r="AB6957">
        <v>18</v>
      </c>
      <c r="AC6957">
        <v>0.917300000000011</v>
      </c>
      <c r="AD6957">
        <v>-1.1286664862</v>
      </c>
      <c r="AE6957">
        <v>7.7434599999999998</v>
      </c>
      <c r="AF6957">
        <v>-5.82851680729076</v>
      </c>
      <c r="AG6957">
        <v>-1.1286664862</v>
      </c>
      <c r="AH6957">
        <v>4.9356981995835802</v>
      </c>
      <c r="AI6957">
        <v>98.406209978217206</v>
      </c>
      <c r="AJ6957">
        <v>139.74144303652</v>
      </c>
      <c r="AK6957">
        <v>7.7205319070200398</v>
      </c>
      <c r="AL6957">
        <v>98.810967342324602</v>
      </c>
      <c r="AM6957">
        <v>118.055477651274</v>
      </c>
      <c r="AN6957">
        <v>1.00000002327377</v>
      </c>
    </row>
    <row r="6958" spans="1:40" x14ac:dyDescent="0.25">
      <c r="A6958" t="str">
        <f>"20190303154656741"</f>
        <v>20190303154656741</v>
      </c>
      <c r="B6958" t="str">
        <f>"1551599216738579"</f>
        <v>1551599216738579</v>
      </c>
      <c r="C6958" t="s">
        <v>40</v>
      </c>
      <c r="D6958">
        <v>5.4729739999999998</v>
      </c>
      <c r="E6958">
        <v>0.37345329999999999</v>
      </c>
      <c r="F6958" t="s">
        <v>60</v>
      </c>
      <c r="G6958">
        <v>-192.5187</v>
      </c>
      <c r="H6958" s="1">
        <v>-9.5299979999999998E-6</v>
      </c>
      <c r="I6958">
        <v>-51.82441</v>
      </c>
      <c r="J6958">
        <v>-193.38499999999999</v>
      </c>
      <c r="K6958">
        <v>1.1286510000000001</v>
      </c>
      <c r="L6958">
        <v>-59.599910000000001</v>
      </c>
      <c r="M6958">
        <v>0.82486009999999998</v>
      </c>
      <c r="N6958">
        <v>-1.6352209999999999E-2</v>
      </c>
      <c r="O6958">
        <v>0.56510039999999995</v>
      </c>
      <c r="P6958">
        <v>0.45278669999999999</v>
      </c>
      <c r="Q6958">
        <v>-0.15997159999999999</v>
      </c>
      <c r="R6958">
        <v>0.87715069999999995</v>
      </c>
      <c r="S6958">
        <v>0.39965820000000002</v>
      </c>
      <c r="T6958">
        <v>-0.45105909999999999</v>
      </c>
      <c r="U6958">
        <v>3.1518250000000001</v>
      </c>
      <c r="V6958">
        <v>-0.46485880000000002</v>
      </c>
      <c r="W6958">
        <v>-0.154617</v>
      </c>
      <c r="X6958">
        <v>0.87177969999999905</v>
      </c>
      <c r="Y6958">
        <v>-0.7441506</v>
      </c>
      <c r="Z6958">
        <v>-1.260872E-2</v>
      </c>
      <c r="AA6958">
        <v>0.66789290000000001</v>
      </c>
      <c r="AB6958">
        <v>18</v>
      </c>
      <c r="AC6958">
        <v>0.86629999999999496</v>
      </c>
      <c r="AD6958">
        <v>-1.1286605299979999</v>
      </c>
      <c r="AE6958">
        <v>7.7754999999999903</v>
      </c>
      <c r="AF6958">
        <v>-5.80414977577004</v>
      </c>
      <c r="AG6958">
        <v>-1.1286605299979999</v>
      </c>
      <c r="AH6958">
        <v>5.0050331126235603</v>
      </c>
      <c r="AI6958">
        <v>98.3774930495902</v>
      </c>
      <c r="AJ6958">
        <v>139.2281520905</v>
      </c>
      <c r="AK6958">
        <v>7.7467661427207801</v>
      </c>
      <c r="AL6958">
        <v>98.894584344329502</v>
      </c>
      <c r="AM6958">
        <v>118.06786249157901</v>
      </c>
      <c r="AN6958">
        <v>0.99999998297926396</v>
      </c>
    </row>
    <row r="6959" spans="1:40" x14ac:dyDescent="0.25">
      <c r="A6959" t="str">
        <f>"20190303154656762"</f>
        <v>20190303154656762</v>
      </c>
      <c r="B6959" t="str">
        <f>"1551599216758099"</f>
        <v>1551599216758099</v>
      </c>
      <c r="C6959" t="s">
        <v>40</v>
      </c>
      <c r="D6959">
        <v>5.465598</v>
      </c>
      <c r="E6959">
        <v>0.37508269999999999</v>
      </c>
      <c r="F6959" t="s">
        <v>60</v>
      </c>
      <c r="G6959">
        <v>-192.1491</v>
      </c>
      <c r="H6959" s="1">
        <v>-9.675872E-6</v>
      </c>
      <c r="I6959">
        <v>-51.321660000000001</v>
      </c>
      <c r="J6959">
        <v>-193.2621</v>
      </c>
      <c r="K6959">
        <v>1.1286480000000001</v>
      </c>
      <c r="L6959">
        <v>-59.494289999999999</v>
      </c>
      <c r="M6959">
        <v>0.81630899999999995</v>
      </c>
      <c r="N6959">
        <v>-1.6376640000000001E-2</v>
      </c>
      <c r="O6959">
        <v>0.57738339999999999</v>
      </c>
      <c r="P6959">
        <v>0.43922670000000003</v>
      </c>
      <c r="Q6959">
        <v>-0.1620711</v>
      </c>
      <c r="R6959">
        <v>0.88363619999999898</v>
      </c>
      <c r="S6959">
        <v>0.46336359999999899</v>
      </c>
      <c r="T6959">
        <v>-0.4231721</v>
      </c>
      <c r="U6959">
        <v>3.10379</v>
      </c>
      <c r="V6959">
        <v>-0.4648755</v>
      </c>
      <c r="W6959">
        <v>-0.156718</v>
      </c>
      <c r="X6959">
        <v>0.87139560000000005</v>
      </c>
      <c r="Y6959">
        <v>-0.71949540000000001</v>
      </c>
      <c r="Z6959">
        <v>-1.586367E-2</v>
      </c>
      <c r="AA6959">
        <v>0.69431599999999905</v>
      </c>
      <c r="AB6959">
        <v>18</v>
      </c>
      <c r="AC6959">
        <v>1.11299999999999</v>
      </c>
      <c r="AD6959">
        <v>-1.1286576758719999</v>
      </c>
      <c r="AE6959">
        <v>8.1726299999999998</v>
      </c>
      <c r="AF6959">
        <v>-5.9187438177637697</v>
      </c>
      <c r="AG6959">
        <v>-1.1286576758719999</v>
      </c>
      <c r="AH6959">
        <v>5.5245994395446401</v>
      </c>
      <c r="AI6959">
        <v>97.935964657929702</v>
      </c>
      <c r="AJ6959">
        <v>136.97266524538099</v>
      </c>
      <c r="AK6959">
        <v>8.1747535435044494</v>
      </c>
      <c r="AL6959">
        <v>99.016447986897305</v>
      </c>
      <c r="AM6959">
        <v>118.079201725677</v>
      </c>
      <c r="AN6959">
        <v>1.0000000268617999</v>
      </c>
    </row>
    <row r="6960" spans="1:40" x14ac:dyDescent="0.25">
      <c r="A6960" t="str">
        <f>"20190303154656785"</f>
        <v>20190303154656785</v>
      </c>
      <c r="B6960" t="str">
        <f>"1551599216778595"</f>
        <v>1551599216778595</v>
      </c>
      <c r="C6960" t="s">
        <v>40</v>
      </c>
      <c r="D6960">
        <v>5.4759449999999896</v>
      </c>
      <c r="E6960">
        <v>0.37675730000000002</v>
      </c>
      <c r="F6960" t="s">
        <v>60</v>
      </c>
      <c r="G6960">
        <v>-192.13239999999999</v>
      </c>
      <c r="H6960" s="1">
        <v>-9.6833120000000004E-6</v>
      </c>
      <c r="I6960">
        <v>-51.296619999999997</v>
      </c>
      <c r="J6960">
        <v>-193.12870000000001</v>
      </c>
      <c r="K6960">
        <v>1.1286510000000001</v>
      </c>
      <c r="L6960">
        <v>-59.375369999999997</v>
      </c>
      <c r="M6960">
        <v>0.80657670000000004</v>
      </c>
      <c r="N6960">
        <v>-1.6403569999999999E-2</v>
      </c>
      <c r="O6960">
        <v>0.59090189999999998</v>
      </c>
      <c r="P6960">
        <v>0.42535440000000002</v>
      </c>
      <c r="Q6960">
        <v>-0.1638462</v>
      </c>
      <c r="R6960">
        <v>0.89007190000000003</v>
      </c>
      <c r="S6960">
        <v>0.42774960000000001</v>
      </c>
      <c r="T6960">
        <v>-0.42736390000000002</v>
      </c>
      <c r="U6960">
        <v>3.104034</v>
      </c>
      <c r="V6960">
        <v>-0.46368609999999999</v>
      </c>
      <c r="W6960">
        <v>-0.15846189999999999</v>
      </c>
      <c r="X6960">
        <v>0.87171379999999998</v>
      </c>
      <c r="Y6960">
        <v>-0.71579429999999999</v>
      </c>
      <c r="Z6960">
        <v>-1.881567E-2</v>
      </c>
      <c r="AA6960">
        <v>0.69805759999999994</v>
      </c>
      <c r="AB6960">
        <v>18</v>
      </c>
      <c r="AC6960">
        <v>0.99630000000001895</v>
      </c>
      <c r="AD6960">
        <v>-1.1286606833120001</v>
      </c>
      <c r="AE6960">
        <v>8.0787499999999905</v>
      </c>
      <c r="AF6960">
        <v>-5.8163888700122097</v>
      </c>
      <c r="AG6960">
        <v>-1.1286606833120001</v>
      </c>
      <c r="AH6960">
        <v>5.4728712995416799</v>
      </c>
      <c r="AI6960">
        <v>98.043925545558295</v>
      </c>
      <c r="AJ6960">
        <v>136.74289860089701</v>
      </c>
      <c r="AK6960">
        <v>8.0657655982927796</v>
      </c>
      <c r="AL6960">
        <v>99.117631023984103</v>
      </c>
      <c r="AM6960">
        <v>118.00961457962499</v>
      </c>
      <c r="AN6960">
        <v>0.99999996109762901</v>
      </c>
    </row>
    <row r="6961" spans="1:40" x14ac:dyDescent="0.25">
      <c r="A6961" t="str">
        <f>"20190303154656808"</f>
        <v>20190303154656808</v>
      </c>
      <c r="B6961" t="str">
        <f>"1551599216799090"</f>
        <v>1551599216799090</v>
      </c>
      <c r="C6961" t="s">
        <v>40</v>
      </c>
      <c r="D6961">
        <v>5.4728389999999996</v>
      </c>
      <c r="E6961">
        <v>0.3775271</v>
      </c>
      <c r="F6961" t="s">
        <v>60</v>
      </c>
      <c r="G6961">
        <v>-192.0933</v>
      </c>
      <c r="H6961" s="1">
        <v>-9.7264730000000003E-6</v>
      </c>
      <c r="I6961">
        <v>-51.167140000000003</v>
      </c>
      <c r="J6961">
        <v>-192.99709999999999</v>
      </c>
      <c r="K6961">
        <v>1.1286719999999999</v>
      </c>
      <c r="L6961">
        <v>-59.253909999999998</v>
      </c>
      <c r="M6961">
        <v>0.79652880000000004</v>
      </c>
      <c r="N6961">
        <v>-1.6428599999999901E-2</v>
      </c>
      <c r="O6961">
        <v>0.60437730000000001</v>
      </c>
      <c r="P6961">
        <v>0.41187360000000001</v>
      </c>
      <c r="Q6961">
        <v>-0.16475499999999901</v>
      </c>
      <c r="R6961">
        <v>0.89622309999999905</v>
      </c>
      <c r="S6961">
        <v>0.39164729999999998</v>
      </c>
      <c r="T6961">
        <v>-0.42691709999999999</v>
      </c>
      <c r="U6961">
        <v>3.1047669999999998</v>
      </c>
      <c r="V6961">
        <v>-0.46203709999999998</v>
      </c>
      <c r="W6961">
        <v>-0.15931890000000001</v>
      </c>
      <c r="X6961">
        <v>0.87243289999999996</v>
      </c>
      <c r="Y6961">
        <v>-0.71215299999999904</v>
      </c>
      <c r="Z6961">
        <v>-2.1421340000000001E-2</v>
      </c>
      <c r="AA6961">
        <v>0.70169749999999997</v>
      </c>
      <c r="AB6961">
        <v>18</v>
      </c>
      <c r="AC6961">
        <v>0.90379999999998895</v>
      </c>
      <c r="AD6961">
        <v>-1.12868172647299</v>
      </c>
      <c r="AE6961">
        <v>8.0867699999999907</v>
      </c>
      <c r="AF6961">
        <v>-5.7846098320527597</v>
      </c>
      <c r="AG6961">
        <v>-1.12868172647299</v>
      </c>
      <c r="AH6961">
        <v>5.5022573523590497</v>
      </c>
      <c r="AI6961">
        <v>98.0469473300777</v>
      </c>
      <c r="AJ6961">
        <v>136.43301341008899</v>
      </c>
      <c r="AK6961">
        <v>8.0629070018415003</v>
      </c>
      <c r="AL6961">
        <v>99.167365155222399</v>
      </c>
      <c r="AM6961">
        <v>117.90552187712601</v>
      </c>
      <c r="AN6961">
        <v>0.99999997933801399</v>
      </c>
    </row>
    <row r="6962" spans="1:40" x14ac:dyDescent="0.25">
      <c r="A6962" t="str">
        <f>"20190303154656831"</f>
        <v>20190303154656831</v>
      </c>
      <c r="B6962" t="str">
        <f>"1551599216828370"</f>
        <v>1551599216828370</v>
      </c>
      <c r="C6962" t="s">
        <v>40</v>
      </c>
      <c r="D6962">
        <v>5.4509720000000002</v>
      </c>
      <c r="E6962">
        <v>0.3920361</v>
      </c>
      <c r="F6962" t="s">
        <v>60</v>
      </c>
      <c r="G6962">
        <v>-192.0701</v>
      </c>
      <c r="H6962" s="1">
        <v>-9.7723350000000003E-6</v>
      </c>
      <c r="I6962">
        <v>-51.034640000000003</v>
      </c>
      <c r="J6962">
        <v>-192.87289999999999</v>
      </c>
      <c r="K6962">
        <v>1.128682</v>
      </c>
      <c r="L6962">
        <v>-59.135309999999997</v>
      </c>
      <c r="M6962">
        <v>0.78661190000000003</v>
      </c>
      <c r="N6962">
        <v>-1.6449729999999999E-2</v>
      </c>
      <c r="O6962">
        <v>0.61722860000000002</v>
      </c>
      <c r="P6962">
        <v>0.39960600000000002</v>
      </c>
      <c r="Q6962">
        <v>-0.1640692</v>
      </c>
      <c r="R6962">
        <v>0.90188489999999999</v>
      </c>
      <c r="S6962">
        <v>0.35050959999999998</v>
      </c>
      <c r="T6962">
        <v>-0.4267745</v>
      </c>
      <c r="U6962">
        <v>3.1078489999999999</v>
      </c>
      <c r="V6962">
        <v>-0.45989400000000002</v>
      </c>
      <c r="W6962">
        <v>-0.15855849999999999</v>
      </c>
      <c r="X6962">
        <v>0.8737028</v>
      </c>
      <c r="Y6962">
        <v>-0.7100824</v>
      </c>
      <c r="Z6962">
        <v>-2.3780470000000001E-2</v>
      </c>
      <c r="AA6962">
        <v>0.70371689999999998</v>
      </c>
      <c r="AB6962">
        <v>18</v>
      </c>
      <c r="AC6962">
        <v>0.80279999999998997</v>
      </c>
      <c r="AD6962">
        <v>-1.1286917723350001</v>
      </c>
      <c r="AE6962">
        <v>8.1006699999999903</v>
      </c>
      <c r="AF6962">
        <v>-5.7665069197583803</v>
      </c>
      <c r="AG6962">
        <v>-1.1286917723350001</v>
      </c>
      <c r="AH6962">
        <v>5.5259827439012499</v>
      </c>
      <c r="AI6962">
        <v>98.043746722417097</v>
      </c>
      <c r="AJ6962">
        <v>136.22018590432401</v>
      </c>
      <c r="AK6962">
        <v>8.0661659081903601</v>
      </c>
      <c r="AL6962">
        <v>99.123236898195501</v>
      </c>
      <c r="AM6962">
        <v>117.761129807983</v>
      </c>
      <c r="AN6962">
        <v>0.99999993594304204</v>
      </c>
    </row>
    <row r="6963" spans="1:40" x14ac:dyDescent="0.25">
      <c r="A6963" t="str">
        <f>"20190303154656852"</f>
        <v>20190303154656852</v>
      </c>
      <c r="B6963" t="str">
        <f>"1551599216848867"</f>
        <v>1551599216848867</v>
      </c>
      <c r="C6963" t="s">
        <v>40</v>
      </c>
      <c r="D6963">
        <v>5.5030900000000003</v>
      </c>
      <c r="E6963">
        <v>0.39227770000000001</v>
      </c>
      <c r="F6963" t="s">
        <v>60</v>
      </c>
      <c r="G6963">
        <v>-191.7936</v>
      </c>
      <c r="H6963" s="1">
        <v>-9.7066999999999997E-6</v>
      </c>
      <c r="I6963">
        <v>-51.139180000000003</v>
      </c>
      <c r="J6963">
        <v>-192.75479999999999</v>
      </c>
      <c r="K6963">
        <v>1.128692</v>
      </c>
      <c r="L6963">
        <v>-59.018770000000004</v>
      </c>
      <c r="M6963">
        <v>0.7767655</v>
      </c>
      <c r="N6963">
        <v>-1.6467869999999999E-2</v>
      </c>
      <c r="O6963">
        <v>0.62957450000000004</v>
      </c>
      <c r="P6963">
        <v>0.38868740000000002</v>
      </c>
      <c r="Q6963">
        <v>-0.1640239</v>
      </c>
      <c r="R6963">
        <v>0.90665229999999997</v>
      </c>
      <c r="S6963">
        <v>0.41363529999999998</v>
      </c>
      <c r="T6963">
        <v>-0.43255749999999998</v>
      </c>
      <c r="U6963">
        <v>3.0644230000000001</v>
      </c>
      <c r="V6963">
        <v>-0.45665869999999997</v>
      </c>
      <c r="W6963">
        <v>-0.15840979999999999</v>
      </c>
      <c r="X6963">
        <v>0.87542520000000001</v>
      </c>
      <c r="Y6963">
        <v>-0.68330539999999995</v>
      </c>
      <c r="Z6963">
        <v>-2.951403E-2</v>
      </c>
      <c r="AA6963">
        <v>0.72953590000000001</v>
      </c>
      <c r="AB6963">
        <v>18</v>
      </c>
      <c r="AC6963">
        <v>0.96119999999999095</v>
      </c>
      <c r="AD6963">
        <v>-1.1287017067</v>
      </c>
      <c r="AE6963">
        <v>7.8795899999999897</v>
      </c>
      <c r="AF6963">
        <v>-5.4068792223669</v>
      </c>
      <c r="AG6963">
        <v>-1.1287017067</v>
      </c>
      <c r="AH6963">
        <v>5.5950697273269903</v>
      </c>
      <c r="AI6963">
        <v>98.254004487505298</v>
      </c>
      <c r="AJ6963">
        <v>134.02003996735399</v>
      </c>
      <c r="AK6963">
        <v>7.8621317542776801</v>
      </c>
      <c r="AL6963">
        <v>99.114606846598207</v>
      </c>
      <c r="AM6963">
        <v>117.54844460696999</v>
      </c>
      <c r="AN6963">
        <v>1.00000005690838</v>
      </c>
    </row>
    <row r="6964" spans="1:40" x14ac:dyDescent="0.25">
      <c r="A6964" t="str">
        <f>"20190303154656874"</f>
        <v>20190303154656874</v>
      </c>
      <c r="B6964" t="str">
        <f>"1551599216868386"</f>
        <v>1551599216868386</v>
      </c>
      <c r="C6964" t="s">
        <v>40</v>
      </c>
      <c r="D6964">
        <v>5.5013079999999999</v>
      </c>
      <c r="E6964">
        <v>0.39205669999999998</v>
      </c>
      <c r="F6964" t="s">
        <v>60</v>
      </c>
      <c r="G6964">
        <v>-191.7415</v>
      </c>
      <c r="H6964" s="1">
        <v>-9.8224389999999994E-6</v>
      </c>
      <c r="I6964">
        <v>-50.806570000000001</v>
      </c>
      <c r="J6964">
        <v>-192.64109999999999</v>
      </c>
      <c r="K6964">
        <v>1.12869</v>
      </c>
      <c r="L6964">
        <v>-58.902740000000001</v>
      </c>
      <c r="M6964">
        <v>0.7668623</v>
      </c>
      <c r="N6964">
        <v>-1.648525E-2</v>
      </c>
      <c r="O6964">
        <v>0.64159980000000005</v>
      </c>
      <c r="P6964">
        <v>0.37961640000000002</v>
      </c>
      <c r="Q6964">
        <v>-0.1635036</v>
      </c>
      <c r="R6964">
        <v>0.91058110000000003</v>
      </c>
      <c r="S6964">
        <v>0.3788147</v>
      </c>
      <c r="T6964">
        <v>-0.42196919999999999</v>
      </c>
      <c r="U6964">
        <v>3.07016</v>
      </c>
      <c r="V6964">
        <v>-0.45184859999999999</v>
      </c>
      <c r="W6964">
        <v>-0.15774289999999999</v>
      </c>
      <c r="X6964">
        <v>0.87803759999999997</v>
      </c>
      <c r="Y6964">
        <v>-0.68041130000000005</v>
      </c>
      <c r="Z6964">
        <v>-3.068413E-2</v>
      </c>
      <c r="AA6964">
        <v>0.73218780000000006</v>
      </c>
      <c r="AB6964">
        <v>18</v>
      </c>
      <c r="AC6964">
        <v>0.89959999999999196</v>
      </c>
      <c r="AD6964">
        <v>-1.1286998224389999</v>
      </c>
      <c r="AE6964">
        <v>8.0961699999999901</v>
      </c>
      <c r="AF6964">
        <v>-5.5261363159292802</v>
      </c>
      <c r="AG6964">
        <v>-1.1286998224389999</v>
      </c>
      <c r="AH6964">
        <v>5.7743121008009402</v>
      </c>
      <c r="AI6964">
        <v>98.038098705685201</v>
      </c>
      <c r="AJ6964">
        <v>133.74189597400701</v>
      </c>
      <c r="AK6964">
        <v>8.0718539449659605</v>
      </c>
      <c r="AL6964">
        <v>99.075910239498597</v>
      </c>
      <c r="AM6964">
        <v>117.23088964523799</v>
      </c>
      <c r="AN6964">
        <v>1.0000000034180601</v>
      </c>
    </row>
    <row r="6965" spans="1:40" x14ac:dyDescent="0.25">
      <c r="A6965" t="str">
        <f>"20190303154656897"</f>
        <v>20190303154656897</v>
      </c>
      <c r="B6965" t="str">
        <f>"1551599216888882"</f>
        <v>1551599216888882</v>
      </c>
      <c r="C6965" t="s">
        <v>40</v>
      </c>
      <c r="D6965">
        <v>5.4818860000000003</v>
      </c>
      <c r="E6965">
        <v>0.39279459999999999</v>
      </c>
      <c r="F6965" t="s">
        <v>60</v>
      </c>
      <c r="G6965">
        <v>-191.68709999999999</v>
      </c>
      <c r="H6965" s="1">
        <v>-9.9514139999999992E-6</v>
      </c>
      <c r="I6965">
        <v>-50.436869999999999</v>
      </c>
      <c r="J6965">
        <v>-192.51669999999999</v>
      </c>
      <c r="K6965">
        <v>1.128703</v>
      </c>
      <c r="L6965">
        <v>-58.771450000000002</v>
      </c>
      <c r="M6965">
        <v>0.75553079999999995</v>
      </c>
      <c r="N6965">
        <v>-1.6505579999999999E-2</v>
      </c>
      <c r="O6965">
        <v>0.65490519999999997</v>
      </c>
      <c r="P6965">
        <v>0.3696181</v>
      </c>
      <c r="Q6965">
        <v>-0.16246070000000001</v>
      </c>
      <c r="R6965">
        <v>0.91487099999999999</v>
      </c>
      <c r="S6965">
        <v>0.34667969999999998</v>
      </c>
      <c r="T6965">
        <v>-0.41016330000000001</v>
      </c>
      <c r="U6965">
        <v>3.0764469999999999</v>
      </c>
      <c r="V6965">
        <v>-0.44628699999999999</v>
      </c>
      <c r="W6965">
        <v>-0.15653349999999999</v>
      </c>
      <c r="X6965">
        <v>0.88109309999999996</v>
      </c>
      <c r="Y6965">
        <v>-0.67549899999999996</v>
      </c>
      <c r="Z6965">
        <v>-3.1970899999999997E-2</v>
      </c>
      <c r="AA6965">
        <v>0.73666750000000003</v>
      </c>
      <c r="AB6965">
        <v>18</v>
      </c>
      <c r="AC6965">
        <v>0.829599999999999</v>
      </c>
      <c r="AD6965">
        <v>-1.128712951414</v>
      </c>
      <c r="AE6965">
        <v>8.3345800000000008</v>
      </c>
      <c r="AF6965">
        <v>-5.6518679150772302</v>
      </c>
      <c r="AG6965">
        <v>-1.128712951414</v>
      </c>
      <c r="AH6965">
        <v>5.9774264831616204</v>
      </c>
      <c r="AI6965">
        <v>97.812577672380002</v>
      </c>
      <c r="AJ6965">
        <v>133.39644085459699</v>
      </c>
      <c r="AK6965">
        <v>8.3034469479711301</v>
      </c>
      <c r="AL6965">
        <v>99.005745634248797</v>
      </c>
      <c r="AM6965">
        <v>116.86290454896201</v>
      </c>
      <c r="AN6965">
        <v>0.99999993692942801</v>
      </c>
    </row>
    <row r="6966" spans="1:40" x14ac:dyDescent="0.25">
      <c r="A6966" t="str">
        <f>"20190303154656920"</f>
        <v>20190303154656920</v>
      </c>
      <c r="B6966" t="str">
        <f>"1551599216909379"</f>
        <v>1551599216909379</v>
      </c>
      <c r="C6966" t="s">
        <v>40</v>
      </c>
      <c r="D6966">
        <v>5.587739</v>
      </c>
      <c r="E6966">
        <v>0.39380280000000001</v>
      </c>
      <c r="F6966" t="s">
        <v>60</v>
      </c>
      <c r="G6966">
        <v>-191.6163</v>
      </c>
      <c r="H6966" s="1">
        <v>-1.427934E-6</v>
      </c>
      <c r="I6966">
        <v>-50.069400000000002</v>
      </c>
      <c r="J6966">
        <v>-192.40440000000001</v>
      </c>
      <c r="K6966">
        <v>1.1287320000000001</v>
      </c>
      <c r="L6966">
        <v>-58.648679999999999</v>
      </c>
      <c r="M6966">
        <v>0.74481830000000004</v>
      </c>
      <c r="N6966">
        <v>-1.6525430000000001E-2</v>
      </c>
      <c r="O6966">
        <v>0.66706279999999996</v>
      </c>
      <c r="P6966">
        <v>0.36026740000000002</v>
      </c>
      <c r="Q6966">
        <v>-0.16144739999999999</v>
      </c>
      <c r="R6966">
        <v>0.91877209999999998</v>
      </c>
      <c r="S6966">
        <v>0.31861879999999998</v>
      </c>
      <c r="T6966">
        <v>-0.39942810000000001</v>
      </c>
      <c r="U6966">
        <v>3.0794980000000001</v>
      </c>
      <c r="V6966">
        <v>-0.44115290000000001</v>
      </c>
      <c r="W6966">
        <v>-0.15537000000000001</v>
      </c>
      <c r="X6966">
        <v>0.88388029999999995</v>
      </c>
      <c r="Y6966">
        <v>-0.67041019999999996</v>
      </c>
      <c r="Z6966">
        <v>-3.3104080000000001E-2</v>
      </c>
      <c r="AA6966">
        <v>0.74125189999999996</v>
      </c>
      <c r="AB6966">
        <v>18</v>
      </c>
      <c r="AC6966">
        <v>0.78810000000001401</v>
      </c>
      <c r="AD6966">
        <v>-1.128733427934</v>
      </c>
      <c r="AE6966">
        <v>8.5792800000000007</v>
      </c>
      <c r="AF6966">
        <v>-5.7661202629523602</v>
      </c>
      <c r="AG6966">
        <v>-1.128733427934</v>
      </c>
      <c r="AH6966">
        <v>6.2042776120320697</v>
      </c>
      <c r="AI6966">
        <v>97.590640249600995</v>
      </c>
      <c r="AJ6966">
        <v>132.90371511850299</v>
      </c>
      <c r="AK6966">
        <v>8.54489571178771</v>
      </c>
      <c r="AL6966">
        <v>98.938255199927497</v>
      </c>
      <c r="AM6966">
        <v>116.52421110363601</v>
      </c>
      <c r="AN6966">
        <v>1.0000000514032401</v>
      </c>
    </row>
    <row r="6967" spans="1:40" x14ac:dyDescent="0.25">
      <c r="A6967" t="str">
        <f>"20190303154656944"</f>
        <v>20190303154656944</v>
      </c>
      <c r="B6967" t="str">
        <f>"1551599216938659"</f>
        <v>1551599216938659</v>
      </c>
      <c r="C6967" t="s">
        <v>40</v>
      </c>
      <c r="D6967">
        <v>5.5550800000000002</v>
      </c>
      <c r="E6967">
        <v>0.43651810000000002</v>
      </c>
      <c r="F6967" t="s">
        <v>60</v>
      </c>
      <c r="G6967">
        <v>-191.55799999999999</v>
      </c>
      <c r="H6967" s="1">
        <v>-1.574486E-6</v>
      </c>
      <c r="I6967">
        <v>-49.799900000000001</v>
      </c>
      <c r="J6967">
        <v>-192.28739999999999</v>
      </c>
      <c r="K6967">
        <v>1.1287469999999999</v>
      </c>
      <c r="L6967">
        <v>-58.5158699999999</v>
      </c>
      <c r="M6967">
        <v>0.73310889999999995</v>
      </c>
      <c r="N6967">
        <v>-1.6547059999999999E-2</v>
      </c>
      <c r="O6967">
        <v>0.67990989999999996</v>
      </c>
      <c r="P6967">
        <v>0.34891359999999999</v>
      </c>
      <c r="Q6967">
        <v>-0.1614109</v>
      </c>
      <c r="R6967">
        <v>0.92314989999999997</v>
      </c>
      <c r="S6967">
        <v>0.29467769999999999</v>
      </c>
      <c r="T6967">
        <v>-0.3929589</v>
      </c>
      <c r="U6967">
        <v>3.0806269999999998</v>
      </c>
      <c r="V6967">
        <v>-0.43669180000000002</v>
      </c>
      <c r="W6967">
        <v>-0.1552077</v>
      </c>
      <c r="X6967">
        <v>0.88612119999999905</v>
      </c>
      <c r="Y6967">
        <v>-0.66334930000000003</v>
      </c>
      <c r="Z6967">
        <v>-3.4938289999999997E-2</v>
      </c>
      <c r="AA6967">
        <v>0.74749370000000004</v>
      </c>
      <c r="AB6967">
        <v>17</v>
      </c>
      <c r="AC6967">
        <v>0.72939999999999805</v>
      </c>
      <c r="AD6967">
        <v>-1.128748574486</v>
      </c>
      <c r="AE6967">
        <v>8.7159699999999898</v>
      </c>
      <c r="AF6967">
        <v>-5.7980720290387699</v>
      </c>
      <c r="AG6967">
        <v>-1.128748574486</v>
      </c>
      <c r="AH6967">
        <v>6.3558354267670998</v>
      </c>
      <c r="AI6967">
        <v>97.474609491651407</v>
      </c>
      <c r="AJ6967">
        <v>132.372443190323</v>
      </c>
      <c r="AK6967">
        <v>8.67688634076036</v>
      </c>
      <c r="AL6967">
        <v>98.928842639111195</v>
      </c>
      <c r="AM6967">
        <v>116.23466440855501</v>
      </c>
      <c r="AN6967">
        <v>0.99999996970798399</v>
      </c>
    </row>
    <row r="6968" spans="1:40" x14ac:dyDescent="0.25">
      <c r="A6968" t="str">
        <f>"20190303154656965"</f>
        <v>20190303154656965</v>
      </c>
      <c r="B6968" t="str">
        <f>"1551599216958179"</f>
        <v>1551599216958179</v>
      </c>
      <c r="C6968" t="s">
        <v>40</v>
      </c>
      <c r="D6968">
        <v>5.5835910000000002</v>
      </c>
      <c r="E6968">
        <v>0.43865389999999999</v>
      </c>
      <c r="F6968" t="s">
        <v>42</v>
      </c>
      <c r="G6968">
        <v>-192.09379999999999</v>
      </c>
      <c r="H6968">
        <v>1.033058</v>
      </c>
      <c r="I6968">
        <v>-57.518340000000002</v>
      </c>
      <c r="J6968">
        <v>-192.17850000000001</v>
      </c>
      <c r="K6968">
        <v>1.1287579999999999</v>
      </c>
      <c r="L6968">
        <v>-58.387659999999997</v>
      </c>
      <c r="M6968">
        <v>0.72169499999999998</v>
      </c>
      <c r="N6968">
        <v>-1.6566810000000001E-2</v>
      </c>
      <c r="O6968">
        <v>0.69201290000000004</v>
      </c>
      <c r="P6968">
        <v>0.33811829999999998</v>
      </c>
      <c r="Q6968">
        <v>-0.16438410000000001</v>
      </c>
      <c r="R6968">
        <v>0.92663569999999995</v>
      </c>
      <c r="S6968">
        <v>0.57859799999999995</v>
      </c>
      <c r="T6968">
        <v>-0.28595880000000001</v>
      </c>
      <c r="U6968">
        <v>2.9810490000000001</v>
      </c>
      <c r="V6968">
        <v>-0.43185709999999999</v>
      </c>
      <c r="W6968">
        <v>-0.15805329999999901</v>
      </c>
      <c r="X6968">
        <v>0.88798569999999999</v>
      </c>
      <c r="Y6968">
        <v>-0.57581130000000003</v>
      </c>
      <c r="Z6968">
        <v>-2.827756E-2</v>
      </c>
      <c r="AA6968">
        <v>0.81709350000000003</v>
      </c>
      <c r="AB6968">
        <v>17</v>
      </c>
      <c r="AC6968">
        <v>8.4700000000026393E-2</v>
      </c>
      <c r="AD6968">
        <v>-9.5699999999999896E-2</v>
      </c>
      <c r="AE6968">
        <v>0.86931999999999399</v>
      </c>
      <c r="AF6968">
        <v>-0.56210047598780899</v>
      </c>
      <c r="AG6968">
        <v>-9.5699999999999896E-2</v>
      </c>
      <c r="AH6968">
        <v>0.65493669007426902</v>
      </c>
      <c r="AI6968">
        <v>96.327256018713896</v>
      </c>
      <c r="AJ6968">
        <v>130.637896320664</v>
      </c>
      <c r="AK6968">
        <v>0.86836484446985795</v>
      </c>
      <c r="AL6968">
        <v>99.093920797967399</v>
      </c>
      <c r="AM6968">
        <v>115.93520221269399</v>
      </c>
      <c r="AN6968">
        <v>1.0000000019328901</v>
      </c>
    </row>
    <row r="6969" spans="1:40" x14ac:dyDescent="0.25">
      <c r="A6969" t="str">
        <f>"20190303154656988"</f>
        <v>20190303154656988</v>
      </c>
      <c r="B6969" t="str">
        <f>"1551599216978674"</f>
        <v>1551599216978674</v>
      </c>
      <c r="C6969" t="s">
        <v>40</v>
      </c>
      <c r="D6969">
        <v>5.594411</v>
      </c>
      <c r="E6969">
        <v>0.44011250000000002</v>
      </c>
      <c r="F6969" t="s">
        <v>42</v>
      </c>
      <c r="G6969">
        <v>-191.99539999999999</v>
      </c>
      <c r="H6969">
        <v>1.032017</v>
      </c>
      <c r="I6969">
        <v>-57.412520000000001</v>
      </c>
      <c r="J6969">
        <v>-192.07419999999999</v>
      </c>
      <c r="K6969">
        <v>1.128754</v>
      </c>
      <c r="L6969">
        <v>-58.260469999999998</v>
      </c>
      <c r="M6969">
        <v>0.71027019999999996</v>
      </c>
      <c r="N6969">
        <v>-1.658403E-2</v>
      </c>
      <c r="O6969">
        <v>0.70373379999999996</v>
      </c>
      <c r="P6969">
        <v>0.32845200000000002</v>
      </c>
      <c r="Q6969">
        <v>-0.16574520000000001</v>
      </c>
      <c r="R6969">
        <v>0.92986440000000004</v>
      </c>
      <c r="S6969">
        <v>0.56010439999999995</v>
      </c>
      <c r="T6969">
        <v>-0.29572920000000003</v>
      </c>
      <c r="U6969">
        <v>2.9806819999999998</v>
      </c>
      <c r="V6969">
        <v>-0.42637770000000003</v>
      </c>
      <c r="W6969">
        <v>-0.1592558</v>
      </c>
      <c r="X6969">
        <v>0.89041539999999997</v>
      </c>
      <c r="Y6969">
        <v>-0.56729069999999904</v>
      </c>
      <c r="Z6969">
        <v>-3.1613130000000003E-2</v>
      </c>
      <c r="AA6969">
        <v>0.82291059999999905</v>
      </c>
      <c r="AB6969">
        <v>17</v>
      </c>
      <c r="AC6969">
        <v>7.8800000000000994E-2</v>
      </c>
      <c r="AD6969">
        <v>-9.6737000000000004E-2</v>
      </c>
      <c r="AE6969">
        <v>0.84795000000000398</v>
      </c>
      <c r="AF6969">
        <v>-0.53992759095190401</v>
      </c>
      <c r="AG6969">
        <v>-9.6737000000000004E-2</v>
      </c>
      <c r="AH6969">
        <v>0.64447410197660304</v>
      </c>
      <c r="AI6969">
        <v>96.563572447176597</v>
      </c>
      <c r="AJ6969">
        <v>129.95560586654099</v>
      </c>
      <c r="AK6969">
        <v>0.84630178941006395</v>
      </c>
      <c r="AL6969">
        <v>99.163703132562404</v>
      </c>
      <c r="AM6969">
        <v>115.58754963918901</v>
      </c>
      <c r="AN6969">
        <v>0.99999996872404395</v>
      </c>
    </row>
    <row r="6970" spans="1:40" x14ac:dyDescent="0.25">
      <c r="A6970" t="str">
        <f>"20190303154657010"</f>
        <v>20190303154657010</v>
      </c>
      <c r="B6970" t="str">
        <f>"1551599217008930"</f>
        <v>1551599217008930</v>
      </c>
      <c r="C6970" t="s">
        <v>40</v>
      </c>
      <c r="D6970">
        <v>5.6228499999999997</v>
      </c>
      <c r="E6970">
        <v>0.4422468</v>
      </c>
      <c r="F6970" t="s">
        <v>42</v>
      </c>
      <c r="G6970">
        <v>-191.9007</v>
      </c>
      <c r="H6970">
        <v>1.0335589999999999</v>
      </c>
      <c r="I6970">
        <v>-57.304040000000001</v>
      </c>
      <c r="J6970">
        <v>-191.9684</v>
      </c>
      <c r="K6970">
        <v>1.1287499999999999</v>
      </c>
      <c r="L6970">
        <v>-58.126649999999998</v>
      </c>
      <c r="M6970">
        <v>0.69814779999999999</v>
      </c>
      <c r="N6970">
        <v>-1.659915E-2</v>
      </c>
      <c r="O6970">
        <v>0.71576119999999899</v>
      </c>
      <c r="P6970">
        <v>0.31886930000000002</v>
      </c>
      <c r="Q6970">
        <v>-0.1659929</v>
      </c>
      <c r="R6970">
        <v>0.93314989999999998</v>
      </c>
      <c r="S6970">
        <v>0.54069519999999904</v>
      </c>
      <c r="T6970">
        <v>-0.29683080000000001</v>
      </c>
      <c r="U6970">
        <v>2.9823909999999998</v>
      </c>
      <c r="V6970">
        <v>-0.42030790000000001</v>
      </c>
      <c r="W6970">
        <v>-0.15931589999999901</v>
      </c>
      <c r="X6970">
        <v>0.89328589999999997</v>
      </c>
      <c r="Y6970">
        <v>-0.55851099999999998</v>
      </c>
      <c r="Z6970">
        <v>-3.3668669999999998E-2</v>
      </c>
      <c r="AA6970">
        <v>0.82881360000000004</v>
      </c>
      <c r="AB6970">
        <v>17</v>
      </c>
      <c r="AC6970">
        <v>6.7700000000001995E-2</v>
      </c>
      <c r="AD6970">
        <v>-9.5190999999999804E-2</v>
      </c>
      <c r="AE6970">
        <v>0.82260999999999695</v>
      </c>
      <c r="AF6970">
        <v>-0.51901555938841604</v>
      </c>
      <c r="AG6970">
        <v>-9.5190999999999804E-2</v>
      </c>
      <c r="AH6970">
        <v>0.62779451668364805</v>
      </c>
      <c r="AI6970">
        <v>96.665482932027601</v>
      </c>
      <c r="AJ6970">
        <v>129.581505987572</v>
      </c>
      <c r="AK6970">
        <v>0.82010025761874095</v>
      </c>
      <c r="AL6970">
        <v>99.167190918013205</v>
      </c>
      <c r="AM6970">
        <v>115.197871236911</v>
      </c>
      <c r="AN6970">
        <v>0.99999999296701503</v>
      </c>
    </row>
    <row r="6971" spans="1:40" x14ac:dyDescent="0.25">
      <c r="A6971" t="str">
        <f>"20190303154657033"</f>
        <v>20190303154657033</v>
      </c>
      <c r="B6971" t="str">
        <f>"1551599217028451"</f>
        <v>1551599217028451</v>
      </c>
      <c r="C6971" t="s">
        <v>40</v>
      </c>
      <c r="D6971">
        <v>5.6045579999999999</v>
      </c>
      <c r="E6971">
        <v>0.443</v>
      </c>
      <c r="F6971" t="s">
        <v>42</v>
      </c>
      <c r="G6971">
        <v>-191.8039</v>
      </c>
      <c r="H6971">
        <v>1.0393490000000001</v>
      </c>
      <c r="I6971">
        <v>-57.196599999999997</v>
      </c>
      <c r="J6971">
        <v>-191.8699</v>
      </c>
      <c r="K6971">
        <v>1.128736</v>
      </c>
      <c r="L6971">
        <v>-57.99774</v>
      </c>
      <c r="M6971">
        <v>0.68637749999999997</v>
      </c>
      <c r="N6971">
        <v>-1.6610639999999999E-2</v>
      </c>
      <c r="O6971">
        <v>0.72705569999999997</v>
      </c>
      <c r="P6971">
        <v>0.30992730000000002</v>
      </c>
      <c r="Q6971">
        <v>-0.1657825</v>
      </c>
      <c r="R6971">
        <v>0.93619509999999995</v>
      </c>
      <c r="S6971">
        <v>0.52755739999999995</v>
      </c>
      <c r="T6971">
        <v>-0.28680600000000001</v>
      </c>
      <c r="U6971">
        <v>2.9836429999999998</v>
      </c>
      <c r="V6971">
        <v>-0.41432740000000001</v>
      </c>
      <c r="W6971">
        <v>-0.15891379999999999</v>
      </c>
      <c r="X6971">
        <v>0.89614689999999997</v>
      </c>
      <c r="Y6971">
        <v>-0.54861780000000004</v>
      </c>
      <c r="Z6971">
        <v>-3.3796020000000003E-2</v>
      </c>
      <c r="AA6971">
        <v>0.83538999999999997</v>
      </c>
      <c r="AB6971">
        <v>17</v>
      </c>
      <c r="AC6971">
        <v>6.6000000000002501E-2</v>
      </c>
      <c r="AD6971">
        <v>-8.93869999999998E-2</v>
      </c>
      <c r="AE6971">
        <v>0.80114000000000296</v>
      </c>
      <c r="AF6971">
        <v>-0.49583702670108698</v>
      </c>
      <c r="AG6971">
        <v>-8.93869999999998E-2</v>
      </c>
      <c r="AH6971">
        <v>0.62019226814544304</v>
      </c>
      <c r="AI6971">
        <v>96.422917804401493</v>
      </c>
      <c r="AJ6971">
        <v>128.64195862827901</v>
      </c>
      <c r="AK6971">
        <v>0.79905121380557598</v>
      </c>
      <c r="AL6971">
        <v>99.143854660969694</v>
      </c>
      <c r="AM6971">
        <v>114.81313867147701</v>
      </c>
      <c r="AN6971">
        <v>1.0000000283004</v>
      </c>
    </row>
    <row r="6972" spans="1:40" x14ac:dyDescent="0.25">
      <c r="A6972" t="str">
        <f>"20190303154657053"</f>
        <v>20190303154657053</v>
      </c>
      <c r="B6972" t="str">
        <f>"1551599217048947"</f>
        <v>1551599217048947</v>
      </c>
      <c r="C6972" t="s">
        <v>40</v>
      </c>
      <c r="D6972">
        <v>5.5800229999999997</v>
      </c>
      <c r="E6972">
        <v>0.44387569999999998</v>
      </c>
      <c r="F6972" t="s">
        <v>42</v>
      </c>
      <c r="G6972">
        <v>-191.71510000000001</v>
      </c>
      <c r="H6972">
        <v>1.04234</v>
      </c>
      <c r="I6972">
        <v>-57.084009999999999</v>
      </c>
      <c r="J6972">
        <v>-191.77699999999999</v>
      </c>
      <c r="K6972">
        <v>1.1287149999999999</v>
      </c>
      <c r="L6972">
        <v>-57.871949999999998</v>
      </c>
      <c r="M6972">
        <v>0.67481139999999995</v>
      </c>
      <c r="N6972">
        <v>-1.661907E-2</v>
      </c>
      <c r="O6972">
        <v>0.73780319999999899</v>
      </c>
      <c r="P6972">
        <v>0.30224879999999998</v>
      </c>
      <c r="Q6972">
        <v>-0.166127</v>
      </c>
      <c r="R6972">
        <v>0.93864130000000001</v>
      </c>
      <c r="S6972">
        <v>0.50595089999999998</v>
      </c>
      <c r="T6972">
        <v>-0.28242050000000002</v>
      </c>
      <c r="U6972">
        <v>2.9869379999999999</v>
      </c>
      <c r="V6972">
        <v>-0.40748869999999998</v>
      </c>
      <c r="W6972">
        <v>-0.15904299999999999</v>
      </c>
      <c r="X6972">
        <v>0.89925429999999995</v>
      </c>
      <c r="Y6972">
        <v>-0.54147330000000005</v>
      </c>
      <c r="Z6972">
        <v>-3.4586270000000002E-2</v>
      </c>
      <c r="AA6972">
        <v>0.84000620000000004</v>
      </c>
      <c r="AB6972">
        <v>17</v>
      </c>
      <c r="AC6972">
        <v>6.1900000000008497E-2</v>
      </c>
      <c r="AD6972">
        <v>-8.6374999999999799E-2</v>
      </c>
      <c r="AE6972">
        <v>0.78793999999999897</v>
      </c>
      <c r="AF6972">
        <v>-0.48037084053329199</v>
      </c>
      <c r="AG6972">
        <v>-8.6374999999999799E-2</v>
      </c>
      <c r="AH6972">
        <v>0.61584636383689195</v>
      </c>
      <c r="AI6972">
        <v>96.310684273814601</v>
      </c>
      <c r="AJ6972">
        <v>127.954848452288</v>
      </c>
      <c r="AK6972">
        <v>0.78580120190209901</v>
      </c>
      <c r="AL6972">
        <v>99.151352837554995</v>
      </c>
      <c r="AM6972">
        <v>114.37721370726599</v>
      </c>
      <c r="AN6972">
        <v>1.00000000627259</v>
      </c>
    </row>
    <row r="6973" spans="1:40" x14ac:dyDescent="0.25">
      <c r="A6973" t="str">
        <f>"20190303154657077"</f>
        <v>20190303154657077</v>
      </c>
      <c r="B6973" t="str">
        <f>"1551599217068467"</f>
        <v>1551599217068467</v>
      </c>
      <c r="C6973" t="s">
        <v>40</v>
      </c>
      <c r="D6973">
        <v>5.5943480000000001</v>
      </c>
      <c r="E6973">
        <v>0.44454979999999999</v>
      </c>
      <c r="F6973" t="s">
        <v>42</v>
      </c>
      <c r="G6973">
        <v>-191.6294</v>
      </c>
      <c r="H6973">
        <v>1.0440469999999999</v>
      </c>
      <c r="I6973">
        <v>-56.969459999999998</v>
      </c>
      <c r="J6973">
        <v>-191.67660000000001</v>
      </c>
      <c r="K6973">
        <v>1.128674</v>
      </c>
      <c r="L6973">
        <v>-57.730989999999998</v>
      </c>
      <c r="M6973">
        <v>0.66176789999999996</v>
      </c>
      <c r="N6973">
        <v>-1.662514E-2</v>
      </c>
      <c r="O6973">
        <v>0.74952439999999998</v>
      </c>
      <c r="P6973">
        <v>0.29258630000000002</v>
      </c>
      <c r="Q6973">
        <v>-0.16627939999999999</v>
      </c>
      <c r="R6973">
        <v>0.94167109999999998</v>
      </c>
      <c r="S6973">
        <v>0.48886109999999999</v>
      </c>
      <c r="T6973">
        <v>-0.28042050000000002</v>
      </c>
      <c r="U6973">
        <v>2.9890750000000001</v>
      </c>
      <c r="V6973">
        <v>-0.40096209999999999</v>
      </c>
      <c r="W6973">
        <v>-0.1589824</v>
      </c>
      <c r="X6973">
        <v>0.90219400000000005</v>
      </c>
      <c r="Y6973">
        <v>-0.53151680000000001</v>
      </c>
      <c r="Z6973">
        <v>-3.6003630000000002E-2</v>
      </c>
      <c r="AA6973">
        <v>0.84628230000000004</v>
      </c>
      <c r="AB6973">
        <v>17</v>
      </c>
      <c r="AC6973">
        <v>4.72000000000036E-2</v>
      </c>
      <c r="AD6973">
        <v>-8.4626999999999994E-2</v>
      </c>
      <c r="AE6973">
        <v>0.76153000000000703</v>
      </c>
      <c r="AF6973">
        <v>-0.462948106611903</v>
      </c>
      <c r="AG6973">
        <v>-8.4626999999999994E-2</v>
      </c>
      <c r="AH6973">
        <v>0.59478686606018505</v>
      </c>
      <c r="AI6973">
        <v>96.406295961487103</v>
      </c>
      <c r="AJ6973">
        <v>127.89515115233699</v>
      </c>
      <c r="AK6973">
        <v>0.75845507090548403</v>
      </c>
      <c r="AL6973">
        <v>99.147835919336501</v>
      </c>
      <c r="AM6973">
        <v>113.96179896885501</v>
      </c>
      <c r="AN6973">
        <v>1.0000000113910801</v>
      </c>
    </row>
    <row r="6974" spans="1:40" x14ac:dyDescent="0.25">
      <c r="A6974" t="str">
        <f>"20190303154657099"</f>
        <v>20190303154657099</v>
      </c>
      <c r="B6974" t="str">
        <f>"1551599217088418"</f>
        <v>1551599217088418</v>
      </c>
      <c r="C6974" t="s">
        <v>40</v>
      </c>
      <c r="D6974">
        <v>5.6202310000000004</v>
      </c>
      <c r="E6974">
        <v>0.44526310000000002</v>
      </c>
      <c r="F6974" t="s">
        <v>42</v>
      </c>
      <c r="G6974">
        <v>-191.5411</v>
      </c>
      <c r="H6974">
        <v>1.0466569999999999</v>
      </c>
      <c r="I6974">
        <v>-56.856270000000002</v>
      </c>
      <c r="J6974">
        <v>-191.5848</v>
      </c>
      <c r="K6974">
        <v>1.1286210000000001</v>
      </c>
      <c r="L6974">
        <v>-57.597410000000004</v>
      </c>
      <c r="M6974">
        <v>0.649343</v>
      </c>
      <c r="N6974">
        <v>-1.6627039999999999E-2</v>
      </c>
      <c r="O6974">
        <v>0.76031389999999999</v>
      </c>
      <c r="P6974">
        <v>0.28539310000000001</v>
      </c>
      <c r="Q6974">
        <v>-0.1664001</v>
      </c>
      <c r="R6974">
        <v>0.94385469999999905</v>
      </c>
      <c r="S6974">
        <v>0.4629974</v>
      </c>
      <c r="T6974">
        <v>-0.28056320000000001</v>
      </c>
      <c r="U6974">
        <v>2.992432</v>
      </c>
      <c r="V6974">
        <v>-0.39300610000000002</v>
      </c>
      <c r="W6974">
        <v>-0.15885379999999999</v>
      </c>
      <c r="X6974">
        <v>0.90571060000000003</v>
      </c>
      <c r="Y6974">
        <v>-0.52488119999999905</v>
      </c>
      <c r="Z6974">
        <v>-3.7545330000000002E-2</v>
      </c>
      <c r="AA6974">
        <v>0.85034699999999996</v>
      </c>
      <c r="AB6974">
        <v>17</v>
      </c>
      <c r="AC6974">
        <v>4.3700000000001099E-2</v>
      </c>
      <c r="AD6974">
        <v>-8.1963999999999898E-2</v>
      </c>
      <c r="AE6974">
        <v>0.74114000000000102</v>
      </c>
      <c r="AF6974">
        <v>-0.44269465555247101</v>
      </c>
      <c r="AG6974">
        <v>-8.1963999999999898E-2</v>
      </c>
      <c r="AH6974">
        <v>0.58482916214788205</v>
      </c>
      <c r="AI6974">
        <v>96.376100589032205</v>
      </c>
      <c r="AJ6974">
        <v>127.124412295672</v>
      </c>
      <c r="AK6974">
        <v>0.73805271102362002</v>
      </c>
      <c r="AL6974">
        <v>99.140372873825001</v>
      </c>
      <c r="AM6974">
        <v>113.456994585229</v>
      </c>
      <c r="AN6974">
        <v>1.0000000076819999</v>
      </c>
    </row>
    <row r="6975" spans="1:40" x14ac:dyDescent="0.25">
      <c r="A6975" t="str">
        <f>"20190303154657123"</f>
        <v>20190303154657123</v>
      </c>
      <c r="B6975" t="str">
        <f>"1551599217118673"</f>
        <v>1551599217118673</v>
      </c>
      <c r="C6975" t="s">
        <v>40</v>
      </c>
      <c r="D6975">
        <v>5.6115250000000003</v>
      </c>
      <c r="E6975">
        <v>0.44631759999999898</v>
      </c>
      <c r="F6975" t="s">
        <v>42</v>
      </c>
      <c r="G6975">
        <v>-191.45750000000001</v>
      </c>
      <c r="H6975">
        <v>1.0472170000000001</v>
      </c>
      <c r="I6975">
        <v>-56.740290000000002</v>
      </c>
      <c r="J6975">
        <v>-191.48939999999999</v>
      </c>
      <c r="K6975">
        <v>1.1285670000000001</v>
      </c>
      <c r="L6975">
        <v>-57.453159999999997</v>
      </c>
      <c r="M6975">
        <v>0.63586960000000003</v>
      </c>
      <c r="N6975">
        <v>-1.6624179999999999E-2</v>
      </c>
      <c r="O6975">
        <v>0.77161749999999996</v>
      </c>
      <c r="P6975">
        <v>0.27850200000000003</v>
      </c>
      <c r="Q6975">
        <v>-0.16821630000000001</v>
      </c>
      <c r="R6975">
        <v>0.94558969999999998</v>
      </c>
      <c r="S6975">
        <v>0.4445038</v>
      </c>
      <c r="T6975">
        <v>-0.28434559999999998</v>
      </c>
      <c r="U6975">
        <v>2.9939269999999998</v>
      </c>
      <c r="V6975">
        <v>-0.38346970000000002</v>
      </c>
      <c r="W6975">
        <v>-0.16038269999999999</v>
      </c>
      <c r="X6975">
        <v>0.90952100000000002</v>
      </c>
      <c r="Y6975">
        <v>-0.51511229999999997</v>
      </c>
      <c r="Z6975">
        <v>-4.0007050000000002E-2</v>
      </c>
      <c r="AA6975">
        <v>0.85618850000000002</v>
      </c>
      <c r="AB6975">
        <v>17</v>
      </c>
      <c r="AC6975">
        <v>3.1899999999978897E-2</v>
      </c>
      <c r="AD6975">
        <v>-8.1350000000000006E-2</v>
      </c>
      <c r="AE6975">
        <v>0.71286999999999501</v>
      </c>
      <c r="AF6975">
        <v>-0.42323641203266599</v>
      </c>
      <c r="AG6975">
        <v>-8.1350000000000006E-2</v>
      </c>
      <c r="AH6975">
        <v>0.56310759795030996</v>
      </c>
      <c r="AI6975">
        <v>96.587548234753299</v>
      </c>
      <c r="AJ6975">
        <v>126.92883176224601</v>
      </c>
      <c r="AK6975">
        <v>0.70911004071276096</v>
      </c>
      <c r="AL6975">
        <v>99.229109858742504</v>
      </c>
      <c r="AM6975">
        <v>112.861125021905</v>
      </c>
      <c r="AN6975">
        <v>1.00000003535918</v>
      </c>
    </row>
    <row r="6976" spans="1:40" x14ac:dyDescent="0.25">
      <c r="A6976" t="str">
        <f>"20190303154657147"</f>
        <v>20190303154657147</v>
      </c>
      <c r="B6976" t="str">
        <f>"1551599217139170"</f>
        <v>1551599217139170</v>
      </c>
      <c r="C6976" t="s">
        <v>40</v>
      </c>
      <c r="D6976">
        <v>5.5983400000000003</v>
      </c>
      <c r="E6976">
        <v>0.44699870000000003</v>
      </c>
      <c r="F6976" t="s">
        <v>42</v>
      </c>
      <c r="G6976">
        <v>-191.3492</v>
      </c>
      <c r="H6976">
        <v>1.033304</v>
      </c>
      <c r="I6976">
        <v>-56.478319999999997</v>
      </c>
      <c r="J6976">
        <v>-191.3931</v>
      </c>
      <c r="K6976">
        <v>1.128503</v>
      </c>
      <c r="L6976">
        <v>-57.30124</v>
      </c>
      <c r="M6976">
        <v>0.6216431</v>
      </c>
      <c r="N6976">
        <v>-1.66153E-2</v>
      </c>
      <c r="O6976">
        <v>0.78312440000000005</v>
      </c>
      <c r="P6976">
        <v>0.27318690000000001</v>
      </c>
      <c r="Q6976">
        <v>-0.1721432</v>
      </c>
      <c r="R6976">
        <v>0.94643310000000003</v>
      </c>
      <c r="S6976">
        <v>0.43055729999999998</v>
      </c>
      <c r="T6976">
        <v>-0.29255019999999998</v>
      </c>
      <c r="U6976">
        <v>2.9937740000000002</v>
      </c>
      <c r="V6976">
        <v>-0.37145050000000002</v>
      </c>
      <c r="W6976">
        <v>-0.163966</v>
      </c>
      <c r="X6976">
        <v>0.9138598</v>
      </c>
      <c r="Y6976">
        <v>-0.50331519999999996</v>
      </c>
      <c r="Z6976">
        <v>-4.3534259999999998E-2</v>
      </c>
      <c r="AA6976">
        <v>0.86300560000000004</v>
      </c>
      <c r="AB6976">
        <v>17</v>
      </c>
      <c r="AC6976">
        <v>4.3900000000007801E-2</v>
      </c>
      <c r="AD6976">
        <v>-9.5199000000000006E-2</v>
      </c>
      <c r="AE6976">
        <v>0.82292000000000298</v>
      </c>
      <c r="AF6976">
        <v>-0.47096427926688</v>
      </c>
      <c r="AG6976">
        <v>-9.5199000000000006E-2</v>
      </c>
      <c r="AH6976">
        <v>0.66298413514469801</v>
      </c>
      <c r="AI6976">
        <v>96.676755901143807</v>
      </c>
      <c r="AJ6976">
        <v>125.38885755450001</v>
      </c>
      <c r="AK6976">
        <v>0.81879067251644699</v>
      </c>
      <c r="AL6976">
        <v>99.437172309549894</v>
      </c>
      <c r="AM6976">
        <v>112.11993911515999</v>
      </c>
      <c r="AN6976">
        <v>1.0000000285811399</v>
      </c>
    </row>
    <row r="6977" spans="1:40" x14ac:dyDescent="0.25">
      <c r="A6977" t="str">
        <f>"20190303154657169"</f>
        <v>20190303154657169</v>
      </c>
      <c r="B6977" t="str">
        <f>"1551599217158689"</f>
        <v>1551599217158689</v>
      </c>
      <c r="C6977" t="s">
        <v>40</v>
      </c>
      <c r="D6977">
        <v>5.6050740000000001</v>
      </c>
      <c r="E6977">
        <v>0.45627089999999998</v>
      </c>
      <c r="F6977" t="s">
        <v>42</v>
      </c>
      <c r="G6977">
        <v>-191.26169999999999</v>
      </c>
      <c r="H6977">
        <v>1.03311</v>
      </c>
      <c r="I6977">
        <v>-56.364510000000003</v>
      </c>
      <c r="J6977">
        <v>-191.31280000000001</v>
      </c>
      <c r="K6977">
        <v>1.1284449999999999</v>
      </c>
      <c r="L6977">
        <v>-57.169800000000002</v>
      </c>
      <c r="M6977">
        <v>0.60929659999999997</v>
      </c>
      <c r="N6977">
        <v>-1.6604009999999999E-2</v>
      </c>
      <c r="O6977">
        <v>0.79276859999999905</v>
      </c>
      <c r="P6977">
        <v>0.27214880000000002</v>
      </c>
      <c r="Q6977">
        <v>-0.1729916</v>
      </c>
      <c r="R6977">
        <v>0.94657749999999996</v>
      </c>
      <c r="S6977">
        <v>0.41946410000000001</v>
      </c>
      <c r="T6977">
        <v>-0.30480869999999999</v>
      </c>
      <c r="U6977">
        <v>2.9932859999999999</v>
      </c>
      <c r="V6977">
        <v>-0.35804989999999998</v>
      </c>
      <c r="W6977">
        <v>-0.1644381</v>
      </c>
      <c r="X6977">
        <v>0.91910849999999999</v>
      </c>
      <c r="Y6977">
        <v>-0.49288270000000001</v>
      </c>
      <c r="Z6977">
        <v>-4.771135E-2</v>
      </c>
      <c r="AA6977">
        <v>0.86878670000000002</v>
      </c>
      <c r="AB6977">
        <v>17</v>
      </c>
      <c r="AC6977">
        <v>5.1100000000019401E-2</v>
      </c>
      <c r="AD6977">
        <v>-9.53350000000001E-2</v>
      </c>
      <c r="AE6977">
        <v>0.80529000000000595</v>
      </c>
      <c r="AF6977">
        <v>-0.44401402658098799</v>
      </c>
      <c r="AG6977">
        <v>-9.53350000000001E-2</v>
      </c>
      <c r="AH6977">
        <v>0.66041718792912396</v>
      </c>
      <c r="AI6977">
        <v>96.831337093340807</v>
      </c>
      <c r="AJ6977">
        <v>123.913869647231</v>
      </c>
      <c r="AK6977">
        <v>0.80149116036165602</v>
      </c>
      <c r="AL6977">
        <v>99.464593859785893</v>
      </c>
      <c r="AM6977">
        <v>111.284006310243</v>
      </c>
      <c r="AN6977">
        <v>1.00000002719693</v>
      </c>
    </row>
    <row r="6978" spans="1:40" x14ac:dyDescent="0.25">
      <c r="A6978" t="str">
        <f>"20190303154657188"</f>
        <v>20190303154657188</v>
      </c>
      <c r="B6978" t="str">
        <f>"1551599217178210"</f>
        <v>1551599217178210</v>
      </c>
      <c r="C6978" t="s">
        <v>40</v>
      </c>
      <c r="D6978">
        <v>5.5793990000000004</v>
      </c>
      <c r="E6978">
        <v>0.45557639999999999</v>
      </c>
      <c r="F6978" t="s">
        <v>42</v>
      </c>
      <c r="G6978">
        <v>-191.1626</v>
      </c>
      <c r="H6978">
        <v>1.0364100000000001</v>
      </c>
      <c r="I6978">
        <v>-56.254429999999999</v>
      </c>
      <c r="J6978">
        <v>-191.2372</v>
      </c>
      <c r="K6978">
        <v>1.1283989999999999</v>
      </c>
      <c r="L6978">
        <v>-57.041870000000003</v>
      </c>
      <c r="M6978">
        <v>0.59725360000000005</v>
      </c>
      <c r="N6978">
        <v>-1.6590009999999999E-2</v>
      </c>
      <c r="O6978">
        <v>0.80188090000000001</v>
      </c>
      <c r="P6978">
        <v>0.27219369999999998</v>
      </c>
      <c r="Q6978">
        <v>-0.17166479999999901</v>
      </c>
      <c r="R6978">
        <v>0.94680609999999998</v>
      </c>
      <c r="S6978">
        <v>0.48774719999999999</v>
      </c>
      <c r="T6978">
        <v>-0.29905929999999997</v>
      </c>
      <c r="U6978">
        <v>2.9744259999999998</v>
      </c>
      <c r="V6978">
        <v>-0.34432000000000001</v>
      </c>
      <c r="W6978">
        <v>-0.16272809999999999</v>
      </c>
      <c r="X6978">
        <v>0.92464230000000003</v>
      </c>
      <c r="Y6978">
        <v>-0.45925440000000001</v>
      </c>
      <c r="Z6978">
        <v>-4.9223049999999997E-2</v>
      </c>
      <c r="AA6978">
        <v>0.886939899999999</v>
      </c>
      <c r="AB6978">
        <v>17</v>
      </c>
      <c r="AC6978">
        <v>7.4600000000003705E-2</v>
      </c>
      <c r="AD6978">
        <v>-9.1988999999999793E-2</v>
      </c>
      <c r="AE6978">
        <v>0.78743999999998904</v>
      </c>
      <c r="AF6978">
        <v>-0.40505888286874903</v>
      </c>
      <c r="AG6978">
        <v>-9.1988999999999793E-2</v>
      </c>
      <c r="AH6978">
        <v>0.66705886799616199</v>
      </c>
      <c r="AI6978">
        <v>96.722583280731797</v>
      </c>
      <c r="AJ6978">
        <v>121.267425275175</v>
      </c>
      <c r="AK6978">
        <v>0.78581308724416099</v>
      </c>
      <c r="AL6978">
        <v>99.365280147923997</v>
      </c>
      <c r="AM6978">
        <v>110.424416900738</v>
      </c>
      <c r="AN6978">
        <v>1.00000003993944</v>
      </c>
    </row>
    <row r="6979" spans="1:40" x14ac:dyDescent="0.25">
      <c r="A6979" t="str">
        <f>"20190303154657211"</f>
        <v>20190303154657211</v>
      </c>
      <c r="B6979" t="str">
        <f>"1551599217208466"</f>
        <v>1551599217208466</v>
      </c>
      <c r="C6979" t="s">
        <v>40</v>
      </c>
      <c r="D6979">
        <v>5.6349369999999999</v>
      </c>
      <c r="E6979">
        <v>0.45537430000000001</v>
      </c>
      <c r="F6979" t="s">
        <v>42</v>
      </c>
      <c r="G6979">
        <v>-191.08199999999999</v>
      </c>
      <c r="H6979">
        <v>1.0334289999999999</v>
      </c>
      <c r="I6979">
        <v>-56.085140000000003</v>
      </c>
      <c r="J6979">
        <v>-191.15450000000001</v>
      </c>
      <c r="K6979">
        <v>1.1283339999999999</v>
      </c>
      <c r="L6979">
        <v>-56.896669999999901</v>
      </c>
      <c r="M6979">
        <v>0.58356889999999995</v>
      </c>
      <c r="N6979">
        <v>-1.657049E-2</v>
      </c>
      <c r="O6979">
        <v>0.81189449999999996</v>
      </c>
      <c r="P6979">
        <v>0.27045599999999997</v>
      </c>
      <c r="Q6979">
        <v>-0.16944100000000001</v>
      </c>
      <c r="R6979">
        <v>0.94770430000000005</v>
      </c>
      <c r="S6979">
        <v>0.4824677</v>
      </c>
      <c r="T6979">
        <v>-0.29543009999999997</v>
      </c>
      <c r="U6979">
        <v>2.9762879999999998</v>
      </c>
      <c r="V6979">
        <v>-0.3306424</v>
      </c>
      <c r="W6979">
        <v>-0.16012219999999999</v>
      </c>
      <c r="X6979">
        <v>0.93007340000000005</v>
      </c>
      <c r="Y6979">
        <v>-0.44581150000000003</v>
      </c>
      <c r="Z6979">
        <v>-5.015878E-2</v>
      </c>
      <c r="AA6979">
        <v>0.89372039999999997</v>
      </c>
      <c r="AB6979">
        <v>17</v>
      </c>
      <c r="AC6979">
        <v>7.2500000000019299E-2</v>
      </c>
      <c r="AD6979">
        <v>-9.4904999999999795E-2</v>
      </c>
      <c r="AE6979">
        <v>0.81152999999998998</v>
      </c>
      <c r="AF6979">
        <v>-0.40922589670227599</v>
      </c>
      <c r="AG6979">
        <v>-9.4904999999999795E-2</v>
      </c>
      <c r="AH6979">
        <v>0.69189416568066697</v>
      </c>
      <c r="AI6979">
        <v>96.733301907502593</v>
      </c>
      <c r="AJ6979">
        <v>120.602504802417</v>
      </c>
      <c r="AK6979">
        <v>0.80943828057470102</v>
      </c>
      <c r="AL6979">
        <v>99.213989005688006</v>
      </c>
      <c r="AM6979">
        <v>109.570371369447</v>
      </c>
      <c r="AN6979">
        <v>1.0000000224990699</v>
      </c>
    </row>
    <row r="6980" spans="1:40" x14ac:dyDescent="0.25">
      <c r="A6980" t="str">
        <f>"20190303154657234"</f>
        <v>20190303154657234</v>
      </c>
      <c r="B6980" t="str">
        <f>"1551599217228961"</f>
        <v>1551599217228961</v>
      </c>
      <c r="C6980" t="s">
        <v>40</v>
      </c>
      <c r="D6980">
        <v>5.6507059999999996</v>
      </c>
      <c r="E6980">
        <v>0.45568550000000002</v>
      </c>
      <c r="F6980" t="s">
        <v>60</v>
      </c>
      <c r="G6980">
        <v>-189.3201</v>
      </c>
      <c r="H6980" s="1">
        <v>-5.9396510000000002E-6</v>
      </c>
      <c r="I6980">
        <v>-45.376820000000002</v>
      </c>
      <c r="J6980">
        <v>-191.07650000000001</v>
      </c>
      <c r="K6980">
        <v>1.12825</v>
      </c>
      <c r="L6980">
        <v>-56.754300000000001</v>
      </c>
      <c r="M6980">
        <v>0.57015569999999904</v>
      </c>
      <c r="N6980">
        <v>-1.6547389999999999E-2</v>
      </c>
      <c r="O6980">
        <v>0.82137000000000004</v>
      </c>
      <c r="P6980">
        <v>0.27010000000000001</v>
      </c>
      <c r="Q6980">
        <v>-0.16887260000000001</v>
      </c>
      <c r="R6980">
        <v>0.94790719999999995</v>
      </c>
      <c r="S6980">
        <v>0.47422789999999998</v>
      </c>
      <c r="T6980">
        <v>-0.29169339999999999</v>
      </c>
      <c r="U6980">
        <v>2.9780579999999999</v>
      </c>
      <c r="V6980">
        <v>-0.31581730000000002</v>
      </c>
      <c r="W6980">
        <v>-0.1591582</v>
      </c>
      <c r="X6980">
        <v>0.93537590000000004</v>
      </c>
      <c r="Y6980">
        <v>-0.43360850000000001</v>
      </c>
      <c r="Z6980">
        <v>-5.0915380000000003E-2</v>
      </c>
      <c r="AA6980">
        <v>0.89966179999999996</v>
      </c>
      <c r="AB6980">
        <v>17</v>
      </c>
      <c r="AC6980">
        <v>1.75640000000001</v>
      </c>
      <c r="AD6980">
        <v>-1.1282559396509999</v>
      </c>
      <c r="AE6980">
        <v>11.377479999999901</v>
      </c>
      <c r="AF6980">
        <v>-4.9969758720835902</v>
      </c>
      <c r="AG6980">
        <v>-1.1282559396509999</v>
      </c>
      <c r="AH6980">
        <v>10.2495130268066</v>
      </c>
      <c r="AI6980">
        <v>95.650801409439595</v>
      </c>
      <c r="AJ6980">
        <v>115.990761428295</v>
      </c>
      <c r="AK6980">
        <v>11.458413791543</v>
      </c>
      <c r="AL6980">
        <v>99.158038648839394</v>
      </c>
      <c r="AM6980">
        <v>108.65657360575</v>
      </c>
      <c r="AN6980">
        <v>0.99999998695366998</v>
      </c>
    </row>
    <row r="6981" spans="1:40" x14ac:dyDescent="0.25">
      <c r="A6981" t="str">
        <f>"20190303154657256"</f>
        <v>20190303154657256</v>
      </c>
      <c r="B6981" t="str">
        <f>"1551599217248482"</f>
        <v>1551599217248482</v>
      </c>
      <c r="C6981" t="s">
        <v>40</v>
      </c>
      <c r="D6981">
        <v>5.7802199999999999</v>
      </c>
      <c r="E6981">
        <v>0.4560111</v>
      </c>
      <c r="F6981" t="s">
        <v>60</v>
      </c>
      <c r="G6981">
        <v>-189.24700000000001</v>
      </c>
      <c r="H6981" s="1">
        <v>-5.9717349999999998E-6</v>
      </c>
      <c r="I6981">
        <v>-45.28004</v>
      </c>
      <c r="J6981">
        <v>-191.0033</v>
      </c>
      <c r="K6981">
        <v>1.1281669999999999</v>
      </c>
      <c r="L6981">
        <v>-56.615659999999998</v>
      </c>
      <c r="M6981">
        <v>0.55710019999999905</v>
      </c>
      <c r="N6981">
        <v>-1.6520799999999999E-2</v>
      </c>
      <c r="O6981">
        <v>0.83028089999999999</v>
      </c>
      <c r="P6981">
        <v>0.27147250000000001</v>
      </c>
      <c r="Q6981">
        <v>-0.16916120000000001</v>
      </c>
      <c r="R6981">
        <v>0.94746350000000001</v>
      </c>
      <c r="S6981">
        <v>0.47471619999999998</v>
      </c>
      <c r="T6981">
        <v>-0.29277039999999999</v>
      </c>
      <c r="U6981">
        <v>2.9774479999999999</v>
      </c>
      <c r="V6981">
        <v>-0.29967500000000002</v>
      </c>
      <c r="W6981">
        <v>-0.1590336</v>
      </c>
      <c r="X6981">
        <v>0.94069290000000005</v>
      </c>
      <c r="Y6981">
        <v>-0.41918359999999899</v>
      </c>
      <c r="Z6981">
        <v>-5.2775049999999997E-2</v>
      </c>
      <c r="AA6981">
        <v>0.90636629999999996</v>
      </c>
      <c r="AB6981">
        <v>17</v>
      </c>
      <c r="AC6981">
        <v>1.75629999999998</v>
      </c>
      <c r="AD6981">
        <v>-1.128172971735</v>
      </c>
      <c r="AE6981">
        <v>11.33562</v>
      </c>
      <c r="AF6981">
        <v>-4.8109805662384897</v>
      </c>
      <c r="AG6981">
        <v>-1.128172971735</v>
      </c>
      <c r="AH6981">
        <v>10.292047984560501</v>
      </c>
      <c r="AI6981">
        <v>95.671020331261303</v>
      </c>
      <c r="AJ6981">
        <v>115.053567569965</v>
      </c>
      <c r="AK6981">
        <v>11.4168542068021</v>
      </c>
      <c r="AL6981">
        <v>99.150807724192404</v>
      </c>
      <c r="AM6981">
        <v>107.670233448902</v>
      </c>
      <c r="AN6981">
        <v>0.99999996183218398</v>
      </c>
    </row>
    <row r="6982" spans="1:40" x14ac:dyDescent="0.25">
      <c r="A6982" t="str">
        <f>"20190303154657278"</f>
        <v>20190303154657278</v>
      </c>
      <c r="B6982" t="str">
        <f>"1551599217268978"</f>
        <v>1551599217268978</v>
      </c>
      <c r="C6982" t="s">
        <v>40</v>
      </c>
      <c r="D6982">
        <v>5.6791400000000003</v>
      </c>
      <c r="E6982">
        <v>0.4834427</v>
      </c>
      <c r="F6982" t="s">
        <v>60</v>
      </c>
      <c r="G6982">
        <v>-189.16470000000001</v>
      </c>
      <c r="H6982" s="1">
        <v>-5.9779790000000002E-6</v>
      </c>
      <c r="I6982">
        <v>-45.235169999999997</v>
      </c>
      <c r="J6982">
        <v>-190.92910000000001</v>
      </c>
      <c r="K6982">
        <v>1.1280730000000001</v>
      </c>
      <c r="L6982">
        <v>-56.469670000000001</v>
      </c>
      <c r="M6982">
        <v>0.54337250000000004</v>
      </c>
      <c r="N6982">
        <v>-1.6488619999999999E-2</v>
      </c>
      <c r="O6982">
        <v>0.83932980000000001</v>
      </c>
      <c r="P6982">
        <v>0.27164959999999999</v>
      </c>
      <c r="Q6982">
        <v>-0.16837729999999901</v>
      </c>
      <c r="R6982">
        <v>0.94755239999999996</v>
      </c>
      <c r="S6982">
        <v>0.48078920000000003</v>
      </c>
      <c r="T6982">
        <v>-0.29501270000000002</v>
      </c>
      <c r="U6982">
        <v>2.9759519999999999</v>
      </c>
      <c r="V6982">
        <v>-0.28416059999999999</v>
      </c>
      <c r="W6982">
        <v>-0.157857</v>
      </c>
      <c r="X6982">
        <v>0.94569230000000004</v>
      </c>
      <c r="Y6982">
        <v>-0.40236260000000001</v>
      </c>
      <c r="Z6982">
        <v>-5.5010549999999998E-2</v>
      </c>
      <c r="AA6982">
        <v>0.91382620000000003</v>
      </c>
      <c r="AB6982">
        <v>17</v>
      </c>
      <c r="AC6982">
        <v>1.76439999999999</v>
      </c>
      <c r="AD6982">
        <v>-1.1280789779789999</v>
      </c>
      <c r="AE6982">
        <v>11.234499999999899</v>
      </c>
      <c r="AF6982">
        <v>-4.5791748605679699</v>
      </c>
      <c r="AG6982">
        <v>-1.1280789779789999</v>
      </c>
      <c r="AH6982">
        <v>10.288353101080901</v>
      </c>
      <c r="AI6982">
        <v>95.720362181376899</v>
      </c>
      <c r="AJ6982">
        <v>113.99305102885801</v>
      </c>
      <c r="AK6982">
        <v>11.317756584974701</v>
      </c>
      <c r="AL6982">
        <v>99.082530641117103</v>
      </c>
      <c r="AM6982">
        <v>106.72441526019</v>
      </c>
      <c r="AN6982">
        <v>1.00000000266032</v>
      </c>
    </row>
    <row r="6983" spans="1:40" x14ac:dyDescent="0.25">
      <c r="A6983" t="str">
        <f>"20190303154657301"</f>
        <v>20190303154657301</v>
      </c>
      <c r="B6983" t="str">
        <f>"1551599217289474"</f>
        <v>1551599217289474</v>
      </c>
      <c r="C6983" t="s">
        <v>40</v>
      </c>
      <c r="D6983">
        <v>5.6307479999999996</v>
      </c>
      <c r="E6983">
        <v>0.48593609999999998</v>
      </c>
      <c r="F6983" t="s">
        <v>60</v>
      </c>
      <c r="G6983">
        <v>-187.98150000000001</v>
      </c>
      <c r="H6983" s="1">
        <v>-6.2841679999999999E-6</v>
      </c>
      <c r="I6983">
        <v>-44.020049999999998</v>
      </c>
      <c r="J6983">
        <v>-190.8587</v>
      </c>
      <c r="K6983">
        <v>1.127977</v>
      </c>
      <c r="L6983">
        <v>-56.325650000000003</v>
      </c>
      <c r="M6983">
        <v>0.52986469999999997</v>
      </c>
      <c r="N6983">
        <v>-1.6453079999999998E-2</v>
      </c>
      <c r="O6983">
        <v>0.84792259999999997</v>
      </c>
      <c r="P6983">
        <v>0.27074389999999998</v>
      </c>
      <c r="Q6983">
        <v>-0.16891709999999999</v>
      </c>
      <c r="R6983">
        <v>0.94771550000000004</v>
      </c>
      <c r="S6983">
        <v>0.69152829999999998</v>
      </c>
      <c r="T6983">
        <v>-0.26465620000000001</v>
      </c>
      <c r="U6983">
        <v>2.920776</v>
      </c>
      <c r="V6983">
        <v>-0.26990890000000001</v>
      </c>
      <c r="W6983">
        <v>-0.15804840000000001</v>
      </c>
      <c r="X6983">
        <v>0.94982619999999895</v>
      </c>
      <c r="Y6983">
        <v>-0.32030429999999999</v>
      </c>
      <c r="Z6983">
        <v>-5.151298E-2</v>
      </c>
      <c r="AA6983">
        <v>0.94591309999999995</v>
      </c>
      <c r="AB6983">
        <v>17</v>
      </c>
      <c r="AC6983">
        <v>2.8771999999999802</v>
      </c>
      <c r="AD6983">
        <v>-1.127983284168</v>
      </c>
      <c r="AE6983">
        <v>12.3056</v>
      </c>
      <c r="AF6983">
        <v>-4.0489552878327197</v>
      </c>
      <c r="AG6983">
        <v>-1.127983284168</v>
      </c>
      <c r="AH6983">
        <v>11.8658092621754</v>
      </c>
      <c r="AI6983">
        <v>95.140947140619403</v>
      </c>
      <c r="AJ6983">
        <v>108.841116701571</v>
      </c>
      <c r="AK6983">
        <v>12.588241126486199</v>
      </c>
      <c r="AL6983">
        <v>99.093636853818893</v>
      </c>
      <c r="AM6983">
        <v>105.86338009817101</v>
      </c>
      <c r="AN6983">
        <v>0.99999996062410401</v>
      </c>
    </row>
    <row r="6984" spans="1:40" x14ac:dyDescent="0.25">
      <c r="A6984" t="str">
        <f>"20190303154657324"</f>
        <v>20190303154657324</v>
      </c>
      <c r="B6984" t="str">
        <f>"1551599217318754"</f>
        <v>1551599217318754</v>
      </c>
      <c r="C6984" t="s">
        <v>40</v>
      </c>
      <c r="D6984">
        <v>5.6498530000000002</v>
      </c>
      <c r="E6984">
        <v>0.48841250000000003</v>
      </c>
      <c r="F6984" t="s">
        <v>60</v>
      </c>
      <c r="G6984">
        <v>-187.92169999999999</v>
      </c>
      <c r="H6984" s="1">
        <v>-6.2095840000000002E-6</v>
      </c>
      <c r="I6984">
        <v>-44.222760000000001</v>
      </c>
      <c r="J6984">
        <v>-190.7903</v>
      </c>
      <c r="K6984">
        <v>1.127875</v>
      </c>
      <c r="L6984">
        <v>-56.179499999999997</v>
      </c>
      <c r="M6984">
        <v>0.51621470000000003</v>
      </c>
      <c r="N6984">
        <v>-1.6413190000000001E-2</v>
      </c>
      <c r="O6984">
        <v>0.85630189999999995</v>
      </c>
      <c r="P6984">
        <v>0.26954909999999999</v>
      </c>
      <c r="Q6984">
        <v>-0.169543</v>
      </c>
      <c r="R6984">
        <v>0.94794429999999996</v>
      </c>
      <c r="S6984">
        <v>0.70738219999999996</v>
      </c>
      <c r="T6984">
        <v>-0.27167729999999901</v>
      </c>
      <c r="U6984">
        <v>2.915009</v>
      </c>
      <c r="V6984">
        <v>-0.2558724</v>
      </c>
      <c r="W6984">
        <v>-0.1583426</v>
      </c>
      <c r="X6984">
        <v>0.95365449999999996</v>
      </c>
      <c r="Y6984">
        <v>-0.29983910000000003</v>
      </c>
      <c r="Z6984">
        <v>-5.4821920000000003E-2</v>
      </c>
      <c r="AA6984">
        <v>0.95241330000000002</v>
      </c>
      <c r="AB6984">
        <v>17</v>
      </c>
      <c r="AC6984">
        <v>2.86860000000001</v>
      </c>
      <c r="AD6984">
        <v>-1.1278812095840001</v>
      </c>
      <c r="AE6984">
        <v>11.9567399999999</v>
      </c>
      <c r="AF6984">
        <v>-3.6853499184142802</v>
      </c>
      <c r="AG6984">
        <v>-1.1278812095840001</v>
      </c>
      <c r="AH6984">
        <v>11.6231757772418</v>
      </c>
      <c r="AI6984">
        <v>95.284764519425707</v>
      </c>
      <c r="AJ6984">
        <v>107.59221279196601</v>
      </c>
      <c r="AK6984">
        <v>12.245494485432101</v>
      </c>
      <c r="AL6984">
        <v>99.110708017681901</v>
      </c>
      <c r="AM6984">
        <v>105.01913830051799</v>
      </c>
      <c r="AN6984">
        <v>0.99999998471338403</v>
      </c>
    </row>
    <row r="6985" spans="1:40" x14ac:dyDescent="0.25">
      <c r="A6985" t="str">
        <f>"20190303154657349"</f>
        <v>20190303154657349</v>
      </c>
      <c r="B6985" t="str">
        <f>"1551599217338275"</f>
        <v>1551599217338275</v>
      </c>
      <c r="C6985" t="s">
        <v>40</v>
      </c>
      <c r="D6985">
        <v>5.6320930000000002</v>
      </c>
      <c r="E6985">
        <v>0.48901719999999999</v>
      </c>
      <c r="F6985" t="s">
        <v>60</v>
      </c>
      <c r="G6985">
        <v>-187.6842</v>
      </c>
      <c r="H6985" s="1">
        <v>-6.3701999999999996E-6</v>
      </c>
      <c r="I6985">
        <v>-43.663159999999998</v>
      </c>
      <c r="J6985">
        <v>-190.71879999999999</v>
      </c>
      <c r="K6985">
        <v>1.1277629999999901</v>
      </c>
      <c r="L6985">
        <v>-56.020319999999998</v>
      </c>
      <c r="M6985">
        <v>0.50140660000000004</v>
      </c>
      <c r="N6985">
        <v>-1.6366869999999999E-2</v>
      </c>
      <c r="O6985">
        <v>0.86505699999999996</v>
      </c>
      <c r="P6985">
        <v>0.26637899999999998</v>
      </c>
      <c r="Q6985">
        <v>-0.17170650000000001</v>
      </c>
      <c r="R6985">
        <v>0.94845089999999999</v>
      </c>
      <c r="S6985">
        <v>0.72270199999999996</v>
      </c>
      <c r="T6985">
        <v>-0.26243450000000001</v>
      </c>
      <c r="U6985">
        <v>2.9122919999999999</v>
      </c>
      <c r="V6985">
        <v>-0.24247540000000001</v>
      </c>
      <c r="W6985">
        <v>-0.16020479999999901</v>
      </c>
      <c r="X6985">
        <v>0.95683859999999998</v>
      </c>
      <c r="Y6985">
        <v>-0.27844760000000002</v>
      </c>
      <c r="Z6985">
        <v>-5.3916239999999997E-2</v>
      </c>
      <c r="AA6985">
        <v>0.95893689999999998</v>
      </c>
      <c r="AB6985">
        <v>17</v>
      </c>
      <c r="AC6985">
        <v>3.0345999999999802</v>
      </c>
      <c r="AD6985">
        <v>-1.12776937019999</v>
      </c>
      <c r="AE6985">
        <v>12.35716</v>
      </c>
      <c r="AF6985">
        <v>-3.54350201171134</v>
      </c>
      <c r="AG6985">
        <v>-1.12776937019999</v>
      </c>
      <c r="AH6985">
        <v>12.1176618521311</v>
      </c>
      <c r="AI6985">
        <v>95.104528137140605</v>
      </c>
      <c r="AJ6985">
        <v>106.300216523983</v>
      </c>
      <c r="AK6985">
        <v>12.6754092250293</v>
      </c>
      <c r="AL6985">
        <v>99.218783722541801</v>
      </c>
      <c r="AM6985">
        <v>104.220146047226</v>
      </c>
      <c r="AN6985">
        <v>1.00000000199907</v>
      </c>
    </row>
    <row r="6986" spans="1:40" x14ac:dyDescent="0.25">
      <c r="A6986" t="str">
        <f>"20190303154657372"</f>
        <v>20190303154657372</v>
      </c>
      <c r="B6986" t="str">
        <f>"1551599217368530"</f>
        <v>1551599217368530</v>
      </c>
      <c r="C6986" t="s">
        <v>40</v>
      </c>
      <c r="D6986">
        <v>5.6601730000000003</v>
      </c>
      <c r="E6986">
        <v>0.48888799999999999</v>
      </c>
      <c r="F6986" t="s">
        <v>60</v>
      </c>
      <c r="G6986">
        <v>-187.70500000000001</v>
      </c>
      <c r="H6986" s="1">
        <v>-6.3248239999999998E-6</v>
      </c>
      <c r="I6986">
        <v>-43.805689999999998</v>
      </c>
      <c r="J6986">
        <v>-190.65299999999999</v>
      </c>
      <c r="K6986">
        <v>1.127667</v>
      </c>
      <c r="L6986">
        <v>-55.867429999999999</v>
      </c>
      <c r="M6986">
        <v>0.48722179999999998</v>
      </c>
      <c r="N6986">
        <v>-1.632169E-2</v>
      </c>
      <c r="O6986">
        <v>0.8731257</v>
      </c>
      <c r="P6986">
        <v>0.26406059999999998</v>
      </c>
      <c r="Q6986">
        <v>-0.17347219999999999</v>
      </c>
      <c r="R6986">
        <v>0.94877789999999995</v>
      </c>
      <c r="S6986">
        <v>0.71862789999999999</v>
      </c>
      <c r="T6986">
        <v>-0.2689126</v>
      </c>
      <c r="U6986">
        <v>2.9125369999999999</v>
      </c>
      <c r="V6986">
        <v>-0.22906309999999999</v>
      </c>
      <c r="W6986">
        <v>-0.16168370000000001</v>
      </c>
      <c r="X6986">
        <v>0.95988980000000002</v>
      </c>
      <c r="Y6986">
        <v>-0.26407779999999997</v>
      </c>
      <c r="Z6986">
        <v>-5.6866659999999999E-2</v>
      </c>
      <c r="AA6986">
        <v>0.96282350000000005</v>
      </c>
      <c r="AB6986">
        <v>17</v>
      </c>
      <c r="AC6986">
        <v>2.9479999999999702</v>
      </c>
      <c r="AD6986">
        <v>-1.1276733248240001</v>
      </c>
      <c r="AE6986">
        <v>12.061739999999901</v>
      </c>
      <c r="AF6986">
        <v>-3.2761861667706</v>
      </c>
      <c r="AG6986">
        <v>-1.1276733248240001</v>
      </c>
      <c r="AH6986">
        <v>11.871424048254999</v>
      </c>
      <c r="AI6986">
        <v>95.231848085958106</v>
      </c>
      <c r="AJ6986">
        <v>105.428039111237</v>
      </c>
      <c r="AK6986">
        <v>12.366719527034901</v>
      </c>
      <c r="AL6986">
        <v>99.304637944469405</v>
      </c>
      <c r="AM6986">
        <v>103.42174971523001</v>
      </c>
      <c r="AN6986">
        <v>0.99999997538566898</v>
      </c>
    </row>
    <row r="6987" spans="1:40" x14ac:dyDescent="0.25">
      <c r="A6987" t="str">
        <f>"20190303154657391"</f>
        <v>20190303154657391</v>
      </c>
      <c r="B6987" t="str">
        <f>"1551599217388051"</f>
        <v>1551599217388051</v>
      </c>
      <c r="C6987" t="s">
        <v>40</v>
      </c>
      <c r="D6987">
        <v>5.6738330000000001</v>
      </c>
      <c r="E6987">
        <v>0.48875940000000001</v>
      </c>
      <c r="F6987" t="s">
        <v>60</v>
      </c>
      <c r="G6987">
        <v>-187.7209</v>
      </c>
      <c r="H6987" s="1">
        <v>-6.307623E-6</v>
      </c>
      <c r="I6987">
        <v>-43.862400000000001</v>
      </c>
      <c r="J6987">
        <v>-190.59780000000001</v>
      </c>
      <c r="K6987">
        <v>1.127589</v>
      </c>
      <c r="L6987">
        <v>-55.733800000000002</v>
      </c>
      <c r="M6987">
        <v>0.4748735</v>
      </c>
      <c r="N6987">
        <v>-1.6282060000000001E-2</v>
      </c>
      <c r="O6987">
        <v>0.8799034</v>
      </c>
      <c r="P6987">
        <v>0.26317829999999998</v>
      </c>
      <c r="Q6987">
        <v>-0.17518549999999999</v>
      </c>
      <c r="R6987">
        <v>0.9487082</v>
      </c>
      <c r="S6987">
        <v>0.71168520000000002</v>
      </c>
      <c r="T6987">
        <v>-0.273707599999999</v>
      </c>
      <c r="U6987">
        <v>2.9138489999999999</v>
      </c>
      <c r="V6987">
        <v>-0.21630279999999999</v>
      </c>
      <c r="W6987">
        <v>-0.1631367</v>
      </c>
      <c r="X6987">
        <v>0.96260040000000002</v>
      </c>
      <c r="Y6987">
        <v>-0.25278</v>
      </c>
      <c r="Z6987">
        <v>-5.917733E-2</v>
      </c>
      <c r="AA6987">
        <v>0.96571240000000003</v>
      </c>
      <c r="AB6987">
        <v>17</v>
      </c>
      <c r="AC6987">
        <v>2.8769</v>
      </c>
      <c r="AD6987">
        <v>-1.1275953076230001</v>
      </c>
      <c r="AE6987">
        <v>11.8714</v>
      </c>
      <c r="AF6987">
        <v>-3.08018315125166</v>
      </c>
      <c r="AG6987">
        <v>-1.1275953076230001</v>
      </c>
      <c r="AH6987">
        <v>11.713597236999099</v>
      </c>
      <c r="AI6987">
        <v>95.318839376379302</v>
      </c>
      <c r="AJ6987">
        <v>104.732846616687</v>
      </c>
      <c r="AK6987">
        <v>12.164183476652299</v>
      </c>
      <c r="AL6987">
        <v>99.389008586918905</v>
      </c>
      <c r="AM6987">
        <v>102.66438969324</v>
      </c>
      <c r="AN6987">
        <v>1.00000000712744</v>
      </c>
    </row>
    <row r="6988" spans="1:40" x14ac:dyDescent="0.25">
      <c r="A6988" t="str">
        <f>"20190303154657414"</f>
        <v>20190303154657414</v>
      </c>
      <c r="B6988" t="str">
        <f>"1551599217408546"</f>
        <v>1551599217408546</v>
      </c>
      <c r="C6988" t="s">
        <v>40</v>
      </c>
      <c r="D6988">
        <v>5.7828330000000001</v>
      </c>
      <c r="E6988">
        <v>0.48869170000000001</v>
      </c>
      <c r="F6988" t="s">
        <v>60</v>
      </c>
      <c r="G6988">
        <v>-187.72139999999999</v>
      </c>
      <c r="H6988" s="1">
        <v>-6.2900010000000002E-6</v>
      </c>
      <c r="I6988">
        <v>-43.915210000000002</v>
      </c>
      <c r="J6988">
        <v>-190.53870000000001</v>
      </c>
      <c r="K6988">
        <v>1.1275010000000001</v>
      </c>
      <c r="L6988">
        <v>-55.584960000000002</v>
      </c>
      <c r="M6988">
        <v>0.46117069999999999</v>
      </c>
      <c r="N6988">
        <v>-1.6226310000000001E-2</v>
      </c>
      <c r="O6988">
        <v>0.88716299999999904</v>
      </c>
      <c r="P6988">
        <v>0.26072840000000003</v>
      </c>
      <c r="Q6988">
        <v>-0.17541599999999999</v>
      </c>
      <c r="R6988">
        <v>0.94934180000000001</v>
      </c>
      <c r="S6988">
        <v>0.70922850000000004</v>
      </c>
      <c r="T6988">
        <v>-0.2780299</v>
      </c>
      <c r="U6988">
        <v>2.9140929999999998</v>
      </c>
      <c r="V6988">
        <v>-0.2038864</v>
      </c>
      <c r="W6988">
        <v>-0.16313039999999901</v>
      </c>
      <c r="X6988">
        <v>0.96530769999999999</v>
      </c>
      <c r="Y6988">
        <v>-0.2385835</v>
      </c>
      <c r="Z6988">
        <v>-6.1521579999999999E-2</v>
      </c>
      <c r="AA6988">
        <v>0.96917129999999996</v>
      </c>
      <c r="AB6988">
        <v>17</v>
      </c>
      <c r="AC6988">
        <v>2.8173000000000101</v>
      </c>
      <c r="AD6988">
        <v>-1.1275072900009999</v>
      </c>
      <c r="AE6988">
        <v>11.669750000000001</v>
      </c>
      <c r="AF6988">
        <v>-2.85751621854839</v>
      </c>
      <c r="AG6988">
        <v>-1.1275072900009999</v>
      </c>
      <c r="AH6988">
        <v>11.551863488653</v>
      </c>
      <c r="AI6988">
        <v>95.412513798025699</v>
      </c>
      <c r="AJ6988">
        <v>103.894013029389</v>
      </c>
      <c r="AK6988">
        <v>11.9533351700999</v>
      </c>
      <c r="AL6988">
        <v>99.388642092709304</v>
      </c>
      <c r="AM6988">
        <v>101.926376286136</v>
      </c>
      <c r="AN6988">
        <v>1.0000000735942001</v>
      </c>
    </row>
    <row r="6989" spans="1:40" x14ac:dyDescent="0.25">
      <c r="A6989" t="str">
        <f>"20190303154657436"</f>
        <v>20190303154657436</v>
      </c>
      <c r="B6989" t="str">
        <f>"1551599217428067"</f>
        <v>1551599217428067</v>
      </c>
      <c r="C6989" t="s">
        <v>40</v>
      </c>
      <c r="D6989">
        <v>5.6937959999999999</v>
      </c>
      <c r="E6989">
        <v>0.48831839999999999</v>
      </c>
      <c r="F6989" t="s">
        <v>60</v>
      </c>
      <c r="G6989">
        <v>-187.68889999999999</v>
      </c>
      <c r="H6989" s="1">
        <v>-6.3425010000000001E-6</v>
      </c>
      <c r="I6989">
        <v>-43.747480000000003</v>
      </c>
      <c r="J6989">
        <v>-190.48269999999999</v>
      </c>
      <c r="K6989">
        <v>1.1274280000000001</v>
      </c>
      <c r="L6989">
        <v>-55.437899999999999</v>
      </c>
      <c r="M6989">
        <v>0.4476907</v>
      </c>
      <c r="N6989">
        <v>-1.6125960000000002E-2</v>
      </c>
      <c r="O6989">
        <v>0.89404309999999998</v>
      </c>
      <c r="P6989">
        <v>0.25764819999999999</v>
      </c>
      <c r="Q6989">
        <v>-0.1736732</v>
      </c>
      <c r="R6989">
        <v>0.95050250000000003</v>
      </c>
      <c r="S6989">
        <v>0.70198059999999995</v>
      </c>
      <c r="T6989">
        <v>-0.27774450000000001</v>
      </c>
      <c r="U6989">
        <v>2.915985</v>
      </c>
      <c r="V6989">
        <v>-0.19262389999999999</v>
      </c>
      <c r="W6989">
        <v>-0.16122349999999999</v>
      </c>
      <c r="X6989">
        <v>0.96793750000000001</v>
      </c>
      <c r="Y6989">
        <v>-0.2263154</v>
      </c>
      <c r="Z6989">
        <v>-6.2543909999999994E-2</v>
      </c>
      <c r="AA6989">
        <v>0.97204409999999997</v>
      </c>
      <c r="AB6989">
        <v>16</v>
      </c>
      <c r="AC6989">
        <v>2.7938000000000001</v>
      </c>
      <c r="AD6989">
        <v>-1.1274343425010001</v>
      </c>
      <c r="AE6989">
        <v>11.69042</v>
      </c>
      <c r="AF6989">
        <v>-2.7124057121787999</v>
      </c>
      <c r="AG6989">
        <v>-1.1274343425010001</v>
      </c>
      <c r="AH6989">
        <v>11.6019411619069</v>
      </c>
      <c r="AI6989">
        <v>95.405506027995898</v>
      </c>
      <c r="AJ6989">
        <v>103.158777166094</v>
      </c>
      <c r="AK6989">
        <v>11.9680111826678</v>
      </c>
      <c r="AL6989">
        <v>99.277919720240703</v>
      </c>
      <c r="AM6989">
        <v>101.255076770665</v>
      </c>
      <c r="AN6989">
        <v>0.99999999385485405</v>
      </c>
    </row>
    <row r="6990" spans="1:40" x14ac:dyDescent="0.25">
      <c r="A6990" t="str">
        <f>"20190303154657458"</f>
        <v>20190303154657458</v>
      </c>
      <c r="B6990" t="str">
        <f>"1551599217448562"</f>
        <v>1551599217448562</v>
      </c>
      <c r="C6990" t="s">
        <v>40</v>
      </c>
      <c r="D6990">
        <v>5.7296820000000004</v>
      </c>
      <c r="E6990">
        <v>0.48809789999999997</v>
      </c>
      <c r="F6990" t="s">
        <v>60</v>
      </c>
      <c r="G6990">
        <v>-187.63329999999999</v>
      </c>
      <c r="H6990" s="1">
        <v>-6.4629929999999998E-6</v>
      </c>
      <c r="I6990">
        <v>-43.368830000000003</v>
      </c>
      <c r="J6990">
        <v>-190.43020000000001</v>
      </c>
      <c r="K6990">
        <v>1.1273599999999999</v>
      </c>
      <c r="L6990">
        <v>-55.293819999999997</v>
      </c>
      <c r="M6990">
        <v>0.43453700000000001</v>
      </c>
      <c r="N6990">
        <v>-1.5950200000000001E-2</v>
      </c>
      <c r="O6990">
        <v>0.9005128</v>
      </c>
      <c r="P6990">
        <v>0.25304120000000002</v>
      </c>
      <c r="Q6990">
        <v>-0.16879029999999901</v>
      </c>
      <c r="R6990">
        <v>0.95261750000000001</v>
      </c>
      <c r="S6990">
        <v>0.68928529999999999</v>
      </c>
      <c r="T6990">
        <v>-0.2727308</v>
      </c>
      <c r="U6990">
        <v>2.919556</v>
      </c>
      <c r="V6990">
        <v>-0.18361839999999999</v>
      </c>
      <c r="W6990">
        <v>-0.15629849999999901</v>
      </c>
      <c r="X6990">
        <v>0.97049220000000003</v>
      </c>
      <c r="Y6990">
        <v>-0.21630240000000001</v>
      </c>
      <c r="Z6990">
        <v>-6.2184650000000001E-2</v>
      </c>
      <c r="AA6990">
        <v>0.97434410000000005</v>
      </c>
      <c r="AB6990">
        <v>16</v>
      </c>
      <c r="AC6990">
        <v>2.7969000000000199</v>
      </c>
      <c r="AD6990">
        <v>-1.127366462993</v>
      </c>
      <c r="AE6990">
        <v>11.924989999999999</v>
      </c>
      <c r="AF6990">
        <v>-2.6411692748357001</v>
      </c>
      <c r="AG6990">
        <v>-1.127366462993</v>
      </c>
      <c r="AH6990">
        <v>11.855053360148601</v>
      </c>
      <c r="AI6990">
        <v>95.303011113737199</v>
      </c>
      <c r="AJ6990">
        <v>102.559721194278</v>
      </c>
      <c r="AK6990">
        <v>12.1979104953343</v>
      </c>
      <c r="AL6990">
        <v>98.992112538458201</v>
      </c>
      <c r="AM6990">
        <v>100.713793746316</v>
      </c>
      <c r="AN6990">
        <v>1.00000002409082</v>
      </c>
    </row>
    <row r="6991" spans="1:40" x14ac:dyDescent="0.25">
      <c r="A6991" t="str">
        <f>"20190303154657479"</f>
        <v>20190303154657479</v>
      </c>
      <c r="B6991" t="str">
        <f>"1551599217468082"</f>
        <v>1551599217468082</v>
      </c>
      <c r="C6991" t="s">
        <v>40</v>
      </c>
      <c r="D6991">
        <v>5.6877649999999997</v>
      </c>
      <c r="E6991">
        <v>0.48794549999999998</v>
      </c>
      <c r="F6991" t="s">
        <v>60</v>
      </c>
      <c r="G6991">
        <v>-187.50450000000001</v>
      </c>
      <c r="H6991" s="1">
        <v>-6.7212670000000001E-6</v>
      </c>
      <c r="I6991">
        <v>-42.553989999999999</v>
      </c>
      <c r="J6991">
        <v>-190.3785</v>
      </c>
      <c r="K6991">
        <v>1.127286</v>
      </c>
      <c r="L6991">
        <v>-55.145539999999997</v>
      </c>
      <c r="M6991">
        <v>0.42104599999999998</v>
      </c>
      <c r="N6991">
        <v>-1.5679720000000001E-2</v>
      </c>
      <c r="O6991">
        <v>0.90690369999999998</v>
      </c>
      <c r="P6991">
        <v>0.24773899999999999</v>
      </c>
      <c r="Q6991">
        <v>-0.16536120000000001</v>
      </c>
      <c r="R6991">
        <v>0.95461039999999997</v>
      </c>
      <c r="S6991">
        <v>0.67172240000000005</v>
      </c>
      <c r="T6991">
        <v>-0.25883099999999998</v>
      </c>
      <c r="U6991">
        <v>2.9249269999999998</v>
      </c>
      <c r="V6991">
        <v>-0.174863299999999</v>
      </c>
      <c r="W6991">
        <v>-0.1529384</v>
      </c>
      <c r="X6991">
        <v>0.97264209999999995</v>
      </c>
      <c r="Y6991">
        <v>-0.20764340000000001</v>
      </c>
      <c r="Z6991">
        <v>-5.9284950000000003E-2</v>
      </c>
      <c r="AA6991">
        <v>0.97640640000000001</v>
      </c>
      <c r="AB6991">
        <v>16</v>
      </c>
      <c r="AC6991">
        <v>2.8739999999999899</v>
      </c>
      <c r="AD6991">
        <v>-1.1272927212670001</v>
      </c>
      <c r="AE6991">
        <v>12.59155</v>
      </c>
      <c r="AF6991">
        <v>-2.6751320142629602</v>
      </c>
      <c r="AG6991">
        <v>-1.1272927212670001</v>
      </c>
      <c r="AH6991">
        <v>12.535463690521199</v>
      </c>
      <c r="AI6991">
        <v>95.026112982875702</v>
      </c>
      <c r="AJ6991">
        <v>102.04650859651601</v>
      </c>
      <c r="AK6991">
        <v>12.8672052175106</v>
      </c>
      <c r="AL6991">
        <v>98.797249813428394</v>
      </c>
      <c r="AM6991">
        <v>100.191860962642</v>
      </c>
      <c r="AN6991">
        <v>0.99999999128692996</v>
      </c>
    </row>
    <row r="6992" spans="1:40" x14ac:dyDescent="0.25">
      <c r="A6992" t="str">
        <f>"20190303154657504"</f>
        <v>20190303154657504</v>
      </c>
      <c r="B6992" t="str">
        <f>"1551599217498338"</f>
        <v>1551599217498338</v>
      </c>
      <c r="C6992" t="s">
        <v>40</v>
      </c>
      <c r="D6992">
        <v>5.6952749999999996</v>
      </c>
      <c r="E6992">
        <v>0.48774109999999998</v>
      </c>
      <c r="F6992" t="s">
        <v>60</v>
      </c>
      <c r="G6992">
        <v>-187.4256</v>
      </c>
      <c r="H6992" s="1">
        <v>-6.9349189999999998E-6</v>
      </c>
      <c r="I6992">
        <v>-41.889229999999998</v>
      </c>
      <c r="J6992">
        <v>-190.32579999999999</v>
      </c>
      <c r="K6992">
        <v>1.127176</v>
      </c>
      <c r="L6992">
        <v>-54.987119999999997</v>
      </c>
      <c r="M6992">
        <v>0.40670859999999998</v>
      </c>
      <c r="N6992">
        <v>-1.5298890000000001E-2</v>
      </c>
      <c r="O6992">
        <v>0.91342990000000002</v>
      </c>
      <c r="P6992">
        <v>0.2409905</v>
      </c>
      <c r="Q6992">
        <v>-0.1646348</v>
      </c>
      <c r="R6992">
        <v>0.95646169999999997</v>
      </c>
      <c r="S6992">
        <v>0.65267940000000002</v>
      </c>
      <c r="T6992">
        <v>-0.2491691</v>
      </c>
      <c r="U6992">
        <v>2.9300839999999999</v>
      </c>
      <c r="V6992">
        <v>-0.16649800000000001</v>
      </c>
      <c r="W6992">
        <v>-0.1524066</v>
      </c>
      <c r="X6992">
        <v>0.97419230000000001</v>
      </c>
      <c r="Y6992">
        <v>-0.19862959999999999</v>
      </c>
      <c r="Z6992">
        <v>-5.7645299999999997E-2</v>
      </c>
      <c r="AA6992">
        <v>0.97837790000000002</v>
      </c>
      <c r="AB6992">
        <v>16</v>
      </c>
      <c r="AC6992">
        <v>2.9001999999999799</v>
      </c>
      <c r="AD6992">
        <v>-1.1271829349189999</v>
      </c>
      <c r="AE6992">
        <v>13.09789</v>
      </c>
      <c r="AF6992">
        <v>-2.6594330522729401</v>
      </c>
      <c r="AG6992">
        <v>-1.1271829349189999</v>
      </c>
      <c r="AH6992">
        <v>13.052925886379199</v>
      </c>
      <c r="AI6992">
        <v>94.836642033192703</v>
      </c>
      <c r="AJ6992">
        <v>101.515954089256</v>
      </c>
      <c r="AK6992">
        <v>13.3686947651446</v>
      </c>
      <c r="AL6992">
        <v>98.766418429915305</v>
      </c>
      <c r="AM6992">
        <v>99.6986434307086</v>
      </c>
      <c r="AN6992">
        <v>0.99999999655342497</v>
      </c>
    </row>
    <row r="6993" spans="1:40" x14ac:dyDescent="0.25">
      <c r="A6993" t="str">
        <f>"20190303154657527"</f>
        <v>20190303154657527</v>
      </c>
      <c r="B6993" t="str">
        <f>"1551599217518835"</f>
        <v>1551599217518835</v>
      </c>
      <c r="C6993" t="s">
        <v>40</v>
      </c>
      <c r="D6993">
        <v>5.6920809999999999</v>
      </c>
      <c r="E6993">
        <v>0.48773100000000003</v>
      </c>
      <c r="F6993" t="s">
        <v>60</v>
      </c>
      <c r="G6993">
        <v>-187.47790000000001</v>
      </c>
      <c r="H6993" s="1">
        <v>-7.0004610000000001E-6</v>
      </c>
      <c r="I6993">
        <v>-41.710999999999999</v>
      </c>
      <c r="J6993">
        <v>-190.27459999999999</v>
      </c>
      <c r="K6993">
        <v>1.1270519999999999</v>
      </c>
      <c r="L6993">
        <v>-54.824890000000003</v>
      </c>
      <c r="M6993">
        <v>0.3921191</v>
      </c>
      <c r="N6993">
        <v>-1.4835370000000001E-2</v>
      </c>
      <c r="O6993">
        <v>0.91979489999999997</v>
      </c>
      <c r="P6993">
        <v>0.2338585</v>
      </c>
      <c r="Q6993">
        <v>-0.16471549999999999</v>
      </c>
      <c r="R6993">
        <v>0.95821650000000003</v>
      </c>
      <c r="S6993">
        <v>0.62960819999999995</v>
      </c>
      <c r="T6993">
        <v>-0.24919269999999999</v>
      </c>
      <c r="U6993">
        <v>2.935028</v>
      </c>
      <c r="V6993">
        <v>-0.15826889999999999</v>
      </c>
      <c r="W6993">
        <v>-0.15276699999999999</v>
      </c>
      <c r="X6993">
        <v>0.9755066</v>
      </c>
      <c r="Y6993">
        <v>-0.1907365</v>
      </c>
      <c r="Z6993">
        <v>-5.8825349999999998E-2</v>
      </c>
      <c r="AA6993">
        <v>0.97987709999999995</v>
      </c>
      <c r="AB6993">
        <v>17</v>
      </c>
      <c r="AC6993">
        <v>2.79669999999998</v>
      </c>
      <c r="AD6993">
        <v>-1.1270590004609999</v>
      </c>
      <c r="AE6993">
        <v>13.1138899999999</v>
      </c>
      <c r="AF6993">
        <v>-2.5520685674692101</v>
      </c>
      <c r="AG6993">
        <v>-1.1270590004609999</v>
      </c>
      <c r="AH6993">
        <v>13.0678512309974</v>
      </c>
      <c r="AI6993">
        <v>94.8384154443537</v>
      </c>
      <c r="AJ6993">
        <v>101.050417540314</v>
      </c>
      <c r="AK6993">
        <v>13.362337062021201</v>
      </c>
      <c r="AL6993">
        <v>98.787312786963895</v>
      </c>
      <c r="AM6993">
        <v>99.215527038074597</v>
      </c>
      <c r="AN6993">
        <v>0.99999996381988399</v>
      </c>
    </row>
    <row r="6994" spans="1:40" x14ac:dyDescent="0.25">
      <c r="A6994" t="str">
        <f>"20190303154657573"</f>
        <v>20190303154657573</v>
      </c>
      <c r="B6994" t="str">
        <f>"1551599217568674"</f>
        <v>1551599217568674</v>
      </c>
      <c r="C6994" t="s">
        <v>40</v>
      </c>
      <c r="D6994">
        <v>5.7211030000000003</v>
      </c>
      <c r="E6994">
        <v>0.48799619999999999</v>
      </c>
      <c r="F6994" t="s">
        <v>60</v>
      </c>
      <c r="G6994">
        <v>-187.5505</v>
      </c>
      <c r="H6994" s="1">
        <v>-7.0314909999999999E-6</v>
      </c>
      <c r="I6994">
        <v>-41.642690000000002</v>
      </c>
      <c r="J6994">
        <v>-190.18180000000001</v>
      </c>
      <c r="K6994">
        <v>1.1268129999999901</v>
      </c>
      <c r="L6994">
        <v>-54.508999999999901</v>
      </c>
      <c r="M6994">
        <v>0.36401899999999998</v>
      </c>
      <c r="N6994">
        <v>-1.386596E-2</v>
      </c>
      <c r="O6994">
        <v>0.93128829999999996</v>
      </c>
      <c r="P6994">
        <v>0.21729190000000001</v>
      </c>
      <c r="Q6994">
        <v>-0.16189120000000001</v>
      </c>
      <c r="R6994">
        <v>0.96258790000000005</v>
      </c>
      <c r="S6994">
        <v>0.60742189999999996</v>
      </c>
      <c r="T6994">
        <v>-0.25131120000000001</v>
      </c>
      <c r="U6994">
        <v>2.939362</v>
      </c>
      <c r="V6994">
        <v>-0.1457437</v>
      </c>
      <c r="W6994">
        <v>-0.1506169</v>
      </c>
      <c r="X6994">
        <v>0.97779000000000005</v>
      </c>
      <c r="Y6994">
        <v>-0.16832369999999999</v>
      </c>
      <c r="Z6994">
        <v>-6.1844759999999999E-2</v>
      </c>
      <c r="AA6994">
        <v>0.98378980000000005</v>
      </c>
      <c r="AB6994">
        <v>17</v>
      </c>
      <c r="AC6994">
        <v>2.6313</v>
      </c>
      <c r="AD6994">
        <v>-1.12682003149099</v>
      </c>
      <c r="AE6994">
        <v>12.866309999999901</v>
      </c>
      <c r="AF6994">
        <v>-2.2169753321663301</v>
      </c>
      <c r="AG6994">
        <v>-1.12682003149099</v>
      </c>
      <c r="AH6994">
        <v>12.8467512367914</v>
      </c>
      <c r="AI6994">
        <v>94.940073946414699</v>
      </c>
      <c r="AJ6994">
        <v>99.791148110121</v>
      </c>
      <c r="AK6994">
        <v>13.0852481958427</v>
      </c>
      <c r="AL6994">
        <v>98.662678669366301</v>
      </c>
      <c r="AM6994">
        <v>98.477760018637497</v>
      </c>
      <c r="AN6994">
        <v>0.99999998037764903</v>
      </c>
    </row>
    <row r="6995" spans="1:40" x14ac:dyDescent="0.25">
      <c r="A6995" t="str">
        <f>"20190303154657596"</f>
        <v>20190303154657596</v>
      </c>
      <c r="B6995" t="str">
        <f>"1551599217588194"</f>
        <v>1551599217588194</v>
      </c>
      <c r="C6995" t="s">
        <v>40</v>
      </c>
      <c r="D6995">
        <v>5.74451</v>
      </c>
      <c r="E6995">
        <v>0.4881414</v>
      </c>
      <c r="F6995" t="s">
        <v>60</v>
      </c>
      <c r="G6995">
        <v>-187.63839999999999</v>
      </c>
      <c r="H6995" s="1">
        <v>-7.2255209999999996E-6</v>
      </c>
      <c r="I6995">
        <v>-41.092610000000001</v>
      </c>
      <c r="J6995">
        <v>-190.13829999999999</v>
      </c>
      <c r="K6995">
        <v>1.126728</v>
      </c>
      <c r="L6995">
        <v>-54.349519999999998</v>
      </c>
      <c r="M6995">
        <v>0.35004400000000002</v>
      </c>
      <c r="N6995">
        <v>-1.3377770000000001E-2</v>
      </c>
      <c r="O6995">
        <v>0.93663770000000002</v>
      </c>
      <c r="P6995">
        <v>0.2099126</v>
      </c>
      <c r="Q6995">
        <v>-0.16017899999999999</v>
      </c>
      <c r="R6995">
        <v>0.96450999999999998</v>
      </c>
      <c r="S6995">
        <v>0.55900569999999905</v>
      </c>
      <c r="T6995">
        <v>-0.24766150000000001</v>
      </c>
      <c r="U6995">
        <v>2.9487610000000002</v>
      </c>
      <c r="V6995">
        <v>-0.1387504</v>
      </c>
      <c r="W6995">
        <v>-0.14923919999999999</v>
      </c>
      <c r="X6995">
        <v>0.9790179</v>
      </c>
      <c r="Y6995">
        <v>-0.16973840000000001</v>
      </c>
      <c r="Z6995">
        <v>-6.1689029999999999E-2</v>
      </c>
      <c r="AA6995">
        <v>0.98355649999999994</v>
      </c>
      <c r="AB6995">
        <v>17</v>
      </c>
      <c r="AC6995">
        <v>2.49989999999999</v>
      </c>
      <c r="AD6995">
        <v>-1.1267352255209999</v>
      </c>
      <c r="AE6995">
        <v>13.2569099999999</v>
      </c>
      <c r="AF6995">
        <v>-2.2832796943099098</v>
      </c>
      <c r="AG6995">
        <v>-1.1267352255209999</v>
      </c>
      <c r="AH6995">
        <v>13.201100502859401</v>
      </c>
      <c r="AI6995">
        <v>94.807427084606005</v>
      </c>
      <c r="AJ6995">
        <v>99.812869275489405</v>
      </c>
      <c r="AK6995">
        <v>13.444402289334899</v>
      </c>
      <c r="AL6995">
        <v>98.582839407310502</v>
      </c>
      <c r="AM6995">
        <v>98.0664703198251</v>
      </c>
      <c r="AN6995">
        <v>1.0000000304186001</v>
      </c>
    </row>
    <row r="6996" spans="1:40" x14ac:dyDescent="0.25">
      <c r="A6996" t="str">
        <f>"20190303154657616"</f>
        <v>20190303154657616</v>
      </c>
      <c r="B6996" t="str">
        <f>"1551599217608690"</f>
        <v>1551599217608690</v>
      </c>
      <c r="C6996" t="s">
        <v>40</v>
      </c>
      <c r="D6996">
        <v>5.7379989999999896</v>
      </c>
      <c r="E6996">
        <v>0.48830129999999999</v>
      </c>
      <c r="F6996" t="s">
        <v>60</v>
      </c>
      <c r="G6996">
        <v>-187.6472</v>
      </c>
      <c r="H6996" s="1">
        <v>-7.3638139999999997E-6</v>
      </c>
      <c r="I6996">
        <v>-40.68244</v>
      </c>
      <c r="J6996">
        <v>-190.10079999999999</v>
      </c>
      <c r="K6996">
        <v>1.1266529999999999</v>
      </c>
      <c r="L6996">
        <v>-54.204500000000003</v>
      </c>
      <c r="M6996">
        <v>0.33750960000000002</v>
      </c>
      <c r="N6996">
        <v>-1.294501E-2</v>
      </c>
      <c r="O6996">
        <v>0.94123310000000004</v>
      </c>
      <c r="P6996">
        <v>0.20649790000000001</v>
      </c>
      <c r="Q6996">
        <v>-0.157160299999999</v>
      </c>
      <c r="R6996">
        <v>0.96574289999999996</v>
      </c>
      <c r="S6996">
        <v>0.53820800000000002</v>
      </c>
      <c r="T6996">
        <v>-0.24343509999999999</v>
      </c>
      <c r="U6996">
        <v>2.95282</v>
      </c>
      <c r="V6996">
        <v>-0.12938150000000001</v>
      </c>
      <c r="W6996">
        <v>-0.1464635</v>
      </c>
      <c r="X6996">
        <v>0.9807186</v>
      </c>
      <c r="Y6996">
        <v>-0.16352539999999999</v>
      </c>
      <c r="Z6996">
        <v>-6.134792E-2</v>
      </c>
      <c r="AA6996">
        <v>0.9846298</v>
      </c>
      <c r="AB6996">
        <v>17</v>
      </c>
      <c r="AC6996">
        <v>2.45359999999999</v>
      </c>
      <c r="AD6996">
        <v>-1.126660363814</v>
      </c>
      <c r="AE6996">
        <v>13.52206</v>
      </c>
      <c r="AF6996">
        <v>-2.23955242859626</v>
      </c>
      <c r="AG6996">
        <v>-1.126660363814</v>
      </c>
      <c r="AH6996">
        <v>13.4661540156734</v>
      </c>
      <c r="AI6996">
        <v>94.718070091500607</v>
      </c>
      <c r="AJ6996">
        <v>99.442422780292603</v>
      </c>
      <c r="AK6996">
        <v>13.6975276101075</v>
      </c>
      <c r="AL6996">
        <v>98.4220359950112</v>
      </c>
      <c r="AM6996">
        <v>97.515358102127394</v>
      </c>
      <c r="AN6996">
        <v>1.00000005088022</v>
      </c>
    </row>
    <row r="6997" spans="1:40" x14ac:dyDescent="0.25">
      <c r="A6997" t="str">
        <f>"20190303154657636"</f>
        <v>20190303154657636</v>
      </c>
      <c r="B6997" t="str">
        <f>"1551599217628210"</f>
        <v>1551599217628210</v>
      </c>
      <c r="C6997" t="s">
        <v>40</v>
      </c>
      <c r="D6997">
        <v>5.7687299999999997</v>
      </c>
      <c r="E6997">
        <v>0.48852600000000002</v>
      </c>
      <c r="F6997" t="s">
        <v>41</v>
      </c>
      <c r="G6997">
        <v>-187.55709999999999</v>
      </c>
      <c r="H6997" s="1">
        <v>-7.6841959999999997E-7</v>
      </c>
      <c r="I6997">
        <v>-40.00394</v>
      </c>
      <c r="J6997">
        <v>-190.06440000000001</v>
      </c>
      <c r="K6997">
        <v>1.126568</v>
      </c>
      <c r="L6997">
        <v>-54.057130000000001</v>
      </c>
      <c r="M6997">
        <v>0.32497100000000001</v>
      </c>
      <c r="N6997">
        <v>-1.2512769999999999E-2</v>
      </c>
      <c r="O6997">
        <v>0.94564119999999996</v>
      </c>
      <c r="P6997">
        <v>0.20384769999999999</v>
      </c>
      <c r="Q6997">
        <v>-0.15362139999999999</v>
      </c>
      <c r="R6997">
        <v>0.96687469999999998</v>
      </c>
      <c r="S6997">
        <v>0.5293274</v>
      </c>
      <c r="T6997">
        <v>-0.23445199999999999</v>
      </c>
      <c r="U6997">
        <v>2.9550779999999999</v>
      </c>
      <c r="V6997">
        <v>-0.11930159999999999</v>
      </c>
      <c r="W6997">
        <v>-0.1431559</v>
      </c>
      <c r="X6997">
        <v>0.98248329999999995</v>
      </c>
      <c r="Y6997">
        <v>-0.15339449999999999</v>
      </c>
      <c r="Z6997">
        <v>-5.9571010000000001E-2</v>
      </c>
      <c r="AA6997">
        <v>0.98636780000000002</v>
      </c>
      <c r="AB6997">
        <v>17</v>
      </c>
      <c r="AC6997">
        <v>2.5073000000000101</v>
      </c>
      <c r="AD6997">
        <v>-1.1265687684196</v>
      </c>
      <c r="AE6997">
        <v>14.053190000000001</v>
      </c>
      <c r="AF6997">
        <v>-2.18245238645539</v>
      </c>
      <c r="AG6997">
        <v>-1.1265687684196</v>
      </c>
      <c r="AH6997">
        <v>14.017874576409</v>
      </c>
      <c r="AI6997">
        <v>94.540325598553494</v>
      </c>
      <c r="AJ6997">
        <v>98.849373399043003</v>
      </c>
      <c r="AK6997">
        <v>14.2314111474954</v>
      </c>
      <c r="AL6997">
        <v>98.230506329331803</v>
      </c>
      <c r="AM6997">
        <v>96.923452157755904</v>
      </c>
      <c r="AN6997">
        <v>0.999999959123129</v>
      </c>
    </row>
    <row r="6998" spans="1:40" x14ac:dyDescent="0.25">
      <c r="A6998" t="str">
        <f>"20190303154657659"</f>
        <v>20190303154657659</v>
      </c>
      <c r="B6998" t="str">
        <f>"1551599217648706"</f>
        <v>1551599217648706</v>
      </c>
      <c r="C6998" t="s">
        <v>40</v>
      </c>
      <c r="D6998">
        <v>5.7530340000000004</v>
      </c>
      <c r="E6998">
        <v>0.48874430000000002</v>
      </c>
      <c r="F6998" t="s">
        <v>41</v>
      </c>
      <c r="G6998">
        <v>-187.43600000000001</v>
      </c>
      <c r="H6998" s="1">
        <v>-1.0732749999999999E-6</v>
      </c>
      <c r="I6998">
        <v>-39.202759999999998</v>
      </c>
      <c r="J6998">
        <v>-190.02709999999999</v>
      </c>
      <c r="K6998">
        <v>1.126465</v>
      </c>
      <c r="L6998">
        <v>-53.898440000000001</v>
      </c>
      <c r="M6998">
        <v>0.31170910000000002</v>
      </c>
      <c r="N6998">
        <v>-1.204999E-2</v>
      </c>
      <c r="O6998">
        <v>0.95010119999999998</v>
      </c>
      <c r="P6998">
        <v>0.1998772</v>
      </c>
      <c r="Q6998">
        <v>-0.151860299999999</v>
      </c>
      <c r="R6998">
        <v>0.96798119999999999</v>
      </c>
      <c r="S6998">
        <v>0.52319340000000003</v>
      </c>
      <c r="T6998">
        <v>-0.22425020000000001</v>
      </c>
      <c r="U6998">
        <v>2.9568479999999999</v>
      </c>
      <c r="V6998">
        <v>-0.10973090000000001</v>
      </c>
      <c r="W6998">
        <v>-0.14166899999999999</v>
      </c>
      <c r="X6998">
        <v>0.98381350000000001</v>
      </c>
      <c r="Y6998">
        <v>-0.14163229999999999</v>
      </c>
      <c r="Z6998">
        <v>-5.7426610000000003E-2</v>
      </c>
      <c r="AA6998">
        <v>0.98825220000000003</v>
      </c>
      <c r="AB6998">
        <v>17</v>
      </c>
      <c r="AC6998">
        <v>2.5911000000000102</v>
      </c>
      <c r="AD6998">
        <v>-1.126466073275</v>
      </c>
      <c r="AE6998">
        <v>14.695679999999999</v>
      </c>
      <c r="AF6998">
        <v>-2.1071163433648201</v>
      </c>
      <c r="AG6998">
        <v>-1.126466073275</v>
      </c>
      <c r="AH6998">
        <v>14.687428238390201</v>
      </c>
      <c r="AI6998">
        <v>94.341489587094003</v>
      </c>
      <c r="AJ6998">
        <v>98.1641711087034</v>
      </c>
      <c r="AK6998">
        <v>14.8805044725163</v>
      </c>
      <c r="AL6998">
        <v>98.144435693806898</v>
      </c>
      <c r="AM6998">
        <v>96.364254041537905</v>
      </c>
      <c r="AN6998">
        <v>0.99999998937902901</v>
      </c>
    </row>
    <row r="6999" spans="1:40" x14ac:dyDescent="0.25">
      <c r="A6999" t="str">
        <f>"20190303154657682"</f>
        <v>20190303154657682</v>
      </c>
      <c r="B6999" t="str">
        <f>"1551599217678961"</f>
        <v>1551599217678961</v>
      </c>
      <c r="C6999" t="s">
        <v>40</v>
      </c>
      <c r="D6999">
        <v>5.7657949999999998</v>
      </c>
      <c r="E6999">
        <v>0.48919679999999999</v>
      </c>
      <c r="F6999" t="s">
        <v>41</v>
      </c>
      <c r="G6999">
        <v>-187.39959999999999</v>
      </c>
      <c r="H6999" s="1">
        <v>-1.2398260000000001E-6</v>
      </c>
      <c r="I6999">
        <v>-38.741810000000001</v>
      </c>
      <c r="J6999">
        <v>-189.98840000000001</v>
      </c>
      <c r="K6999">
        <v>1.1263240000000001</v>
      </c>
      <c r="L6999">
        <v>-53.723719999999901</v>
      </c>
      <c r="M6999">
        <v>0.29741220000000002</v>
      </c>
      <c r="N6999">
        <v>-1.153942E-2</v>
      </c>
      <c r="O6999">
        <v>0.95467939999999996</v>
      </c>
      <c r="P6999">
        <v>0.19518460000000001</v>
      </c>
      <c r="Q6999">
        <v>-0.14932089999999901</v>
      </c>
      <c r="R6999">
        <v>0.96933290000000005</v>
      </c>
      <c r="S6999">
        <v>0.51293949999999999</v>
      </c>
      <c r="T6999">
        <v>-0.2199054</v>
      </c>
      <c r="U6999">
        <v>2.9588320000000001</v>
      </c>
      <c r="V6999">
        <v>-9.9920919999999996E-2</v>
      </c>
      <c r="W6999">
        <v>-0.1394454</v>
      </c>
      <c r="X6999">
        <v>0.98517549999999998</v>
      </c>
      <c r="Y6999">
        <v>-0.13020409999999999</v>
      </c>
      <c r="Z6999">
        <v>-5.7097429999999998E-2</v>
      </c>
      <c r="AA6999">
        <v>0.98984179999999999</v>
      </c>
      <c r="AB6999">
        <v>17</v>
      </c>
      <c r="AC6999">
        <v>2.58880000000002</v>
      </c>
      <c r="AD6999">
        <v>-1.126325239826</v>
      </c>
      <c r="AE6999">
        <v>14.9819099999999</v>
      </c>
      <c r="AF6999">
        <v>-1.9736296549536301</v>
      </c>
      <c r="AG6999">
        <v>-1.126325239826</v>
      </c>
      <c r="AH6999">
        <v>14.9915915180804</v>
      </c>
      <c r="AI6999">
        <v>94.259966393953803</v>
      </c>
      <c r="AJ6999">
        <v>97.499809115015694</v>
      </c>
      <c r="AK6999">
        <v>15.1628374259491</v>
      </c>
      <c r="AL6999">
        <v>98.0157553143993</v>
      </c>
      <c r="AM6999">
        <v>95.791390709126702</v>
      </c>
      <c r="AN6999">
        <v>0.99999998781752797</v>
      </c>
    </row>
    <row r="7000" spans="1:40" x14ac:dyDescent="0.25">
      <c r="A7000" t="str">
        <f>"20190303154657704"</f>
        <v>20190303154657704</v>
      </c>
      <c r="B7000" t="str">
        <f>"1551599217698482"</f>
        <v>1551599217698482</v>
      </c>
      <c r="C7000" t="s">
        <v>40</v>
      </c>
      <c r="D7000">
        <v>5.7657949999999998</v>
      </c>
      <c r="E7000">
        <v>0.4893382</v>
      </c>
      <c r="F7000" t="s">
        <v>41</v>
      </c>
      <c r="G7000">
        <v>-187.34549999999999</v>
      </c>
      <c r="H7000" s="1">
        <v>-1.4596029999999901E-6</v>
      </c>
      <c r="I7000">
        <v>-38.138289999999998</v>
      </c>
      <c r="J7000">
        <v>-189.95480000000001</v>
      </c>
      <c r="K7000">
        <v>1.1261730000000001</v>
      </c>
      <c r="L7000">
        <v>-53.562559999999998</v>
      </c>
      <c r="M7000">
        <v>0.28454220000000002</v>
      </c>
      <c r="N7000">
        <v>-1.1072759999999999E-2</v>
      </c>
      <c r="O7000">
        <v>0.9585996</v>
      </c>
      <c r="P7000">
        <v>0.1914998</v>
      </c>
      <c r="Q7000">
        <v>-0.14819370000000001</v>
      </c>
      <c r="R7000">
        <v>0.9702404</v>
      </c>
      <c r="S7000">
        <v>0.5020905</v>
      </c>
      <c r="T7000">
        <v>-0.21397389999999999</v>
      </c>
      <c r="U7000">
        <v>2.9608460000000001</v>
      </c>
      <c r="V7000">
        <v>-9.0514999999999998E-2</v>
      </c>
      <c r="W7000">
        <v>-0.1386047</v>
      </c>
      <c r="X7000">
        <v>0.98620269999999999</v>
      </c>
      <c r="Y7000">
        <v>-0.1204933</v>
      </c>
      <c r="Z7000">
        <v>-5.6131569999999999E-2</v>
      </c>
      <c r="AA7000">
        <v>0.9911259</v>
      </c>
      <c r="AB7000">
        <v>17</v>
      </c>
      <c r="AC7000">
        <v>2.6093000000000202</v>
      </c>
      <c r="AD7000">
        <v>-1.1261744596030001</v>
      </c>
      <c r="AE7000">
        <v>15.4242699999999</v>
      </c>
      <c r="AF7000">
        <v>-1.87796470191934</v>
      </c>
      <c r="AG7000">
        <v>-1.1261744596030001</v>
      </c>
      <c r="AH7000">
        <v>15.4490402840283</v>
      </c>
      <c r="AI7000">
        <v>94.138903084247701</v>
      </c>
      <c r="AJ7000">
        <v>96.930794265785593</v>
      </c>
      <c r="AK7000">
        <v>15.6034568616267</v>
      </c>
      <c r="AL7000">
        <v>97.967114319923894</v>
      </c>
      <c r="AM7000">
        <v>95.243991241817</v>
      </c>
      <c r="AN7000">
        <v>0.99999999678718898</v>
      </c>
    </row>
    <row r="7001" spans="1:40" x14ac:dyDescent="0.25">
      <c r="A7001" t="str">
        <f>"20190303154657725"</f>
        <v>20190303154657725</v>
      </c>
      <c r="B7001" t="str">
        <f>"1551599217718978"</f>
        <v>1551599217718978</v>
      </c>
      <c r="C7001" t="s">
        <v>40</v>
      </c>
      <c r="D7001">
        <v>5.8028279999999999</v>
      </c>
      <c r="E7001">
        <v>0.489562</v>
      </c>
      <c r="F7001" t="s">
        <v>41</v>
      </c>
      <c r="G7001">
        <v>-187.34360000000001</v>
      </c>
      <c r="H7001" s="1">
        <v>-1.5659919999999999E-6</v>
      </c>
      <c r="I7001">
        <v>-37.827109999999998</v>
      </c>
      <c r="J7001">
        <v>-189.9238</v>
      </c>
      <c r="K7001">
        <v>1.126026</v>
      </c>
      <c r="L7001">
        <v>-53.406280000000002</v>
      </c>
      <c r="M7001">
        <v>0.27232030000000002</v>
      </c>
      <c r="N7001">
        <v>-1.063801E-2</v>
      </c>
      <c r="O7001">
        <v>0.9621478</v>
      </c>
      <c r="P7001">
        <v>0.18768609999999999</v>
      </c>
      <c r="Q7001">
        <v>-0.14735129999999999</v>
      </c>
      <c r="R7001">
        <v>0.97111360000000002</v>
      </c>
      <c r="S7001">
        <v>0.49160769999999998</v>
      </c>
      <c r="T7001">
        <v>-0.2120302</v>
      </c>
      <c r="U7001">
        <v>2.9625849999999998</v>
      </c>
      <c r="V7001">
        <v>-8.1920469999999995E-2</v>
      </c>
      <c r="W7001">
        <v>-0.1380391</v>
      </c>
      <c r="X7001">
        <v>0.9870331</v>
      </c>
      <c r="Y7001">
        <v>-0.1113686</v>
      </c>
      <c r="Z7001">
        <v>-5.6323459999999999E-2</v>
      </c>
      <c r="AA7001">
        <v>0.9921818</v>
      </c>
      <c r="AB7001">
        <v>17</v>
      </c>
      <c r="AC7001">
        <v>2.5801999999999898</v>
      </c>
      <c r="AD7001">
        <v>-1.126027565992</v>
      </c>
      <c r="AE7001">
        <v>15.57917</v>
      </c>
      <c r="AF7001">
        <v>-1.75118608317104</v>
      </c>
      <c r="AG7001">
        <v>-1.126027565992</v>
      </c>
      <c r="AH7001">
        <v>15.613604698442201</v>
      </c>
      <c r="AI7001">
        <v>94.099321827508106</v>
      </c>
      <c r="AJ7001">
        <v>96.399419097166202</v>
      </c>
      <c r="AK7001">
        <v>15.751801244825399</v>
      </c>
      <c r="AL7001">
        <v>97.934392876735004</v>
      </c>
      <c r="AM7001">
        <v>94.744485348694496</v>
      </c>
      <c r="AN7001">
        <v>1.00000004851471</v>
      </c>
    </row>
    <row r="7002" spans="1:40" x14ac:dyDescent="0.25">
      <c r="A7002" t="str">
        <f>"20190303154657750"</f>
        <v>20190303154657750</v>
      </c>
      <c r="B7002" t="str">
        <f>"1551599217738498"</f>
        <v>1551599217738498</v>
      </c>
      <c r="C7002" t="s">
        <v>40</v>
      </c>
      <c r="D7002">
        <v>5.845574</v>
      </c>
      <c r="E7002">
        <v>0.47688180000000002</v>
      </c>
      <c r="F7002" t="s">
        <v>41</v>
      </c>
      <c r="G7002">
        <v>-187.35990000000001</v>
      </c>
      <c r="H7002" s="1">
        <v>-1.649805E-6</v>
      </c>
      <c r="I7002">
        <v>-37.613109999999999</v>
      </c>
      <c r="J7002">
        <v>-189.89060000000001</v>
      </c>
      <c r="K7002">
        <v>1.125875</v>
      </c>
      <c r="L7002">
        <v>-53.227939999999997</v>
      </c>
      <c r="M7002">
        <v>0.25872109999999998</v>
      </c>
      <c r="N7002">
        <v>-1.016295E-2</v>
      </c>
      <c r="O7002">
        <v>0.96589860000000005</v>
      </c>
      <c r="P7002">
        <v>0.1799885</v>
      </c>
      <c r="Q7002">
        <v>-0.1462369</v>
      </c>
      <c r="R7002">
        <v>0.97273779999999999</v>
      </c>
      <c r="S7002">
        <v>0.48121639999999999</v>
      </c>
      <c r="T7002">
        <v>-0.2113408</v>
      </c>
      <c r="U7002">
        <v>2.964172</v>
      </c>
      <c r="V7002">
        <v>-7.5908329999999996E-2</v>
      </c>
      <c r="W7002">
        <v>-0.13728209999999999</v>
      </c>
      <c r="X7002">
        <v>0.98761909999999997</v>
      </c>
      <c r="Y7002">
        <v>-0.100827399999999</v>
      </c>
      <c r="Z7002">
        <v>-5.6969819999999997E-2</v>
      </c>
      <c r="AA7002">
        <v>0.99327149999999997</v>
      </c>
      <c r="AB7002">
        <v>17</v>
      </c>
      <c r="AC7002">
        <v>2.5306999999999902</v>
      </c>
      <c r="AD7002">
        <v>-1.1258766498049999</v>
      </c>
      <c r="AE7002">
        <v>15.61483</v>
      </c>
      <c r="AF7002">
        <v>-1.5875267391129499</v>
      </c>
      <c r="AG7002">
        <v>-1.1258766498049999</v>
      </c>
      <c r="AH7002">
        <v>15.658577702197601</v>
      </c>
      <c r="AI7002">
        <v>94.091677342794199</v>
      </c>
      <c r="AJ7002">
        <v>95.789085503642696</v>
      </c>
      <c r="AK7002">
        <v>15.779065087442101</v>
      </c>
      <c r="AL7002">
        <v>97.890603708481905</v>
      </c>
      <c r="AM7002">
        <v>94.395108285933901</v>
      </c>
      <c r="AN7002">
        <v>0.99999996811430303</v>
      </c>
    </row>
    <row r="7003" spans="1:40" x14ac:dyDescent="0.25">
      <c r="A7003" t="str">
        <f>"20190303154657774"</f>
        <v>20190303154657774</v>
      </c>
      <c r="B7003" t="str">
        <f>"1551599217768754"</f>
        <v>1551599217768754</v>
      </c>
      <c r="C7003" t="s">
        <v>40</v>
      </c>
      <c r="D7003">
        <v>5.8592789999999999</v>
      </c>
      <c r="E7003">
        <v>0.46938740000000001</v>
      </c>
      <c r="F7003" t="s">
        <v>60</v>
      </c>
      <c r="G7003">
        <v>-188.57259999999999</v>
      </c>
      <c r="H7003" s="1">
        <v>-6.9295119999999998E-6</v>
      </c>
      <c r="I7003">
        <v>-42.290790000000001</v>
      </c>
      <c r="J7003">
        <v>-189.85849999999999</v>
      </c>
      <c r="K7003">
        <v>1.1256999999999999</v>
      </c>
      <c r="L7003">
        <v>-53.044490000000003</v>
      </c>
      <c r="M7003">
        <v>0.24517649999999999</v>
      </c>
      <c r="N7003">
        <v>-9.6899510000000005E-3</v>
      </c>
      <c r="O7003">
        <v>0.96943000000000001</v>
      </c>
      <c r="P7003">
        <v>0.17146229999999901</v>
      </c>
      <c r="Q7003">
        <v>-0.14522170000000001</v>
      </c>
      <c r="R7003">
        <v>0.97442870000000004</v>
      </c>
      <c r="S7003">
        <v>0.35812379999999999</v>
      </c>
      <c r="T7003">
        <v>-0.30592069999999999</v>
      </c>
      <c r="U7003">
        <v>2.9718019999999998</v>
      </c>
      <c r="V7003">
        <v>-7.0826239999999999E-2</v>
      </c>
      <c r="W7003">
        <v>-0.1366358</v>
      </c>
      <c r="X7003">
        <v>0.98808620000000003</v>
      </c>
      <c r="Y7003">
        <v>-0.12783530000000001</v>
      </c>
      <c r="Z7003">
        <v>-8.7477219999999994E-2</v>
      </c>
      <c r="AA7003">
        <v>0.98793010000000003</v>
      </c>
      <c r="AB7003">
        <v>17</v>
      </c>
      <c r="AC7003">
        <v>1.2858999999999901</v>
      </c>
      <c r="AD7003">
        <v>-1.1257069295119999</v>
      </c>
      <c r="AE7003">
        <v>10.7537</v>
      </c>
      <c r="AF7003">
        <v>-1.37517296137154</v>
      </c>
      <c r="AG7003">
        <v>-1.1257069295119999</v>
      </c>
      <c r="AH7003">
        <v>10.625937955476701</v>
      </c>
      <c r="AI7003">
        <v>95.997683234070195</v>
      </c>
      <c r="AJ7003">
        <v>97.374039897068002</v>
      </c>
      <c r="AK7003">
        <v>10.7735265441952</v>
      </c>
      <c r="AL7003">
        <v>97.853220781206403</v>
      </c>
      <c r="AM7003">
        <v>94.099961953858397</v>
      </c>
      <c r="AN7003">
        <v>1.0000000183722999</v>
      </c>
    </row>
    <row r="7004" spans="1:40" x14ac:dyDescent="0.25">
      <c r="A7004" t="str">
        <f>"20190303154657817"</f>
        <v>20190303154657817</v>
      </c>
      <c r="B7004" t="str">
        <f>"1551599217808769"</f>
        <v>1551599217808769</v>
      </c>
      <c r="C7004" t="s">
        <v>40</v>
      </c>
      <c r="D7004">
        <v>5.8445299999999998</v>
      </c>
      <c r="E7004">
        <v>0.46619159999999998</v>
      </c>
      <c r="F7004" t="s">
        <v>60</v>
      </c>
      <c r="G7004">
        <v>-188.91159999999999</v>
      </c>
      <c r="H7004" s="1">
        <v>-6.8306100000000001E-6</v>
      </c>
      <c r="I7004">
        <v>-42.70017</v>
      </c>
      <c r="J7004">
        <v>-189.80629999999999</v>
      </c>
      <c r="K7004">
        <v>1.1252489999999999</v>
      </c>
      <c r="L7004">
        <v>-52.72</v>
      </c>
      <c r="M7004">
        <v>0.22260179999999999</v>
      </c>
      <c r="N7004">
        <v>-8.8890549999999999E-3</v>
      </c>
      <c r="O7004">
        <v>0.97486890000000004</v>
      </c>
      <c r="P7004">
        <v>0.15563150000000001</v>
      </c>
      <c r="Q7004">
        <v>-0.14569309999999999</v>
      </c>
      <c r="R7004">
        <v>0.97701199999999999</v>
      </c>
      <c r="S7004">
        <v>0.27297969999999999</v>
      </c>
      <c r="T7004">
        <v>-0.324548</v>
      </c>
      <c r="U7004">
        <v>2.9823300000000001</v>
      </c>
      <c r="V7004">
        <v>-6.4001749999999996E-2</v>
      </c>
      <c r="W7004">
        <v>-0.1377466</v>
      </c>
      <c r="X7004">
        <v>0.98839750000000004</v>
      </c>
      <c r="Y7004">
        <v>-0.13316439999999999</v>
      </c>
      <c r="Z7004">
        <v>-9.4690899999999995E-2</v>
      </c>
      <c r="AA7004">
        <v>0.98656010000000005</v>
      </c>
      <c r="AB7004">
        <v>18</v>
      </c>
      <c r="AC7004">
        <v>0.89470000000000005</v>
      </c>
      <c r="AD7004">
        <v>-1.12525583061</v>
      </c>
      <c r="AE7004">
        <v>10.019830000000001</v>
      </c>
      <c r="AF7004">
        <v>-1.3414857807242</v>
      </c>
      <c r="AG7004">
        <v>-1.12525583061</v>
      </c>
      <c r="AH7004">
        <v>9.8444016541044306</v>
      </c>
      <c r="AI7004">
        <v>96.461637861732299</v>
      </c>
      <c r="AJ7004">
        <v>97.759837026281602</v>
      </c>
      <c r="AK7004">
        <v>9.9989013752282307</v>
      </c>
      <c r="AL7004">
        <v>97.917472736336904</v>
      </c>
      <c r="AM7004">
        <v>93.704903926286903</v>
      </c>
      <c r="AN7004">
        <v>0.99999998391043599</v>
      </c>
    </row>
    <row r="7005" spans="1:40" x14ac:dyDescent="0.25">
      <c r="A7005" t="str">
        <f>"20190303154657838"</f>
        <v>20190303154657838</v>
      </c>
      <c r="B7005" t="str">
        <f>"1551599217828290"</f>
        <v>1551599217828290</v>
      </c>
      <c r="C7005" t="s">
        <v>40</v>
      </c>
      <c r="D7005">
        <v>5.8077269999999999</v>
      </c>
      <c r="E7005">
        <v>0.4660107</v>
      </c>
      <c r="F7005" t="s">
        <v>60</v>
      </c>
      <c r="G7005">
        <v>-189.17619999999999</v>
      </c>
      <c r="H7005" s="1">
        <v>-6.6667050000000004E-6</v>
      </c>
      <c r="I7005">
        <v>-43.278709999999997</v>
      </c>
      <c r="J7005">
        <v>-189.78139999999999</v>
      </c>
      <c r="K7005">
        <v>1.124994</v>
      </c>
      <c r="L7005">
        <v>-52.551879999999997</v>
      </c>
      <c r="M7005">
        <v>0.21163609999999999</v>
      </c>
      <c r="N7005">
        <v>-8.5032279999999998E-3</v>
      </c>
      <c r="O7005">
        <v>0.97731159999999995</v>
      </c>
      <c r="P7005">
        <v>0.14727199999999999</v>
      </c>
      <c r="Q7005">
        <v>-0.1477388</v>
      </c>
      <c r="R7005">
        <v>0.97800010000000004</v>
      </c>
      <c r="S7005">
        <v>0.19927980000000001</v>
      </c>
      <c r="T7005">
        <v>-0.35585840000000002</v>
      </c>
      <c r="U7005">
        <v>2.985779</v>
      </c>
      <c r="V7005">
        <v>-6.1330849999999999E-2</v>
      </c>
      <c r="W7005">
        <v>-0.1401068</v>
      </c>
      <c r="X7005">
        <v>0.98823510000000003</v>
      </c>
      <c r="Y7005">
        <v>-0.14637809999999901</v>
      </c>
      <c r="Z7005">
        <v>-0.10519679999999999</v>
      </c>
      <c r="AA7005">
        <v>0.98361940000000003</v>
      </c>
      <c r="AB7005">
        <v>18</v>
      </c>
      <c r="AC7005">
        <v>0.60519999999999596</v>
      </c>
      <c r="AD7005">
        <v>-1.1250006667049901</v>
      </c>
      <c r="AE7005">
        <v>9.2731700000000004</v>
      </c>
      <c r="AF7005">
        <v>-1.35131375247093</v>
      </c>
      <c r="AG7005">
        <v>-1.1250006667049901</v>
      </c>
      <c r="AH7005">
        <v>9.0584339016513695</v>
      </c>
      <c r="AI7005">
        <v>97.002817341006704</v>
      </c>
      <c r="AJ7005">
        <v>98.484666507217796</v>
      </c>
      <c r="AK7005">
        <v>9.2275077950815394</v>
      </c>
      <c r="AL7005">
        <v>98.054026342099405</v>
      </c>
      <c r="AM7005">
        <v>93.551278222304305</v>
      </c>
      <c r="AN7005">
        <v>1.0000000007199801</v>
      </c>
    </row>
    <row r="7006" spans="1:40" x14ac:dyDescent="0.25">
      <c r="A7006" t="str">
        <f>"20190303154657862"</f>
        <v>20190303154657862</v>
      </c>
      <c r="B7006" t="str">
        <f>"1551599217858546"</f>
        <v>1551599217858546</v>
      </c>
      <c r="C7006" t="s">
        <v>40</v>
      </c>
      <c r="D7006">
        <v>5.8440629999999896</v>
      </c>
      <c r="E7006">
        <v>0.4660938</v>
      </c>
      <c r="F7006" t="s">
        <v>60</v>
      </c>
      <c r="G7006">
        <v>-189.25040000000001</v>
      </c>
      <c r="H7006" s="1">
        <v>-6.648769E-6</v>
      </c>
      <c r="I7006">
        <v>-43.357239999999997</v>
      </c>
      <c r="J7006">
        <v>-189.7551</v>
      </c>
      <c r="K7006">
        <v>1.1246769999999999</v>
      </c>
      <c r="L7006">
        <v>-52.366</v>
      </c>
      <c r="M7006">
        <v>0.20010500000000001</v>
      </c>
      <c r="N7006">
        <v>-8.0992289999999995E-3</v>
      </c>
      <c r="O7006">
        <v>0.97974099999999997</v>
      </c>
      <c r="P7006">
        <v>0.13770760000000001</v>
      </c>
      <c r="Q7006">
        <v>-0.148901799999999</v>
      </c>
      <c r="R7006">
        <v>0.97921650000000005</v>
      </c>
      <c r="S7006">
        <v>0.1724396</v>
      </c>
      <c r="T7006">
        <v>-0.36538910000000002</v>
      </c>
      <c r="U7006">
        <v>2.9863279999999999</v>
      </c>
      <c r="V7006">
        <v>-5.9384039999999999E-2</v>
      </c>
      <c r="W7006">
        <v>-0.14160490000000001</v>
      </c>
      <c r="X7006">
        <v>0.98814049999999998</v>
      </c>
      <c r="Y7006">
        <v>-0.143565</v>
      </c>
      <c r="Z7006">
        <v>-0.10906</v>
      </c>
      <c r="AA7006">
        <v>0.98361330000000002</v>
      </c>
      <c r="AB7006">
        <v>18</v>
      </c>
      <c r="AC7006">
        <v>0.50469999999998505</v>
      </c>
      <c r="AD7006">
        <v>-1.124683648769</v>
      </c>
      <c r="AE7006">
        <v>9.0087600000000005</v>
      </c>
      <c r="AF7006">
        <v>-1.28824986515484</v>
      </c>
      <c r="AG7006">
        <v>-1.124683648769</v>
      </c>
      <c r="AH7006">
        <v>8.79095134799927</v>
      </c>
      <c r="AI7006">
        <v>97.214389825442396</v>
      </c>
      <c r="AJ7006">
        <v>98.336939024082298</v>
      </c>
      <c r="AK7006">
        <v>8.9557426619890101</v>
      </c>
      <c r="AL7006">
        <v>98.140725300446604</v>
      </c>
      <c r="AM7006">
        <v>93.439154240533099</v>
      </c>
      <c r="AN7006">
        <v>1.0000000298254901</v>
      </c>
    </row>
    <row r="7007" spans="1:40" x14ac:dyDescent="0.25">
      <c r="A7007" t="str">
        <f>"20190303154657885"</f>
        <v>20190303154657885</v>
      </c>
      <c r="B7007" t="str">
        <f>"1551599217878066"</f>
        <v>1551599217878066</v>
      </c>
      <c r="C7007" t="s">
        <v>40</v>
      </c>
      <c r="D7007">
        <v>5.8749599999999997</v>
      </c>
      <c r="E7007">
        <v>0.4663679</v>
      </c>
      <c r="F7007" t="s">
        <v>60</v>
      </c>
      <c r="G7007">
        <v>-189.32339999999999</v>
      </c>
      <c r="H7007" s="1">
        <v>-6.6351549999999998E-6</v>
      </c>
      <c r="I7007">
        <v>-43.422440000000002</v>
      </c>
      <c r="J7007">
        <v>-189.72980000000001</v>
      </c>
      <c r="K7007">
        <v>1.124339</v>
      </c>
      <c r="L7007">
        <v>-52.175629999999998</v>
      </c>
      <c r="M7007">
        <v>0.1891245</v>
      </c>
      <c r="N7007">
        <v>-7.7024859999999997E-3</v>
      </c>
      <c r="O7007">
        <v>0.98192290000000004</v>
      </c>
      <c r="P7007">
        <v>0.12844939999999999</v>
      </c>
      <c r="Q7007">
        <v>-0.15006949999999999</v>
      </c>
      <c r="R7007">
        <v>0.98029580000000005</v>
      </c>
      <c r="S7007">
        <v>0.14414979999999999</v>
      </c>
      <c r="T7007">
        <v>-0.37553750000000002</v>
      </c>
      <c r="U7007">
        <v>2.9862980000000001</v>
      </c>
      <c r="V7007">
        <v>-5.7714719999999997E-2</v>
      </c>
      <c r="W7007">
        <v>-0.1431017</v>
      </c>
      <c r="X7007">
        <v>0.98802380000000001</v>
      </c>
      <c r="Y7007">
        <v>-0.1418006</v>
      </c>
      <c r="Z7007">
        <v>-0.1130983</v>
      </c>
      <c r="AA7007">
        <v>0.98341310000000004</v>
      </c>
      <c r="AB7007">
        <v>18</v>
      </c>
      <c r="AC7007">
        <v>0.40640000000001902</v>
      </c>
      <c r="AD7007">
        <v>-1.1243456351549901</v>
      </c>
      <c r="AE7007">
        <v>8.7531899999999894</v>
      </c>
      <c r="AF7007">
        <v>-1.2360759087765401</v>
      </c>
      <c r="AG7007">
        <v>-1.1243456351549901</v>
      </c>
      <c r="AH7007">
        <v>8.5316119126694208</v>
      </c>
      <c r="AI7007">
        <v>97.430806014734202</v>
      </c>
      <c r="AJ7007">
        <v>98.243758278032502</v>
      </c>
      <c r="AK7007">
        <v>8.6937010868762101</v>
      </c>
      <c r="AL7007">
        <v>98.227367777807601</v>
      </c>
      <c r="AM7007">
        <v>93.343093915579104</v>
      </c>
      <c r="AN7007">
        <v>1.000000057407</v>
      </c>
    </row>
    <row r="7008" spans="1:40" x14ac:dyDescent="0.25">
      <c r="A7008" t="str">
        <f>"20190303154657906"</f>
        <v>20190303154657906</v>
      </c>
      <c r="B7008" t="str">
        <f>"1551599217898562"</f>
        <v>1551599217898562</v>
      </c>
      <c r="C7008" t="s">
        <v>40</v>
      </c>
      <c r="D7008">
        <v>5.8266830000000001</v>
      </c>
      <c r="E7008">
        <v>0.46697699999999998</v>
      </c>
      <c r="F7008" t="s">
        <v>60</v>
      </c>
      <c r="G7008">
        <v>-189.38290000000001</v>
      </c>
      <c r="H7008" s="1">
        <v>-6.6434949999999997E-6</v>
      </c>
      <c r="I7008">
        <v>-43.41751</v>
      </c>
      <c r="J7008">
        <v>-189.70869999999999</v>
      </c>
      <c r="K7008">
        <v>1.1240779999999999</v>
      </c>
      <c r="L7008">
        <v>-52.009219999999999</v>
      </c>
      <c r="M7008">
        <v>0.18003759999999999</v>
      </c>
      <c r="N7008">
        <v>-7.3714200000000001E-3</v>
      </c>
      <c r="O7008">
        <v>0.98363210000000001</v>
      </c>
      <c r="P7008">
        <v>0.1209383</v>
      </c>
      <c r="Q7008">
        <v>-0.1486172</v>
      </c>
      <c r="R7008">
        <v>0.98147180000000001</v>
      </c>
      <c r="S7008">
        <v>0.11828610000000001</v>
      </c>
      <c r="T7008">
        <v>-0.38335000000000002</v>
      </c>
      <c r="U7008">
        <v>2.9861149999999999</v>
      </c>
      <c r="V7008">
        <v>-5.6279339999999997E-2</v>
      </c>
      <c r="W7008">
        <v>-0.14192579999999999</v>
      </c>
      <c r="X7008">
        <v>0.98827609999999999</v>
      </c>
      <c r="Y7008">
        <v>-0.14116189999999901</v>
      </c>
      <c r="Z7008">
        <v>-0.1162512</v>
      </c>
      <c r="AA7008">
        <v>0.98313729999999999</v>
      </c>
      <c r="AB7008">
        <v>18</v>
      </c>
      <c r="AC7008">
        <v>0.32579999999998599</v>
      </c>
      <c r="AD7008">
        <v>-1.124084643495</v>
      </c>
      <c r="AE7008">
        <v>8.5917099999999902</v>
      </c>
      <c r="AF7008">
        <v>-1.20578649933843</v>
      </c>
      <c r="AG7008">
        <v>-1.124084643495</v>
      </c>
      <c r="AH7008">
        <v>8.3669540952841803</v>
      </c>
      <c r="AI7008">
        <v>97.574435410102694</v>
      </c>
      <c r="AJ7008">
        <v>98.200603740718506</v>
      </c>
      <c r="AK7008">
        <v>8.5278020732379094</v>
      </c>
      <c r="AL7008">
        <v>98.159299569807004</v>
      </c>
      <c r="AM7008">
        <v>93.259301432359095</v>
      </c>
      <c r="AN7008">
        <v>0.99999997332384205</v>
      </c>
    </row>
    <row r="7009" spans="1:40" x14ac:dyDescent="0.25">
      <c r="A7009" t="str">
        <f>"20190303154657928"</f>
        <v>20190303154657928</v>
      </c>
      <c r="B7009" t="str">
        <f>"1551599217918082"</f>
        <v>1551599217918082</v>
      </c>
      <c r="C7009" t="s">
        <v>40</v>
      </c>
      <c r="D7009">
        <v>5.8010260000000002</v>
      </c>
      <c r="E7009">
        <v>0.46758929999999999</v>
      </c>
      <c r="F7009" t="s">
        <v>60</v>
      </c>
      <c r="G7009">
        <v>-189.4074</v>
      </c>
      <c r="H7009" s="1">
        <v>-6.7742359999999996E-6</v>
      </c>
      <c r="I7009">
        <v>-43.035170000000001</v>
      </c>
      <c r="J7009">
        <v>-189.6867</v>
      </c>
      <c r="K7009">
        <v>1.1238539999999999</v>
      </c>
      <c r="L7009">
        <v>-51.827449999999999</v>
      </c>
      <c r="M7009">
        <v>0.1706579</v>
      </c>
      <c r="N7009">
        <v>-7.0275049999999999E-3</v>
      </c>
      <c r="O7009">
        <v>0.98530519999999999</v>
      </c>
      <c r="P7009">
        <v>0.1140087</v>
      </c>
      <c r="Q7009">
        <v>-0.14718020000000001</v>
      </c>
      <c r="R7009">
        <v>0.98251719999999998</v>
      </c>
      <c r="S7009">
        <v>0.100296</v>
      </c>
      <c r="T7009">
        <v>-0.37422680000000003</v>
      </c>
      <c r="U7009">
        <v>2.9876100000000001</v>
      </c>
      <c r="V7009">
        <v>-5.3961139999999998E-2</v>
      </c>
      <c r="W7009">
        <v>-0.1407737</v>
      </c>
      <c r="X7009">
        <v>0.98857019999999995</v>
      </c>
      <c r="Y7009">
        <v>-0.137658</v>
      </c>
      <c r="Z7009">
        <v>-0.113983</v>
      </c>
      <c r="AA7009">
        <v>0.98389950000000004</v>
      </c>
      <c r="AB7009">
        <v>18</v>
      </c>
      <c r="AC7009">
        <v>0.27930000000000599</v>
      </c>
      <c r="AD7009">
        <v>-1.1238607742360001</v>
      </c>
      <c r="AE7009">
        <v>8.7922799999999892</v>
      </c>
      <c r="AF7009">
        <v>-1.20562791311955</v>
      </c>
      <c r="AG7009">
        <v>-1.1238607742360001</v>
      </c>
      <c r="AH7009">
        <v>8.5710594974637804</v>
      </c>
      <c r="AI7009">
        <v>97.398149294072496</v>
      </c>
      <c r="AJ7009">
        <v>98.006844009691207</v>
      </c>
      <c r="AK7009">
        <v>8.7280961620403392</v>
      </c>
      <c r="AL7009">
        <v>98.092619069606499</v>
      </c>
      <c r="AM7009">
        <v>93.124391582801593</v>
      </c>
      <c r="AN7009">
        <v>1.00000003978491</v>
      </c>
    </row>
    <row r="7010" spans="1:40" x14ac:dyDescent="0.25">
      <c r="A7010" t="str">
        <f>"20190303154657952"</f>
        <v>20190303154657952</v>
      </c>
      <c r="B7010" t="str">
        <f>"1551599217948338"</f>
        <v>1551599217948338</v>
      </c>
      <c r="C7010" t="s">
        <v>40</v>
      </c>
      <c r="D7010">
        <v>5.7694089999999996</v>
      </c>
      <c r="E7010">
        <v>0.46898580000000001</v>
      </c>
      <c r="F7010" t="s">
        <v>60</v>
      </c>
      <c r="G7010">
        <v>-189.42789999999999</v>
      </c>
      <c r="H7010" s="1">
        <v>-6.9080919999999998E-6</v>
      </c>
      <c r="I7010">
        <v>-42.64217</v>
      </c>
      <c r="J7010">
        <v>-189.6645</v>
      </c>
      <c r="K7010">
        <v>1.1236389999999901</v>
      </c>
      <c r="L7010">
        <v>-51.634369999999997</v>
      </c>
      <c r="M7010">
        <v>0.16127859999999999</v>
      </c>
      <c r="N7010">
        <v>-6.6730579999999999E-3</v>
      </c>
      <c r="O7010">
        <v>0.98688640000000005</v>
      </c>
      <c r="P7010">
        <v>0.107792</v>
      </c>
      <c r="Q7010">
        <v>-0.14610129999999999</v>
      </c>
      <c r="R7010">
        <v>0.98337949999999996</v>
      </c>
      <c r="S7010">
        <v>8.4228520000000001E-2</v>
      </c>
      <c r="T7010">
        <v>-0.36569689999999999</v>
      </c>
      <c r="U7010">
        <v>2.9888309999999998</v>
      </c>
      <c r="V7010">
        <v>-5.0910610000000002E-2</v>
      </c>
      <c r="W7010">
        <v>-0.13998929999999901</v>
      </c>
      <c r="X7010">
        <v>0.98884329999999998</v>
      </c>
      <c r="Y7010">
        <v>-0.1335334</v>
      </c>
      <c r="Z7010">
        <v>-0.1118941</v>
      </c>
      <c r="AA7010">
        <v>0.98470740000000001</v>
      </c>
      <c r="AB7010">
        <v>19</v>
      </c>
      <c r="AC7010">
        <v>0.236600000000009</v>
      </c>
      <c r="AD7010">
        <v>-1.1236459080919901</v>
      </c>
      <c r="AE7010">
        <v>8.9922000000000004</v>
      </c>
      <c r="AF7010">
        <v>-1.1980846407083501</v>
      </c>
      <c r="AG7010">
        <v>-1.1236459080919901</v>
      </c>
      <c r="AH7010">
        <v>8.7757033833199696</v>
      </c>
      <c r="AI7010">
        <v>97.230133446128903</v>
      </c>
      <c r="AJ7010">
        <v>97.774125436280897</v>
      </c>
      <c r="AK7010">
        <v>8.9280992828869596</v>
      </c>
      <c r="AL7010">
        <v>98.047227221698094</v>
      </c>
      <c r="AM7010">
        <v>92.947271664817507</v>
      </c>
      <c r="AN7010">
        <v>0.99999998313997496</v>
      </c>
    </row>
    <row r="7011" spans="1:40" x14ac:dyDescent="0.25">
      <c r="A7011" t="str">
        <f>"20190303154657975"</f>
        <v>20190303154657975</v>
      </c>
      <c r="B7011" t="str">
        <f>"1551599217968834"</f>
        <v>1551599217968834</v>
      </c>
      <c r="C7011" t="s">
        <v>40</v>
      </c>
      <c r="D7011">
        <v>5.8721120000000004</v>
      </c>
      <c r="E7011">
        <v>0.46898699999999999</v>
      </c>
      <c r="F7011" t="s">
        <v>60</v>
      </c>
      <c r="G7011">
        <v>-189.4239</v>
      </c>
      <c r="H7011" s="1">
        <v>-7.04060799999999E-6</v>
      </c>
      <c r="I7011">
        <v>-42.244970000000002</v>
      </c>
      <c r="J7011">
        <v>-189.64400000000001</v>
      </c>
      <c r="K7011">
        <v>1.123453</v>
      </c>
      <c r="L7011">
        <v>-51.44641</v>
      </c>
      <c r="M7011">
        <v>0.1526836</v>
      </c>
      <c r="N7011">
        <v>-6.3319669999999896E-3</v>
      </c>
      <c r="O7011">
        <v>0.98825479999999999</v>
      </c>
      <c r="P7011">
        <v>0.1031053</v>
      </c>
      <c r="Q7011">
        <v>-0.14536459999999901</v>
      </c>
      <c r="R7011">
        <v>0.98399110000000001</v>
      </c>
      <c r="S7011">
        <v>7.6599120000000007E-2</v>
      </c>
      <c r="T7011">
        <v>-0.3577188</v>
      </c>
      <c r="U7011">
        <v>2.989166</v>
      </c>
      <c r="V7011">
        <v>-4.7092120000000001E-2</v>
      </c>
      <c r="W7011">
        <v>-0.13953399999999999</v>
      </c>
      <c r="X7011">
        <v>0.98909689999999995</v>
      </c>
      <c r="Y7011">
        <v>-0.1274216</v>
      </c>
      <c r="Z7011">
        <v>-0.1099608</v>
      </c>
      <c r="AA7011">
        <v>0.98573440000000001</v>
      </c>
      <c r="AB7011">
        <v>19</v>
      </c>
      <c r="AC7011">
        <v>0.22010000000000199</v>
      </c>
      <c r="AD7011">
        <v>-1.123460040608</v>
      </c>
      <c r="AE7011">
        <v>9.2014399999999892</v>
      </c>
      <c r="AF7011">
        <v>-1.16998639961213</v>
      </c>
      <c r="AG7011">
        <v>-1.123460040608</v>
      </c>
      <c r="AH7011">
        <v>8.9931675970265594</v>
      </c>
      <c r="AI7011">
        <v>97.061811104775401</v>
      </c>
      <c r="AJ7011">
        <v>97.412391638552094</v>
      </c>
      <c r="AK7011">
        <v>9.1382763181208695</v>
      </c>
      <c r="AL7011">
        <v>98.020881408448005</v>
      </c>
      <c r="AM7011">
        <v>92.725864090653701</v>
      </c>
      <c r="AN7011">
        <v>1.0000000412558501</v>
      </c>
    </row>
    <row r="7012" spans="1:40" x14ac:dyDescent="0.25">
      <c r="A7012" t="str">
        <f>"20190303154657999"</f>
        <v>20190303154657999</v>
      </c>
      <c r="B7012" t="str">
        <f>"1551599217988353"</f>
        <v>1551599217988353</v>
      </c>
      <c r="C7012" t="s">
        <v>40</v>
      </c>
      <c r="D7012">
        <v>5.7252349999999996</v>
      </c>
      <c r="E7012">
        <v>0.45145400000000002</v>
      </c>
      <c r="F7012" t="s">
        <v>60</v>
      </c>
      <c r="G7012">
        <v>-189.4468</v>
      </c>
      <c r="H7012" s="1">
        <v>-7.1150030000000004E-6</v>
      </c>
      <c r="I7012">
        <v>-42.0304</v>
      </c>
      <c r="J7012">
        <v>-189.62360000000001</v>
      </c>
      <c r="K7012">
        <v>1.1232519999999999</v>
      </c>
      <c r="L7012">
        <v>-51.248260000000002</v>
      </c>
      <c r="M7012">
        <v>0.1441442</v>
      </c>
      <c r="N7012">
        <v>-5.9744769999999997E-3</v>
      </c>
      <c r="O7012">
        <v>0.98953869999999999</v>
      </c>
      <c r="P7012">
        <v>9.8799579999999998E-2</v>
      </c>
      <c r="Q7012">
        <v>-0.14494279999999901</v>
      </c>
      <c r="R7012">
        <v>0.98449489999999995</v>
      </c>
      <c r="S7012">
        <v>6.2637330000000005E-2</v>
      </c>
      <c r="T7012">
        <v>-0.35669640000000002</v>
      </c>
      <c r="U7012">
        <v>2.989563</v>
      </c>
      <c r="V7012">
        <v>-4.2942050000000002E-2</v>
      </c>
      <c r="W7012">
        <v>-0.1394107</v>
      </c>
      <c r="X7012">
        <v>0.98930309999999999</v>
      </c>
      <c r="Y7012">
        <v>-0.1234654</v>
      </c>
      <c r="Z7012">
        <v>-0.1102322</v>
      </c>
      <c r="AA7012">
        <v>0.98620750000000001</v>
      </c>
      <c r="AB7012">
        <v>19</v>
      </c>
      <c r="AC7012">
        <v>0.176800000000014</v>
      </c>
      <c r="AD7012">
        <v>-1.123259115003</v>
      </c>
      <c r="AE7012">
        <v>9.2178599999999893</v>
      </c>
      <c r="AF7012">
        <v>-1.1368955071921301</v>
      </c>
      <c r="AG7012">
        <v>-1.123259115003</v>
      </c>
      <c r="AH7012">
        <v>9.0132869211928899</v>
      </c>
      <c r="AI7012">
        <v>97.048442455347299</v>
      </c>
      <c r="AJ7012">
        <v>97.189066158049201</v>
      </c>
      <c r="AK7012">
        <v>9.1538835232625608</v>
      </c>
      <c r="AL7012">
        <v>98.013747495055597</v>
      </c>
      <c r="AM7012">
        <v>92.485441267544203</v>
      </c>
      <c r="AN7012">
        <v>0.99999999330115097</v>
      </c>
    </row>
    <row r="7013" spans="1:40" x14ac:dyDescent="0.25">
      <c r="A7013" t="str">
        <f>"20190303154658021"</f>
        <v>20190303154658021</v>
      </c>
      <c r="B7013" t="str">
        <f>"1551599218018610"</f>
        <v>1551599218018610</v>
      </c>
      <c r="C7013" t="s">
        <v>40</v>
      </c>
      <c r="D7013">
        <v>5.768052</v>
      </c>
      <c r="E7013">
        <v>0.4524282</v>
      </c>
      <c r="F7013" t="s">
        <v>60</v>
      </c>
      <c r="G7013">
        <v>-189.8895</v>
      </c>
      <c r="H7013" s="1">
        <v>-7.0672690000000003E-6</v>
      </c>
      <c r="I7013">
        <v>-42.321750000000002</v>
      </c>
      <c r="J7013">
        <v>-189.60499999999999</v>
      </c>
      <c r="K7013">
        <v>1.1230610000000001</v>
      </c>
      <c r="L7013">
        <v>-51.058230000000002</v>
      </c>
      <c r="M7013">
        <v>0.1364271</v>
      </c>
      <c r="N7013">
        <v>-5.6363409999999996E-3</v>
      </c>
      <c r="O7013">
        <v>0.99063409999999996</v>
      </c>
      <c r="P7013">
        <v>9.5046030000000004E-2</v>
      </c>
      <c r="Q7013">
        <v>-0.14605979999999999</v>
      </c>
      <c r="R7013">
        <v>0.9846994</v>
      </c>
      <c r="S7013">
        <v>-8.9370729999999995E-2</v>
      </c>
      <c r="T7013">
        <v>-0.377583</v>
      </c>
      <c r="U7013">
        <v>3.0006409999999999</v>
      </c>
      <c r="V7013">
        <v>-3.9019430000000001E-2</v>
      </c>
      <c r="W7013">
        <v>-0.140814299999999</v>
      </c>
      <c r="X7013">
        <v>0.9892668</v>
      </c>
      <c r="Y7013">
        <v>-0.16558719999999999</v>
      </c>
      <c r="Z7013">
        <v>-0.116607</v>
      </c>
      <c r="AA7013">
        <v>0.97927710000000001</v>
      </c>
      <c r="AB7013">
        <v>19</v>
      </c>
      <c r="AC7013">
        <v>-0.28450000000000802</v>
      </c>
      <c r="AD7013">
        <v>-1.1230680672689899</v>
      </c>
      <c r="AE7013">
        <v>8.7364800000000002</v>
      </c>
      <c r="AF7013">
        <v>-1.44981866276619</v>
      </c>
      <c r="AG7013">
        <v>-1.1230680672689899</v>
      </c>
      <c r="AH7013">
        <v>8.4760603848453595</v>
      </c>
      <c r="AI7013">
        <v>97.440831049343103</v>
      </c>
      <c r="AJ7013">
        <v>99.706430613015499</v>
      </c>
      <c r="AK7013">
        <v>8.6721886329904798</v>
      </c>
      <c r="AL7013">
        <v>98.094969069893395</v>
      </c>
      <c r="AM7013">
        <v>92.258733823648896</v>
      </c>
      <c r="AN7013">
        <v>0.99999999229212699</v>
      </c>
    </row>
    <row r="7014" spans="1:40" x14ac:dyDescent="0.25">
      <c r="A7014" t="str">
        <f>"20190303154658062"</f>
        <v>20190303154658062</v>
      </c>
      <c r="B7014" t="str">
        <f>"1551599218058627"</f>
        <v>1551599218058627</v>
      </c>
      <c r="C7014" t="s">
        <v>40</v>
      </c>
      <c r="D7014">
        <v>5.7397150000000003</v>
      </c>
      <c r="E7014">
        <v>0.4527718</v>
      </c>
      <c r="F7014" t="s">
        <v>60</v>
      </c>
      <c r="G7014">
        <v>-189.88319999999999</v>
      </c>
      <c r="H7014" s="1">
        <v>-7.1441169999999998E-6</v>
      </c>
      <c r="I7014">
        <v>-42.09008</v>
      </c>
      <c r="J7014">
        <v>-189.57329999999999</v>
      </c>
      <c r="K7014">
        <v>1.1227</v>
      </c>
      <c r="L7014">
        <v>-50.709499999999998</v>
      </c>
      <c r="M7014">
        <v>0.1234275</v>
      </c>
      <c r="N7014">
        <v>-5.0498030000000003E-3</v>
      </c>
      <c r="O7014">
        <v>0.99234069999999996</v>
      </c>
      <c r="P7014">
        <v>9.1755950000000003E-2</v>
      </c>
      <c r="Q7014">
        <v>-0.15034549999999999</v>
      </c>
      <c r="R7014">
        <v>0.98436639999999997</v>
      </c>
      <c r="S7014">
        <v>-9.3063350000000003E-2</v>
      </c>
      <c r="T7014">
        <v>-0.37567060000000002</v>
      </c>
      <c r="U7014">
        <v>2.9998779999999998</v>
      </c>
      <c r="V7014">
        <v>-2.9336930000000001E-2</v>
      </c>
      <c r="W7014">
        <v>-0.1455813</v>
      </c>
      <c r="X7014">
        <v>0.98891119999999999</v>
      </c>
      <c r="Y7014">
        <v>-0.15386900000000001</v>
      </c>
      <c r="Z7014">
        <v>-0.1170442</v>
      </c>
      <c r="AA7014">
        <v>0.98113450000000002</v>
      </c>
      <c r="AB7014">
        <v>19</v>
      </c>
      <c r="AC7014">
        <v>-0.30989999999999801</v>
      </c>
      <c r="AD7014">
        <v>-1.122707144117</v>
      </c>
      <c r="AE7014">
        <v>8.6194199999999892</v>
      </c>
      <c r="AF7014">
        <v>-1.3485672716069099</v>
      </c>
      <c r="AG7014">
        <v>-1.122707144117</v>
      </c>
      <c r="AH7014">
        <v>8.3733814907335606</v>
      </c>
      <c r="AI7014">
        <v>97.540669896147094</v>
      </c>
      <c r="AJ7014">
        <v>99.149154178095301</v>
      </c>
      <c r="AK7014">
        <v>8.5552687045387508</v>
      </c>
      <c r="AL7014">
        <v>98.370942713340497</v>
      </c>
      <c r="AM7014">
        <v>91.699231880349302</v>
      </c>
      <c r="AN7014">
        <v>0.99999996592847595</v>
      </c>
    </row>
    <row r="7015" spans="1:40" x14ac:dyDescent="0.25">
      <c r="A7015" t="str">
        <f>"20190303154658085"</f>
        <v>20190303154658085</v>
      </c>
      <c r="B7015" t="str">
        <f>"1551599218079122"</f>
        <v>1551599218079122</v>
      </c>
      <c r="C7015" t="s">
        <v>40</v>
      </c>
      <c r="D7015">
        <v>5.7690809999999999</v>
      </c>
      <c r="E7015">
        <v>0.4533488</v>
      </c>
      <c r="F7015" t="s">
        <v>60</v>
      </c>
      <c r="G7015">
        <v>-189.85560000000001</v>
      </c>
      <c r="H7015" s="1">
        <v>-7.0859029999999899E-6</v>
      </c>
      <c r="I7015">
        <v>-42.254719999999999</v>
      </c>
      <c r="J7015">
        <v>-189.55549999999999</v>
      </c>
      <c r="K7015">
        <v>1.12253</v>
      </c>
      <c r="L7015">
        <v>-50.498019999999997</v>
      </c>
      <c r="M7015">
        <v>0.11618580000000001</v>
      </c>
      <c r="N7015">
        <v>-4.735062E-3</v>
      </c>
      <c r="O7015">
        <v>0.99321619999999999</v>
      </c>
      <c r="P7015">
        <v>9.0225200000000005E-2</v>
      </c>
      <c r="Q7015">
        <v>-0.15186549999999999</v>
      </c>
      <c r="R7015">
        <v>0.98427450000000005</v>
      </c>
      <c r="S7015">
        <v>-0.1000519</v>
      </c>
      <c r="T7015">
        <v>-0.3978661</v>
      </c>
      <c r="U7015">
        <v>2.996216</v>
      </c>
      <c r="V7015">
        <v>-2.367205E-2</v>
      </c>
      <c r="W7015">
        <v>-0.14736170000000001</v>
      </c>
      <c r="X7015">
        <v>0.98879930000000005</v>
      </c>
      <c r="Y7015">
        <v>-0.14895349999999999</v>
      </c>
      <c r="Z7015">
        <v>-0.12482459999999999</v>
      </c>
      <c r="AA7015">
        <v>0.98093410000000003</v>
      </c>
      <c r="AB7015">
        <v>20</v>
      </c>
      <c r="AC7015">
        <v>-0.30010000000001402</v>
      </c>
      <c r="AD7015">
        <v>-1.1225370859029999</v>
      </c>
      <c r="AE7015">
        <v>8.2432999999999996</v>
      </c>
      <c r="AF7015">
        <v>-1.2329984403584999</v>
      </c>
      <c r="AG7015">
        <v>-1.1225370859029999</v>
      </c>
      <c r="AH7015">
        <v>8.0043681228747303</v>
      </c>
      <c r="AI7015">
        <v>97.891246304332199</v>
      </c>
      <c r="AJ7015">
        <v>98.757050692835705</v>
      </c>
      <c r="AK7015">
        <v>8.1762022791542606</v>
      </c>
      <c r="AL7015">
        <v>98.474064484187494</v>
      </c>
      <c r="AM7015">
        <v>91.371410286609802</v>
      </c>
      <c r="AN7015">
        <v>0.999999946129289</v>
      </c>
    </row>
    <row r="7016" spans="1:40" x14ac:dyDescent="0.25">
      <c r="A7016" t="str">
        <f>"20190303154658106"</f>
        <v>20190303154658106</v>
      </c>
      <c r="B7016" t="str">
        <f>"1551599218098642"</f>
        <v>1551599218098642</v>
      </c>
      <c r="C7016" t="s">
        <v>40</v>
      </c>
      <c r="D7016">
        <v>5.7740049999999998</v>
      </c>
      <c r="E7016">
        <v>0.45373730000000001</v>
      </c>
      <c r="F7016" t="s">
        <v>60</v>
      </c>
      <c r="G7016">
        <v>-189.83580000000001</v>
      </c>
      <c r="H7016" s="1">
        <v>-7.1320910000000003E-6</v>
      </c>
      <c r="I7016">
        <v>-42.110100000000003</v>
      </c>
      <c r="J7016">
        <v>-189.5412</v>
      </c>
      <c r="K7016">
        <v>1.1223939999999999</v>
      </c>
      <c r="L7016">
        <v>-50.31906</v>
      </c>
      <c r="M7016">
        <v>0.1104115</v>
      </c>
      <c r="N7016">
        <v>-4.4952960000000002E-3</v>
      </c>
      <c r="O7016">
        <v>0.99387579999999998</v>
      </c>
      <c r="P7016">
        <v>9.0059849999999997E-2</v>
      </c>
      <c r="Q7016">
        <v>-0.1515</v>
      </c>
      <c r="R7016">
        <v>0.98434600000000005</v>
      </c>
      <c r="S7016">
        <v>-0.1000977</v>
      </c>
      <c r="T7016">
        <v>-0.4008507</v>
      </c>
      <c r="U7016">
        <v>2.9952700000000001</v>
      </c>
      <c r="V7016">
        <v>-1.814342E-2</v>
      </c>
      <c r="W7016">
        <v>-0.14718680000000001</v>
      </c>
      <c r="X7016">
        <v>0.98894230000000005</v>
      </c>
      <c r="Y7016">
        <v>-0.1432282</v>
      </c>
      <c r="Z7016">
        <v>-0.12624589999999999</v>
      </c>
      <c r="AA7016">
        <v>0.98160460000000005</v>
      </c>
      <c r="AB7016">
        <v>20</v>
      </c>
      <c r="AC7016">
        <v>-0.29460000000000203</v>
      </c>
      <c r="AD7016">
        <v>-1.1224011320909999</v>
      </c>
      <c r="AE7016">
        <v>8.2089599999999905</v>
      </c>
      <c r="AF7016">
        <v>-1.1771924816827199</v>
      </c>
      <c r="AG7016">
        <v>-1.1224011320909999</v>
      </c>
      <c r="AH7016">
        <v>7.9772996305523902</v>
      </c>
      <c r="AI7016">
        <v>97.924200564075207</v>
      </c>
      <c r="AJ7016">
        <v>98.394428388614898</v>
      </c>
      <c r="AK7016">
        <v>8.1414295941106598</v>
      </c>
      <c r="AL7016">
        <v>98.463932470602501</v>
      </c>
      <c r="AM7016">
        <v>91.051046945502904</v>
      </c>
      <c r="AN7016">
        <v>1.00000000525641</v>
      </c>
    </row>
    <row r="7017" spans="1:40" x14ac:dyDescent="0.25">
      <c r="A7017" t="str">
        <f>"20190303154658128"</f>
        <v>20190303154658128</v>
      </c>
      <c r="B7017" t="str">
        <f>"1551599218119139"</f>
        <v>1551599218119139</v>
      </c>
      <c r="C7017" t="s">
        <v>40</v>
      </c>
      <c r="D7017">
        <v>5.7887360000000001</v>
      </c>
      <c r="E7017">
        <v>0.453652</v>
      </c>
      <c r="F7017" t="s">
        <v>60</v>
      </c>
      <c r="G7017">
        <v>-189.8133</v>
      </c>
      <c r="H7017" s="1">
        <v>-7.1802259999999998E-6</v>
      </c>
      <c r="I7017">
        <v>-41.95872</v>
      </c>
      <c r="J7017">
        <v>-189.52549999999999</v>
      </c>
      <c r="K7017">
        <v>1.1222570000000001</v>
      </c>
      <c r="L7017">
        <v>-50.111939999999997</v>
      </c>
      <c r="M7017">
        <v>0.10412440000000001</v>
      </c>
      <c r="N7017">
        <v>-4.2507830000000002E-3</v>
      </c>
      <c r="O7017">
        <v>0.99455519999999997</v>
      </c>
      <c r="P7017">
        <v>8.9051599999999995E-2</v>
      </c>
      <c r="Q7017">
        <v>-0.14840599999999901</v>
      </c>
      <c r="R7017">
        <v>0.98490889999999998</v>
      </c>
      <c r="S7017">
        <v>-9.7442630000000002E-2</v>
      </c>
      <c r="T7017">
        <v>-0.40205429999999998</v>
      </c>
      <c r="U7017">
        <v>2.9947509999999999</v>
      </c>
      <c r="V7017">
        <v>-1.301677E-2</v>
      </c>
      <c r="W7017">
        <v>-0.14429210000000001</v>
      </c>
      <c r="X7017">
        <v>0.98944949999999998</v>
      </c>
      <c r="Y7017">
        <v>-0.13610449999999999</v>
      </c>
      <c r="Z7017">
        <v>-0.12710150000000001</v>
      </c>
      <c r="AA7017">
        <v>0.98250740000000003</v>
      </c>
      <c r="AB7017">
        <v>20</v>
      </c>
      <c r="AC7017">
        <v>-0.287800000000004</v>
      </c>
      <c r="AD7017">
        <v>-1.1222641802260001</v>
      </c>
      <c r="AE7017">
        <v>8.1532199999999992</v>
      </c>
      <c r="AF7017">
        <v>-1.11411002301115</v>
      </c>
      <c r="AG7017">
        <v>-1.1222641802260001</v>
      </c>
      <c r="AH7017">
        <v>7.9288944656977298</v>
      </c>
      <c r="AI7017">
        <v>97.978834099856599</v>
      </c>
      <c r="AJ7017">
        <v>97.998416762690695</v>
      </c>
      <c r="AK7017">
        <v>8.0850532145289105</v>
      </c>
      <c r="AL7017">
        <v>98.296288594003499</v>
      </c>
      <c r="AM7017">
        <v>90.753715033531194</v>
      </c>
      <c r="AN7017">
        <v>0.99999997973694599</v>
      </c>
    </row>
    <row r="7018" spans="1:40" x14ac:dyDescent="0.25">
      <c r="A7018" t="str">
        <f>"20190303154658151"</f>
        <v>20190303154658151</v>
      </c>
      <c r="B7018" t="str">
        <f>"1551599218149394"</f>
        <v>1551599218149394</v>
      </c>
      <c r="C7018" t="s">
        <v>40</v>
      </c>
      <c r="D7018">
        <v>5.7557369999999999</v>
      </c>
      <c r="E7018">
        <v>0.45431850000000001</v>
      </c>
      <c r="F7018" t="s">
        <v>60</v>
      </c>
      <c r="G7018">
        <v>-189.81309999999999</v>
      </c>
      <c r="H7018" s="1">
        <v>-7.3030729999999999E-6</v>
      </c>
      <c r="I7018">
        <v>-41.59169</v>
      </c>
      <c r="J7018">
        <v>-189.5112</v>
      </c>
      <c r="K7018">
        <v>1.122128</v>
      </c>
      <c r="L7018">
        <v>-49.912840000000003</v>
      </c>
      <c r="M7018">
        <v>9.8464759999999998E-2</v>
      </c>
      <c r="N7018">
        <v>-4.0461849999999999E-3</v>
      </c>
      <c r="O7018">
        <v>0.99513229999999997</v>
      </c>
      <c r="P7018">
        <v>8.8828760000000007E-2</v>
      </c>
      <c r="Q7018">
        <v>-0.1443728</v>
      </c>
      <c r="R7018">
        <v>0.98552819999999997</v>
      </c>
      <c r="S7018">
        <v>-0.10112</v>
      </c>
      <c r="T7018">
        <v>-0.39458080000000001</v>
      </c>
      <c r="U7018">
        <v>2.9956670000000001</v>
      </c>
      <c r="V7018">
        <v>-7.7405080000000001E-3</v>
      </c>
      <c r="W7018">
        <v>-0.14042079999999901</v>
      </c>
      <c r="X7018">
        <v>0.99006159999999999</v>
      </c>
      <c r="Y7018">
        <v>-0.13167599999999999</v>
      </c>
      <c r="Z7018">
        <v>-0.12501480000000001</v>
      </c>
      <c r="AA7018">
        <v>0.98337819999999998</v>
      </c>
      <c r="AB7018">
        <v>20</v>
      </c>
      <c r="AC7018">
        <v>-0.30189999999998901</v>
      </c>
      <c r="AD7018">
        <v>-1.1221353030729999</v>
      </c>
      <c r="AE7018">
        <v>8.3211499999999994</v>
      </c>
      <c r="AF7018">
        <v>-1.09980550744848</v>
      </c>
      <c r="AG7018">
        <v>-1.1221353030729999</v>
      </c>
      <c r="AH7018">
        <v>8.1038086977808792</v>
      </c>
      <c r="AI7018">
        <v>97.8128954250557</v>
      </c>
      <c r="AJ7018">
        <v>97.728657118135203</v>
      </c>
      <c r="AK7018">
        <v>8.2547244171350602</v>
      </c>
      <c r="AL7018">
        <v>98.072197307052605</v>
      </c>
      <c r="AM7018">
        <v>90.447941222878399</v>
      </c>
      <c r="AN7018">
        <v>0.99999994416564697</v>
      </c>
    </row>
    <row r="7019" spans="1:40" x14ac:dyDescent="0.25">
      <c r="A7019" t="str">
        <f>"20190303154658197"</f>
        <v>20190303154658197</v>
      </c>
      <c r="B7019" t="str">
        <f>"1551599218188434"</f>
        <v>1551599218188434</v>
      </c>
      <c r="C7019" t="s">
        <v>40</v>
      </c>
      <c r="D7019">
        <v>5.7170940000000003</v>
      </c>
      <c r="E7019">
        <v>0.45544200000000001</v>
      </c>
      <c r="F7019" t="s">
        <v>60</v>
      </c>
      <c r="G7019">
        <v>-189.79220000000001</v>
      </c>
      <c r="H7019" s="1">
        <v>-7.435775E-6</v>
      </c>
      <c r="I7019">
        <v>-41.188209999999998</v>
      </c>
      <c r="J7019">
        <v>-189.48339999999999</v>
      </c>
      <c r="K7019">
        <v>1.121767</v>
      </c>
      <c r="L7019">
        <v>-49.496369999999999</v>
      </c>
      <c r="M7019">
        <v>8.7902129999999995E-2</v>
      </c>
      <c r="N7019">
        <v>-3.7040749999999998E-3</v>
      </c>
      <c r="O7019">
        <v>0.99612219999999996</v>
      </c>
      <c r="P7019">
        <v>8.9923359999999994E-2</v>
      </c>
      <c r="Q7019">
        <v>-0.148316</v>
      </c>
      <c r="R7019">
        <v>0.98484320000000003</v>
      </c>
      <c r="S7019">
        <v>-9.6481319999999995E-2</v>
      </c>
      <c r="T7019">
        <v>-0.38537189999999999</v>
      </c>
      <c r="U7019">
        <v>2.9962770000000001</v>
      </c>
      <c r="V7019">
        <v>3.8252799999999999E-3</v>
      </c>
      <c r="W7019">
        <v>-0.1446325</v>
      </c>
      <c r="X7019">
        <v>0.98947810000000003</v>
      </c>
      <c r="Y7019">
        <v>-0.1196405</v>
      </c>
      <c r="Z7019">
        <v>-0.12265620000000001</v>
      </c>
      <c r="AA7019">
        <v>0.98521139999999996</v>
      </c>
      <c r="AB7019">
        <v>20</v>
      </c>
      <c r="AC7019">
        <v>-0.308800000000019</v>
      </c>
      <c r="AD7019">
        <v>-1.1217744357749999</v>
      </c>
      <c r="AE7019">
        <v>8.3081600000000009</v>
      </c>
      <c r="AF7019">
        <v>-1.01935678007625</v>
      </c>
      <c r="AG7019">
        <v>-1.1217744357749999</v>
      </c>
      <c r="AH7019">
        <v>8.1013661151867407</v>
      </c>
      <c r="AI7019">
        <v>97.822556566741198</v>
      </c>
      <c r="AJ7019">
        <v>97.171570045786893</v>
      </c>
      <c r="AK7019">
        <v>8.2419414619458298</v>
      </c>
      <c r="AL7019">
        <v>98.315998230383997</v>
      </c>
      <c r="AM7019">
        <v>89.778498071280097</v>
      </c>
      <c r="AN7019">
        <v>1.00000005160146</v>
      </c>
    </row>
    <row r="7020" spans="1:40" x14ac:dyDescent="0.25">
      <c r="A7020" t="str">
        <f>"20190303154658217"</f>
        <v>20190303154658217</v>
      </c>
      <c r="B7020" t="str">
        <f>"1551599218208930"</f>
        <v>1551599218208930</v>
      </c>
      <c r="C7020" t="s">
        <v>40</v>
      </c>
      <c r="D7020">
        <v>5.6930690000000004</v>
      </c>
      <c r="E7020">
        <v>0.4561212</v>
      </c>
      <c r="F7020" t="s">
        <v>60</v>
      </c>
      <c r="G7020">
        <v>-189.7225</v>
      </c>
      <c r="H7020" s="1">
        <v>-7.4939779999999902E-6</v>
      </c>
      <c r="I7020">
        <v>-40.990940000000002</v>
      </c>
      <c r="J7020">
        <v>-189.47130000000001</v>
      </c>
      <c r="K7020">
        <v>1.121583</v>
      </c>
      <c r="L7020">
        <v>-49.302579999999999</v>
      </c>
      <c r="M7020">
        <v>8.3565790000000001E-2</v>
      </c>
      <c r="N7020">
        <v>-3.579451E-3</v>
      </c>
      <c r="O7020">
        <v>0.99649580000000004</v>
      </c>
      <c r="P7020">
        <v>9.1821449999999999E-2</v>
      </c>
      <c r="Q7020">
        <v>-0.15234149999999999</v>
      </c>
      <c r="R7020">
        <v>0.98405330000000002</v>
      </c>
      <c r="S7020">
        <v>-8.4182740000000006E-2</v>
      </c>
      <c r="T7020">
        <v>-0.39492709999999998</v>
      </c>
      <c r="U7020">
        <v>2.9943849999999999</v>
      </c>
      <c r="V7020">
        <v>1.0051610000000001E-2</v>
      </c>
      <c r="W7020">
        <v>-0.1487521</v>
      </c>
      <c r="X7020">
        <v>0.98882340000000002</v>
      </c>
      <c r="Y7020">
        <v>-0.111283199999999</v>
      </c>
      <c r="Z7020">
        <v>-0.12608699999999901</v>
      </c>
      <c r="AA7020">
        <v>0.98575760000000001</v>
      </c>
      <c r="AB7020">
        <v>21</v>
      </c>
      <c r="AC7020">
        <v>-0.25119999999998299</v>
      </c>
      <c r="AD7020">
        <v>-1.1215904939779999</v>
      </c>
      <c r="AE7020">
        <v>8.3116399999999899</v>
      </c>
      <c r="AF7020">
        <v>-0.92801149851527698</v>
      </c>
      <c r="AG7020">
        <v>-1.1215904939779999</v>
      </c>
      <c r="AH7020">
        <v>8.1139604598889807</v>
      </c>
      <c r="AI7020">
        <v>97.819764412086101</v>
      </c>
      <c r="AJ7020">
        <v>96.524693013270493</v>
      </c>
      <c r="AK7020">
        <v>8.2435141124522993</v>
      </c>
      <c r="AL7020">
        <v>98.554616122464793</v>
      </c>
      <c r="AM7020">
        <v>89.417595705382098</v>
      </c>
      <c r="AN7020">
        <v>0.99999996925278001</v>
      </c>
    </row>
    <row r="7021" spans="1:40" x14ac:dyDescent="0.25">
      <c r="A7021" t="str">
        <f>"20190303154658240"</f>
        <v>20190303154658240</v>
      </c>
      <c r="B7021" t="str">
        <f>"1551599218228450"</f>
        <v>1551599218228450</v>
      </c>
      <c r="C7021" t="s">
        <v>40</v>
      </c>
      <c r="D7021">
        <v>5.7550790000000003</v>
      </c>
      <c r="E7021">
        <v>0.45634000000000002</v>
      </c>
      <c r="F7021" t="s">
        <v>60</v>
      </c>
      <c r="G7021">
        <v>-189.67359999999999</v>
      </c>
      <c r="H7021" s="1">
        <v>-7.4898279999999998E-6</v>
      </c>
      <c r="I7021">
        <v>-40.986890000000002</v>
      </c>
      <c r="J7021">
        <v>-189.4588</v>
      </c>
      <c r="K7021">
        <v>1.1213709999999999</v>
      </c>
      <c r="L7021">
        <v>-49.096130000000002</v>
      </c>
      <c r="M7021">
        <v>7.9369659999999995E-2</v>
      </c>
      <c r="N7021">
        <v>-3.466331E-3</v>
      </c>
      <c r="O7021">
        <v>0.99683920000000004</v>
      </c>
      <c r="P7021">
        <v>9.2664060000000006E-2</v>
      </c>
      <c r="Q7021">
        <v>-0.15419379999999999</v>
      </c>
      <c r="R7021">
        <v>0.9836857</v>
      </c>
      <c r="S7021">
        <v>-7.2799680000000005E-2</v>
      </c>
      <c r="T7021">
        <v>-0.40367389999999997</v>
      </c>
      <c r="U7021">
        <v>2.9929199999999998</v>
      </c>
      <c r="V7021">
        <v>1.501894E-2</v>
      </c>
      <c r="W7021">
        <v>-0.1506981</v>
      </c>
      <c r="X7021">
        <v>0.9884657</v>
      </c>
      <c r="Y7021">
        <v>-0.1033555</v>
      </c>
      <c r="Z7021">
        <v>-0.129218</v>
      </c>
      <c r="AA7021">
        <v>0.98621519999999996</v>
      </c>
      <c r="AB7021">
        <v>21</v>
      </c>
      <c r="AC7021">
        <v>-0.21479999999999599</v>
      </c>
      <c r="AD7021">
        <v>-1.1213784898279999</v>
      </c>
      <c r="AE7021">
        <v>8.1092399999999998</v>
      </c>
      <c r="AF7021">
        <v>-0.84167032065368597</v>
      </c>
      <c r="AG7021">
        <v>-1.1213784898279999</v>
      </c>
      <c r="AH7021">
        <v>7.9153533460852703</v>
      </c>
      <c r="AI7021">
        <v>98.018893022200899</v>
      </c>
      <c r="AJ7021">
        <v>96.069675352689302</v>
      </c>
      <c r="AK7021">
        <v>8.0385768167942206</v>
      </c>
      <c r="AL7021">
        <v>98.667384954340505</v>
      </c>
      <c r="AM7021">
        <v>89.129503772474393</v>
      </c>
      <c r="AN7021">
        <v>0.99999996298941096</v>
      </c>
    </row>
    <row r="7022" spans="1:40" x14ac:dyDescent="0.25">
      <c r="A7022" t="str">
        <f>"20190303154658262"</f>
        <v>20190303154658262</v>
      </c>
      <c r="B7022" t="str">
        <f>"1551599218258706"</f>
        <v>1551599218258706</v>
      </c>
      <c r="C7022" t="s">
        <v>40</v>
      </c>
      <c r="D7022">
        <v>5.7210570000000001</v>
      </c>
      <c r="E7022">
        <v>0.45705449999999997</v>
      </c>
      <c r="F7022" t="s">
        <v>60</v>
      </c>
      <c r="G7022">
        <v>-189.64599999999999</v>
      </c>
      <c r="H7022" s="1">
        <v>-7.5124609999999996E-6</v>
      </c>
      <c r="I7022">
        <v>-40.910020000000003</v>
      </c>
      <c r="J7022">
        <v>-189.44649999999999</v>
      </c>
      <c r="K7022">
        <v>1.121119</v>
      </c>
      <c r="L7022">
        <v>-48.884189999999997</v>
      </c>
      <c r="M7022">
        <v>7.5598199999999893E-2</v>
      </c>
      <c r="N7022">
        <v>-3.3694739999999999E-3</v>
      </c>
      <c r="O7022">
        <v>0.99713269999999998</v>
      </c>
      <c r="P7022">
        <v>9.2047809999999994E-2</v>
      </c>
      <c r="Q7022">
        <v>-0.15372559999999999</v>
      </c>
      <c r="R7022">
        <v>0.98381689999999999</v>
      </c>
      <c r="S7022">
        <v>-6.8420410000000001E-2</v>
      </c>
      <c r="T7022">
        <v>-0.40985290000000002</v>
      </c>
      <c r="U7022">
        <v>2.991943</v>
      </c>
      <c r="V7022">
        <v>1.8041040000000001E-2</v>
      </c>
      <c r="W7022">
        <v>-0.15032129999999999</v>
      </c>
      <c r="X7022">
        <v>0.98847260000000003</v>
      </c>
      <c r="Y7022">
        <v>-9.8151859999999994E-2</v>
      </c>
      <c r="Z7022">
        <v>-0.1314497</v>
      </c>
      <c r="AA7022">
        <v>0.98645179999999999</v>
      </c>
      <c r="AB7022">
        <v>21</v>
      </c>
      <c r="AC7022">
        <v>-0.19950000000000001</v>
      </c>
      <c r="AD7022">
        <v>-1.1211265124609999</v>
      </c>
      <c r="AE7022">
        <v>7.97417</v>
      </c>
      <c r="AF7022">
        <v>-0.78623372717302797</v>
      </c>
      <c r="AG7022">
        <v>-1.1211265124609999</v>
      </c>
      <c r="AH7022">
        <v>7.7825284964821702</v>
      </c>
      <c r="AI7022">
        <v>98.156499500300299</v>
      </c>
      <c r="AJ7022">
        <v>95.768761514028796</v>
      </c>
      <c r="AK7022">
        <v>7.9020780766355596</v>
      </c>
      <c r="AL7022">
        <v>98.645546584259904</v>
      </c>
      <c r="AM7022">
        <v>88.954386094821999</v>
      </c>
      <c r="AN7022">
        <v>1.0000000266543601</v>
      </c>
    </row>
    <row r="7023" spans="1:40" x14ac:dyDescent="0.25">
      <c r="A7023" t="str">
        <f>"20190303154658294"</f>
        <v>20190303154658294</v>
      </c>
      <c r="B7023" t="str">
        <f>"1551599218288963"</f>
        <v>1551599218288963</v>
      </c>
      <c r="C7023" t="s">
        <v>40</v>
      </c>
      <c r="D7023">
        <v>5.7532750000000004</v>
      </c>
      <c r="E7023">
        <v>0.45760070000000003</v>
      </c>
      <c r="F7023" t="s">
        <v>60</v>
      </c>
      <c r="G7023">
        <v>-189.62549999999999</v>
      </c>
      <c r="H7023" s="1">
        <v>-7.6142220000000001E-6</v>
      </c>
      <c r="I7023">
        <v>-40.599119999999999</v>
      </c>
      <c r="J7023">
        <v>-189.4288</v>
      </c>
      <c r="K7023">
        <v>1.1207450000000001</v>
      </c>
      <c r="L7023">
        <v>-48.57611</v>
      </c>
      <c r="M7023">
        <v>7.1066069999999995E-2</v>
      </c>
      <c r="N7023">
        <v>-3.2592020000000001E-3</v>
      </c>
      <c r="O7023">
        <v>0.99746630000000003</v>
      </c>
      <c r="P7023">
        <v>8.9267200000000005E-2</v>
      </c>
      <c r="Q7023">
        <v>-0.15160899999999999</v>
      </c>
      <c r="R7023">
        <v>0.98440139999999998</v>
      </c>
      <c r="S7023">
        <v>-6.4666749999999995E-2</v>
      </c>
      <c r="T7023">
        <v>-0.40489199999999997</v>
      </c>
      <c r="U7023">
        <v>2.9921259999999998</v>
      </c>
      <c r="V7023">
        <v>1.9571620000000001E-2</v>
      </c>
      <c r="W7023">
        <v>-0.1483237</v>
      </c>
      <c r="X7023">
        <v>0.98874519999999999</v>
      </c>
      <c r="Y7023">
        <v>-9.2396290000000006E-2</v>
      </c>
      <c r="Z7023">
        <v>-0.13005430000000001</v>
      </c>
      <c r="AA7023">
        <v>0.98719239999999997</v>
      </c>
      <c r="AB7023">
        <v>21</v>
      </c>
      <c r="AC7023">
        <v>-0.19669999999999199</v>
      </c>
      <c r="AD7023">
        <v>-1.1207526142219999</v>
      </c>
      <c r="AE7023">
        <v>7.9769899999999998</v>
      </c>
      <c r="AF7023">
        <v>-0.74833601133907601</v>
      </c>
      <c r="AG7023">
        <v>-1.1207526142219999</v>
      </c>
      <c r="AH7023">
        <v>7.7891791406708499</v>
      </c>
      <c r="AI7023">
        <v>98.150832779028605</v>
      </c>
      <c r="AJ7023">
        <v>95.487780029174402</v>
      </c>
      <c r="AK7023">
        <v>7.9048975258136096</v>
      </c>
      <c r="AL7023">
        <v>98.529794833717204</v>
      </c>
      <c r="AM7023">
        <v>88.8660123955964</v>
      </c>
      <c r="AN7023">
        <v>1.00000001940707</v>
      </c>
    </row>
    <row r="7024" spans="1:40" x14ac:dyDescent="0.25">
      <c r="A7024" t="str">
        <f>"20190303154658331"</f>
        <v>20190303154658331</v>
      </c>
      <c r="B7024" t="str">
        <f>"1551599218328979"</f>
        <v>1551599218328979</v>
      </c>
      <c r="C7024" t="s">
        <v>40</v>
      </c>
      <c r="D7024">
        <v>5.7511409999999996</v>
      </c>
      <c r="E7024">
        <v>0.45831749999999999</v>
      </c>
      <c r="F7024" t="s">
        <v>41</v>
      </c>
      <c r="G7024">
        <v>-189.62379999999999</v>
      </c>
      <c r="H7024" s="1">
        <v>-1.8619719999999999E-7</v>
      </c>
      <c r="I7024">
        <v>-40.09892</v>
      </c>
      <c r="J7024">
        <v>-189.40899999999999</v>
      </c>
      <c r="K7024">
        <v>1.120411</v>
      </c>
      <c r="L7024">
        <v>-48.22522</v>
      </c>
      <c r="M7024">
        <v>6.6943900000000001E-2</v>
      </c>
      <c r="N7024">
        <v>-3.1695529999999999E-3</v>
      </c>
      <c r="O7024">
        <v>0.99775170000000002</v>
      </c>
      <c r="P7024">
        <v>8.5395719999999994E-2</v>
      </c>
      <c r="Q7024">
        <v>-0.14540320000000001</v>
      </c>
      <c r="R7024">
        <v>0.98568020000000001</v>
      </c>
      <c r="S7024">
        <v>-6.8847660000000005E-2</v>
      </c>
      <c r="T7024">
        <v>-0.395677</v>
      </c>
      <c r="U7024">
        <v>2.9928590000000002</v>
      </c>
      <c r="V7024">
        <v>1.9562619999999999E-2</v>
      </c>
      <c r="W7024">
        <v>-0.14222019999999999</v>
      </c>
      <c r="X7024">
        <v>0.98964169999999996</v>
      </c>
      <c r="Y7024">
        <v>-8.9665229999999999E-2</v>
      </c>
      <c r="Z7024">
        <v>-0.12720010000000001</v>
      </c>
      <c r="AA7024">
        <v>0.98781589999999997</v>
      </c>
      <c r="AB7024">
        <v>21</v>
      </c>
      <c r="AC7024">
        <v>-0.21479999999996799</v>
      </c>
      <c r="AD7024">
        <v>-1.1204111861971999</v>
      </c>
      <c r="AE7024">
        <v>8.1263000000000005</v>
      </c>
      <c r="AF7024">
        <v>-0.74419033454946204</v>
      </c>
      <c r="AG7024">
        <v>-1.1204111861971999</v>
      </c>
      <c r="AH7024">
        <v>7.9428079411471497</v>
      </c>
      <c r="AI7024">
        <v>97.994600555762503</v>
      </c>
      <c r="AJ7024">
        <v>95.3526221591097</v>
      </c>
      <c r="AK7024">
        <v>8.05588843456405</v>
      </c>
      <c r="AL7024">
        <v>98.176340186068401</v>
      </c>
      <c r="AM7024">
        <v>88.867560243965798</v>
      </c>
      <c r="AN7024">
        <v>0.99999998788409705</v>
      </c>
    </row>
    <row r="7025" spans="1:40" x14ac:dyDescent="0.25">
      <c r="A7025" t="str">
        <f>"20190303154658352"</f>
        <v>20190303154658352</v>
      </c>
      <c r="B7025" t="str">
        <f>"1551599218348499"</f>
        <v>1551599218348499</v>
      </c>
      <c r="C7025" t="s">
        <v>40</v>
      </c>
      <c r="D7025">
        <v>5.7737040000000004</v>
      </c>
      <c r="E7025">
        <v>0.4587309</v>
      </c>
      <c r="F7025" t="s">
        <v>41</v>
      </c>
      <c r="G7025">
        <v>-189.63319999999999</v>
      </c>
      <c r="H7025" s="1">
        <v>-5.401964E-7</v>
      </c>
      <c r="I7025">
        <v>-39.259650000000001</v>
      </c>
      <c r="J7025">
        <v>-189.3974</v>
      </c>
      <c r="K7025">
        <v>1.1202240000000001</v>
      </c>
      <c r="L7025">
        <v>-48.018949999999997</v>
      </c>
      <c r="M7025">
        <v>6.5024559999999995E-2</v>
      </c>
      <c r="N7025">
        <v>-3.1353729999999999E-3</v>
      </c>
      <c r="O7025">
        <v>0.99787870000000001</v>
      </c>
      <c r="P7025">
        <v>8.3268999999999996E-2</v>
      </c>
      <c r="Q7025">
        <v>-0.14560279999999901</v>
      </c>
      <c r="R7025">
        <v>0.98583270000000001</v>
      </c>
      <c r="S7025">
        <v>-7.4920650000000005E-2</v>
      </c>
      <c r="T7025">
        <v>-0.3742645</v>
      </c>
      <c r="U7025">
        <v>2.9948730000000001</v>
      </c>
      <c r="V7025">
        <v>1.927034E-2</v>
      </c>
      <c r="W7025">
        <v>-0.1424629</v>
      </c>
      <c r="X7025">
        <v>0.98961250000000001</v>
      </c>
      <c r="Y7025">
        <v>-8.9759279999999997E-2</v>
      </c>
      <c r="Z7025">
        <v>-0.12022720000000001</v>
      </c>
      <c r="AA7025">
        <v>0.98868029999999996</v>
      </c>
      <c r="AB7025">
        <v>22</v>
      </c>
      <c r="AC7025">
        <v>-0.235799999999983</v>
      </c>
      <c r="AD7025">
        <v>-1.1202245401963999</v>
      </c>
      <c r="AE7025">
        <v>8.7592999999999908</v>
      </c>
      <c r="AF7025">
        <v>-0.79193015403192002</v>
      </c>
      <c r="AG7025">
        <v>-1.1202245401963999</v>
      </c>
      <c r="AH7025">
        <v>8.5851147286320906</v>
      </c>
      <c r="AI7025">
        <v>97.403130522543506</v>
      </c>
      <c r="AJ7025">
        <v>95.270309437139602</v>
      </c>
      <c r="AK7025">
        <v>8.6940353860045292</v>
      </c>
      <c r="AL7025">
        <v>98.190389135105406</v>
      </c>
      <c r="AM7025">
        <v>88.884442516109004</v>
      </c>
      <c r="AN7025">
        <v>0.99999996201818697</v>
      </c>
    </row>
    <row r="7026" spans="1:40" x14ac:dyDescent="0.25">
      <c r="A7026" t="str">
        <f>"20190303154658376"</f>
        <v>20190303154658376</v>
      </c>
      <c r="B7026" t="str">
        <f>"1551599218368994"</f>
        <v>1551599218368994</v>
      </c>
      <c r="C7026" t="s">
        <v>40</v>
      </c>
      <c r="D7026">
        <v>5.7522739999999999</v>
      </c>
      <c r="E7026">
        <v>0.45906049999999998</v>
      </c>
      <c r="F7026" t="s">
        <v>41</v>
      </c>
      <c r="G7026">
        <v>-189.63130000000001</v>
      </c>
      <c r="H7026" s="1">
        <v>-6.3242609999999999E-7</v>
      </c>
      <c r="I7026">
        <v>-39.045490000000001</v>
      </c>
      <c r="J7026">
        <v>-189.38390000000001</v>
      </c>
      <c r="K7026">
        <v>1.1200209999999999</v>
      </c>
      <c r="L7026">
        <v>-47.777189999999997</v>
      </c>
      <c r="M7026">
        <v>6.3197370000000003E-2</v>
      </c>
      <c r="N7026">
        <v>-3.1102980000000001E-3</v>
      </c>
      <c r="O7026">
        <v>0.9979962</v>
      </c>
      <c r="P7026">
        <v>8.0934190000000003E-2</v>
      </c>
      <c r="Q7026">
        <v>-0.1479248</v>
      </c>
      <c r="R7026">
        <v>0.98568140000000004</v>
      </c>
      <c r="S7026">
        <v>-7.8033450000000004E-2</v>
      </c>
      <c r="T7026">
        <v>-0.37382290000000001</v>
      </c>
      <c r="U7026">
        <v>2.9944760000000001</v>
      </c>
      <c r="V7026">
        <v>1.8697200000000001E-2</v>
      </c>
      <c r="W7026">
        <v>-0.1448207</v>
      </c>
      <c r="X7026">
        <v>0.98928119999999997</v>
      </c>
      <c r="Y7026">
        <v>-8.8966680000000006E-2</v>
      </c>
      <c r="Z7026">
        <v>-0.1201493</v>
      </c>
      <c r="AA7026">
        <v>0.98876140000000001</v>
      </c>
      <c r="AB7026">
        <v>22</v>
      </c>
      <c r="AC7026">
        <v>-0.24739999999999801</v>
      </c>
      <c r="AD7026">
        <v>-1.1200216324261001</v>
      </c>
      <c r="AE7026">
        <v>8.7317</v>
      </c>
      <c r="AF7026">
        <v>-0.78580974264335302</v>
      </c>
      <c r="AG7026">
        <v>-1.1200216324261001</v>
      </c>
      <c r="AH7026">
        <v>8.5579167442639292</v>
      </c>
      <c r="AI7026">
        <v>97.425348884613101</v>
      </c>
      <c r="AJ7026">
        <v>95.2463330045085</v>
      </c>
      <c r="AK7026">
        <v>8.6665958951879496</v>
      </c>
      <c r="AL7026">
        <v>98.326896828100999</v>
      </c>
      <c r="AM7026">
        <v>88.917251108405395</v>
      </c>
      <c r="AN7026">
        <v>0.99999995655488405</v>
      </c>
    </row>
    <row r="7027" spans="1:40" x14ac:dyDescent="0.25">
      <c r="A7027" t="str">
        <f>"20190303154658420"</f>
        <v>20190303154658420</v>
      </c>
      <c r="B7027" t="str">
        <f>"1551599218409010"</f>
        <v>1551599218409010</v>
      </c>
      <c r="C7027" t="s">
        <v>40</v>
      </c>
      <c r="D7027">
        <v>5.8501390000000004</v>
      </c>
      <c r="E7027">
        <v>0.45937159999999999</v>
      </c>
      <c r="F7027" t="s">
        <v>41</v>
      </c>
      <c r="G7027">
        <v>-189.62649999999999</v>
      </c>
      <c r="H7027" s="1">
        <v>-6.6853969999999899E-7</v>
      </c>
      <c r="I7027">
        <v>-38.963290000000001</v>
      </c>
      <c r="J7027">
        <v>-189.35939999999999</v>
      </c>
      <c r="K7027">
        <v>1.119629</v>
      </c>
      <c r="L7027">
        <v>-47.342590000000001</v>
      </c>
      <c r="M7027">
        <v>6.105476E-2</v>
      </c>
      <c r="N7027">
        <v>-3.0995350000000001E-3</v>
      </c>
      <c r="O7027">
        <v>0.99812959999999995</v>
      </c>
      <c r="P7027">
        <v>7.8000849999999997E-2</v>
      </c>
      <c r="Q7027">
        <v>-0.15140509999999999</v>
      </c>
      <c r="R7027">
        <v>0.98538950000000003</v>
      </c>
      <c r="S7027">
        <v>-8.2382200000000003E-2</v>
      </c>
      <c r="T7027">
        <v>-0.38036599999999998</v>
      </c>
      <c r="U7027">
        <v>2.9932560000000001</v>
      </c>
      <c r="V7027">
        <v>1.7785390000000002E-2</v>
      </c>
      <c r="W7027">
        <v>-0.14832989999999999</v>
      </c>
      <c r="X7027">
        <v>0.98877800000000005</v>
      </c>
      <c r="Y7027">
        <v>-8.8266940000000002E-2</v>
      </c>
      <c r="Z7027">
        <v>-0.12236089999999999</v>
      </c>
      <c r="AA7027">
        <v>0.98855289999999996</v>
      </c>
      <c r="AB7027">
        <v>22</v>
      </c>
      <c r="AC7027">
        <v>-0.267099999999999</v>
      </c>
      <c r="AD7027">
        <v>-1.11962966853969</v>
      </c>
      <c r="AE7027">
        <v>8.3793000000000006</v>
      </c>
      <c r="AF7027">
        <v>-0.76456371398621703</v>
      </c>
      <c r="AG7027">
        <v>-1.11962966853969</v>
      </c>
      <c r="AH7027">
        <v>8.2010869393484995</v>
      </c>
      <c r="AI7027">
        <v>97.740922812561806</v>
      </c>
      <c r="AJ7027">
        <v>95.326125785475995</v>
      </c>
      <c r="AK7027">
        <v>8.3123976838317404</v>
      </c>
      <c r="AL7027">
        <v>98.530154153522005</v>
      </c>
      <c r="AM7027">
        <v>88.969518025010402</v>
      </c>
      <c r="AN7027">
        <v>1.0000000063077299</v>
      </c>
    </row>
    <row r="7028" spans="1:40" x14ac:dyDescent="0.25">
      <c r="A7028" t="str">
        <f>"20190303154658441"</f>
        <v>20190303154658441</v>
      </c>
      <c r="B7028" t="str">
        <f>"1551599218439267"</f>
        <v>1551599218439267</v>
      </c>
      <c r="C7028" t="s">
        <v>40</v>
      </c>
      <c r="D7028">
        <v>5.8413950000000003</v>
      </c>
      <c r="E7028">
        <v>0.4597231</v>
      </c>
      <c r="F7028" t="s">
        <v>41</v>
      </c>
      <c r="G7028">
        <v>-189.6129</v>
      </c>
      <c r="H7028" s="1">
        <v>-7.2617309999999997E-7</v>
      </c>
      <c r="I7028">
        <v>-38.83455</v>
      </c>
      <c r="J7028">
        <v>-189.34739999999999</v>
      </c>
      <c r="K7028">
        <v>1.1194649999999999</v>
      </c>
      <c r="L7028">
        <v>-47.133330000000001</v>
      </c>
      <c r="M7028">
        <v>6.0465709999999999E-2</v>
      </c>
      <c r="N7028">
        <v>-3.1095820000000001E-3</v>
      </c>
      <c r="O7028">
        <v>0.99816539999999998</v>
      </c>
      <c r="P7028">
        <v>7.7257069999999997E-2</v>
      </c>
      <c r="Q7028">
        <v>-0.1511305</v>
      </c>
      <c r="R7028">
        <v>0.98549019999999998</v>
      </c>
      <c r="S7028">
        <v>-8.9126590000000006E-2</v>
      </c>
      <c r="T7028">
        <v>-0.39361289999999999</v>
      </c>
      <c r="U7028">
        <v>2.9910580000000002</v>
      </c>
      <c r="V7028">
        <v>1.756224E-2</v>
      </c>
      <c r="W7028">
        <v>-0.14805219999999999</v>
      </c>
      <c r="X7028">
        <v>0.98882360000000002</v>
      </c>
      <c r="Y7028">
        <v>-8.9908660000000001E-2</v>
      </c>
      <c r="Z7028">
        <v>-0.12673509999999999</v>
      </c>
      <c r="AA7028">
        <v>0.9878536</v>
      </c>
      <c r="AB7028">
        <v>22</v>
      </c>
      <c r="AC7028">
        <v>-0.26550000000000201</v>
      </c>
      <c r="AD7028">
        <v>-1.1194657261731</v>
      </c>
      <c r="AE7028">
        <v>8.2987800000000007</v>
      </c>
      <c r="AF7028">
        <v>-0.753118005211869</v>
      </c>
      <c r="AG7028">
        <v>-1.1194657261731</v>
      </c>
      <c r="AH7028">
        <v>8.1199365141383595</v>
      </c>
      <c r="AI7028">
        <v>97.816543093872099</v>
      </c>
      <c r="AJ7028">
        <v>95.298980471045795</v>
      </c>
      <c r="AK7028">
        <v>8.2312671707027008</v>
      </c>
      <c r="AL7028">
        <v>98.514065538706305</v>
      </c>
      <c r="AM7028">
        <v>88.982491471195402</v>
      </c>
      <c r="AN7028">
        <v>0.99999999905780801</v>
      </c>
    </row>
    <row r="7029" spans="1:40" x14ac:dyDescent="0.25">
      <c r="A7029" t="str">
        <f>"20190303154658466"</f>
        <v>20190303154658466</v>
      </c>
      <c r="B7029" t="str">
        <f>"1551599218458786"</f>
        <v>1551599218458786</v>
      </c>
      <c r="C7029" t="s">
        <v>40</v>
      </c>
      <c r="D7029">
        <v>5.7969989999999996</v>
      </c>
      <c r="E7029">
        <v>0.46010800000000002</v>
      </c>
      <c r="F7029" t="s">
        <v>41</v>
      </c>
      <c r="G7029">
        <v>-189.5992</v>
      </c>
      <c r="H7029" s="1">
        <v>-8.1165539999999999E-7</v>
      </c>
      <c r="I7029">
        <v>-38.640949999999997</v>
      </c>
      <c r="J7029">
        <v>-189.33340000000001</v>
      </c>
      <c r="K7029">
        <v>1.119294</v>
      </c>
      <c r="L7029">
        <v>-46.893859999999997</v>
      </c>
      <c r="M7029">
        <v>6.0125869999999998E-2</v>
      </c>
      <c r="N7029">
        <v>-3.130458E-3</v>
      </c>
      <c r="O7029">
        <v>0.99818589999999996</v>
      </c>
      <c r="P7029">
        <v>7.6381599999999994E-2</v>
      </c>
      <c r="Q7029">
        <v>-0.1500214</v>
      </c>
      <c r="R7029">
        <v>0.98572780000000004</v>
      </c>
      <c r="S7029">
        <v>-8.8684079999999998E-2</v>
      </c>
      <c r="T7029">
        <v>-0.3942292</v>
      </c>
      <c r="U7029">
        <v>2.9906619999999999</v>
      </c>
      <c r="V7029">
        <v>1.694855E-2</v>
      </c>
      <c r="W7029">
        <v>-0.14692920000000001</v>
      </c>
      <c r="X7029">
        <v>0.98900180000000004</v>
      </c>
      <c r="Y7029">
        <v>-8.9426649999999996E-2</v>
      </c>
      <c r="Z7029">
        <v>-0.1269383</v>
      </c>
      <c r="AA7029">
        <v>0.98787119999999995</v>
      </c>
      <c r="AB7029">
        <v>22</v>
      </c>
      <c r="AC7029">
        <v>-0.26579999999998399</v>
      </c>
      <c r="AD7029">
        <v>-1.1192948116554</v>
      </c>
      <c r="AE7029">
        <v>8.25291</v>
      </c>
      <c r="AF7029">
        <v>-0.74779430267621905</v>
      </c>
      <c r="AG7029">
        <v>-1.1192948116554</v>
      </c>
      <c r="AH7029">
        <v>8.0736449247497504</v>
      </c>
      <c r="AI7029">
        <v>97.859707688478196</v>
      </c>
      <c r="AJ7029">
        <v>95.291731832753797</v>
      </c>
      <c r="AK7029">
        <v>8.1850937420075507</v>
      </c>
      <c r="AL7029">
        <v>98.449010877599406</v>
      </c>
      <c r="AM7029">
        <v>89.018216813083498</v>
      </c>
      <c r="AN7029">
        <v>1.0000000017814901</v>
      </c>
    </row>
    <row r="7030" spans="1:40" x14ac:dyDescent="0.25">
      <c r="A7030" t="str">
        <f>"20190303154658489"</f>
        <v>20190303154658489</v>
      </c>
      <c r="B7030" t="str">
        <f>"1551599218479282"</f>
        <v>1551599218479282</v>
      </c>
      <c r="C7030" t="s">
        <v>40</v>
      </c>
      <c r="D7030">
        <v>5.754041</v>
      </c>
      <c r="E7030">
        <v>0.46059670000000003</v>
      </c>
      <c r="F7030" t="s">
        <v>41</v>
      </c>
      <c r="G7030">
        <v>-189.58680000000001</v>
      </c>
      <c r="H7030" s="1">
        <v>-9.5054410000000004E-7</v>
      </c>
      <c r="I7030">
        <v>-38.322319999999998</v>
      </c>
      <c r="J7030">
        <v>-189.3193</v>
      </c>
      <c r="K7030">
        <v>1.119137</v>
      </c>
      <c r="L7030">
        <v>-46.656280000000002</v>
      </c>
      <c r="M7030">
        <v>6.0089679999999999E-2</v>
      </c>
      <c r="N7030">
        <v>-3.1569670000000001E-3</v>
      </c>
      <c r="O7030">
        <v>0.99818799999999996</v>
      </c>
      <c r="P7030">
        <v>7.559167E-2</v>
      </c>
      <c r="Q7030">
        <v>-0.14982110000000001</v>
      </c>
      <c r="R7030">
        <v>0.98581920000000001</v>
      </c>
      <c r="S7030">
        <v>-8.8424680000000005E-2</v>
      </c>
      <c r="T7030">
        <v>-0.39055289999999998</v>
      </c>
      <c r="U7030">
        <v>2.9908450000000002</v>
      </c>
      <c r="V7030">
        <v>1.6134909999999999E-2</v>
      </c>
      <c r="W7030">
        <v>-0.14670849999999999</v>
      </c>
      <c r="X7030">
        <v>0.98904820000000004</v>
      </c>
      <c r="Y7030">
        <v>-8.9307830000000005E-2</v>
      </c>
      <c r="Z7030">
        <v>-0.12571280000000001</v>
      </c>
      <c r="AA7030">
        <v>0.98803869999999905</v>
      </c>
      <c r="AB7030">
        <v>23</v>
      </c>
      <c r="AC7030">
        <v>-0.26750000000001201</v>
      </c>
      <c r="AD7030">
        <v>-1.1191379505440999</v>
      </c>
      <c r="AE7030">
        <v>8.3339599999999905</v>
      </c>
      <c r="AF7030">
        <v>-0.75421740499631895</v>
      </c>
      <c r="AG7030">
        <v>-1.1191379505440999</v>
      </c>
      <c r="AH7030">
        <v>8.1559033379563992</v>
      </c>
      <c r="AI7030">
        <v>97.780438889270002</v>
      </c>
      <c r="AJ7030">
        <v>95.2834025450355</v>
      </c>
      <c r="AK7030">
        <v>8.2668054836457703</v>
      </c>
      <c r="AL7030">
        <v>98.436226922094903</v>
      </c>
      <c r="AM7030">
        <v>89.0653840237011</v>
      </c>
      <c r="AN7030">
        <v>1.0000000306080901</v>
      </c>
    </row>
    <row r="7031" spans="1:40" x14ac:dyDescent="0.25">
      <c r="A7031" t="str">
        <f>"20190303154658510"</f>
        <v>20190303154658510</v>
      </c>
      <c r="B7031" t="str">
        <f>"1551599218498803"</f>
        <v>1551599218498803</v>
      </c>
      <c r="C7031" t="s">
        <v>40</v>
      </c>
      <c r="D7031">
        <v>5.85426</v>
      </c>
      <c r="E7031">
        <v>0.4607465</v>
      </c>
      <c r="F7031" t="s">
        <v>41</v>
      </c>
      <c r="G7031">
        <v>-189.5686</v>
      </c>
      <c r="H7031" s="1">
        <v>-1.050856E-6</v>
      </c>
      <c r="I7031">
        <v>-38.09601</v>
      </c>
      <c r="J7031">
        <v>-189.30549999999999</v>
      </c>
      <c r="K7031">
        <v>1.11901299999999</v>
      </c>
      <c r="L7031">
        <v>-46.429630000000003</v>
      </c>
      <c r="M7031">
        <v>6.0275290000000002E-2</v>
      </c>
      <c r="N7031">
        <v>-3.1852849999999999E-3</v>
      </c>
      <c r="O7031">
        <v>0.99817670000000003</v>
      </c>
      <c r="P7031">
        <v>7.5076740000000003E-2</v>
      </c>
      <c r="Q7031">
        <v>-0.1495879</v>
      </c>
      <c r="R7031">
        <v>0.98589400000000005</v>
      </c>
      <c r="S7031">
        <v>-8.7112430000000005E-2</v>
      </c>
      <c r="T7031">
        <v>-0.39095629999999998</v>
      </c>
      <c r="U7031">
        <v>2.9904169999999999</v>
      </c>
      <c r="V7031">
        <v>1.539013E-2</v>
      </c>
      <c r="W7031">
        <v>-0.14645129999999901</v>
      </c>
      <c r="X7031">
        <v>0.98909809999999998</v>
      </c>
      <c r="Y7031">
        <v>-8.9063390000000006E-2</v>
      </c>
      <c r="Z7031">
        <v>-0.1258338</v>
      </c>
      <c r="AA7031">
        <v>0.98804530000000002</v>
      </c>
      <c r="AB7031">
        <v>23</v>
      </c>
      <c r="AC7031">
        <v>-0.26310000000000799</v>
      </c>
      <c r="AD7031">
        <v>-1.11901405085599</v>
      </c>
      <c r="AE7031">
        <v>8.3336199999999891</v>
      </c>
      <c r="AF7031">
        <v>-0.75140102106355</v>
      </c>
      <c r="AG7031">
        <v>-1.11901405085599</v>
      </c>
      <c r="AH7031">
        <v>8.15570543590567</v>
      </c>
      <c r="AI7031">
        <v>97.780015828249603</v>
      </c>
      <c r="AJ7031">
        <v>95.263911407202698</v>
      </c>
      <c r="AK7031">
        <v>8.2663369818638497</v>
      </c>
      <c r="AL7031">
        <v>98.421330261701797</v>
      </c>
      <c r="AM7031">
        <v>89.108563303002995</v>
      </c>
      <c r="AN7031">
        <v>0.99999994539835702</v>
      </c>
    </row>
    <row r="7032" spans="1:40" x14ac:dyDescent="0.25">
      <c r="A7032" t="str">
        <f>"20190303154658533"</f>
        <v>20190303154658533</v>
      </c>
      <c r="B7032" t="str">
        <f>"1551599218529058"</f>
        <v>1551599218529058</v>
      </c>
      <c r="C7032" t="s">
        <v>40</v>
      </c>
      <c r="D7032">
        <v>5.828837</v>
      </c>
      <c r="E7032">
        <v>0.46866289999999999</v>
      </c>
      <c r="F7032" t="s">
        <v>41</v>
      </c>
      <c r="G7032">
        <v>-189.55520000000001</v>
      </c>
      <c r="H7032" s="1">
        <v>-1.1403539999999999E-6</v>
      </c>
      <c r="I7032">
        <v>-37.89293</v>
      </c>
      <c r="J7032">
        <v>-189.2902</v>
      </c>
      <c r="K7032">
        <v>1.1189150000000001</v>
      </c>
      <c r="L7032">
        <v>-46.181789999999999</v>
      </c>
      <c r="M7032">
        <v>6.0692410000000002E-2</v>
      </c>
      <c r="N7032">
        <v>-3.220012E-3</v>
      </c>
      <c r="O7032">
        <v>0.99815129999999996</v>
      </c>
      <c r="P7032">
        <v>7.4299229999999994E-2</v>
      </c>
      <c r="Q7032">
        <v>-0.14939569999999999</v>
      </c>
      <c r="R7032">
        <v>0.98598200000000003</v>
      </c>
      <c r="S7032">
        <v>-8.7463379999999993E-2</v>
      </c>
      <c r="T7032">
        <v>-0.39195239999999998</v>
      </c>
      <c r="U7032">
        <v>2.9901119999999999</v>
      </c>
      <c r="V7032">
        <v>1.4157950000000001E-2</v>
      </c>
      <c r="W7032">
        <v>-0.1462273</v>
      </c>
      <c r="X7032">
        <v>0.98914970000000002</v>
      </c>
      <c r="Y7032">
        <v>-8.9596930000000005E-2</v>
      </c>
      <c r="Z7032">
        <v>-0.1261273</v>
      </c>
      <c r="AA7032">
        <v>0.9879597</v>
      </c>
      <c r="AB7032">
        <v>23</v>
      </c>
      <c r="AC7032">
        <v>-0.265000000000014</v>
      </c>
      <c r="AD7032">
        <v>-1.11891614035399</v>
      </c>
      <c r="AE7032">
        <v>8.2888599999999997</v>
      </c>
      <c r="AF7032">
        <v>-0.75386183887920399</v>
      </c>
      <c r="AG7032">
        <v>-1.11891614035399</v>
      </c>
      <c r="AH7032">
        <v>8.1098656088003906</v>
      </c>
      <c r="AI7032">
        <v>97.822187843764993</v>
      </c>
      <c r="AJ7032">
        <v>95.310733435877907</v>
      </c>
      <c r="AK7032">
        <v>8.2213259997439803</v>
      </c>
      <c r="AL7032">
        <v>98.408355873281096</v>
      </c>
      <c r="AM7032">
        <v>89.179967003619694</v>
      </c>
      <c r="AN7032">
        <v>0.999999999911791</v>
      </c>
    </row>
    <row r="7033" spans="1:40" x14ac:dyDescent="0.25">
      <c r="A7033" t="str">
        <f>"20190303154658556"</f>
        <v>20190303154658556</v>
      </c>
      <c r="B7033" t="str">
        <f>"1551599218548578"</f>
        <v>1551599218548578</v>
      </c>
      <c r="C7033" t="s">
        <v>40</v>
      </c>
      <c r="D7033">
        <v>5.7781560000000001</v>
      </c>
      <c r="E7033">
        <v>0.47012609999999999</v>
      </c>
      <c r="F7033" t="s">
        <v>42</v>
      </c>
      <c r="G7033">
        <v>-189.297</v>
      </c>
      <c r="H7033">
        <v>1.0000869999999999</v>
      </c>
      <c r="I7033">
        <v>-45.395780000000002</v>
      </c>
      <c r="J7033">
        <v>-189.27539999999999</v>
      </c>
      <c r="K7033">
        <v>1.1188340000000001</v>
      </c>
      <c r="L7033">
        <v>-45.948</v>
      </c>
      <c r="M7033">
        <v>6.1272779999999999E-2</v>
      </c>
      <c r="N7033">
        <v>-3.2582539999999999E-3</v>
      </c>
      <c r="O7033">
        <v>0.99811570000000005</v>
      </c>
      <c r="P7033">
        <v>7.364743E-2</v>
      </c>
      <c r="Q7033">
        <v>-0.14857960000000001</v>
      </c>
      <c r="R7033">
        <v>0.98615419999999998</v>
      </c>
      <c r="S7033">
        <v>-2.632141E-2</v>
      </c>
      <c r="T7033">
        <v>-0.44992280000000001</v>
      </c>
      <c r="U7033">
        <v>2.9764710000000001</v>
      </c>
      <c r="V7033">
        <v>1.28918E-2</v>
      </c>
      <c r="W7033">
        <v>-0.14537420000000001</v>
      </c>
      <c r="X7033">
        <v>0.98929270000000002</v>
      </c>
      <c r="Y7033">
        <v>-6.9984050000000006E-2</v>
      </c>
      <c r="Z7033">
        <v>-0.1456326</v>
      </c>
      <c r="AA7033">
        <v>0.98686030000000002</v>
      </c>
      <c r="AB7033">
        <v>23</v>
      </c>
      <c r="AC7033">
        <v>-2.1600000000006499E-2</v>
      </c>
      <c r="AD7033">
        <v>-0.11874699999999901</v>
      </c>
      <c r="AE7033">
        <v>0.55221999999999805</v>
      </c>
      <c r="AF7033">
        <v>-5.2950921626354203E-2</v>
      </c>
      <c r="AG7033">
        <v>-0.11874699999999901</v>
      </c>
      <c r="AH7033">
        <v>0.52559245303424695</v>
      </c>
      <c r="AI7033">
        <v>102.669034837612</v>
      </c>
      <c r="AJ7033">
        <v>95.7528646060439</v>
      </c>
      <c r="AK7033">
        <v>0.54143520092125297</v>
      </c>
      <c r="AL7033">
        <v>98.358949286159401</v>
      </c>
      <c r="AM7033">
        <v>89.253402028131603</v>
      </c>
      <c r="AN7033">
        <v>0.99999995140308295</v>
      </c>
    </row>
    <row r="7034" spans="1:40" x14ac:dyDescent="0.25">
      <c r="A7034" t="str">
        <f>"20190303154658604"</f>
        <v>20190303154658604</v>
      </c>
      <c r="B7034" t="str">
        <f>"1551599218598354"</f>
        <v>1551599218598354</v>
      </c>
      <c r="C7034" t="s">
        <v>40</v>
      </c>
      <c r="D7034">
        <v>5.729895</v>
      </c>
      <c r="E7034">
        <v>0.48592839999999998</v>
      </c>
      <c r="F7034" t="s">
        <v>42</v>
      </c>
      <c r="G7034">
        <v>-189.27959999999999</v>
      </c>
      <c r="H7034">
        <v>1.008643</v>
      </c>
      <c r="I7034">
        <v>-45.181420000000003</v>
      </c>
      <c r="J7034">
        <v>-189.2432</v>
      </c>
      <c r="K7034">
        <v>1.1186849999999999</v>
      </c>
      <c r="L7034">
        <v>-45.454500000000003</v>
      </c>
      <c r="M7034">
        <v>6.3011629999999999E-2</v>
      </c>
      <c r="N7034">
        <v>-3.3515799999999998E-3</v>
      </c>
      <c r="O7034">
        <v>0.99800719999999998</v>
      </c>
      <c r="P7034">
        <v>7.0612209999999995E-2</v>
      </c>
      <c r="Q7034">
        <v>-0.14589959999999999</v>
      </c>
      <c r="R7034">
        <v>0.98677619999999999</v>
      </c>
      <c r="S7034">
        <v>-1.6769409999999998E-2</v>
      </c>
      <c r="T7034">
        <v>-0.42811270000000001</v>
      </c>
      <c r="U7034">
        <v>2.978882</v>
      </c>
      <c r="V7034">
        <v>8.0450439999999995E-3</v>
      </c>
      <c r="W7034">
        <v>-0.14259740000000001</v>
      </c>
      <c r="X7034">
        <v>0.98974810000000002</v>
      </c>
      <c r="Y7034">
        <v>-6.8557290000000007E-2</v>
      </c>
      <c r="Z7034">
        <v>-0.1383443</v>
      </c>
      <c r="AA7034">
        <v>0.98800849999999996</v>
      </c>
      <c r="AB7034">
        <v>23</v>
      </c>
      <c r="AC7034">
        <v>-3.63999999999862E-2</v>
      </c>
      <c r="AD7034">
        <v>-0.110041999999999</v>
      </c>
      <c r="AE7034">
        <v>0.27307999999999999</v>
      </c>
      <c r="AF7034">
        <v>-4.6168871834305403E-2</v>
      </c>
      <c r="AG7034">
        <v>-0.110041999999999</v>
      </c>
      <c r="AH7034">
        <v>0.23305971325460401</v>
      </c>
      <c r="AI7034">
        <v>114.851767285083</v>
      </c>
      <c r="AJ7034">
        <v>101.205158467215</v>
      </c>
      <c r="AK7034">
        <v>0.26183513215909499</v>
      </c>
      <c r="AL7034">
        <v>98.1981744172476</v>
      </c>
      <c r="AM7034">
        <v>89.534288657958399</v>
      </c>
      <c r="AN7034">
        <v>1.00000002133666</v>
      </c>
    </row>
    <row r="7035" spans="1:40" x14ac:dyDescent="0.25">
      <c r="A7035" t="str">
        <f>"20190303154658623"</f>
        <v>20190303154658623</v>
      </c>
      <c r="B7035" t="str">
        <f>"1551599218618850"</f>
        <v>1551599218618850</v>
      </c>
      <c r="C7035" t="s">
        <v>40</v>
      </c>
      <c r="D7035">
        <v>5.7632729999999999</v>
      </c>
      <c r="E7035">
        <v>0.48598659999999999</v>
      </c>
      <c r="F7035" t="s">
        <v>42</v>
      </c>
      <c r="G7035">
        <v>-189.2131</v>
      </c>
      <c r="H7035">
        <v>1.0298670000000001</v>
      </c>
      <c r="I7035">
        <v>-44.53622</v>
      </c>
      <c r="J7035">
        <v>-189.22890000000001</v>
      </c>
      <c r="K7035">
        <v>1.118636</v>
      </c>
      <c r="L7035">
        <v>-45.242919999999998</v>
      </c>
      <c r="M7035">
        <v>6.3914429999999994E-2</v>
      </c>
      <c r="N7035">
        <v>-3.393302E-3</v>
      </c>
      <c r="O7035">
        <v>0.99794959999999999</v>
      </c>
      <c r="P7035">
        <v>6.9609470000000007E-2</v>
      </c>
      <c r="Q7035">
        <v>-0.14467759999999999</v>
      </c>
      <c r="R7035">
        <v>0.98702730000000005</v>
      </c>
      <c r="S7035">
        <v>9.7717289999999998E-2</v>
      </c>
      <c r="T7035">
        <v>-0.28921619999999998</v>
      </c>
      <c r="U7035">
        <v>2.9904480000000002</v>
      </c>
      <c r="V7035">
        <v>6.1155999999999997E-3</v>
      </c>
      <c r="W7035">
        <v>-0.14133099999999901</v>
      </c>
      <c r="X7035">
        <v>0.98994349999999998</v>
      </c>
      <c r="Y7035">
        <v>-3.1423510000000002E-2</v>
      </c>
      <c r="Z7035">
        <v>-9.2545989999999995E-2</v>
      </c>
      <c r="AA7035">
        <v>0.9952124</v>
      </c>
      <c r="AB7035">
        <v>24</v>
      </c>
      <c r="AC7035">
        <v>1.5800000000012901E-2</v>
      </c>
      <c r="AD7035">
        <v>-8.8768999999999806E-2</v>
      </c>
      <c r="AE7035">
        <v>0.706699999999997</v>
      </c>
      <c r="AF7035">
        <v>-2.8944435971051199E-2</v>
      </c>
      <c r="AG7035">
        <v>-8.8768999999999806E-2</v>
      </c>
      <c r="AH7035">
        <v>0.69529993143021795</v>
      </c>
      <c r="AI7035">
        <v>97.269368837769704</v>
      </c>
      <c r="AJ7035">
        <v>92.383772772913005</v>
      </c>
      <c r="AK7035">
        <v>0.70154095417270401</v>
      </c>
      <c r="AL7035">
        <v>98.124872857207293</v>
      </c>
      <c r="AM7035">
        <v>89.646046858506196</v>
      </c>
      <c r="AN7035">
        <v>0.99999999265830497</v>
      </c>
    </row>
    <row r="7036" spans="1:40" x14ac:dyDescent="0.25">
      <c r="A7036" t="str">
        <f>"20190303154658643"</f>
        <v>20190303154658643</v>
      </c>
      <c r="B7036" t="str">
        <f>"1551599218638371"</f>
        <v>1551599218638371</v>
      </c>
      <c r="C7036" t="s">
        <v>40</v>
      </c>
      <c r="D7036">
        <v>5.7124119999999996</v>
      </c>
      <c r="E7036">
        <v>0.48523500000000003</v>
      </c>
      <c r="F7036" t="s">
        <v>42</v>
      </c>
      <c r="G7036">
        <v>-189.19919999999999</v>
      </c>
      <c r="H7036">
        <v>1.0307820000000001</v>
      </c>
      <c r="I7036">
        <v>-44.316560000000003</v>
      </c>
      <c r="J7036">
        <v>-189.21379999999999</v>
      </c>
      <c r="K7036">
        <v>1.118603</v>
      </c>
      <c r="L7036">
        <v>-45.024349999999998</v>
      </c>
      <c r="M7036">
        <v>6.4902260000000003E-2</v>
      </c>
      <c r="N7036">
        <v>-3.4359909999999998E-3</v>
      </c>
      <c r="O7036">
        <v>0.99788569999999999</v>
      </c>
      <c r="P7036">
        <v>6.850763E-2</v>
      </c>
      <c r="Q7036">
        <v>-0.1436521</v>
      </c>
      <c r="R7036">
        <v>0.98725410000000002</v>
      </c>
      <c r="S7036">
        <v>9.5092769999999993E-2</v>
      </c>
      <c r="T7036">
        <v>-0.28353519999999999</v>
      </c>
      <c r="U7036">
        <v>2.9911500000000002</v>
      </c>
      <c r="V7036">
        <v>4.010011E-3</v>
      </c>
      <c r="W7036">
        <v>-0.1402591</v>
      </c>
      <c r="X7036">
        <v>0.99010670000000001</v>
      </c>
      <c r="Y7036">
        <v>-3.328685E-2</v>
      </c>
      <c r="Z7036">
        <v>-9.0603290000000003E-2</v>
      </c>
      <c r="AA7036">
        <v>0.99533059999999995</v>
      </c>
      <c r="AB7036">
        <v>24</v>
      </c>
      <c r="AC7036">
        <v>1.4600000000001501E-2</v>
      </c>
      <c r="AD7036">
        <v>-8.7821000000000093E-2</v>
      </c>
      <c r="AE7036">
        <v>0.70779000000000203</v>
      </c>
      <c r="AF7036">
        <v>-3.0892823142604098E-2</v>
      </c>
      <c r="AG7036">
        <v>-8.7821000000000093E-2</v>
      </c>
      <c r="AH7036">
        <v>0.69652660545348999</v>
      </c>
      <c r="AI7036">
        <v>97.179188479775405</v>
      </c>
      <c r="AJ7036">
        <v>92.539557131329801</v>
      </c>
      <c r="AK7036">
        <v>0.70272057509886598</v>
      </c>
      <c r="AL7036">
        <v>98.062839630552205</v>
      </c>
      <c r="AM7036">
        <v>89.767948797973801</v>
      </c>
      <c r="AN7036">
        <v>0.99999998635295995</v>
      </c>
    </row>
    <row r="7037" spans="1:40" x14ac:dyDescent="0.25">
      <c r="A7037" t="str">
        <f>"20190303154658666"</f>
        <v>20190303154658666</v>
      </c>
      <c r="B7037" t="str">
        <f>"1551599218658867"</f>
        <v>1551599218658867</v>
      </c>
      <c r="C7037" t="s">
        <v>40</v>
      </c>
      <c r="D7037">
        <v>5.7068989999999999</v>
      </c>
      <c r="E7037">
        <v>0.48456300000000002</v>
      </c>
      <c r="F7037" t="s">
        <v>41</v>
      </c>
      <c r="G7037">
        <v>-188.8665</v>
      </c>
      <c r="H7037" s="1">
        <v>-3.3801780000000001E-6</v>
      </c>
      <c r="I7037">
        <v>-32.956609999999998</v>
      </c>
      <c r="J7037">
        <v>-189.19630000000001</v>
      </c>
      <c r="K7037">
        <v>1.1185799999999999</v>
      </c>
      <c r="L7037">
        <v>-44.775880000000001</v>
      </c>
      <c r="M7037">
        <v>6.6079470000000001E-2</v>
      </c>
      <c r="N7037">
        <v>-3.4837010000000001E-3</v>
      </c>
      <c r="O7037">
        <v>0.99780829999999998</v>
      </c>
      <c r="P7037">
        <v>6.7417649999999996E-2</v>
      </c>
      <c r="Q7037">
        <v>-0.14273839999999999</v>
      </c>
      <c r="R7037">
        <v>0.9874617</v>
      </c>
      <c r="S7037">
        <v>8.6105349999999997E-2</v>
      </c>
      <c r="T7037">
        <v>-0.2773775</v>
      </c>
      <c r="U7037">
        <v>2.9924010000000001</v>
      </c>
      <c r="V7037">
        <v>1.73416E-3</v>
      </c>
      <c r="W7037">
        <v>-0.13929339999999901</v>
      </c>
      <c r="X7037">
        <v>0.99024959999999995</v>
      </c>
      <c r="Y7037">
        <v>-3.7459350000000002E-2</v>
      </c>
      <c r="Z7037">
        <v>-8.8479009999999997E-2</v>
      </c>
      <c r="AA7037">
        <v>0.99537339999999996</v>
      </c>
      <c r="AB7037">
        <v>24</v>
      </c>
      <c r="AC7037">
        <v>0.32980000000000498</v>
      </c>
      <c r="AD7037">
        <v>-1.1185833801780001</v>
      </c>
      <c r="AE7037">
        <v>11.819269999999999</v>
      </c>
      <c r="AF7037">
        <v>-0.44792775290033299</v>
      </c>
      <c r="AG7037">
        <v>-1.1185833801780001</v>
      </c>
      <c r="AH7037">
        <v>11.710423269152701</v>
      </c>
      <c r="AI7037">
        <v>95.452393394802201</v>
      </c>
      <c r="AJ7037">
        <v>92.190515554827499</v>
      </c>
      <c r="AK7037">
        <v>11.7722504727407</v>
      </c>
      <c r="AL7037">
        <v>98.006960711034296</v>
      </c>
      <c r="AM7037">
        <v>89.899661714150298</v>
      </c>
      <c r="AN7037">
        <v>0.99999996444731198</v>
      </c>
    </row>
    <row r="7038" spans="1:40" x14ac:dyDescent="0.25">
      <c r="A7038" t="str">
        <f>"20190303154658690"</f>
        <v>20190303154658690</v>
      </c>
      <c r="B7038" t="str">
        <f>"1551599218678387"</f>
        <v>1551599218678387</v>
      </c>
      <c r="C7038" t="s">
        <v>40</v>
      </c>
      <c r="D7038">
        <v>5.6089710000000004</v>
      </c>
      <c r="E7038">
        <v>0.48539110000000002</v>
      </c>
      <c r="F7038" t="s">
        <v>41</v>
      </c>
      <c r="G7038">
        <v>-188.88570000000001</v>
      </c>
      <c r="H7038" s="1">
        <v>-3.4725030000000001E-6</v>
      </c>
      <c r="I7038">
        <v>-32.733469999999997</v>
      </c>
      <c r="J7038">
        <v>-189.17830000000001</v>
      </c>
      <c r="K7038">
        <v>1.1185670000000001</v>
      </c>
      <c r="L7038">
        <v>-44.524230000000003</v>
      </c>
      <c r="M7038">
        <v>6.7306110000000002E-2</v>
      </c>
      <c r="N7038">
        <v>-3.5310110000000001E-3</v>
      </c>
      <c r="O7038">
        <v>0.99772609999999995</v>
      </c>
      <c r="P7038">
        <v>6.6609970000000004E-2</v>
      </c>
      <c r="Q7038">
        <v>-0.14224479999999901</v>
      </c>
      <c r="R7038">
        <v>0.98758769999999996</v>
      </c>
      <c r="S7038">
        <v>7.7194209999999999E-2</v>
      </c>
      <c r="T7038">
        <v>-0.2779779</v>
      </c>
      <c r="U7038">
        <v>2.992645</v>
      </c>
      <c r="V7038">
        <v>-2.9968969999999998E-4</v>
      </c>
      <c r="W7038">
        <v>-0.1387485</v>
      </c>
      <c r="X7038">
        <v>0.99032759999999997</v>
      </c>
      <c r="Y7038">
        <v>-4.1651029999999999E-2</v>
      </c>
      <c r="Z7038">
        <v>-8.8606279999999996E-2</v>
      </c>
      <c r="AA7038">
        <v>0.99519550000000001</v>
      </c>
      <c r="AB7038">
        <v>24</v>
      </c>
      <c r="AC7038">
        <v>0.29259999999999298</v>
      </c>
      <c r="AD7038">
        <v>-1.1185704725029999</v>
      </c>
      <c r="AE7038">
        <v>11.790759999999899</v>
      </c>
      <c r="AF7038">
        <v>-0.49718673951551001</v>
      </c>
      <c r="AG7038">
        <v>-1.1185704725029999</v>
      </c>
      <c r="AH7038">
        <v>11.678672995857999</v>
      </c>
      <c r="AI7038">
        <v>95.4661167591142</v>
      </c>
      <c r="AJ7038">
        <v>92.437735076289798</v>
      </c>
      <c r="AK7038">
        <v>11.7426486577811</v>
      </c>
      <c r="AL7038">
        <v>97.975433847342799</v>
      </c>
      <c r="AM7038">
        <v>90.017338660913197</v>
      </c>
      <c r="AN7038">
        <v>0.99999999569396303</v>
      </c>
    </row>
    <row r="7039" spans="1:40" x14ac:dyDescent="0.25">
      <c r="A7039" t="str">
        <f>"20190303154658713"</f>
        <v>20190303154658713</v>
      </c>
      <c r="B7039" t="str">
        <f>"1551599218708643"</f>
        <v>1551599218708643</v>
      </c>
      <c r="C7039" t="s">
        <v>40</v>
      </c>
      <c r="D7039">
        <v>5.547326</v>
      </c>
      <c r="E7039">
        <v>0.48676649999999999</v>
      </c>
      <c r="F7039" t="s">
        <v>41</v>
      </c>
      <c r="G7039">
        <v>-188.83529999999999</v>
      </c>
      <c r="H7039" s="1">
        <v>-3.8624740000000004E-6</v>
      </c>
      <c r="I7039">
        <v>-31.84526</v>
      </c>
      <c r="J7039">
        <v>-189.15960000000001</v>
      </c>
      <c r="K7039">
        <v>1.1185750000000001</v>
      </c>
      <c r="L7039">
        <v>-44.267940000000003</v>
      </c>
      <c r="M7039">
        <v>6.8564910000000007E-2</v>
      </c>
      <c r="N7039">
        <v>-3.578215E-3</v>
      </c>
      <c r="O7039">
        <v>0.99764030000000004</v>
      </c>
      <c r="P7039">
        <v>6.5259890000000001E-2</v>
      </c>
      <c r="Q7039">
        <v>-0.14157149999999999</v>
      </c>
      <c r="R7039">
        <v>0.98777459999999995</v>
      </c>
      <c r="S7039">
        <v>8.099365E-2</v>
      </c>
      <c r="T7039">
        <v>-0.264156</v>
      </c>
      <c r="U7039">
        <v>2.994202</v>
      </c>
      <c r="V7039">
        <v>-2.905721E-3</v>
      </c>
      <c r="W7039">
        <v>-0.138022799999999</v>
      </c>
      <c r="X7039">
        <v>0.99042479999999999</v>
      </c>
      <c r="Y7039">
        <v>-4.1652410000000001E-2</v>
      </c>
      <c r="Z7039">
        <v>-8.3955940000000007E-2</v>
      </c>
      <c r="AA7039">
        <v>0.9955986</v>
      </c>
      <c r="AB7039">
        <v>24</v>
      </c>
      <c r="AC7039">
        <v>0.32430000000002202</v>
      </c>
      <c r="AD7039">
        <v>-1.1185788624740001</v>
      </c>
      <c r="AE7039">
        <v>12.42268</v>
      </c>
      <c r="AF7039">
        <v>-0.52398308434018004</v>
      </c>
      <c r="AG7039">
        <v>-1.1185788624740001</v>
      </c>
      <c r="AH7039">
        <v>12.315893842323799</v>
      </c>
      <c r="AI7039">
        <v>95.184929137530204</v>
      </c>
      <c r="AJ7039">
        <v>92.4361954569723</v>
      </c>
      <c r="AK7039">
        <v>12.3776822579851</v>
      </c>
      <c r="AL7039">
        <v>97.933450233178405</v>
      </c>
      <c r="AM7039">
        <v>90.168094611608694</v>
      </c>
      <c r="AN7039">
        <v>1.0000000104947</v>
      </c>
    </row>
    <row r="7040" spans="1:40" x14ac:dyDescent="0.25">
      <c r="A7040" t="str">
        <f>"20190303154658734"</f>
        <v>20190303154658734</v>
      </c>
      <c r="B7040" t="str">
        <f>"1551599218729139"</f>
        <v>1551599218729139</v>
      </c>
      <c r="C7040" t="s">
        <v>40</v>
      </c>
      <c r="D7040">
        <v>5.5391750000000002</v>
      </c>
      <c r="E7040">
        <v>0.48718909999999999</v>
      </c>
      <c r="F7040" t="s">
        <v>41</v>
      </c>
      <c r="G7040">
        <v>-188.767</v>
      </c>
      <c r="H7040" s="1">
        <v>-4.3113950000000004E-6</v>
      </c>
      <c r="I7040">
        <v>-30.82705</v>
      </c>
      <c r="J7040">
        <v>-189.14250000000001</v>
      </c>
      <c r="K7040">
        <v>1.1185929999999999</v>
      </c>
      <c r="L7040">
        <v>-44.036929999999998</v>
      </c>
      <c r="M7040">
        <v>6.9681119999999999E-2</v>
      </c>
      <c r="N7040">
        <v>-3.6198350000000001E-3</v>
      </c>
      <c r="O7040">
        <v>0.99756279999999997</v>
      </c>
      <c r="P7040">
        <v>6.4553540000000006E-2</v>
      </c>
      <c r="Q7040">
        <v>-0.14058999999999999</v>
      </c>
      <c r="R7040">
        <v>0.98796119999999998</v>
      </c>
      <c r="S7040">
        <v>8.7493899999999999E-2</v>
      </c>
      <c r="T7040">
        <v>-0.24930069999999999</v>
      </c>
      <c r="U7040">
        <v>2.9956049999999999</v>
      </c>
      <c r="V7040">
        <v>-4.723695E-3</v>
      </c>
      <c r="W7040">
        <v>-0.13699600000000001</v>
      </c>
      <c r="X7040">
        <v>0.99056040000000001</v>
      </c>
      <c r="Y7040">
        <v>-4.0612820000000001E-2</v>
      </c>
      <c r="Z7040">
        <v>-7.8977699999999998E-2</v>
      </c>
      <c r="AA7040">
        <v>0.99604870000000001</v>
      </c>
      <c r="AB7040">
        <v>24</v>
      </c>
      <c r="AC7040">
        <v>0.37550000000001599</v>
      </c>
      <c r="AD7040">
        <v>-1.1185973113949901</v>
      </c>
      <c r="AE7040">
        <v>13.209879999999901</v>
      </c>
      <c r="AF7040">
        <v>-0.54201457002105802</v>
      </c>
      <c r="AG7040">
        <v>-1.1185973113949901</v>
      </c>
      <c r="AH7040">
        <v>13.1100064952668</v>
      </c>
      <c r="AI7040">
        <v>94.872746629502103</v>
      </c>
      <c r="AJ7040">
        <v>92.367464221603399</v>
      </c>
      <c r="AK7040">
        <v>13.1688006304718</v>
      </c>
      <c r="AL7040">
        <v>97.874054288843496</v>
      </c>
      <c r="AM7040">
        <v>90.273224869146105</v>
      </c>
      <c r="AN7040">
        <v>1.0000000616792999</v>
      </c>
    </row>
    <row r="7041" spans="1:40" x14ac:dyDescent="0.25">
      <c r="A7041" t="str">
        <f>"20190303154658756"</f>
        <v>20190303154658756</v>
      </c>
      <c r="B7041" t="str">
        <f>"1551599218748659"</f>
        <v>1551599218748659</v>
      </c>
      <c r="C7041" t="s">
        <v>40</v>
      </c>
      <c r="D7041">
        <v>5.5417249999999996</v>
      </c>
      <c r="E7041">
        <v>0.4878189</v>
      </c>
      <c r="F7041" t="s">
        <v>41</v>
      </c>
      <c r="G7041">
        <v>-188.73519999999999</v>
      </c>
      <c r="H7041" s="1">
        <v>-3.7308720000000002E-7</v>
      </c>
      <c r="I7041">
        <v>-30.244540000000001</v>
      </c>
      <c r="J7041">
        <v>-189.12430000000001</v>
      </c>
      <c r="K7041">
        <v>1.1186309999999999</v>
      </c>
      <c r="L7041">
        <v>-43.793210000000002</v>
      </c>
      <c r="M7041">
        <v>7.0808700000000002E-2</v>
      </c>
      <c r="N7041">
        <v>-3.6626269999999999E-3</v>
      </c>
      <c r="O7041">
        <v>0.99748320000000001</v>
      </c>
      <c r="P7041">
        <v>6.3536709999999996E-2</v>
      </c>
      <c r="Q7041">
        <v>-0.13854369999999999</v>
      </c>
      <c r="R7041">
        <v>0.98831610000000003</v>
      </c>
      <c r="S7041">
        <v>8.8500980000000007E-2</v>
      </c>
      <c r="T7041">
        <v>-0.2429974</v>
      </c>
      <c r="U7041">
        <v>2.9961850000000001</v>
      </c>
      <c r="V7041">
        <v>-6.8677180000000001E-3</v>
      </c>
      <c r="W7041">
        <v>-0.13490250000000001</v>
      </c>
      <c r="X7041">
        <v>0.99083509999999997</v>
      </c>
      <c r="Y7041">
        <v>-4.1408399999999998E-2</v>
      </c>
      <c r="Z7041">
        <v>-7.6833589999999993E-2</v>
      </c>
      <c r="AA7041">
        <v>0.99618370000000001</v>
      </c>
      <c r="AB7041">
        <v>25</v>
      </c>
      <c r="AC7041">
        <v>0.38910000000001299</v>
      </c>
      <c r="AD7041">
        <v>-1.1186313730872</v>
      </c>
      <c r="AE7041">
        <v>13.5486699999999</v>
      </c>
      <c r="AF7041">
        <v>-0.56738227674524599</v>
      </c>
      <c r="AG7041">
        <v>-1.1186313730872</v>
      </c>
      <c r="AH7041">
        <v>13.450598560203</v>
      </c>
      <c r="AI7041">
        <v>94.749910790432494</v>
      </c>
      <c r="AJ7041">
        <v>92.415457463572196</v>
      </c>
      <c r="AK7041">
        <v>13.5089548235441</v>
      </c>
      <c r="AL7041">
        <v>97.752981798539807</v>
      </c>
      <c r="AM7041">
        <v>90.3971245619813</v>
      </c>
      <c r="AN7041">
        <v>1.0000000227243899</v>
      </c>
    </row>
    <row r="7042" spans="1:40" x14ac:dyDescent="0.25">
      <c r="A7042" t="str">
        <f>"20190303154658779"</f>
        <v>20190303154658779</v>
      </c>
      <c r="B7042" t="str">
        <f>"1551599218769155"</f>
        <v>1551599218769155</v>
      </c>
      <c r="C7042" t="s">
        <v>40</v>
      </c>
      <c r="D7042">
        <v>5.503107</v>
      </c>
      <c r="E7042">
        <v>0.48860419999999999</v>
      </c>
      <c r="F7042" t="s">
        <v>41</v>
      </c>
      <c r="G7042">
        <v>-188.69200000000001</v>
      </c>
      <c r="H7042" s="1">
        <v>-6.7115700000000001E-7</v>
      </c>
      <c r="I7042">
        <v>-29.4024</v>
      </c>
      <c r="J7042">
        <v>-189.10470000000001</v>
      </c>
      <c r="K7042">
        <v>1.1187049999999901</v>
      </c>
      <c r="L7042">
        <v>-43.535429999999998</v>
      </c>
      <c r="M7042">
        <v>7.1913399999999905E-2</v>
      </c>
      <c r="N7042">
        <v>-3.7067710000000002E-3</v>
      </c>
      <c r="O7042">
        <v>0.99740399999999996</v>
      </c>
      <c r="P7042">
        <v>6.2777920000000001E-2</v>
      </c>
      <c r="Q7042">
        <v>-0.13612679999999999</v>
      </c>
      <c r="R7042">
        <v>0.98870040000000003</v>
      </c>
      <c r="S7042">
        <v>9.002686E-2</v>
      </c>
      <c r="T7042">
        <v>-0.23296449999999999</v>
      </c>
      <c r="U7042">
        <v>2.9970089999999998</v>
      </c>
      <c r="V7042">
        <v>-8.7269540000000003E-3</v>
      </c>
      <c r="W7042">
        <v>-0.1324381</v>
      </c>
      <c r="X7042">
        <v>0.9911529</v>
      </c>
      <c r="Y7042">
        <v>-4.2008759999999999E-2</v>
      </c>
      <c r="Z7042">
        <v>-7.3454420000000006E-2</v>
      </c>
      <c r="AA7042">
        <v>0.9964134</v>
      </c>
      <c r="AB7042">
        <v>25</v>
      </c>
      <c r="AC7042">
        <v>0.41270000000000001</v>
      </c>
      <c r="AD7042">
        <v>-1.11870567115699</v>
      </c>
      <c r="AE7042">
        <v>14.1330299999999</v>
      </c>
      <c r="AF7042">
        <v>-0.60096755751429098</v>
      </c>
      <c r="AG7042">
        <v>-1.11870567115699</v>
      </c>
      <c r="AH7042">
        <v>14.038233541212801</v>
      </c>
      <c r="AI7042">
        <v>94.552115644093504</v>
      </c>
      <c r="AJ7042">
        <v>92.451297971101496</v>
      </c>
      <c r="AK7042">
        <v>14.0955548078639</v>
      </c>
      <c r="AL7042">
        <v>97.610503286226106</v>
      </c>
      <c r="AM7042">
        <v>90.504467788419703</v>
      </c>
      <c r="AN7042">
        <v>1.00000004061806</v>
      </c>
    </row>
    <row r="7043" spans="1:40" x14ac:dyDescent="0.25">
      <c r="A7043" t="str">
        <f>"20190303154658804"</f>
        <v>20190303154658804</v>
      </c>
      <c r="B7043" t="str">
        <f>"1551599218798435"</f>
        <v>1551599218798435</v>
      </c>
      <c r="C7043" t="s">
        <v>40</v>
      </c>
      <c r="D7043">
        <v>5.4257039999999996</v>
      </c>
      <c r="E7043">
        <v>0.48930499999999999</v>
      </c>
      <c r="F7043" t="s">
        <v>41</v>
      </c>
      <c r="G7043">
        <v>-188.63120000000001</v>
      </c>
      <c r="H7043" s="1">
        <v>-1.089888E-6</v>
      </c>
      <c r="I7043">
        <v>-28.392620000000001</v>
      </c>
      <c r="J7043">
        <v>-189.08459999999999</v>
      </c>
      <c r="K7043">
        <v>1.1188089999999999</v>
      </c>
      <c r="L7043">
        <v>-43.27234</v>
      </c>
      <c r="M7043">
        <v>7.2900000000000006E-2</v>
      </c>
      <c r="N7043">
        <v>-3.7509449999999999E-3</v>
      </c>
      <c r="O7043">
        <v>0.9973322</v>
      </c>
      <c r="P7043">
        <v>6.1415110000000002E-2</v>
      </c>
      <c r="Q7043">
        <v>-0.1335597</v>
      </c>
      <c r="R7043">
        <v>0.98913600000000002</v>
      </c>
      <c r="S7043">
        <v>9.3734739999999997E-2</v>
      </c>
      <c r="T7043">
        <v>-0.2214711</v>
      </c>
      <c r="U7043">
        <v>2.997833</v>
      </c>
      <c r="V7043">
        <v>-1.106599E-2</v>
      </c>
      <c r="W7043">
        <v>-0.12982399999999999</v>
      </c>
      <c r="X7043">
        <v>0.99147529999999995</v>
      </c>
      <c r="Y7043">
        <v>-4.1765669999999998E-2</v>
      </c>
      <c r="Z7043">
        <v>-6.959572E-2</v>
      </c>
      <c r="AA7043">
        <v>0.99670060000000005</v>
      </c>
      <c r="AB7043">
        <v>25</v>
      </c>
      <c r="AC7043">
        <v>0.45339999999998698</v>
      </c>
      <c r="AD7043">
        <v>-1.118810089888</v>
      </c>
      <c r="AE7043">
        <v>14.879720000000001</v>
      </c>
      <c r="AF7043">
        <v>-0.62899285916588299</v>
      </c>
      <c r="AG7043">
        <v>-1.118810089888</v>
      </c>
      <c r="AH7043">
        <v>14.7896445808446</v>
      </c>
      <c r="AI7043">
        <v>94.322191037336907</v>
      </c>
      <c r="AJ7043">
        <v>92.435280399217504</v>
      </c>
      <c r="AK7043">
        <v>14.8452334054343</v>
      </c>
      <c r="AL7043">
        <v>97.4594220806772</v>
      </c>
      <c r="AM7043">
        <v>90.639459397198905</v>
      </c>
      <c r="AN7043">
        <v>0.99999999881038404</v>
      </c>
    </row>
    <row r="7044" spans="1:40" x14ac:dyDescent="0.25">
      <c r="A7044" t="str">
        <f>"20190303154658846"</f>
        <v>20190303154658846</v>
      </c>
      <c r="B7044" t="str">
        <f>"1551599218838451"</f>
        <v>1551599218838451</v>
      </c>
      <c r="C7044" t="s">
        <v>40</v>
      </c>
      <c r="D7044">
        <v>5.3580730000000001</v>
      </c>
      <c r="E7044">
        <v>0.48984699999999998</v>
      </c>
      <c r="F7044" t="s">
        <v>41</v>
      </c>
      <c r="G7044">
        <v>-188.57589999999999</v>
      </c>
      <c r="H7044" s="1">
        <v>-1.5743910000000001E-6</v>
      </c>
      <c r="I7044">
        <v>-27.28613</v>
      </c>
      <c r="J7044">
        <v>-189.048</v>
      </c>
      <c r="K7044">
        <v>1.119024</v>
      </c>
      <c r="L7044">
        <v>-42.795529999999999</v>
      </c>
      <c r="M7044">
        <v>7.422666E-2</v>
      </c>
      <c r="N7044">
        <v>-3.8296939999999998E-3</v>
      </c>
      <c r="O7044">
        <v>0.99723399999999995</v>
      </c>
      <c r="P7044">
        <v>5.6339390000000003E-2</v>
      </c>
      <c r="Q7044">
        <v>-0.1314486</v>
      </c>
      <c r="R7044">
        <v>0.98972079999999996</v>
      </c>
      <c r="S7044">
        <v>9.5428470000000001E-2</v>
      </c>
      <c r="T7044">
        <v>-0.209866</v>
      </c>
      <c r="U7044">
        <v>2.998688</v>
      </c>
      <c r="V7044">
        <v>-1.7418630000000001E-2</v>
      </c>
      <c r="W7044">
        <v>-0.127633</v>
      </c>
      <c r="X7044">
        <v>0.99166849999999995</v>
      </c>
      <c r="Y7044">
        <v>-4.2532840000000002E-2</v>
      </c>
      <c r="Z7044">
        <v>-6.5661319999999995E-2</v>
      </c>
      <c r="AA7044">
        <v>0.99693509999999996</v>
      </c>
      <c r="AB7044">
        <v>25</v>
      </c>
      <c r="AC7044">
        <v>0.47210000000001101</v>
      </c>
      <c r="AD7044">
        <v>-1.119025574391</v>
      </c>
      <c r="AE7044">
        <v>15.509399999999999</v>
      </c>
      <c r="AF7044">
        <v>-0.67690123697214499</v>
      </c>
      <c r="AG7044">
        <v>-1.119025574391</v>
      </c>
      <c r="AH7044">
        <v>15.421450606222599</v>
      </c>
      <c r="AI7044">
        <v>94.146296993122107</v>
      </c>
      <c r="AJ7044">
        <v>92.513298291909095</v>
      </c>
      <c r="AK7044">
        <v>15.4768069161866</v>
      </c>
      <c r="AL7044">
        <v>97.332833742011303</v>
      </c>
      <c r="AM7044">
        <v>91.006295313796301</v>
      </c>
      <c r="AN7044">
        <v>1.00000000262616</v>
      </c>
    </row>
    <row r="7045" spans="1:40" x14ac:dyDescent="0.25">
      <c r="A7045" t="str">
        <f>"20190303154658866"</f>
        <v>20190303154658866</v>
      </c>
      <c r="B7045" t="str">
        <f>"1551599218858947"</f>
        <v>1551599218858947</v>
      </c>
      <c r="C7045" t="s">
        <v>40</v>
      </c>
      <c r="D7045">
        <v>5.4052319999999998</v>
      </c>
      <c r="E7045">
        <v>0.49014799999999997</v>
      </c>
      <c r="F7045" t="s">
        <v>41</v>
      </c>
      <c r="G7045">
        <v>-188.58600000000001</v>
      </c>
      <c r="H7045" s="1">
        <v>-1.960848E-6</v>
      </c>
      <c r="I7045">
        <v>-26.38111</v>
      </c>
      <c r="J7045">
        <v>-189.02950000000001</v>
      </c>
      <c r="K7045">
        <v>1.1191469999999999</v>
      </c>
      <c r="L7045">
        <v>-42.554630000000003</v>
      </c>
      <c r="M7045">
        <v>7.4677129999999994E-2</v>
      </c>
      <c r="N7045">
        <v>-3.8692179999999998E-3</v>
      </c>
      <c r="O7045">
        <v>0.99720030000000004</v>
      </c>
      <c r="P7045">
        <v>5.4955480000000001E-2</v>
      </c>
      <c r="Q7045">
        <v>-0.1311253</v>
      </c>
      <c r="R7045">
        <v>0.98984150000000004</v>
      </c>
      <c r="S7045">
        <v>8.4411620000000007E-2</v>
      </c>
      <c r="T7045">
        <v>-0.20446590000000001</v>
      </c>
      <c r="U7045">
        <v>2.9992070000000002</v>
      </c>
      <c r="V7045">
        <v>-1.9219690000000001E-2</v>
      </c>
      <c r="W7045">
        <v>-0.12727379999999999</v>
      </c>
      <c r="X7045">
        <v>0.99168140000000005</v>
      </c>
      <c r="Y7045">
        <v>-4.6644119999999997E-2</v>
      </c>
      <c r="Z7045">
        <v>-6.3823900000000003E-2</v>
      </c>
      <c r="AA7045">
        <v>0.99687049999999999</v>
      </c>
      <c r="AB7045">
        <v>25</v>
      </c>
      <c r="AC7045">
        <v>0.44350000000002798</v>
      </c>
      <c r="AD7045">
        <v>-1.1191489608480001</v>
      </c>
      <c r="AE7045">
        <v>16.17352</v>
      </c>
      <c r="AF7045">
        <v>-0.76189410783795597</v>
      </c>
      <c r="AG7045">
        <v>-1.1191489608480001</v>
      </c>
      <c r="AH7045">
        <v>16.084521560850401</v>
      </c>
      <c r="AI7045">
        <v>93.975739190652206</v>
      </c>
      <c r="AJ7045">
        <v>92.711968248789603</v>
      </c>
      <c r="AK7045">
        <v>16.1414005237955</v>
      </c>
      <c r="AL7045">
        <v>97.312083835024595</v>
      </c>
      <c r="AM7045">
        <v>91.110305460234997</v>
      </c>
      <c r="AN7045">
        <v>1.00000000787804</v>
      </c>
    </row>
    <row r="7046" spans="1:40" x14ac:dyDescent="0.25">
      <c r="A7046" t="str">
        <f>"20190303154658887"</f>
        <v>20190303154658887</v>
      </c>
      <c r="B7046" t="str">
        <f>"1551599218878467"</f>
        <v>1551599218878467</v>
      </c>
      <c r="C7046" t="s">
        <v>40</v>
      </c>
      <c r="D7046">
        <v>5.4184720000000004</v>
      </c>
      <c r="E7046">
        <v>0.49038700000000002</v>
      </c>
      <c r="F7046" t="s">
        <v>41</v>
      </c>
      <c r="G7046">
        <v>-188.57249999999999</v>
      </c>
      <c r="H7046" s="1">
        <v>-2.120888E-6</v>
      </c>
      <c r="I7046">
        <v>-26.013639999999999</v>
      </c>
      <c r="J7046">
        <v>-189.01130000000001</v>
      </c>
      <c r="K7046">
        <v>1.1192610000000001</v>
      </c>
      <c r="L7046">
        <v>-42.31711</v>
      </c>
      <c r="M7046">
        <v>7.4980469999999994E-2</v>
      </c>
      <c r="N7046">
        <v>-3.9080449999999997E-3</v>
      </c>
      <c r="O7046">
        <v>0.99717739999999999</v>
      </c>
      <c r="P7046">
        <v>5.4490959999999998E-2</v>
      </c>
      <c r="Q7046">
        <v>-0.1316466</v>
      </c>
      <c r="R7046">
        <v>0.98979790000000001</v>
      </c>
      <c r="S7046">
        <v>8.2870479999999996E-2</v>
      </c>
      <c r="T7046">
        <v>-0.2029299</v>
      </c>
      <c r="U7046">
        <v>2.999298</v>
      </c>
      <c r="V7046">
        <v>-1.9948540000000001E-2</v>
      </c>
      <c r="W7046">
        <v>-0.1277614</v>
      </c>
      <c r="X7046">
        <v>0.99160429999999999</v>
      </c>
      <c r="Y7046">
        <v>-4.7459540000000001E-2</v>
      </c>
      <c r="Z7046">
        <v>-6.327373E-2</v>
      </c>
      <c r="AA7046">
        <v>0.99686710000000001</v>
      </c>
      <c r="AB7046">
        <v>25</v>
      </c>
      <c r="AC7046">
        <v>0.43880000000001401</v>
      </c>
      <c r="AD7046">
        <v>-1.119263120888</v>
      </c>
      <c r="AE7046">
        <v>16.303470000000001</v>
      </c>
      <c r="AF7046">
        <v>-0.78120712829147398</v>
      </c>
      <c r="AG7046">
        <v>-1.119263120888</v>
      </c>
      <c r="AH7046">
        <v>16.214113747814601</v>
      </c>
      <c r="AI7046">
        <v>93.944312332767197</v>
      </c>
      <c r="AJ7046">
        <v>92.758416856117904</v>
      </c>
      <c r="AK7046">
        <v>16.271463337332101</v>
      </c>
      <c r="AL7046">
        <v>97.340251237935107</v>
      </c>
      <c r="AM7046">
        <v>91.1524889477285</v>
      </c>
      <c r="AN7046">
        <v>1.0000000036782899</v>
      </c>
    </row>
    <row r="7047" spans="1:40" x14ac:dyDescent="0.25">
      <c r="A7047" t="str">
        <f>"20190303154658910"</f>
        <v>20190303154658910</v>
      </c>
      <c r="B7047" t="str">
        <f>"1551599218898962"</f>
        <v>1551599218898962</v>
      </c>
      <c r="C7047" t="s">
        <v>40</v>
      </c>
      <c r="D7047">
        <v>5.3773619999999998</v>
      </c>
      <c r="E7047">
        <v>0.49892140000000001</v>
      </c>
      <c r="F7047" t="s">
        <v>41</v>
      </c>
      <c r="G7047">
        <v>-188.55029999999999</v>
      </c>
      <c r="H7047" s="1">
        <v>-2.209692E-6</v>
      </c>
      <c r="I7047">
        <v>-25.81578</v>
      </c>
      <c r="J7047">
        <v>-188.99100000000001</v>
      </c>
      <c r="K7047">
        <v>1.1193930000000001</v>
      </c>
      <c r="L7047">
        <v>-42.050289999999997</v>
      </c>
      <c r="M7047">
        <v>7.5109720000000005E-2</v>
      </c>
      <c r="N7047">
        <v>-3.9516159999999998E-3</v>
      </c>
      <c r="O7047">
        <v>0.99716749999999998</v>
      </c>
      <c r="P7047">
        <v>5.3857309999999999E-2</v>
      </c>
      <c r="Q7047">
        <v>-0.13276660000000001</v>
      </c>
      <c r="R7047">
        <v>0.98968299999999998</v>
      </c>
      <c r="S7047">
        <v>8.3786009999999994E-2</v>
      </c>
      <c r="T7047">
        <v>-0.20343430000000001</v>
      </c>
      <c r="U7047">
        <v>2.9992369999999999</v>
      </c>
      <c r="V7047">
        <v>-2.066053E-2</v>
      </c>
      <c r="W7047">
        <v>-0.12884489999999901</v>
      </c>
      <c r="X7047">
        <v>0.99144949999999998</v>
      </c>
      <c r="Y7047">
        <v>-4.7284560000000003E-2</v>
      </c>
      <c r="Z7047">
        <v>-6.3396980000000006E-2</v>
      </c>
      <c r="AA7047">
        <v>0.99686759999999996</v>
      </c>
      <c r="AB7047">
        <v>26</v>
      </c>
      <c r="AC7047">
        <v>0.44069999999999199</v>
      </c>
      <c r="AD7047">
        <v>-1.1193952096919999</v>
      </c>
      <c r="AE7047">
        <v>16.23451</v>
      </c>
      <c r="AF7047">
        <v>-0.776236072211412</v>
      </c>
      <c r="AG7047">
        <v>-1.1193952096919999</v>
      </c>
      <c r="AH7047">
        <v>16.145050146868002</v>
      </c>
      <c r="AI7047">
        <v>93.961616584498003</v>
      </c>
      <c r="AJ7047">
        <v>92.7525977735841</v>
      </c>
      <c r="AK7047">
        <v>16.202414397865699</v>
      </c>
      <c r="AL7047">
        <v>97.402848699107295</v>
      </c>
      <c r="AM7047">
        <v>91.193797430891394</v>
      </c>
      <c r="AN7047">
        <v>0.99999998840307003</v>
      </c>
    </row>
    <row r="7048" spans="1:40" x14ac:dyDescent="0.25">
      <c r="A7048" t="str">
        <f>"20190303154658934"</f>
        <v>20190303154658934</v>
      </c>
      <c r="B7048" t="str">
        <f>"1551599218928243"</f>
        <v>1551599218928243</v>
      </c>
      <c r="C7048" t="s">
        <v>40</v>
      </c>
      <c r="D7048">
        <v>5.4226890000000001</v>
      </c>
      <c r="E7048">
        <v>0.49887369999999998</v>
      </c>
      <c r="F7048" t="s">
        <v>41</v>
      </c>
      <c r="G7048">
        <v>-187.3365</v>
      </c>
      <c r="H7048" s="1">
        <v>-1.3658769999999999E-6</v>
      </c>
      <c r="I7048">
        <v>-8.4207049999999999</v>
      </c>
      <c r="J7048">
        <v>-188.9708</v>
      </c>
      <c r="K7048">
        <v>1.119548</v>
      </c>
      <c r="L7048">
        <v>-41.781739999999999</v>
      </c>
      <c r="M7048">
        <v>7.4998350000000005E-2</v>
      </c>
      <c r="N7048">
        <v>-3.9957680000000002E-3</v>
      </c>
      <c r="O7048">
        <v>0.99717560000000005</v>
      </c>
      <c r="P7048">
        <v>5.285455E-2</v>
      </c>
      <c r="Q7048">
        <v>-0.1326077</v>
      </c>
      <c r="R7048">
        <v>0.98975840000000004</v>
      </c>
      <c r="S7048">
        <v>0.14807129999999999</v>
      </c>
      <c r="T7048">
        <v>-0.10018299999999999</v>
      </c>
      <c r="U7048">
        <v>3.0097659999999999</v>
      </c>
      <c r="V7048">
        <v>-2.1508260000000001E-2</v>
      </c>
      <c r="W7048">
        <v>-0.12864990000000001</v>
      </c>
      <c r="X7048">
        <v>0.99145680000000003</v>
      </c>
      <c r="Y7048">
        <v>-2.592817E-2</v>
      </c>
      <c r="Z7048">
        <v>-2.9115100000000001E-2</v>
      </c>
      <c r="AA7048">
        <v>0.99923969999999995</v>
      </c>
      <c r="AB7048">
        <v>26</v>
      </c>
      <c r="AC7048">
        <v>1.6342999999999901</v>
      </c>
      <c r="AD7048">
        <v>-1.1195493658769999</v>
      </c>
      <c r="AE7048">
        <v>33.361035000000001</v>
      </c>
      <c r="AF7048">
        <v>-0.87136654023349702</v>
      </c>
      <c r="AG7048">
        <v>-1.1195493658769999</v>
      </c>
      <c r="AH7048">
        <v>33.352177585857497</v>
      </c>
      <c r="AI7048">
        <v>91.921899126702399</v>
      </c>
      <c r="AJ7048">
        <v>91.496582053139804</v>
      </c>
      <c r="AK7048">
        <v>33.382336948581802</v>
      </c>
      <c r="AL7048">
        <v>97.391582213429103</v>
      </c>
      <c r="AM7048">
        <v>91.242756376705799</v>
      </c>
      <c r="AN7048">
        <v>0.99999999414223795</v>
      </c>
    </row>
    <row r="7049" spans="1:40" x14ac:dyDescent="0.25">
      <c r="A7049" t="str">
        <f>"20190303154658957"</f>
        <v>20190303154658957</v>
      </c>
      <c r="B7049" t="str">
        <f>"1551599218948739"</f>
        <v>1551599218948739</v>
      </c>
      <c r="C7049" t="s">
        <v>40</v>
      </c>
      <c r="D7049">
        <v>5.3639380000000001</v>
      </c>
      <c r="E7049">
        <v>0.49930580000000002</v>
      </c>
      <c r="F7049" t="s">
        <v>41</v>
      </c>
      <c r="G7049">
        <v>-187.29599999999999</v>
      </c>
      <c r="H7049" s="1">
        <v>-2.0121900000000001E-6</v>
      </c>
      <c r="I7049">
        <v>-6.7948000000000004</v>
      </c>
      <c r="J7049">
        <v>-188.95099999999999</v>
      </c>
      <c r="K7049">
        <v>1.1197220000000001</v>
      </c>
      <c r="L7049">
        <v>-41.514859999999999</v>
      </c>
      <c r="M7049">
        <v>7.4643689999999999E-2</v>
      </c>
      <c r="N7049">
        <v>-4.0404439999999998E-3</v>
      </c>
      <c r="O7049">
        <v>0.99720209999999998</v>
      </c>
      <c r="P7049">
        <v>5.2405569999999999E-2</v>
      </c>
      <c r="Q7049">
        <v>-0.1312672</v>
      </c>
      <c r="R7049">
        <v>0.98996090000000003</v>
      </c>
      <c r="S7049">
        <v>0.14410400000000001</v>
      </c>
      <c r="T7049">
        <v>-9.6331239999999999E-2</v>
      </c>
      <c r="U7049">
        <v>3.010437</v>
      </c>
      <c r="V7049">
        <v>-2.1567909999999999E-2</v>
      </c>
      <c r="W7049">
        <v>-0.1272731</v>
      </c>
      <c r="X7049">
        <v>0.99163319999999999</v>
      </c>
      <c r="Y7049">
        <v>-2.6895490000000001E-2</v>
      </c>
      <c r="Z7049">
        <v>-2.779359E-2</v>
      </c>
      <c r="AA7049">
        <v>0.99925180000000002</v>
      </c>
      <c r="AB7049">
        <v>26</v>
      </c>
      <c r="AC7049">
        <v>1.655</v>
      </c>
      <c r="AD7049">
        <v>-1.1197240121899901</v>
      </c>
      <c r="AE7049">
        <v>34.720059999999997</v>
      </c>
      <c r="AF7049">
        <v>-0.94029583420378005</v>
      </c>
      <c r="AG7049">
        <v>-1.1197240121899901</v>
      </c>
      <c r="AH7049">
        <v>34.710715481069798</v>
      </c>
      <c r="AI7049">
        <v>91.846971939511207</v>
      </c>
      <c r="AJ7049">
        <v>91.551734364791599</v>
      </c>
      <c r="AK7049">
        <v>34.741498346028102</v>
      </c>
      <c r="AL7049">
        <v>97.312043383292107</v>
      </c>
      <c r="AM7049">
        <v>91.245980278666394</v>
      </c>
      <c r="AN7049">
        <v>1.0000000100338</v>
      </c>
    </row>
    <row r="7050" spans="1:40" x14ac:dyDescent="0.25">
      <c r="A7050" t="str">
        <f>"20190303154658981"</f>
        <v>20190303154658981</v>
      </c>
      <c r="B7050" t="str">
        <f>"1551599218968258"</f>
        <v>1551599218968258</v>
      </c>
      <c r="C7050" t="s">
        <v>40</v>
      </c>
      <c r="D7050">
        <v>5.3665520000000004</v>
      </c>
      <c r="E7050">
        <v>0.49928440000000002</v>
      </c>
      <c r="F7050" t="s">
        <v>41</v>
      </c>
      <c r="G7050">
        <v>-187.0694</v>
      </c>
      <c r="H7050" s="1">
        <v>-3.744773E-6</v>
      </c>
      <c r="I7050">
        <v>-2.8498130000000002</v>
      </c>
      <c r="J7050">
        <v>-188.93049999999999</v>
      </c>
      <c r="K7050">
        <v>1.119918</v>
      </c>
      <c r="L7050">
        <v>-41.234279999999998</v>
      </c>
      <c r="M7050">
        <v>7.4010229999999996E-2</v>
      </c>
      <c r="N7050">
        <v>-4.0881820000000001E-3</v>
      </c>
      <c r="O7050">
        <v>0.9972491</v>
      </c>
      <c r="P7050">
        <v>5.1204260000000001E-2</v>
      </c>
      <c r="Q7050">
        <v>-0.1298261</v>
      </c>
      <c r="R7050">
        <v>0.99021380000000003</v>
      </c>
      <c r="S7050">
        <v>0.1465302</v>
      </c>
      <c r="T7050">
        <v>-8.7200639999999996E-2</v>
      </c>
      <c r="U7050">
        <v>3.0111080000000001</v>
      </c>
      <c r="V7050">
        <v>-2.2098389999999999E-2</v>
      </c>
      <c r="W7050">
        <v>-0.1257943</v>
      </c>
      <c r="X7050">
        <v>0.99181019999999998</v>
      </c>
      <c r="Y7050">
        <v>-2.5464179999999999E-2</v>
      </c>
      <c r="Z7050">
        <v>-2.4727450000000002E-2</v>
      </c>
      <c r="AA7050">
        <v>0.99936990000000003</v>
      </c>
      <c r="AB7050">
        <v>26</v>
      </c>
      <c r="AC7050">
        <v>1.86109999999999</v>
      </c>
      <c r="AD7050">
        <v>-1.1199217447730001</v>
      </c>
      <c r="AE7050">
        <v>38.384467000000001</v>
      </c>
      <c r="AF7050">
        <v>-0.98403545443347795</v>
      </c>
      <c r="AG7050">
        <v>-1.1199217447730001</v>
      </c>
      <c r="AH7050">
        <v>38.384338170434503</v>
      </c>
      <c r="AI7050">
        <v>91.670669244103095</v>
      </c>
      <c r="AJ7050">
        <v>91.468534676394199</v>
      </c>
      <c r="AK7050">
        <v>38.413278528033402</v>
      </c>
      <c r="AL7050">
        <v>97.226627842445794</v>
      </c>
      <c r="AM7050">
        <v>91.276388388730993</v>
      </c>
      <c r="AN7050">
        <v>1.0000000087885601</v>
      </c>
    </row>
    <row r="7051" spans="1:40" x14ac:dyDescent="0.25">
      <c r="A7051" t="str">
        <f>"20190303154659031"</f>
        <v>20190303154659031</v>
      </c>
      <c r="B7051" t="str">
        <f>"1551599219019010"</f>
        <v>1551599219019010</v>
      </c>
      <c r="C7051" t="s">
        <v>40</v>
      </c>
      <c r="D7051">
        <v>5.3551229999999999</v>
      </c>
      <c r="E7051">
        <v>0.49921110000000002</v>
      </c>
      <c r="F7051" t="s">
        <v>41</v>
      </c>
      <c r="G7051">
        <v>-187.04949999999999</v>
      </c>
      <c r="H7051" s="1">
        <v>-4.3238970000000004E-6</v>
      </c>
      <c r="I7051">
        <v>-1.5080979999999999</v>
      </c>
      <c r="J7051">
        <v>-188.88980000000001</v>
      </c>
      <c r="K7051">
        <v>1.1203339999999999</v>
      </c>
      <c r="L7051">
        <v>-40.652099999999997</v>
      </c>
      <c r="M7051">
        <v>7.1777359999999998E-2</v>
      </c>
      <c r="N7051">
        <v>-4.1874979999999996E-3</v>
      </c>
      <c r="O7051">
        <v>0.99741190000000002</v>
      </c>
      <c r="P7051">
        <v>4.5666079999999998E-2</v>
      </c>
      <c r="Q7051">
        <v>-0.12516910000000001</v>
      </c>
      <c r="R7051">
        <v>0.99108390000000002</v>
      </c>
      <c r="S7051">
        <v>0.14257810000000001</v>
      </c>
      <c r="T7051">
        <v>-8.4887149999999995E-2</v>
      </c>
      <c r="U7051">
        <v>3.011139</v>
      </c>
      <c r="V7051">
        <v>-2.535714E-2</v>
      </c>
      <c r="W7051">
        <v>-0.1210638</v>
      </c>
      <c r="X7051">
        <v>0.9923208</v>
      </c>
      <c r="Y7051">
        <v>-2.4534259999999999E-2</v>
      </c>
      <c r="Z7051">
        <v>-2.3871989999999999E-2</v>
      </c>
      <c r="AA7051">
        <v>0.99941389999999997</v>
      </c>
      <c r="AB7051">
        <v>26</v>
      </c>
      <c r="AC7051">
        <v>1.84030000000001</v>
      </c>
      <c r="AD7051">
        <v>-1.1203383238969999</v>
      </c>
      <c r="AE7051">
        <v>39.144002</v>
      </c>
      <c r="AF7051">
        <v>-0.97332898115366495</v>
      </c>
      <c r="AG7051">
        <v>-1.1203383238969999</v>
      </c>
      <c r="AH7051">
        <v>39.143134593528103</v>
      </c>
      <c r="AI7051">
        <v>91.638941774274301</v>
      </c>
      <c r="AJ7051">
        <v>91.424417170301197</v>
      </c>
      <c r="AK7051">
        <v>39.171258762932297</v>
      </c>
      <c r="AL7051">
        <v>96.953501469826705</v>
      </c>
      <c r="AM7051">
        <v>91.463781672269803</v>
      </c>
      <c r="AN7051">
        <v>0.999999999166029</v>
      </c>
    </row>
    <row r="7052" spans="1:40" x14ac:dyDescent="0.25">
      <c r="A7052" t="str">
        <f>"20190303154659069"</f>
        <v>20190303154659069</v>
      </c>
      <c r="B7052" t="str">
        <f>"1551599219059027"</f>
        <v>1551599219059027</v>
      </c>
      <c r="C7052" t="s">
        <v>40</v>
      </c>
      <c r="D7052">
        <v>5.278429</v>
      </c>
      <c r="E7052">
        <v>0.49922840000000002</v>
      </c>
      <c r="F7052" t="s">
        <v>41</v>
      </c>
      <c r="G7052">
        <v>-187.0522</v>
      </c>
      <c r="H7052" s="1">
        <v>-2.3155780000000001E-6</v>
      </c>
      <c r="I7052">
        <v>3.8115839999999999</v>
      </c>
      <c r="J7052">
        <v>-188.85939999999999</v>
      </c>
      <c r="K7052">
        <v>1.120573</v>
      </c>
      <c r="L7052">
        <v>-40.191960000000002</v>
      </c>
      <c r="M7052">
        <v>6.9374889999999995E-2</v>
      </c>
      <c r="N7052">
        <v>-4.263218E-3</v>
      </c>
      <c r="O7052">
        <v>0.99758150000000001</v>
      </c>
      <c r="P7052">
        <v>4.211355E-2</v>
      </c>
      <c r="Q7052">
        <v>-0.12533519999999901</v>
      </c>
      <c r="R7052">
        <v>0.9912202</v>
      </c>
      <c r="S7052">
        <v>0.1244659</v>
      </c>
      <c r="T7052">
        <v>-7.588375E-2</v>
      </c>
      <c r="U7052">
        <v>3.0116580000000002</v>
      </c>
      <c r="V7052">
        <v>-2.645407E-2</v>
      </c>
      <c r="W7052">
        <v>-0.1211719</v>
      </c>
      <c r="X7052">
        <v>0.99227900000000002</v>
      </c>
      <c r="Y7052">
        <v>-2.8130240000000001E-2</v>
      </c>
      <c r="Z7052">
        <v>-2.0826029999999999E-2</v>
      </c>
      <c r="AA7052">
        <v>0.99938729999999998</v>
      </c>
      <c r="AB7052">
        <v>26</v>
      </c>
      <c r="AC7052">
        <v>1.8071999999999899</v>
      </c>
      <c r="AD7052">
        <v>-1.1205753155780001</v>
      </c>
      <c r="AE7052">
        <v>44.003543999999899</v>
      </c>
      <c r="AF7052">
        <v>-1.24911447855235</v>
      </c>
      <c r="AG7052">
        <v>-1.1205753155780001</v>
      </c>
      <c r="AH7052">
        <v>43.994415873514001</v>
      </c>
      <c r="AI7052">
        <v>91.458469433561305</v>
      </c>
      <c r="AJ7052">
        <v>91.626337436991804</v>
      </c>
      <c r="AK7052">
        <v>44.0264080305231</v>
      </c>
      <c r="AL7052">
        <v>96.959740859570303</v>
      </c>
      <c r="AM7052">
        <v>91.527138655982995</v>
      </c>
      <c r="AN7052">
        <v>1.00000003050508</v>
      </c>
    </row>
    <row r="7053" spans="1:40" x14ac:dyDescent="0.25">
      <c r="A7053" t="str">
        <f>"20190303154659114"</f>
        <v>20190303154659114</v>
      </c>
      <c r="B7053" t="str">
        <f>"1551599219108334"</f>
        <v>1551599219108334</v>
      </c>
      <c r="C7053" t="s">
        <v>40</v>
      </c>
      <c r="D7053">
        <v>5.0846359999999997</v>
      </c>
      <c r="E7053">
        <v>0.49915130000000002</v>
      </c>
      <c r="F7053" t="s">
        <v>41</v>
      </c>
      <c r="G7053">
        <v>-187.2201</v>
      </c>
      <c r="H7053" s="1">
        <v>-1.8919930000000001E-6</v>
      </c>
      <c r="I7053">
        <v>2.8936060000000001</v>
      </c>
      <c r="J7053">
        <v>-188.82640000000001</v>
      </c>
      <c r="K7053">
        <v>1.1208359999999999</v>
      </c>
      <c r="L7053">
        <v>-39.660800000000002</v>
      </c>
      <c r="M7053">
        <v>6.5917649999999994E-2</v>
      </c>
      <c r="N7053">
        <v>-4.3504260000000001E-3</v>
      </c>
      <c r="O7053">
        <v>0.99781560000000002</v>
      </c>
      <c r="P7053">
        <v>3.8187699999999998E-2</v>
      </c>
      <c r="Q7053">
        <v>-0.1258968</v>
      </c>
      <c r="R7053">
        <v>0.99130810000000003</v>
      </c>
      <c r="S7053">
        <v>0.1145935</v>
      </c>
      <c r="T7053">
        <v>-7.8331590000000006E-2</v>
      </c>
      <c r="U7053">
        <v>3.0118100000000001</v>
      </c>
      <c r="V7053">
        <v>-2.686502E-2</v>
      </c>
      <c r="W7053">
        <v>-0.121665</v>
      </c>
      <c r="X7053">
        <v>0.99220759999999997</v>
      </c>
      <c r="Y7053">
        <v>-2.7939769999999999E-2</v>
      </c>
      <c r="Z7053">
        <v>-2.1556390000000002E-2</v>
      </c>
      <c r="AA7053">
        <v>0.99937710000000002</v>
      </c>
      <c r="AB7053">
        <v>27</v>
      </c>
      <c r="AC7053">
        <v>1.6063000000000001</v>
      </c>
      <c r="AD7053">
        <v>-1.120837891993</v>
      </c>
      <c r="AE7053">
        <v>42.554406</v>
      </c>
      <c r="AF7053">
        <v>-1.20147427484609</v>
      </c>
      <c r="AG7053">
        <v>-1.120837891993</v>
      </c>
      <c r="AH7053">
        <v>42.538267272760201</v>
      </c>
      <c r="AI7053">
        <v>91.508731942497405</v>
      </c>
      <c r="AJ7053">
        <v>91.617863459397995</v>
      </c>
      <c r="AK7053">
        <v>42.569989436010196</v>
      </c>
      <c r="AL7053">
        <v>96.988204128328704</v>
      </c>
      <c r="AM7053">
        <v>91.550961997010702</v>
      </c>
      <c r="AN7053">
        <v>1.00000001151118</v>
      </c>
    </row>
    <row r="7054" spans="1:40" x14ac:dyDescent="0.25">
      <c r="A7054" t="str">
        <f>"20190303154659137"</f>
        <v>20190303154659137</v>
      </c>
      <c r="B7054" t="str">
        <f>"1551599219128830"</f>
        <v>1551599219128830</v>
      </c>
      <c r="C7054" t="s">
        <v>40</v>
      </c>
      <c r="D7054">
        <v>5.0236530000000004</v>
      </c>
      <c r="E7054">
        <v>0.49925310000000001</v>
      </c>
      <c r="F7054" t="s">
        <v>41</v>
      </c>
      <c r="G7054">
        <v>-187.4812</v>
      </c>
      <c r="H7054" s="1">
        <v>-8.04424E-7</v>
      </c>
      <c r="I7054">
        <v>4.2500349999999999E-2</v>
      </c>
      <c r="J7054">
        <v>-188.8098</v>
      </c>
      <c r="K7054">
        <v>1.1209789999999999</v>
      </c>
      <c r="L7054">
        <v>-39.377560000000003</v>
      </c>
      <c r="M7054">
        <v>6.3795249999999998E-2</v>
      </c>
      <c r="N7054">
        <v>-4.3983149999999999E-3</v>
      </c>
      <c r="O7054">
        <v>0.99795330000000004</v>
      </c>
      <c r="P7054">
        <v>3.5491969999999998E-2</v>
      </c>
      <c r="Q7054">
        <v>-0.125884199999999</v>
      </c>
      <c r="R7054">
        <v>0.99140980000000001</v>
      </c>
      <c r="S7054">
        <v>0.1020355</v>
      </c>
      <c r="T7054">
        <v>-8.501744E-2</v>
      </c>
      <c r="U7054">
        <v>3.0115660000000002</v>
      </c>
      <c r="V7054">
        <v>-2.7410219999999999E-2</v>
      </c>
      <c r="W7054">
        <v>-0.1216163</v>
      </c>
      <c r="X7054">
        <v>0.99219860000000004</v>
      </c>
      <c r="Y7054">
        <v>-2.9973880000000001E-2</v>
      </c>
      <c r="Z7054">
        <v>-2.372641E-2</v>
      </c>
      <c r="AA7054">
        <v>0.99926910000000002</v>
      </c>
      <c r="AB7054">
        <v>27</v>
      </c>
      <c r="AC7054">
        <v>1.32859999999999</v>
      </c>
      <c r="AD7054">
        <v>-1.120979804424</v>
      </c>
      <c r="AE7054">
        <v>39.4200603499999</v>
      </c>
      <c r="AF7054">
        <v>-1.18798379585182</v>
      </c>
      <c r="AG7054">
        <v>-1.120979804424</v>
      </c>
      <c r="AH7054">
        <v>39.392700855880797</v>
      </c>
      <c r="AI7054">
        <v>91.629259206595805</v>
      </c>
      <c r="AJ7054">
        <v>91.727371633628593</v>
      </c>
      <c r="AK7054">
        <v>39.426549201547502</v>
      </c>
      <c r="AL7054">
        <v>96.985393357912699</v>
      </c>
      <c r="AM7054">
        <v>91.582435796048998</v>
      </c>
      <c r="AN7054">
        <v>0.999999953214048</v>
      </c>
    </row>
    <row r="7055" spans="1:40" x14ac:dyDescent="0.25">
      <c r="A7055" t="str">
        <f>"20190303154659182"</f>
        <v>20190303154659182</v>
      </c>
      <c r="B7055" t="str">
        <f>"1551599219178606"</f>
        <v>1551599219178606</v>
      </c>
      <c r="C7055" t="s">
        <v>40</v>
      </c>
      <c r="D7055">
        <v>4.8362309999999997</v>
      </c>
      <c r="E7055">
        <v>0.5034459</v>
      </c>
      <c r="F7055" t="s">
        <v>41</v>
      </c>
      <c r="G7055">
        <v>-187.5804</v>
      </c>
      <c r="H7055" s="1">
        <v>-7.0755039999999997E-7</v>
      </c>
      <c r="I7055">
        <v>-0.16458809999999999</v>
      </c>
      <c r="J7055">
        <v>-188.7808</v>
      </c>
      <c r="K7055">
        <v>1.121264</v>
      </c>
      <c r="L7055">
        <v>-38.844299999999997</v>
      </c>
      <c r="M7055">
        <v>5.9285789999999998E-2</v>
      </c>
      <c r="N7055">
        <v>-4.4982030000000001E-3</v>
      </c>
      <c r="O7055">
        <v>0.99823090000000003</v>
      </c>
      <c r="P7055">
        <v>2.8571699999999998E-2</v>
      </c>
      <c r="Q7055">
        <v>-0.12608319999999901</v>
      </c>
      <c r="R7055">
        <v>0.99160809999999999</v>
      </c>
      <c r="S7055">
        <v>9.4421389999999994E-2</v>
      </c>
      <c r="T7055">
        <v>-8.6094980000000002E-2</v>
      </c>
      <c r="U7055">
        <v>3.0116879999999999</v>
      </c>
      <c r="V7055">
        <v>-2.9764840000000001E-2</v>
      </c>
      <c r="W7055">
        <v>-0.1217456</v>
      </c>
      <c r="X7055">
        <v>0.99211499999999997</v>
      </c>
      <c r="Y7055">
        <v>-2.79831E-2</v>
      </c>
      <c r="Z7055">
        <v>-2.399486E-2</v>
      </c>
      <c r="AA7055">
        <v>0.9993204</v>
      </c>
      <c r="AB7055">
        <v>27</v>
      </c>
      <c r="AC7055">
        <v>1.2003999999999999</v>
      </c>
      <c r="AD7055">
        <v>-1.1212647075503901</v>
      </c>
      <c r="AE7055">
        <v>38.679711900000001</v>
      </c>
      <c r="AF7055">
        <v>-1.0939735846486001</v>
      </c>
      <c r="AG7055">
        <v>-1.1212647075503901</v>
      </c>
      <c r="AH7055">
        <v>38.650394414798498</v>
      </c>
      <c r="AI7055">
        <v>91.661044499444102</v>
      </c>
      <c r="AJ7055">
        <v>91.621285885590794</v>
      </c>
      <c r="AK7055">
        <v>38.682127671158298</v>
      </c>
      <c r="AL7055">
        <v>96.992856448638307</v>
      </c>
      <c r="AM7055">
        <v>91.7184382035651</v>
      </c>
      <c r="AN7055">
        <v>1.0000000550222901</v>
      </c>
    </row>
    <row r="7056" spans="1:40" x14ac:dyDescent="0.25">
      <c r="A7056" t="str">
        <f>"20190303154659227"</f>
        <v>20190303154659227</v>
      </c>
      <c r="B7056" t="str">
        <f>"1551599219219129"</f>
        <v>1551599219219129</v>
      </c>
      <c r="C7056" t="s">
        <v>40</v>
      </c>
      <c r="D7056">
        <v>4.847639</v>
      </c>
      <c r="E7056">
        <v>0.50277059999999996</v>
      </c>
      <c r="F7056" t="s">
        <v>41</v>
      </c>
      <c r="G7056">
        <v>-187.18879999999999</v>
      </c>
      <c r="H7056" s="1">
        <v>-3.425068E-6</v>
      </c>
      <c r="I7056">
        <v>6.4543350000000004</v>
      </c>
      <c r="J7056">
        <v>-188.75370000000001</v>
      </c>
      <c r="K7056">
        <v>1.1215299999999999</v>
      </c>
      <c r="L7056">
        <v>-38.280610000000003</v>
      </c>
      <c r="M7056">
        <v>5.388652E-2</v>
      </c>
      <c r="N7056">
        <v>-4.6124460000000001E-3</v>
      </c>
      <c r="O7056">
        <v>0.99853639999999999</v>
      </c>
      <c r="P7056">
        <v>2.0864560000000001E-2</v>
      </c>
      <c r="Q7056">
        <v>-0.12310020000000001</v>
      </c>
      <c r="R7056">
        <v>0.99217489999999997</v>
      </c>
      <c r="S7056">
        <v>0.10588069999999999</v>
      </c>
      <c r="T7056">
        <v>-7.4576379999999998E-2</v>
      </c>
      <c r="U7056">
        <v>3.012848</v>
      </c>
      <c r="V7056">
        <v>-3.2070229999999998E-2</v>
      </c>
      <c r="W7056">
        <v>-0.118677</v>
      </c>
      <c r="X7056">
        <v>0.99241489999999999</v>
      </c>
      <c r="Y7056">
        <v>-1.8789299999999998E-2</v>
      </c>
      <c r="Z7056">
        <v>-2.0074580000000002E-2</v>
      </c>
      <c r="AA7056">
        <v>0.99962189999999995</v>
      </c>
      <c r="AB7056">
        <v>27</v>
      </c>
      <c r="AC7056">
        <v>1.5649000000000199</v>
      </c>
      <c r="AD7056">
        <v>-1.121533425068</v>
      </c>
      <c r="AE7056">
        <v>44.734945000000003</v>
      </c>
      <c r="AF7056">
        <v>-0.847477907878884</v>
      </c>
      <c r="AG7056">
        <v>-1.121533425068</v>
      </c>
      <c r="AH7056">
        <v>44.726196907651101</v>
      </c>
      <c r="AI7056">
        <v>91.436163766107697</v>
      </c>
      <c r="AJ7056">
        <v>91.085518125921098</v>
      </c>
      <c r="AK7056">
        <v>44.748282043558604</v>
      </c>
      <c r="AL7056">
        <v>96.815754428115099</v>
      </c>
      <c r="AM7056">
        <v>91.850888785458594</v>
      </c>
      <c r="AN7056">
        <v>1.00000003186163</v>
      </c>
    </row>
    <row r="7057" spans="1:40" x14ac:dyDescent="0.25">
      <c r="A7057" t="str">
        <f>"20190303154659270"</f>
        <v>20190303154659270</v>
      </c>
      <c r="B7057" t="str">
        <f>"1551599219259145"</f>
        <v>1551599219259145</v>
      </c>
      <c r="C7057" t="s">
        <v>40</v>
      </c>
      <c r="D7057">
        <v>4.667783</v>
      </c>
      <c r="E7057">
        <v>0.50324709999999995</v>
      </c>
      <c r="F7057" t="s">
        <v>41</v>
      </c>
      <c r="G7057">
        <v>-187.50380000000001</v>
      </c>
      <c r="H7057" s="1">
        <v>-9.2212899999999998E-7</v>
      </c>
      <c r="I7057">
        <v>10.406040000000001</v>
      </c>
      <c r="J7057">
        <v>-188.7312</v>
      </c>
      <c r="K7057">
        <v>1.1217239999999999</v>
      </c>
      <c r="L7057">
        <v>-37.746830000000003</v>
      </c>
      <c r="M7057">
        <v>4.8403229999999998E-2</v>
      </c>
      <c r="N7057">
        <v>-4.7163209999999999E-3</v>
      </c>
      <c r="O7057">
        <v>0.9988167</v>
      </c>
      <c r="P7057">
        <v>1.4887620000000001E-2</v>
      </c>
      <c r="Q7057">
        <v>-0.119834</v>
      </c>
      <c r="R7057">
        <v>0.99268230000000002</v>
      </c>
      <c r="S7057">
        <v>7.7362059999999996E-2</v>
      </c>
      <c r="T7057">
        <v>-6.9416400000000003E-2</v>
      </c>
      <c r="U7057">
        <v>3.0134280000000002</v>
      </c>
      <c r="V7057">
        <v>-3.2592870000000003E-2</v>
      </c>
      <c r="W7057">
        <v>-0.1153203</v>
      </c>
      <c r="X7057">
        <v>0.9927935</v>
      </c>
      <c r="Y7057">
        <v>-2.2756720000000001E-2</v>
      </c>
      <c r="Z7057">
        <v>-1.826995E-2</v>
      </c>
      <c r="AA7057">
        <v>0.99957410000000002</v>
      </c>
      <c r="AB7057">
        <v>28</v>
      </c>
      <c r="AC7057">
        <v>1.2273999999999801</v>
      </c>
      <c r="AD7057">
        <v>-1.121724922129</v>
      </c>
      <c r="AE7057">
        <v>48.152869999999901</v>
      </c>
      <c r="AF7057">
        <v>-1.10422033005391</v>
      </c>
      <c r="AG7057">
        <v>-1.121724922129</v>
      </c>
      <c r="AH7057">
        <v>48.129737267975699</v>
      </c>
      <c r="AI7057">
        <v>91.334758418275598</v>
      </c>
      <c r="AJ7057">
        <v>91.314282420462504</v>
      </c>
      <c r="AK7057">
        <v>48.155468836079201</v>
      </c>
      <c r="AL7057">
        <v>96.622099799297999</v>
      </c>
      <c r="AM7057">
        <v>91.880313918947706</v>
      </c>
      <c r="AN7057">
        <v>1.0000000002045799</v>
      </c>
    </row>
    <row r="7058" spans="1:40" x14ac:dyDescent="0.25">
      <c r="A7058" t="str">
        <f>"20190303154659294"</f>
        <v>20190303154659294</v>
      </c>
      <c r="B7058" t="str">
        <f>"1551599219288425"</f>
        <v>1551599219288425</v>
      </c>
      <c r="C7058" t="s">
        <v>40</v>
      </c>
      <c r="D7058">
        <v>4.591189</v>
      </c>
      <c r="E7058">
        <v>0.50375959999999997</v>
      </c>
      <c r="F7058" t="s">
        <v>41</v>
      </c>
      <c r="G7058">
        <v>-187.63679999999999</v>
      </c>
      <c r="H7058" s="1">
        <v>-2.3553339999999998E-6</v>
      </c>
      <c r="I7058">
        <v>14.145949999999999</v>
      </c>
      <c r="J7058">
        <v>-188.72</v>
      </c>
      <c r="K7058">
        <v>1.1217859999999999</v>
      </c>
      <c r="L7058">
        <v>-37.447969999999998</v>
      </c>
      <c r="M7058">
        <v>4.5253740000000001E-2</v>
      </c>
      <c r="N7058">
        <v>-4.7718429999999996E-3</v>
      </c>
      <c r="O7058">
        <v>0.99896410000000002</v>
      </c>
      <c r="P7058">
        <v>1.1330700000000001E-2</v>
      </c>
      <c r="Q7058">
        <v>-0.11831659999999999</v>
      </c>
      <c r="R7058">
        <v>0.99291130000000005</v>
      </c>
      <c r="S7058">
        <v>6.3552860000000003E-2</v>
      </c>
      <c r="T7058">
        <v>-6.5136310000000003E-2</v>
      </c>
      <c r="U7058">
        <v>3.013306</v>
      </c>
      <c r="V7058">
        <v>-3.3022570000000001E-2</v>
      </c>
      <c r="W7058">
        <v>-0.1137532</v>
      </c>
      <c r="X7058">
        <v>0.99296010000000001</v>
      </c>
      <c r="Y7058">
        <v>-2.41812E-2</v>
      </c>
      <c r="Z7058">
        <v>-1.6803729999999999E-2</v>
      </c>
      <c r="AA7058">
        <v>0.99956639999999997</v>
      </c>
      <c r="AB7058">
        <v>28</v>
      </c>
      <c r="AC7058">
        <v>1.0831999999999999</v>
      </c>
      <c r="AD7058">
        <v>-1.121788355334</v>
      </c>
      <c r="AE7058">
        <v>51.593919999999997</v>
      </c>
      <c r="AF7058">
        <v>-1.2521625360050099</v>
      </c>
      <c r="AG7058">
        <v>-1.121788355334</v>
      </c>
      <c r="AH7058">
        <v>51.565714935050998</v>
      </c>
      <c r="AI7058">
        <v>91.245879543035002</v>
      </c>
      <c r="AJ7058">
        <v>91.391031468902497</v>
      </c>
      <c r="AK7058">
        <v>51.593112688552502</v>
      </c>
      <c r="AL7058">
        <v>96.531716631277206</v>
      </c>
      <c r="AM7058">
        <v>91.904766173541304</v>
      </c>
      <c r="AN7058">
        <v>1.0000000204158199</v>
      </c>
    </row>
    <row r="7059" spans="1:40" x14ac:dyDescent="0.25">
      <c r="A7059" t="str">
        <f>"20190303154659317"</f>
        <v>20190303154659317</v>
      </c>
      <c r="B7059" t="str">
        <f>"1551599219308920"</f>
        <v>1551599219308920</v>
      </c>
      <c r="C7059" t="s">
        <v>40</v>
      </c>
      <c r="D7059">
        <v>4.5686150000000003</v>
      </c>
      <c r="E7059">
        <v>0.50403370000000003</v>
      </c>
      <c r="F7059" t="s">
        <v>41</v>
      </c>
      <c r="G7059">
        <v>-187.67939999999999</v>
      </c>
      <c r="H7059" s="1">
        <v>-4.0172649999999997E-6</v>
      </c>
      <c r="I7059">
        <v>18.037559999999999</v>
      </c>
      <c r="J7059">
        <v>-188.7098</v>
      </c>
      <c r="K7059">
        <v>1.121831</v>
      </c>
      <c r="L7059">
        <v>-37.152340000000002</v>
      </c>
      <c r="M7059">
        <v>4.2115199999999998E-2</v>
      </c>
      <c r="N7059">
        <v>-4.8251939999999997E-3</v>
      </c>
      <c r="O7059">
        <v>0.99910109999999996</v>
      </c>
      <c r="P7059">
        <v>8.4486449999999994E-3</v>
      </c>
      <c r="Q7059">
        <v>-0.1170229</v>
      </c>
      <c r="R7059">
        <v>0.99309329999999996</v>
      </c>
      <c r="S7059">
        <v>5.6518550000000001E-2</v>
      </c>
      <c r="T7059">
        <v>-6.0926439999999998E-2</v>
      </c>
      <c r="U7059">
        <v>3.0135190000000001</v>
      </c>
      <c r="V7059">
        <v>-3.2788980000000002E-2</v>
      </c>
      <c r="W7059">
        <v>-0.1124073</v>
      </c>
      <c r="X7059">
        <v>0.99312109999999998</v>
      </c>
      <c r="Y7059">
        <v>-2.3374019999999999E-2</v>
      </c>
      <c r="Z7059">
        <v>-1.5359599999999999E-2</v>
      </c>
      <c r="AA7059">
        <v>0.99960879999999996</v>
      </c>
      <c r="AB7059">
        <v>28</v>
      </c>
      <c r="AC7059">
        <v>1.03040000000001</v>
      </c>
      <c r="AD7059">
        <v>-1.121835017265</v>
      </c>
      <c r="AE7059">
        <v>55.189900000000002</v>
      </c>
      <c r="AF7059">
        <v>-1.2943403810897101</v>
      </c>
      <c r="AG7059">
        <v>-1.121835017265</v>
      </c>
      <c r="AH7059">
        <v>55.1615445769093</v>
      </c>
      <c r="AI7059">
        <v>91.164758395188201</v>
      </c>
      <c r="AJ7059">
        <v>91.344172569026796</v>
      </c>
      <c r="AK7059">
        <v>55.1881312506451</v>
      </c>
      <c r="AL7059">
        <v>96.454104431935903</v>
      </c>
      <c r="AM7059">
        <v>91.890995964162798</v>
      </c>
      <c r="AN7059">
        <v>1.0000000187839699</v>
      </c>
    </row>
    <row r="7060" spans="1:40" x14ac:dyDescent="0.25">
      <c r="A7060" t="str">
        <f>"20190303154659359"</f>
        <v>20190303154659359</v>
      </c>
      <c r="B7060" t="str">
        <f>"1551599219348936"</f>
        <v>1551599219348936</v>
      </c>
      <c r="C7060" t="s">
        <v>40</v>
      </c>
      <c r="D7060">
        <v>4.5541669999999996</v>
      </c>
      <c r="E7060">
        <v>0.50430559999999902</v>
      </c>
      <c r="F7060" t="s">
        <v>41</v>
      </c>
      <c r="G7060">
        <v>-187.74600000000001</v>
      </c>
      <c r="H7060" s="1">
        <v>-1.1579580000000001E-6</v>
      </c>
      <c r="I7060">
        <v>21.28847</v>
      </c>
      <c r="J7060">
        <v>-188.69399999999999</v>
      </c>
      <c r="K7060">
        <v>1.1218709999999901</v>
      </c>
      <c r="L7060">
        <v>-36.627040000000001</v>
      </c>
      <c r="M7060">
        <v>3.6541450000000003E-2</v>
      </c>
      <c r="N7060">
        <v>-4.916419E-3</v>
      </c>
      <c r="O7060">
        <v>0.99931999999999999</v>
      </c>
      <c r="P7060">
        <v>5.9687259999999997E-3</v>
      </c>
      <c r="Q7060">
        <v>-0.1177166</v>
      </c>
      <c r="R7060">
        <v>0.9930293</v>
      </c>
      <c r="S7060">
        <v>4.969788E-2</v>
      </c>
      <c r="T7060">
        <v>-5.7849409999999997E-2</v>
      </c>
      <c r="U7060">
        <v>3.013611</v>
      </c>
      <c r="V7060">
        <v>-2.971439E-2</v>
      </c>
      <c r="W7060">
        <v>-0.11299679999999999</v>
      </c>
      <c r="X7060">
        <v>0.99315089999999995</v>
      </c>
      <c r="Y7060">
        <v>-2.0059520000000001E-2</v>
      </c>
      <c r="Z7060">
        <v>-1.4255790000000001E-2</v>
      </c>
      <c r="AA7060">
        <v>0.99969710000000001</v>
      </c>
      <c r="AB7060">
        <v>28</v>
      </c>
      <c r="AC7060">
        <v>0.94800000000003604</v>
      </c>
      <c r="AD7060">
        <v>-1.12187215795799</v>
      </c>
      <c r="AE7060">
        <v>57.915509999999998</v>
      </c>
      <c r="AF7060">
        <v>-1.1685371804992499</v>
      </c>
      <c r="AG7060">
        <v>-1.12187215795799</v>
      </c>
      <c r="AH7060">
        <v>57.8897550939799</v>
      </c>
      <c r="AI7060">
        <v>91.1099962017569</v>
      </c>
      <c r="AJ7060">
        <v>91.156390407523901</v>
      </c>
      <c r="AK7060">
        <v>57.912415086248799</v>
      </c>
      <c r="AL7060">
        <v>96.488097209558205</v>
      </c>
      <c r="AM7060">
        <v>91.713738971130795</v>
      </c>
      <c r="AN7060">
        <v>0.99999996597705998</v>
      </c>
    </row>
    <row r="7061" spans="1:40" x14ac:dyDescent="0.25">
      <c r="A7061" t="str">
        <f>"20190303154659383"</f>
        <v>20190303154659383</v>
      </c>
      <c r="B7061" t="str">
        <f>"1551599219378218"</f>
        <v>1551599219378218</v>
      </c>
      <c r="C7061" t="s">
        <v>40</v>
      </c>
      <c r="D7061">
        <v>4.5401910000000001</v>
      </c>
      <c r="E7061">
        <v>0.50456509999999999</v>
      </c>
      <c r="F7061" t="s">
        <v>41</v>
      </c>
      <c r="G7061">
        <v>-187.89400000000001</v>
      </c>
      <c r="H7061" s="1">
        <v>-3.5645590000000001E-6</v>
      </c>
      <c r="I7061">
        <v>17.071059999999999</v>
      </c>
      <c r="J7061">
        <v>-188.68639999999999</v>
      </c>
      <c r="K7061">
        <v>1.12188</v>
      </c>
      <c r="L7061">
        <v>-36.333590000000001</v>
      </c>
      <c r="M7061">
        <v>3.3454520000000001E-2</v>
      </c>
      <c r="N7061">
        <v>-4.9656320000000002E-3</v>
      </c>
      <c r="O7061">
        <v>0.99942790000000004</v>
      </c>
      <c r="P7061">
        <v>4.5631619999999999E-3</v>
      </c>
      <c r="Q7061">
        <v>-0.11847100000000001</v>
      </c>
      <c r="R7061">
        <v>0.99294700000000002</v>
      </c>
      <c r="S7061">
        <v>4.4891359999999998E-2</v>
      </c>
      <c r="T7061">
        <v>-6.2955380000000005E-2</v>
      </c>
      <c r="U7061">
        <v>3.0133359999999998</v>
      </c>
      <c r="V7061">
        <v>-2.8043709999999999E-2</v>
      </c>
      <c r="W7061">
        <v>-0.1136943</v>
      </c>
      <c r="X7061">
        <v>0.99311990000000006</v>
      </c>
      <c r="Y7061">
        <v>-1.8564339999999999E-2</v>
      </c>
      <c r="Z7061">
        <v>-1.5903629999999998E-2</v>
      </c>
      <c r="AA7061">
        <v>0.99970119999999896</v>
      </c>
      <c r="AB7061">
        <v>28</v>
      </c>
      <c r="AC7061">
        <v>0.792399999999986</v>
      </c>
      <c r="AD7061">
        <v>-1.121883564559</v>
      </c>
      <c r="AE7061">
        <v>53.404649999999997</v>
      </c>
      <c r="AF7061">
        <v>-0.99425386088216405</v>
      </c>
      <c r="AG7061">
        <v>-1.121883564559</v>
      </c>
      <c r="AH7061">
        <v>53.377714620762497</v>
      </c>
      <c r="AI7061">
        <v>91.203846736769705</v>
      </c>
      <c r="AJ7061">
        <v>91.067111311719302</v>
      </c>
      <c r="AK7061">
        <v>53.398760113020103</v>
      </c>
      <c r="AL7061">
        <v>96.528320074884903</v>
      </c>
      <c r="AM7061">
        <v>91.617487831872893</v>
      </c>
      <c r="AN7061">
        <v>0.99999998964953196</v>
      </c>
    </row>
    <row r="7062" spans="1:40" x14ac:dyDescent="0.25">
      <c r="A7062" t="str">
        <f>"20190303154659408"</f>
        <v>20190303154659408</v>
      </c>
      <c r="B7062" t="str">
        <f>"1551599219398243"</f>
        <v>1551599219398243</v>
      </c>
      <c r="C7062" t="s">
        <v>40</v>
      </c>
      <c r="D7062">
        <v>4.5069800000000004</v>
      </c>
      <c r="E7062">
        <v>0.50477490000000003</v>
      </c>
      <c r="F7062" t="s">
        <v>41</v>
      </c>
      <c r="G7062">
        <v>-187.98169999999999</v>
      </c>
      <c r="H7062" s="1">
        <v>-1.9117459999999998E-6</v>
      </c>
      <c r="I7062">
        <v>13.254569999999999</v>
      </c>
      <c r="J7062">
        <v>-188.67920000000001</v>
      </c>
      <c r="K7062">
        <v>1.1218760000000001</v>
      </c>
      <c r="L7062">
        <v>-36.013370000000002</v>
      </c>
      <c r="M7062">
        <v>3.0143909999999999E-2</v>
      </c>
      <c r="N7062">
        <v>-5.0176509999999997E-3</v>
      </c>
      <c r="O7062">
        <v>0.999533</v>
      </c>
      <c r="P7062">
        <v>2.082333E-3</v>
      </c>
      <c r="Q7062">
        <v>-0.1186919</v>
      </c>
      <c r="R7062">
        <v>0.9929289</v>
      </c>
      <c r="S7062">
        <v>4.2816159999999999E-2</v>
      </c>
      <c r="T7062">
        <v>-6.8165420000000004E-2</v>
      </c>
      <c r="U7062">
        <v>3.0129700000000001</v>
      </c>
      <c r="V7062">
        <v>-2.7235780000000001E-2</v>
      </c>
      <c r="W7062">
        <v>-0.1138588</v>
      </c>
      <c r="X7062">
        <v>0.99312350000000005</v>
      </c>
      <c r="Y7062">
        <v>-1.5939620000000002E-2</v>
      </c>
      <c r="Z7062">
        <v>-1.7584639999999999E-2</v>
      </c>
      <c r="AA7062">
        <v>0.99971829999999995</v>
      </c>
      <c r="AB7062">
        <v>29</v>
      </c>
      <c r="AC7062">
        <v>0.69750000000001899</v>
      </c>
      <c r="AD7062">
        <v>-1.121877911746</v>
      </c>
      <c r="AE7062">
        <v>49.267940000000003</v>
      </c>
      <c r="AF7062">
        <v>-0.78755570262216701</v>
      </c>
      <c r="AG7062">
        <v>-1.121877911746</v>
      </c>
      <c r="AH7062">
        <v>49.241049035292001</v>
      </c>
      <c r="AI7062">
        <v>91.304999316809898</v>
      </c>
      <c r="AJ7062">
        <v>90.916304013822199</v>
      </c>
      <c r="AK7062">
        <v>49.260123468477303</v>
      </c>
      <c r="AL7062">
        <v>96.537807093641405</v>
      </c>
      <c r="AM7062">
        <v>91.570906547129297</v>
      </c>
      <c r="AN7062">
        <v>0.999999950150948</v>
      </c>
    </row>
    <row r="7063" spans="1:40" x14ac:dyDescent="0.25">
      <c r="A7063" t="str">
        <f>"20190303154659449"</f>
        <v>20190303154659449</v>
      </c>
      <c r="B7063" t="str">
        <f>"1551599219438259"</f>
        <v>1551599219438259</v>
      </c>
      <c r="C7063" t="s">
        <v>40</v>
      </c>
      <c r="D7063">
        <v>4.4796230000000001</v>
      </c>
      <c r="E7063">
        <v>0.50515750000000004</v>
      </c>
      <c r="F7063" t="s">
        <v>41</v>
      </c>
      <c r="G7063">
        <v>-188.09200000000001</v>
      </c>
      <c r="H7063" s="1">
        <v>-1.402964E-6</v>
      </c>
      <c r="I7063">
        <v>12.114190000000001</v>
      </c>
      <c r="J7063">
        <v>-188.66909999999999</v>
      </c>
      <c r="K7063">
        <v>1.1218330000000001</v>
      </c>
      <c r="L7063">
        <v>-35.466670000000001</v>
      </c>
      <c r="M7063">
        <v>2.4648690000000001E-2</v>
      </c>
      <c r="N7063">
        <v>-5.1031959999999999E-3</v>
      </c>
      <c r="O7063">
        <v>0.99968310000000005</v>
      </c>
      <c r="P7063">
        <v>-2.5179170000000002E-3</v>
      </c>
      <c r="Q7063">
        <v>-0.1186826</v>
      </c>
      <c r="R7063">
        <v>0.99292899999999995</v>
      </c>
      <c r="S7063">
        <v>3.675842E-2</v>
      </c>
      <c r="T7063">
        <v>-7.0231680000000005E-2</v>
      </c>
      <c r="U7063">
        <v>3.0128780000000002</v>
      </c>
      <c r="V7063">
        <v>-2.6389360000000001E-2</v>
      </c>
      <c r="W7063">
        <v>-0.11375730000000001</v>
      </c>
      <c r="X7063">
        <v>0.99315799999999999</v>
      </c>
      <c r="Y7063">
        <v>-1.245247E-2</v>
      </c>
      <c r="Z7063">
        <v>-1.819043E-2</v>
      </c>
      <c r="AA7063">
        <v>0.99975700000000001</v>
      </c>
      <c r="AB7063">
        <v>29</v>
      </c>
      <c r="AC7063">
        <v>0.57709999999997297</v>
      </c>
      <c r="AD7063">
        <v>-1.1218344029639999</v>
      </c>
      <c r="AE7063">
        <v>47.580859999999902</v>
      </c>
      <c r="AF7063">
        <v>-0.59556551665240798</v>
      </c>
      <c r="AG7063">
        <v>-1.1218344029639999</v>
      </c>
      <c r="AH7063">
        <v>47.554197044529403</v>
      </c>
      <c r="AI7063">
        <v>91.351288076848803</v>
      </c>
      <c r="AJ7063">
        <v>90.717530917238193</v>
      </c>
      <c r="AK7063">
        <v>47.571155832733702</v>
      </c>
      <c r="AL7063">
        <v>96.531953427294397</v>
      </c>
      <c r="AM7063">
        <v>91.522057180816702</v>
      </c>
      <c r="AN7063">
        <v>0.999999967294249</v>
      </c>
    </row>
    <row r="7064" spans="1:40" x14ac:dyDescent="0.25">
      <c r="A7064" t="str">
        <f>"20190303154659493"</f>
        <v>20190303154659493</v>
      </c>
      <c r="B7064" t="str">
        <f>"1551599219489011"</f>
        <v>1551599219489011</v>
      </c>
      <c r="C7064" t="s">
        <v>40</v>
      </c>
      <c r="D7064">
        <v>4.5248140000000001</v>
      </c>
      <c r="E7064">
        <v>0.50557549999999996</v>
      </c>
      <c r="F7064" t="s">
        <v>41</v>
      </c>
      <c r="G7064">
        <v>-188.27369999999999</v>
      </c>
      <c r="H7064" s="1">
        <v>-1.1451709999999999E-6</v>
      </c>
      <c r="I7064">
        <v>11.58839</v>
      </c>
      <c r="J7064">
        <v>-188.66130000000001</v>
      </c>
      <c r="K7064">
        <v>1.1217569999999999</v>
      </c>
      <c r="L7064">
        <v>-34.90164</v>
      </c>
      <c r="M7064">
        <v>1.928071E-2</v>
      </c>
      <c r="N7064">
        <v>-5.1873350000000004E-3</v>
      </c>
      <c r="O7064">
        <v>0.99980069999999999</v>
      </c>
      <c r="P7064">
        <v>-6.3848680000000001E-3</v>
      </c>
      <c r="Q7064">
        <v>-0.11866259999999999</v>
      </c>
      <c r="R7064">
        <v>0.99291410000000002</v>
      </c>
      <c r="S7064">
        <v>2.5314329999999999E-2</v>
      </c>
      <c r="T7064">
        <v>-7.1828959999999997E-2</v>
      </c>
      <c r="U7064">
        <v>3.012848</v>
      </c>
      <c r="V7064">
        <v>-2.495E-2</v>
      </c>
      <c r="W7064">
        <v>-0.1136404</v>
      </c>
      <c r="X7064">
        <v>0.9932086</v>
      </c>
      <c r="Y7064">
        <v>-1.088066E-2</v>
      </c>
      <c r="Z7064">
        <v>-1.864058E-2</v>
      </c>
      <c r="AA7064">
        <v>0.99976710000000002</v>
      </c>
      <c r="AB7064">
        <v>29</v>
      </c>
      <c r="AC7064">
        <v>0.38760000000001998</v>
      </c>
      <c r="AD7064">
        <v>-1.1217581451709999</v>
      </c>
      <c r="AE7064">
        <v>46.490029999999997</v>
      </c>
      <c r="AF7064">
        <v>-0.50854879622173998</v>
      </c>
      <c r="AG7064">
        <v>-1.1217581451709999</v>
      </c>
      <c r="AH7064">
        <v>46.4618124334946</v>
      </c>
      <c r="AI7064">
        <v>91.382978246133803</v>
      </c>
      <c r="AJ7064">
        <v>90.627107180042998</v>
      </c>
      <c r="AK7064">
        <v>46.4781344055421</v>
      </c>
      <c r="AL7064">
        <v>96.525211729613702</v>
      </c>
      <c r="AM7064">
        <v>91.439001951435898</v>
      </c>
      <c r="AN7064">
        <v>0.99999998306305904</v>
      </c>
    </row>
    <row r="7065" spans="1:40" x14ac:dyDescent="0.25">
      <c r="A7065" t="str">
        <f>"20190303154659519"</f>
        <v>20190303154659519</v>
      </c>
      <c r="B7065" t="str">
        <f>"1551599219508531"</f>
        <v>1551599219508531</v>
      </c>
      <c r="C7065" t="s">
        <v>40</v>
      </c>
      <c r="D7065">
        <v>4.5430900000000003</v>
      </c>
      <c r="E7065">
        <v>0.50572499999999998</v>
      </c>
      <c r="F7065" t="s">
        <v>41</v>
      </c>
      <c r="G7065">
        <v>-188.3981</v>
      </c>
      <c r="H7065" s="1">
        <v>-9.4322070000000005E-7</v>
      </c>
      <c r="I7065">
        <v>11.167289999999999</v>
      </c>
      <c r="J7065">
        <v>-188.65799999999999</v>
      </c>
      <c r="K7065">
        <v>1.121688</v>
      </c>
      <c r="L7065">
        <v>-34.573270000000001</v>
      </c>
      <c r="M7065">
        <v>1.6352530000000001E-2</v>
      </c>
      <c r="N7065">
        <v>-5.2345259999999998E-3</v>
      </c>
      <c r="O7065">
        <v>0.99985259999999998</v>
      </c>
      <c r="P7065">
        <v>-7.8338739999999994E-3</v>
      </c>
      <c r="Q7065">
        <v>-0.1184655</v>
      </c>
      <c r="R7065">
        <v>0.99292729999999996</v>
      </c>
      <c r="S7065">
        <v>1.721191E-2</v>
      </c>
      <c r="T7065">
        <v>-7.3359250000000001E-2</v>
      </c>
      <c r="U7065">
        <v>3.012756</v>
      </c>
      <c r="V7065">
        <v>-2.3513760000000002E-2</v>
      </c>
      <c r="W7065">
        <v>-0.1133845</v>
      </c>
      <c r="X7065">
        <v>0.99327290000000001</v>
      </c>
      <c r="Y7065">
        <v>-1.064055E-2</v>
      </c>
      <c r="Z7065">
        <v>-1.9103499999999999E-2</v>
      </c>
      <c r="AA7065">
        <v>0.99976089999999995</v>
      </c>
      <c r="AB7065">
        <v>29</v>
      </c>
      <c r="AC7065">
        <v>0.25989999999998697</v>
      </c>
      <c r="AD7065">
        <v>-1.1216889432207</v>
      </c>
      <c r="AE7065">
        <v>45.740559999999903</v>
      </c>
      <c r="AF7065">
        <v>-0.48782551530031898</v>
      </c>
      <c r="AG7065">
        <v>-1.1216889432207</v>
      </c>
      <c r="AH7065">
        <v>45.7112054012429</v>
      </c>
      <c r="AI7065">
        <v>91.405596062072306</v>
      </c>
      <c r="AJ7065">
        <v>90.6114317465304</v>
      </c>
      <c r="AK7065">
        <v>45.7275678235059</v>
      </c>
      <c r="AL7065">
        <v>96.510454259712304</v>
      </c>
      <c r="AM7065">
        <v>91.356110313341702</v>
      </c>
      <c r="AN7065">
        <v>0.999999997811998</v>
      </c>
    </row>
    <row r="7066" spans="1:40" x14ac:dyDescent="0.25">
      <c r="A7066" t="str">
        <f>"20190303154659560"</f>
        <v>20190303154659560</v>
      </c>
      <c r="B7066" t="str">
        <f>"1551599219548547"</f>
        <v>1551599219548547</v>
      </c>
      <c r="C7066" t="s">
        <v>40</v>
      </c>
      <c r="D7066">
        <v>4.5932570000000004</v>
      </c>
      <c r="E7066">
        <v>0.50606450000000003</v>
      </c>
      <c r="F7066" t="s">
        <v>41</v>
      </c>
      <c r="G7066">
        <v>-188.43860000000001</v>
      </c>
      <c r="H7066" s="1">
        <v>-1.080959E-6</v>
      </c>
      <c r="I7066">
        <v>11.50689</v>
      </c>
      <c r="J7066">
        <v>-188.6542</v>
      </c>
      <c r="K7066">
        <v>1.121529</v>
      </c>
      <c r="L7066">
        <v>-34.031799999999997</v>
      </c>
      <c r="M7066">
        <v>1.198081E-2</v>
      </c>
      <c r="N7066">
        <v>-5.3093489999999997E-3</v>
      </c>
      <c r="O7066">
        <v>0.99991410000000003</v>
      </c>
      <c r="P7066">
        <v>-7.5219309999999999E-3</v>
      </c>
      <c r="Q7066">
        <v>-0.1161784</v>
      </c>
      <c r="R7066">
        <v>0.99319990000000002</v>
      </c>
      <c r="S7066">
        <v>1.434326E-2</v>
      </c>
      <c r="T7066">
        <v>-7.3336120000000005E-2</v>
      </c>
      <c r="U7066">
        <v>3.0127259999999998</v>
      </c>
      <c r="V7066">
        <v>-1.8926370000000001E-2</v>
      </c>
      <c r="W7066">
        <v>-0.1109897</v>
      </c>
      <c r="X7066">
        <v>0.99364129999999995</v>
      </c>
      <c r="Y7066">
        <v>-7.2206400000000004E-3</v>
      </c>
      <c r="Z7066">
        <v>-1.9023869999999998E-2</v>
      </c>
      <c r="AA7066">
        <v>0.99979289999999998</v>
      </c>
      <c r="AB7066">
        <v>29</v>
      </c>
      <c r="AC7066">
        <v>0.21559999999999399</v>
      </c>
      <c r="AD7066">
        <v>-1.1215300809590001</v>
      </c>
      <c r="AE7066">
        <v>45.538690000000003</v>
      </c>
      <c r="AF7066">
        <v>-0.32981353328413698</v>
      </c>
      <c r="AG7066">
        <v>-1.1215300809590001</v>
      </c>
      <c r="AH7066">
        <v>45.510401236890203</v>
      </c>
      <c r="AI7066">
        <v>91.411638852765506</v>
      </c>
      <c r="AJ7066">
        <v>90.415214811672001</v>
      </c>
      <c r="AK7066">
        <v>45.525412984749202</v>
      </c>
      <c r="AL7066">
        <v>96.372370716849204</v>
      </c>
      <c r="AM7066">
        <v>91.091208676967696</v>
      </c>
      <c r="AN7066">
        <v>0.99999997702657795</v>
      </c>
    </row>
    <row r="7067" spans="1:40" x14ac:dyDescent="0.25">
      <c r="A7067" t="str">
        <f>"20190303154659607"</f>
        <v>20190303154659607</v>
      </c>
      <c r="B7067" t="str">
        <f>"1551599219598322"</f>
        <v>1551599219598322</v>
      </c>
      <c r="C7067" t="s">
        <v>40</v>
      </c>
      <c r="D7067">
        <v>4.6368470000000004</v>
      </c>
      <c r="E7067">
        <v>0.50641519999999995</v>
      </c>
      <c r="F7067" t="s">
        <v>41</v>
      </c>
      <c r="G7067">
        <v>-188.34549999999999</v>
      </c>
      <c r="H7067" s="1">
        <v>-2.887251E-6</v>
      </c>
      <c r="I7067">
        <v>15.67891</v>
      </c>
      <c r="J7067">
        <v>-188.65180000000001</v>
      </c>
      <c r="K7067">
        <v>1.1213059999999999</v>
      </c>
      <c r="L7067">
        <v>-33.419739999999997</v>
      </c>
      <c r="M7067">
        <v>7.7416489999999998E-3</v>
      </c>
      <c r="N7067">
        <v>-5.3920720000000004E-3</v>
      </c>
      <c r="O7067">
        <v>0.9999555</v>
      </c>
      <c r="P7067">
        <v>-5.384692E-3</v>
      </c>
      <c r="Q7067">
        <v>-0.113583199999999</v>
      </c>
      <c r="R7067">
        <v>0.99351389999999995</v>
      </c>
      <c r="S7067">
        <v>1.870728E-2</v>
      </c>
      <c r="T7067">
        <v>-6.7970630000000004E-2</v>
      </c>
      <c r="U7067">
        <v>3.0127259999999998</v>
      </c>
      <c r="V7067">
        <v>-1.265761E-2</v>
      </c>
      <c r="W7067">
        <v>-0.1082746</v>
      </c>
      <c r="X7067">
        <v>0.99404040000000005</v>
      </c>
      <c r="Y7067">
        <v>-1.5332989999999999E-3</v>
      </c>
      <c r="Z7067">
        <v>-1.7163299999999999E-2</v>
      </c>
      <c r="AA7067">
        <v>0.9998515</v>
      </c>
      <c r="AB7067">
        <v>29</v>
      </c>
      <c r="AC7067">
        <v>0.306300000000021</v>
      </c>
      <c r="AD7067">
        <v>-1.121308887251</v>
      </c>
      <c r="AE7067">
        <v>49.098649999999999</v>
      </c>
      <c r="AF7067">
        <v>-7.3780737587938502E-2</v>
      </c>
      <c r="AG7067">
        <v>-1.121308887251</v>
      </c>
      <c r="AH7067">
        <v>49.073955481369602</v>
      </c>
      <c r="AI7067">
        <v>91.308943129049297</v>
      </c>
      <c r="AJ7067">
        <v>90.086141857662597</v>
      </c>
      <c r="AK7067">
        <v>49.086819858341897</v>
      </c>
      <c r="AL7067">
        <v>96.215863605828204</v>
      </c>
      <c r="AM7067">
        <v>90.729536182766495</v>
      </c>
      <c r="AN7067">
        <v>0.99999996046411499</v>
      </c>
    </row>
    <row r="7068" spans="1:40" x14ac:dyDescent="0.25">
      <c r="A7068" t="str">
        <f>"20190303154659632"</f>
        <v>20190303154659632</v>
      </c>
      <c r="B7068" t="str">
        <f>"1551599219628579"</f>
        <v>1551599219628579</v>
      </c>
      <c r="C7068" t="s">
        <v>40</v>
      </c>
      <c r="D7068">
        <v>4.6810090000000004</v>
      </c>
      <c r="E7068">
        <v>0.50755030000000001</v>
      </c>
      <c r="F7068" t="s">
        <v>41</v>
      </c>
      <c r="G7068">
        <v>-188.15450000000001</v>
      </c>
      <c r="H7068" s="1">
        <v>-5.4063949999999999E-7</v>
      </c>
      <c r="I7068">
        <v>19.793839999999999</v>
      </c>
      <c r="J7068">
        <v>-188.65129999999999</v>
      </c>
      <c r="K7068">
        <v>1.1212029999999999</v>
      </c>
      <c r="L7068">
        <v>-33.076599999999999</v>
      </c>
      <c r="M7068">
        <v>5.6486919999999899E-3</v>
      </c>
      <c r="N7068">
        <v>-5.4386490000000003E-3</v>
      </c>
      <c r="O7068">
        <v>0.9999692</v>
      </c>
      <c r="P7068">
        <v>-3.5643189999999998E-3</v>
      </c>
      <c r="Q7068">
        <v>-0.1117061</v>
      </c>
      <c r="R7068">
        <v>0.99373489999999998</v>
      </c>
      <c r="S7068">
        <v>2.8152469999999999E-2</v>
      </c>
      <c r="T7068">
        <v>-6.3478469999999995E-2</v>
      </c>
      <c r="U7068">
        <v>3.0124819999999999</v>
      </c>
      <c r="V7068">
        <v>-8.7967900000000005E-3</v>
      </c>
      <c r="W7068">
        <v>-0.1063323</v>
      </c>
      <c r="X7068">
        <v>0.9942917</v>
      </c>
      <c r="Y7068">
        <v>3.6947799999999999E-3</v>
      </c>
      <c r="Z7068">
        <v>-1.56285E-2</v>
      </c>
      <c r="AA7068">
        <v>0.99987099999999995</v>
      </c>
      <c r="AB7068">
        <v>30</v>
      </c>
      <c r="AC7068">
        <v>0.49679999999997898</v>
      </c>
      <c r="AD7068">
        <v>-1.1212035406395</v>
      </c>
      <c r="AE7068">
        <v>52.870440000000002</v>
      </c>
      <c r="AF7068">
        <v>0.19804974937158101</v>
      </c>
      <c r="AG7068">
        <v>-1.1212035406395</v>
      </c>
      <c r="AH7068">
        <v>52.8486377538173</v>
      </c>
      <c r="AI7068">
        <v>91.215360457776001</v>
      </c>
      <c r="AJ7068">
        <v>89.785285635817303</v>
      </c>
      <c r="AK7068">
        <v>52.860900801225299</v>
      </c>
      <c r="AL7068">
        <v>96.103931715133001</v>
      </c>
      <c r="AM7068">
        <v>90.506899323663802</v>
      </c>
      <c r="AN7068">
        <v>0.99999996311324102</v>
      </c>
    </row>
    <row r="7069" spans="1:40" x14ac:dyDescent="0.25">
      <c r="A7069" t="str">
        <f>"20190303154659673"</f>
        <v>20190303154659673</v>
      </c>
      <c r="B7069" t="str">
        <f>"1551599219668595"</f>
        <v>1551599219668595</v>
      </c>
      <c r="C7069" t="s">
        <v>40</v>
      </c>
      <c r="D7069">
        <v>4.7385089999999996</v>
      </c>
      <c r="E7069">
        <v>0.50496790000000003</v>
      </c>
      <c r="F7069" t="s">
        <v>41</v>
      </c>
      <c r="G7069">
        <v>-188.17169999999999</v>
      </c>
      <c r="H7069" s="1">
        <v>-5.0557719999999996E-7</v>
      </c>
      <c r="I7069">
        <v>-0.29577100000000001</v>
      </c>
      <c r="J7069">
        <v>-188.65170000000001</v>
      </c>
      <c r="K7069">
        <v>1.1210830000000001</v>
      </c>
      <c r="L7069">
        <v>-32.524630000000002</v>
      </c>
      <c r="M7069">
        <v>2.6223689999999998E-3</v>
      </c>
      <c r="N7069">
        <v>-5.5140709999999997E-3</v>
      </c>
      <c r="O7069">
        <v>0.99998129999999996</v>
      </c>
      <c r="P7069">
        <v>6.3712070000000005E-4</v>
      </c>
      <c r="Q7069">
        <v>-0.1080047</v>
      </c>
      <c r="R7069">
        <v>0.99415019999999998</v>
      </c>
      <c r="S7069">
        <v>4.400635E-2</v>
      </c>
      <c r="T7069">
        <v>-0.10286579999999999</v>
      </c>
      <c r="U7069">
        <v>3.0075069999999999</v>
      </c>
      <c r="V7069">
        <v>-1.6386160000000001E-3</v>
      </c>
      <c r="W7069">
        <v>-0.1025271</v>
      </c>
      <c r="X7069">
        <v>0.99472890000000003</v>
      </c>
      <c r="Y7069">
        <v>1.2001090000000001E-2</v>
      </c>
      <c r="Z7069">
        <v>-2.8668530000000001E-2</v>
      </c>
      <c r="AA7069">
        <v>0.99951690000000004</v>
      </c>
      <c r="AB7069">
        <v>30</v>
      </c>
      <c r="AC7069">
        <v>0.48000000000001802</v>
      </c>
      <c r="AD7069">
        <v>-1.1210835055771999</v>
      </c>
      <c r="AE7069">
        <v>32.228859</v>
      </c>
      <c r="AF7069">
        <v>0.39500325019780502</v>
      </c>
      <c r="AG7069">
        <v>-1.1210835055771999</v>
      </c>
      <c r="AH7069">
        <v>32.191064324702097</v>
      </c>
      <c r="AI7069">
        <v>91.994422237857407</v>
      </c>
      <c r="AJ7069">
        <v>89.296982444446797</v>
      </c>
      <c r="AK7069">
        <v>32.213001694211201</v>
      </c>
      <c r="AL7069">
        <v>95.884710588454595</v>
      </c>
      <c r="AM7069">
        <v>90.094383199402401</v>
      </c>
      <c r="AN7069">
        <v>1.0000000378959999</v>
      </c>
    </row>
    <row r="7070" spans="1:40" x14ac:dyDescent="0.25">
      <c r="A7070" t="str">
        <f>"20190303154659717"</f>
        <v>20190303154659717</v>
      </c>
      <c r="B7070" t="str">
        <f>"1551599219708611"</f>
        <v>1551599219708611</v>
      </c>
      <c r="C7070" t="s">
        <v>40</v>
      </c>
      <c r="D7070">
        <v>4.7939559999999997</v>
      </c>
      <c r="E7070">
        <v>0.50075360000000002</v>
      </c>
      <c r="F7070" t="s">
        <v>41</v>
      </c>
      <c r="G7070">
        <v>-188.22919999999999</v>
      </c>
      <c r="H7070" s="1">
        <v>-1.3383890000000001E-6</v>
      </c>
      <c r="I7070">
        <v>2.0204029999999999</v>
      </c>
      <c r="J7070">
        <v>-188.6534</v>
      </c>
      <c r="K7070">
        <v>1.1209769999999999</v>
      </c>
      <c r="L7070">
        <v>-31.92953</v>
      </c>
      <c r="M7070">
        <v>-2.5311639999999998E-4</v>
      </c>
      <c r="N7070">
        <v>-5.5951319999999896E-3</v>
      </c>
      <c r="O7070">
        <v>0.99998430000000005</v>
      </c>
      <c r="P7070">
        <v>2.7000140000000001E-3</v>
      </c>
      <c r="Q7070">
        <v>-0.1016662</v>
      </c>
      <c r="R7070">
        <v>0.99481489999999995</v>
      </c>
      <c r="S7070">
        <v>3.6773680000000003E-2</v>
      </c>
      <c r="T7070">
        <v>-9.7586270000000003E-2</v>
      </c>
      <c r="U7070">
        <v>3.0070190000000001</v>
      </c>
      <c r="V7070">
        <v>3.23245E-3</v>
      </c>
      <c r="W7070">
        <v>-9.6089439999999998E-2</v>
      </c>
      <c r="X7070">
        <v>0.99536749999999996</v>
      </c>
      <c r="Y7070">
        <v>1.2475730000000001E-2</v>
      </c>
      <c r="Z7070">
        <v>-2.6840579999999999E-2</v>
      </c>
      <c r="AA7070">
        <v>0.99956179999999994</v>
      </c>
      <c r="AB7070">
        <v>30</v>
      </c>
      <c r="AC7070">
        <v>0.42420000000001301</v>
      </c>
      <c r="AD7070">
        <v>-1.120978338389</v>
      </c>
      <c r="AE7070">
        <v>33.949933000000001</v>
      </c>
      <c r="AF7070">
        <v>0.43232215052955703</v>
      </c>
      <c r="AG7070">
        <v>-1.120978338389</v>
      </c>
      <c r="AH7070">
        <v>33.912857625631297</v>
      </c>
      <c r="AI7070">
        <v>91.893050104452897</v>
      </c>
      <c r="AJ7070">
        <v>89.269631206042206</v>
      </c>
      <c r="AK7070">
        <v>33.934133364700998</v>
      </c>
      <c r="AL7070">
        <v>95.514026759497696</v>
      </c>
      <c r="AM7070">
        <v>89.813932952986804</v>
      </c>
      <c r="AN7070">
        <v>1.00000004463438</v>
      </c>
    </row>
    <row r="7071" spans="1:40" x14ac:dyDescent="0.25">
      <c r="A7071" t="str">
        <f>"20190303154659740"</f>
        <v>20190303154659740</v>
      </c>
      <c r="B7071" t="str">
        <f>"1551599219729107"</f>
        <v>1551599219729107</v>
      </c>
      <c r="C7071" t="s">
        <v>40</v>
      </c>
      <c r="D7071">
        <v>4.8191110000000004</v>
      </c>
      <c r="E7071">
        <v>0.49959439999999999</v>
      </c>
      <c r="F7071" t="s">
        <v>41</v>
      </c>
      <c r="G7071">
        <v>-188.5342</v>
      </c>
      <c r="H7071" s="1">
        <v>-3.0215420000000001E-6</v>
      </c>
      <c r="I7071">
        <v>6.0700059999999896</v>
      </c>
      <c r="J7071">
        <v>-188.6549</v>
      </c>
      <c r="K7071">
        <v>1.120946</v>
      </c>
      <c r="L7071">
        <v>-31.61084</v>
      </c>
      <c r="M7071">
        <v>-1.6863E-3</v>
      </c>
      <c r="N7071">
        <v>-5.6386930000000002E-3</v>
      </c>
      <c r="O7071">
        <v>0.9999827</v>
      </c>
      <c r="P7071">
        <v>1.7978849999999999E-3</v>
      </c>
      <c r="Q7071">
        <v>-9.7945190000000001E-2</v>
      </c>
      <c r="R7071">
        <v>0.99519020000000002</v>
      </c>
      <c r="S7071">
        <v>9.4299320000000002E-3</v>
      </c>
      <c r="T7071">
        <v>-8.8693019999999997E-2</v>
      </c>
      <c r="U7071">
        <v>3.006561</v>
      </c>
      <c r="V7071">
        <v>3.7340720000000002E-3</v>
      </c>
      <c r="W7071">
        <v>-9.2322029999999999E-2</v>
      </c>
      <c r="X7071">
        <v>0.9957222</v>
      </c>
      <c r="Y7071">
        <v>4.8213800000000001E-3</v>
      </c>
      <c r="Z7071">
        <v>-2.384996E-2</v>
      </c>
      <c r="AA7071">
        <v>0.99970389999999998</v>
      </c>
      <c r="AB7071">
        <v>30</v>
      </c>
      <c r="AC7071">
        <v>0.120699999999999</v>
      </c>
      <c r="AD7071">
        <v>-1.1209490215419999</v>
      </c>
      <c r="AE7071">
        <v>37.680846000000003</v>
      </c>
      <c r="AF7071">
        <v>0.18407914437046</v>
      </c>
      <c r="AG7071">
        <v>-1.1209490215419999</v>
      </c>
      <c r="AH7071">
        <v>37.647272374372697</v>
      </c>
      <c r="AI7071">
        <v>91.705459842189796</v>
      </c>
      <c r="AJ7071">
        <v>89.719850248030596</v>
      </c>
      <c r="AK7071">
        <v>37.664406660273997</v>
      </c>
      <c r="AL7071">
        <v>95.297205923783096</v>
      </c>
      <c r="AM7071">
        <v>89.785135288666993</v>
      </c>
      <c r="AN7071">
        <v>1.0000000000449301</v>
      </c>
    </row>
    <row r="7072" spans="1:40" x14ac:dyDescent="0.25">
      <c r="A7072" t="str">
        <f>"20190303154659764"</f>
        <v>20190303154659764</v>
      </c>
      <c r="B7072" t="str">
        <f>"1551599219758388"</f>
        <v>1551599219758388</v>
      </c>
      <c r="C7072" t="s">
        <v>40</v>
      </c>
      <c r="D7072">
        <v>4.8458220000000001</v>
      </c>
      <c r="E7072">
        <v>0.49825350000000002</v>
      </c>
      <c r="F7072" t="s">
        <v>41</v>
      </c>
      <c r="G7072">
        <v>-188.68780000000001</v>
      </c>
      <c r="H7072" s="1">
        <v>-4.0909080000000003E-6</v>
      </c>
      <c r="I7072">
        <v>8.6262249999999998</v>
      </c>
      <c r="J7072">
        <v>-188.6568</v>
      </c>
      <c r="K7072">
        <v>1.120889</v>
      </c>
      <c r="L7072">
        <v>-31.299959999999999</v>
      </c>
      <c r="M7072">
        <v>-2.962747E-3</v>
      </c>
      <c r="N7072">
        <v>-5.6810819999999996E-3</v>
      </c>
      <c r="O7072">
        <v>0.99997950000000002</v>
      </c>
      <c r="P7072">
        <v>4.9919549999999997E-4</v>
      </c>
      <c r="Q7072">
        <v>-9.6020560000000005E-2</v>
      </c>
      <c r="R7072">
        <v>0.99537920000000002</v>
      </c>
      <c r="S7072">
        <v>-2.4566649999999998E-3</v>
      </c>
      <c r="T7072">
        <v>-8.3750249999999998E-2</v>
      </c>
      <c r="U7072">
        <v>3.006256</v>
      </c>
      <c r="V7072">
        <v>3.686005E-3</v>
      </c>
      <c r="W7072">
        <v>-9.0354829999999997E-2</v>
      </c>
      <c r="X7072">
        <v>0.99590279999999998</v>
      </c>
      <c r="Y7072">
        <v>2.1456100000000001E-3</v>
      </c>
      <c r="Z7072">
        <v>-2.216831E-2</v>
      </c>
      <c r="AA7072">
        <v>0.99975190000000003</v>
      </c>
      <c r="AB7072">
        <v>30</v>
      </c>
      <c r="AC7072">
        <v>-3.1000000000005901E-2</v>
      </c>
      <c r="AD7072">
        <v>-1.1208930909079999</v>
      </c>
      <c r="AE7072">
        <v>39.926184999999997</v>
      </c>
      <c r="AF7072">
        <v>8.7224480164043994E-2</v>
      </c>
      <c r="AG7072">
        <v>-1.1208930909079999</v>
      </c>
      <c r="AH7072">
        <v>39.894658370586697</v>
      </c>
      <c r="AI7072">
        <v>91.609373322278003</v>
      </c>
      <c r="AJ7072">
        <v>89.874730431978307</v>
      </c>
      <c r="AK7072">
        <v>39.910497064519397</v>
      </c>
      <c r="AL7072">
        <v>95.184020603109502</v>
      </c>
      <c r="AM7072">
        <v>89.787939580628901</v>
      </c>
      <c r="AN7072">
        <v>0.99999998449251404</v>
      </c>
    </row>
    <row r="7073" spans="1:40" x14ac:dyDescent="0.25">
      <c r="A7073" t="str">
        <f>"20190303154659807"</f>
        <v>20190303154659807</v>
      </c>
      <c r="B7073" t="str">
        <f>"1551599219798403"</f>
        <v>1551599219798403</v>
      </c>
      <c r="C7073" t="s">
        <v>40</v>
      </c>
      <c r="D7073">
        <v>4.8254929999999998</v>
      </c>
      <c r="E7073">
        <v>0.49843969999999999</v>
      </c>
      <c r="F7073" t="s">
        <v>41</v>
      </c>
      <c r="G7073">
        <v>-188.87430000000001</v>
      </c>
      <c r="H7073" s="1">
        <v>-3.6076890000000001E-6</v>
      </c>
      <c r="I7073">
        <v>7.5769279999999997</v>
      </c>
      <c r="J7073">
        <v>-188.6609</v>
      </c>
      <c r="K7073">
        <v>1.120709</v>
      </c>
      <c r="L7073">
        <v>-30.712009999999999</v>
      </c>
      <c r="M7073">
        <v>-4.9702390000000004E-3</v>
      </c>
      <c r="N7073">
        <v>-5.7594769999999998E-3</v>
      </c>
      <c r="O7073">
        <v>0.9999711</v>
      </c>
      <c r="P7073">
        <v>-1.056714E-3</v>
      </c>
      <c r="Q7073">
        <v>-9.8284179999999999E-2</v>
      </c>
      <c r="R7073">
        <v>0.99515779999999998</v>
      </c>
      <c r="S7073">
        <v>-1.6815190000000001E-2</v>
      </c>
      <c r="T7073">
        <v>-8.6656570000000002E-2</v>
      </c>
      <c r="U7073">
        <v>3.005585</v>
      </c>
      <c r="V7073">
        <v>4.0885660000000001E-3</v>
      </c>
      <c r="W7073">
        <v>-9.254242E-2</v>
      </c>
      <c r="X7073">
        <v>0.99570040000000004</v>
      </c>
      <c r="Y7073">
        <v>-6.2269639999999998E-4</v>
      </c>
      <c r="Z7073">
        <v>-2.306163E-2</v>
      </c>
      <c r="AA7073">
        <v>0.99973389999999995</v>
      </c>
      <c r="AB7073">
        <v>31</v>
      </c>
      <c r="AC7073">
        <v>-0.213400000000007</v>
      </c>
      <c r="AD7073">
        <v>-1.1207126076889999</v>
      </c>
      <c r="AE7073">
        <v>38.288938000000002</v>
      </c>
      <c r="AF7073">
        <v>-2.3069278469748399E-2</v>
      </c>
      <c r="AG7073">
        <v>-1.1207126076889999</v>
      </c>
      <c r="AH7073">
        <v>38.256751187068097</v>
      </c>
      <c r="AI7073">
        <v>91.677971338523406</v>
      </c>
      <c r="AJ7073">
        <v>90.034550036045999</v>
      </c>
      <c r="AK7073">
        <v>38.273169980155501</v>
      </c>
      <c r="AL7073">
        <v>95.309887358828902</v>
      </c>
      <c r="AM7073">
        <v>89.764732183029807</v>
      </c>
      <c r="AN7073">
        <v>1.0000000512157701</v>
      </c>
    </row>
    <row r="7074" spans="1:40" x14ac:dyDescent="0.25">
      <c r="A7074" t="str">
        <f>"20190303154659898"</f>
        <v>20190303154659898</v>
      </c>
      <c r="B7074" t="str">
        <f>"1551599219888195"</f>
        <v>1551599219888195</v>
      </c>
      <c r="C7074" t="s">
        <v>40</v>
      </c>
      <c r="D7074">
        <v>4.9640370000000003</v>
      </c>
      <c r="E7074">
        <v>0.49843969999999999</v>
      </c>
      <c r="F7074" t="s">
        <v>41</v>
      </c>
      <c r="G7074">
        <v>-188.8887</v>
      </c>
      <c r="H7074" s="1">
        <v>-2.414111E-6</v>
      </c>
      <c r="I7074">
        <v>4.8006149999999996</v>
      </c>
      <c r="J7074">
        <v>-188.6712</v>
      </c>
      <c r="K7074">
        <v>1.1202719999999999</v>
      </c>
      <c r="L7074">
        <v>-29.437899999999999</v>
      </c>
      <c r="M7074">
        <v>-7.3509769999999999E-3</v>
      </c>
      <c r="N7074">
        <v>-5.9288129999999998E-3</v>
      </c>
      <c r="O7074">
        <v>0.99995540000000005</v>
      </c>
      <c r="P7074">
        <v>-1.0938359999999999E-2</v>
      </c>
      <c r="Q7074">
        <v>-8.1344420000000001E-2</v>
      </c>
      <c r="R7074">
        <v>0.99662600000000001</v>
      </c>
      <c r="S7074">
        <v>-1.927185E-2</v>
      </c>
      <c r="T7074">
        <v>-9.4839099999999996E-2</v>
      </c>
      <c r="U7074">
        <v>3.0052189999999999</v>
      </c>
      <c r="V7074">
        <v>-3.54879E-3</v>
      </c>
      <c r="W7074">
        <v>-7.5436870000000003E-2</v>
      </c>
      <c r="X7074">
        <v>0.99714429999999998</v>
      </c>
      <c r="Y7074">
        <v>9.4046440000000004E-4</v>
      </c>
      <c r="Z7074">
        <v>-2.561455E-2</v>
      </c>
      <c r="AA7074">
        <v>0.99967150000000005</v>
      </c>
      <c r="AB7074">
        <v>31</v>
      </c>
      <c r="AC7074">
        <v>-0.217500000000001</v>
      </c>
      <c r="AD7074">
        <v>-1.1202744141109999</v>
      </c>
      <c r="AE7074">
        <v>34.238515</v>
      </c>
      <c r="AF7074">
        <v>3.4160268171404003E-2</v>
      </c>
      <c r="AG7074">
        <v>-1.1202744141109999</v>
      </c>
      <c r="AH7074">
        <v>34.2025736469812</v>
      </c>
      <c r="AI7074">
        <v>91.875999898177994</v>
      </c>
      <c r="AJ7074">
        <v>89.942775109187394</v>
      </c>
      <c r="AK7074">
        <v>34.220932567129303</v>
      </c>
      <c r="AL7074">
        <v>94.326324071443594</v>
      </c>
      <c r="AM7074">
        <v>90.203912142818695</v>
      </c>
      <c r="AN7074">
        <v>1.00000003514417</v>
      </c>
    </row>
    <row r="7075" spans="1:40" x14ac:dyDescent="0.25">
      <c r="A7075" t="str">
        <f>"20190303154659964"</f>
        <v>20190303154659964</v>
      </c>
      <c r="B7075" t="str">
        <f>"1551599219958467"</f>
        <v>1551599219958467</v>
      </c>
      <c r="C7075" t="s">
        <v>40</v>
      </c>
      <c r="D7075">
        <v>4.8195050000000004</v>
      </c>
      <c r="E7075">
        <v>0.49941210000000003</v>
      </c>
      <c r="F7075" t="s">
        <v>41</v>
      </c>
      <c r="G7075">
        <v>-189.9315</v>
      </c>
      <c r="H7075" s="1">
        <v>-3.4304499999999999E-6</v>
      </c>
      <c r="I7075">
        <v>47.600929999999998</v>
      </c>
      <c r="J7075">
        <v>-188.6773</v>
      </c>
      <c r="K7075">
        <v>1.119586</v>
      </c>
      <c r="L7075">
        <v>-28.52084</v>
      </c>
      <c r="M7075">
        <v>-6.5554649999999999E-3</v>
      </c>
      <c r="N7075">
        <v>-6.0579190000000002E-3</v>
      </c>
      <c r="O7075">
        <v>0.99996019999999997</v>
      </c>
      <c r="P7075">
        <v>-7.0962909999999898E-3</v>
      </c>
      <c r="Q7075">
        <v>-8.3923880000000006E-2</v>
      </c>
      <c r="R7075">
        <v>0.99644690000000002</v>
      </c>
      <c r="S7075">
        <v>-4.917908E-2</v>
      </c>
      <c r="T7075">
        <v>-4.3712969999999997E-2</v>
      </c>
      <c r="U7075">
        <v>3.0060419999999999</v>
      </c>
      <c r="V7075">
        <v>-6.2020800000000002E-4</v>
      </c>
      <c r="W7075">
        <v>-7.7885360000000001E-2</v>
      </c>
      <c r="X7075">
        <v>0.99696209999999996</v>
      </c>
      <c r="Y7075">
        <v>-9.8016260000000008E-3</v>
      </c>
      <c r="Z7075">
        <v>-8.4811539999999994E-3</v>
      </c>
      <c r="AA7075">
        <v>0.99991600000000003</v>
      </c>
      <c r="AB7075">
        <v>31</v>
      </c>
      <c r="AC7075">
        <v>-1.25419999999999</v>
      </c>
      <c r="AD7075">
        <v>-1.11958943045</v>
      </c>
      <c r="AE7075">
        <v>76.121769999999998</v>
      </c>
      <c r="AF7075">
        <v>-0.75498703676103096</v>
      </c>
      <c r="AG7075">
        <v>-1.11958943045</v>
      </c>
      <c r="AH7075">
        <v>76.111896127813395</v>
      </c>
      <c r="AI7075">
        <v>90.842706216794994</v>
      </c>
      <c r="AJ7075">
        <v>90.568323143934293</v>
      </c>
      <c r="AK7075">
        <v>76.1238741663186</v>
      </c>
      <c r="AL7075">
        <v>94.467026588456207</v>
      </c>
      <c r="AM7075">
        <v>90.035643577861293</v>
      </c>
      <c r="AN7075">
        <v>0.99999997139835095</v>
      </c>
    </row>
    <row r="7076" spans="1:40" x14ac:dyDescent="0.25">
      <c r="A7076" t="str">
        <f>"20190303154659987"</f>
        <v>20190303154659987</v>
      </c>
      <c r="B7076" t="str">
        <f>"1551599219978963"</f>
        <v>1551599219978963</v>
      </c>
      <c r="C7076" t="s">
        <v>40</v>
      </c>
      <c r="D7076">
        <v>4.926158</v>
      </c>
      <c r="E7076">
        <v>0.49995650000000003</v>
      </c>
      <c r="F7076" t="s">
        <v>61</v>
      </c>
      <c r="G7076">
        <v>-190.14590000000001</v>
      </c>
      <c r="H7076" s="1">
        <v>-7.9429590000000002E-7</v>
      </c>
      <c r="I7076">
        <v>120.9739</v>
      </c>
      <c r="J7076">
        <v>-188.67859999999999</v>
      </c>
      <c r="K7076">
        <v>1.119291</v>
      </c>
      <c r="L7076">
        <v>-28.182590000000001</v>
      </c>
      <c r="M7076">
        <v>-5.6328769999999997E-3</v>
      </c>
      <c r="N7076">
        <v>-6.108123E-3</v>
      </c>
      <c r="O7076">
        <v>0.99996549999999995</v>
      </c>
      <c r="P7076">
        <v>-6.3494709999999998E-3</v>
      </c>
      <c r="Q7076">
        <v>-9.1944490000000004E-2</v>
      </c>
      <c r="R7076">
        <v>0.99574390000000002</v>
      </c>
      <c r="S7076">
        <v>-2.9556269999999999E-2</v>
      </c>
      <c r="T7076">
        <v>-2.253163E-2</v>
      </c>
      <c r="U7076">
        <v>3.008575</v>
      </c>
      <c r="V7076">
        <v>-8.5591339999999995E-4</v>
      </c>
      <c r="W7076">
        <v>-8.5859459999999999E-2</v>
      </c>
      <c r="X7076">
        <v>0.9963069</v>
      </c>
      <c r="Y7076">
        <v>-4.1904859999999898E-3</v>
      </c>
      <c r="Z7076">
        <v>-1.3806109999999999E-3</v>
      </c>
      <c r="AA7076">
        <v>0.9999903</v>
      </c>
      <c r="AB7076">
        <v>32</v>
      </c>
      <c r="AC7076">
        <v>-1.46730000000002</v>
      </c>
      <c r="AD7076">
        <v>-1.1192917942959</v>
      </c>
      <c r="AE7076">
        <v>149.15648999999999</v>
      </c>
      <c r="AF7076">
        <v>-0.627045594948208</v>
      </c>
      <c r="AG7076">
        <v>-1.1192917942959</v>
      </c>
      <c r="AH7076">
        <v>149.153990478297</v>
      </c>
      <c r="AI7076">
        <v>90.429951120962201</v>
      </c>
      <c r="AJ7076">
        <v>90.240870890444199</v>
      </c>
      <c r="AK7076">
        <v>149.159508164578</v>
      </c>
      <c r="AL7076">
        <v>94.925448941069106</v>
      </c>
      <c r="AM7076">
        <v>90.049221995134502</v>
      </c>
      <c r="AN7076">
        <v>1.00000000922342</v>
      </c>
    </row>
    <row r="7077" spans="1:40" x14ac:dyDescent="0.25">
      <c r="A7077" t="str">
        <f>"20190303154700012"</f>
        <v>20190303154700012</v>
      </c>
      <c r="B7077" t="str">
        <f>"1551599220008243"</f>
        <v>1551599220008243</v>
      </c>
      <c r="C7077" t="s">
        <v>40</v>
      </c>
      <c r="D7077">
        <v>4.9421939999999998</v>
      </c>
      <c r="E7077">
        <v>0.49991289999999999</v>
      </c>
      <c r="F7077" t="s">
        <v>41</v>
      </c>
      <c r="G7077">
        <v>-189.20269999999999</v>
      </c>
      <c r="H7077" s="1">
        <v>-3.9872959999999998E-6</v>
      </c>
      <c r="I7077">
        <v>38.597580000000001</v>
      </c>
      <c r="J7077">
        <v>-188.67939999999999</v>
      </c>
      <c r="K7077">
        <v>1.119041</v>
      </c>
      <c r="L7077">
        <v>-27.82837</v>
      </c>
      <c r="M7077">
        <v>-4.4036809999999996E-3</v>
      </c>
      <c r="N7077">
        <v>-6.1602439999999996E-3</v>
      </c>
      <c r="O7077">
        <v>0.99997130000000001</v>
      </c>
      <c r="P7077">
        <v>-5.0072040000000003E-3</v>
      </c>
      <c r="Q7077">
        <v>-9.9347270000000001E-2</v>
      </c>
      <c r="R7077">
        <v>0.99504020000000004</v>
      </c>
      <c r="S7077">
        <v>-2.3605350000000001E-2</v>
      </c>
      <c r="T7077">
        <v>-5.0417179999999999E-2</v>
      </c>
      <c r="U7077">
        <v>3.0080260000000001</v>
      </c>
      <c r="V7077">
        <v>-8.0122250000000004E-4</v>
      </c>
      <c r="W7077">
        <v>-9.3214290000000005E-2</v>
      </c>
      <c r="X7077">
        <v>0.99564580000000003</v>
      </c>
      <c r="Y7077">
        <v>-3.4428240000000001E-3</v>
      </c>
      <c r="Z7077">
        <v>-1.0598389999999999E-2</v>
      </c>
      <c r="AA7077">
        <v>0.99993790000000005</v>
      </c>
      <c r="AB7077">
        <v>32</v>
      </c>
      <c r="AC7077">
        <v>-0.52330000000000598</v>
      </c>
      <c r="AD7077">
        <v>-1.119044987296</v>
      </c>
      <c r="AE7077">
        <v>66.42595</v>
      </c>
      <c r="AF7077">
        <v>-0.23070520168234601</v>
      </c>
      <c r="AG7077">
        <v>-1.119044987296</v>
      </c>
      <c r="AH7077">
        <v>66.408764434816504</v>
      </c>
      <c r="AI7077">
        <v>90.965386135089801</v>
      </c>
      <c r="AJ7077">
        <v>90.199045732955994</v>
      </c>
      <c r="AK7077">
        <v>66.418592881305699</v>
      </c>
      <c r="AL7077">
        <v>95.348549786201303</v>
      </c>
      <c r="AM7077">
        <v>90.046107418714001</v>
      </c>
      <c r="AN7077">
        <v>1.00000005243766</v>
      </c>
    </row>
    <row r="7078" spans="1:40" x14ac:dyDescent="0.25">
      <c r="A7078" t="str">
        <f>"20190303154700055"</f>
        <v>20190303154700055</v>
      </c>
      <c r="B7078" t="str">
        <f>"1551599220038499"</f>
        <v>1551599220038499</v>
      </c>
      <c r="C7078" t="s">
        <v>40</v>
      </c>
      <c r="D7078">
        <v>4.9745720000000002</v>
      </c>
      <c r="E7078">
        <v>0.49987520000000002</v>
      </c>
      <c r="F7078" t="s">
        <v>41</v>
      </c>
      <c r="G7078">
        <v>-188.9562</v>
      </c>
      <c r="H7078" s="1">
        <v>-1.9915669999999998E-6</v>
      </c>
      <c r="I7078">
        <v>13.843579999999999</v>
      </c>
      <c r="J7078">
        <v>-188.67910000000001</v>
      </c>
      <c r="K7078">
        <v>1.118687</v>
      </c>
      <c r="L7078">
        <v>-27.223690000000001</v>
      </c>
      <c r="M7078">
        <v>-1.622947E-3</v>
      </c>
      <c r="N7078">
        <v>-6.2557759999999898E-3</v>
      </c>
      <c r="O7078">
        <v>0.99997910000000001</v>
      </c>
      <c r="P7078">
        <v>-7.6107079999999999E-3</v>
      </c>
      <c r="Q7078">
        <v>-0.1034244</v>
      </c>
      <c r="R7078">
        <v>0.99460820000000005</v>
      </c>
      <c r="S7078">
        <v>-1.9973749999999998E-2</v>
      </c>
      <c r="T7078">
        <v>-8.0742839999999996E-2</v>
      </c>
      <c r="U7078">
        <v>3.0067750000000002</v>
      </c>
      <c r="V7078">
        <v>-6.2618680000000003E-3</v>
      </c>
      <c r="W7078">
        <v>-9.7183500000000006E-2</v>
      </c>
      <c r="X7078">
        <v>0.99524679999999999</v>
      </c>
      <c r="Y7078">
        <v>-5.017891E-3</v>
      </c>
      <c r="Z7078">
        <v>-2.0589429999999999E-2</v>
      </c>
      <c r="AA7078">
        <v>0.99977539999999998</v>
      </c>
      <c r="AB7078">
        <v>32</v>
      </c>
      <c r="AC7078">
        <v>-0.27709999999999002</v>
      </c>
      <c r="AD7078">
        <v>-1.118688991567</v>
      </c>
      <c r="AE7078">
        <v>41.067270000000001</v>
      </c>
      <c r="AF7078">
        <v>-0.21029228907936501</v>
      </c>
      <c r="AG7078">
        <v>-1.118688991567</v>
      </c>
      <c r="AH7078">
        <v>41.037215789155802</v>
      </c>
      <c r="AI7078">
        <v>91.561495962192694</v>
      </c>
      <c r="AJ7078">
        <v>90.293605570738194</v>
      </c>
      <c r="AK7078">
        <v>41.052999496168901</v>
      </c>
      <c r="AL7078">
        <v>95.577006689368602</v>
      </c>
      <c r="AM7078">
        <v>90.360487342563502</v>
      </c>
      <c r="AN7078">
        <v>1.00000001828666</v>
      </c>
    </row>
    <row r="7079" spans="1:40" x14ac:dyDescent="0.25">
      <c r="A7079" t="str">
        <f>"20190303154700089"</f>
        <v>20190303154700089</v>
      </c>
      <c r="B7079" t="str">
        <f>"1551599220078515"</f>
        <v>1551599220078515</v>
      </c>
      <c r="C7079" t="s">
        <v>40</v>
      </c>
      <c r="D7079">
        <v>4.9753530000000001</v>
      </c>
      <c r="E7079">
        <v>0.4998688</v>
      </c>
      <c r="F7079" t="s">
        <v>41</v>
      </c>
      <c r="G7079">
        <v>-189.00800000000001</v>
      </c>
      <c r="H7079" s="1">
        <v>-3.502472E-6</v>
      </c>
      <c r="I7079">
        <v>7.3869660000000001</v>
      </c>
      <c r="J7079">
        <v>-188.6772</v>
      </c>
      <c r="K7079">
        <v>1.118501</v>
      </c>
      <c r="L7079">
        <v>-26.74042</v>
      </c>
      <c r="M7079">
        <v>1.0171430000000001E-3</v>
      </c>
      <c r="N7079">
        <v>-6.3352570000000004E-3</v>
      </c>
      <c r="O7079">
        <v>0.99997939999999996</v>
      </c>
      <c r="P7079">
        <v>-1.17862E-2</v>
      </c>
      <c r="Q7079">
        <v>-0.1002844</v>
      </c>
      <c r="R7079">
        <v>0.99488900000000002</v>
      </c>
      <c r="S7079">
        <v>-2.8564450000000002E-2</v>
      </c>
      <c r="T7079">
        <v>-9.7158789999999995E-2</v>
      </c>
      <c r="U7079">
        <v>3.005951</v>
      </c>
      <c r="V7079">
        <v>-1.3104330000000001E-2</v>
      </c>
      <c r="W7079">
        <v>-9.3937430000000002E-2</v>
      </c>
      <c r="X7079">
        <v>0.99549189999999999</v>
      </c>
      <c r="Y7079">
        <v>-1.0514829999999999E-2</v>
      </c>
      <c r="Z7079">
        <v>-2.5971009999999999E-2</v>
      </c>
      <c r="AA7079">
        <v>0.99960740000000003</v>
      </c>
      <c r="AB7079">
        <v>32</v>
      </c>
      <c r="AC7079">
        <v>-0.330799999999982</v>
      </c>
      <c r="AD7079">
        <v>-1.118504502472</v>
      </c>
      <c r="AE7079">
        <v>34.127386000000001</v>
      </c>
      <c r="AF7079">
        <v>-0.36512079607199699</v>
      </c>
      <c r="AG7079">
        <v>-1.118504502472</v>
      </c>
      <c r="AH7079">
        <v>34.090416708285098</v>
      </c>
      <c r="AI7079">
        <v>91.879089230538995</v>
      </c>
      <c r="AJ7079">
        <v>90.613635231906997</v>
      </c>
      <c r="AK7079">
        <v>34.1107149860905</v>
      </c>
      <c r="AL7079">
        <v>95.390165305094698</v>
      </c>
      <c r="AM7079">
        <v>90.754179354705599</v>
      </c>
      <c r="AN7079">
        <v>1.0000000435926799</v>
      </c>
    </row>
    <row r="7080" spans="1:40" x14ac:dyDescent="0.25">
      <c r="A7080" t="str">
        <f>"20190303154700131"</f>
        <v>20190303154700131</v>
      </c>
      <c r="B7080" t="str">
        <f>"1551599220118531"</f>
        <v>1551599220118531</v>
      </c>
      <c r="C7080" t="s">
        <v>40</v>
      </c>
      <c r="D7080">
        <v>5.0400970000000003</v>
      </c>
      <c r="E7080">
        <v>0.49989980000000001</v>
      </c>
      <c r="F7080" t="s">
        <v>41</v>
      </c>
      <c r="G7080">
        <v>-189.18279999999999</v>
      </c>
      <c r="H7080" s="1">
        <v>-3.3650869999999998E-7</v>
      </c>
      <c r="I7080">
        <v>9.9979669999999992</v>
      </c>
      <c r="J7080">
        <v>-188.67259999999999</v>
      </c>
      <c r="K7080">
        <v>1.1183719999999999</v>
      </c>
      <c r="L7080">
        <v>-26.13306</v>
      </c>
      <c r="M7080">
        <v>4.5518829999999996E-3</v>
      </c>
      <c r="N7080">
        <v>-6.4380130000000002E-3</v>
      </c>
      <c r="O7080">
        <v>0.99996890000000005</v>
      </c>
      <c r="P7080">
        <v>-1.3258280000000001E-2</v>
      </c>
      <c r="Q7080">
        <v>-9.8796690000000006E-2</v>
      </c>
      <c r="R7080">
        <v>0.99501930000000005</v>
      </c>
      <c r="S7080">
        <v>-4.136658E-2</v>
      </c>
      <c r="T7080">
        <v>-9.1508870000000006E-2</v>
      </c>
      <c r="U7080">
        <v>3.0057070000000001</v>
      </c>
      <c r="V7080">
        <v>-1.8122909999999999E-2</v>
      </c>
      <c r="W7080">
        <v>-9.2323929999999998E-2</v>
      </c>
      <c r="X7080">
        <v>0.99556409999999995</v>
      </c>
      <c r="Y7080">
        <v>-1.8306650000000001E-2</v>
      </c>
      <c r="Z7080">
        <v>-2.3990620000000001E-2</v>
      </c>
      <c r="AA7080">
        <v>0.99954460000000001</v>
      </c>
      <c r="AB7080">
        <v>32</v>
      </c>
      <c r="AC7080">
        <v>-0.51019999999999699</v>
      </c>
      <c r="AD7080">
        <v>-1.1183723365086999</v>
      </c>
      <c r="AE7080">
        <v>36.131027000000003</v>
      </c>
      <c r="AF7080">
        <v>-0.67401668409607196</v>
      </c>
      <c r="AG7080">
        <v>-1.1183723365086999</v>
      </c>
      <c r="AH7080">
        <v>36.093755609766298</v>
      </c>
      <c r="AI7080">
        <v>91.774444354117506</v>
      </c>
      <c r="AJ7080">
        <v>91.069820045358497</v>
      </c>
      <c r="AK7080">
        <v>36.117367694656799</v>
      </c>
      <c r="AL7080">
        <v>95.297315186193003</v>
      </c>
      <c r="AM7080">
        <v>91.042877683820905</v>
      </c>
      <c r="AN7080">
        <v>1.0000000125631601</v>
      </c>
    </row>
    <row r="7081" spans="1:40" x14ac:dyDescent="0.25">
      <c r="A7081" t="str">
        <f>"20190303154700164"</f>
        <v>20190303154700164</v>
      </c>
      <c r="B7081" t="str">
        <f>"1551599220158547"</f>
        <v>1551599220158547</v>
      </c>
      <c r="C7081" t="s">
        <v>40</v>
      </c>
      <c r="D7081">
        <v>5.0282859999999996</v>
      </c>
      <c r="E7081">
        <v>0.50006779999999995</v>
      </c>
      <c r="F7081" t="s">
        <v>41</v>
      </c>
      <c r="G7081">
        <v>-189.22630000000001</v>
      </c>
      <c r="H7081" s="1">
        <v>-8.3905429999999997E-7</v>
      </c>
      <c r="I7081">
        <v>11.26873</v>
      </c>
      <c r="J7081">
        <v>-188.66739999999999</v>
      </c>
      <c r="K7081">
        <v>1.1183449999999999</v>
      </c>
      <c r="L7081">
        <v>-25.64142</v>
      </c>
      <c r="M7081">
        <v>7.4346339999999999E-3</v>
      </c>
      <c r="N7081">
        <v>-6.5290139999999997E-3</v>
      </c>
      <c r="O7081">
        <v>0.99995109999999998</v>
      </c>
      <c r="P7081">
        <v>-1.0093400000000001E-2</v>
      </c>
      <c r="Q7081">
        <v>-9.6340250000000002E-2</v>
      </c>
      <c r="R7081">
        <v>0.99529730000000005</v>
      </c>
      <c r="S7081">
        <v>-4.449463E-2</v>
      </c>
      <c r="T7081">
        <v>-8.9869019999999994E-2</v>
      </c>
      <c r="U7081">
        <v>3.005493</v>
      </c>
      <c r="V7081">
        <v>-1.7828489999999999E-2</v>
      </c>
      <c r="W7081">
        <v>-8.9774599999999996E-2</v>
      </c>
      <c r="X7081">
        <v>0.99580250000000003</v>
      </c>
      <c r="Y7081">
        <v>-2.2229700000000002E-2</v>
      </c>
      <c r="Z7081">
        <v>-2.3354570000000002E-2</v>
      </c>
      <c r="AA7081">
        <v>0.99948009999999998</v>
      </c>
      <c r="AB7081">
        <v>32</v>
      </c>
      <c r="AC7081">
        <v>-0.55890000000002205</v>
      </c>
      <c r="AD7081">
        <v>-1.1183458390543</v>
      </c>
      <c r="AE7081">
        <v>36.910150000000002</v>
      </c>
      <c r="AF7081">
        <v>-0.83253971590075604</v>
      </c>
      <c r="AG7081">
        <v>-1.1183458390543</v>
      </c>
      <c r="AH7081">
        <v>36.8711332153811</v>
      </c>
      <c r="AI7081">
        <v>91.736874863393297</v>
      </c>
      <c r="AJ7081">
        <v>91.293502630193402</v>
      </c>
      <c r="AK7081">
        <v>36.897483442379396</v>
      </c>
      <c r="AL7081">
        <v>95.150640252837604</v>
      </c>
      <c r="AM7081">
        <v>91.025693457674393</v>
      </c>
      <c r="AN7081">
        <v>0.99999997643354399</v>
      </c>
    </row>
    <row r="7082" spans="1:40" x14ac:dyDescent="0.25">
      <c r="A7082" t="str">
        <f>"20190303154700187"</f>
        <v>20190303154700187</v>
      </c>
      <c r="B7082" t="str">
        <f>"1551599220179045"</f>
        <v>1551599220179045</v>
      </c>
      <c r="C7082" t="s">
        <v>40</v>
      </c>
      <c r="D7082">
        <v>5.0501459999999998</v>
      </c>
      <c r="E7082">
        <v>0.50021930000000003</v>
      </c>
      <c r="F7082" t="s">
        <v>41</v>
      </c>
      <c r="G7082">
        <v>-189.0984</v>
      </c>
      <c r="H7082" s="1">
        <v>-1.842012E-6</v>
      </c>
      <c r="I7082">
        <v>13.553739999999999</v>
      </c>
      <c r="J7082">
        <v>-188.66290000000001</v>
      </c>
      <c r="K7082">
        <v>1.1183719999999999</v>
      </c>
      <c r="L7082">
        <v>-25.295719999999999</v>
      </c>
      <c r="M7082">
        <v>9.3968149999999993E-3</v>
      </c>
      <c r="N7082">
        <v>-6.7014369999999898E-3</v>
      </c>
      <c r="O7082">
        <v>0.99993339999999997</v>
      </c>
      <c r="P7082">
        <v>-6.2101889999999996E-3</v>
      </c>
      <c r="Q7082">
        <v>-9.6256149999999999E-2</v>
      </c>
      <c r="R7082">
        <v>0.99533720000000003</v>
      </c>
      <c r="S7082">
        <v>-3.3050540000000003E-2</v>
      </c>
      <c r="T7082">
        <v>-8.5756780000000005E-2</v>
      </c>
      <c r="U7082">
        <v>3.0055540000000001</v>
      </c>
      <c r="V7082">
        <v>-1.589718E-2</v>
      </c>
      <c r="W7082">
        <v>-8.9525859999999999E-2</v>
      </c>
      <c r="X7082">
        <v>0.99585760000000001</v>
      </c>
      <c r="Y7082">
        <v>-2.0386769999999999E-2</v>
      </c>
      <c r="Z7082">
        <v>-2.1815749999999998E-2</v>
      </c>
      <c r="AA7082">
        <v>0.9995541</v>
      </c>
      <c r="AB7082">
        <v>32</v>
      </c>
      <c r="AC7082">
        <v>-0.43549999999999001</v>
      </c>
      <c r="AD7082">
        <v>-1.118373842012</v>
      </c>
      <c r="AE7082">
        <v>38.849460000000001</v>
      </c>
      <c r="AF7082">
        <v>-0.79988736131622895</v>
      </c>
      <c r="AG7082">
        <v>-1.118373842012</v>
      </c>
      <c r="AH7082">
        <v>38.811492735916097</v>
      </c>
      <c r="AI7082">
        <v>91.650201444760498</v>
      </c>
      <c r="AJ7082">
        <v>91.180673029311805</v>
      </c>
      <c r="AK7082">
        <v>38.8358410264456</v>
      </c>
      <c r="AL7082">
        <v>95.136330864004407</v>
      </c>
      <c r="AM7082">
        <v>90.914552404835902</v>
      </c>
      <c r="AN7082">
        <v>0.99999997970922505</v>
      </c>
    </row>
    <row r="7083" spans="1:40" x14ac:dyDescent="0.25">
      <c r="A7083" t="str">
        <f>"20190303154700232"</f>
        <v>20190303154700232</v>
      </c>
      <c r="B7083" t="str">
        <f>"1551599220228820"</f>
        <v>1551599220228820</v>
      </c>
      <c r="C7083" t="s">
        <v>40</v>
      </c>
      <c r="D7083">
        <v>5.1318390000000003</v>
      </c>
      <c r="E7083">
        <v>0.50055939999999999</v>
      </c>
      <c r="F7083" t="s">
        <v>41</v>
      </c>
      <c r="G7083">
        <v>-188.9194</v>
      </c>
      <c r="H7083" s="1">
        <v>-1.8557399999999999E-6</v>
      </c>
      <c r="I7083">
        <v>13.511729999999901</v>
      </c>
      <c r="J7083">
        <v>-188.65280000000001</v>
      </c>
      <c r="K7083">
        <v>1.1184989999999999</v>
      </c>
      <c r="L7083">
        <v>-24.64789</v>
      </c>
      <c r="M7083">
        <v>1.2839710000000001E-2</v>
      </c>
      <c r="N7083">
        <v>-7.4763290000000003E-3</v>
      </c>
      <c r="O7083">
        <v>0.99988960000000005</v>
      </c>
      <c r="P7083">
        <v>2.4965690000000001E-3</v>
      </c>
      <c r="Q7083">
        <v>-0.1020484</v>
      </c>
      <c r="R7083">
        <v>0.99477629999999995</v>
      </c>
      <c r="S7083">
        <v>-1.986694E-2</v>
      </c>
      <c r="T7083">
        <v>-8.661568E-2</v>
      </c>
      <c r="U7083">
        <v>3.0055540000000001</v>
      </c>
      <c r="V7083">
        <v>-1.063006E-2</v>
      </c>
      <c r="W7083">
        <v>-9.4569500000000001E-2</v>
      </c>
      <c r="X7083">
        <v>0.9954615</v>
      </c>
      <c r="Y7083">
        <v>-1.9445029999999999E-2</v>
      </c>
      <c r="Z7083">
        <v>-2.1325630000000002E-2</v>
      </c>
      <c r="AA7083">
        <v>0.99958349999999996</v>
      </c>
      <c r="AB7083">
        <v>32</v>
      </c>
      <c r="AC7083">
        <v>-0.26659999999998202</v>
      </c>
      <c r="AD7083">
        <v>-1.11850085573999</v>
      </c>
      <c r="AE7083">
        <v>38.159619999999997</v>
      </c>
      <c r="AF7083">
        <v>-0.75590078513318204</v>
      </c>
      <c r="AG7083">
        <v>-1.11850085573999</v>
      </c>
      <c r="AH7083">
        <v>38.120301945327498</v>
      </c>
      <c r="AI7083">
        <v>91.6803227998588</v>
      </c>
      <c r="AJ7083">
        <v>91.135989153169305</v>
      </c>
      <c r="AK7083">
        <v>38.144198124540502</v>
      </c>
      <c r="AL7083">
        <v>95.426542462931096</v>
      </c>
      <c r="AM7083">
        <v>90.611811129909597</v>
      </c>
      <c r="AN7083">
        <v>0.99999999324405098</v>
      </c>
    </row>
    <row r="7084" spans="1:40" x14ac:dyDescent="0.25">
      <c r="A7084" t="str">
        <f>"20190303154700258"</f>
        <v>20190303154700258</v>
      </c>
      <c r="B7084" t="str">
        <f>"1551599220249316"</f>
        <v>1551599220249316</v>
      </c>
      <c r="C7084" t="s">
        <v>40</v>
      </c>
      <c r="D7084">
        <v>5.1807800000000004</v>
      </c>
      <c r="E7084">
        <v>0.50067839999999997</v>
      </c>
      <c r="F7084" t="s">
        <v>41</v>
      </c>
      <c r="G7084">
        <v>-188.5591</v>
      </c>
      <c r="H7084" s="1">
        <v>-3.0779440000000002E-6</v>
      </c>
      <c r="I7084">
        <v>6.2117639999999996</v>
      </c>
      <c r="J7084">
        <v>-188.6463</v>
      </c>
      <c r="K7084">
        <v>1.1185590000000001</v>
      </c>
      <c r="L7084">
        <v>-24.279389999999999</v>
      </c>
      <c r="M7084">
        <v>1.462744E-2</v>
      </c>
      <c r="N7084">
        <v>-7.9190690000000008E-3</v>
      </c>
      <c r="O7084">
        <v>0.99986169999999996</v>
      </c>
      <c r="P7084">
        <v>7.1430340000000004E-3</v>
      </c>
      <c r="Q7084">
        <v>-0.104858199999999</v>
      </c>
      <c r="R7084">
        <v>0.9944615</v>
      </c>
      <c r="S7084">
        <v>9.1247559999999995E-3</v>
      </c>
      <c r="T7084">
        <v>-0.1088992</v>
      </c>
      <c r="U7084">
        <v>3.0045470000000001</v>
      </c>
      <c r="V7084">
        <v>-7.7683259999999999E-3</v>
      </c>
      <c r="W7084">
        <v>-9.6951259999999997E-2</v>
      </c>
      <c r="X7084">
        <v>0.9952588</v>
      </c>
      <c r="Y7084">
        <v>-1.1590380000000001E-2</v>
      </c>
      <c r="Z7084">
        <v>-2.8299089999999999E-2</v>
      </c>
      <c r="AA7084">
        <v>0.99953230000000004</v>
      </c>
      <c r="AB7084">
        <v>32</v>
      </c>
      <c r="AC7084">
        <v>8.7199999999995698E-2</v>
      </c>
      <c r="AD7084">
        <v>-1.118562077944</v>
      </c>
      <c r="AE7084">
        <v>30.491154000000002</v>
      </c>
      <c r="AF7084">
        <v>-0.35834856778827201</v>
      </c>
      <c r="AG7084">
        <v>-1.118562077944</v>
      </c>
      <c r="AH7084">
        <v>30.448191120098901</v>
      </c>
      <c r="AI7084">
        <v>92.103758683796798</v>
      </c>
      <c r="AJ7084">
        <v>90.674290060609906</v>
      </c>
      <c r="AK7084">
        <v>30.4708374893818</v>
      </c>
      <c r="AL7084">
        <v>95.563637362733104</v>
      </c>
      <c r="AM7084">
        <v>90.447203536601606</v>
      </c>
      <c r="AN7084">
        <v>0.99999998634093401</v>
      </c>
    </row>
    <row r="7085" spans="1:40" x14ac:dyDescent="0.25">
      <c r="A7085" t="str">
        <f>"20190303154700299"</f>
        <v>20190303154700299</v>
      </c>
      <c r="B7085" t="str">
        <f>"1551599220289331"</f>
        <v>1551599220289331</v>
      </c>
      <c r="C7085" t="s">
        <v>40</v>
      </c>
      <c r="D7085">
        <v>5.2004080000000004</v>
      </c>
      <c r="E7085">
        <v>0.50068250000000003</v>
      </c>
      <c r="F7085" t="s">
        <v>41</v>
      </c>
      <c r="G7085">
        <v>-188.4222</v>
      </c>
      <c r="H7085" s="1">
        <v>-2.147078E-6</v>
      </c>
      <c r="I7085">
        <v>3.985277</v>
      </c>
      <c r="J7085">
        <v>-188.63460000000001</v>
      </c>
      <c r="K7085">
        <v>1.118746</v>
      </c>
      <c r="L7085">
        <v>-23.687010000000001</v>
      </c>
      <c r="M7085">
        <v>1.7176110000000001E-2</v>
      </c>
      <c r="N7085">
        <v>-8.7321069999999994E-3</v>
      </c>
      <c r="O7085">
        <v>0.99981430000000004</v>
      </c>
      <c r="P7085">
        <v>1.2190619999999999E-2</v>
      </c>
      <c r="Q7085">
        <v>-0.1068474</v>
      </c>
      <c r="R7085">
        <v>0.99420070000000005</v>
      </c>
      <c r="S7085">
        <v>2.3818969999999998E-2</v>
      </c>
      <c r="T7085">
        <v>-0.1188818</v>
      </c>
      <c r="U7085">
        <v>3.0039980000000002</v>
      </c>
      <c r="V7085">
        <v>-5.2405680000000001E-3</v>
      </c>
      <c r="W7085">
        <v>-9.8143149999999998E-2</v>
      </c>
      <c r="X7085">
        <v>0.99515849999999995</v>
      </c>
      <c r="Y7085">
        <v>-9.2503719999999998E-3</v>
      </c>
      <c r="Z7085">
        <v>-3.080718E-2</v>
      </c>
      <c r="AA7085">
        <v>0.99948250000000005</v>
      </c>
      <c r="AB7085">
        <v>32</v>
      </c>
      <c r="AC7085">
        <v>0.212400000000002</v>
      </c>
      <c r="AD7085">
        <v>-1.1187481470780001</v>
      </c>
      <c r="AE7085">
        <v>27.672287000000001</v>
      </c>
      <c r="AF7085">
        <v>-0.26252266831663601</v>
      </c>
      <c r="AG7085">
        <v>-1.1187481470780001</v>
      </c>
      <c r="AH7085">
        <v>27.626700706745101</v>
      </c>
      <c r="AI7085">
        <v>92.318831159693005</v>
      </c>
      <c r="AJ7085">
        <v>90.544436643758601</v>
      </c>
      <c r="AK7085">
        <v>27.650589641236198</v>
      </c>
      <c r="AL7085">
        <v>95.632254853260505</v>
      </c>
      <c r="AM7085">
        <v>90.301720432603403</v>
      </c>
      <c r="AN7085">
        <v>0.99999999078356705</v>
      </c>
    </row>
    <row r="7086" spans="1:40" x14ac:dyDescent="0.25">
      <c r="A7086" t="str">
        <f>"20190303154700323"</f>
        <v>20190303154700323</v>
      </c>
      <c r="B7086" t="str">
        <f>"1551599220318611"</f>
        <v>1551599220318611</v>
      </c>
      <c r="C7086" t="s">
        <v>40</v>
      </c>
      <c r="D7086">
        <v>5.1929780000000001</v>
      </c>
      <c r="E7086">
        <v>0.50063349999999995</v>
      </c>
      <c r="F7086" t="s">
        <v>41</v>
      </c>
      <c r="G7086">
        <v>-188.2955</v>
      </c>
      <c r="H7086" s="1">
        <v>-1.6182759999999901E-6</v>
      </c>
      <c r="I7086">
        <v>2.7002600000000001</v>
      </c>
      <c r="J7086">
        <v>-188.62700000000001</v>
      </c>
      <c r="K7086">
        <v>1.118889</v>
      </c>
      <c r="L7086">
        <v>-23.331669999999999</v>
      </c>
      <c r="M7086">
        <v>1.8530120000000001E-2</v>
      </c>
      <c r="N7086">
        <v>-9.2071700000000006E-3</v>
      </c>
      <c r="O7086">
        <v>0.99978590000000001</v>
      </c>
      <c r="P7086">
        <v>1.303211E-2</v>
      </c>
      <c r="Q7086">
        <v>-0.10629950000000001</v>
      </c>
      <c r="R7086">
        <v>0.99424869999999999</v>
      </c>
      <c r="S7086">
        <v>3.8589480000000002E-2</v>
      </c>
      <c r="T7086">
        <v>-0.1273328</v>
      </c>
      <c r="U7086">
        <v>3.0033259999999999</v>
      </c>
      <c r="V7086">
        <v>-5.7246889999999998E-3</v>
      </c>
      <c r="W7086">
        <v>-9.7121219999999994E-2</v>
      </c>
      <c r="X7086">
        <v>0.99525609999999998</v>
      </c>
      <c r="Y7086">
        <v>-5.6894390000000001E-3</v>
      </c>
      <c r="Z7086">
        <v>-3.314661E-2</v>
      </c>
      <c r="AA7086">
        <v>0.9994343</v>
      </c>
      <c r="AB7086">
        <v>32</v>
      </c>
      <c r="AC7086">
        <v>0.33150000000000501</v>
      </c>
      <c r="AD7086">
        <v>-1.1188906182759999</v>
      </c>
      <c r="AE7086">
        <v>26.031929999999999</v>
      </c>
      <c r="AF7086">
        <v>-0.15067384978742701</v>
      </c>
      <c r="AG7086">
        <v>-1.1188906182759999</v>
      </c>
      <c r="AH7086">
        <v>25.985604802644399</v>
      </c>
      <c r="AI7086">
        <v>92.465482733628406</v>
      </c>
      <c r="AJ7086">
        <v>90.332217741079305</v>
      </c>
      <c r="AK7086">
        <v>26.0101187191426</v>
      </c>
      <c r="AL7086">
        <v>95.573421427708396</v>
      </c>
      <c r="AM7086">
        <v>90.329560302592498</v>
      </c>
      <c r="AN7086">
        <v>1.0000000040128201</v>
      </c>
    </row>
    <row r="7087" spans="1:40" x14ac:dyDescent="0.25">
      <c r="A7087" t="str">
        <f>"20190303154700346"</f>
        <v>20190303154700346</v>
      </c>
      <c r="B7087" t="str">
        <f>"1551599220339108"</f>
        <v>1551599220339108</v>
      </c>
      <c r="C7087" t="s">
        <v>40</v>
      </c>
      <c r="D7087">
        <v>5.1793680000000002</v>
      </c>
      <c r="E7087">
        <v>0.50056509999999999</v>
      </c>
      <c r="F7087" t="s">
        <v>41</v>
      </c>
      <c r="G7087">
        <v>-188.26990000000001</v>
      </c>
      <c r="H7087" s="1">
        <v>-1.7960919999999901E-6</v>
      </c>
      <c r="I7087">
        <v>3.1041509999999999</v>
      </c>
      <c r="J7087">
        <v>-188.61930000000001</v>
      </c>
      <c r="K7087">
        <v>1.119027</v>
      </c>
      <c r="L7087">
        <v>-22.983979999999999</v>
      </c>
      <c r="M7087">
        <v>1.970651E-2</v>
      </c>
      <c r="N7087">
        <v>-9.6264539999999996E-3</v>
      </c>
      <c r="O7087">
        <v>0.99975939999999996</v>
      </c>
      <c r="P7087">
        <v>1.2903100000000001E-2</v>
      </c>
      <c r="Q7087">
        <v>-0.104535</v>
      </c>
      <c r="R7087">
        <v>0.99443749999999997</v>
      </c>
      <c r="S7087">
        <v>4.0573119999999997E-2</v>
      </c>
      <c r="T7087">
        <v>-0.12711130000000001</v>
      </c>
      <c r="U7087">
        <v>3.0032350000000001</v>
      </c>
      <c r="V7087">
        <v>-6.9994519999999998E-3</v>
      </c>
      <c r="W7087">
        <v>-9.4934930000000001E-2</v>
      </c>
      <c r="X7087">
        <v>0.99545890000000004</v>
      </c>
      <c r="Y7087">
        <v>-6.2053369999999896E-3</v>
      </c>
      <c r="Z7087">
        <v>-3.265378E-2</v>
      </c>
      <c r="AA7087">
        <v>0.99944750000000004</v>
      </c>
      <c r="AB7087">
        <v>32</v>
      </c>
      <c r="AC7087">
        <v>0.34940000000000199</v>
      </c>
      <c r="AD7087">
        <v>-1.119028796092</v>
      </c>
      <c r="AE7087">
        <v>26.088131000000001</v>
      </c>
      <c r="AF7087">
        <v>-0.16449512454623</v>
      </c>
      <c r="AG7087">
        <v>-1.119028796092</v>
      </c>
      <c r="AH7087">
        <v>26.042043769444</v>
      </c>
      <c r="AI7087">
        <v>92.460441780394405</v>
      </c>
      <c r="AJ7087">
        <v>90.361905199432798</v>
      </c>
      <c r="AK7087">
        <v>26.0665940963164</v>
      </c>
      <c r="AL7087">
        <v>95.447574499462107</v>
      </c>
      <c r="AM7087">
        <v>90.402861885640704</v>
      </c>
      <c r="AN7087">
        <v>1.0000000274258001</v>
      </c>
    </row>
    <row r="7088" spans="1:40" x14ac:dyDescent="0.25">
      <c r="A7088" t="str">
        <f>"20190303154700389"</f>
        <v>20190303154700389</v>
      </c>
      <c r="B7088" t="str">
        <f>"1551599220379124"</f>
        <v>1551599220379124</v>
      </c>
      <c r="C7088" t="s">
        <v>40</v>
      </c>
      <c r="D7088">
        <v>5.1836739999999999</v>
      </c>
      <c r="E7088">
        <v>0.50040260000000003</v>
      </c>
      <c r="F7088" t="s">
        <v>41</v>
      </c>
      <c r="G7088">
        <v>-188.25919999999999</v>
      </c>
      <c r="H7088" s="1">
        <v>-2.3461509999999998E-6</v>
      </c>
      <c r="I7088">
        <v>4.3819249999999998</v>
      </c>
      <c r="J7088">
        <v>-188.60499999999999</v>
      </c>
      <c r="K7088">
        <v>1.119221</v>
      </c>
      <c r="L7088">
        <v>-22.374970000000001</v>
      </c>
      <c r="M7088">
        <v>2.148926E-2</v>
      </c>
      <c r="N7088">
        <v>-1.02641E-2</v>
      </c>
      <c r="O7088">
        <v>0.99971639999999995</v>
      </c>
      <c r="P7088">
        <v>1.2465459999999999E-2</v>
      </c>
      <c r="Q7088">
        <v>-0.10468040000000001</v>
      </c>
      <c r="R7088">
        <v>0.99442779999999997</v>
      </c>
      <c r="S7088">
        <v>3.9520260000000001E-2</v>
      </c>
      <c r="T7088">
        <v>-0.1228114</v>
      </c>
      <c r="U7088">
        <v>3.0033569999999998</v>
      </c>
      <c r="V7088">
        <v>-9.1757599999999998E-3</v>
      </c>
      <c r="W7088">
        <v>-9.4441949999999997E-2</v>
      </c>
      <c r="X7088">
        <v>0.99548809999999999</v>
      </c>
      <c r="Y7088">
        <v>-8.3379819999999903E-3</v>
      </c>
      <c r="Z7088">
        <v>-3.0584389999999999E-2</v>
      </c>
      <c r="AA7088">
        <v>0.99949739999999998</v>
      </c>
      <c r="AB7088">
        <v>32</v>
      </c>
      <c r="AC7088">
        <v>0.345799999999997</v>
      </c>
      <c r="AD7088">
        <v>-1.1192233461509999</v>
      </c>
      <c r="AE7088">
        <v>26.756895</v>
      </c>
      <c r="AF7088">
        <v>-0.228895588319978</v>
      </c>
      <c r="AG7088">
        <v>-1.1192233461509999</v>
      </c>
      <c r="AH7088">
        <v>26.711418000809299</v>
      </c>
      <c r="AI7088">
        <v>92.399233733869195</v>
      </c>
      <c r="AJ7088">
        <v>90.490967202218897</v>
      </c>
      <c r="AK7088">
        <v>26.735835608839299</v>
      </c>
      <c r="AL7088">
        <v>95.419201402123093</v>
      </c>
      <c r="AM7088">
        <v>90.528100169085107</v>
      </c>
      <c r="AN7088">
        <v>1.00000001686649</v>
      </c>
    </row>
    <row r="7089" spans="1:40" x14ac:dyDescent="0.25">
      <c r="A7089" t="str">
        <f>"20190303154700412"</f>
        <v>20190303154700412</v>
      </c>
      <c r="B7089" t="str">
        <f>"1551599220409380"</f>
        <v>1551599220409380</v>
      </c>
      <c r="C7089" t="s">
        <v>40</v>
      </c>
      <c r="D7089">
        <v>5.1982850000000003</v>
      </c>
      <c r="E7089">
        <v>0.50030759999999996</v>
      </c>
      <c r="F7089" t="s">
        <v>41</v>
      </c>
      <c r="G7089">
        <v>-188.2749</v>
      </c>
      <c r="H7089" s="1">
        <v>-2.3648319999999998E-6</v>
      </c>
      <c r="I7089">
        <v>4.4319490000000004</v>
      </c>
      <c r="J7089">
        <v>-188.5968</v>
      </c>
      <c r="K7089">
        <v>1.1193010000000001</v>
      </c>
      <c r="L7089">
        <v>-22.038209999999999</v>
      </c>
      <c r="M7089">
        <v>2.2352090000000002E-2</v>
      </c>
      <c r="N7089">
        <v>-1.056357E-2</v>
      </c>
      <c r="O7089">
        <v>0.99969430000000004</v>
      </c>
      <c r="P7089">
        <v>1.284428E-2</v>
      </c>
      <c r="Q7089">
        <v>-0.1044663</v>
      </c>
      <c r="R7089">
        <v>0.99444549999999998</v>
      </c>
      <c r="S7089">
        <v>3.6987300000000001E-2</v>
      </c>
      <c r="T7089">
        <v>-0.125385199999999</v>
      </c>
      <c r="U7089">
        <v>3.0031430000000001</v>
      </c>
      <c r="V7089">
        <v>-9.6399980000000003E-3</v>
      </c>
      <c r="W7089">
        <v>-9.3929689999999996E-2</v>
      </c>
      <c r="X7089">
        <v>0.99553219999999998</v>
      </c>
      <c r="Y7089">
        <v>-1.004265E-2</v>
      </c>
      <c r="Z7089">
        <v>-3.1141459999999999E-2</v>
      </c>
      <c r="AA7089">
        <v>0.99946449999999998</v>
      </c>
      <c r="AB7089">
        <v>32</v>
      </c>
      <c r="AC7089">
        <v>0.32189999999999902</v>
      </c>
      <c r="AD7089">
        <v>-1.1193033648319901</v>
      </c>
      <c r="AE7089">
        <v>26.470158999999999</v>
      </c>
      <c r="AF7089">
        <v>-0.26939522880483602</v>
      </c>
      <c r="AG7089">
        <v>-1.1193033648319901</v>
      </c>
      <c r="AH7089">
        <v>26.4235006528578</v>
      </c>
      <c r="AI7089">
        <v>92.425481595503101</v>
      </c>
      <c r="AJ7089">
        <v>90.584126799430194</v>
      </c>
      <c r="AK7089">
        <v>26.448568970048299</v>
      </c>
      <c r="AL7089">
        <v>95.3897198925401</v>
      </c>
      <c r="AM7089">
        <v>90.554792640232407</v>
      </c>
      <c r="AN7089">
        <v>1.0000000387308801</v>
      </c>
    </row>
    <row r="7090" spans="1:40" x14ac:dyDescent="0.25">
      <c r="A7090" t="str">
        <f>"20190303154700457"</f>
        <v>20190303154700457</v>
      </c>
      <c r="B7090" t="str">
        <f>"1551599220448420"</f>
        <v>1551599220448420</v>
      </c>
      <c r="C7090" t="s">
        <v>40</v>
      </c>
      <c r="D7090">
        <v>5.2406629999999996</v>
      </c>
      <c r="E7090">
        <v>0.50020679999999995</v>
      </c>
      <c r="F7090" t="s">
        <v>41</v>
      </c>
      <c r="G7090">
        <v>-188.2628</v>
      </c>
      <c r="H7090" s="1">
        <v>-2.427093E-6</v>
      </c>
      <c r="I7090">
        <v>4.5720910000000003</v>
      </c>
      <c r="J7090">
        <v>-188.5804</v>
      </c>
      <c r="K7090">
        <v>1.119426</v>
      </c>
      <c r="L7090">
        <v>-21.39499</v>
      </c>
      <c r="M7090">
        <v>2.3861090000000001E-2</v>
      </c>
      <c r="N7090">
        <v>-1.1039500000000001E-2</v>
      </c>
      <c r="O7090">
        <v>0.99965440000000005</v>
      </c>
      <c r="P7090">
        <v>1.4066810000000001E-2</v>
      </c>
      <c r="Q7090">
        <v>-0.1033261</v>
      </c>
      <c r="R7090">
        <v>0.99454810000000005</v>
      </c>
      <c r="S7090">
        <v>3.7689210000000001E-2</v>
      </c>
      <c r="T7090">
        <v>-0.12631419999999999</v>
      </c>
      <c r="U7090">
        <v>3.0029910000000002</v>
      </c>
      <c r="V7090">
        <v>-9.8954639999999996E-3</v>
      </c>
      <c r="W7090">
        <v>-9.2316029999999993E-2</v>
      </c>
      <c r="X7090">
        <v>0.99568060000000003</v>
      </c>
      <c r="Y7090">
        <v>-1.131738E-2</v>
      </c>
      <c r="Z7090">
        <v>-3.097403E-2</v>
      </c>
      <c r="AA7090">
        <v>0.99945609999999996</v>
      </c>
      <c r="AB7090">
        <v>32</v>
      </c>
      <c r="AC7090">
        <v>0.317599999999998</v>
      </c>
      <c r="AD7090">
        <v>-1.1194284270929999</v>
      </c>
      <c r="AE7090">
        <v>25.967081</v>
      </c>
      <c r="AF7090">
        <v>-0.30157064459166699</v>
      </c>
      <c r="AG7090">
        <v>-1.1194284270929999</v>
      </c>
      <c r="AH7090">
        <v>25.919103934336999</v>
      </c>
      <c r="AI7090">
        <v>92.472861587341598</v>
      </c>
      <c r="AJ7090">
        <v>90.666610449393502</v>
      </c>
      <c r="AK7090">
        <v>25.9450190521423</v>
      </c>
      <c r="AL7090">
        <v>95.296860603720006</v>
      </c>
      <c r="AM7090">
        <v>90.569409163776001</v>
      </c>
      <c r="AN7090">
        <v>1.0000000134095399</v>
      </c>
    </row>
    <row r="7091" spans="1:40" x14ac:dyDescent="0.25">
      <c r="A7091" t="str">
        <f>"20190303154700500"</f>
        <v>20190303154700500</v>
      </c>
      <c r="B7091" t="str">
        <f>"1551599220489412"</f>
        <v>1551599220489412</v>
      </c>
      <c r="C7091" t="s">
        <v>40</v>
      </c>
      <c r="D7091">
        <v>5.2535309999999997</v>
      </c>
      <c r="E7091">
        <v>0.50004539999999997</v>
      </c>
      <c r="F7091" t="s">
        <v>41</v>
      </c>
      <c r="G7091">
        <v>-188.21809999999999</v>
      </c>
      <c r="H7091" s="1">
        <v>-2.845388E-6</v>
      </c>
      <c r="I7091">
        <v>5.5286589999999904</v>
      </c>
      <c r="J7091">
        <v>-188.5635</v>
      </c>
      <c r="K7091">
        <v>1.1195120000000001</v>
      </c>
      <c r="L7091">
        <v>-20.766480000000001</v>
      </c>
      <c r="M7091">
        <v>2.5248159999999999E-2</v>
      </c>
      <c r="N7091">
        <v>-1.1398439999999999E-2</v>
      </c>
      <c r="O7091">
        <v>0.99961619999999995</v>
      </c>
      <c r="P7091">
        <v>1.559584E-2</v>
      </c>
      <c r="Q7091">
        <v>-0.10388020000000001</v>
      </c>
      <c r="R7091">
        <v>0.99446760000000001</v>
      </c>
      <c r="S7091">
        <v>4.040527E-2</v>
      </c>
      <c r="T7091">
        <v>-0.1248543</v>
      </c>
      <c r="U7091">
        <v>3.0028990000000002</v>
      </c>
      <c r="V7091">
        <v>-9.7319599999999996E-3</v>
      </c>
      <c r="W7091">
        <v>-9.2515070000000005E-2</v>
      </c>
      <c r="X7091">
        <v>0.99566370000000004</v>
      </c>
      <c r="Y7091">
        <v>-1.1800150000000001E-2</v>
      </c>
      <c r="Z7091">
        <v>-3.0129489999999998E-2</v>
      </c>
      <c r="AA7091">
        <v>0.99947640000000004</v>
      </c>
      <c r="AB7091">
        <v>32</v>
      </c>
      <c r="AC7091">
        <v>0.34540000000001198</v>
      </c>
      <c r="AD7091">
        <v>-1.1195148453879999</v>
      </c>
      <c r="AE7091">
        <v>26.295138999999999</v>
      </c>
      <c r="AF7091">
        <v>-0.31808068929534</v>
      </c>
      <c r="AG7091">
        <v>-1.1195148453879999</v>
      </c>
      <c r="AH7091">
        <v>26.247907186223198</v>
      </c>
      <c r="AI7091">
        <v>92.442096476511693</v>
      </c>
      <c r="AJ7091">
        <v>90.694294934419105</v>
      </c>
      <c r="AK7091">
        <v>26.273696361009701</v>
      </c>
      <c r="AL7091">
        <v>95.308313966296197</v>
      </c>
      <c r="AM7091">
        <v>90.560010853168706</v>
      </c>
      <c r="AN7091">
        <v>0.99999997636011795</v>
      </c>
    </row>
    <row r="7092" spans="1:40" x14ac:dyDescent="0.25">
      <c r="A7092" t="str">
        <f>"20190303154700546"</f>
        <v>20190303154700546</v>
      </c>
      <c r="B7092" t="str">
        <f>"1551599220539187"</f>
        <v>1551599220539187</v>
      </c>
      <c r="C7092" t="s">
        <v>40</v>
      </c>
      <c r="D7092">
        <v>5.2399550000000001</v>
      </c>
      <c r="E7092">
        <v>0.49989440000000002</v>
      </c>
      <c r="F7092" t="s">
        <v>41</v>
      </c>
      <c r="G7092">
        <v>-188.18170000000001</v>
      </c>
      <c r="H7092" s="1">
        <v>-2.7525299999999999E-6</v>
      </c>
      <c r="I7092">
        <v>5.2971430000000002</v>
      </c>
      <c r="J7092">
        <v>-188.54509999999999</v>
      </c>
      <c r="K7092">
        <v>1.1195520000000001</v>
      </c>
      <c r="L7092">
        <v>-20.112490000000001</v>
      </c>
      <c r="M7092">
        <v>2.6671340000000002E-2</v>
      </c>
      <c r="N7092">
        <v>-1.154231E-2</v>
      </c>
      <c r="O7092">
        <v>0.99957759999999996</v>
      </c>
      <c r="P7092">
        <v>1.7965180000000001E-2</v>
      </c>
      <c r="Q7092">
        <v>-0.1051256</v>
      </c>
      <c r="R7092">
        <v>0.99429670000000003</v>
      </c>
      <c r="S7092">
        <v>4.3991089999999997E-2</v>
      </c>
      <c r="T7092">
        <v>-0.12896820000000001</v>
      </c>
      <c r="U7092">
        <v>3.0025330000000001</v>
      </c>
      <c r="V7092">
        <v>-8.7615660000000001E-3</v>
      </c>
      <c r="W7092">
        <v>-9.3622200000000003E-2</v>
      </c>
      <c r="X7092">
        <v>0.99556920000000004</v>
      </c>
      <c r="Y7092">
        <v>-1.2029140000000001E-2</v>
      </c>
      <c r="Z7092">
        <v>-3.1354559999999997E-2</v>
      </c>
      <c r="AA7092">
        <v>0.99943599999999999</v>
      </c>
      <c r="AB7092">
        <v>32</v>
      </c>
      <c r="AC7092">
        <v>0.36339999999998401</v>
      </c>
      <c r="AD7092">
        <v>-1.11955475252999</v>
      </c>
      <c r="AE7092">
        <v>25.409632999999999</v>
      </c>
      <c r="AF7092">
        <v>-0.313874214951612</v>
      </c>
      <c r="AG7092">
        <v>-1.11955475252999</v>
      </c>
      <c r="AH7092">
        <v>25.361061993215198</v>
      </c>
      <c r="AI7092">
        <v>92.527466729118103</v>
      </c>
      <c r="AJ7092">
        <v>90.709069269735707</v>
      </c>
      <c r="AK7092">
        <v>25.387701457407001</v>
      </c>
      <c r="AL7092">
        <v>95.372024476121496</v>
      </c>
      <c r="AM7092">
        <v>90.504221900764705</v>
      </c>
      <c r="AN7092">
        <v>0.99999995668012498</v>
      </c>
    </row>
    <row r="7093" spans="1:40" x14ac:dyDescent="0.25">
      <c r="A7093" t="str">
        <f>"20190303154700569"</f>
        <v>20190303154700569</v>
      </c>
      <c r="B7093" t="str">
        <f>"1551599220558708"</f>
        <v>1551599220558708</v>
      </c>
      <c r="C7093" t="s">
        <v>40</v>
      </c>
      <c r="D7093">
        <v>5.278575</v>
      </c>
      <c r="E7093">
        <v>0.49982409999999999</v>
      </c>
      <c r="F7093" t="s">
        <v>41</v>
      </c>
      <c r="G7093">
        <v>-188.1326</v>
      </c>
      <c r="H7093" s="1">
        <v>-2.5001969999999999E-6</v>
      </c>
      <c r="I7093">
        <v>4.6886769999999904</v>
      </c>
      <c r="J7093">
        <v>-188.53440000000001</v>
      </c>
      <c r="K7093">
        <v>1.1193139999999999</v>
      </c>
      <c r="L7093">
        <v>-19.7468</v>
      </c>
      <c r="M7093">
        <v>2.745359E-2</v>
      </c>
      <c r="N7093">
        <v>-1.037739E-2</v>
      </c>
      <c r="O7093">
        <v>0.99956920000000005</v>
      </c>
      <c r="P7093">
        <v>1.8762000000000001E-2</v>
      </c>
      <c r="Q7093">
        <v>-0.104005</v>
      </c>
      <c r="R7093">
        <v>0.99439979999999994</v>
      </c>
      <c r="S7093">
        <v>4.9926760000000001E-2</v>
      </c>
      <c r="T7093">
        <v>-0.1355132</v>
      </c>
      <c r="U7093">
        <v>3.0019840000000002</v>
      </c>
      <c r="V7093">
        <v>-8.725455E-3</v>
      </c>
      <c r="W7093">
        <v>-9.3662190000000006E-2</v>
      </c>
      <c r="X7093">
        <v>0.99556579999999995</v>
      </c>
      <c r="Y7093">
        <v>-1.083548E-2</v>
      </c>
      <c r="Z7093">
        <v>-3.4698479999999997E-2</v>
      </c>
      <c r="AA7093">
        <v>0.99933910000000004</v>
      </c>
      <c r="AB7093">
        <v>32</v>
      </c>
      <c r="AC7093">
        <v>0.40180000000000798</v>
      </c>
      <c r="AD7093">
        <v>-1.119316500197</v>
      </c>
      <c r="AE7093">
        <v>24.435476999999999</v>
      </c>
      <c r="AF7093">
        <v>-0.26866557865419</v>
      </c>
      <c r="AG7093">
        <v>-1.119316500197</v>
      </c>
      <c r="AH7093">
        <v>24.386142005414399</v>
      </c>
      <c r="AI7093">
        <v>92.627855083074394</v>
      </c>
      <c r="AJ7093">
        <v>90.631210176478106</v>
      </c>
      <c r="AK7093">
        <v>24.413294995329899</v>
      </c>
      <c r="AL7093">
        <v>95.374325609237303</v>
      </c>
      <c r="AM7093">
        <v>90.502145559799203</v>
      </c>
      <c r="AN7093">
        <v>1.00000000076509</v>
      </c>
    </row>
    <row r="7094" spans="1:40" x14ac:dyDescent="0.25">
      <c r="A7094" t="str">
        <f>"20190303154700594"</f>
        <v>20190303154700594</v>
      </c>
      <c r="B7094" t="str">
        <f>"1551599220588964"</f>
        <v>1551599220588964</v>
      </c>
      <c r="C7094" t="s">
        <v>40</v>
      </c>
      <c r="D7094">
        <v>5.3002669999999998</v>
      </c>
      <c r="E7094">
        <v>0.4997181</v>
      </c>
      <c r="F7094" t="s">
        <v>41</v>
      </c>
      <c r="G7094">
        <v>-188.09950000000001</v>
      </c>
      <c r="H7094" s="1">
        <v>-2.837157E-6</v>
      </c>
      <c r="I7094">
        <v>5.4604200000000001</v>
      </c>
      <c r="J7094">
        <v>-188.52359999999999</v>
      </c>
      <c r="K7094">
        <v>1.1190770000000001</v>
      </c>
      <c r="L7094">
        <v>-19.381129999999999</v>
      </c>
      <c r="M7094">
        <v>2.8216069999999999E-2</v>
      </c>
      <c r="N7094">
        <v>-8.9678559999999997E-3</v>
      </c>
      <c r="O7094">
        <v>0.99956160000000005</v>
      </c>
      <c r="P7094">
        <v>1.9198570000000002E-2</v>
      </c>
      <c r="Q7094">
        <v>-0.102494</v>
      </c>
      <c r="R7094">
        <v>0.99454830000000005</v>
      </c>
      <c r="S7094">
        <v>5.1803589999999997E-2</v>
      </c>
      <c r="T7094">
        <v>-0.133302</v>
      </c>
      <c r="U7094">
        <v>3.0019840000000002</v>
      </c>
      <c r="V7094">
        <v>-9.0303169999999995E-3</v>
      </c>
      <c r="W7094">
        <v>-9.3554470000000001E-2</v>
      </c>
      <c r="X7094">
        <v>0.99557320000000005</v>
      </c>
      <c r="Y7094">
        <v>-1.097417E-2</v>
      </c>
      <c r="Z7094">
        <v>-3.5371180000000002E-2</v>
      </c>
      <c r="AA7094">
        <v>0.99931400000000004</v>
      </c>
      <c r="AB7094">
        <v>33</v>
      </c>
      <c r="AC7094">
        <v>0.42409999999998099</v>
      </c>
      <c r="AD7094">
        <v>-1.1190798371570001</v>
      </c>
      <c r="AE7094">
        <v>24.841550000000002</v>
      </c>
      <c r="AF7094">
        <v>-0.27646708928195102</v>
      </c>
      <c r="AG7094">
        <v>-1.1190798371570001</v>
      </c>
      <c r="AH7094">
        <v>24.793324816426399</v>
      </c>
      <c r="AI7094">
        <v>92.584207028533299</v>
      </c>
      <c r="AJ7094">
        <v>90.638871188713793</v>
      </c>
      <c r="AK7094">
        <v>24.820107356460301</v>
      </c>
      <c r="AL7094">
        <v>95.368126540616402</v>
      </c>
      <c r="AM7094">
        <v>90.519685406424699</v>
      </c>
      <c r="AN7094">
        <v>0.99999999102017001</v>
      </c>
    </row>
    <row r="7095" spans="1:40" x14ac:dyDescent="0.25">
      <c r="A7095" t="str">
        <f>"20190303154700634"</f>
        <v>20190303154700634</v>
      </c>
      <c r="B7095" t="str">
        <f>"1551599220628981"</f>
        <v>1551599220628981</v>
      </c>
      <c r="C7095" t="s">
        <v>40</v>
      </c>
      <c r="D7095">
        <v>5.3109380000000002</v>
      </c>
      <c r="E7095">
        <v>0.4995906</v>
      </c>
      <c r="F7095" t="s">
        <v>41</v>
      </c>
      <c r="G7095">
        <v>-188.07509999999999</v>
      </c>
      <c r="H7095" s="1">
        <v>-3.2381369999999999E-6</v>
      </c>
      <c r="I7095">
        <v>6.3850280000000001</v>
      </c>
      <c r="J7095">
        <v>-188.50540000000001</v>
      </c>
      <c r="K7095">
        <v>1.11876</v>
      </c>
      <c r="L7095">
        <v>-18.77814</v>
      </c>
      <c r="M7095">
        <v>2.9426770000000001E-2</v>
      </c>
      <c r="N7095">
        <v>-6.6909569999999896E-3</v>
      </c>
      <c r="O7095">
        <v>0.99954460000000001</v>
      </c>
      <c r="P7095">
        <v>1.8756979999999999E-2</v>
      </c>
      <c r="Q7095">
        <v>-0.100591</v>
      </c>
      <c r="R7095">
        <v>0.99475100000000005</v>
      </c>
      <c r="S7095">
        <v>5.2261349999999998E-2</v>
      </c>
      <c r="T7095">
        <v>-0.13038269999999999</v>
      </c>
      <c r="U7095">
        <v>3.0019840000000002</v>
      </c>
      <c r="V7095">
        <v>-1.0660620000000001E-2</v>
      </c>
      <c r="W7095">
        <v>-9.3916780000000005E-2</v>
      </c>
      <c r="X7095">
        <v>0.99552300000000005</v>
      </c>
      <c r="Y7095">
        <v>-1.203391E-2</v>
      </c>
      <c r="Z7095">
        <v>-3.6674329999999998E-2</v>
      </c>
      <c r="AA7095">
        <v>0.9992548</v>
      </c>
      <c r="AB7095">
        <v>33</v>
      </c>
      <c r="AC7095">
        <v>0.430300000000016</v>
      </c>
      <c r="AD7095">
        <v>-1.1187632381370001</v>
      </c>
      <c r="AE7095">
        <v>25.163167999999999</v>
      </c>
      <c r="AF7095">
        <v>-0.30976151261137402</v>
      </c>
      <c r="AG7095">
        <v>-1.1187632381370001</v>
      </c>
      <c r="AH7095">
        <v>25.115301472126198</v>
      </c>
      <c r="AI7095">
        <v>92.550365550148996</v>
      </c>
      <c r="AJ7095">
        <v>90.706626098186405</v>
      </c>
      <c r="AK7095">
        <v>25.1421150942694</v>
      </c>
      <c r="AL7095">
        <v>95.388976983339901</v>
      </c>
      <c r="AM7095">
        <v>90.613531969415007</v>
      </c>
      <c r="AN7095">
        <v>1.00000002695667</v>
      </c>
    </row>
    <row r="7096" spans="1:40" x14ac:dyDescent="0.25">
      <c r="A7096" t="str">
        <f>"20190303154700659"</f>
        <v>20190303154700659</v>
      </c>
      <c r="B7096" t="str">
        <f>"1551599220648499"</f>
        <v>1551599220648499</v>
      </c>
      <c r="C7096" t="s">
        <v>40</v>
      </c>
      <c r="D7096">
        <v>5.3914249999999999</v>
      </c>
      <c r="E7096">
        <v>0.4996314</v>
      </c>
      <c r="F7096" t="s">
        <v>41</v>
      </c>
      <c r="G7096">
        <v>-188.0676</v>
      </c>
      <c r="H7096" s="1">
        <v>-3.8160929999999998E-6</v>
      </c>
      <c r="I7096">
        <v>7.7291639999999999</v>
      </c>
      <c r="J7096">
        <v>-188.49359999999999</v>
      </c>
      <c r="K7096">
        <v>1.1185909999999999</v>
      </c>
      <c r="L7096">
        <v>-18.394739999999999</v>
      </c>
      <c r="M7096">
        <v>3.0153860000000001E-2</v>
      </c>
      <c r="N7096">
        <v>-5.3401480000000003E-3</v>
      </c>
      <c r="O7096">
        <v>0.99953099999999995</v>
      </c>
      <c r="P7096">
        <v>1.8983030000000001E-2</v>
      </c>
      <c r="Q7096">
        <v>-9.9308690000000005E-2</v>
      </c>
      <c r="R7096">
        <v>0.99487559999999997</v>
      </c>
      <c r="S7096">
        <v>4.9591059999999999E-2</v>
      </c>
      <c r="T7096">
        <v>-0.12670519999999999</v>
      </c>
      <c r="U7096">
        <v>3.002075</v>
      </c>
      <c r="V7096">
        <v>-1.11571E-2</v>
      </c>
      <c r="W7096">
        <v>-9.3978270000000003E-2</v>
      </c>
      <c r="X7096">
        <v>0.9955117</v>
      </c>
      <c r="Y7096">
        <v>-1.365047E-2</v>
      </c>
      <c r="Z7096">
        <v>-3.6800060000000002E-2</v>
      </c>
      <c r="AA7096">
        <v>0.99922940000000005</v>
      </c>
      <c r="AB7096">
        <v>34</v>
      </c>
      <c r="AC7096">
        <v>0.425999999999987</v>
      </c>
      <c r="AD7096">
        <v>-1.1185948160929999</v>
      </c>
      <c r="AE7096">
        <v>26.123904</v>
      </c>
      <c r="AF7096">
        <v>-0.361279288063235</v>
      </c>
      <c r="AG7096">
        <v>-1.1185948160929999</v>
      </c>
      <c r="AH7096">
        <v>26.077071700789201</v>
      </c>
      <c r="AI7096">
        <v>92.456002631458901</v>
      </c>
      <c r="AJ7096">
        <v>90.793741507503199</v>
      </c>
      <c r="AK7096">
        <v>26.103552355468299</v>
      </c>
      <c r="AL7096">
        <v>95.392516057651093</v>
      </c>
      <c r="AM7096">
        <v>90.642109961045804</v>
      </c>
      <c r="AN7096">
        <v>0.99999997047474598</v>
      </c>
    </row>
    <row r="7097" spans="1:40" x14ac:dyDescent="0.25">
      <c r="A7097" t="str">
        <f>"20190303154700684"</f>
        <v>20190303154700684</v>
      </c>
      <c r="B7097" t="str">
        <f>"1551599220678756"</f>
        <v>1551599220678756</v>
      </c>
      <c r="C7097" t="s">
        <v>40</v>
      </c>
      <c r="D7097">
        <v>5.3559219999999996</v>
      </c>
      <c r="E7097">
        <v>0.52195440000000004</v>
      </c>
      <c r="F7097" t="s">
        <v>41</v>
      </c>
      <c r="G7097">
        <v>-188.03899999999999</v>
      </c>
      <c r="H7097" s="1">
        <v>-4.184463E-6</v>
      </c>
      <c r="I7097">
        <v>8.5760470000000009</v>
      </c>
      <c r="J7097">
        <v>-188.48179999999999</v>
      </c>
      <c r="K7097">
        <v>1.1184639999999999</v>
      </c>
      <c r="L7097">
        <v>-18.021940000000001</v>
      </c>
      <c r="M7097">
        <v>3.083559E-2</v>
      </c>
      <c r="N7097">
        <v>-4.1966219999999997E-3</v>
      </c>
      <c r="O7097">
        <v>0.99951570000000001</v>
      </c>
      <c r="P7097">
        <v>1.9030809999999999E-2</v>
      </c>
      <c r="Q7097">
        <v>-9.8136639999999997E-2</v>
      </c>
      <c r="R7097">
        <v>0.99499090000000001</v>
      </c>
      <c r="S7097">
        <v>5.059814E-2</v>
      </c>
      <c r="T7097">
        <v>-0.1245078</v>
      </c>
      <c r="U7097">
        <v>3.0020449999999999</v>
      </c>
      <c r="V7097">
        <v>-1.179418E-2</v>
      </c>
      <c r="W7097">
        <v>-9.3942910000000004E-2</v>
      </c>
      <c r="X7097">
        <v>0.9955077</v>
      </c>
      <c r="Y7097">
        <v>-1.399767E-2</v>
      </c>
      <c r="Z7097">
        <v>-3.7211899999999999E-2</v>
      </c>
      <c r="AA7097">
        <v>0.99920929999999997</v>
      </c>
      <c r="AB7097">
        <v>34</v>
      </c>
      <c r="AC7097">
        <v>0.44279999999997699</v>
      </c>
      <c r="AD7097">
        <v>-1.118468184463</v>
      </c>
      <c r="AE7097">
        <v>26.597987</v>
      </c>
      <c r="AF7097">
        <v>-0.376916073384443</v>
      </c>
      <c r="AG7097">
        <v>-1.118468184463</v>
      </c>
      <c r="AH7097">
        <v>26.552054443042302</v>
      </c>
      <c r="AI7097">
        <v>92.411835944539007</v>
      </c>
      <c r="AJ7097">
        <v>90.813279811771693</v>
      </c>
      <c r="AK7097">
        <v>26.578273682696398</v>
      </c>
      <c r="AL7097">
        <v>95.390481041215097</v>
      </c>
      <c r="AM7097">
        <v>90.6787743810157</v>
      </c>
      <c r="AN7097">
        <v>0.99999997689021503</v>
      </c>
    </row>
    <row r="7098" spans="1:40" x14ac:dyDescent="0.25">
      <c r="A7098" t="str">
        <f>"20190303154700722"</f>
        <v>20190303154700722</v>
      </c>
      <c r="B7098" t="str">
        <f>"1551599220718439"</f>
        <v>1551599220718439</v>
      </c>
      <c r="C7098" t="s">
        <v>40</v>
      </c>
      <c r="D7098">
        <v>5.412909</v>
      </c>
      <c r="E7098">
        <v>0.51916220000000002</v>
      </c>
      <c r="F7098" t="s">
        <v>42</v>
      </c>
      <c r="G7098">
        <v>-188.405</v>
      </c>
      <c r="H7098">
        <v>0.95938369999999995</v>
      </c>
      <c r="I7098">
        <v>-17.058669999999999</v>
      </c>
      <c r="J7098">
        <v>-188.4624</v>
      </c>
      <c r="K7098">
        <v>1.1183879999999999</v>
      </c>
      <c r="L7098">
        <v>-17.426850000000002</v>
      </c>
      <c r="M7098">
        <v>3.1899719999999999E-2</v>
      </c>
      <c r="N7098">
        <v>-3.0086570000000001E-3</v>
      </c>
      <c r="O7098">
        <v>0.9994866</v>
      </c>
      <c r="P7098">
        <v>1.920094E-2</v>
      </c>
      <c r="Q7098">
        <v>-9.6973509999999999E-2</v>
      </c>
      <c r="R7098">
        <v>0.99510169999999998</v>
      </c>
      <c r="S7098">
        <v>0.23594670000000001</v>
      </c>
      <c r="T7098">
        <v>-0.48918869999999998</v>
      </c>
      <c r="U7098">
        <v>2.9623409999999999</v>
      </c>
      <c r="V7098">
        <v>-1.26994E-2</v>
      </c>
      <c r="W7098">
        <v>-9.3959150000000005E-2</v>
      </c>
      <c r="X7098">
        <v>0.99549509999999997</v>
      </c>
      <c r="Y7098">
        <v>4.6529040000000001E-2</v>
      </c>
      <c r="Z7098">
        <v>-0.15950259999999999</v>
      </c>
      <c r="AA7098">
        <v>0.98610039999999999</v>
      </c>
      <c r="AB7098">
        <v>34</v>
      </c>
      <c r="AC7098">
        <v>5.74000000000012E-2</v>
      </c>
      <c r="AD7098">
        <v>-0.15900429999999999</v>
      </c>
      <c r="AE7098">
        <v>0.36817999999999801</v>
      </c>
      <c r="AF7098">
        <v>3.8597899356355797E-2</v>
      </c>
      <c r="AG7098">
        <v>-0.15900429999999999</v>
      </c>
      <c r="AH7098">
        <v>0.312857789459842</v>
      </c>
      <c r="AI7098">
        <v>116.76672706534799</v>
      </c>
      <c r="AJ7098">
        <v>82.966842997514306</v>
      </c>
      <c r="AK7098">
        <v>0.353061130229472</v>
      </c>
      <c r="AL7098">
        <v>95.391415288345698</v>
      </c>
      <c r="AM7098">
        <v>90.730875074817007</v>
      </c>
      <c r="AN7098">
        <v>1.0000000453765401</v>
      </c>
    </row>
    <row r="7099" spans="1:40" x14ac:dyDescent="0.25">
      <c r="A7099" t="str">
        <f>"20190303154700744"</f>
        <v>20190303154700744</v>
      </c>
      <c r="B7099" t="str">
        <f>"1551599220738934"</f>
        <v>1551599220738934</v>
      </c>
      <c r="C7099" t="s">
        <v>40</v>
      </c>
      <c r="D7099">
        <v>5.4188349999999996</v>
      </c>
      <c r="E7099">
        <v>0.5186539</v>
      </c>
      <c r="F7099" t="s">
        <v>42</v>
      </c>
      <c r="G7099">
        <v>-188.39099999999999</v>
      </c>
      <c r="H7099">
        <v>0.94217249999999997</v>
      </c>
      <c r="I7099">
        <v>-16.442999999999898</v>
      </c>
      <c r="J7099">
        <v>-188.45050000000001</v>
      </c>
      <c r="K7099">
        <v>1.1184480000000001</v>
      </c>
      <c r="L7099">
        <v>-17.072479999999999</v>
      </c>
      <c r="M7099">
        <v>3.2532930000000002E-2</v>
      </c>
      <c r="N7099">
        <v>-2.8069810000000001E-3</v>
      </c>
      <c r="O7099">
        <v>0.99946670000000004</v>
      </c>
      <c r="P7099">
        <v>1.9282779999999999E-2</v>
      </c>
      <c r="Q7099">
        <v>-9.6847569999999994E-2</v>
      </c>
      <c r="R7099">
        <v>0.99511240000000001</v>
      </c>
      <c r="S7099">
        <v>0.21464539999999999</v>
      </c>
      <c r="T7099">
        <v>-0.52996790000000005</v>
      </c>
      <c r="U7099">
        <v>2.9589840000000001</v>
      </c>
      <c r="V7099">
        <v>-1.325659E-2</v>
      </c>
      <c r="W7099">
        <v>-9.4031970000000006E-2</v>
      </c>
      <c r="X7099">
        <v>0.9954809</v>
      </c>
      <c r="Y7099">
        <v>3.8761259999999999E-2</v>
      </c>
      <c r="Z7099">
        <v>-0.17311099999999999</v>
      </c>
      <c r="AA7099">
        <v>0.98413930000000005</v>
      </c>
      <c r="AB7099">
        <v>35</v>
      </c>
      <c r="AC7099">
        <v>5.9500000000014097E-2</v>
      </c>
      <c r="AD7099">
        <v>-0.176275499999999</v>
      </c>
      <c r="AE7099">
        <v>0.62948000000000004</v>
      </c>
      <c r="AF7099">
        <v>3.6177705882752403E-2</v>
      </c>
      <c r="AG7099">
        <v>-0.176275499999999</v>
      </c>
      <c r="AH7099">
        <v>0.58556950239066896</v>
      </c>
      <c r="AI7099">
        <v>106.72340518016399</v>
      </c>
      <c r="AJ7099">
        <v>86.464640787978695</v>
      </c>
      <c r="AK7099">
        <v>0.61259572348592495</v>
      </c>
      <c r="AL7099">
        <v>95.395606445745599</v>
      </c>
      <c r="AM7099">
        <v>90.762949609680305</v>
      </c>
      <c r="AN7099">
        <v>0.999999985412659</v>
      </c>
    </row>
    <row r="7100" spans="1:40" x14ac:dyDescent="0.25">
      <c r="A7100" t="str">
        <f>"20190303154700765"</f>
        <v>20190303154700765</v>
      </c>
      <c r="B7100" t="str">
        <f>"1551599220758455"</f>
        <v>1551599220758455</v>
      </c>
      <c r="C7100" t="s">
        <v>40</v>
      </c>
      <c r="D7100">
        <v>5.3935550000000001</v>
      </c>
      <c r="E7100">
        <v>0.51816490000000004</v>
      </c>
      <c r="F7100" t="s">
        <v>42</v>
      </c>
      <c r="G7100">
        <v>-188.38300000000001</v>
      </c>
      <c r="H7100">
        <v>0.94570279999999995</v>
      </c>
      <c r="I7100">
        <v>-16.127960000000002</v>
      </c>
      <c r="J7100">
        <v>-188.43899999999999</v>
      </c>
      <c r="K7100">
        <v>1.11853799999999</v>
      </c>
      <c r="L7100">
        <v>-16.741820000000001</v>
      </c>
      <c r="M7100">
        <v>3.3148530000000002E-2</v>
      </c>
      <c r="N7100">
        <v>-2.8495560000000001E-3</v>
      </c>
      <c r="O7100">
        <v>0.99944639999999996</v>
      </c>
      <c r="P7100">
        <v>1.999687E-2</v>
      </c>
      <c r="Q7100">
        <v>-9.7087209999999993E-2</v>
      </c>
      <c r="R7100">
        <v>0.99507500000000004</v>
      </c>
      <c r="S7100">
        <v>0.21104429999999999</v>
      </c>
      <c r="T7100">
        <v>-0.54097489999999904</v>
      </c>
      <c r="U7100">
        <v>2.958008</v>
      </c>
      <c r="V7100">
        <v>-1.3159509999999999E-2</v>
      </c>
      <c r="W7100">
        <v>-9.4228740000000005E-2</v>
      </c>
      <c r="X7100">
        <v>0.9954636</v>
      </c>
      <c r="Y7100">
        <v>3.693229E-2</v>
      </c>
      <c r="Z7100">
        <v>-0.17667260000000001</v>
      </c>
      <c r="AA7100">
        <v>0.98357649999999996</v>
      </c>
      <c r="AB7100">
        <v>35</v>
      </c>
      <c r="AC7100">
        <v>5.6000000000039997E-2</v>
      </c>
      <c r="AD7100">
        <v>-0.172835199999999</v>
      </c>
      <c r="AE7100">
        <v>0.61385999999999896</v>
      </c>
      <c r="AF7100">
        <v>3.3024258003987499E-2</v>
      </c>
      <c r="AG7100">
        <v>-0.172835199999999</v>
      </c>
      <c r="AH7100">
        <v>0.57052497922107304</v>
      </c>
      <c r="AI7100">
        <v>106.827122313129</v>
      </c>
      <c r="AJ7100">
        <v>86.687188711492098</v>
      </c>
      <c r="AK7100">
        <v>0.59704385089452106</v>
      </c>
      <c r="AL7100">
        <v>95.406930719748701</v>
      </c>
      <c r="AM7100">
        <v>90.7573762288376</v>
      </c>
      <c r="AN7100">
        <v>1.0000000035351899</v>
      </c>
    </row>
    <row r="7101" spans="1:40" x14ac:dyDescent="0.25">
      <c r="A7101" t="str">
        <f>"20190303154700811"</f>
        <v>20190303154700811</v>
      </c>
      <c r="B7101" t="str">
        <f>"1551599220798471"</f>
        <v>1551599220798471</v>
      </c>
      <c r="C7101" t="s">
        <v>40</v>
      </c>
      <c r="D7101">
        <v>5.4198320000000004</v>
      </c>
      <c r="E7101">
        <v>0.51791089999999995</v>
      </c>
      <c r="F7101" t="s">
        <v>42</v>
      </c>
      <c r="G7101">
        <v>-188.3733</v>
      </c>
      <c r="H7101">
        <v>0.94364820000000005</v>
      </c>
      <c r="I7101">
        <v>-15.814640000000001</v>
      </c>
      <c r="J7101">
        <v>-188.41370000000001</v>
      </c>
      <c r="K7101">
        <v>1.1187670000000001</v>
      </c>
      <c r="L7101">
        <v>-16.030179999999898</v>
      </c>
      <c r="M7101">
        <v>3.4596790000000002E-2</v>
      </c>
      <c r="N7101">
        <v>-3.278525E-3</v>
      </c>
      <c r="O7101">
        <v>0.99939599999999995</v>
      </c>
      <c r="P7101">
        <v>2.218817E-2</v>
      </c>
      <c r="Q7101">
        <v>-9.6744640000000007E-2</v>
      </c>
      <c r="R7101">
        <v>0.99506190000000005</v>
      </c>
      <c r="S7101">
        <v>0.20956420000000001</v>
      </c>
      <c r="T7101">
        <v>-0.55761179999999999</v>
      </c>
      <c r="U7101">
        <v>2.9562379999999999</v>
      </c>
      <c r="V7101">
        <v>-1.241185E-2</v>
      </c>
      <c r="W7101">
        <v>-9.3460039999999994E-2</v>
      </c>
      <c r="X7101">
        <v>0.99554569999999998</v>
      </c>
      <c r="Y7101">
        <v>3.4969979999999998E-2</v>
      </c>
      <c r="Z7101">
        <v>-0.1816905</v>
      </c>
      <c r="AA7101">
        <v>0.98273379999999999</v>
      </c>
      <c r="AB7101">
        <v>35</v>
      </c>
      <c r="AC7101">
        <v>4.04000000000053E-2</v>
      </c>
      <c r="AD7101">
        <v>-0.17511879999999999</v>
      </c>
      <c r="AE7101">
        <v>0.21553999999999801</v>
      </c>
      <c r="AF7101">
        <v>2.0100663257984E-2</v>
      </c>
      <c r="AG7101">
        <v>-0.17511879999999999</v>
      </c>
      <c r="AH7101">
        <v>0.13238637739817899</v>
      </c>
      <c r="AI7101">
        <v>142.59685633177901</v>
      </c>
      <c r="AJ7101">
        <v>81.366532026450898</v>
      </c>
      <c r="AK7101">
        <v>0.22044678200750401</v>
      </c>
      <c r="AL7101">
        <v>95.362692043482198</v>
      </c>
      <c r="AM7101">
        <v>90.714291446931497</v>
      </c>
      <c r="AN7101">
        <v>1.0000000369428499</v>
      </c>
    </row>
    <row r="7102" spans="1:40" x14ac:dyDescent="0.25">
      <c r="A7102" t="str">
        <f>"20190303154700837"</f>
        <v>20190303154700837</v>
      </c>
      <c r="B7102" t="str">
        <f>"1551599220828726"</f>
        <v>1551599220828726</v>
      </c>
      <c r="C7102" t="s">
        <v>40</v>
      </c>
      <c r="D7102">
        <v>5.4494280000000002</v>
      </c>
      <c r="E7102">
        <v>0.51760479999999998</v>
      </c>
      <c r="F7102" t="s">
        <v>42</v>
      </c>
      <c r="G7102">
        <v>-188.35210000000001</v>
      </c>
      <c r="H7102">
        <v>0.95167109999999999</v>
      </c>
      <c r="I7102">
        <v>-15.17966</v>
      </c>
      <c r="J7102">
        <v>-188.3982</v>
      </c>
      <c r="K7102">
        <v>1.1188670000000001</v>
      </c>
      <c r="L7102">
        <v>-15.60745</v>
      </c>
      <c r="M7102">
        <v>3.5509319999999997E-2</v>
      </c>
      <c r="N7102">
        <v>-3.6041379999999998E-3</v>
      </c>
      <c r="O7102">
        <v>0.9993628</v>
      </c>
      <c r="P7102">
        <v>2.3174139999999999E-2</v>
      </c>
      <c r="Q7102">
        <v>-9.7051970000000001E-2</v>
      </c>
      <c r="R7102">
        <v>0.99500949999999999</v>
      </c>
      <c r="S7102">
        <v>0.2138824</v>
      </c>
      <c r="T7102">
        <v>-0.5802834</v>
      </c>
      <c r="U7102">
        <v>2.9537049999999998</v>
      </c>
      <c r="V7102">
        <v>-1.233306E-2</v>
      </c>
      <c r="W7102">
        <v>-9.3443529999999997E-2</v>
      </c>
      <c r="X7102">
        <v>0.99554819999999999</v>
      </c>
      <c r="Y7102">
        <v>3.544812E-2</v>
      </c>
      <c r="Z7102">
        <v>-0.18875929999999999</v>
      </c>
      <c r="AA7102">
        <v>0.98138340000000002</v>
      </c>
      <c r="AB7102">
        <v>35</v>
      </c>
      <c r="AC7102">
        <v>4.6099999999995499E-2</v>
      </c>
      <c r="AD7102">
        <v>-0.16719590000000001</v>
      </c>
      <c r="AE7102">
        <v>0.427789999999999</v>
      </c>
      <c r="AF7102">
        <v>2.6829111497357099E-2</v>
      </c>
      <c r="AG7102">
        <v>-0.16719590000000001</v>
      </c>
      <c r="AH7102">
        <v>0.37285609859131202</v>
      </c>
      <c r="AI7102">
        <v>114.09720114837</v>
      </c>
      <c r="AJ7102">
        <v>85.884336957253097</v>
      </c>
      <c r="AK7102">
        <v>0.40950694799634602</v>
      </c>
      <c r="AL7102">
        <v>95.361742087452299</v>
      </c>
      <c r="AM7102">
        <v>90.7097558324038</v>
      </c>
      <c r="AN7102">
        <v>1.00000000809553</v>
      </c>
    </row>
    <row r="7103" spans="1:40" x14ac:dyDescent="0.25">
      <c r="A7103" t="str">
        <f>"20190303154700880"</f>
        <v>20190303154700880</v>
      </c>
      <c r="B7103" t="str">
        <f>"1551599220868743"</f>
        <v>1551599220868743</v>
      </c>
      <c r="C7103" t="s">
        <v>40</v>
      </c>
      <c r="D7103">
        <v>5.5648309999999999</v>
      </c>
      <c r="E7103">
        <v>0.51803189999999999</v>
      </c>
      <c r="F7103" t="s">
        <v>42</v>
      </c>
      <c r="G7103">
        <v>-188.34350000000001</v>
      </c>
      <c r="H7103">
        <v>0.96732839999999998</v>
      </c>
      <c r="I7103">
        <v>-14.85519</v>
      </c>
      <c r="J7103">
        <v>-188.37280000000001</v>
      </c>
      <c r="K7103">
        <v>1.1189690000000001</v>
      </c>
      <c r="L7103">
        <v>-14.93567</v>
      </c>
      <c r="M7103">
        <v>3.696224E-2</v>
      </c>
      <c r="N7103">
        <v>-4.1257469999999999E-3</v>
      </c>
      <c r="O7103">
        <v>0.99930819999999998</v>
      </c>
      <c r="P7103">
        <v>2.5473300000000001E-2</v>
      </c>
      <c r="Q7103">
        <v>-9.739565E-2</v>
      </c>
      <c r="R7103">
        <v>0.99491969999999996</v>
      </c>
      <c r="S7103">
        <v>0.214447</v>
      </c>
      <c r="T7103">
        <v>-0.59465000000000001</v>
      </c>
      <c r="U7103">
        <v>2.9520569999999999</v>
      </c>
      <c r="V7103">
        <v>-1.147829E-2</v>
      </c>
      <c r="W7103">
        <v>-9.3269459999999998E-2</v>
      </c>
      <c r="X7103">
        <v>0.99557470000000003</v>
      </c>
      <c r="Y7103">
        <v>3.4160740000000002E-2</v>
      </c>
      <c r="Z7103">
        <v>-0.19292290000000001</v>
      </c>
      <c r="AA7103">
        <v>0.98061909999999997</v>
      </c>
      <c r="AB7103">
        <v>35</v>
      </c>
      <c r="AC7103">
        <v>2.93000000000063E-2</v>
      </c>
      <c r="AD7103">
        <v>-0.15164059999999999</v>
      </c>
      <c r="AE7103">
        <v>8.0480000000003202E-2</v>
      </c>
      <c r="AF7103">
        <v>6.3620201022077097E-3</v>
      </c>
      <c r="AG7103">
        <v>-0.15164059999999999</v>
      </c>
      <c r="AH7103">
        <v>1.9713020786329201E-2</v>
      </c>
      <c r="AI7103">
        <v>172.221500470325</v>
      </c>
      <c r="AJ7103">
        <v>72.113455738850305</v>
      </c>
      <c r="AK7103">
        <v>0.153048848596332</v>
      </c>
      <c r="AL7103">
        <v>95.351725103878394</v>
      </c>
      <c r="AM7103">
        <v>90.660551574521804</v>
      </c>
      <c r="AN7103">
        <v>0.99999996329505203</v>
      </c>
    </row>
    <row r="7104" spans="1:40" x14ac:dyDescent="0.25">
      <c r="A7104" t="str">
        <f>"20190303154700951"</f>
        <v>20190303154700951</v>
      </c>
      <c r="B7104" t="str">
        <f>"1551599220938546"</f>
        <v>1551599220938546</v>
      </c>
      <c r="C7104" t="s">
        <v>40</v>
      </c>
      <c r="D7104">
        <v>5.2991590000000004</v>
      </c>
      <c r="E7104">
        <v>0.50078329999999904</v>
      </c>
      <c r="F7104" t="s">
        <v>42</v>
      </c>
      <c r="G7104">
        <v>-188.30330000000001</v>
      </c>
      <c r="H7104">
        <v>1.001007</v>
      </c>
      <c r="I7104">
        <v>-13.24023</v>
      </c>
      <c r="J7104">
        <v>-188.3278</v>
      </c>
      <c r="K7104">
        <v>1.1190230000000001</v>
      </c>
      <c r="L7104">
        <v>-13.80035</v>
      </c>
      <c r="M7104">
        <v>3.9290129999999999E-2</v>
      </c>
      <c r="N7104">
        <v>-4.8591179999999999E-3</v>
      </c>
      <c r="O7104">
        <v>0.99921599999999999</v>
      </c>
      <c r="P7104">
        <v>2.8711770000000001E-2</v>
      </c>
      <c r="Q7104">
        <v>-9.743164E-2</v>
      </c>
      <c r="R7104">
        <v>0.99482800000000005</v>
      </c>
      <c r="S7104">
        <v>0.12577819999999901</v>
      </c>
      <c r="T7104">
        <v>-0.37407459999999998</v>
      </c>
      <c r="U7104">
        <v>2.9753720000000001</v>
      </c>
      <c r="V7104">
        <v>-1.055467E-2</v>
      </c>
      <c r="W7104">
        <v>-9.2576969999999995E-2</v>
      </c>
      <c r="X7104">
        <v>0.99564960000000002</v>
      </c>
      <c r="Y7104">
        <v>2.6422709999999999E-3</v>
      </c>
      <c r="Z7104">
        <v>-0.11972430000000001</v>
      </c>
      <c r="AA7104">
        <v>0.99280360000000001</v>
      </c>
      <c r="AB7104">
        <v>36</v>
      </c>
      <c r="AC7104">
        <v>2.4499999999988999E-2</v>
      </c>
      <c r="AD7104">
        <v>-0.118015999999999</v>
      </c>
      <c r="AE7104">
        <v>0.56012000000000095</v>
      </c>
      <c r="AF7104">
        <v>2.3686803924808401E-3</v>
      </c>
      <c r="AG7104">
        <v>-0.118015999999999</v>
      </c>
      <c r="AH7104">
        <v>0.53686240720860301</v>
      </c>
      <c r="AI7104">
        <v>102.397759900845</v>
      </c>
      <c r="AJ7104">
        <v>89.747208023769403</v>
      </c>
      <c r="AK7104">
        <v>0.549685938674638</v>
      </c>
      <c r="AL7104">
        <v>95.311875675699994</v>
      </c>
      <c r="AM7104">
        <v>90.607357642546901</v>
      </c>
      <c r="AN7104">
        <v>1.00000001120667</v>
      </c>
    </row>
    <row r="7105" spans="1:40" x14ac:dyDescent="0.25">
      <c r="A7105" t="str">
        <f>"20190303154700989"</f>
        <v>20190303154700989</v>
      </c>
      <c r="B7105" t="str">
        <f>"1551599220978562"</f>
        <v>1551599220978562</v>
      </c>
      <c r="C7105" t="s">
        <v>40</v>
      </c>
      <c r="D7105">
        <v>5.2657230000000004</v>
      </c>
      <c r="E7105">
        <v>0.49954130000000002</v>
      </c>
      <c r="F7105" t="s">
        <v>42</v>
      </c>
      <c r="G7105">
        <v>-188.29990000000001</v>
      </c>
      <c r="H7105">
        <v>1.028397</v>
      </c>
      <c r="I7105">
        <v>-12.904450000000001</v>
      </c>
      <c r="J7105">
        <v>-188.30260000000001</v>
      </c>
      <c r="K7105">
        <v>1.1190279999999999</v>
      </c>
      <c r="L7105">
        <v>-13.18896</v>
      </c>
      <c r="M7105">
        <v>4.0451899999999999E-2</v>
      </c>
      <c r="N7105">
        <v>-5.164241E-3</v>
      </c>
      <c r="O7105">
        <v>0.99916819999999895</v>
      </c>
      <c r="P7105">
        <v>2.9603419999999998E-2</v>
      </c>
      <c r="Q7105">
        <v>-9.8419129999999994E-2</v>
      </c>
      <c r="R7105">
        <v>0.9947047</v>
      </c>
      <c r="S7105">
        <v>9.248352E-2</v>
      </c>
      <c r="T7105">
        <v>-0.30174179999999901</v>
      </c>
      <c r="U7105">
        <v>2.983368</v>
      </c>
      <c r="V7105">
        <v>-1.08132E-2</v>
      </c>
      <c r="W7105">
        <v>-9.3261170000000004E-2</v>
      </c>
      <c r="X7105">
        <v>0.99558290000000005</v>
      </c>
      <c r="Y7105">
        <v>-9.6122240000000008E-3</v>
      </c>
      <c r="Z7105">
        <v>-9.5342419999999997E-2</v>
      </c>
      <c r="AA7105">
        <v>0.99539809999999995</v>
      </c>
      <c r="AB7105">
        <v>36</v>
      </c>
      <c r="AC7105">
        <v>2.7000000000043599E-3</v>
      </c>
      <c r="AD7105">
        <v>-9.06310000000001E-2</v>
      </c>
      <c r="AE7105">
        <v>0.28450999999999899</v>
      </c>
      <c r="AF7105">
        <v>-7.9996433032525592E-3</v>
      </c>
      <c r="AG7105">
        <v>-9.06310000000001E-2</v>
      </c>
      <c r="AH7105">
        <v>0.258189005659682</v>
      </c>
      <c r="AI7105">
        <v>109.333799923524</v>
      </c>
      <c r="AJ7105">
        <v>91.774665862833004</v>
      </c>
      <c r="AK7105">
        <v>0.273750863190447</v>
      </c>
      <c r="AL7105">
        <v>95.351248162409405</v>
      </c>
      <c r="AM7105">
        <v>90.622275013927194</v>
      </c>
      <c r="AN7105">
        <v>0.99999994094820699</v>
      </c>
    </row>
    <row r="7106" spans="1:40" x14ac:dyDescent="0.25">
      <c r="A7106" t="str">
        <f>"20190303154701014"</f>
        <v>20190303154701014</v>
      </c>
      <c r="B7106" t="str">
        <f>"1551599221009326"</f>
        <v>1551599221009326</v>
      </c>
      <c r="C7106" t="s">
        <v>40</v>
      </c>
      <c r="D7106">
        <v>5.2969400000000002</v>
      </c>
      <c r="E7106">
        <v>0.49915470000000001</v>
      </c>
      <c r="F7106" t="s">
        <v>42</v>
      </c>
      <c r="G7106">
        <v>-188.27590000000001</v>
      </c>
      <c r="H7106">
        <v>1.0331699999999999</v>
      </c>
      <c r="I7106">
        <v>-12.25379</v>
      </c>
      <c r="J7106">
        <v>-188.285</v>
      </c>
      <c r="K7106">
        <v>1.1190359999999999</v>
      </c>
      <c r="L7106">
        <v>-12.77225</v>
      </c>
      <c r="M7106">
        <v>4.1187519999999998E-2</v>
      </c>
      <c r="N7106">
        <v>-5.3356669999999997E-3</v>
      </c>
      <c r="O7106">
        <v>0.99913719999999995</v>
      </c>
      <c r="P7106">
        <v>2.9710609999999998E-2</v>
      </c>
      <c r="Q7106">
        <v>-9.8432309999999995E-2</v>
      </c>
      <c r="R7106">
        <v>0.99470009999999998</v>
      </c>
      <c r="S7106">
        <v>8.4960939999999999E-2</v>
      </c>
      <c r="T7106">
        <v>-0.27415600000000001</v>
      </c>
      <c r="U7106">
        <v>2.9863279999999999</v>
      </c>
      <c r="V7106">
        <v>-1.143337E-2</v>
      </c>
      <c r="W7106">
        <v>-9.3103340000000007E-2</v>
      </c>
      <c r="X7106">
        <v>0.9955908</v>
      </c>
      <c r="Y7106">
        <v>-1.285919E-2</v>
      </c>
      <c r="Z7106">
        <v>-8.5969599999999993E-2</v>
      </c>
      <c r="AA7106">
        <v>0.99621470000000001</v>
      </c>
      <c r="AB7106">
        <v>36</v>
      </c>
      <c r="AC7106">
        <v>9.0999999999894499E-3</v>
      </c>
      <c r="AD7106">
        <v>-8.5865999999999998E-2</v>
      </c>
      <c r="AE7106">
        <v>0.51846000000000103</v>
      </c>
      <c r="AF7106">
        <v>-1.19348459303712E-2</v>
      </c>
      <c r="AG7106">
        <v>-8.5865999999999998E-2</v>
      </c>
      <c r="AH7106">
        <v>0.50455948876572299</v>
      </c>
      <c r="AI7106">
        <v>99.655425964623404</v>
      </c>
      <c r="AJ7106">
        <v>91.355021210874696</v>
      </c>
      <c r="AK7106">
        <v>0.511952818340625</v>
      </c>
      <c r="AL7106">
        <v>95.342165348841405</v>
      </c>
      <c r="AM7106">
        <v>90.657956110969494</v>
      </c>
      <c r="AN7106">
        <v>0.999999997456676</v>
      </c>
    </row>
    <row r="7107" spans="1:40" x14ac:dyDescent="0.25">
      <c r="A7107" t="str">
        <f>"20190303154701034"</f>
        <v>20190303154701034</v>
      </c>
      <c r="B7107" t="str">
        <f>"1551599221028845"</f>
        <v>1551599221028845</v>
      </c>
      <c r="C7107" t="s">
        <v>40</v>
      </c>
      <c r="D7107">
        <v>5.266114</v>
      </c>
      <c r="E7107">
        <v>0.49904520000000002</v>
      </c>
      <c r="F7107" t="s">
        <v>41</v>
      </c>
      <c r="G7107">
        <v>-187.9383</v>
      </c>
      <c r="H7107" s="1">
        <v>-6.169395E-7</v>
      </c>
      <c r="I7107">
        <v>-0.15101800000000001</v>
      </c>
      <c r="J7107">
        <v>-188.2713</v>
      </c>
      <c r="K7107">
        <v>1.119041</v>
      </c>
      <c r="L7107">
        <v>-12.44885</v>
      </c>
      <c r="M7107">
        <v>4.1723490000000002E-2</v>
      </c>
      <c r="N7107">
        <v>-5.452658E-3</v>
      </c>
      <c r="O7107">
        <v>0.99911430000000001</v>
      </c>
      <c r="P7107">
        <v>2.9801890000000001E-2</v>
      </c>
      <c r="Q7107">
        <v>-9.8169419999999993E-2</v>
      </c>
      <c r="R7107">
        <v>0.99472340000000004</v>
      </c>
      <c r="S7107">
        <v>8.2077029999999995E-2</v>
      </c>
      <c r="T7107">
        <v>-0.2648662</v>
      </c>
      <c r="U7107">
        <v>2.9873349999999999</v>
      </c>
      <c r="V7107">
        <v>-1.1871019999999999E-2</v>
      </c>
      <c r="W7107">
        <v>-9.2723819999999998E-2</v>
      </c>
      <c r="X7107">
        <v>0.99562110000000004</v>
      </c>
      <c r="Y7107">
        <v>-1.4358269999999999E-2</v>
      </c>
      <c r="Z7107">
        <v>-8.2750870000000004E-2</v>
      </c>
      <c r="AA7107">
        <v>0.99646679999999999</v>
      </c>
      <c r="AB7107">
        <v>36</v>
      </c>
      <c r="AC7107">
        <v>0.33299999999999802</v>
      </c>
      <c r="AD7107">
        <v>-1.1190416169395001</v>
      </c>
      <c r="AE7107">
        <v>12.297832</v>
      </c>
      <c r="AF7107">
        <v>-0.178925657453128</v>
      </c>
      <c r="AG7107">
        <v>-1.1190416169395001</v>
      </c>
      <c r="AH7107">
        <v>12.200073048434399</v>
      </c>
      <c r="AI7107">
        <v>95.240183104965794</v>
      </c>
      <c r="AJ7107">
        <v>90.840236780623798</v>
      </c>
      <c r="AK7107">
        <v>12.252593640469501</v>
      </c>
      <c r="AL7107">
        <v>95.320325960459101</v>
      </c>
      <c r="AM7107">
        <v>90.683118423266507</v>
      </c>
      <c r="AN7107">
        <v>1.00000000133822</v>
      </c>
    </row>
    <row r="7108" spans="1:40" x14ac:dyDescent="0.25">
      <c r="A7108" t="str">
        <f>"20190303154701059"</f>
        <v>20190303154701059</v>
      </c>
      <c r="B7108" t="str">
        <f>"1551599221049341"</f>
        <v>1551599221049341</v>
      </c>
      <c r="C7108" t="s">
        <v>40</v>
      </c>
      <c r="D7108">
        <v>5.2700509999999996</v>
      </c>
      <c r="E7108">
        <v>0.49893100000000001</v>
      </c>
      <c r="F7108" t="s">
        <v>41</v>
      </c>
      <c r="G7108">
        <v>-187.92019999999999</v>
      </c>
      <c r="H7108" s="1">
        <v>-8.1847499999999897E-7</v>
      </c>
      <c r="I7108">
        <v>0.42710290000000001</v>
      </c>
      <c r="J7108">
        <v>-188.25389999999999</v>
      </c>
      <c r="K7108">
        <v>1.119065</v>
      </c>
      <c r="L7108">
        <v>-12.0466</v>
      </c>
      <c r="M7108">
        <v>4.2336810000000002E-2</v>
      </c>
      <c r="N7108">
        <v>-5.5821660000000004E-3</v>
      </c>
      <c r="O7108">
        <v>0.99908779999999997</v>
      </c>
      <c r="P7108">
        <v>3.0411520000000001E-2</v>
      </c>
      <c r="Q7108">
        <v>-9.8685560000000005E-2</v>
      </c>
      <c r="R7108">
        <v>0.99465389999999998</v>
      </c>
      <c r="S7108">
        <v>8.1451419999999997E-2</v>
      </c>
      <c r="T7108">
        <v>-0.25967279999999998</v>
      </c>
      <c r="U7108">
        <v>2.987854</v>
      </c>
      <c r="V7108">
        <v>-1.186252E-2</v>
      </c>
      <c r="W7108">
        <v>-9.3112360000000005E-2</v>
      </c>
      <c r="X7108">
        <v>0.99558500000000005</v>
      </c>
      <c r="Y7108">
        <v>-1.518094E-2</v>
      </c>
      <c r="Z7108">
        <v>-8.0886620000000006E-2</v>
      </c>
      <c r="AA7108">
        <v>0.99660769999999999</v>
      </c>
      <c r="AB7108">
        <v>36</v>
      </c>
      <c r="AC7108">
        <v>0.333699999999993</v>
      </c>
      <c r="AD7108">
        <v>-1.119065818475</v>
      </c>
      <c r="AE7108">
        <v>12.473702899999999</v>
      </c>
      <c r="AF7108">
        <v>-0.19315074284943601</v>
      </c>
      <c r="AG7108">
        <v>-1.119065818475</v>
      </c>
      <c r="AH7108">
        <v>12.377099477158399</v>
      </c>
      <c r="AI7108">
        <v>95.165680596960101</v>
      </c>
      <c r="AJ7108">
        <v>90.894056330554704</v>
      </c>
      <c r="AK7108">
        <v>12.4290871339378</v>
      </c>
      <c r="AL7108">
        <v>95.342684067898503</v>
      </c>
      <c r="AM7108">
        <v>90.682654086513097</v>
      </c>
      <c r="AN7108">
        <v>1.00000006159525</v>
      </c>
    </row>
    <row r="7109" spans="1:40" x14ac:dyDescent="0.25">
      <c r="A7109" t="str">
        <f>"20190303154701100"</f>
        <v>20190303154701100</v>
      </c>
      <c r="B7109" t="str">
        <f>"1551599221089357"</f>
        <v>1551599221089357</v>
      </c>
      <c r="C7109" t="s">
        <v>40</v>
      </c>
      <c r="D7109">
        <v>5.2311889999999996</v>
      </c>
      <c r="E7109">
        <v>0.49906270000000003</v>
      </c>
      <c r="F7109" t="s">
        <v>41</v>
      </c>
      <c r="G7109">
        <v>-187.89660000000001</v>
      </c>
      <c r="H7109" s="1">
        <v>-9.9691340000000005E-7</v>
      </c>
      <c r="I7109">
        <v>0.93294940000000004</v>
      </c>
      <c r="J7109">
        <v>-188.22479999999999</v>
      </c>
      <c r="K7109">
        <v>1.1191260000000001</v>
      </c>
      <c r="L7109">
        <v>-11.37964</v>
      </c>
      <c r="M7109">
        <v>4.3197159999999998E-2</v>
      </c>
      <c r="N7109">
        <v>-5.7616619999999999E-3</v>
      </c>
      <c r="O7109">
        <v>0.99904999999999999</v>
      </c>
      <c r="P7109">
        <v>3.0888530000000001E-2</v>
      </c>
      <c r="Q7109">
        <v>-0.1000944</v>
      </c>
      <c r="R7109">
        <v>0.9944984</v>
      </c>
      <c r="S7109">
        <v>8.2260130000000001E-2</v>
      </c>
      <c r="T7109">
        <v>-0.2576214</v>
      </c>
      <c r="U7109">
        <v>2.9880369999999998</v>
      </c>
      <c r="V7109">
        <v>-1.221999E-2</v>
      </c>
      <c r="W7109">
        <v>-9.4345079999999998E-2</v>
      </c>
      <c r="X7109">
        <v>0.99546460000000003</v>
      </c>
      <c r="Y7109">
        <v>-1.5771980000000001E-2</v>
      </c>
      <c r="Z7109">
        <v>-8.0019060000000003E-2</v>
      </c>
      <c r="AA7109">
        <v>0.99666860000000002</v>
      </c>
      <c r="AB7109">
        <v>36</v>
      </c>
      <c r="AC7109">
        <v>0.32819999999998101</v>
      </c>
      <c r="AD7109">
        <v>-1.1191269969133999</v>
      </c>
      <c r="AE7109">
        <v>12.3125894</v>
      </c>
      <c r="AF7109">
        <v>-0.202313827617776</v>
      </c>
      <c r="AG7109">
        <v>-1.1191269969133999</v>
      </c>
      <c r="AH7109">
        <v>12.214435432085899</v>
      </c>
      <c r="AI7109">
        <v>95.234298593876801</v>
      </c>
      <c r="AJ7109">
        <v>90.948931994156197</v>
      </c>
      <c r="AK7109">
        <v>12.267265752589701</v>
      </c>
      <c r="AL7109">
        <v>95.413626108334597</v>
      </c>
      <c r="AM7109">
        <v>90.703308471931393</v>
      </c>
      <c r="AN7109">
        <v>1.00000004606448</v>
      </c>
    </row>
    <row r="7110" spans="1:40" x14ac:dyDescent="0.25">
      <c r="A7110" t="str">
        <f>"20190303154701121"</f>
        <v>20190303154701121</v>
      </c>
      <c r="B7110" t="str">
        <f>"1551599221109386"</f>
        <v>1551599221109386</v>
      </c>
      <c r="C7110" t="s">
        <v>40</v>
      </c>
      <c r="D7110">
        <v>5.2558999999999996</v>
      </c>
      <c r="E7110">
        <v>0.49907899999999999</v>
      </c>
      <c r="F7110" t="s">
        <v>41</v>
      </c>
      <c r="G7110">
        <v>-187.85489999999999</v>
      </c>
      <c r="H7110" s="1">
        <v>-1.2528859999999999E-6</v>
      </c>
      <c r="I7110">
        <v>1.652539</v>
      </c>
      <c r="J7110">
        <v>-188.2089</v>
      </c>
      <c r="K7110">
        <v>1.119159</v>
      </c>
      <c r="L7110">
        <v>-11.021089999999999</v>
      </c>
      <c r="M7110">
        <v>4.358741E-2</v>
      </c>
      <c r="N7110">
        <v>-5.8436470000000004E-3</v>
      </c>
      <c r="O7110">
        <v>0.99903249999999999</v>
      </c>
      <c r="P7110">
        <v>3.123805E-2</v>
      </c>
      <c r="Q7110">
        <v>-0.1002208</v>
      </c>
      <c r="R7110">
        <v>0.99447470000000004</v>
      </c>
      <c r="S7110">
        <v>8.4808350000000005E-2</v>
      </c>
      <c r="T7110">
        <v>-0.25660300000000003</v>
      </c>
      <c r="U7110">
        <v>2.9881289999999998</v>
      </c>
      <c r="V7110">
        <v>-1.224841E-2</v>
      </c>
      <c r="W7110">
        <v>-9.4391130000000004E-2</v>
      </c>
      <c r="X7110">
        <v>0.99545989999999995</v>
      </c>
      <c r="Y7110">
        <v>-1.531325E-2</v>
      </c>
      <c r="Z7110">
        <v>-7.9595360000000004E-2</v>
      </c>
      <c r="AA7110">
        <v>0.99670959999999997</v>
      </c>
      <c r="AB7110">
        <v>37</v>
      </c>
      <c r="AC7110">
        <v>0.35400000000001303</v>
      </c>
      <c r="AD7110">
        <v>-1.1191602528860001</v>
      </c>
      <c r="AE7110">
        <v>12.673628999999901</v>
      </c>
      <c r="AF7110">
        <v>-0.19721983830335901</v>
      </c>
      <c r="AG7110">
        <v>-1.1191602528860001</v>
      </c>
      <c r="AH7110">
        <v>12.578999576031199</v>
      </c>
      <c r="AI7110">
        <v>95.083627315583897</v>
      </c>
      <c r="AJ7110">
        <v>90.898238253838798</v>
      </c>
      <c r="AK7110">
        <v>12.6302274591574</v>
      </c>
      <c r="AL7110">
        <v>95.416276326430307</v>
      </c>
      <c r="AM7110">
        <v>90.704947317812199</v>
      </c>
      <c r="AN7110">
        <v>1.0000000607391</v>
      </c>
    </row>
    <row r="7111" spans="1:40" x14ac:dyDescent="0.25">
      <c r="A7111" t="str">
        <f>"20190303154701145"</f>
        <v>20190303154701145</v>
      </c>
      <c r="B7111" t="str">
        <f>"1551599221138666"</f>
        <v>1551599221138666</v>
      </c>
      <c r="C7111" t="s">
        <v>40</v>
      </c>
      <c r="D7111">
        <v>5.2191150000000004</v>
      </c>
      <c r="E7111">
        <v>0.49920920000000002</v>
      </c>
      <c r="F7111" t="s">
        <v>41</v>
      </c>
      <c r="G7111">
        <v>-187.8321</v>
      </c>
      <c r="H7111" s="1">
        <v>-1.4321349999999999E-6</v>
      </c>
      <c r="I7111">
        <v>2.0747279999999999</v>
      </c>
      <c r="J7111">
        <v>-188.19110000000001</v>
      </c>
      <c r="K7111">
        <v>1.1192009999999999</v>
      </c>
      <c r="L7111">
        <v>-10.620150000000001</v>
      </c>
      <c r="M7111">
        <v>4.395135E-2</v>
      </c>
      <c r="N7111">
        <v>-5.9242460000000002E-3</v>
      </c>
      <c r="O7111">
        <v>0.99901609999999996</v>
      </c>
      <c r="P7111">
        <v>3.1605179999999997E-2</v>
      </c>
      <c r="Q7111">
        <v>-0.1002683</v>
      </c>
      <c r="R7111">
        <v>0.99445830000000002</v>
      </c>
      <c r="S7111">
        <v>8.5983279999999995E-2</v>
      </c>
      <c r="T7111">
        <v>-0.25537149999999997</v>
      </c>
      <c r="U7111">
        <v>2.9882200000000001</v>
      </c>
      <c r="V7111">
        <v>-1.2231840000000001E-2</v>
      </c>
      <c r="W7111">
        <v>-9.4359960000000007E-2</v>
      </c>
      <c r="X7111">
        <v>0.99546299999999999</v>
      </c>
      <c r="Y7111">
        <v>-1.528566E-2</v>
      </c>
      <c r="Z7111">
        <v>-7.9102919999999993E-2</v>
      </c>
      <c r="AA7111">
        <v>0.99674929999999995</v>
      </c>
      <c r="AB7111">
        <v>37</v>
      </c>
      <c r="AC7111">
        <v>0.35900000000000798</v>
      </c>
      <c r="AD7111">
        <v>-1.119202432135</v>
      </c>
      <c r="AE7111">
        <v>12.694877999999999</v>
      </c>
      <c r="AF7111">
        <v>-0.19777774793244299</v>
      </c>
      <c r="AG7111">
        <v>-1.119202432135</v>
      </c>
      <c r="AH7111">
        <v>12.600529726386799</v>
      </c>
      <c r="AI7111">
        <v>95.075175356490206</v>
      </c>
      <c r="AJ7111">
        <v>90.899239955517501</v>
      </c>
      <c r="AK7111">
        <v>12.651682872536499</v>
      </c>
      <c r="AL7111">
        <v>95.414482728343998</v>
      </c>
      <c r="AM7111">
        <v>90.703991548821804</v>
      </c>
      <c r="AN7111">
        <v>1.00000000216499</v>
      </c>
    </row>
    <row r="7112" spans="1:40" x14ac:dyDescent="0.25">
      <c r="A7112" t="str">
        <f>"20190303154701166"</f>
        <v>20190303154701166</v>
      </c>
      <c r="B7112" t="str">
        <f>"1551599221159162"</f>
        <v>1551599221159162</v>
      </c>
      <c r="C7112" t="s">
        <v>40</v>
      </c>
      <c r="D7112">
        <v>5.1976950000000004</v>
      </c>
      <c r="E7112">
        <v>0.4991891</v>
      </c>
      <c r="F7112" t="s">
        <v>42</v>
      </c>
      <c r="G7112">
        <v>-188.1617</v>
      </c>
      <c r="H7112">
        <v>1.0351619999999999</v>
      </c>
      <c r="I7112">
        <v>-9.6310009999999995</v>
      </c>
      <c r="J7112">
        <v>-188.1755</v>
      </c>
      <c r="K7112">
        <v>1.1192470000000001</v>
      </c>
      <c r="L7112">
        <v>-10.27026</v>
      </c>
      <c r="M7112">
        <v>4.4214709999999997E-2</v>
      </c>
      <c r="N7112">
        <v>-5.9873210000000003E-3</v>
      </c>
      <c r="O7112">
        <v>0.99900409999999995</v>
      </c>
      <c r="P7112">
        <v>3.1251609999999999E-2</v>
      </c>
      <c r="Q7112">
        <v>-0.1002551</v>
      </c>
      <c r="R7112">
        <v>0.99447079999999999</v>
      </c>
      <c r="S7112">
        <v>8.8027949999999994E-2</v>
      </c>
      <c r="T7112">
        <v>-0.25386249999999999</v>
      </c>
      <c r="U7112">
        <v>2.9883120000000001</v>
      </c>
      <c r="V7112">
        <v>-1.283714E-2</v>
      </c>
      <c r="W7112">
        <v>-9.428483E-2</v>
      </c>
      <c r="X7112">
        <v>0.99546250000000003</v>
      </c>
      <c r="Y7112">
        <v>-1.4867490000000001E-2</v>
      </c>
      <c r="Z7112">
        <v>-7.8536670000000003E-2</v>
      </c>
      <c r="AA7112">
        <v>0.99680040000000003</v>
      </c>
      <c r="AB7112">
        <v>37</v>
      </c>
      <c r="AC7112">
        <v>1.3800000000003299E-2</v>
      </c>
      <c r="AD7112">
        <v>-8.4084999999999702E-2</v>
      </c>
      <c r="AE7112">
        <v>0.63925900000000002</v>
      </c>
      <c r="AF7112">
        <v>-1.4232525272647199E-2</v>
      </c>
      <c r="AG7112">
        <v>-8.4084999999999702E-2</v>
      </c>
      <c r="AH7112">
        <v>0.62837719530422598</v>
      </c>
      <c r="AI7112">
        <v>97.619709862352295</v>
      </c>
      <c r="AJ7112">
        <v>91.297507663890698</v>
      </c>
      <c r="AK7112">
        <v>0.63413780172691303</v>
      </c>
      <c r="AL7112">
        <v>95.410158803144896</v>
      </c>
      <c r="AM7112">
        <v>90.738825596758502</v>
      </c>
      <c r="AN7112">
        <v>1.00000000511887</v>
      </c>
    </row>
    <row r="7113" spans="1:40" x14ac:dyDescent="0.25">
      <c r="A7113" t="str">
        <f>"20190303154701188"</f>
        <v>20190303154701188</v>
      </c>
      <c r="B7113" t="str">
        <f>"1551599221178681"</f>
        <v>1551599221178681</v>
      </c>
      <c r="C7113" t="s">
        <v>40</v>
      </c>
      <c r="D7113">
        <v>5.2163559999999896</v>
      </c>
      <c r="E7113">
        <v>0.49920550000000002</v>
      </c>
      <c r="F7113" t="s">
        <v>42</v>
      </c>
      <c r="G7113">
        <v>-188.14709999999999</v>
      </c>
      <c r="H7113">
        <v>1.0369189999999999</v>
      </c>
      <c r="I7113">
        <v>-9.2981350000000003</v>
      </c>
      <c r="J7113">
        <v>-188.15940000000001</v>
      </c>
      <c r="K7113">
        <v>1.1192869999999999</v>
      </c>
      <c r="L7113">
        <v>-9.9127200000000002</v>
      </c>
      <c r="M7113">
        <v>4.4438360000000003E-2</v>
      </c>
      <c r="N7113">
        <v>-6.0457100000000001E-3</v>
      </c>
      <c r="O7113">
        <v>0.99899380000000004</v>
      </c>
      <c r="P7113">
        <v>3.098969E-2</v>
      </c>
      <c r="Q7113">
        <v>-9.9907640000000006E-2</v>
      </c>
      <c r="R7113">
        <v>0.99451400000000001</v>
      </c>
      <c r="S7113">
        <v>8.6791989999999999E-2</v>
      </c>
      <c r="T7113">
        <v>-0.25307200000000002</v>
      </c>
      <c r="U7113">
        <v>2.9884339999999998</v>
      </c>
      <c r="V7113">
        <v>-1.331327E-2</v>
      </c>
      <c r="W7113">
        <v>-9.3880030000000003E-2</v>
      </c>
      <c r="X7113">
        <v>0.99549449999999995</v>
      </c>
      <c r="Y7113">
        <v>-1.550352E-2</v>
      </c>
      <c r="Z7113">
        <v>-7.8212509999999999E-2</v>
      </c>
      <c r="AA7113">
        <v>0.99681620000000004</v>
      </c>
      <c r="AB7113">
        <v>37</v>
      </c>
      <c r="AC7113">
        <v>1.23000000000104E-2</v>
      </c>
      <c r="AD7113">
        <v>-8.2367999999999997E-2</v>
      </c>
      <c r="AE7113">
        <v>0.61458499999999905</v>
      </c>
      <c r="AF7113">
        <v>-1.47588101720158E-2</v>
      </c>
      <c r="AG7113">
        <v>-8.2367999999999997E-2</v>
      </c>
      <c r="AH7113">
        <v>0.60368543113536099</v>
      </c>
      <c r="AI7113">
        <v>97.767276927152494</v>
      </c>
      <c r="AJ7113">
        <v>91.400479580649801</v>
      </c>
      <c r="AK7113">
        <v>0.60945747158171804</v>
      </c>
      <c r="AL7113">
        <v>95.386862157422499</v>
      </c>
      <c r="AM7113">
        <v>90.766200829695407</v>
      </c>
      <c r="AN7113">
        <v>1.0000000013605701</v>
      </c>
    </row>
    <row r="7114" spans="1:40" x14ac:dyDescent="0.25">
      <c r="A7114" t="str">
        <f>"20190303154701211"</f>
        <v>20190303154701211</v>
      </c>
      <c r="B7114" t="str">
        <f>"1551599221208469"</f>
        <v>1551599221208469</v>
      </c>
      <c r="C7114" t="s">
        <v>40</v>
      </c>
      <c r="D7114">
        <v>5.1994759999999998</v>
      </c>
      <c r="E7114">
        <v>0.4992318</v>
      </c>
      <c r="F7114" t="s">
        <v>41</v>
      </c>
      <c r="G7114">
        <v>-187.7757</v>
      </c>
      <c r="H7114" s="1">
        <v>-2.0107780000000001E-6</v>
      </c>
      <c r="I7114">
        <v>3.400261</v>
      </c>
      <c r="J7114">
        <v>-188.14169999999999</v>
      </c>
      <c r="K7114">
        <v>1.119326</v>
      </c>
      <c r="L7114">
        <v>-9.5177610000000001</v>
      </c>
      <c r="M7114">
        <v>4.4632720000000001E-2</v>
      </c>
      <c r="N7114">
        <v>-6.1039800000000002E-3</v>
      </c>
      <c r="O7114">
        <v>0.99898480000000001</v>
      </c>
      <c r="P7114">
        <v>3.1202799999999999E-2</v>
      </c>
      <c r="Q7114">
        <v>-0.1006407</v>
      </c>
      <c r="R7114">
        <v>0.99443340000000002</v>
      </c>
      <c r="S7114">
        <v>8.6135859999999995E-2</v>
      </c>
      <c r="T7114">
        <v>-0.25126799999999999</v>
      </c>
      <c r="U7114">
        <v>2.9886170000000001</v>
      </c>
      <c r="V7114">
        <v>-1.3280129999999999E-2</v>
      </c>
      <c r="W7114">
        <v>-9.4557089999999996E-2</v>
      </c>
      <c r="X7114">
        <v>0.99543090000000001</v>
      </c>
      <c r="Y7114">
        <v>-1.5916880000000001E-2</v>
      </c>
      <c r="Z7114">
        <v>-7.7551739999999994E-2</v>
      </c>
      <c r="AA7114">
        <v>0.99686129999999995</v>
      </c>
      <c r="AB7114">
        <v>37</v>
      </c>
      <c r="AC7114">
        <v>0.365999999999985</v>
      </c>
      <c r="AD7114">
        <v>-1.1193280107779999</v>
      </c>
      <c r="AE7114">
        <v>12.918022000000001</v>
      </c>
      <c r="AF7114">
        <v>-0.20937126214833399</v>
      </c>
      <c r="AG7114">
        <v>-1.1193280107779999</v>
      </c>
      <c r="AH7114">
        <v>12.825269577045001</v>
      </c>
      <c r="AI7114">
        <v>94.987201159022504</v>
      </c>
      <c r="AJ7114">
        <v>90.935264877551006</v>
      </c>
      <c r="AK7114">
        <v>12.8757241056572</v>
      </c>
      <c r="AL7114">
        <v>95.425827962340904</v>
      </c>
      <c r="AM7114">
        <v>90.764342620519201</v>
      </c>
      <c r="AN7114">
        <v>1.00000004089844</v>
      </c>
    </row>
    <row r="7115" spans="1:40" x14ac:dyDescent="0.25">
      <c r="A7115" t="str">
        <f>"20190303154701235"</f>
        <v>20190303154701235</v>
      </c>
      <c r="B7115" t="str">
        <f>"1551599221228965"</f>
        <v>1551599221228965</v>
      </c>
      <c r="C7115" t="s">
        <v>40</v>
      </c>
      <c r="D7115">
        <v>5.1818179999999998</v>
      </c>
      <c r="E7115">
        <v>0.49926690000000001</v>
      </c>
      <c r="F7115" t="s">
        <v>41</v>
      </c>
      <c r="G7115">
        <v>-187.75620000000001</v>
      </c>
      <c r="H7115" s="1">
        <v>-2.1528660000000001E-6</v>
      </c>
      <c r="I7115">
        <v>3.723382</v>
      </c>
      <c r="J7115">
        <v>-188.1242</v>
      </c>
      <c r="K7115">
        <v>1.1193770000000001</v>
      </c>
      <c r="L7115">
        <v>-9.1296389999999992</v>
      </c>
      <c r="M7115">
        <v>4.4770560000000001E-2</v>
      </c>
      <c r="N7115">
        <v>-6.1558079999999996E-3</v>
      </c>
      <c r="O7115">
        <v>0.99897829999999999</v>
      </c>
      <c r="P7115">
        <v>3.1411099999999997E-2</v>
      </c>
      <c r="Q7115">
        <v>-0.100492</v>
      </c>
      <c r="R7115">
        <v>0.99444189999999999</v>
      </c>
      <c r="S7115">
        <v>8.7005620000000006E-2</v>
      </c>
      <c r="T7115">
        <v>-0.25262980000000002</v>
      </c>
      <c r="U7115">
        <v>2.9884949999999999</v>
      </c>
      <c r="V7115">
        <v>-1.319874E-2</v>
      </c>
      <c r="W7115">
        <v>-9.435818E-2</v>
      </c>
      <c r="X7115">
        <v>0.99545079999999997</v>
      </c>
      <c r="Y7115">
        <v>-1.5764690000000001E-2</v>
      </c>
      <c r="Z7115">
        <v>-7.7952789999999994E-2</v>
      </c>
      <c r="AA7115">
        <v>0.99683239999999995</v>
      </c>
      <c r="AB7115">
        <v>37</v>
      </c>
      <c r="AC7115">
        <v>0.367999999999995</v>
      </c>
      <c r="AD7115">
        <v>-1.119379152866</v>
      </c>
      <c r="AE7115">
        <v>12.853020999999901</v>
      </c>
      <c r="AF7115">
        <v>-0.20625376545742699</v>
      </c>
      <c r="AG7115">
        <v>-1.119379152866</v>
      </c>
      <c r="AH7115">
        <v>12.759906574593501</v>
      </c>
      <c r="AI7115">
        <v>95.012859292427194</v>
      </c>
      <c r="AJ7115">
        <v>90.926060166080305</v>
      </c>
      <c r="AK7115">
        <v>12.8105724343602</v>
      </c>
      <c r="AL7115">
        <v>95.414380383175498</v>
      </c>
      <c r="AM7115">
        <v>90.759643556168299</v>
      </c>
      <c r="AN7115">
        <v>0.999999984045569</v>
      </c>
    </row>
    <row r="7116" spans="1:40" x14ac:dyDescent="0.25">
      <c r="A7116" t="str">
        <f>"20190303154701280"</f>
        <v>20190303154701280</v>
      </c>
      <c r="B7116" t="str">
        <f>"1551599221268981"</f>
        <v>1551599221268981</v>
      </c>
      <c r="C7116" t="s">
        <v>40</v>
      </c>
      <c r="D7116">
        <v>5.1959720000000003</v>
      </c>
      <c r="E7116">
        <v>0.49937910000000002</v>
      </c>
      <c r="F7116" t="s">
        <v>41</v>
      </c>
      <c r="G7116">
        <v>-187.73330000000001</v>
      </c>
      <c r="H7116" s="1">
        <v>-2.342631E-6</v>
      </c>
      <c r="I7116">
        <v>4.1562659999999996</v>
      </c>
      <c r="J7116">
        <v>-188.09059999999999</v>
      </c>
      <c r="K7116">
        <v>1.119461</v>
      </c>
      <c r="L7116">
        <v>-8.3838500000000007</v>
      </c>
      <c r="M7116">
        <v>4.491502E-2</v>
      </c>
      <c r="N7116">
        <v>-6.2432099999999999E-3</v>
      </c>
      <c r="O7116">
        <v>0.99897130000000001</v>
      </c>
      <c r="P7116">
        <v>3.1436220000000001E-2</v>
      </c>
      <c r="Q7116">
        <v>-0.1008674</v>
      </c>
      <c r="R7116">
        <v>0.99440309999999998</v>
      </c>
      <c r="S7116">
        <v>8.7936399999999998E-2</v>
      </c>
      <c r="T7116">
        <v>-0.2517953</v>
      </c>
      <c r="U7116">
        <v>2.988556</v>
      </c>
      <c r="V7116">
        <v>-1.3297099999999999E-2</v>
      </c>
      <c r="W7116">
        <v>-9.4649399999999995E-2</v>
      </c>
      <c r="X7116">
        <v>0.99542189999999997</v>
      </c>
      <c r="Y7116">
        <v>-1.5598870000000001E-2</v>
      </c>
      <c r="Z7116">
        <v>-7.7587059999999999E-2</v>
      </c>
      <c r="AA7116">
        <v>0.99686350000000001</v>
      </c>
      <c r="AB7116">
        <v>37</v>
      </c>
      <c r="AC7116">
        <v>0.35729999999998002</v>
      </c>
      <c r="AD7116">
        <v>-1.1194633426309999</v>
      </c>
      <c r="AE7116">
        <v>12.540115999999999</v>
      </c>
      <c r="AF7116">
        <v>-0.20468130644014901</v>
      </c>
      <c r="AG7116">
        <v>-1.1194633426309999</v>
      </c>
      <c r="AH7116">
        <v>12.4444165744672</v>
      </c>
      <c r="AI7116">
        <v>95.1396335855041</v>
      </c>
      <c r="AJ7116">
        <v>90.942295493722597</v>
      </c>
      <c r="AK7116">
        <v>12.4963433248121</v>
      </c>
      <c r="AL7116">
        <v>95.431140765894298</v>
      </c>
      <c r="AM7116">
        <v>90.765326137554695</v>
      </c>
      <c r="AN7116">
        <v>1.00000004039418</v>
      </c>
    </row>
    <row r="7117" spans="1:40" x14ac:dyDescent="0.25">
      <c r="A7117" t="str">
        <f>"20190303154701302"</f>
        <v>20190303154701302</v>
      </c>
      <c r="B7117" t="str">
        <f>"1551599221299237"</f>
        <v>1551599221299237</v>
      </c>
      <c r="C7117" t="s">
        <v>40</v>
      </c>
      <c r="D7117">
        <v>5.2905230000000003</v>
      </c>
      <c r="E7117">
        <v>0.53358640000000002</v>
      </c>
      <c r="F7117" t="s">
        <v>41</v>
      </c>
      <c r="G7117">
        <v>-187.697</v>
      </c>
      <c r="H7117" s="1">
        <v>-2.650138E-6</v>
      </c>
      <c r="I7117">
        <v>4.8580480000000001</v>
      </c>
      <c r="J7117">
        <v>-188.07419999999999</v>
      </c>
      <c r="K7117">
        <v>1.1194930000000001</v>
      </c>
      <c r="L7117">
        <v>-8.0190729999999899</v>
      </c>
      <c r="M7117">
        <v>4.4947800000000003E-2</v>
      </c>
      <c r="N7117">
        <v>-6.2808909999999898E-3</v>
      </c>
      <c r="O7117">
        <v>0.99896960000000001</v>
      </c>
      <c r="P7117">
        <v>3.1114180000000002E-2</v>
      </c>
      <c r="Q7117">
        <v>-0.1008646</v>
      </c>
      <c r="R7117">
        <v>0.99441349999999995</v>
      </c>
      <c r="S7117">
        <v>8.8836670000000006E-2</v>
      </c>
      <c r="T7117">
        <v>-0.25264330000000002</v>
      </c>
      <c r="U7117">
        <v>2.988464</v>
      </c>
      <c r="V7117">
        <v>-1.364507E-2</v>
      </c>
      <c r="W7117">
        <v>-9.4610040000000006E-2</v>
      </c>
      <c r="X7117">
        <v>0.99542090000000005</v>
      </c>
      <c r="Y7117">
        <v>-1.5331350000000001E-2</v>
      </c>
      <c r="Z7117">
        <v>-7.7832150000000003E-2</v>
      </c>
      <c r="AA7117">
        <v>0.99684859999999997</v>
      </c>
      <c r="AB7117">
        <v>37</v>
      </c>
      <c r="AC7117">
        <v>0.37719999999998699</v>
      </c>
      <c r="AD7117">
        <v>-1.119495650138</v>
      </c>
      <c r="AE7117">
        <v>12.877121000000001</v>
      </c>
      <c r="AF7117">
        <v>-0.200477001298343</v>
      </c>
      <c r="AG7117">
        <v>-1.119495650138</v>
      </c>
      <c r="AH7117">
        <v>12.7845180651615</v>
      </c>
      <c r="AI7117">
        <v>95.003814397742104</v>
      </c>
      <c r="AJ7117">
        <v>90.8983948109083</v>
      </c>
      <c r="AK7117">
        <v>12.835005403082899</v>
      </c>
      <c r="AL7117">
        <v>95.428875615580296</v>
      </c>
      <c r="AM7117">
        <v>90.785352165465198</v>
      </c>
      <c r="AN7117">
        <v>1.0000000078804501</v>
      </c>
    </row>
    <row r="7118" spans="1:40" x14ac:dyDescent="0.25">
      <c r="A7118" t="str">
        <f>"20190303154701324"</f>
        <v>20190303154701324</v>
      </c>
      <c r="B7118" t="str">
        <f>"1551599221319266"</f>
        <v>1551599221319266</v>
      </c>
      <c r="C7118" t="s">
        <v>40</v>
      </c>
      <c r="D7118">
        <v>5.1820490000000001</v>
      </c>
      <c r="E7118">
        <v>0.54327199999999998</v>
      </c>
      <c r="F7118" t="s">
        <v>42</v>
      </c>
      <c r="G7118">
        <v>-187.94929999999999</v>
      </c>
      <c r="H7118">
        <v>0.96279440000000005</v>
      </c>
      <c r="I7118">
        <v>-7.0002880000000003</v>
      </c>
      <c r="J7118">
        <v>-188.05709999999999</v>
      </c>
      <c r="K7118">
        <v>1.1195219999999999</v>
      </c>
      <c r="L7118">
        <v>-7.6410220000000004</v>
      </c>
      <c r="M7118">
        <v>4.4945230000000003E-2</v>
      </c>
      <c r="N7118">
        <v>-6.3169480000000002E-3</v>
      </c>
      <c r="O7118">
        <v>0.99896949999999995</v>
      </c>
      <c r="P7118">
        <v>3.1240730000000001E-2</v>
      </c>
      <c r="Q7118">
        <v>-0.1011739</v>
      </c>
      <c r="R7118">
        <v>0.99437810000000004</v>
      </c>
      <c r="S7118">
        <v>0.36225889999999999</v>
      </c>
      <c r="T7118">
        <v>-0.45516299999999998</v>
      </c>
      <c r="U7118">
        <v>2.9593509999999998</v>
      </c>
      <c r="V7118">
        <v>-1.3506600000000001E-2</v>
      </c>
      <c r="W7118">
        <v>-9.4884700000000002E-2</v>
      </c>
      <c r="X7118">
        <v>0.99539659999999996</v>
      </c>
      <c r="Y7118">
        <v>7.5449580000000002E-2</v>
      </c>
      <c r="Z7118">
        <v>-0.14479320000000001</v>
      </c>
      <c r="AA7118">
        <v>0.98658109999999999</v>
      </c>
      <c r="AB7118">
        <v>38</v>
      </c>
      <c r="AC7118">
        <v>0.107799999999997</v>
      </c>
      <c r="AD7118">
        <v>-0.156727599999999</v>
      </c>
      <c r="AE7118">
        <v>0.64073400000000003</v>
      </c>
      <c r="AF7118">
        <v>7.4554570722215593E-2</v>
      </c>
      <c r="AG7118">
        <v>-0.156727599999999</v>
      </c>
      <c r="AH7118">
        <v>0.60946953273048499</v>
      </c>
      <c r="AI7118">
        <v>104.31907746204899</v>
      </c>
      <c r="AJ7118">
        <v>83.025829184011897</v>
      </c>
      <c r="AK7118">
        <v>0.63369948393860198</v>
      </c>
      <c r="AL7118">
        <v>95.444683834426698</v>
      </c>
      <c r="AM7118">
        <v>90.777402380010798</v>
      </c>
      <c r="AN7118">
        <v>0.99999996291460402</v>
      </c>
    </row>
    <row r="7119" spans="1:40" x14ac:dyDescent="0.25">
      <c r="A7119" t="str">
        <f>"20190303154701345"</f>
        <v>20190303154701345</v>
      </c>
      <c r="B7119" t="str">
        <f>"1551599221338786"</f>
        <v>1551599221338786</v>
      </c>
      <c r="C7119" t="s">
        <v>40</v>
      </c>
      <c r="D7119">
        <v>5.4843400000000004</v>
      </c>
      <c r="E7119">
        <v>0.54564219999999997</v>
      </c>
      <c r="F7119" t="s">
        <v>42</v>
      </c>
      <c r="G7119">
        <v>-187.9117</v>
      </c>
      <c r="H7119">
        <v>0.95608970000000004</v>
      </c>
      <c r="I7119">
        <v>-6.6661580000000002</v>
      </c>
      <c r="J7119">
        <v>-188.04069999999999</v>
      </c>
      <c r="K7119">
        <v>1.119551</v>
      </c>
      <c r="L7119">
        <v>-7.276764</v>
      </c>
      <c r="M7119">
        <v>4.491183E-2</v>
      </c>
      <c r="N7119">
        <v>-6.3495080000000002E-3</v>
      </c>
      <c r="O7119">
        <v>0.99897069999999999</v>
      </c>
      <c r="P7119">
        <v>3.1372499999999998E-2</v>
      </c>
      <c r="Q7119">
        <v>-0.1016238</v>
      </c>
      <c r="R7119">
        <v>0.99432810000000005</v>
      </c>
      <c r="S7119">
        <v>0.44030760000000002</v>
      </c>
      <c r="T7119">
        <v>-0.4950136</v>
      </c>
      <c r="U7119">
        <v>2.9527589999999999</v>
      </c>
      <c r="V7119">
        <v>-1.333234E-2</v>
      </c>
      <c r="W7119">
        <v>-9.5303600000000002E-2</v>
      </c>
      <c r="X7119">
        <v>0.99535890000000005</v>
      </c>
      <c r="Y7119">
        <v>0.1010186</v>
      </c>
      <c r="Z7119">
        <v>-0.15754279999999901</v>
      </c>
      <c r="AA7119">
        <v>0.98233170000000003</v>
      </c>
      <c r="AB7119">
        <v>38</v>
      </c>
      <c r="AC7119">
        <v>0.12899999999999001</v>
      </c>
      <c r="AD7119">
        <v>-0.1634613</v>
      </c>
      <c r="AE7119">
        <v>0.61060599999999898</v>
      </c>
      <c r="AF7119">
        <v>9.4933129692901394E-2</v>
      </c>
      <c r="AG7119">
        <v>-0.1634613</v>
      </c>
      <c r="AH7119">
        <v>0.57625096578816504</v>
      </c>
      <c r="AI7119">
        <v>105.63643780217301</v>
      </c>
      <c r="AJ7119">
        <v>80.644967977221</v>
      </c>
      <c r="AK7119">
        <v>0.60646275341752998</v>
      </c>
      <c r="AL7119">
        <v>95.468794459953003</v>
      </c>
      <c r="AM7119">
        <v>90.767402727063896</v>
      </c>
      <c r="AN7119">
        <v>0.99999993363602002</v>
      </c>
    </row>
    <row r="7120" spans="1:40" x14ac:dyDescent="0.25">
      <c r="A7120" t="str">
        <f>"20190303154701390"</f>
        <v>20190303154701390</v>
      </c>
      <c r="B7120" t="str">
        <f>"1551599221378801"</f>
        <v>1551599221378801</v>
      </c>
      <c r="C7120" t="s">
        <v>40</v>
      </c>
      <c r="D7120">
        <v>5.1109859999999996</v>
      </c>
      <c r="E7120">
        <v>0.54466409999999998</v>
      </c>
      <c r="F7120" t="s">
        <v>42</v>
      </c>
      <c r="G7120">
        <v>-187.89320000000001</v>
      </c>
      <c r="H7120">
        <v>0.94315519999999997</v>
      </c>
      <c r="I7120">
        <v>-6.3334760000000001</v>
      </c>
      <c r="J7120">
        <v>-188.00659999999999</v>
      </c>
      <c r="K7120">
        <v>1.1196349999999999</v>
      </c>
      <c r="L7120">
        <v>-6.5144039999999999</v>
      </c>
      <c r="M7120">
        <v>4.4714219999999999E-2</v>
      </c>
      <c r="N7120">
        <v>-6.4119199999999998E-3</v>
      </c>
      <c r="O7120">
        <v>0.99897930000000001</v>
      </c>
      <c r="P7120">
        <v>3.1013829999999999E-2</v>
      </c>
      <c r="Q7120">
        <v>-0.10150190000000001</v>
      </c>
      <c r="R7120">
        <v>0.99435180000000001</v>
      </c>
      <c r="S7120">
        <v>0.46028140000000001</v>
      </c>
      <c r="T7120">
        <v>-0.55094860000000001</v>
      </c>
      <c r="U7120">
        <v>2.9462890000000002</v>
      </c>
      <c r="V7120">
        <v>-1.3474959999999999E-2</v>
      </c>
      <c r="W7120">
        <v>-9.5122189999999995E-2</v>
      </c>
      <c r="X7120">
        <v>0.99537439999999999</v>
      </c>
      <c r="Y7120">
        <v>0.1075516</v>
      </c>
      <c r="Z7120">
        <v>-0.17565749999999999</v>
      </c>
      <c r="AA7120">
        <v>0.9785587</v>
      </c>
      <c r="AB7120">
        <v>38</v>
      </c>
      <c r="AC7120">
        <v>0.113399999999984</v>
      </c>
      <c r="AD7120">
        <v>-0.17647979999999899</v>
      </c>
      <c r="AE7120">
        <v>0.18092799999999901</v>
      </c>
      <c r="AF7120">
        <v>6.2501941660021904E-2</v>
      </c>
      <c r="AG7120">
        <v>-0.17647979999999899</v>
      </c>
      <c r="AH7120">
        <v>0.11040276880477499</v>
      </c>
      <c r="AI7120">
        <v>144.28854462273199</v>
      </c>
      <c r="AJ7120">
        <v>60.484646499001599</v>
      </c>
      <c r="AK7120">
        <v>0.21734853088777301</v>
      </c>
      <c r="AL7120">
        <v>95.458352627468201</v>
      </c>
      <c r="AM7120">
        <v>90.775598788017902</v>
      </c>
      <c r="AN7120">
        <v>1.0000000008763701</v>
      </c>
    </row>
    <row r="7121" spans="1:40" x14ac:dyDescent="0.25">
      <c r="A7121" t="str">
        <f>"20190303154701411"</f>
        <v>20190303154701411</v>
      </c>
      <c r="B7121" t="str">
        <f>"1551599221409057"</f>
        <v>1551599221409057</v>
      </c>
      <c r="C7121" t="s">
        <v>40</v>
      </c>
      <c r="D7121">
        <v>5.149737</v>
      </c>
      <c r="E7121">
        <v>0.54601959999999905</v>
      </c>
      <c r="F7121" t="s">
        <v>42</v>
      </c>
      <c r="G7121">
        <v>-187.8742</v>
      </c>
      <c r="H7121">
        <v>0.94204339999999998</v>
      </c>
      <c r="I7121">
        <v>-5.6537030000000001</v>
      </c>
      <c r="J7121">
        <v>-187.99029999999999</v>
      </c>
      <c r="K7121">
        <v>1.119683</v>
      </c>
      <c r="L7121">
        <v>-6.1479189999999999</v>
      </c>
      <c r="M7121">
        <v>4.4546839999999997E-2</v>
      </c>
      <c r="N7121">
        <v>-6.4397289999999999E-3</v>
      </c>
      <c r="O7121">
        <v>0.9989865</v>
      </c>
      <c r="P7121">
        <v>3.0977959999999999E-2</v>
      </c>
      <c r="Q7121">
        <v>-0.1011886</v>
      </c>
      <c r="R7121">
        <v>0.99438479999999996</v>
      </c>
      <c r="S7121">
        <v>0.45202639999999999</v>
      </c>
      <c r="T7121">
        <v>-0.60682250000000004</v>
      </c>
      <c r="U7121">
        <v>2.9410099999999999</v>
      </c>
      <c r="V7121">
        <v>-1.333443E-2</v>
      </c>
      <c r="W7121">
        <v>-9.4782690000000003E-2</v>
      </c>
      <c r="X7121">
        <v>0.99540870000000004</v>
      </c>
      <c r="Y7121">
        <v>0.10477980000000001</v>
      </c>
      <c r="Z7121">
        <v>-0.19380890000000001</v>
      </c>
      <c r="AA7121">
        <v>0.97542770000000001</v>
      </c>
      <c r="AB7121">
        <v>38</v>
      </c>
      <c r="AC7121">
        <v>0.116099999999988</v>
      </c>
      <c r="AD7121">
        <v>-0.17763959999999901</v>
      </c>
      <c r="AE7121">
        <v>0.49421599999999899</v>
      </c>
      <c r="AF7121">
        <v>8.3718218003583603E-2</v>
      </c>
      <c r="AG7121">
        <v>-0.17763959999999901</v>
      </c>
      <c r="AH7121">
        <v>0.44447647651293598</v>
      </c>
      <c r="AI7121">
        <v>111.442627273355</v>
      </c>
      <c r="AJ7121">
        <v>79.333170915716295</v>
      </c>
      <c r="AK7121">
        <v>0.48592582323561501</v>
      </c>
      <c r="AL7121">
        <v>95.438812304887094</v>
      </c>
      <c r="AM7121">
        <v>90.767484617659804</v>
      </c>
      <c r="AN7121">
        <v>1.0000000226913699</v>
      </c>
    </row>
    <row r="7122" spans="1:40" x14ac:dyDescent="0.25">
      <c r="A7122" t="str">
        <f>"20190303154701435"</f>
        <v>20190303154701435</v>
      </c>
      <c r="B7122" t="str">
        <f>"1551599221428578"</f>
        <v>1551599221428578</v>
      </c>
      <c r="C7122" t="s">
        <v>40</v>
      </c>
      <c r="D7122">
        <v>5.1403670000000004</v>
      </c>
      <c r="E7122">
        <v>0.54785930000000005</v>
      </c>
      <c r="F7122" t="s">
        <v>42</v>
      </c>
      <c r="G7122">
        <v>-187.85820000000001</v>
      </c>
      <c r="H7122">
        <v>0.95191409999999999</v>
      </c>
      <c r="I7122">
        <v>-5.3077059999999996</v>
      </c>
      <c r="J7122">
        <v>-187.97290000000001</v>
      </c>
      <c r="K7122">
        <v>1.1197429999999999</v>
      </c>
      <c r="L7122">
        <v>-5.7530210000000004</v>
      </c>
      <c r="M7122">
        <v>4.4308109999999998E-2</v>
      </c>
      <c r="N7122">
        <v>-6.4684299999999998E-3</v>
      </c>
      <c r="O7122">
        <v>0.99899700000000002</v>
      </c>
      <c r="P7122">
        <v>3.1359060000000001E-2</v>
      </c>
      <c r="Q7122">
        <v>-0.10161050000000001</v>
      </c>
      <c r="R7122">
        <v>0.99432989999999999</v>
      </c>
      <c r="S7122">
        <v>0.46246340000000002</v>
      </c>
      <c r="T7122">
        <v>-0.58758999999999995</v>
      </c>
      <c r="U7122">
        <v>2.9427490000000001</v>
      </c>
      <c r="V7122">
        <v>-1.2700289999999999E-2</v>
      </c>
      <c r="W7122">
        <v>-9.5177830000000005E-2</v>
      </c>
      <c r="X7122">
        <v>0.99537929999999997</v>
      </c>
      <c r="Y7122">
        <v>0.1084986</v>
      </c>
      <c r="Z7122">
        <v>-0.18748010000000001</v>
      </c>
      <c r="AA7122">
        <v>0.97625779999999995</v>
      </c>
      <c r="AB7122">
        <v>38</v>
      </c>
      <c r="AC7122">
        <v>0.114699999999999</v>
      </c>
      <c r="AD7122">
        <v>-0.167828899999999</v>
      </c>
      <c r="AE7122">
        <v>0.44531499999999902</v>
      </c>
      <c r="AF7122">
        <v>8.3706253158880403E-2</v>
      </c>
      <c r="AG7122">
        <v>-0.167828899999999</v>
      </c>
      <c r="AH7122">
        <v>0.39707037429374598</v>
      </c>
      <c r="AI7122">
        <v>112.468908121146</v>
      </c>
      <c r="AJ7122">
        <v>78.095799825242494</v>
      </c>
      <c r="AK7122">
        <v>0.43913341780703102</v>
      </c>
      <c r="AL7122">
        <v>95.461554914159393</v>
      </c>
      <c r="AM7122">
        <v>90.731011315439304</v>
      </c>
      <c r="AN7122">
        <v>1.00000003377904</v>
      </c>
    </row>
    <row r="7123" spans="1:40" x14ac:dyDescent="0.25">
      <c r="A7123" t="str">
        <f>"20190303154701460"</f>
        <v>20190303154701460</v>
      </c>
      <c r="B7123" t="str">
        <f>"1551599221449073"</f>
        <v>1551599221449073</v>
      </c>
      <c r="C7123" t="s">
        <v>40</v>
      </c>
      <c r="D7123">
        <v>5.3801449999999997</v>
      </c>
      <c r="E7123">
        <v>0.54831799999999997</v>
      </c>
      <c r="F7123" t="s">
        <v>42</v>
      </c>
      <c r="G7123">
        <v>-187.84399999999999</v>
      </c>
      <c r="H7123">
        <v>0.96333089999999999</v>
      </c>
      <c r="I7123">
        <v>-4.9600980000000003</v>
      </c>
      <c r="J7123">
        <v>-187.95419999999999</v>
      </c>
      <c r="K7123">
        <v>1.119807</v>
      </c>
      <c r="L7123">
        <v>-5.325043</v>
      </c>
      <c r="M7123">
        <v>4.3966640000000001E-2</v>
      </c>
      <c r="N7123">
        <v>-6.4982800000000004E-3</v>
      </c>
      <c r="O7123">
        <v>0.99901189999999995</v>
      </c>
      <c r="P7123">
        <v>3.1152320000000001E-2</v>
      </c>
      <c r="Q7123">
        <v>-0.100768</v>
      </c>
      <c r="R7123">
        <v>0.99442209999999998</v>
      </c>
      <c r="S7123">
        <v>0.47811890000000001</v>
      </c>
      <c r="T7123">
        <v>-0.58048630000000001</v>
      </c>
      <c r="U7123">
        <v>2.9427189999999999</v>
      </c>
      <c r="V7123">
        <v>-1.2555149999999999E-2</v>
      </c>
      <c r="W7123">
        <v>-9.4307150000000006E-2</v>
      </c>
      <c r="X7123">
        <v>0.99546400000000002</v>
      </c>
      <c r="Y7123">
        <v>0.1139734</v>
      </c>
      <c r="Z7123">
        <v>-0.18506300000000001</v>
      </c>
      <c r="AA7123">
        <v>0.97609509999999999</v>
      </c>
      <c r="AB7123">
        <v>38</v>
      </c>
      <c r="AC7123">
        <v>0.11019999999996299</v>
      </c>
      <c r="AD7123">
        <v>-0.15647609999999901</v>
      </c>
      <c r="AE7123">
        <v>0.36494499999999902</v>
      </c>
      <c r="AF7123">
        <v>8.0487318951666595E-2</v>
      </c>
      <c r="AG7123">
        <v>-0.15647609999999901</v>
      </c>
      <c r="AH7123">
        <v>0.31616958407846202</v>
      </c>
      <c r="AI7123">
        <v>115.623071705941</v>
      </c>
      <c r="AJ7123">
        <v>75.717578744357695</v>
      </c>
      <c r="AK7123">
        <v>0.36183723451240501</v>
      </c>
      <c r="AL7123">
        <v>95.411443272652804</v>
      </c>
      <c r="AM7123">
        <v>90.7225966651677</v>
      </c>
      <c r="AN7123">
        <v>1.00000002281432</v>
      </c>
    </row>
    <row r="7124" spans="1:40" x14ac:dyDescent="0.25">
      <c r="A7124" t="str">
        <f>"20190303154701485"</f>
        <v>20190303154701485</v>
      </c>
      <c r="B7124" t="str">
        <f>"1551599221478353"</f>
        <v>1551599221478353</v>
      </c>
      <c r="C7124" t="s">
        <v>40</v>
      </c>
      <c r="D7124">
        <v>5.4334829999999998</v>
      </c>
      <c r="E7124">
        <v>0.54880530000000005</v>
      </c>
      <c r="F7124" t="s">
        <v>42</v>
      </c>
      <c r="G7124">
        <v>-187.8373</v>
      </c>
      <c r="H7124">
        <v>0.97551370000000004</v>
      </c>
      <c r="I7124">
        <v>-4.6110129999999998</v>
      </c>
      <c r="J7124">
        <v>-187.93620000000001</v>
      </c>
      <c r="K7124">
        <v>1.119883</v>
      </c>
      <c r="L7124">
        <v>-4.9093929999999997</v>
      </c>
      <c r="M7124">
        <v>4.3535949999999997E-2</v>
      </c>
      <c r="N7124">
        <v>-6.5260910000000004E-3</v>
      </c>
      <c r="O7124">
        <v>0.99903050000000004</v>
      </c>
      <c r="P7124">
        <v>3.0459E-2</v>
      </c>
      <c r="Q7124">
        <v>-0.1006451</v>
      </c>
      <c r="R7124">
        <v>0.99445609999999995</v>
      </c>
      <c r="S7124">
        <v>0.48129270000000002</v>
      </c>
      <c r="T7124">
        <v>-0.59443239999999997</v>
      </c>
      <c r="U7124">
        <v>2.9415279999999999</v>
      </c>
      <c r="V7124">
        <v>-1.280359E-2</v>
      </c>
      <c r="W7124">
        <v>-9.4158969999999995E-2</v>
      </c>
      <c r="X7124">
        <v>0.99547479999999999</v>
      </c>
      <c r="Y7124">
        <v>0.1153498</v>
      </c>
      <c r="Z7124">
        <v>-0.1895135</v>
      </c>
      <c r="AA7124">
        <v>0.97507900000000003</v>
      </c>
      <c r="AB7124">
        <v>38</v>
      </c>
      <c r="AC7124">
        <v>9.8900000000014601E-2</v>
      </c>
      <c r="AD7124">
        <v>-0.14436930000000001</v>
      </c>
      <c r="AE7124">
        <v>0.29837999999999898</v>
      </c>
      <c r="AF7124">
        <v>7.0867522406003094E-2</v>
      </c>
      <c r="AG7124">
        <v>-0.14436930000000001</v>
      </c>
      <c r="AH7124">
        <v>0.249727556549734</v>
      </c>
      <c r="AI7124">
        <v>119.08050521762701</v>
      </c>
      <c r="AJ7124">
        <v>74.157153255445095</v>
      </c>
      <c r="AK7124">
        <v>0.29703291570927898</v>
      </c>
      <c r="AL7124">
        <v>95.402915573598193</v>
      </c>
      <c r="AM7124">
        <v>90.736885777512796</v>
      </c>
      <c r="AN7124">
        <v>0.99999996049169304</v>
      </c>
    </row>
    <row r="7125" spans="1:40" x14ac:dyDescent="0.25">
      <c r="A7125" t="str">
        <f>"20190303154701526"</f>
        <v>20190303154701526</v>
      </c>
      <c r="B7125" t="str">
        <f>"1551599221518808"</f>
        <v>1551599221518808</v>
      </c>
      <c r="C7125" t="s">
        <v>40</v>
      </c>
      <c r="D7125">
        <v>5.4212769999999999</v>
      </c>
      <c r="E7125">
        <v>0.54862060000000001</v>
      </c>
      <c r="F7125" t="s">
        <v>42</v>
      </c>
      <c r="G7125">
        <v>-187.7784</v>
      </c>
      <c r="H7125">
        <v>0.92052750000000005</v>
      </c>
      <c r="I7125">
        <v>-3.9490780000000001</v>
      </c>
      <c r="J7125">
        <v>-187.90549999999999</v>
      </c>
      <c r="K7125">
        <v>1.1200209999999999</v>
      </c>
      <c r="L7125">
        <v>-4.1838989999999896</v>
      </c>
      <c r="M7125">
        <v>4.2573779999999999E-2</v>
      </c>
      <c r="N7125">
        <v>-6.5724939999999999E-3</v>
      </c>
      <c r="O7125">
        <v>0.99907170000000001</v>
      </c>
      <c r="P7125">
        <v>2.9304630000000002E-2</v>
      </c>
      <c r="Q7125">
        <v>-0.1014364</v>
      </c>
      <c r="R7125">
        <v>0.99441029999999997</v>
      </c>
      <c r="S7125">
        <v>0.48330689999999998</v>
      </c>
      <c r="T7125">
        <v>-0.61035969999999995</v>
      </c>
      <c r="U7125">
        <v>2.9401549999999999</v>
      </c>
      <c r="V7125">
        <v>-1.296547E-2</v>
      </c>
      <c r="W7125">
        <v>-9.4908999999999993E-2</v>
      </c>
      <c r="X7125">
        <v>0.99540150000000005</v>
      </c>
      <c r="Y7125">
        <v>0.11686439999999999</v>
      </c>
      <c r="Z7125">
        <v>-0.19458510000000001</v>
      </c>
      <c r="AA7125">
        <v>0.97389910000000002</v>
      </c>
      <c r="AB7125">
        <v>38</v>
      </c>
      <c r="AC7125">
        <v>0.127099999999984</v>
      </c>
      <c r="AD7125">
        <v>-0.19949349999999999</v>
      </c>
      <c r="AE7125">
        <v>0.234820999999999</v>
      </c>
      <c r="AF7125">
        <v>7.5078088306441707E-2</v>
      </c>
      <c r="AG7125">
        <v>-0.19949349999999999</v>
      </c>
      <c r="AH7125">
        <v>0.154035427914546</v>
      </c>
      <c r="AI7125">
        <v>139.33853158058901</v>
      </c>
      <c r="AJ7125">
        <v>64.015029067010502</v>
      </c>
      <c r="AK7125">
        <v>0.26298533977926802</v>
      </c>
      <c r="AL7125">
        <v>95.446082318749504</v>
      </c>
      <c r="AM7125">
        <v>90.746256362928904</v>
      </c>
      <c r="AN7125">
        <v>0.999999983947785</v>
      </c>
    </row>
    <row r="7126" spans="1:40" x14ac:dyDescent="0.25">
      <c r="A7126" t="str">
        <f>"20190303154701548"</f>
        <v>20190303154701548</v>
      </c>
      <c r="B7126" t="str">
        <f>"1551599221538328"</f>
        <v>1551599221538328</v>
      </c>
      <c r="C7126" t="s">
        <v>40</v>
      </c>
      <c r="D7126">
        <v>5.3779029999999999</v>
      </c>
      <c r="E7126">
        <v>0.54997069999999904</v>
      </c>
      <c r="F7126" t="s">
        <v>42</v>
      </c>
      <c r="G7126">
        <v>-187.75460000000001</v>
      </c>
      <c r="H7126">
        <v>0.91922680000000001</v>
      </c>
      <c r="I7126">
        <v>-3.2580789999999999</v>
      </c>
      <c r="J7126">
        <v>-187.88980000000001</v>
      </c>
      <c r="K7126">
        <v>1.120077</v>
      </c>
      <c r="L7126">
        <v>-3.8040159999999998</v>
      </c>
      <c r="M7126">
        <v>4.1977859999999999E-2</v>
      </c>
      <c r="N7126">
        <v>-6.5957069999999897E-3</v>
      </c>
      <c r="O7126">
        <v>0.99909680000000001</v>
      </c>
      <c r="P7126">
        <v>2.923021E-2</v>
      </c>
      <c r="Q7126">
        <v>-0.1021378</v>
      </c>
      <c r="R7126">
        <v>0.99434069999999997</v>
      </c>
      <c r="S7126">
        <v>0.47868349999999998</v>
      </c>
      <c r="T7126">
        <v>-0.63715480000000002</v>
      </c>
      <c r="U7126">
        <v>2.9377749999999998</v>
      </c>
      <c r="V7126">
        <v>-1.2427840000000001E-2</v>
      </c>
      <c r="W7126">
        <v>-9.5589149999999998E-2</v>
      </c>
      <c r="X7126">
        <v>0.99534330000000004</v>
      </c>
      <c r="Y7126">
        <v>0.11580500000000001</v>
      </c>
      <c r="Z7126">
        <v>-0.20322200000000001</v>
      </c>
      <c r="AA7126">
        <v>0.97226029999999997</v>
      </c>
      <c r="AB7126">
        <v>39</v>
      </c>
      <c r="AC7126">
        <v>0.13519999999999699</v>
      </c>
      <c r="AD7126">
        <v>-0.20085020000000001</v>
      </c>
      <c r="AE7126">
        <v>0.54593700000000001</v>
      </c>
      <c r="AF7126">
        <v>9.9476861798140803E-2</v>
      </c>
      <c r="AG7126">
        <v>-0.20085020000000001</v>
      </c>
      <c r="AH7126">
        <v>0.48879562070121801</v>
      </c>
      <c r="AI7126">
        <v>111.932396307725</v>
      </c>
      <c r="AJ7126">
        <v>78.496593009281199</v>
      </c>
      <c r="AK7126">
        <v>0.53773377027106595</v>
      </c>
      <c r="AL7126">
        <v>95.485229882881697</v>
      </c>
      <c r="AM7126">
        <v>90.715356983311196</v>
      </c>
      <c r="AN7126">
        <v>1.0000000108298299</v>
      </c>
    </row>
    <row r="7127" spans="1:40" x14ac:dyDescent="0.25">
      <c r="A7127" t="str">
        <f>"20190303154701570"</f>
        <v>20190303154701570</v>
      </c>
      <c r="B7127" t="str">
        <f>"1551599221558824"</f>
        <v>1551599221558824</v>
      </c>
      <c r="C7127" t="s">
        <v>40</v>
      </c>
      <c r="D7127">
        <v>5.414536</v>
      </c>
      <c r="E7127">
        <v>0.55098950000000002</v>
      </c>
      <c r="F7127" t="s">
        <v>42</v>
      </c>
      <c r="G7127">
        <v>-187.74080000000001</v>
      </c>
      <c r="H7127">
        <v>0.92237970000000002</v>
      </c>
      <c r="I7127">
        <v>-2.909678</v>
      </c>
      <c r="J7127">
        <v>-187.874</v>
      </c>
      <c r="K7127">
        <v>1.1201350000000001</v>
      </c>
      <c r="L7127">
        <v>-3.4150700000000001</v>
      </c>
      <c r="M7127">
        <v>4.1307749999999997E-2</v>
      </c>
      <c r="N7127">
        <v>-6.6188790000000003E-3</v>
      </c>
      <c r="O7127">
        <v>0.99912449999999997</v>
      </c>
      <c r="P7127">
        <v>2.9074470000000002E-2</v>
      </c>
      <c r="Q7127">
        <v>-0.10299659999999999</v>
      </c>
      <c r="R7127">
        <v>0.99425669999999999</v>
      </c>
      <c r="S7127">
        <v>0.48870849999999999</v>
      </c>
      <c r="T7127">
        <v>-0.64903069999999996</v>
      </c>
      <c r="U7127">
        <v>2.936035</v>
      </c>
      <c r="V7127">
        <v>-1.18972E-2</v>
      </c>
      <c r="W7127">
        <v>-9.642655E-2</v>
      </c>
      <c r="X7127">
        <v>0.99526899999999996</v>
      </c>
      <c r="Y7127">
        <v>0.1196603</v>
      </c>
      <c r="Z7127">
        <v>-0.2069578</v>
      </c>
      <c r="AA7127">
        <v>0.9710046</v>
      </c>
      <c r="AB7127">
        <v>39</v>
      </c>
      <c r="AC7127">
        <v>0.133200000000016</v>
      </c>
      <c r="AD7127">
        <v>-0.19775529999999999</v>
      </c>
      <c r="AE7127">
        <v>0.50539199999999895</v>
      </c>
      <c r="AF7127">
        <v>9.8156728208565996E-2</v>
      </c>
      <c r="AG7127">
        <v>-0.19775529999999999</v>
      </c>
      <c r="AH7127">
        <v>0.44653515799417898</v>
      </c>
      <c r="AI7127">
        <v>113.39037546839</v>
      </c>
      <c r="AJ7127">
        <v>77.6024961052387</v>
      </c>
      <c r="AK7127">
        <v>0.498132060096103</v>
      </c>
      <c r="AL7127">
        <v>95.533432081194107</v>
      </c>
      <c r="AM7127">
        <v>90.684866988591196</v>
      </c>
      <c r="AN7127">
        <v>1.0000000026368701</v>
      </c>
    </row>
    <row r="7128" spans="1:40" x14ac:dyDescent="0.25">
      <c r="A7128" t="str">
        <f>"20190303154701593"</f>
        <v>20190303154701593</v>
      </c>
      <c r="B7128" t="str">
        <f>"1551599221589080"</f>
        <v>1551599221589080</v>
      </c>
      <c r="C7128" t="s">
        <v>40</v>
      </c>
      <c r="D7128">
        <v>5.3833029999999997</v>
      </c>
      <c r="E7128">
        <v>0.55250759999999999</v>
      </c>
      <c r="F7128" t="s">
        <v>42</v>
      </c>
      <c r="G7128">
        <v>-187.7294</v>
      </c>
      <c r="H7128">
        <v>0.92741189999999996</v>
      </c>
      <c r="I7128">
        <v>-2.5594700000000001</v>
      </c>
      <c r="J7128">
        <v>-187.85769999999999</v>
      </c>
      <c r="K7128">
        <v>1.120204</v>
      </c>
      <c r="L7128">
        <v>-3.0060120000000001</v>
      </c>
      <c r="M7128">
        <v>4.0529269999999999E-2</v>
      </c>
      <c r="N7128">
        <v>-6.6428900000000003E-3</v>
      </c>
      <c r="O7128">
        <v>0.9991563</v>
      </c>
      <c r="P7128">
        <v>2.8992589999999999E-2</v>
      </c>
      <c r="Q7128">
        <v>-0.1023652</v>
      </c>
      <c r="R7128">
        <v>0.99432430000000005</v>
      </c>
      <c r="S7128">
        <v>0.49592589999999998</v>
      </c>
      <c r="T7128">
        <v>-0.66095550000000003</v>
      </c>
      <c r="U7128">
        <v>2.9343569999999999</v>
      </c>
      <c r="V7128">
        <v>-1.119125E-2</v>
      </c>
      <c r="W7128">
        <v>-9.5771830000000002E-2</v>
      </c>
      <c r="X7128">
        <v>0.99534040000000001</v>
      </c>
      <c r="Y7128">
        <v>0.12270780000000001</v>
      </c>
      <c r="Z7128">
        <v>-0.21072070000000001</v>
      </c>
      <c r="AA7128">
        <v>0.96981419999999996</v>
      </c>
      <c r="AB7128">
        <v>39</v>
      </c>
      <c r="AC7128">
        <v>0.128299999999995</v>
      </c>
      <c r="AD7128">
        <v>-0.19279209999999899</v>
      </c>
      <c r="AE7128">
        <v>0.446541999999999</v>
      </c>
      <c r="AF7128">
        <v>9.3923567910553105E-2</v>
      </c>
      <c r="AG7128">
        <v>-0.19279209999999899</v>
      </c>
      <c r="AH7128">
        <v>0.385070296773389</v>
      </c>
      <c r="AI7128">
        <v>115.938626235218</v>
      </c>
      <c r="AJ7128">
        <v>76.292479583837306</v>
      </c>
      <c r="AK7128">
        <v>0.44076021132652599</v>
      </c>
      <c r="AL7128">
        <v>95.495744979175598</v>
      </c>
      <c r="AM7128">
        <v>90.644186023186094</v>
      </c>
      <c r="AN7128">
        <v>0.99999999968513498</v>
      </c>
    </row>
    <row r="7129" spans="1:40" x14ac:dyDescent="0.25">
      <c r="A7129" t="str">
        <f>"20190303154701615"</f>
        <v>20190303154701615</v>
      </c>
      <c r="B7129" t="str">
        <f>"1551599221609073"</f>
        <v>1551599221609073</v>
      </c>
      <c r="C7129" t="s">
        <v>40</v>
      </c>
      <c r="D7129">
        <v>5.2712580000000004</v>
      </c>
      <c r="E7129">
        <v>0.55283439999999995</v>
      </c>
      <c r="F7129" t="s">
        <v>42</v>
      </c>
      <c r="G7129">
        <v>-187.71899999999999</v>
      </c>
      <c r="H7129">
        <v>0.93745460000000003</v>
      </c>
      <c r="I7129">
        <v>-2.206115</v>
      </c>
      <c r="J7129">
        <v>-187.84289999999999</v>
      </c>
      <c r="K7129">
        <v>1.120276</v>
      </c>
      <c r="L7129">
        <v>-2.6266479999999999</v>
      </c>
      <c r="M7129">
        <v>3.9740640000000001E-2</v>
      </c>
      <c r="N7129">
        <v>-6.664901E-3</v>
      </c>
      <c r="O7129">
        <v>0.99918779999999996</v>
      </c>
      <c r="P7129">
        <v>2.8674060000000001E-2</v>
      </c>
      <c r="Q7129">
        <v>-0.10228660000000001</v>
      </c>
      <c r="R7129">
        <v>0.99434160000000005</v>
      </c>
      <c r="S7129">
        <v>0.50776670000000002</v>
      </c>
      <c r="T7129">
        <v>-0.67018159999999904</v>
      </c>
      <c r="U7129">
        <v>2.933319</v>
      </c>
      <c r="V7129">
        <v>-1.071009E-2</v>
      </c>
      <c r="W7129">
        <v>-9.5672270000000004E-2</v>
      </c>
      <c r="X7129">
        <v>0.9953552</v>
      </c>
      <c r="Y7129">
        <v>0.12723999999999999</v>
      </c>
      <c r="Z7129">
        <v>-0.2135379</v>
      </c>
      <c r="AA7129">
        <v>0.96861319999999995</v>
      </c>
      <c r="AB7129">
        <v>39</v>
      </c>
      <c r="AC7129">
        <v>0.123899999999963</v>
      </c>
      <c r="AD7129">
        <v>-0.1828214</v>
      </c>
      <c r="AE7129">
        <v>0.42053299999999899</v>
      </c>
      <c r="AF7129">
        <v>9.1225310130935502E-2</v>
      </c>
      <c r="AG7129">
        <v>-0.1828214</v>
      </c>
      <c r="AH7129">
        <v>0.362146975518712</v>
      </c>
      <c r="AI7129">
        <v>116.083314132978</v>
      </c>
      <c r="AJ7129">
        <v>75.861271639166404</v>
      </c>
      <c r="AK7129">
        <v>0.41580783227807999</v>
      </c>
      <c r="AL7129">
        <v>95.490014670923102</v>
      </c>
      <c r="AM7129">
        <v>90.616482713420396</v>
      </c>
      <c r="AN7129">
        <v>0.99999993172089796</v>
      </c>
    </row>
    <row r="7130" spans="1:40" x14ac:dyDescent="0.25">
      <c r="A7130" t="str">
        <f>"20190303154701657"</f>
        <v>20190303154701657</v>
      </c>
      <c r="B7130" t="str">
        <f>"1551599221649089"</f>
        <v>1551599221649089</v>
      </c>
      <c r="C7130" t="s">
        <v>40</v>
      </c>
      <c r="D7130">
        <v>5.2981400000000001</v>
      </c>
      <c r="E7130">
        <v>0.55343619999999905</v>
      </c>
      <c r="F7130" t="s">
        <v>42</v>
      </c>
      <c r="G7130">
        <v>-187.70869999999999</v>
      </c>
      <c r="H7130">
        <v>0.94410380000000005</v>
      </c>
      <c r="I7130">
        <v>-1.853542</v>
      </c>
      <c r="J7130">
        <v>-187.8152</v>
      </c>
      <c r="K7130">
        <v>1.1204000000000001</v>
      </c>
      <c r="L7130">
        <v>-1.889618</v>
      </c>
      <c r="M7130">
        <v>3.8042060000000003E-2</v>
      </c>
      <c r="N7130">
        <v>-6.706816E-3</v>
      </c>
      <c r="O7130">
        <v>0.99925359999999996</v>
      </c>
      <c r="P7130">
        <v>2.887151E-2</v>
      </c>
      <c r="Q7130">
        <v>-0.10398549999999999</v>
      </c>
      <c r="R7130">
        <v>0.99415960000000003</v>
      </c>
      <c r="S7130">
        <v>0.50917049999999997</v>
      </c>
      <c r="T7130">
        <v>-0.66849599999999998</v>
      </c>
      <c r="U7130">
        <v>2.933624</v>
      </c>
      <c r="V7130">
        <v>-8.7807409999999999E-3</v>
      </c>
      <c r="W7130">
        <v>-9.733029E-2</v>
      </c>
      <c r="X7130">
        <v>0.99521340000000003</v>
      </c>
      <c r="Y7130">
        <v>0.12937889999999999</v>
      </c>
      <c r="Z7130">
        <v>-0.2129298</v>
      </c>
      <c r="AA7130">
        <v>0.96846370000000004</v>
      </c>
      <c r="AB7130">
        <v>39</v>
      </c>
      <c r="AC7130">
        <v>0.106500000000011</v>
      </c>
      <c r="AD7130">
        <v>-0.17629619999999999</v>
      </c>
      <c r="AE7130">
        <v>3.6076000000000198E-2</v>
      </c>
      <c r="AF7130">
        <v>3.0377531027192501E-2</v>
      </c>
      <c r="AG7130">
        <v>-0.17629619999999999</v>
      </c>
      <c r="AH7130">
        <v>1.1596171042624301E-2</v>
      </c>
      <c r="AI7130">
        <v>169.549950452372</v>
      </c>
      <c r="AJ7130">
        <v>20.893612792424701</v>
      </c>
      <c r="AK7130">
        <v>0.17926967314244099</v>
      </c>
      <c r="AL7130">
        <v>95.5854573051448</v>
      </c>
      <c r="AM7130">
        <v>90.505506001366996</v>
      </c>
      <c r="AN7130">
        <v>0.99999999915177595</v>
      </c>
    </row>
    <row r="7131" spans="1:40" x14ac:dyDescent="0.25">
      <c r="A7131" t="str">
        <f>"20190303154701681"</f>
        <v>20190303154701681</v>
      </c>
      <c r="B7131" t="str">
        <f>"1551599221668609"</f>
        <v>1551599221668609</v>
      </c>
      <c r="C7131" t="s">
        <v>40</v>
      </c>
      <c r="D7131">
        <v>5.2074069999999999</v>
      </c>
      <c r="E7131">
        <v>0.55356219999999901</v>
      </c>
      <c r="F7131" t="s">
        <v>42</v>
      </c>
      <c r="G7131">
        <v>-187.68520000000001</v>
      </c>
      <c r="H7131">
        <v>0.95022010000000001</v>
      </c>
      <c r="I7131">
        <v>-1.1493070000000001</v>
      </c>
      <c r="J7131">
        <v>-187.8004</v>
      </c>
      <c r="K7131">
        <v>1.120466</v>
      </c>
      <c r="L7131">
        <v>-1.4817199999999999</v>
      </c>
      <c r="M7131">
        <v>3.702689E-2</v>
      </c>
      <c r="N7131">
        <v>-6.7294449999999997E-3</v>
      </c>
      <c r="O7131">
        <v>0.99929159999999995</v>
      </c>
      <c r="P7131">
        <v>2.7992619999999999E-2</v>
      </c>
      <c r="Q7131">
        <v>-0.1042314</v>
      </c>
      <c r="R7131">
        <v>0.99415900000000001</v>
      </c>
      <c r="S7131">
        <v>0.514679</v>
      </c>
      <c r="T7131">
        <v>-0.67404090000000005</v>
      </c>
      <c r="U7131">
        <v>2.932159</v>
      </c>
      <c r="V7131">
        <v>-8.6324890000000001E-3</v>
      </c>
      <c r="W7131">
        <v>-9.7554909999999995E-2</v>
      </c>
      <c r="X7131">
        <v>0.99519270000000004</v>
      </c>
      <c r="Y7131">
        <v>0.13216269999999999</v>
      </c>
      <c r="Z7131">
        <v>-0.21468229999999999</v>
      </c>
      <c r="AA7131">
        <v>0.96770060000000002</v>
      </c>
      <c r="AB7131">
        <v>39</v>
      </c>
      <c r="AC7131">
        <v>0.11519999999998699</v>
      </c>
      <c r="AD7131">
        <v>-0.17024590000000001</v>
      </c>
      <c r="AE7131">
        <v>0.33241300000000001</v>
      </c>
      <c r="AF7131">
        <v>8.3304661514973496E-2</v>
      </c>
      <c r="AG7131">
        <v>-0.17024590000000001</v>
      </c>
      <c r="AH7131">
        <v>0.27261185203187499</v>
      </c>
      <c r="AI7131">
        <v>120.847203512642</v>
      </c>
      <c r="AJ7131">
        <v>73.007908864948405</v>
      </c>
      <c r="AK7131">
        <v>0.33202493124038601</v>
      </c>
      <c r="AL7131">
        <v>95.598388643430198</v>
      </c>
      <c r="AM7131">
        <v>90.496981923199698</v>
      </c>
      <c r="AN7131">
        <v>0.99999999523236605</v>
      </c>
    </row>
    <row r="7132" spans="1:40" x14ac:dyDescent="0.25">
      <c r="A7132" t="str">
        <f>"20190303154701705"</f>
        <v>20190303154701705</v>
      </c>
      <c r="B7132" t="str">
        <f>"1551599221698865"</f>
        <v>1551599221698865</v>
      </c>
      <c r="C7132" t="s">
        <v>40</v>
      </c>
      <c r="D7132">
        <v>5.2299280000000001</v>
      </c>
      <c r="E7132">
        <v>0.55454040000000004</v>
      </c>
      <c r="F7132" t="s">
        <v>42</v>
      </c>
      <c r="G7132">
        <v>-187.67939999999999</v>
      </c>
      <c r="H7132">
        <v>0.9620088</v>
      </c>
      <c r="I7132">
        <v>-0.79173450000000001</v>
      </c>
      <c r="J7132">
        <v>-187.78579999999999</v>
      </c>
      <c r="K7132">
        <v>1.120528</v>
      </c>
      <c r="L7132">
        <v>-1.0629879999999901</v>
      </c>
      <c r="M7132">
        <v>3.5934840000000003E-2</v>
      </c>
      <c r="N7132">
        <v>-6.7524069999999898E-3</v>
      </c>
      <c r="O7132">
        <v>0.99933130000000003</v>
      </c>
      <c r="P7132">
        <v>2.7051410000000001E-2</v>
      </c>
      <c r="Q7132">
        <v>-0.10344639999999999</v>
      </c>
      <c r="R7132">
        <v>0.99426709999999996</v>
      </c>
      <c r="S7132">
        <v>0.51344299999999998</v>
      </c>
      <c r="T7132">
        <v>-0.67350080000000001</v>
      </c>
      <c r="U7132">
        <v>2.9325559999999999</v>
      </c>
      <c r="V7132">
        <v>-8.4779839999999992E-3</v>
      </c>
      <c r="W7132">
        <v>-9.6747470000000002E-2</v>
      </c>
      <c r="X7132">
        <v>0.99527290000000002</v>
      </c>
      <c r="Y7132">
        <v>0.13283449999999999</v>
      </c>
      <c r="Z7132">
        <v>-0.214473</v>
      </c>
      <c r="AA7132">
        <v>0.96765509999999999</v>
      </c>
      <c r="AB7132">
        <v>39</v>
      </c>
      <c r="AC7132">
        <v>0.106400000000007</v>
      </c>
      <c r="AD7132">
        <v>-0.158519199999999</v>
      </c>
      <c r="AE7132">
        <v>0.27125349999999898</v>
      </c>
      <c r="AF7132">
        <v>7.4525666681789907E-2</v>
      </c>
      <c r="AG7132">
        <v>-0.158519199999999</v>
      </c>
      <c r="AH7132">
        <v>0.212119274722021</v>
      </c>
      <c r="AI7132">
        <v>125.18619285433699</v>
      </c>
      <c r="AJ7132">
        <v>70.641661514524202</v>
      </c>
      <c r="AK7132">
        <v>0.27509452642973697</v>
      </c>
      <c r="AL7132">
        <v>95.551905567055499</v>
      </c>
      <c r="AM7132">
        <v>90.488048005382296</v>
      </c>
      <c r="AN7132">
        <v>1.0000000473192501</v>
      </c>
    </row>
    <row r="7133" spans="1:40" x14ac:dyDescent="0.25">
      <c r="A7133" t="str">
        <f>"20190303154701724"</f>
        <v>20190303154701724</v>
      </c>
      <c r="B7133" t="str">
        <f>"1551599221718893"</f>
        <v>1551599221718893</v>
      </c>
      <c r="C7133" t="s">
        <v>40</v>
      </c>
      <c r="D7133">
        <v>5.2084669999999997</v>
      </c>
      <c r="E7133">
        <v>0.55515590000000004</v>
      </c>
      <c r="F7133" t="s">
        <v>42</v>
      </c>
      <c r="G7133">
        <v>-187.61760000000001</v>
      </c>
      <c r="H7133">
        <v>0.90075890000000003</v>
      </c>
      <c r="I7133">
        <v>-0.113111</v>
      </c>
      <c r="J7133">
        <v>-187.7741</v>
      </c>
      <c r="K7133">
        <v>1.120565</v>
      </c>
      <c r="L7133">
        <v>-0.71664430000000001</v>
      </c>
      <c r="M7133">
        <v>3.500528E-2</v>
      </c>
      <c r="N7133">
        <v>-6.7709819999999896E-3</v>
      </c>
      <c r="O7133">
        <v>0.99936420000000004</v>
      </c>
      <c r="P7133">
        <v>2.552049E-2</v>
      </c>
      <c r="Q7133">
        <v>-0.1025533</v>
      </c>
      <c r="R7133">
        <v>0.99440010000000001</v>
      </c>
      <c r="S7133">
        <v>0.51878359999999901</v>
      </c>
      <c r="T7133">
        <v>-0.67851329999999999</v>
      </c>
      <c r="U7133">
        <v>2.9325869999999998</v>
      </c>
      <c r="V7133">
        <v>-9.0791329999999996E-3</v>
      </c>
      <c r="W7133">
        <v>-9.5837610000000004E-2</v>
      </c>
      <c r="X7133">
        <v>0.99535560000000001</v>
      </c>
      <c r="Y7133">
        <v>0.1354032</v>
      </c>
      <c r="Z7133">
        <v>-0.2159567</v>
      </c>
      <c r="AA7133">
        <v>0.96696879999999996</v>
      </c>
      <c r="AB7133">
        <v>40</v>
      </c>
      <c r="AC7133">
        <v>0.15649999999999401</v>
      </c>
      <c r="AD7133">
        <v>-0.2198061</v>
      </c>
      <c r="AE7133">
        <v>0.60353330000000005</v>
      </c>
      <c r="AF7133">
        <v>0.12032258059892301</v>
      </c>
      <c r="AG7133">
        <v>-0.2198061</v>
      </c>
      <c r="AH7133">
        <v>0.54135954905443595</v>
      </c>
      <c r="AI7133">
        <v>111.621108763877</v>
      </c>
      <c r="AJ7133">
        <v>77.469128930503601</v>
      </c>
      <c r="AK7133">
        <v>0.59654204072438699</v>
      </c>
      <c r="AL7133">
        <v>95.499531176341506</v>
      </c>
      <c r="AM7133">
        <v>90.522608780412995</v>
      </c>
      <c r="AN7133">
        <v>1.00000002429895</v>
      </c>
    </row>
    <row r="7134" spans="1:40" x14ac:dyDescent="0.25">
      <c r="A7134" t="str">
        <f>"20190303154701747"</f>
        <v>20190303154701747</v>
      </c>
      <c r="B7134" t="str">
        <f>"1551599221738413"</f>
        <v>1551599221738413</v>
      </c>
      <c r="C7134" t="s">
        <v>40</v>
      </c>
      <c r="D7134">
        <v>5.1973349999999998</v>
      </c>
      <c r="E7134">
        <v>0.55567939999999905</v>
      </c>
      <c r="F7134" t="s">
        <v>42</v>
      </c>
      <c r="G7134">
        <v>-187.6046</v>
      </c>
      <c r="H7134">
        <v>0.89878760000000002</v>
      </c>
      <c r="I7134">
        <v>0.2404145</v>
      </c>
      <c r="J7134">
        <v>-187.761</v>
      </c>
      <c r="K7134">
        <v>1.120606</v>
      </c>
      <c r="L7134">
        <v>-0.31845089999999998</v>
      </c>
      <c r="M7134">
        <v>3.391359E-2</v>
      </c>
      <c r="N7134">
        <v>-6.7919190000000004E-3</v>
      </c>
      <c r="O7134">
        <v>0.99940169999999995</v>
      </c>
      <c r="P7134">
        <v>2.3339260000000001E-2</v>
      </c>
      <c r="Q7134">
        <v>-0.1024026</v>
      </c>
      <c r="R7134">
        <v>0.99446920000000005</v>
      </c>
      <c r="S7134">
        <v>0.51959230000000001</v>
      </c>
      <c r="T7134">
        <v>-0.6797609</v>
      </c>
      <c r="U7134">
        <v>2.9334410000000002</v>
      </c>
      <c r="V7134">
        <v>-1.016618E-2</v>
      </c>
      <c r="W7134">
        <v>-9.5669610000000002E-2</v>
      </c>
      <c r="X7134">
        <v>0.99536119999999995</v>
      </c>
      <c r="Y7134">
        <v>0.1366821</v>
      </c>
      <c r="Z7134">
        <v>-0.21625179999999999</v>
      </c>
      <c r="AA7134">
        <v>0.96672290000000005</v>
      </c>
      <c r="AB7134">
        <v>40</v>
      </c>
      <c r="AC7134">
        <v>0.15639999999998999</v>
      </c>
      <c r="AD7134">
        <v>-0.2218184</v>
      </c>
      <c r="AE7134">
        <v>0.55886539999999996</v>
      </c>
      <c r="AF7134">
        <v>0.11984740738619699</v>
      </c>
      <c r="AG7134">
        <v>-0.2218184</v>
      </c>
      <c r="AH7134">
        <v>0.49197347216017701</v>
      </c>
      <c r="AI7134">
        <v>113.656490226917</v>
      </c>
      <c r="AJ7134">
        <v>76.309102165654295</v>
      </c>
      <c r="AK7134">
        <v>0.55281525028267198</v>
      </c>
      <c r="AL7134">
        <v>95.489861340137594</v>
      </c>
      <c r="AM7134">
        <v>90.585173457554205</v>
      </c>
      <c r="AN7134">
        <v>0.99999997197939094</v>
      </c>
    </row>
    <row r="7135" spans="1:40" x14ac:dyDescent="0.25">
      <c r="A7135" t="str">
        <f>"20190303154701781"</f>
        <v>20190303154701781</v>
      </c>
      <c r="B7135" t="str">
        <f>"1551599221768669"</f>
        <v>1551599221768669</v>
      </c>
      <c r="C7135" t="s">
        <v>40</v>
      </c>
      <c r="D7135">
        <v>5.1922459999999999</v>
      </c>
      <c r="E7135">
        <v>0.55637539999999996</v>
      </c>
      <c r="F7135" t="s">
        <v>42</v>
      </c>
      <c r="G7135">
        <v>-187.59899999999999</v>
      </c>
      <c r="H7135">
        <v>0.90705069999999999</v>
      </c>
      <c r="I7135">
        <v>0.59898399999999996</v>
      </c>
      <c r="J7135">
        <v>-187.74180000000001</v>
      </c>
      <c r="K7135">
        <v>1.1206560000000001</v>
      </c>
      <c r="L7135">
        <v>0.28860469999999999</v>
      </c>
      <c r="M7135">
        <v>3.2223080000000001E-2</v>
      </c>
      <c r="N7135">
        <v>-6.8233089999999996E-3</v>
      </c>
      <c r="O7135">
        <v>0.99945740000000005</v>
      </c>
      <c r="P7135">
        <v>2.0302339999999999E-2</v>
      </c>
      <c r="Q7135">
        <v>-0.1026396</v>
      </c>
      <c r="R7135">
        <v>0.99451140000000005</v>
      </c>
      <c r="S7135">
        <v>0.5175476</v>
      </c>
      <c r="T7135">
        <v>-0.68303040000000004</v>
      </c>
      <c r="U7135">
        <v>2.9342039999999998</v>
      </c>
      <c r="V7135">
        <v>-1.1507699999999999E-2</v>
      </c>
      <c r="W7135">
        <v>-9.5880430000000003E-2</v>
      </c>
      <c r="X7135">
        <v>0.9953263</v>
      </c>
      <c r="Y7135">
        <v>0.13762189999999999</v>
      </c>
      <c r="Z7135">
        <v>-0.21720149999999999</v>
      </c>
      <c r="AA7135">
        <v>0.96637660000000003</v>
      </c>
      <c r="AB7135">
        <v>40</v>
      </c>
      <c r="AC7135">
        <v>0.14279999999999399</v>
      </c>
      <c r="AD7135">
        <v>-0.213605299999999</v>
      </c>
      <c r="AE7135">
        <v>0.31037930000000002</v>
      </c>
      <c r="AF7135">
        <v>9.5424107112166701E-2</v>
      </c>
      <c r="AG7135">
        <v>-0.213605299999999</v>
      </c>
      <c r="AH7135">
        <v>0.226344400765392</v>
      </c>
      <c r="AI7135">
        <v>131.010134460828</v>
      </c>
      <c r="AJ7135">
        <v>67.140290524045099</v>
      </c>
      <c r="AK7135">
        <v>0.32552230670737198</v>
      </c>
      <c r="AL7135">
        <v>95.501996266156297</v>
      </c>
      <c r="AM7135">
        <v>90.6624091670502</v>
      </c>
      <c r="AN7135">
        <v>0.99999996374398104</v>
      </c>
    </row>
    <row r="7136" spans="1:40" x14ac:dyDescent="0.25">
      <c r="A7136" t="str">
        <f>"20190303154701803"</f>
        <v>20190303154701803</v>
      </c>
      <c r="B7136" t="str">
        <f>"1551599221798925"</f>
        <v>1551599221798925</v>
      </c>
      <c r="C7136" t="s">
        <v>40</v>
      </c>
      <c r="D7136">
        <v>5.1682560000000004</v>
      </c>
      <c r="E7136">
        <v>0.55695729999999999</v>
      </c>
      <c r="F7136" t="s">
        <v>42</v>
      </c>
      <c r="G7136">
        <v>-187.62090000000001</v>
      </c>
      <c r="H7136">
        <v>0.95886360000000004</v>
      </c>
      <c r="I7136">
        <v>0.97815980000000002</v>
      </c>
      <c r="J7136">
        <v>-187.7304</v>
      </c>
      <c r="K7136">
        <v>1.120687</v>
      </c>
      <c r="L7136">
        <v>0.66873169999999904</v>
      </c>
      <c r="M7136">
        <v>3.115534E-2</v>
      </c>
      <c r="N7136">
        <v>-6.8427310000000003E-3</v>
      </c>
      <c r="O7136">
        <v>0.99949120000000002</v>
      </c>
      <c r="P7136">
        <v>1.8372179999999998E-2</v>
      </c>
      <c r="Q7136">
        <v>-0.10266840000000001</v>
      </c>
      <c r="R7136">
        <v>0.99454589999999998</v>
      </c>
      <c r="S7136">
        <v>0.51441959999999998</v>
      </c>
      <c r="T7136">
        <v>-0.68865390000000004</v>
      </c>
      <c r="U7136">
        <v>2.9349669999999999</v>
      </c>
      <c r="V7136">
        <v>-1.2370040000000001E-2</v>
      </c>
      <c r="W7136">
        <v>-9.5892939999999996E-2</v>
      </c>
      <c r="X7136">
        <v>0.99531480000000006</v>
      </c>
      <c r="Y7136">
        <v>0.13757030000000001</v>
      </c>
      <c r="Z7136">
        <v>-0.21890979999999999</v>
      </c>
      <c r="AA7136">
        <v>0.96599840000000003</v>
      </c>
      <c r="AB7136">
        <v>40</v>
      </c>
      <c r="AC7136">
        <v>0.109499999999997</v>
      </c>
      <c r="AD7136">
        <v>-0.16182339999999901</v>
      </c>
      <c r="AE7136">
        <v>0.30942809999999998</v>
      </c>
      <c r="AF7136">
        <v>8.0290497061567906E-2</v>
      </c>
      <c r="AG7136">
        <v>-0.16182339999999901</v>
      </c>
      <c r="AH7136">
        <v>0.25154723221486402</v>
      </c>
      <c r="AI7136">
        <v>121.50207482122001</v>
      </c>
      <c r="AJ7136">
        <v>72.297615542964706</v>
      </c>
      <c r="AK7136">
        <v>0.30969240665685099</v>
      </c>
      <c r="AL7136">
        <v>95.502716085439602</v>
      </c>
      <c r="AM7136">
        <v>90.712050696038403</v>
      </c>
      <c r="AN7136">
        <v>1.00000001246524</v>
      </c>
    </row>
    <row r="7137" spans="1:40" x14ac:dyDescent="0.25">
      <c r="A7137" t="str">
        <f>"20190303154701828"</f>
        <v>20190303154701828</v>
      </c>
      <c r="B7137" t="str">
        <f>"1551599221818955"</f>
        <v>1551599221818955</v>
      </c>
      <c r="C7137" t="s">
        <v>40</v>
      </c>
      <c r="D7137">
        <v>5.1579389999999998</v>
      </c>
      <c r="E7137">
        <v>0.55729280000000003</v>
      </c>
      <c r="F7137" t="s">
        <v>42</v>
      </c>
      <c r="G7137">
        <v>-187.55680000000001</v>
      </c>
      <c r="H7137">
        <v>0.88630929999999997</v>
      </c>
      <c r="I7137">
        <v>1.660604</v>
      </c>
      <c r="J7137">
        <v>-187.71719999999999</v>
      </c>
      <c r="K7137">
        <v>1.1207119999999999</v>
      </c>
      <c r="L7137">
        <v>1.1256409999999999</v>
      </c>
      <c r="M7137">
        <v>2.9868760000000001E-2</v>
      </c>
      <c r="N7137">
        <v>-6.8659919999999996E-3</v>
      </c>
      <c r="O7137">
        <v>0.99953029999999998</v>
      </c>
      <c r="P7137">
        <v>1.6411829999999999E-2</v>
      </c>
      <c r="Q7137">
        <v>-0.10267419999999999</v>
      </c>
      <c r="R7137">
        <v>0.99457960000000001</v>
      </c>
      <c r="S7137">
        <v>0.51348879999999997</v>
      </c>
      <c r="T7137">
        <v>-0.69363779999999997</v>
      </c>
      <c r="U7137">
        <v>2.9353639999999999</v>
      </c>
      <c r="V7137">
        <v>-1.3043519999999999E-2</v>
      </c>
      <c r="W7137">
        <v>-9.5878379999999999E-2</v>
      </c>
      <c r="X7137">
        <v>0.99530759999999996</v>
      </c>
      <c r="Y7137">
        <v>0.1384649</v>
      </c>
      <c r="Z7137">
        <v>-0.22041250000000001</v>
      </c>
      <c r="AA7137">
        <v>0.96552879999999996</v>
      </c>
      <c r="AB7137">
        <v>40</v>
      </c>
      <c r="AC7137">
        <v>0.160399999999981</v>
      </c>
      <c r="AD7137">
        <v>-0.23440269999999999</v>
      </c>
      <c r="AE7137">
        <v>0.53496299999999997</v>
      </c>
      <c r="AF7137">
        <v>0.12273006022821301</v>
      </c>
      <c r="AG7137">
        <v>-0.23440269999999999</v>
      </c>
      <c r="AH7137">
        <v>0.45871174695814998</v>
      </c>
      <c r="AI7137">
        <v>116.27274143894201</v>
      </c>
      <c r="AJ7137">
        <v>75.021140110570101</v>
      </c>
      <c r="AK7137">
        <v>0.52955052662452196</v>
      </c>
      <c r="AL7137">
        <v>95.501878022528899</v>
      </c>
      <c r="AM7137">
        <v>90.750819010534599</v>
      </c>
      <c r="AN7137">
        <v>1.0000000078915801</v>
      </c>
    </row>
    <row r="7138" spans="1:40" x14ac:dyDescent="0.25">
      <c r="A7138" t="str">
        <f>"20190303154701849"</f>
        <v>20190303154701849</v>
      </c>
      <c r="B7138" t="str">
        <f>"1551599221838476"</f>
        <v>1551599221838476</v>
      </c>
      <c r="C7138" t="s">
        <v>40</v>
      </c>
      <c r="D7138">
        <v>5.1621300000000003</v>
      </c>
      <c r="E7138">
        <v>0.55771559999999998</v>
      </c>
      <c r="F7138" t="s">
        <v>42</v>
      </c>
      <c r="G7138">
        <v>-187.56020000000001</v>
      </c>
      <c r="H7138">
        <v>0.90684830000000005</v>
      </c>
      <c r="I7138">
        <v>2.0274359999999998</v>
      </c>
      <c r="J7138">
        <v>-187.7071</v>
      </c>
      <c r="K7138">
        <v>1.12073</v>
      </c>
      <c r="L7138">
        <v>1.489258</v>
      </c>
      <c r="M7138">
        <v>2.8843890000000001E-2</v>
      </c>
      <c r="N7138">
        <v>-6.8845190000000004E-3</v>
      </c>
      <c r="O7138">
        <v>0.99956020000000001</v>
      </c>
      <c r="P7138">
        <v>1.492683E-2</v>
      </c>
      <c r="Q7138">
        <v>-0.1026299</v>
      </c>
      <c r="R7138">
        <v>0.99460760000000004</v>
      </c>
      <c r="S7138">
        <v>0.51071169999999999</v>
      </c>
      <c r="T7138">
        <v>-0.6963104</v>
      </c>
      <c r="U7138">
        <v>2.936035</v>
      </c>
      <c r="V7138">
        <v>-1.350491E-2</v>
      </c>
      <c r="W7138">
        <v>-9.5817459999999993E-2</v>
      </c>
      <c r="X7138">
        <v>0.99530730000000001</v>
      </c>
      <c r="Y7138">
        <v>0.13852449999999999</v>
      </c>
      <c r="Z7138">
        <v>-0.22120200000000001</v>
      </c>
      <c r="AA7138">
        <v>0.96533970000000002</v>
      </c>
      <c r="AB7138">
        <v>40</v>
      </c>
      <c r="AC7138">
        <v>0.14689999999998801</v>
      </c>
      <c r="AD7138">
        <v>-0.21388169999999901</v>
      </c>
      <c r="AE7138">
        <v>0.53817800000000005</v>
      </c>
      <c r="AF7138">
        <v>0.11448697117112699</v>
      </c>
      <c r="AG7138">
        <v>-0.21388169999999901</v>
      </c>
      <c r="AH7138">
        <v>0.47270816976004099</v>
      </c>
      <c r="AI7138">
        <v>113.737340412568</v>
      </c>
      <c r="AJ7138">
        <v>76.3854782096398</v>
      </c>
      <c r="AK7138">
        <v>0.53132444129807899</v>
      </c>
      <c r="AL7138">
        <v>95.498371491246402</v>
      </c>
      <c r="AM7138">
        <v>90.777374852301506</v>
      </c>
      <c r="AN7138">
        <v>0.99999999483412405</v>
      </c>
    </row>
    <row r="7139" spans="1:40" x14ac:dyDescent="0.25">
      <c r="A7139" t="str">
        <f>"20190303154701873"</f>
        <v>20190303154701873</v>
      </c>
      <c r="B7139" t="str">
        <f>"1551599221858971"</f>
        <v>1551599221858971</v>
      </c>
      <c r="C7139" t="s">
        <v>40</v>
      </c>
      <c r="D7139">
        <v>5.1557459999999997</v>
      </c>
      <c r="E7139">
        <v>0.55803219999999898</v>
      </c>
      <c r="F7139" t="s">
        <v>42</v>
      </c>
      <c r="G7139">
        <v>-187.55109999999999</v>
      </c>
      <c r="H7139">
        <v>0.90718339999999997</v>
      </c>
      <c r="I7139">
        <v>2.386717</v>
      </c>
      <c r="J7139">
        <v>-187.69560000000001</v>
      </c>
      <c r="K7139">
        <v>1.120746</v>
      </c>
      <c r="L7139">
        <v>1.920258</v>
      </c>
      <c r="M7139">
        <v>2.7629330000000001E-2</v>
      </c>
      <c r="N7139">
        <v>-6.9063090000000002E-3</v>
      </c>
      <c r="O7139">
        <v>0.99959439999999999</v>
      </c>
      <c r="P7139">
        <v>1.384171E-2</v>
      </c>
      <c r="Q7139">
        <v>-0.10282719999999999</v>
      </c>
      <c r="R7139">
        <v>0.99460289999999996</v>
      </c>
      <c r="S7139">
        <v>0.51025390000000004</v>
      </c>
      <c r="T7139">
        <v>-0.69873390000000002</v>
      </c>
      <c r="U7139">
        <v>2.936493</v>
      </c>
      <c r="V7139">
        <v>-1.3376539999999999E-2</v>
      </c>
      <c r="W7139">
        <v>-9.5993499999999995E-2</v>
      </c>
      <c r="X7139">
        <v>0.99529210000000001</v>
      </c>
      <c r="Y7139">
        <v>0.13952699999999901</v>
      </c>
      <c r="Z7139">
        <v>-0.2218975</v>
      </c>
      <c r="AA7139">
        <v>0.96503559999999999</v>
      </c>
      <c r="AB7139">
        <v>40</v>
      </c>
      <c r="AC7139">
        <v>0.144500000000022</v>
      </c>
      <c r="AD7139">
        <v>-0.21356259999999999</v>
      </c>
      <c r="AE7139">
        <v>0.46645899999999901</v>
      </c>
      <c r="AF7139">
        <v>0.11043469221555</v>
      </c>
      <c r="AG7139">
        <v>-0.21356259999999999</v>
      </c>
      <c r="AH7139">
        <v>0.39476934654604801</v>
      </c>
      <c r="AI7139">
        <v>117.518587899247</v>
      </c>
      <c r="AJ7139">
        <v>74.371310573594997</v>
      </c>
      <c r="AK7139">
        <v>0.46222033959562803</v>
      </c>
      <c r="AL7139">
        <v>95.508504387547504</v>
      </c>
      <c r="AM7139">
        <v>90.769998220367199</v>
      </c>
      <c r="AN7139">
        <v>1.0000000240935101</v>
      </c>
    </row>
    <row r="7140" spans="1:40" x14ac:dyDescent="0.25">
      <c r="A7140" t="str">
        <f>"20190303154701915"</f>
        <v>20190303154701915</v>
      </c>
      <c r="B7140" t="str">
        <f>"1551599221908747"</f>
        <v>1551599221908747</v>
      </c>
      <c r="C7140" t="s">
        <v>40</v>
      </c>
      <c r="D7140">
        <v>5.1671959999999997</v>
      </c>
      <c r="E7140">
        <v>0.55880989999999997</v>
      </c>
      <c r="F7140" t="s">
        <v>42</v>
      </c>
      <c r="G7140">
        <v>-187.55090000000001</v>
      </c>
      <c r="H7140">
        <v>0.92195859999999996</v>
      </c>
      <c r="I7140">
        <v>2.7527490000000001</v>
      </c>
      <c r="J7140">
        <v>-187.67609999999999</v>
      </c>
      <c r="K7140">
        <v>1.120779</v>
      </c>
      <c r="L7140">
        <v>2.699738</v>
      </c>
      <c r="M7140">
        <v>2.5433770000000001E-2</v>
      </c>
      <c r="N7140">
        <v>-6.9453700000000002E-3</v>
      </c>
      <c r="O7140">
        <v>0.9996524</v>
      </c>
      <c r="P7140">
        <v>1.260153E-2</v>
      </c>
      <c r="Q7140">
        <v>-0.1034356</v>
      </c>
      <c r="R7140">
        <v>0.99455629999999995</v>
      </c>
      <c r="S7140">
        <v>0.50964359999999997</v>
      </c>
      <c r="T7140">
        <v>-0.70126149999999998</v>
      </c>
      <c r="U7140">
        <v>2.9366759999999998</v>
      </c>
      <c r="V7140">
        <v>-1.2421919999999999E-2</v>
      </c>
      <c r="W7140">
        <v>-9.6561460000000002E-2</v>
      </c>
      <c r="X7140">
        <v>0.99524950000000001</v>
      </c>
      <c r="Y7140">
        <v>0.14146449999999999</v>
      </c>
      <c r="Z7140">
        <v>-0.2226207</v>
      </c>
      <c r="AA7140">
        <v>0.96458690000000002</v>
      </c>
      <c r="AB7140">
        <v>40</v>
      </c>
      <c r="AC7140">
        <v>0.125199999999978</v>
      </c>
      <c r="AD7140">
        <v>-0.19882040000000001</v>
      </c>
      <c r="AE7140">
        <v>5.30110000000001E-2</v>
      </c>
      <c r="AF7140">
        <v>3.9449884031856397E-2</v>
      </c>
      <c r="AG7140">
        <v>-0.19882040000000001</v>
      </c>
      <c r="AH7140">
        <v>1.7900036190207299E-2</v>
      </c>
      <c r="AI7140">
        <v>167.707952961134</v>
      </c>
      <c r="AJ7140">
        <v>24.4057514558321</v>
      </c>
      <c r="AK7140">
        <v>0.20348527244470899</v>
      </c>
      <c r="AL7140">
        <v>95.541198145438301</v>
      </c>
      <c r="AM7140">
        <v>90.7150836401471</v>
      </c>
      <c r="AN7140">
        <v>0.99999999345203305</v>
      </c>
    </row>
    <row r="7141" spans="1:40" x14ac:dyDescent="0.25">
      <c r="A7141" t="str">
        <f>"20190303154701939"</f>
        <v>20190303154701939</v>
      </c>
      <c r="B7141" t="str">
        <f>"1551599221929243"</f>
        <v>1551599221929243</v>
      </c>
      <c r="C7141" t="s">
        <v>40</v>
      </c>
      <c r="D7141">
        <v>5.0565239999999996</v>
      </c>
      <c r="E7141">
        <v>0.55852709999999905</v>
      </c>
      <c r="F7141" t="s">
        <v>42</v>
      </c>
      <c r="G7141">
        <v>-187.53970000000001</v>
      </c>
      <c r="H7141">
        <v>0.93288409999999999</v>
      </c>
      <c r="I7141">
        <v>3.4797519999999902</v>
      </c>
      <c r="J7141">
        <v>-187.66640000000001</v>
      </c>
      <c r="K7141">
        <v>1.120787</v>
      </c>
      <c r="L7141">
        <v>3.1159669999999999</v>
      </c>
      <c r="M7141">
        <v>2.4261769999999998E-2</v>
      </c>
      <c r="N7141">
        <v>-6.9661269999999999E-3</v>
      </c>
      <c r="O7141">
        <v>0.99968140000000005</v>
      </c>
      <c r="P7141">
        <v>1.1036320000000001E-2</v>
      </c>
      <c r="Q7141">
        <v>-0.1030373</v>
      </c>
      <c r="R7141">
        <v>0.99461630000000001</v>
      </c>
      <c r="S7141">
        <v>0.51266480000000003</v>
      </c>
      <c r="T7141">
        <v>-0.70735780000000004</v>
      </c>
      <c r="U7141">
        <v>2.9363709999999998</v>
      </c>
      <c r="V7141">
        <v>-1.28206E-2</v>
      </c>
      <c r="W7141">
        <v>-9.6143870000000006E-2</v>
      </c>
      <c r="X7141">
        <v>0.99528490000000003</v>
      </c>
      <c r="Y7141">
        <v>0.1435283</v>
      </c>
      <c r="Z7141">
        <v>-0.22446830000000001</v>
      </c>
      <c r="AA7141">
        <v>0.96385350000000003</v>
      </c>
      <c r="AB7141">
        <v>40</v>
      </c>
      <c r="AC7141">
        <v>0.12669999999999901</v>
      </c>
      <c r="AD7141">
        <v>-0.18790290000000001</v>
      </c>
      <c r="AE7141">
        <v>0.36378499999999903</v>
      </c>
      <c r="AF7141">
        <v>9.5188019626637602E-2</v>
      </c>
      <c r="AG7141">
        <v>-0.18790290000000001</v>
      </c>
      <c r="AH7141">
        <v>0.29626147605141401</v>
      </c>
      <c r="AI7141">
        <v>121.12543410686099</v>
      </c>
      <c r="AJ7141">
        <v>72.187927062683698</v>
      </c>
      <c r="AK7141">
        <v>0.36350945118526701</v>
      </c>
      <c r="AL7141">
        <v>95.517160000841201</v>
      </c>
      <c r="AM7141">
        <v>90.738005415629203</v>
      </c>
      <c r="AN7141">
        <v>1.0000000218454701</v>
      </c>
    </row>
    <row r="7142" spans="1:40" x14ac:dyDescent="0.25">
      <c r="A7142" t="str">
        <f>"20190303154701960"</f>
        <v>20190303154701960</v>
      </c>
      <c r="B7142" t="str">
        <f>"1551599221948763"</f>
        <v>1551599221948763</v>
      </c>
      <c r="C7142" t="s">
        <v>40</v>
      </c>
      <c r="D7142">
        <v>5.2851080000000001</v>
      </c>
      <c r="E7142">
        <v>0.52213659999999995</v>
      </c>
      <c r="F7142" t="s">
        <v>42</v>
      </c>
      <c r="G7142">
        <v>-187.5403</v>
      </c>
      <c r="H7142">
        <v>0.94476890000000002</v>
      </c>
      <c r="I7142">
        <v>3.8474940000000002</v>
      </c>
      <c r="J7142">
        <v>-187.6575</v>
      </c>
      <c r="K7142">
        <v>1.1207959999999999</v>
      </c>
      <c r="L7142">
        <v>3.5162659999999999</v>
      </c>
      <c r="M7142">
        <v>2.313486E-2</v>
      </c>
      <c r="N7142">
        <v>-6.986094E-3</v>
      </c>
      <c r="O7142">
        <v>0.99970789999999998</v>
      </c>
      <c r="P7142">
        <v>9.2110999999999998E-3</v>
      </c>
      <c r="Q7142">
        <v>-0.1033512</v>
      </c>
      <c r="R7142">
        <v>0.99460230000000005</v>
      </c>
      <c r="S7142">
        <v>0.50639339999999999</v>
      </c>
      <c r="T7142">
        <v>-0.70678809999999903</v>
      </c>
      <c r="U7142">
        <v>2.937408</v>
      </c>
      <c r="V7142">
        <v>-1.35207E-2</v>
      </c>
      <c r="W7142">
        <v>-9.6440499999999998E-2</v>
      </c>
      <c r="X7142">
        <v>0.99524690000000005</v>
      </c>
      <c r="Y7142">
        <v>0.14259630000000001</v>
      </c>
      <c r="Z7142">
        <v>-0.2242595</v>
      </c>
      <c r="AA7142">
        <v>0.96404049999999997</v>
      </c>
      <c r="AB7142">
        <v>40</v>
      </c>
      <c r="AC7142">
        <v>0.117199999999996</v>
      </c>
      <c r="AD7142">
        <v>-0.17602709999999899</v>
      </c>
      <c r="AE7142">
        <v>0.33122799999999902</v>
      </c>
      <c r="AF7142">
        <v>8.7534319523362297E-2</v>
      </c>
      <c r="AG7142">
        <v>-0.17602709999999899</v>
      </c>
      <c r="AH7142">
        <v>0.26686692516899502</v>
      </c>
      <c r="AI7142">
        <v>122.077497604043</v>
      </c>
      <c r="AJ7142">
        <v>71.840128036901405</v>
      </c>
      <c r="AK7142">
        <v>0.33146003194651102</v>
      </c>
      <c r="AL7142">
        <v>95.534235194067193</v>
      </c>
      <c r="AM7142">
        <v>90.778330877677305</v>
      </c>
      <c r="AN7142">
        <v>0.99999998566417403</v>
      </c>
    </row>
    <row r="7143" spans="1:40" x14ac:dyDescent="0.25">
      <c r="A7143" t="str">
        <f>"20190303154701979"</f>
        <v>20190303154701979</v>
      </c>
      <c r="B7143" t="str">
        <f>"1551599221969259"</f>
        <v>1551599221969259</v>
      </c>
      <c r="C7143" t="s">
        <v>40</v>
      </c>
      <c r="D7143">
        <v>6.4696369999999996</v>
      </c>
      <c r="E7143">
        <v>0.52535739999999997</v>
      </c>
      <c r="F7143" t="s">
        <v>42</v>
      </c>
      <c r="G7143">
        <v>-187.60740000000001</v>
      </c>
      <c r="H7143">
        <v>0.90999220000000003</v>
      </c>
      <c r="I7143">
        <v>4.1963999999999997</v>
      </c>
      <c r="J7143">
        <v>-187.6499</v>
      </c>
      <c r="K7143">
        <v>1.120806</v>
      </c>
      <c r="L7143">
        <v>3.87738</v>
      </c>
      <c r="M7143">
        <v>2.2118470000000001E-2</v>
      </c>
      <c r="N7143">
        <v>-7.0041359999999898E-3</v>
      </c>
      <c r="O7143">
        <v>0.99973080000000003</v>
      </c>
      <c r="P7143">
        <v>7.2703280000000004E-3</v>
      </c>
      <c r="Q7143">
        <v>-0.1030455</v>
      </c>
      <c r="R7143">
        <v>0.99465009999999998</v>
      </c>
      <c r="S7143">
        <v>0.21447749999999999</v>
      </c>
      <c r="T7143">
        <v>-0.90513929999999998</v>
      </c>
      <c r="U7143">
        <v>2.9202270000000001</v>
      </c>
      <c r="V7143">
        <v>-1.444988E-2</v>
      </c>
      <c r="W7143">
        <v>-9.6119670000000004E-2</v>
      </c>
      <c r="X7143">
        <v>0.99526490000000001</v>
      </c>
      <c r="Y7143">
        <v>4.7995620000000003E-2</v>
      </c>
      <c r="Z7143">
        <v>-0.28873159999999998</v>
      </c>
      <c r="AA7143">
        <v>0.95620629999999995</v>
      </c>
      <c r="AB7143">
        <v>41</v>
      </c>
      <c r="AC7143">
        <v>4.2499999999989699E-2</v>
      </c>
      <c r="AD7143">
        <v>-0.2108138</v>
      </c>
      <c r="AE7143">
        <v>0.31901999999999903</v>
      </c>
      <c r="AF7143">
        <v>2.4794686234076699E-2</v>
      </c>
      <c r="AG7143">
        <v>-0.2108138</v>
      </c>
      <c r="AH7143">
        <v>0.223840218485616</v>
      </c>
      <c r="AI7143">
        <v>133.109043283972</v>
      </c>
      <c r="AJ7143">
        <v>83.679138822332007</v>
      </c>
      <c r="AK7143">
        <v>0.30848286524145002</v>
      </c>
      <c r="AL7143">
        <v>95.515767081427995</v>
      </c>
      <c r="AM7143">
        <v>90.831797618364007</v>
      </c>
      <c r="AN7143">
        <v>1.00000000558246</v>
      </c>
    </row>
    <row r="7144" spans="1:40" x14ac:dyDescent="0.25">
      <c r="A7144" t="str">
        <f>"20190303154702003"</f>
        <v>20190303154702003</v>
      </c>
      <c r="B7144" t="str">
        <f>"1551599221998539"</f>
        <v>1551599221998539</v>
      </c>
      <c r="C7144" t="s">
        <v>40</v>
      </c>
      <c r="D7144">
        <v>5.0910799999999998</v>
      </c>
      <c r="E7144">
        <v>0.52649380000000001</v>
      </c>
      <c r="F7144" t="s">
        <v>42</v>
      </c>
      <c r="G7144">
        <v>-187.59520000000001</v>
      </c>
      <c r="H7144">
        <v>0.92309560000000002</v>
      </c>
      <c r="I7144">
        <v>4.5655789999999996</v>
      </c>
      <c r="J7144">
        <v>-187.64150000000001</v>
      </c>
      <c r="K7144">
        <v>1.1208149999999999</v>
      </c>
      <c r="L7144">
        <v>4.3002320000000003</v>
      </c>
      <c r="M7144">
        <v>2.0928510000000001E-2</v>
      </c>
      <c r="N7144">
        <v>-7.0252689999999998E-3</v>
      </c>
      <c r="O7144">
        <v>0.99975630000000004</v>
      </c>
      <c r="P7144">
        <v>5.7485699999999997E-3</v>
      </c>
      <c r="Q7144">
        <v>-0.1030184</v>
      </c>
      <c r="R7144">
        <v>0.99466279999999996</v>
      </c>
      <c r="S7144">
        <v>0.23265079999999999</v>
      </c>
      <c r="T7144">
        <v>-0.84097909999999998</v>
      </c>
      <c r="U7144">
        <v>2.9273069999999999</v>
      </c>
      <c r="V7144">
        <v>-1.4785950000000001E-2</v>
      </c>
      <c r="W7144">
        <v>-9.6072920000000006E-2</v>
      </c>
      <c r="X7144">
        <v>0.9952645</v>
      </c>
      <c r="Y7144">
        <v>5.537392E-2</v>
      </c>
      <c r="Z7144">
        <v>-0.26866669999999998</v>
      </c>
      <c r="AA7144">
        <v>0.96164019999999995</v>
      </c>
      <c r="AB7144">
        <v>41</v>
      </c>
      <c r="AC7144">
        <v>4.6300000000002201E-2</v>
      </c>
      <c r="AD7144">
        <v>-0.19771939999999899</v>
      </c>
      <c r="AE7144">
        <v>0.265347</v>
      </c>
      <c r="AF7144">
        <v>2.6472469958735E-2</v>
      </c>
      <c r="AG7144">
        <v>-0.19771939999999899</v>
      </c>
      <c r="AH7144">
        <v>0.173027153634666</v>
      </c>
      <c r="AI7144">
        <v>138.48160743120701</v>
      </c>
      <c r="AJ7144">
        <v>81.301425339771896</v>
      </c>
      <c r="AK7144">
        <v>0.26406845456621703</v>
      </c>
      <c r="AL7144">
        <v>95.513075927912197</v>
      </c>
      <c r="AM7144">
        <v>90.851140790154403</v>
      </c>
      <c r="AN7144">
        <v>1.0000000276174801</v>
      </c>
    </row>
    <row r="7145" spans="1:40" x14ac:dyDescent="0.25">
      <c r="A7145" t="str">
        <f>"20190303154702028"</f>
        <v>20190303154702028</v>
      </c>
      <c r="B7145" t="str">
        <f>"1551599222019036"</f>
        <v>1551599222019036</v>
      </c>
      <c r="C7145" t="s">
        <v>40</v>
      </c>
      <c r="D7145">
        <v>5.196428</v>
      </c>
      <c r="E7145">
        <v>0.52674370000000004</v>
      </c>
      <c r="F7145" t="s">
        <v>42</v>
      </c>
      <c r="G7145">
        <v>-187.5635</v>
      </c>
      <c r="H7145">
        <v>0.85165579999999996</v>
      </c>
      <c r="I7145">
        <v>5.2649339999999896</v>
      </c>
      <c r="J7145">
        <v>-187.63300000000001</v>
      </c>
      <c r="K7145">
        <v>1.1208229999999999</v>
      </c>
      <c r="L7145">
        <v>4.7542720000000003</v>
      </c>
      <c r="M7145">
        <v>1.9651129999999999E-2</v>
      </c>
      <c r="N7145">
        <v>-7.0478340000000002E-3</v>
      </c>
      <c r="O7145">
        <v>0.99978210000000001</v>
      </c>
      <c r="P7145">
        <v>5.5505789999999999E-3</v>
      </c>
      <c r="Q7145">
        <v>-0.1035692</v>
      </c>
      <c r="R7145">
        <v>0.99460680000000001</v>
      </c>
      <c r="S7145">
        <v>0.2365112</v>
      </c>
      <c r="T7145">
        <v>-0.81752230000000004</v>
      </c>
      <c r="U7145">
        <v>2.9300540000000002</v>
      </c>
      <c r="V7145">
        <v>-1.3708420000000001E-2</v>
      </c>
      <c r="W7145">
        <v>-9.6598610000000001E-2</v>
      </c>
      <c r="X7145">
        <v>0.99522900000000003</v>
      </c>
      <c r="Y7145">
        <v>5.799986E-2</v>
      </c>
      <c r="Z7145">
        <v>-0.26125379999999998</v>
      </c>
      <c r="AA7145">
        <v>0.96352610000000005</v>
      </c>
      <c r="AB7145">
        <v>41</v>
      </c>
      <c r="AC7145">
        <v>6.9499999999976497E-2</v>
      </c>
      <c r="AD7145">
        <v>-0.269167199999999</v>
      </c>
      <c r="AE7145">
        <v>0.51066199999999895</v>
      </c>
      <c r="AF7145">
        <v>4.6709895715940801E-2</v>
      </c>
      <c r="AG7145">
        <v>-0.269167199999999</v>
      </c>
      <c r="AH7145">
        <v>0.40221459506560697</v>
      </c>
      <c r="AI7145">
        <v>123.613788376795</v>
      </c>
      <c r="AJ7145">
        <v>83.375812188191205</v>
      </c>
      <c r="AK7145">
        <v>0.48621947348643302</v>
      </c>
      <c r="AL7145">
        <v>95.543336714844799</v>
      </c>
      <c r="AM7145">
        <v>90.789149977314395</v>
      </c>
      <c r="AN7145">
        <v>0.99999998733691398</v>
      </c>
    </row>
    <row r="7146" spans="1:40" x14ac:dyDescent="0.25">
      <c r="A7146" t="str">
        <f>"20190303154702049"</f>
        <v>20190303154702049</v>
      </c>
      <c r="B7146" t="str">
        <f>"1551599222038556"</f>
        <v>1551599222038556</v>
      </c>
      <c r="C7146" t="s">
        <v>40</v>
      </c>
      <c r="D7146">
        <v>5.1913019999999896</v>
      </c>
      <c r="E7146">
        <v>0.52674149999999997</v>
      </c>
      <c r="F7146" t="s">
        <v>42</v>
      </c>
      <c r="G7146">
        <v>-187.5607</v>
      </c>
      <c r="H7146">
        <v>0.87133539999999998</v>
      </c>
      <c r="I7146">
        <v>5.638763</v>
      </c>
      <c r="J7146">
        <v>-187.62620000000001</v>
      </c>
      <c r="K7146">
        <v>1.1208290000000001</v>
      </c>
      <c r="L7146">
        <v>5.1435240000000002</v>
      </c>
      <c r="M7146">
        <v>1.8556779999999998E-2</v>
      </c>
      <c r="N7146">
        <v>-7.0671090000000002E-3</v>
      </c>
      <c r="O7146">
        <v>0.99980279999999999</v>
      </c>
      <c r="P7146">
        <v>5.6510329999999998E-3</v>
      </c>
      <c r="Q7146">
        <v>-0.1031648</v>
      </c>
      <c r="R7146">
        <v>0.99464819999999998</v>
      </c>
      <c r="S7146">
        <v>0.2389984</v>
      </c>
      <c r="T7146">
        <v>-0.82615959999999999</v>
      </c>
      <c r="U7146">
        <v>2.9288940000000001</v>
      </c>
      <c r="V7146">
        <v>-1.2520150000000001E-2</v>
      </c>
      <c r="W7146">
        <v>-9.6171270000000003E-2</v>
      </c>
      <c r="X7146">
        <v>0.995286</v>
      </c>
      <c r="Y7146">
        <v>5.9873419999999997E-2</v>
      </c>
      <c r="Z7146">
        <v>-0.26394889999999999</v>
      </c>
      <c r="AA7146">
        <v>0.96267650000000005</v>
      </c>
      <c r="AB7146">
        <v>41</v>
      </c>
      <c r="AC7146">
        <v>6.5500000000014297E-2</v>
      </c>
      <c r="AD7146">
        <v>-0.24949360000000001</v>
      </c>
      <c r="AE7146">
        <v>0.49523899999999899</v>
      </c>
      <c r="AF7146">
        <v>4.5059115957161999E-2</v>
      </c>
      <c r="AG7146">
        <v>-0.24949360000000001</v>
      </c>
      <c r="AH7146">
        <v>0.39727484926736201</v>
      </c>
      <c r="AI7146">
        <v>121.96464525984101</v>
      </c>
      <c r="AJ7146">
        <v>83.529136444748602</v>
      </c>
      <c r="AK7146">
        <v>0.47127983855901001</v>
      </c>
      <c r="AL7146">
        <v>95.518737641600893</v>
      </c>
      <c r="AM7146">
        <v>90.720711352253701</v>
      </c>
      <c r="AN7146">
        <v>0.99999994456271601</v>
      </c>
    </row>
    <row r="7147" spans="1:40" x14ac:dyDescent="0.25">
      <c r="A7147" t="str">
        <f>"20190303154702070"</f>
        <v>20190303154702070</v>
      </c>
      <c r="B7147" t="str">
        <f>"1551599222059050"</f>
        <v>1551599222059050</v>
      </c>
      <c r="C7147" t="s">
        <v>40</v>
      </c>
      <c r="D7147">
        <v>5.142239</v>
      </c>
      <c r="E7147">
        <v>0.52629969999999904</v>
      </c>
      <c r="F7147" t="s">
        <v>42</v>
      </c>
      <c r="G7147">
        <v>-187.55539999999999</v>
      </c>
      <c r="H7147">
        <v>0.87579979999999902</v>
      </c>
      <c r="I7147">
        <v>6.0073869999999996</v>
      </c>
      <c r="J7147">
        <v>-187.6199</v>
      </c>
      <c r="K7147">
        <v>1.1208370000000001</v>
      </c>
      <c r="L7147">
        <v>5.5237730000000003</v>
      </c>
      <c r="M7147">
        <v>1.748794E-2</v>
      </c>
      <c r="N7147">
        <v>-7.0858680000000004E-3</v>
      </c>
      <c r="O7147">
        <v>0.99982199999999999</v>
      </c>
      <c r="P7147">
        <v>6.2158439999999999E-3</v>
      </c>
      <c r="Q7147">
        <v>-0.1034881</v>
      </c>
      <c r="R7147">
        <v>0.99461129999999998</v>
      </c>
      <c r="S7147">
        <v>0.23973079999999999</v>
      </c>
      <c r="T7147">
        <v>-0.83069409999999899</v>
      </c>
      <c r="U7147">
        <v>2.9286189999999999</v>
      </c>
      <c r="V7147">
        <v>-1.088913E-2</v>
      </c>
      <c r="W7147">
        <v>-9.6471299999999996E-2</v>
      </c>
      <c r="X7147">
        <v>0.99527619999999895</v>
      </c>
      <c r="Y7147">
        <v>6.1154119999999999E-2</v>
      </c>
      <c r="Z7147">
        <v>-0.26532749999999999</v>
      </c>
      <c r="AA7147">
        <v>0.96221699999999999</v>
      </c>
      <c r="AB7147">
        <v>41</v>
      </c>
      <c r="AC7147">
        <v>6.4500000000009494E-2</v>
      </c>
      <c r="AD7147">
        <v>-0.24503720000000001</v>
      </c>
      <c r="AE7147">
        <v>0.48361399999999999</v>
      </c>
      <c r="AF7147">
        <v>4.4745925592326298E-2</v>
      </c>
      <c r="AG7147">
        <v>-0.24503720000000001</v>
      </c>
      <c r="AH7147">
        <v>0.387041729836193</v>
      </c>
      <c r="AI7147">
        <v>122.16635429773601</v>
      </c>
      <c r="AJ7147">
        <v>83.405307193777304</v>
      </c>
      <c r="AK7147">
        <v>0.46026810434305199</v>
      </c>
      <c r="AL7147">
        <v>95.536008093748904</v>
      </c>
      <c r="AM7147">
        <v>90.626837353705596</v>
      </c>
      <c r="AN7147">
        <v>0.99999999958114305</v>
      </c>
    </row>
    <row r="7148" spans="1:40" x14ac:dyDescent="0.25">
      <c r="A7148" t="str">
        <f>"20190303154702096"</f>
        <v>20190303154702096</v>
      </c>
      <c r="B7148" t="str">
        <f>"1551599222089307"</f>
        <v>1551599222089307</v>
      </c>
      <c r="C7148" t="s">
        <v>40</v>
      </c>
      <c r="D7148">
        <v>5.1382760000000003</v>
      </c>
      <c r="E7148">
        <v>0.52720140000000004</v>
      </c>
      <c r="F7148" t="s">
        <v>42</v>
      </c>
      <c r="G7148">
        <v>-187.5506</v>
      </c>
      <c r="H7148">
        <v>0.87630859999999899</v>
      </c>
      <c r="I7148">
        <v>6.375254</v>
      </c>
      <c r="J7148">
        <v>-187.61269999999999</v>
      </c>
      <c r="K7148">
        <v>1.12083</v>
      </c>
      <c r="L7148">
        <v>5.9887389999999998</v>
      </c>
      <c r="M7148">
        <v>1.618518E-2</v>
      </c>
      <c r="N7148">
        <v>-7.1087099999999999E-3</v>
      </c>
      <c r="O7148">
        <v>0.9998437</v>
      </c>
      <c r="P7148">
        <v>5.2157030000000004E-3</v>
      </c>
      <c r="Q7148">
        <v>-0.1043203</v>
      </c>
      <c r="R7148">
        <v>0.99453009999999997</v>
      </c>
      <c r="S7148">
        <v>0.23774719999999999</v>
      </c>
      <c r="T7148">
        <v>-0.84068719999999997</v>
      </c>
      <c r="U7148">
        <v>2.9273069999999999</v>
      </c>
      <c r="V7148">
        <v>-1.058836E-2</v>
      </c>
      <c r="W7148">
        <v>-9.7280569999999997E-2</v>
      </c>
      <c r="X7148">
        <v>0.99520070000000005</v>
      </c>
      <c r="Y7148">
        <v>6.1769850000000001E-2</v>
      </c>
      <c r="Z7148">
        <v>-0.26846229999999999</v>
      </c>
      <c r="AA7148">
        <v>0.96130769999999999</v>
      </c>
      <c r="AB7148">
        <v>41</v>
      </c>
      <c r="AC7148">
        <v>6.2099999999986701E-2</v>
      </c>
      <c r="AD7148">
        <v>-0.2445214</v>
      </c>
      <c r="AE7148">
        <v>0.386515</v>
      </c>
      <c r="AF7148">
        <v>4.0165347968717201E-2</v>
      </c>
      <c r="AG7148">
        <v>-0.2445214</v>
      </c>
      <c r="AH7148">
        <v>0.27872478561623598</v>
      </c>
      <c r="AI7148">
        <v>130.96833041843499</v>
      </c>
      <c r="AJ7148">
        <v>81.799900760074806</v>
      </c>
      <c r="AK7148">
        <v>0.37294969681208401</v>
      </c>
      <c r="AL7148">
        <v>95.5825948145811</v>
      </c>
      <c r="AM7148">
        <v>90.609570964377198</v>
      </c>
      <c r="AN7148">
        <v>1.00000002797375</v>
      </c>
    </row>
    <row r="7149" spans="1:40" x14ac:dyDescent="0.25">
      <c r="A7149" t="str">
        <f>"20190303154702162"</f>
        <v>20190303154702162</v>
      </c>
      <c r="B7149" t="str">
        <f>"1551599222158603"</f>
        <v>1551599222158603</v>
      </c>
      <c r="C7149" t="s">
        <v>40</v>
      </c>
      <c r="D7149">
        <v>4.8473319999999998</v>
      </c>
      <c r="E7149">
        <v>0.52913520000000003</v>
      </c>
      <c r="F7149" t="s">
        <v>42</v>
      </c>
      <c r="G7149">
        <v>-187.5421</v>
      </c>
      <c r="H7149">
        <v>0.91328549999999997</v>
      </c>
      <c r="I7149">
        <v>7.4986759999999997</v>
      </c>
      <c r="J7149">
        <v>-187.5968</v>
      </c>
      <c r="K7149">
        <v>1.1208009999999999</v>
      </c>
      <c r="L7149">
        <v>7.2107849999999996</v>
      </c>
      <c r="M7149">
        <v>1.289565E-2</v>
      </c>
      <c r="N7149">
        <v>-7.1675910000000001E-3</v>
      </c>
      <c r="O7149">
        <v>0.99989119999999998</v>
      </c>
      <c r="P7149">
        <v>-2.6542739999999999E-3</v>
      </c>
      <c r="Q7149">
        <v>-0.1053229</v>
      </c>
      <c r="R7149">
        <v>0.9944345</v>
      </c>
      <c r="S7149">
        <v>0.240036</v>
      </c>
      <c r="T7149">
        <v>-0.82942990000000005</v>
      </c>
      <c r="U7149">
        <v>2.9287109999999998</v>
      </c>
      <c r="V7149">
        <v>-1.518944E-2</v>
      </c>
      <c r="W7149">
        <v>-9.8238469999999994E-2</v>
      </c>
      <c r="X7149">
        <v>0.99504700000000001</v>
      </c>
      <c r="Y7149">
        <v>6.5839629999999996E-2</v>
      </c>
      <c r="Z7149">
        <v>-0.26484089999999999</v>
      </c>
      <c r="AA7149">
        <v>0.96204179999999995</v>
      </c>
      <c r="AB7149">
        <v>41</v>
      </c>
      <c r="AC7149">
        <v>5.46999999999968E-2</v>
      </c>
      <c r="AD7149">
        <v>-0.20751549999999999</v>
      </c>
      <c r="AE7149">
        <v>0.28789099999999901</v>
      </c>
      <c r="AF7149">
        <v>3.3955322166948597E-2</v>
      </c>
      <c r="AG7149">
        <v>-0.20751549999999999</v>
      </c>
      <c r="AH7149">
        <v>0.19219361029926399</v>
      </c>
      <c r="AI7149">
        <v>136.75601234645899</v>
      </c>
      <c r="AJ7149">
        <v>79.980802281424104</v>
      </c>
      <c r="AK7149">
        <v>0.28487546486768001</v>
      </c>
      <c r="AL7149">
        <v>95.637742618292194</v>
      </c>
      <c r="AM7149">
        <v>90.874554886091303</v>
      </c>
      <c r="AN7149">
        <v>1.00000002414222</v>
      </c>
    </row>
    <row r="7150" spans="1:40" x14ac:dyDescent="0.25">
      <c r="A7150" t="str">
        <f>"20190303154702183"</f>
        <v>20190303154702183</v>
      </c>
      <c r="B7150" t="str">
        <f>"1551599222179099"</f>
        <v>1551599222179099</v>
      </c>
      <c r="C7150" t="s">
        <v>40</v>
      </c>
      <c r="D7150">
        <v>4.8148600000000004</v>
      </c>
      <c r="E7150">
        <v>0.52959540000000005</v>
      </c>
      <c r="F7150" t="s">
        <v>42</v>
      </c>
      <c r="G7150">
        <v>-187.51599999999999</v>
      </c>
      <c r="H7150">
        <v>0.8411535</v>
      </c>
      <c r="I7150">
        <v>8.2112459999999992</v>
      </c>
      <c r="J7150">
        <v>-187.5924</v>
      </c>
      <c r="K7150">
        <v>1.12077</v>
      </c>
      <c r="L7150">
        <v>7.6029970000000002</v>
      </c>
      <c r="M7150">
        <v>1.193604E-2</v>
      </c>
      <c r="N7150">
        <v>-7.1858529999999999E-3</v>
      </c>
      <c r="O7150">
        <v>0.99990299999999999</v>
      </c>
      <c r="P7150">
        <v>-4.9297270000000001E-3</v>
      </c>
      <c r="Q7150">
        <v>-0.105028</v>
      </c>
      <c r="R7150">
        <v>0.99445709999999998</v>
      </c>
      <c r="S7150">
        <v>0.23657230000000001</v>
      </c>
      <c r="T7150">
        <v>-0.81917489999999904</v>
      </c>
      <c r="U7150">
        <v>2.9306640000000002</v>
      </c>
      <c r="V7150">
        <v>-1.6520360000000001E-2</v>
      </c>
      <c r="W7150">
        <v>-9.7927639999999996E-2</v>
      </c>
      <c r="X7150">
        <v>0.99505639999999995</v>
      </c>
      <c r="Y7150">
        <v>6.5688410000000003E-2</v>
      </c>
      <c r="Z7150">
        <v>-0.26155329999999999</v>
      </c>
      <c r="AA7150">
        <v>0.96295109999999995</v>
      </c>
      <c r="AB7150">
        <v>42</v>
      </c>
      <c r="AC7150">
        <v>7.6400000000006602E-2</v>
      </c>
      <c r="AD7150">
        <v>-0.27961649999999999</v>
      </c>
      <c r="AE7150">
        <v>0.60824900000000004</v>
      </c>
      <c r="AF7150">
        <v>5.72280752895118E-2</v>
      </c>
      <c r="AG7150">
        <v>-0.27961649999999999</v>
      </c>
      <c r="AH7150">
        <v>0.504216218568736</v>
      </c>
      <c r="AI7150">
        <v>118.85559791578</v>
      </c>
      <c r="AJ7150">
        <v>83.524692105932303</v>
      </c>
      <c r="AK7150">
        <v>0.57939143481876498</v>
      </c>
      <c r="AL7150">
        <v>95.619847264185097</v>
      </c>
      <c r="AM7150">
        <v>90.951162114440706</v>
      </c>
      <c r="AN7150">
        <v>0.99999999207572898</v>
      </c>
    </row>
    <row r="7151" spans="1:40" x14ac:dyDescent="0.25">
      <c r="A7151" t="str">
        <f>"20190303154702205"</f>
        <v>20190303154702205</v>
      </c>
      <c r="B7151" t="str">
        <f>"1551599222198619"</f>
        <v>1551599222198619</v>
      </c>
      <c r="C7151" t="s">
        <v>40</v>
      </c>
      <c r="D7151">
        <v>4.6887470000000002</v>
      </c>
      <c r="E7151">
        <v>0.52976849999999998</v>
      </c>
      <c r="F7151" t="s">
        <v>42</v>
      </c>
      <c r="G7151">
        <v>-187.5137</v>
      </c>
      <c r="H7151">
        <v>0.84825189999999995</v>
      </c>
      <c r="I7151">
        <v>8.5862979999999993</v>
      </c>
      <c r="J7151">
        <v>-187.5882</v>
      </c>
      <c r="K7151">
        <v>1.120717</v>
      </c>
      <c r="L7151">
        <v>8.0200200000000006</v>
      </c>
      <c r="M7151">
        <v>1.0987439999999999E-2</v>
      </c>
      <c r="N7151">
        <v>-7.2051219999999996E-3</v>
      </c>
      <c r="O7151">
        <v>0.99991370000000002</v>
      </c>
      <c r="P7151">
        <v>-7.2135890000000003E-3</v>
      </c>
      <c r="Q7151">
        <v>-0.1043219</v>
      </c>
      <c r="R7151">
        <v>0.9945174</v>
      </c>
      <c r="S7151">
        <v>0.2345276</v>
      </c>
      <c r="T7151">
        <v>-0.81261609999999995</v>
      </c>
      <c r="U7151">
        <v>2.9320680000000001</v>
      </c>
      <c r="V7151">
        <v>-1.7875789999999999E-2</v>
      </c>
      <c r="W7151">
        <v>-9.7203620000000004E-2</v>
      </c>
      <c r="X7151">
        <v>0.99510399999999999</v>
      </c>
      <c r="Y7151">
        <v>6.5976590000000002E-2</v>
      </c>
      <c r="Z7151">
        <v>-0.25942460000000001</v>
      </c>
      <c r="AA7151">
        <v>0.96350709999999995</v>
      </c>
      <c r="AB7151">
        <v>42</v>
      </c>
      <c r="AC7151">
        <v>7.4500000000000399E-2</v>
      </c>
      <c r="AD7151">
        <v>-0.27246509999999902</v>
      </c>
      <c r="AE7151">
        <v>0.56627799999999795</v>
      </c>
      <c r="AF7151">
        <v>5.56168259799283E-2</v>
      </c>
      <c r="AG7151">
        <v>-0.27246509999999902</v>
      </c>
      <c r="AH7151">
        <v>0.46193997725587599</v>
      </c>
      <c r="AI7151">
        <v>120.353190499836</v>
      </c>
      <c r="AJ7151">
        <v>83.134726047719596</v>
      </c>
      <c r="AK7151">
        <v>0.53918364648536099</v>
      </c>
      <c r="AL7151">
        <v>95.578164903145804</v>
      </c>
      <c r="AM7151">
        <v>91.029135823587794</v>
      </c>
      <c r="AN7151">
        <v>1.0000000292126101</v>
      </c>
    </row>
    <row r="7152" spans="1:40" x14ac:dyDescent="0.25">
      <c r="A7152" t="str">
        <f>"20190303154702226"</f>
        <v>20190303154702226</v>
      </c>
      <c r="B7152" t="str">
        <f>"1551599222219115"</f>
        <v>1551599222219115</v>
      </c>
      <c r="C7152" t="s">
        <v>40</v>
      </c>
      <c r="D7152">
        <v>4.6854779999999998</v>
      </c>
      <c r="E7152">
        <v>0.51714729999999998</v>
      </c>
      <c r="F7152" t="s">
        <v>42</v>
      </c>
      <c r="G7152">
        <v>-187.51410000000001</v>
      </c>
      <c r="H7152">
        <v>0.86234759999999999</v>
      </c>
      <c r="I7152">
        <v>8.9649009999999993</v>
      </c>
      <c r="J7152">
        <v>-187.58430000000001</v>
      </c>
      <c r="K7152">
        <v>1.120654</v>
      </c>
      <c r="L7152">
        <v>8.4263309999999993</v>
      </c>
      <c r="M7152">
        <v>1.0147460000000001E-2</v>
      </c>
      <c r="N7152">
        <v>-7.2238989999999998E-3</v>
      </c>
      <c r="O7152">
        <v>0.99992239999999999</v>
      </c>
      <c r="P7152">
        <v>-8.6759409999999995E-3</v>
      </c>
      <c r="Q7152">
        <v>-0.10385270000000001</v>
      </c>
      <c r="R7152">
        <v>0.99455479999999996</v>
      </c>
      <c r="S7152">
        <v>0.2297363</v>
      </c>
      <c r="T7152">
        <v>-0.80228980000000005</v>
      </c>
      <c r="U7152">
        <v>2.9340519999999999</v>
      </c>
      <c r="V7152">
        <v>-1.8519150000000002E-2</v>
      </c>
      <c r="W7152">
        <v>-9.6714460000000002E-2</v>
      </c>
      <c r="X7152">
        <v>0.99513989999999997</v>
      </c>
      <c r="Y7152">
        <v>6.5269729999999998E-2</v>
      </c>
      <c r="Z7152">
        <v>-0.25611129999999999</v>
      </c>
      <c r="AA7152">
        <v>0.9644412</v>
      </c>
      <c r="AB7152">
        <v>42</v>
      </c>
      <c r="AC7152">
        <v>7.0199999999999804E-2</v>
      </c>
      <c r="AD7152">
        <v>-0.25830639999999899</v>
      </c>
      <c r="AE7152">
        <v>0.53856999999999999</v>
      </c>
      <c r="AF7152">
        <v>5.2790542573909402E-2</v>
      </c>
      <c r="AG7152">
        <v>-0.25830639999999899</v>
      </c>
      <c r="AH7152">
        <v>0.43978140227048301</v>
      </c>
      <c r="AI7152">
        <v>120.249256366561</v>
      </c>
      <c r="AJ7152">
        <v>83.155072223703598</v>
      </c>
      <c r="AK7152">
        <v>0.51275405356681503</v>
      </c>
      <c r="AL7152">
        <v>95.550005401382407</v>
      </c>
      <c r="AM7152">
        <v>91.0661281613298</v>
      </c>
      <c r="AN7152">
        <v>1.00000003313091</v>
      </c>
    </row>
    <row r="7153" spans="1:40" x14ac:dyDescent="0.25">
      <c r="A7153" t="str">
        <f>"20190303154702261"</f>
        <v>20190303154702261</v>
      </c>
      <c r="B7153" t="str">
        <f>"1551599222249371"</f>
        <v>1551599222249371</v>
      </c>
      <c r="C7153" t="s">
        <v>40</v>
      </c>
      <c r="D7153">
        <v>4.6513350000000004</v>
      </c>
      <c r="E7153">
        <v>0.51402899999999996</v>
      </c>
      <c r="F7153" t="s">
        <v>42</v>
      </c>
      <c r="G7153">
        <v>-187.54689999999999</v>
      </c>
      <c r="H7153">
        <v>0.97761149999999997</v>
      </c>
      <c r="I7153">
        <v>9.3910309999999999</v>
      </c>
      <c r="J7153">
        <v>-187.5788</v>
      </c>
      <c r="K7153">
        <v>1.120533</v>
      </c>
      <c r="L7153">
        <v>9.0619200000000006</v>
      </c>
      <c r="M7153">
        <v>9.0233029999999999E-3</v>
      </c>
      <c r="N7153">
        <v>-7.2534440000000004E-3</v>
      </c>
      <c r="O7153">
        <v>0.99993299999999996</v>
      </c>
      <c r="P7153">
        <v>-9.8752479999999997E-3</v>
      </c>
      <c r="Q7153">
        <v>-0.1045712</v>
      </c>
      <c r="R7153">
        <v>0.99446840000000003</v>
      </c>
      <c r="S7153">
        <v>0.1143494</v>
      </c>
      <c r="T7153">
        <v>-0.44058979999999998</v>
      </c>
      <c r="U7153">
        <v>2.9714049999999999</v>
      </c>
      <c r="V7153">
        <v>-1.862656E-2</v>
      </c>
      <c r="W7153">
        <v>-9.7398739999999998E-2</v>
      </c>
      <c r="X7153">
        <v>0.99507109999999999</v>
      </c>
      <c r="Y7153">
        <v>2.9044400000000001E-2</v>
      </c>
      <c r="Z7153">
        <v>-0.13940250000000001</v>
      </c>
      <c r="AA7153">
        <v>0.98980979999999996</v>
      </c>
      <c r="AB7153">
        <v>42</v>
      </c>
      <c r="AC7153">
        <v>3.1900000000007298E-2</v>
      </c>
      <c r="AD7153">
        <v>-0.14292150000000001</v>
      </c>
      <c r="AE7153">
        <v>0.32911100000000099</v>
      </c>
      <c r="AF7153">
        <v>2.4374955067682801E-2</v>
      </c>
      <c r="AG7153">
        <v>-0.14292150000000001</v>
      </c>
      <c r="AH7153">
        <v>0.27753355116608203</v>
      </c>
      <c r="AI7153">
        <v>117.157617307767</v>
      </c>
      <c r="AJ7153">
        <v>84.98075931548</v>
      </c>
      <c r="AK7153">
        <v>0.31312228540884501</v>
      </c>
      <c r="AL7153">
        <v>95.589398038797597</v>
      </c>
      <c r="AM7153">
        <v>91.072384326487494</v>
      </c>
      <c r="AN7153">
        <v>0.99999997867311496</v>
      </c>
    </row>
    <row r="7154" spans="1:40" x14ac:dyDescent="0.25">
      <c r="A7154" t="str">
        <f>"20190303154702284"</f>
        <v>20190303154702284</v>
      </c>
      <c r="B7154" t="str">
        <f>"1551599222278651"</f>
        <v>1551599222278651</v>
      </c>
      <c r="C7154" t="s">
        <v>40</v>
      </c>
      <c r="D7154">
        <v>4.705006</v>
      </c>
      <c r="E7154">
        <v>0.51317889999999999</v>
      </c>
      <c r="F7154" t="s">
        <v>41</v>
      </c>
      <c r="G7154">
        <v>-187.24289999999999</v>
      </c>
      <c r="H7154" s="1">
        <v>-1.3444659999999999E-6</v>
      </c>
      <c r="I7154">
        <v>21.443169999999999</v>
      </c>
      <c r="J7154">
        <v>-187.5753</v>
      </c>
      <c r="K7154">
        <v>1.12043</v>
      </c>
      <c r="L7154">
        <v>9.4927980000000005</v>
      </c>
      <c r="M7154">
        <v>8.4254329999999995E-3</v>
      </c>
      <c r="N7154">
        <v>-7.2770450000000002E-3</v>
      </c>
      <c r="O7154">
        <v>0.99993799999999999</v>
      </c>
      <c r="P7154">
        <v>-9.9689359999999994E-3</v>
      </c>
      <c r="Q7154">
        <v>-0.1048563</v>
      </c>
      <c r="R7154">
        <v>0.99443740000000003</v>
      </c>
      <c r="S7154">
        <v>8.1069950000000002E-2</v>
      </c>
      <c r="T7154">
        <v>-0.27051619999999998</v>
      </c>
      <c r="U7154">
        <v>2.9890439999999998</v>
      </c>
      <c r="V7154">
        <v>-1.8148290000000001E-2</v>
      </c>
      <c r="W7154">
        <v>-9.7655049999999993E-2</v>
      </c>
      <c r="X7154">
        <v>0.99505480000000002</v>
      </c>
      <c r="Y7154">
        <v>1.858901E-2</v>
      </c>
      <c r="Z7154">
        <v>-8.2856200000000005E-2</v>
      </c>
      <c r="AA7154">
        <v>0.9963881</v>
      </c>
      <c r="AB7154">
        <v>42</v>
      </c>
      <c r="AC7154">
        <v>0.33240000000000602</v>
      </c>
      <c r="AD7154">
        <v>-1.1204313444659999</v>
      </c>
      <c r="AE7154">
        <v>11.950372</v>
      </c>
      <c r="AF7154">
        <v>0.22968105074607001</v>
      </c>
      <c r="AG7154">
        <v>-1.1204313444659999</v>
      </c>
      <c r="AH7154">
        <v>11.848674658557499</v>
      </c>
      <c r="AI7154">
        <v>95.400917241118904</v>
      </c>
      <c r="AJ7154">
        <v>88.889487027999195</v>
      </c>
      <c r="AK7154">
        <v>11.903747768962299</v>
      </c>
      <c r="AL7154">
        <v>95.604153956153795</v>
      </c>
      <c r="AM7154">
        <v>91.044872251572002</v>
      </c>
      <c r="AN7154">
        <v>0.99999996211173203</v>
      </c>
    </row>
    <row r="7155" spans="1:40" x14ac:dyDescent="0.25">
      <c r="A7155" t="str">
        <f>"20190303154702307"</f>
        <v>20190303154702307</v>
      </c>
      <c r="B7155" t="str">
        <f>"1551599222299147"</f>
        <v>1551599222299147</v>
      </c>
      <c r="C7155" t="s">
        <v>40</v>
      </c>
      <c r="D7155">
        <v>4.698798</v>
      </c>
      <c r="E7155">
        <v>0.51290349999999996</v>
      </c>
      <c r="F7155" t="s">
        <v>42</v>
      </c>
      <c r="G7155">
        <v>-187.5497</v>
      </c>
      <c r="H7155">
        <v>1.0437050000000001</v>
      </c>
      <c r="I7155">
        <v>10.55064</v>
      </c>
      <c r="J7155">
        <v>-187.5719</v>
      </c>
      <c r="K7155">
        <v>1.120312</v>
      </c>
      <c r="L7155">
        <v>9.9335330000000006</v>
      </c>
      <c r="M7155">
        <v>7.9473770000000003E-3</v>
      </c>
      <c r="N7155">
        <v>-7.3082340000000003E-3</v>
      </c>
      <c r="O7155">
        <v>0.99994170000000004</v>
      </c>
      <c r="P7155">
        <v>-1.033424E-2</v>
      </c>
      <c r="Q7155">
        <v>-0.10507370000000001</v>
      </c>
      <c r="R7155">
        <v>0.99441080000000004</v>
      </c>
      <c r="S7155">
        <v>7.2296139999999995E-2</v>
      </c>
      <c r="T7155">
        <v>-0.217199</v>
      </c>
      <c r="U7155">
        <v>2.9945979999999999</v>
      </c>
      <c r="V7155">
        <v>-1.8063039999999999E-2</v>
      </c>
      <c r="W7155">
        <v>-9.7836619999999999E-2</v>
      </c>
      <c r="X7155">
        <v>0.9950386</v>
      </c>
      <c r="Y7155">
        <v>1.6133310000000001E-2</v>
      </c>
      <c r="Z7155">
        <v>-6.50313E-2</v>
      </c>
      <c r="AA7155">
        <v>0.9977528</v>
      </c>
      <c r="AB7155">
        <v>42</v>
      </c>
      <c r="AC7155">
        <v>2.2199999999997999E-2</v>
      </c>
      <c r="AD7155">
        <v>-7.6606999999999995E-2</v>
      </c>
      <c r="AE7155">
        <v>0.61710699999999896</v>
      </c>
      <c r="AF7155">
        <v>1.70326440011625E-2</v>
      </c>
      <c r="AG7155">
        <v>-7.6606999999999995E-2</v>
      </c>
      <c r="AH7155">
        <v>0.60790790648084803</v>
      </c>
      <c r="AI7155">
        <v>97.179619336699304</v>
      </c>
      <c r="AJ7155">
        <v>88.395080317623595</v>
      </c>
      <c r="AK7155">
        <v>0.612952499116039</v>
      </c>
      <c r="AL7155">
        <v>95.614606731923104</v>
      </c>
      <c r="AM7155">
        <v>91.039982064046498</v>
      </c>
      <c r="AN7155">
        <v>1.0000000465585099</v>
      </c>
    </row>
    <row r="7156" spans="1:40" x14ac:dyDescent="0.25">
      <c r="A7156" t="str">
        <f>"20190303154702330"</f>
        <v>20190303154702330</v>
      </c>
      <c r="B7156" t="str">
        <f>"1551599222318667"</f>
        <v>1551599222318667</v>
      </c>
      <c r="C7156" t="s">
        <v>40</v>
      </c>
      <c r="D7156">
        <v>4.6864780000000001</v>
      </c>
      <c r="E7156">
        <v>0.51282989999999995</v>
      </c>
      <c r="F7156" t="s">
        <v>41</v>
      </c>
      <c r="G7156">
        <v>-187.18889999999999</v>
      </c>
      <c r="H7156" s="1">
        <v>-3.5165090000000002E-6</v>
      </c>
      <c r="I7156">
        <v>26.66751</v>
      </c>
      <c r="J7156">
        <v>-187.56880000000001</v>
      </c>
      <c r="K7156">
        <v>1.1202179999999999</v>
      </c>
      <c r="L7156">
        <v>10.358180000000001</v>
      </c>
      <c r="M7156">
        <v>7.5904759999999996E-3</v>
      </c>
      <c r="N7156">
        <v>-7.3437969999999896E-3</v>
      </c>
      <c r="O7156">
        <v>0.99994419999999995</v>
      </c>
      <c r="P7156">
        <v>-1.056912E-2</v>
      </c>
      <c r="Q7156">
        <v>-0.1050837</v>
      </c>
      <c r="R7156">
        <v>0.99440720000000005</v>
      </c>
      <c r="S7156">
        <v>6.8572999999999995E-2</v>
      </c>
      <c r="T7156">
        <v>-0.20060249999999999</v>
      </c>
      <c r="U7156">
        <v>2.9963679999999999</v>
      </c>
      <c r="V7156">
        <v>-1.796677E-2</v>
      </c>
      <c r="W7156">
        <v>-9.7806610000000002E-2</v>
      </c>
      <c r="X7156">
        <v>0.99504320000000002</v>
      </c>
      <c r="Y7156">
        <v>1.5245389999999999E-2</v>
      </c>
      <c r="Z7156">
        <v>-5.9454989999999999E-2</v>
      </c>
      <c r="AA7156">
        <v>0.99811459999999996</v>
      </c>
      <c r="AB7156">
        <v>42</v>
      </c>
      <c r="AC7156">
        <v>0.37990000000002</v>
      </c>
      <c r="AD7156">
        <v>-1.1202215165089999</v>
      </c>
      <c r="AE7156">
        <v>16.3093299999999</v>
      </c>
      <c r="AF7156">
        <v>0.25488828687514897</v>
      </c>
      <c r="AG7156">
        <v>-1.1202215165089999</v>
      </c>
      <c r="AH7156">
        <v>16.235191678473001</v>
      </c>
      <c r="AI7156">
        <v>93.9466442018946</v>
      </c>
      <c r="AJ7156">
        <v>89.100545058141506</v>
      </c>
      <c r="AK7156">
        <v>16.275789170470201</v>
      </c>
      <c r="AL7156">
        <v>95.612879521567706</v>
      </c>
      <c r="AM7156">
        <v>91.034435731818505</v>
      </c>
      <c r="AN7156">
        <v>0.999999953825081</v>
      </c>
    </row>
    <row r="7157" spans="1:40" x14ac:dyDescent="0.25">
      <c r="A7157" t="str">
        <f>"20190303154702351"</f>
        <v>20190303154702351</v>
      </c>
      <c r="B7157" t="str">
        <f>"1551599222339163"</f>
        <v>1551599222339163</v>
      </c>
      <c r="C7157" t="s">
        <v>40</v>
      </c>
      <c r="D7157">
        <v>4.7578180000000003</v>
      </c>
      <c r="E7157">
        <v>0.51281540000000003</v>
      </c>
      <c r="F7157" t="s">
        <v>41</v>
      </c>
      <c r="G7157">
        <v>-187.16739999999999</v>
      </c>
      <c r="H7157" s="1">
        <v>-4.2334669999999999E-6</v>
      </c>
      <c r="I7157">
        <v>28.32987</v>
      </c>
      <c r="J7157">
        <v>-187.5658</v>
      </c>
      <c r="K7157">
        <v>1.120131</v>
      </c>
      <c r="L7157">
        <v>10.769590000000001</v>
      </c>
      <c r="M7157">
        <v>7.3266379999999999E-3</v>
      </c>
      <c r="N7157">
        <v>-7.3842069999999899E-3</v>
      </c>
      <c r="O7157">
        <v>0.99994590000000005</v>
      </c>
      <c r="P7157">
        <v>-1.089416E-2</v>
      </c>
      <c r="Q7157">
        <v>-0.10521229999999999</v>
      </c>
      <c r="R7157">
        <v>0.99439010000000005</v>
      </c>
      <c r="S7157">
        <v>6.6940310000000003E-2</v>
      </c>
      <c r="T7157">
        <v>-0.18686269999999999</v>
      </c>
      <c r="U7157">
        <v>2.997833</v>
      </c>
      <c r="V7157">
        <v>-1.8050130000000001E-2</v>
      </c>
      <c r="W7157">
        <v>-9.7891350000000002E-2</v>
      </c>
      <c r="X7157">
        <v>0.99503339999999996</v>
      </c>
      <c r="Y7157">
        <v>1.4960950000000001E-2</v>
      </c>
      <c r="Z7157">
        <v>-5.4827140000000003E-2</v>
      </c>
      <c r="AA7157">
        <v>0.99838380000000004</v>
      </c>
      <c r="AB7157">
        <v>42</v>
      </c>
      <c r="AC7157">
        <v>0.39840000000000902</v>
      </c>
      <c r="AD7157">
        <v>-1.1201352334670001</v>
      </c>
      <c r="AE7157">
        <v>17.560279999999999</v>
      </c>
      <c r="AF7157">
        <v>0.26863549315365198</v>
      </c>
      <c r="AG7157">
        <v>-1.1201352334670001</v>
      </c>
      <c r="AH7157">
        <v>17.491592571310601</v>
      </c>
      <c r="AI7157">
        <v>93.663701204584498</v>
      </c>
      <c r="AJ7157">
        <v>89.120121855039102</v>
      </c>
      <c r="AK7157">
        <v>17.529480273247199</v>
      </c>
      <c r="AL7157">
        <v>95.617757943416095</v>
      </c>
      <c r="AM7157">
        <v>91.039244361881998</v>
      </c>
      <c r="AN7157">
        <v>0.99999999535669903</v>
      </c>
    </row>
    <row r="7158" spans="1:40" x14ac:dyDescent="0.25">
      <c r="A7158" t="str">
        <f>"20190303154702374"</f>
        <v>20190303154702374</v>
      </c>
      <c r="B7158" t="str">
        <f>"1551599222369420"</f>
        <v>1551599222369420</v>
      </c>
      <c r="C7158" t="s">
        <v>40</v>
      </c>
      <c r="D7158">
        <v>4.6911209999999999</v>
      </c>
      <c r="E7158">
        <v>0.5126657</v>
      </c>
      <c r="F7158" t="s">
        <v>41</v>
      </c>
      <c r="G7158">
        <v>-187.1497</v>
      </c>
      <c r="H7158" s="1">
        <v>-8.0930120000000004E-7</v>
      </c>
      <c r="I7158">
        <v>29.797650000000001</v>
      </c>
      <c r="J7158">
        <v>-187.56290000000001</v>
      </c>
      <c r="K7158">
        <v>1.1200589999999999</v>
      </c>
      <c r="L7158">
        <v>11.185269999999999</v>
      </c>
      <c r="M7158">
        <v>7.1247890000000003E-3</v>
      </c>
      <c r="N7158">
        <v>-7.4356279999999997E-3</v>
      </c>
      <c r="O7158">
        <v>0.99994700000000003</v>
      </c>
      <c r="P7158">
        <v>-1.103634E-2</v>
      </c>
      <c r="Q7158">
        <v>-0.106168</v>
      </c>
      <c r="R7158">
        <v>0.99428700000000003</v>
      </c>
      <c r="S7158">
        <v>6.5582280000000007E-2</v>
      </c>
      <c r="T7158">
        <v>-0.17654110000000001</v>
      </c>
      <c r="U7158">
        <v>2.9989620000000001</v>
      </c>
      <c r="V7158">
        <v>-1.800819E-2</v>
      </c>
      <c r="W7158">
        <v>-9.8793160000000005E-2</v>
      </c>
      <c r="X7158">
        <v>0.99494499999999997</v>
      </c>
      <c r="Y7158">
        <v>1.4706810000000001E-2</v>
      </c>
      <c r="Z7158">
        <v>-5.1329420000000001E-2</v>
      </c>
      <c r="AA7158">
        <v>0.9985735</v>
      </c>
      <c r="AB7158">
        <v>42</v>
      </c>
      <c r="AC7158">
        <v>0.413200000000017</v>
      </c>
      <c r="AD7158">
        <v>-1.1200598093012</v>
      </c>
      <c r="AE7158">
        <v>18.612379999999899</v>
      </c>
      <c r="AF7158">
        <v>0.27956464737998699</v>
      </c>
      <c r="AG7158">
        <v>-1.1200598093012</v>
      </c>
      <c r="AH7158">
        <v>18.547715669847399</v>
      </c>
      <c r="AI7158">
        <v>93.455390423669797</v>
      </c>
      <c r="AJ7158">
        <v>89.136461770911097</v>
      </c>
      <c r="AK7158">
        <v>18.583606941010601</v>
      </c>
      <c r="AL7158">
        <v>95.669679688907493</v>
      </c>
      <c r="AM7158">
        <v>91.036922276588797</v>
      </c>
      <c r="AN7158">
        <v>0.99999996819742998</v>
      </c>
    </row>
    <row r="7159" spans="1:40" x14ac:dyDescent="0.25">
      <c r="A7159" t="str">
        <f>"20190303154702417"</f>
        <v>20190303154702417</v>
      </c>
      <c r="B7159" t="str">
        <f>"1551599222408459"</f>
        <v>1551599222408459</v>
      </c>
      <c r="C7159" t="s">
        <v>40</v>
      </c>
      <c r="D7159">
        <v>4.7276449999999999</v>
      </c>
      <c r="E7159">
        <v>0.51306370000000001</v>
      </c>
      <c r="F7159" t="s">
        <v>41</v>
      </c>
      <c r="G7159">
        <v>-187.13980000000001</v>
      </c>
      <c r="H7159" s="1">
        <v>-1.2438799999999999E-6</v>
      </c>
      <c r="I7159">
        <v>31.06691</v>
      </c>
      <c r="J7159">
        <v>-187.5573</v>
      </c>
      <c r="K7159">
        <v>1.1199749999999999</v>
      </c>
      <c r="L7159">
        <v>12.00827</v>
      </c>
      <c r="M7159">
        <v>6.8493670000000003E-3</v>
      </c>
      <c r="N7159">
        <v>-7.6075700000000001E-3</v>
      </c>
      <c r="O7159">
        <v>0.99994760000000005</v>
      </c>
      <c r="P7159">
        <v>-9.7178750000000008E-3</v>
      </c>
      <c r="Q7159">
        <v>-0.1064582</v>
      </c>
      <c r="R7159">
        <v>0.99426970000000003</v>
      </c>
      <c r="S7159">
        <v>6.3842769999999993E-2</v>
      </c>
      <c r="T7159">
        <v>-0.16900409999999999</v>
      </c>
      <c r="U7159">
        <v>2.999908</v>
      </c>
      <c r="V7159">
        <v>-1.644427E-2</v>
      </c>
      <c r="W7159">
        <v>-9.8905850000000003E-2</v>
      </c>
      <c r="X7159">
        <v>0.99496090000000004</v>
      </c>
      <c r="Y7159">
        <v>1.4399550000000001E-2</v>
      </c>
      <c r="Z7159">
        <v>-4.8639389999999998E-2</v>
      </c>
      <c r="AA7159">
        <v>0.99871259999999995</v>
      </c>
      <c r="AB7159">
        <v>42</v>
      </c>
      <c r="AC7159">
        <v>0.41749999999998899</v>
      </c>
      <c r="AD7159">
        <v>-1.1199762438799901</v>
      </c>
      <c r="AE7159">
        <v>19.05864</v>
      </c>
      <c r="AF7159">
        <v>0.28595977786057097</v>
      </c>
      <c r="AG7159">
        <v>-1.1199762438799901</v>
      </c>
      <c r="AH7159">
        <v>18.995487029063099</v>
      </c>
      <c r="AI7159">
        <v>93.373878427809203</v>
      </c>
      <c r="AJ7159">
        <v>89.137529307609299</v>
      </c>
      <c r="AK7159">
        <v>19.030623932302198</v>
      </c>
      <c r="AL7159">
        <v>95.676168022080802</v>
      </c>
      <c r="AM7159">
        <v>90.946872880056901</v>
      </c>
      <c r="AN7159">
        <v>0.99999998685443203</v>
      </c>
    </row>
    <row r="7160" spans="1:40" x14ac:dyDescent="0.25">
      <c r="A7160" t="str">
        <f>"20190303154702438"</f>
        <v>20190303154702438</v>
      </c>
      <c r="B7160" t="str">
        <f>"1551599222428955"</f>
        <v>1551599222428955</v>
      </c>
      <c r="C7160" t="s">
        <v>40</v>
      </c>
      <c r="D7160">
        <v>4.7479779999999998</v>
      </c>
      <c r="E7160">
        <v>0.51311969999999996</v>
      </c>
      <c r="F7160" t="s">
        <v>41</v>
      </c>
      <c r="G7160">
        <v>-187.06569999999999</v>
      </c>
      <c r="H7160" s="1">
        <v>-1.8890569999999999E-6</v>
      </c>
      <c r="I7160">
        <v>32.822929999999999</v>
      </c>
      <c r="J7160">
        <v>-187.55449999999999</v>
      </c>
      <c r="K7160">
        <v>1.1199490000000001</v>
      </c>
      <c r="L7160">
        <v>12.420260000000001</v>
      </c>
      <c r="M7160">
        <v>6.7468600000000004E-3</v>
      </c>
      <c r="N7160">
        <v>-7.7339289999999996E-3</v>
      </c>
      <c r="O7160">
        <v>0.99994729999999998</v>
      </c>
      <c r="P7160">
        <v>-8.8405389999999997E-3</v>
      </c>
      <c r="Q7160">
        <v>-0.10647710000000001</v>
      </c>
      <c r="R7160">
        <v>0.99427589999999999</v>
      </c>
      <c r="S7160">
        <v>7.0861820000000006E-2</v>
      </c>
      <c r="T7160">
        <v>-0.16145909999999999</v>
      </c>
      <c r="U7160">
        <v>3.000702</v>
      </c>
      <c r="V7160">
        <v>-1.5475640000000001E-2</v>
      </c>
      <c r="W7160">
        <v>-9.8796320000000007E-2</v>
      </c>
      <c r="X7160">
        <v>0.99498730000000002</v>
      </c>
      <c r="Y7160">
        <v>1.6833790000000001E-2</v>
      </c>
      <c r="Z7160">
        <v>-4.5992529999999997E-2</v>
      </c>
      <c r="AA7160">
        <v>0.99879989999999996</v>
      </c>
      <c r="AB7160">
        <v>42</v>
      </c>
      <c r="AC7160">
        <v>0.48879999999999701</v>
      </c>
      <c r="AD7160">
        <v>-1.119950889057</v>
      </c>
      <c r="AE7160">
        <v>20.402670000000001</v>
      </c>
      <c r="AF7160">
        <v>0.35007655878348998</v>
      </c>
      <c r="AG7160">
        <v>-1.119950889057</v>
      </c>
      <c r="AH7160">
        <v>20.344238037494399</v>
      </c>
      <c r="AI7160">
        <v>93.150488422989497</v>
      </c>
      <c r="AJ7160">
        <v>89.014171486692007</v>
      </c>
      <c r="AK7160">
        <v>20.378048604249202</v>
      </c>
      <c r="AL7160">
        <v>95.669861636395893</v>
      </c>
      <c r="AM7160">
        <v>90.891084103921003</v>
      </c>
      <c r="AN7160">
        <v>0.99999996772012001</v>
      </c>
    </row>
    <row r="7161" spans="1:40" x14ac:dyDescent="0.25">
      <c r="A7161" t="str">
        <f>"20190303154702460"</f>
        <v>20190303154702460</v>
      </c>
      <c r="B7161" t="str">
        <f>"1551599222449451"</f>
        <v>1551599222449451</v>
      </c>
      <c r="C7161" t="s">
        <v>40</v>
      </c>
      <c r="D7161">
        <v>4.741987</v>
      </c>
      <c r="E7161">
        <v>0.51314459999999995</v>
      </c>
      <c r="F7161" t="s">
        <v>41</v>
      </c>
      <c r="G7161">
        <v>-187.04</v>
      </c>
      <c r="H7161" s="1">
        <v>-2.0982749999999998E-6</v>
      </c>
      <c r="I7161">
        <v>33.299990000000001</v>
      </c>
      <c r="J7161">
        <v>-187.55179999999999</v>
      </c>
      <c r="K7161">
        <v>1.1199429999999999</v>
      </c>
      <c r="L7161">
        <v>12.839689999999999</v>
      </c>
      <c r="M7161">
        <v>6.6531380000000003E-3</v>
      </c>
      <c r="N7161">
        <v>-7.8996159999999999E-3</v>
      </c>
      <c r="O7161">
        <v>0.99994669999999997</v>
      </c>
      <c r="P7161">
        <v>-8.0721190000000009E-3</v>
      </c>
      <c r="Q7161">
        <v>-0.10679810000000001</v>
      </c>
      <c r="R7161">
        <v>0.99424800000000002</v>
      </c>
      <c r="S7161">
        <v>7.3944090000000004E-2</v>
      </c>
      <c r="T7161">
        <v>-0.16095219999999999</v>
      </c>
      <c r="U7161">
        <v>3.000702</v>
      </c>
      <c r="V7161">
        <v>-1.4623300000000001E-2</v>
      </c>
      <c r="W7161">
        <v>-9.8950679999999999E-2</v>
      </c>
      <c r="X7161">
        <v>0.99498489999999995</v>
      </c>
      <c r="Y7161">
        <v>1.7952860000000001E-2</v>
      </c>
      <c r="Z7161">
        <v>-4.5657700000000002E-2</v>
      </c>
      <c r="AA7161">
        <v>0.99879580000000001</v>
      </c>
      <c r="AB7161">
        <v>43</v>
      </c>
      <c r="AC7161">
        <v>0.51179999999999304</v>
      </c>
      <c r="AD7161">
        <v>-1.1199450982750001</v>
      </c>
      <c r="AE7161">
        <v>20.4603</v>
      </c>
      <c r="AF7161">
        <v>0.37453774495727998</v>
      </c>
      <c r="AG7161">
        <v>-1.1199450982750001</v>
      </c>
      <c r="AH7161">
        <v>20.4021617740861</v>
      </c>
      <c r="AI7161">
        <v>93.141481507682002</v>
      </c>
      <c r="AJ7161">
        <v>88.948296650112695</v>
      </c>
      <c r="AK7161">
        <v>20.4363098577392</v>
      </c>
      <c r="AL7161">
        <v>95.678749095881699</v>
      </c>
      <c r="AM7161">
        <v>90.842015848045094</v>
      </c>
      <c r="AN7161">
        <v>1.0000000146016801</v>
      </c>
    </row>
    <row r="7162" spans="1:40" x14ac:dyDescent="0.25">
      <c r="A7162" t="str">
        <f>"20190303154702484"</f>
        <v>20190303154702484</v>
      </c>
      <c r="B7162" t="str">
        <f>"1551599222478732"</f>
        <v>1551599222478732</v>
      </c>
      <c r="C7162" t="s">
        <v>40</v>
      </c>
      <c r="D7162">
        <v>4.863143</v>
      </c>
      <c r="E7162">
        <v>0.51303690000000002</v>
      </c>
      <c r="F7162" t="s">
        <v>41</v>
      </c>
      <c r="G7162">
        <v>-187.02080000000001</v>
      </c>
      <c r="H7162" s="1">
        <v>-2.2884049999999999E-6</v>
      </c>
      <c r="I7162">
        <v>33.735259999999997</v>
      </c>
      <c r="J7162">
        <v>-187.54900000000001</v>
      </c>
      <c r="K7162">
        <v>1.1199539999999999</v>
      </c>
      <c r="L7162">
        <v>13.280609999999999</v>
      </c>
      <c r="M7162">
        <v>6.5592799999999998E-3</v>
      </c>
      <c r="N7162">
        <v>-8.1410670000000001E-3</v>
      </c>
      <c r="O7162">
        <v>0.99994530000000004</v>
      </c>
      <c r="P7162">
        <v>-7.6066559999999998E-3</v>
      </c>
      <c r="Q7162">
        <v>-0.1067548</v>
      </c>
      <c r="R7162">
        <v>0.99425629999999998</v>
      </c>
      <c r="S7162">
        <v>7.6248170000000004E-2</v>
      </c>
      <c r="T7162">
        <v>-0.16082939999999901</v>
      </c>
      <c r="U7162">
        <v>3.000702</v>
      </c>
      <c r="V7162">
        <v>-1.407286E-2</v>
      </c>
      <c r="W7162">
        <v>-9.866548E-2</v>
      </c>
      <c r="X7162">
        <v>0.99502120000000005</v>
      </c>
      <c r="Y7162">
        <v>1.8813090000000001E-2</v>
      </c>
      <c r="Z7162">
        <v>-4.5374890000000001E-2</v>
      </c>
      <c r="AA7162">
        <v>0.99879289999999998</v>
      </c>
      <c r="AB7162">
        <v>43</v>
      </c>
      <c r="AC7162">
        <v>0.528199999999998</v>
      </c>
      <c r="AD7162">
        <v>-1.1199562884050001</v>
      </c>
      <c r="AE7162">
        <v>20.454649999999901</v>
      </c>
      <c r="AF7162">
        <v>0.39283949585788902</v>
      </c>
      <c r="AG7162">
        <v>-1.1199562884050001</v>
      </c>
      <c r="AH7162">
        <v>20.3965684191243</v>
      </c>
      <c r="AI7162">
        <v>93.142319399185695</v>
      </c>
      <c r="AJ7162">
        <v>88.896615245699707</v>
      </c>
      <c r="AK7162">
        <v>20.4310701685806</v>
      </c>
      <c r="AL7162">
        <v>95.662327751456701</v>
      </c>
      <c r="AM7162">
        <v>90.810296028959897</v>
      </c>
      <c r="AN7162">
        <v>1.0000000553908199</v>
      </c>
    </row>
    <row r="7163" spans="1:40" x14ac:dyDescent="0.25">
      <c r="A7163" t="str">
        <f>"20190303154702508"</f>
        <v>20190303154702508</v>
      </c>
      <c r="B7163" t="str">
        <f>"1551599222499227"</f>
        <v>1551599222499227</v>
      </c>
      <c r="C7163" t="s">
        <v>40</v>
      </c>
      <c r="D7163">
        <v>4.7930449999999896</v>
      </c>
      <c r="E7163">
        <v>0.51302150000000002</v>
      </c>
      <c r="F7163" t="s">
        <v>41</v>
      </c>
      <c r="G7163">
        <v>-187.00989999999999</v>
      </c>
      <c r="H7163" s="1">
        <v>-2.5502210000000001E-6</v>
      </c>
      <c r="I7163">
        <v>34.341030000000003</v>
      </c>
      <c r="J7163">
        <v>-187.54599999999999</v>
      </c>
      <c r="K7163">
        <v>1.119988</v>
      </c>
      <c r="L7163">
        <v>13.7515</v>
      </c>
      <c r="M7163">
        <v>6.4607769999999896E-3</v>
      </c>
      <c r="N7163">
        <v>-8.4816370000000002E-3</v>
      </c>
      <c r="O7163">
        <v>0.99994309999999997</v>
      </c>
      <c r="P7163">
        <v>-8.1573159999999995E-3</v>
      </c>
      <c r="Q7163">
        <v>-0.1068828</v>
      </c>
      <c r="R7163">
        <v>0.99423810000000001</v>
      </c>
      <c r="S7163">
        <v>7.6812740000000004E-2</v>
      </c>
      <c r="T7163">
        <v>-0.159577</v>
      </c>
      <c r="U7163">
        <v>3.0007929999999998</v>
      </c>
      <c r="V7163">
        <v>-1.4532929999999999E-2</v>
      </c>
      <c r="W7163">
        <v>-9.845392E-2</v>
      </c>
      <c r="X7163">
        <v>0.99503549999999996</v>
      </c>
      <c r="Y7163">
        <v>1.9099189999999999E-2</v>
      </c>
      <c r="Z7163">
        <v>-4.4617190000000001E-2</v>
      </c>
      <c r="AA7163">
        <v>0.99882159999999998</v>
      </c>
      <c r="AB7163">
        <v>43</v>
      </c>
      <c r="AC7163">
        <v>0.53610000000000402</v>
      </c>
      <c r="AD7163">
        <v>-1.1199905502209999</v>
      </c>
      <c r="AE7163">
        <v>20.58953</v>
      </c>
      <c r="AF7163">
        <v>0.40187134881269598</v>
      </c>
      <c r="AG7163">
        <v>-1.1199905502209999</v>
      </c>
      <c r="AH7163">
        <v>20.531852673816399</v>
      </c>
      <c r="AI7163">
        <v>93.121732142313206</v>
      </c>
      <c r="AJ7163">
        <v>88.878688989401795</v>
      </c>
      <c r="AK7163">
        <v>20.566303839846501</v>
      </c>
      <c r="AL7163">
        <v>95.650147188752896</v>
      </c>
      <c r="AM7163">
        <v>90.836770499218503</v>
      </c>
      <c r="AN7163">
        <v>1.0000000133389999</v>
      </c>
    </row>
    <row r="7164" spans="1:40" x14ac:dyDescent="0.25">
      <c r="A7164" t="str">
        <f>"20190303154702534"</f>
        <v>20190303154702534</v>
      </c>
      <c r="B7164" t="str">
        <f>"1551599222528508"</f>
        <v>1551599222528508</v>
      </c>
      <c r="C7164" t="s">
        <v>40</v>
      </c>
      <c r="D7164">
        <v>4.8889060000000004</v>
      </c>
      <c r="E7164">
        <v>0.51251819999999904</v>
      </c>
      <c r="F7164" t="s">
        <v>41</v>
      </c>
      <c r="G7164">
        <v>-187.01740000000001</v>
      </c>
      <c r="H7164" s="1">
        <v>-2.7883789999999999E-6</v>
      </c>
      <c r="I7164">
        <v>34.899290000000001</v>
      </c>
      <c r="J7164">
        <v>-187.54300000000001</v>
      </c>
      <c r="K7164">
        <v>1.120036</v>
      </c>
      <c r="L7164">
        <v>14.232390000000001</v>
      </c>
      <c r="M7164">
        <v>6.3593859999999999E-3</v>
      </c>
      <c r="N7164">
        <v>-8.8927250000000006E-3</v>
      </c>
      <c r="O7164">
        <v>0.99994019999999995</v>
      </c>
      <c r="P7164">
        <v>-1.0111510000000001E-2</v>
      </c>
      <c r="Q7164">
        <v>-0.1067504</v>
      </c>
      <c r="R7164">
        <v>0.99423439999999996</v>
      </c>
      <c r="S7164">
        <v>7.5012209999999996E-2</v>
      </c>
      <c r="T7164">
        <v>-0.15892899999999999</v>
      </c>
      <c r="U7164">
        <v>3.0009160000000001</v>
      </c>
      <c r="V7164">
        <v>-1.639227E-2</v>
      </c>
      <c r="W7164">
        <v>-9.7912509999999994E-2</v>
      </c>
      <c r="X7164">
        <v>0.99505999999999994</v>
      </c>
      <c r="Y7164">
        <v>1.860117E-2</v>
      </c>
      <c r="Z7164">
        <v>-4.3989979999999998E-2</v>
      </c>
      <c r="AA7164">
        <v>0.99885880000000005</v>
      </c>
      <c r="AB7164">
        <v>43</v>
      </c>
      <c r="AC7164">
        <v>0.52559999999999696</v>
      </c>
      <c r="AD7164">
        <v>-1.1200387883789999</v>
      </c>
      <c r="AE7164">
        <v>20.666899999999998</v>
      </c>
      <c r="AF7164">
        <v>0.39300184361546098</v>
      </c>
      <c r="AG7164">
        <v>-1.1200387883789999</v>
      </c>
      <c r="AH7164">
        <v>20.609332597274701</v>
      </c>
      <c r="AI7164">
        <v>93.110183101244402</v>
      </c>
      <c r="AJ7164">
        <v>88.907552288201401</v>
      </c>
      <c r="AK7164">
        <v>20.643486319942401</v>
      </c>
      <c r="AL7164">
        <v>95.618976233557802</v>
      </c>
      <c r="AM7164">
        <v>90.943785239451202</v>
      </c>
      <c r="AN7164">
        <v>0.99999998486512598</v>
      </c>
    </row>
    <row r="7165" spans="1:40" x14ac:dyDescent="0.25">
      <c r="A7165" t="str">
        <f>"20190303154702557"</f>
        <v>20190303154702557</v>
      </c>
      <c r="B7165" t="str">
        <f>"1551599222549003"</f>
        <v>1551599222549003</v>
      </c>
      <c r="C7165" t="s">
        <v>40</v>
      </c>
      <c r="D7165">
        <v>4.9004329999999996</v>
      </c>
      <c r="E7165">
        <v>0.51210100000000003</v>
      </c>
      <c r="F7165" t="s">
        <v>41</v>
      </c>
      <c r="G7165">
        <v>-187.08269999999999</v>
      </c>
      <c r="H7165" s="1">
        <v>-3.0087640000000002E-6</v>
      </c>
      <c r="I7165">
        <v>35.440019999999997</v>
      </c>
      <c r="J7165">
        <v>-187.5402</v>
      </c>
      <c r="K7165">
        <v>1.1201110000000001</v>
      </c>
      <c r="L7165">
        <v>14.698729999999999</v>
      </c>
      <c r="M7165">
        <v>6.2721110000000004E-3</v>
      </c>
      <c r="N7165">
        <v>-9.3985809999999996E-3</v>
      </c>
      <c r="O7165">
        <v>0.99993620000000005</v>
      </c>
      <c r="P7165">
        <v>-1.1659559999999999E-2</v>
      </c>
      <c r="Q7165">
        <v>-0.10709390000000001</v>
      </c>
      <c r="R7165">
        <v>0.99418059999999997</v>
      </c>
      <c r="S7165">
        <v>6.513977E-2</v>
      </c>
      <c r="T7165">
        <v>-0.15849389999999999</v>
      </c>
      <c r="U7165">
        <v>3.0010379999999999</v>
      </c>
      <c r="V7165">
        <v>-1.785774E-2</v>
      </c>
      <c r="W7165">
        <v>-9.7753060000000003E-2</v>
      </c>
      <c r="X7165">
        <v>0.99505049999999995</v>
      </c>
      <c r="Y7165">
        <v>1.54044E-2</v>
      </c>
      <c r="Z7165">
        <v>-4.3341449999999997E-2</v>
      </c>
      <c r="AA7165">
        <v>0.99894150000000004</v>
      </c>
      <c r="AB7165">
        <v>43</v>
      </c>
      <c r="AC7165">
        <v>0.45750000000001001</v>
      </c>
      <c r="AD7165">
        <v>-1.120114008764</v>
      </c>
      <c r="AE7165">
        <v>20.741289999999999</v>
      </c>
      <c r="AF7165">
        <v>0.326442000692023</v>
      </c>
      <c r="AG7165">
        <v>-1.120114008764</v>
      </c>
      <c r="AH7165">
        <v>20.683458886251302</v>
      </c>
      <c r="AI7165">
        <v>93.099443273067706</v>
      </c>
      <c r="AJ7165">
        <v>89.0957897214208</v>
      </c>
      <c r="AK7165">
        <v>20.716338751615702</v>
      </c>
      <c r="AL7165">
        <v>95.609796138366804</v>
      </c>
      <c r="AM7165">
        <v>91.028152146300997</v>
      </c>
      <c r="AN7165">
        <v>1.00000002858376</v>
      </c>
    </row>
    <row r="7166" spans="1:40" x14ac:dyDescent="0.25">
      <c r="A7166" t="str">
        <f>"20190303154702581"</f>
        <v>20190303154702581</v>
      </c>
      <c r="B7166" t="str">
        <f>"1551599222568524"</f>
        <v>1551599222568524</v>
      </c>
      <c r="C7166" t="s">
        <v>40</v>
      </c>
      <c r="D7166">
        <v>4.928064</v>
      </c>
      <c r="E7166">
        <v>0.51176599999999905</v>
      </c>
      <c r="F7166" t="s">
        <v>41</v>
      </c>
      <c r="G7166">
        <v>-187.14060000000001</v>
      </c>
      <c r="H7166" s="1">
        <v>-3.0668809999999999E-6</v>
      </c>
      <c r="I7166">
        <v>35.599429999999998</v>
      </c>
      <c r="J7166">
        <v>-187.53749999999999</v>
      </c>
      <c r="K7166">
        <v>1.1201920000000001</v>
      </c>
      <c r="L7166">
        <v>15.138640000000001</v>
      </c>
      <c r="M7166">
        <v>6.1921519999999898E-3</v>
      </c>
      <c r="N7166">
        <v>-9.9741239999999991E-3</v>
      </c>
      <c r="O7166">
        <v>0.99993109999999996</v>
      </c>
      <c r="P7166">
        <v>-1.2714420000000001E-2</v>
      </c>
      <c r="Q7166">
        <v>-0.10808420000000001</v>
      </c>
      <c r="R7166">
        <v>0.99406050000000001</v>
      </c>
      <c r="S7166">
        <v>5.7373050000000002E-2</v>
      </c>
      <c r="T7166">
        <v>-0.16082560000000001</v>
      </c>
      <c r="U7166">
        <v>3.0009160000000001</v>
      </c>
      <c r="V7166">
        <v>-1.8835790000000002E-2</v>
      </c>
      <c r="W7166">
        <v>-9.8171499999999995E-2</v>
      </c>
      <c r="X7166">
        <v>0.99499119999999996</v>
      </c>
      <c r="Y7166">
        <v>1.29011E-2</v>
      </c>
      <c r="Z7166">
        <v>-4.3544850000000003E-2</v>
      </c>
      <c r="AA7166">
        <v>0.99896819999999997</v>
      </c>
      <c r="AB7166">
        <v>43</v>
      </c>
      <c r="AC7166">
        <v>0.39689999999998798</v>
      </c>
      <c r="AD7166">
        <v>-1.1201950668809999</v>
      </c>
      <c r="AE7166">
        <v>20.460789999999999</v>
      </c>
      <c r="AF7166">
        <v>0.26938262802127999</v>
      </c>
      <c r="AG7166">
        <v>-1.1201950668809999</v>
      </c>
      <c r="AH7166">
        <v>20.401726657535701</v>
      </c>
      <c r="AI7166">
        <v>93.142503150705807</v>
      </c>
      <c r="AJ7166">
        <v>89.243515460920506</v>
      </c>
      <c r="AK7166">
        <v>20.434232420057899</v>
      </c>
      <c r="AL7166">
        <v>95.6338872490536</v>
      </c>
      <c r="AM7166">
        <v>91.084514496462802</v>
      </c>
      <c r="AN7166">
        <v>0.999999959237306</v>
      </c>
    </row>
    <row r="7167" spans="1:40" x14ac:dyDescent="0.25">
      <c r="A7167" t="str">
        <f>"20190303154702618"</f>
        <v>20190303154702618</v>
      </c>
      <c r="B7167" t="str">
        <f>"1551599222609516"</f>
        <v>1551599222609516</v>
      </c>
      <c r="C7167" t="s">
        <v>40</v>
      </c>
      <c r="D7167">
        <v>4.99268</v>
      </c>
      <c r="E7167">
        <v>0.51136059999999905</v>
      </c>
      <c r="F7167" t="s">
        <v>41</v>
      </c>
      <c r="G7167">
        <v>-187.18559999999999</v>
      </c>
      <c r="H7167" s="1">
        <v>-3.02611E-6</v>
      </c>
      <c r="I7167">
        <v>35.523000000000003</v>
      </c>
      <c r="J7167">
        <v>-187.5334</v>
      </c>
      <c r="K7167">
        <v>1.1202989999999999</v>
      </c>
      <c r="L7167">
        <v>15.833399999999999</v>
      </c>
      <c r="M7167">
        <v>6.0417259999999999E-3</v>
      </c>
      <c r="N7167">
        <v>-1.0910660000000001E-2</v>
      </c>
      <c r="O7167">
        <v>0.99992219999999998</v>
      </c>
      <c r="P7167">
        <v>-1.349352E-2</v>
      </c>
      <c r="Q7167">
        <v>-0.109698</v>
      </c>
      <c r="R7167">
        <v>0.99387340000000002</v>
      </c>
      <c r="S7167">
        <v>5.1803589999999997E-2</v>
      </c>
      <c r="T7167">
        <v>-0.16489779999999901</v>
      </c>
      <c r="U7167">
        <v>3.0006710000000001</v>
      </c>
      <c r="V7167">
        <v>-1.9469279999999999E-2</v>
      </c>
      <c r="W7167">
        <v>-9.8854449999999996E-2</v>
      </c>
      <c r="X7167">
        <v>0.9949114</v>
      </c>
      <c r="Y7167">
        <v>1.1199209999999999E-2</v>
      </c>
      <c r="Z7167">
        <v>-4.3966640000000001E-2</v>
      </c>
      <c r="AA7167">
        <v>0.99897020000000003</v>
      </c>
      <c r="AB7167">
        <v>43</v>
      </c>
      <c r="AC7167">
        <v>0.34780000000000599</v>
      </c>
      <c r="AD7167">
        <v>-1.1203020261099901</v>
      </c>
      <c r="AE7167">
        <v>19.689599999999999</v>
      </c>
      <c r="AF7167">
        <v>0.22808921316693501</v>
      </c>
      <c r="AG7167">
        <v>-1.1203020261099901</v>
      </c>
      <c r="AH7167">
        <v>19.627818738595199</v>
      </c>
      <c r="AI7167">
        <v>93.266521376406601</v>
      </c>
      <c r="AJ7167">
        <v>89.3342122614023</v>
      </c>
      <c r="AK7167">
        <v>19.6610877052623</v>
      </c>
      <c r="AL7167">
        <v>95.673208585791201</v>
      </c>
      <c r="AM7167">
        <v>91.121069892218898</v>
      </c>
      <c r="AN7167">
        <v>0.99999997449924005</v>
      </c>
    </row>
    <row r="7168" spans="1:40" x14ac:dyDescent="0.25">
      <c r="A7168" t="str">
        <f>"20190303154702640"</f>
        <v>20190303154702640</v>
      </c>
      <c r="B7168" t="str">
        <f>"1551599222629035"</f>
        <v>1551599222629035</v>
      </c>
      <c r="C7168" t="s">
        <v>40</v>
      </c>
      <c r="D7168">
        <v>5.0420339999999904</v>
      </c>
      <c r="E7168">
        <v>0.51119409999999998</v>
      </c>
      <c r="F7168" t="s">
        <v>41</v>
      </c>
      <c r="G7168">
        <v>-187.23060000000001</v>
      </c>
      <c r="H7168" s="1">
        <v>-2.96385E-6</v>
      </c>
      <c r="I7168">
        <v>35.396459999999998</v>
      </c>
      <c r="J7168">
        <v>-187.53100000000001</v>
      </c>
      <c r="K7168">
        <v>1.1203479999999999</v>
      </c>
      <c r="L7168">
        <v>16.257390000000001</v>
      </c>
      <c r="M7168">
        <v>5.9359549999999997E-3</v>
      </c>
      <c r="N7168">
        <v>-1.14352E-2</v>
      </c>
      <c r="O7168">
        <v>0.99991699999999994</v>
      </c>
      <c r="P7168">
        <v>-1.278664E-2</v>
      </c>
      <c r="Q7168">
        <v>-0.110758</v>
      </c>
      <c r="R7168">
        <v>0.99376520000000002</v>
      </c>
      <c r="S7168">
        <v>4.6447750000000003E-2</v>
      </c>
      <c r="T7168">
        <v>-0.1718073</v>
      </c>
      <c r="U7168">
        <v>3.0001530000000001</v>
      </c>
      <c r="V7168">
        <v>-1.865845E-2</v>
      </c>
      <c r="W7168">
        <v>-9.9393049999999997E-2</v>
      </c>
      <c r="X7168">
        <v>0.99487329999999996</v>
      </c>
      <c r="Y7168">
        <v>9.5240859999999993E-3</v>
      </c>
      <c r="Z7168">
        <v>-4.5746589999999997E-2</v>
      </c>
      <c r="AA7168">
        <v>0.99890769999999995</v>
      </c>
      <c r="AB7168">
        <v>42</v>
      </c>
      <c r="AC7168">
        <v>0.30039999999996703</v>
      </c>
      <c r="AD7168">
        <v>-1.12035096385</v>
      </c>
      <c r="AE7168">
        <v>19.13907</v>
      </c>
      <c r="AF7168">
        <v>0.18614094226540301</v>
      </c>
      <c r="AG7168">
        <v>-1.12035096385</v>
      </c>
      <c r="AH7168">
        <v>19.075168699556102</v>
      </c>
      <c r="AI7168">
        <v>93.3611590893791</v>
      </c>
      <c r="AJ7168">
        <v>89.440909171025496</v>
      </c>
      <c r="AK7168">
        <v>19.108948051871199</v>
      </c>
      <c r="AL7168">
        <v>95.704220681921697</v>
      </c>
      <c r="AM7168">
        <v>91.074433420703798</v>
      </c>
      <c r="AN7168">
        <v>0.99999999959879704</v>
      </c>
    </row>
    <row r="7169" spans="1:40" x14ac:dyDescent="0.25">
      <c r="A7169" t="str">
        <f>"20190303154702666"</f>
        <v>20190303154702666</v>
      </c>
      <c r="B7169" t="str">
        <f>"1551599222659291"</f>
        <v>1551599222659291</v>
      </c>
      <c r="C7169" t="s">
        <v>40</v>
      </c>
      <c r="D7169">
        <v>5.0068239999999999</v>
      </c>
      <c r="E7169">
        <v>0.51099659999999902</v>
      </c>
      <c r="F7169" t="s">
        <v>41</v>
      </c>
      <c r="G7169">
        <v>-187.2302</v>
      </c>
      <c r="H7169" s="1">
        <v>-2.9209109999999999E-6</v>
      </c>
      <c r="I7169">
        <v>35.296209999999903</v>
      </c>
      <c r="J7169">
        <v>-187.5283</v>
      </c>
      <c r="K7169">
        <v>1.120395</v>
      </c>
      <c r="L7169">
        <v>16.732569999999999</v>
      </c>
      <c r="M7169">
        <v>5.7968999999999998E-3</v>
      </c>
      <c r="N7169">
        <v>-1.196155E-2</v>
      </c>
      <c r="O7169">
        <v>0.99991169999999996</v>
      </c>
      <c r="P7169">
        <v>-1.139795E-2</v>
      </c>
      <c r="Q7169">
        <v>-0.1122037</v>
      </c>
      <c r="R7169">
        <v>0.9936199</v>
      </c>
      <c r="S7169">
        <v>4.73938E-2</v>
      </c>
      <c r="T7169">
        <v>-0.1765225</v>
      </c>
      <c r="U7169">
        <v>2.9997560000000001</v>
      </c>
      <c r="V7169">
        <v>-1.7129289999999998E-2</v>
      </c>
      <c r="W7169">
        <v>-0.1003163</v>
      </c>
      <c r="X7169">
        <v>0.99480809999999997</v>
      </c>
      <c r="Y7169">
        <v>9.9788570000000007E-3</v>
      </c>
      <c r="Z7169">
        <v>-4.6792859999999999E-2</v>
      </c>
      <c r="AA7169">
        <v>0.99885480000000004</v>
      </c>
      <c r="AB7169">
        <v>42</v>
      </c>
      <c r="AC7169">
        <v>0.29810000000000503</v>
      </c>
      <c r="AD7169">
        <v>-1.120397920911</v>
      </c>
      <c r="AE7169">
        <v>18.5636399999999</v>
      </c>
      <c r="AF7169">
        <v>0.18978458943351001</v>
      </c>
      <c r="AG7169">
        <v>-1.120397920911</v>
      </c>
      <c r="AH7169">
        <v>18.4976928407606</v>
      </c>
      <c r="AI7169">
        <v>93.465966085991397</v>
      </c>
      <c r="AJ7169">
        <v>89.412171314501194</v>
      </c>
      <c r="AK7169">
        <v>18.532564585687901</v>
      </c>
      <c r="AL7169">
        <v>95.757384928868902</v>
      </c>
      <c r="AM7169">
        <v>90.986460652266899</v>
      </c>
      <c r="AN7169">
        <v>0.99999996422360105</v>
      </c>
    </row>
    <row r="7170" spans="1:40" x14ac:dyDescent="0.25">
      <c r="A7170" t="str">
        <f>"20190303154702689"</f>
        <v>20190303154702689</v>
      </c>
      <c r="B7170" t="str">
        <f>"1551599222678812"</f>
        <v>1551599222678812</v>
      </c>
      <c r="C7170" t="s">
        <v>40</v>
      </c>
      <c r="D7170">
        <v>5.0384659999999997</v>
      </c>
      <c r="E7170">
        <v>0.51088270000000002</v>
      </c>
      <c r="F7170" t="s">
        <v>41</v>
      </c>
      <c r="G7170">
        <v>-187.22049999999999</v>
      </c>
      <c r="H7170" s="1">
        <v>-2.8543060000000001E-6</v>
      </c>
      <c r="I7170">
        <v>35.136940000000003</v>
      </c>
      <c r="J7170">
        <v>-187.5258</v>
      </c>
      <c r="K7170">
        <v>1.1204430000000001</v>
      </c>
      <c r="L7170">
        <v>17.179259999999999</v>
      </c>
      <c r="M7170">
        <v>5.6409479999999998E-3</v>
      </c>
      <c r="N7170">
        <v>-1.240252E-2</v>
      </c>
      <c r="O7170">
        <v>0.9999072</v>
      </c>
      <c r="P7170">
        <v>-1.002861E-2</v>
      </c>
      <c r="Q7170">
        <v>-0.1120801</v>
      </c>
      <c r="R7170">
        <v>0.99364859999999999</v>
      </c>
      <c r="S7170">
        <v>5.0155640000000001E-2</v>
      </c>
      <c r="T7170">
        <v>-0.18258189999999999</v>
      </c>
      <c r="U7170">
        <v>2.9992070000000002</v>
      </c>
      <c r="V7170">
        <v>-1.560129E-2</v>
      </c>
      <c r="W7170">
        <v>-9.9753800000000004E-2</v>
      </c>
      <c r="X7170">
        <v>0.99488989999999999</v>
      </c>
      <c r="Y7170">
        <v>1.105517E-2</v>
      </c>
      <c r="Z7170">
        <v>-4.8373020000000003E-2</v>
      </c>
      <c r="AA7170">
        <v>0.99876819999999999</v>
      </c>
      <c r="AB7170">
        <v>42</v>
      </c>
      <c r="AC7170">
        <v>0.305300000000016</v>
      </c>
      <c r="AD7170">
        <v>-1.1204458543060001</v>
      </c>
      <c r="AE7170">
        <v>17.95768</v>
      </c>
      <c r="AF7170">
        <v>0.20319819715156201</v>
      </c>
      <c r="AG7170">
        <v>-1.1204458543060001</v>
      </c>
      <c r="AH7170">
        <v>17.889493383305101</v>
      </c>
      <c r="AI7170">
        <v>93.583608988068406</v>
      </c>
      <c r="AJ7170">
        <v>89.349232635857305</v>
      </c>
      <c r="AK7170">
        <v>17.9256983666208</v>
      </c>
      <c r="AL7170">
        <v>95.724992983135493</v>
      </c>
      <c r="AM7170">
        <v>90.898405754891002</v>
      </c>
      <c r="AN7170">
        <v>1.00000006699305</v>
      </c>
    </row>
    <row r="7171" spans="1:40" x14ac:dyDescent="0.25">
      <c r="A7171" t="str">
        <f>"20190303154702714"</f>
        <v>20190303154702714</v>
      </c>
      <c r="B7171" t="str">
        <f>"1551599222709067"</f>
        <v>1551599222709067</v>
      </c>
      <c r="C7171" t="s">
        <v>40</v>
      </c>
      <c r="D7171">
        <v>5.0651060000000001</v>
      </c>
      <c r="E7171">
        <v>0.51074249999999999</v>
      </c>
      <c r="F7171" t="s">
        <v>41</v>
      </c>
      <c r="G7171">
        <v>-187.19970000000001</v>
      </c>
      <c r="H7171" s="1">
        <v>-3.011681E-6</v>
      </c>
      <c r="I7171">
        <v>35.495199999999997</v>
      </c>
      <c r="J7171">
        <v>-187.5232</v>
      </c>
      <c r="K7171">
        <v>1.1204970000000001</v>
      </c>
      <c r="L7171">
        <v>17.659179999999999</v>
      </c>
      <c r="M7171">
        <v>5.4425489999999997E-3</v>
      </c>
      <c r="N7171">
        <v>-1.282178E-2</v>
      </c>
      <c r="O7171">
        <v>0.99990299999999999</v>
      </c>
      <c r="P7171">
        <v>-8.9709219999999992E-3</v>
      </c>
      <c r="Q7171">
        <v>-0.11210050000000001</v>
      </c>
      <c r="R7171">
        <v>0.9936564</v>
      </c>
      <c r="S7171">
        <v>5.33905E-2</v>
      </c>
      <c r="T7171">
        <v>-0.18346009999999999</v>
      </c>
      <c r="U7171">
        <v>2.9990230000000002</v>
      </c>
      <c r="V7171">
        <v>-1.434042E-2</v>
      </c>
      <c r="W7171">
        <v>-9.9357230000000005E-2</v>
      </c>
      <c r="X7171">
        <v>0.99494850000000001</v>
      </c>
      <c r="Y7171">
        <v>1.2330829999999999E-2</v>
      </c>
      <c r="Z7171">
        <v>-4.8248390000000002E-2</v>
      </c>
      <c r="AA7171">
        <v>0.99875930000000002</v>
      </c>
      <c r="AB7171">
        <v>42</v>
      </c>
      <c r="AC7171">
        <v>0.32349999999999501</v>
      </c>
      <c r="AD7171">
        <v>-1.12050001168099</v>
      </c>
      <c r="AE7171">
        <v>17.836019999999898</v>
      </c>
      <c r="AF7171">
        <v>0.225524046020602</v>
      </c>
      <c r="AG7171">
        <v>-1.12050001168099</v>
      </c>
      <c r="AH7171">
        <v>17.767418007010601</v>
      </c>
      <c r="AI7171">
        <v>93.608282413803295</v>
      </c>
      <c r="AJ7171">
        <v>89.272776600252996</v>
      </c>
      <c r="AK7171">
        <v>17.8041434505386</v>
      </c>
      <c r="AL7171">
        <v>95.702158065347106</v>
      </c>
      <c r="AM7171">
        <v>90.825759979541502</v>
      </c>
      <c r="AN7171">
        <v>1.0000000122256401</v>
      </c>
    </row>
    <row r="7172" spans="1:40" x14ac:dyDescent="0.25">
      <c r="A7172" t="str">
        <f>"20190303154702749"</f>
        <v>20190303154702749</v>
      </c>
      <c r="B7172" t="str">
        <f>"1551599222739323"</f>
        <v>1551599222739323</v>
      </c>
      <c r="C7172" t="s">
        <v>40</v>
      </c>
      <c r="D7172">
        <v>5.1040199999999896</v>
      </c>
      <c r="E7172">
        <v>0.5105191</v>
      </c>
      <c r="F7172" t="s">
        <v>41</v>
      </c>
      <c r="G7172">
        <v>-187.18780000000001</v>
      </c>
      <c r="H7172" s="1">
        <v>-3.1504310000000002E-6</v>
      </c>
      <c r="I7172">
        <v>35.81371</v>
      </c>
      <c r="J7172">
        <v>-187.52</v>
      </c>
      <c r="K7172">
        <v>1.1205849999999999</v>
      </c>
      <c r="L7172">
        <v>18.302399999999999</v>
      </c>
      <c r="M7172">
        <v>5.101085E-3</v>
      </c>
      <c r="N7172">
        <v>-1.329875E-2</v>
      </c>
      <c r="O7172">
        <v>0.99989859999999997</v>
      </c>
      <c r="P7172">
        <v>-8.1929740000000004E-3</v>
      </c>
      <c r="Q7172">
        <v>-0.11113679999999999</v>
      </c>
      <c r="R7172">
        <v>0.99377130000000002</v>
      </c>
      <c r="S7172">
        <v>5.5404660000000001E-2</v>
      </c>
      <c r="T7172">
        <v>-0.1850851</v>
      </c>
      <c r="U7172">
        <v>2.9987789999999999</v>
      </c>
      <c r="V7172">
        <v>-1.321317E-2</v>
      </c>
      <c r="W7172">
        <v>-9.7918450000000004E-2</v>
      </c>
      <c r="X7172">
        <v>0.99510670000000001</v>
      </c>
      <c r="Y7172">
        <v>1.334344E-2</v>
      </c>
      <c r="Z7172">
        <v>-4.8315410000000003E-2</v>
      </c>
      <c r="AA7172">
        <v>0.99874300000000005</v>
      </c>
      <c r="AB7172">
        <v>42</v>
      </c>
      <c r="AC7172">
        <v>0.3322</v>
      </c>
      <c r="AD7172">
        <v>-1.120588150431</v>
      </c>
      <c r="AE7172">
        <v>17.511310000000002</v>
      </c>
      <c r="AF7172">
        <v>0.24187099282913099</v>
      </c>
      <c r="AG7172">
        <v>-1.120588150431</v>
      </c>
      <c r="AH7172">
        <v>17.441379957095801</v>
      </c>
      <c r="AI7172">
        <v>93.675781294035502</v>
      </c>
      <c r="AJ7172">
        <v>89.205492980021106</v>
      </c>
      <c r="AK7172">
        <v>17.4790146801198</v>
      </c>
      <c r="AL7172">
        <v>95.619318255046807</v>
      </c>
      <c r="AM7172">
        <v>90.760736901450102</v>
      </c>
      <c r="AN7172">
        <v>0.99999997754837</v>
      </c>
    </row>
    <row r="7173" spans="1:40" x14ac:dyDescent="0.25">
      <c r="A7173" t="str">
        <f>"20190303154702787"</f>
        <v>20190303154702787</v>
      </c>
      <c r="B7173" t="str">
        <f>"1551599222779339"</f>
        <v>1551599222779339</v>
      </c>
      <c r="C7173" t="s">
        <v>40</v>
      </c>
      <c r="D7173">
        <v>5.0736470000000002</v>
      </c>
      <c r="E7173">
        <v>0.51046840000000004</v>
      </c>
      <c r="F7173" t="s">
        <v>41</v>
      </c>
      <c r="G7173">
        <v>-187.17599999999999</v>
      </c>
      <c r="H7173" s="1">
        <v>-3.4883749999999999E-6</v>
      </c>
      <c r="I7173">
        <v>36.59657</v>
      </c>
      <c r="J7173">
        <v>-187.51689999999999</v>
      </c>
      <c r="K7173">
        <v>1.1206719999999999</v>
      </c>
      <c r="L7173">
        <v>19.018280000000001</v>
      </c>
      <c r="M7173">
        <v>4.6063409999999999E-3</v>
      </c>
      <c r="N7173">
        <v>-1.372904E-2</v>
      </c>
      <c r="O7173">
        <v>0.99989519999999998</v>
      </c>
      <c r="P7173">
        <v>-8.2642419999999998E-3</v>
      </c>
      <c r="Q7173">
        <v>-0.1103291</v>
      </c>
      <c r="R7173">
        <v>0.99386079999999999</v>
      </c>
      <c r="S7173">
        <v>5.6396479999999999E-2</v>
      </c>
      <c r="T7173">
        <v>-0.18368319999999999</v>
      </c>
      <c r="U7173">
        <v>2.9987180000000002</v>
      </c>
      <c r="V7173">
        <v>-1.2780069999999999E-2</v>
      </c>
      <c r="W7173">
        <v>-9.6682850000000001E-2</v>
      </c>
      <c r="X7173">
        <v>0.99523320000000004</v>
      </c>
      <c r="Y7173">
        <v>1.416892E-2</v>
      </c>
      <c r="Z7173">
        <v>-4.7421339999999999E-2</v>
      </c>
      <c r="AA7173">
        <v>0.99877450000000001</v>
      </c>
      <c r="AB7173">
        <v>42</v>
      </c>
      <c r="AC7173">
        <v>0.34090000000000398</v>
      </c>
      <c r="AD7173">
        <v>-1.1206754883750001</v>
      </c>
      <c r="AE7173">
        <v>17.578289999999999</v>
      </c>
      <c r="AF7173">
        <v>0.258865395970446</v>
      </c>
      <c r="AG7173">
        <v>-1.1206754883750001</v>
      </c>
      <c r="AH7173">
        <v>17.508537329907998</v>
      </c>
      <c r="AI7173">
        <v>93.661957183480595</v>
      </c>
      <c r="AJ7173">
        <v>89.152938148553005</v>
      </c>
      <c r="AK7173">
        <v>17.5462760800193</v>
      </c>
      <c r="AL7173">
        <v>95.548185866334904</v>
      </c>
      <c r="AM7173">
        <v>90.735710814519706</v>
      </c>
      <c r="AN7173">
        <v>1.00000001302778</v>
      </c>
    </row>
    <row r="7174" spans="1:40" x14ac:dyDescent="0.25">
      <c r="A7174" t="str">
        <f>"20190303154702831"</f>
        <v>20190303154702831</v>
      </c>
      <c r="B7174" t="str">
        <f>"1551599222819356"</f>
        <v>1551599222819356</v>
      </c>
      <c r="C7174" t="s">
        <v>40</v>
      </c>
      <c r="D7174">
        <v>5.1350049999999996</v>
      </c>
      <c r="E7174">
        <v>0.51067850000000004</v>
      </c>
      <c r="F7174" t="s">
        <v>41</v>
      </c>
      <c r="G7174">
        <v>-187.172</v>
      </c>
      <c r="H7174" s="1">
        <v>-3.9373149999999998E-6</v>
      </c>
      <c r="I7174">
        <v>37.64141</v>
      </c>
      <c r="J7174">
        <v>-187.51390000000001</v>
      </c>
      <c r="K7174">
        <v>1.1207510000000001</v>
      </c>
      <c r="L7174">
        <v>19.841740000000001</v>
      </c>
      <c r="M7174">
        <v>3.904701E-3</v>
      </c>
      <c r="N7174">
        <v>-1.4111780000000001E-2</v>
      </c>
      <c r="O7174">
        <v>0.99989280000000003</v>
      </c>
      <c r="P7174">
        <v>-1.1012279999999999E-2</v>
      </c>
      <c r="Q7174">
        <v>-0.1102766</v>
      </c>
      <c r="R7174">
        <v>0.9938399</v>
      </c>
      <c r="S7174">
        <v>5.5541989999999999E-2</v>
      </c>
      <c r="T7174">
        <v>-0.1804674</v>
      </c>
      <c r="U7174">
        <v>2.9989620000000001</v>
      </c>
      <c r="V7174">
        <v>-1.481654E-2</v>
      </c>
      <c r="W7174">
        <v>-9.6253370000000005E-2</v>
      </c>
      <c r="X7174">
        <v>0.99524659999999998</v>
      </c>
      <c r="Y7174">
        <v>1.458544E-2</v>
      </c>
      <c r="Z7174">
        <v>-4.596716E-2</v>
      </c>
      <c r="AA7174">
        <v>0.99883650000000002</v>
      </c>
      <c r="AB7174">
        <v>42</v>
      </c>
      <c r="AC7174">
        <v>0.34190000000000897</v>
      </c>
      <c r="AD7174">
        <v>-1.1207549373150001</v>
      </c>
      <c r="AE7174">
        <v>17.799669999999999</v>
      </c>
      <c r="AF7174">
        <v>0.27131283704082498</v>
      </c>
      <c r="AG7174">
        <v>-1.1207549373150001</v>
      </c>
      <c r="AH7174">
        <v>17.7306009318463</v>
      </c>
      <c r="AI7174">
        <v>93.616443802106602</v>
      </c>
      <c r="AJ7174">
        <v>89.123331046258102</v>
      </c>
      <c r="AK7174">
        <v>17.7680587484803</v>
      </c>
      <c r="AL7174">
        <v>95.523463143008698</v>
      </c>
      <c r="AM7174">
        <v>90.852916755540207</v>
      </c>
      <c r="AN7174">
        <v>1.00000001795274</v>
      </c>
    </row>
    <row r="7175" spans="1:40" x14ac:dyDescent="0.25">
      <c r="A7175" t="str">
        <f>"20190303154702852"</f>
        <v>20190303154702852</v>
      </c>
      <c r="B7175" t="str">
        <f>"1551599222848636"</f>
        <v>1551599222848636</v>
      </c>
      <c r="C7175" t="s">
        <v>40</v>
      </c>
      <c r="D7175">
        <v>5.187532</v>
      </c>
      <c r="E7175">
        <v>0.51068329999999995</v>
      </c>
      <c r="F7175" t="s">
        <v>41</v>
      </c>
      <c r="G7175">
        <v>-187.20480000000001</v>
      </c>
      <c r="H7175" s="1">
        <v>-4.4038990000000001E-6</v>
      </c>
      <c r="I7175">
        <v>38.742609999999999</v>
      </c>
      <c r="J7175">
        <v>-187.51259999999999</v>
      </c>
      <c r="K7175">
        <v>1.1207860000000001</v>
      </c>
      <c r="L7175">
        <v>20.25638</v>
      </c>
      <c r="M7175">
        <v>3.5113330000000002E-3</v>
      </c>
      <c r="N7175">
        <v>-1.426733E-2</v>
      </c>
      <c r="O7175">
        <v>0.99989209999999995</v>
      </c>
      <c r="P7175">
        <v>-1.267283E-2</v>
      </c>
      <c r="Q7175">
        <v>-0.11038000000000001</v>
      </c>
      <c r="R7175">
        <v>0.99380869999999999</v>
      </c>
      <c r="S7175">
        <v>4.9041750000000002E-2</v>
      </c>
      <c r="T7175">
        <v>-0.17785319999999999</v>
      </c>
      <c r="U7175">
        <v>2.99939</v>
      </c>
      <c r="V7175">
        <v>-1.607896E-2</v>
      </c>
      <c r="W7175">
        <v>-9.6204590000000006E-2</v>
      </c>
      <c r="X7175">
        <v>0.99523170000000005</v>
      </c>
      <c r="Y7175">
        <v>1.281383E-2</v>
      </c>
      <c r="Z7175">
        <v>-4.4937659999999997E-2</v>
      </c>
      <c r="AA7175">
        <v>0.99890760000000001</v>
      </c>
      <c r="AB7175">
        <v>42</v>
      </c>
      <c r="AC7175">
        <v>0.30779999999998597</v>
      </c>
      <c r="AD7175">
        <v>-1.120790403899</v>
      </c>
      <c r="AE7175">
        <v>18.486229999999999</v>
      </c>
      <c r="AF7175">
        <v>0.241990924080694</v>
      </c>
      <c r="AG7175">
        <v>-1.120790403899</v>
      </c>
      <c r="AH7175">
        <v>18.419509209343101</v>
      </c>
      <c r="AI7175">
        <v>93.481741042881495</v>
      </c>
      <c r="AJ7175">
        <v>89.247305623077295</v>
      </c>
      <c r="AK7175">
        <v>18.4551632409439</v>
      </c>
      <c r="AL7175">
        <v>95.520655343428899</v>
      </c>
      <c r="AM7175">
        <v>90.925589895506207</v>
      </c>
      <c r="AN7175">
        <v>0.99999999638831905</v>
      </c>
    </row>
    <row r="7176" spans="1:40" x14ac:dyDescent="0.25">
      <c r="A7176" t="str">
        <f>"20190303154702874"</f>
        <v>20190303154702874</v>
      </c>
      <c r="B7176" t="str">
        <f>"1551599222869132"</f>
        <v>1551599222869132</v>
      </c>
      <c r="C7176" t="s">
        <v>40</v>
      </c>
      <c r="D7176">
        <v>5.2008809999999999</v>
      </c>
      <c r="E7176">
        <v>0.49863000000000002</v>
      </c>
      <c r="F7176" t="s">
        <v>41</v>
      </c>
      <c r="G7176">
        <v>-187.23609999999999</v>
      </c>
      <c r="H7176" s="1">
        <v>-4.5720919999999996E-6</v>
      </c>
      <c r="I7176">
        <v>39.147590000000001</v>
      </c>
      <c r="J7176">
        <v>-187.51150000000001</v>
      </c>
      <c r="K7176">
        <v>1.1208180000000001</v>
      </c>
      <c r="L7176">
        <v>20.668399999999998</v>
      </c>
      <c r="M7176">
        <v>3.098969E-3</v>
      </c>
      <c r="N7176">
        <v>-1.440105E-2</v>
      </c>
      <c r="O7176">
        <v>0.99989150000000004</v>
      </c>
      <c r="P7176">
        <v>-1.4648130000000001E-2</v>
      </c>
      <c r="Q7176">
        <v>-0.1107365</v>
      </c>
      <c r="R7176">
        <v>0.99374189999999996</v>
      </c>
      <c r="S7176">
        <v>4.3899540000000001E-2</v>
      </c>
      <c r="T7176">
        <v>-0.17795520000000001</v>
      </c>
      <c r="U7176">
        <v>2.9994809999999998</v>
      </c>
      <c r="V7176">
        <v>-1.7638439999999998E-2</v>
      </c>
      <c r="W7176">
        <v>-9.6431320000000001E-2</v>
      </c>
      <c r="X7176">
        <v>0.99518329999999999</v>
      </c>
      <c r="Y7176">
        <v>1.151428E-2</v>
      </c>
      <c r="Z7176">
        <v>-4.4837370000000001E-2</v>
      </c>
      <c r="AA7176">
        <v>0.99892800000000004</v>
      </c>
      <c r="AB7176">
        <v>42</v>
      </c>
      <c r="AC7176">
        <v>0.27540000000001802</v>
      </c>
      <c r="AD7176">
        <v>-1.120822572092</v>
      </c>
      <c r="AE7176">
        <v>18.479189999999999</v>
      </c>
      <c r="AF7176">
        <v>0.217326973279339</v>
      </c>
      <c r="AG7176">
        <v>-1.120822572092</v>
      </c>
      <c r="AH7176">
        <v>18.412234640040801</v>
      </c>
      <c r="AI7176">
        <v>93.483270806720498</v>
      </c>
      <c r="AJ7176">
        <v>89.323746391088903</v>
      </c>
      <c r="AK7176">
        <v>18.4475976401087</v>
      </c>
      <c r="AL7176">
        <v>95.533706913190599</v>
      </c>
      <c r="AM7176">
        <v>91.015393211674393</v>
      </c>
      <c r="AN7176">
        <v>0.99999995732073199</v>
      </c>
    </row>
    <row r="7177" spans="1:40" x14ac:dyDescent="0.25">
      <c r="A7177" t="str">
        <f>"20190303154702899"</f>
        <v>20190303154702899</v>
      </c>
      <c r="B7177" t="str">
        <f>"1551599222888652"</f>
        <v>1551599222888652</v>
      </c>
      <c r="C7177" t="s">
        <v>40</v>
      </c>
      <c r="D7177">
        <v>5.2423270000000004</v>
      </c>
      <c r="E7177">
        <v>0.49929820000000003</v>
      </c>
      <c r="F7177" t="s">
        <v>41</v>
      </c>
      <c r="G7177">
        <v>-188.0103</v>
      </c>
      <c r="H7177" s="1">
        <v>-3.1293529999999998E-6</v>
      </c>
      <c r="I7177">
        <v>46.104669999999999</v>
      </c>
      <c r="J7177">
        <v>-187.51050000000001</v>
      </c>
      <c r="K7177">
        <v>1.1208579999999999</v>
      </c>
      <c r="L7177">
        <v>21.11835</v>
      </c>
      <c r="M7177">
        <v>2.6251830000000001E-3</v>
      </c>
      <c r="N7177">
        <v>-1.4526829999999999E-2</v>
      </c>
      <c r="O7177">
        <v>0.99989099999999997</v>
      </c>
      <c r="P7177">
        <v>-1.666233E-2</v>
      </c>
      <c r="Q7177">
        <v>-0.11109280000000001</v>
      </c>
      <c r="R7177">
        <v>0.99367030000000001</v>
      </c>
      <c r="S7177">
        <v>-5.8898930000000002E-2</v>
      </c>
      <c r="T7177">
        <v>-0.13233549999999999</v>
      </c>
      <c r="U7177">
        <v>3.0032649999999999</v>
      </c>
      <c r="V7177">
        <v>-1.917454E-2</v>
      </c>
      <c r="W7177">
        <v>-9.6666009999999997E-2</v>
      </c>
      <c r="X7177">
        <v>0.99513209999999996</v>
      </c>
      <c r="Y7177">
        <v>-2.221476E-2</v>
      </c>
      <c r="Z7177">
        <v>-2.9493519999999999E-2</v>
      </c>
      <c r="AA7177">
        <v>0.99931809999999999</v>
      </c>
      <c r="AB7177">
        <v>42</v>
      </c>
      <c r="AC7177">
        <v>-0.49979999999999303</v>
      </c>
      <c r="AD7177">
        <v>-1.120861129353</v>
      </c>
      <c r="AE7177">
        <v>24.986319999999999</v>
      </c>
      <c r="AF7177">
        <v>-0.56426383389281498</v>
      </c>
      <c r="AG7177">
        <v>-1.120861129353</v>
      </c>
      <c r="AH7177">
        <v>24.934764793276699</v>
      </c>
      <c r="AI7177">
        <v>92.573154583183694</v>
      </c>
      <c r="AJ7177">
        <v>91.296359499207497</v>
      </c>
      <c r="AK7177">
        <v>24.9663216882577</v>
      </c>
      <c r="AL7177">
        <v>95.547216879729604</v>
      </c>
      <c r="AM7177">
        <v>91.103857754415301</v>
      </c>
      <c r="AN7177">
        <v>0.999999938461968</v>
      </c>
    </row>
    <row r="7178" spans="1:40" x14ac:dyDescent="0.25">
      <c r="A7178" t="str">
        <f>"20190303154702922"</f>
        <v>20190303154702922</v>
      </c>
      <c r="B7178" t="str">
        <f>"1551599222918907"</f>
        <v>1551599222918907</v>
      </c>
      <c r="C7178" t="s">
        <v>40</v>
      </c>
      <c r="D7178">
        <v>5.2279030000000004</v>
      </c>
      <c r="E7178">
        <v>0.50028320000000004</v>
      </c>
      <c r="F7178" t="s">
        <v>41</v>
      </c>
      <c r="G7178">
        <v>-188.02099999999999</v>
      </c>
      <c r="H7178" s="1">
        <v>-3.482333E-6</v>
      </c>
      <c r="I7178">
        <v>46.931899999999999</v>
      </c>
      <c r="J7178">
        <v>-187.50980000000001</v>
      </c>
      <c r="K7178">
        <v>1.120897</v>
      </c>
      <c r="L7178">
        <v>21.553529999999999</v>
      </c>
      <c r="M7178">
        <v>2.139054E-3</v>
      </c>
      <c r="N7178">
        <v>-1.463035E-2</v>
      </c>
      <c r="O7178">
        <v>0.99989070000000002</v>
      </c>
      <c r="P7178">
        <v>-1.7652009999999999E-2</v>
      </c>
      <c r="Q7178">
        <v>-0.1107915</v>
      </c>
      <c r="R7178">
        <v>0.99368690000000004</v>
      </c>
      <c r="S7178">
        <v>-5.9402469999999999E-2</v>
      </c>
      <c r="T7178">
        <v>-0.13041810000000001</v>
      </c>
      <c r="U7178">
        <v>3.0035400000000001</v>
      </c>
      <c r="V7178">
        <v>-1.9674980000000002E-2</v>
      </c>
      <c r="W7178">
        <v>-9.6263219999999997E-2</v>
      </c>
      <c r="X7178">
        <v>0.99516139999999997</v>
      </c>
      <c r="Y7178">
        <v>-2.1894960000000002E-2</v>
      </c>
      <c r="Z7178">
        <v>-2.8749460000000001E-2</v>
      </c>
      <c r="AA7178">
        <v>0.99934690000000004</v>
      </c>
      <c r="AB7178">
        <v>42</v>
      </c>
      <c r="AC7178">
        <v>-0.51119999999997301</v>
      </c>
      <c r="AD7178">
        <v>-1.120900482333</v>
      </c>
      <c r="AE7178">
        <v>25.37837</v>
      </c>
      <c r="AF7178">
        <v>-0.564389794299338</v>
      </c>
      <c r="AG7178">
        <v>-1.120900482333</v>
      </c>
      <c r="AH7178">
        <v>25.327829527733801</v>
      </c>
      <c r="AI7178">
        <v>92.533382497819403</v>
      </c>
      <c r="AJ7178">
        <v>91.276532694687802</v>
      </c>
      <c r="AK7178">
        <v>25.358901835788298</v>
      </c>
      <c r="AL7178">
        <v>95.5240304482396</v>
      </c>
      <c r="AM7178">
        <v>91.132626800314796</v>
      </c>
      <c r="AN7178">
        <v>0.999999962206363</v>
      </c>
    </row>
    <row r="7179" spans="1:40" x14ac:dyDescent="0.25">
      <c r="A7179" t="str">
        <f>"20190303154702963"</f>
        <v>20190303154702963</v>
      </c>
      <c r="B7179" t="str">
        <f>"1551599222958924"</f>
        <v>1551599222958924</v>
      </c>
      <c r="C7179" t="s">
        <v>40</v>
      </c>
      <c r="D7179">
        <v>5.2490480000000002</v>
      </c>
      <c r="E7179">
        <v>0.50080040000000003</v>
      </c>
      <c r="F7179" t="s">
        <v>41</v>
      </c>
      <c r="G7179">
        <v>-187.99189999999999</v>
      </c>
      <c r="H7179" s="1">
        <v>-4.0321279999999998E-6</v>
      </c>
      <c r="I7179">
        <v>48.201450000000001</v>
      </c>
      <c r="J7179">
        <v>-187.50899999999999</v>
      </c>
      <c r="K7179">
        <v>1.1209819999999999</v>
      </c>
      <c r="L7179">
        <v>22.319980000000001</v>
      </c>
      <c r="M7179">
        <v>1.1958649999999999E-3</v>
      </c>
      <c r="N7179">
        <v>-1.477594E-2</v>
      </c>
      <c r="O7179">
        <v>0.9998901</v>
      </c>
      <c r="P7179">
        <v>-1.8728720000000001E-2</v>
      </c>
      <c r="Q7179">
        <v>-0.11019080000000001</v>
      </c>
      <c r="R7179">
        <v>0.99373400000000001</v>
      </c>
      <c r="S7179">
        <v>-5.435181E-2</v>
      </c>
      <c r="T7179">
        <v>-0.12635830000000001</v>
      </c>
      <c r="U7179">
        <v>3.0039980000000002</v>
      </c>
      <c r="V7179">
        <v>-1.980121E-2</v>
      </c>
      <c r="W7179">
        <v>-9.5519850000000003E-2</v>
      </c>
      <c r="X7179">
        <v>0.99523059999999997</v>
      </c>
      <c r="Y7179">
        <v>-1.9271170000000001E-2</v>
      </c>
      <c r="Z7179">
        <v>-2.72512E-2</v>
      </c>
      <c r="AA7179">
        <v>0.99944279999999996</v>
      </c>
      <c r="AB7179">
        <v>42</v>
      </c>
      <c r="AC7179">
        <v>-0.48289999999997202</v>
      </c>
      <c r="AD7179">
        <v>-1.1209860321280001</v>
      </c>
      <c r="AE7179">
        <v>25.88147</v>
      </c>
      <c r="AF7179">
        <v>-0.51289195085280104</v>
      </c>
      <c r="AG7179">
        <v>-1.1209860321280001</v>
      </c>
      <c r="AH7179">
        <v>25.8324303189627</v>
      </c>
      <c r="AI7179">
        <v>92.484275226256202</v>
      </c>
      <c r="AJ7179">
        <v>91.137433963720596</v>
      </c>
      <c r="AK7179">
        <v>25.8618275460482</v>
      </c>
      <c r="AL7179">
        <v>95.481240881539506</v>
      </c>
      <c r="AM7179">
        <v>91.139812316134098</v>
      </c>
      <c r="AN7179">
        <v>1.00000003841892</v>
      </c>
    </row>
    <row r="7180" spans="1:40" x14ac:dyDescent="0.25">
      <c r="A7180" t="str">
        <f>"20190303154702986"</f>
        <v>20190303154702986</v>
      </c>
      <c r="B7180" t="str">
        <f>"1551599222979420"</f>
        <v>1551599222979420</v>
      </c>
      <c r="C7180" t="s">
        <v>40</v>
      </c>
      <c r="D7180">
        <v>5.3305680000000004</v>
      </c>
      <c r="E7180">
        <v>0.50115329999999902</v>
      </c>
      <c r="F7180" t="s">
        <v>41</v>
      </c>
      <c r="G7180">
        <v>-187.99100000000001</v>
      </c>
      <c r="H7180" s="1">
        <v>-5.3531230000000003E-7</v>
      </c>
      <c r="I7180">
        <v>49.650329999999997</v>
      </c>
      <c r="J7180">
        <v>-187.50909999999999</v>
      </c>
      <c r="K7180">
        <v>1.121035</v>
      </c>
      <c r="L7180">
        <v>22.745539999999998</v>
      </c>
      <c r="M7180">
        <v>6.1585669999999896E-4</v>
      </c>
      <c r="N7180">
        <v>-1.4840269999999999E-2</v>
      </c>
      <c r="O7180">
        <v>0.99988969999999999</v>
      </c>
      <c r="P7180">
        <v>-1.8190209999999998E-2</v>
      </c>
      <c r="Q7180">
        <v>-0.1093307</v>
      </c>
      <c r="R7180">
        <v>0.99383900000000003</v>
      </c>
      <c r="S7180">
        <v>-5.2978520000000001E-2</v>
      </c>
      <c r="T7180">
        <v>-0.1232221</v>
      </c>
      <c r="U7180">
        <v>3.0042420000000001</v>
      </c>
      <c r="V7180">
        <v>-1.8677659999999999E-2</v>
      </c>
      <c r="W7180">
        <v>-9.4594639999999994E-2</v>
      </c>
      <c r="X7180">
        <v>0.99534060000000002</v>
      </c>
      <c r="Y7180">
        <v>-1.8234070000000002E-2</v>
      </c>
      <c r="Z7180">
        <v>-2.614259E-2</v>
      </c>
      <c r="AA7180">
        <v>0.99949189999999999</v>
      </c>
      <c r="AB7180">
        <v>42</v>
      </c>
      <c r="AC7180">
        <v>-0.481899999999996</v>
      </c>
      <c r="AD7180">
        <v>-1.1210355353123</v>
      </c>
      <c r="AE7180">
        <v>26.904789999999998</v>
      </c>
      <c r="AF7180">
        <v>-0.49760759939654597</v>
      </c>
      <c r="AG7180">
        <v>-1.1210355353123</v>
      </c>
      <c r="AH7180">
        <v>26.857874564654502</v>
      </c>
      <c r="AI7180">
        <v>92.389702912706994</v>
      </c>
      <c r="AJ7180">
        <v>91.061422549953804</v>
      </c>
      <c r="AK7180">
        <v>26.8858654338134</v>
      </c>
      <c r="AL7180">
        <v>95.427989570942302</v>
      </c>
      <c r="AM7180">
        <v>91.075034521236603</v>
      </c>
      <c r="AN7180">
        <v>0.99999995545408105</v>
      </c>
    </row>
    <row r="7181" spans="1:40" x14ac:dyDescent="0.25">
      <c r="A7181" t="str">
        <f>"20190303154703010"</f>
        <v>20190303154703010</v>
      </c>
      <c r="B7181" t="str">
        <f>"1551599222998939"</f>
        <v>1551599222998939</v>
      </c>
      <c r="C7181" t="s">
        <v>40</v>
      </c>
      <c r="D7181">
        <v>5.2315579999999997</v>
      </c>
      <c r="E7181">
        <v>0.50130079999999999</v>
      </c>
      <c r="F7181" t="s">
        <v>41</v>
      </c>
      <c r="G7181">
        <v>-187.96289999999999</v>
      </c>
      <c r="H7181" s="1">
        <v>-9.8849080000000002E-7</v>
      </c>
      <c r="I7181">
        <v>50.960009999999997</v>
      </c>
      <c r="J7181">
        <v>-187.5094</v>
      </c>
      <c r="K7181">
        <v>1.1210979999999999</v>
      </c>
      <c r="L7181">
        <v>23.18994</v>
      </c>
      <c r="M7181" s="1">
        <v>-4.3341050000000001E-5</v>
      </c>
      <c r="N7181">
        <v>-1.4897399999999899E-2</v>
      </c>
      <c r="O7181">
        <v>0.99988900000000003</v>
      </c>
      <c r="P7181">
        <v>-1.7637679999999999E-2</v>
      </c>
      <c r="Q7181">
        <v>-0.10836809999999999</v>
      </c>
      <c r="R7181">
        <v>0.99395440000000002</v>
      </c>
      <c r="S7181">
        <v>-4.8324579999999999E-2</v>
      </c>
      <c r="T7181">
        <v>-0.1193799</v>
      </c>
      <c r="U7181">
        <v>3.004578</v>
      </c>
      <c r="V7181">
        <v>-1.746052E-2</v>
      </c>
      <c r="W7181">
        <v>-9.3573740000000002E-2</v>
      </c>
      <c r="X7181">
        <v>0.99545930000000005</v>
      </c>
      <c r="Y7181">
        <v>-1.6026769999999999E-2</v>
      </c>
      <c r="Z7181">
        <v>-2.4806169999999999E-2</v>
      </c>
      <c r="AA7181">
        <v>0.9995638</v>
      </c>
      <c r="AB7181">
        <v>42</v>
      </c>
      <c r="AC7181">
        <v>-0.45349999999999102</v>
      </c>
      <c r="AD7181">
        <v>-1.1210989884908</v>
      </c>
      <c r="AE7181">
        <v>27.77007</v>
      </c>
      <c r="AF7181">
        <v>-0.45156052541969199</v>
      </c>
      <c r="AG7181">
        <v>-1.1210989884908</v>
      </c>
      <c r="AH7181">
        <v>27.724915646496001</v>
      </c>
      <c r="AI7181">
        <v>92.315273429564897</v>
      </c>
      <c r="AJ7181">
        <v>90.933103827756298</v>
      </c>
      <c r="AK7181">
        <v>27.7512471333349</v>
      </c>
      <c r="AL7181">
        <v>95.369235089793705</v>
      </c>
      <c r="AM7181">
        <v>91.004874361123797</v>
      </c>
      <c r="AN7181">
        <v>1.0000000662663699</v>
      </c>
    </row>
    <row r="7182" spans="1:40" x14ac:dyDescent="0.25">
      <c r="A7182" t="str">
        <f>"20190303154703033"</f>
        <v>20190303154703033</v>
      </c>
      <c r="B7182" t="str">
        <f>"1551599223029196"</f>
        <v>1551599223029196</v>
      </c>
      <c r="C7182" t="s">
        <v>40</v>
      </c>
      <c r="D7182">
        <v>5.2245929999999996</v>
      </c>
      <c r="E7182">
        <v>0.50177879999999997</v>
      </c>
      <c r="F7182" t="s">
        <v>41</v>
      </c>
      <c r="G7182">
        <v>-187.93879999999999</v>
      </c>
      <c r="H7182" s="1">
        <v>-1.210197E-6</v>
      </c>
      <c r="I7182">
        <v>51.592669999999998</v>
      </c>
      <c r="J7182">
        <v>-187.51</v>
      </c>
      <c r="K7182">
        <v>1.1211770000000001</v>
      </c>
      <c r="L7182">
        <v>23.607030000000002</v>
      </c>
      <c r="M7182">
        <v>-7.4142890000000001E-4</v>
      </c>
      <c r="N7182">
        <v>-1.4943079999999999E-2</v>
      </c>
      <c r="O7182">
        <v>0.99988809999999995</v>
      </c>
      <c r="P7182">
        <v>-1.7040099999999999E-2</v>
      </c>
      <c r="Q7182">
        <v>-0.1074145</v>
      </c>
      <c r="R7182">
        <v>0.99406830000000002</v>
      </c>
      <c r="S7182">
        <v>-4.5425420000000001E-2</v>
      </c>
      <c r="T7182">
        <v>-0.1185929</v>
      </c>
      <c r="U7182">
        <v>3.0045169999999999</v>
      </c>
      <c r="V7182">
        <v>-1.615716E-2</v>
      </c>
      <c r="W7182">
        <v>-9.2573459999999996E-2</v>
      </c>
      <c r="X7182">
        <v>0.99557479999999998</v>
      </c>
      <c r="Y7182">
        <v>-1.43655E-2</v>
      </c>
      <c r="Z7182">
        <v>-2.450074E-2</v>
      </c>
      <c r="AA7182">
        <v>0.99959659999999995</v>
      </c>
      <c r="AB7182">
        <v>42</v>
      </c>
      <c r="AC7182">
        <v>-0.42879999999999502</v>
      </c>
      <c r="AD7182">
        <v>-1.121178210197</v>
      </c>
      <c r="AE7182">
        <v>27.98564</v>
      </c>
      <c r="AF7182">
        <v>-0.40739448306952702</v>
      </c>
      <c r="AG7182">
        <v>-1.121178210197</v>
      </c>
      <c r="AH7182">
        <v>27.941114913119801</v>
      </c>
      <c r="AI7182">
        <v>92.297600476252299</v>
      </c>
      <c r="AJ7182">
        <v>90.835339988025794</v>
      </c>
      <c r="AK7182">
        <v>27.966567780691701</v>
      </c>
      <c r="AL7182">
        <v>95.3116735422348</v>
      </c>
      <c r="AM7182">
        <v>90.929770235560895</v>
      </c>
      <c r="AN7182">
        <v>1.00000004085533</v>
      </c>
    </row>
    <row r="7183" spans="1:40" x14ac:dyDescent="0.25">
      <c r="A7183" t="str">
        <f>"20190303154703053"</f>
        <v>20190303154703053</v>
      </c>
      <c r="B7183" t="str">
        <f>"1551599223048716"</f>
        <v>1551599223048716</v>
      </c>
      <c r="C7183" t="s">
        <v>40</v>
      </c>
      <c r="D7183">
        <v>5.1980570000000004</v>
      </c>
      <c r="E7183">
        <v>0.50188480000000002</v>
      </c>
      <c r="F7183" t="s">
        <v>41</v>
      </c>
      <c r="G7183">
        <v>-187.8937</v>
      </c>
      <c r="H7183" s="1">
        <v>-1.6845539999999999E-6</v>
      </c>
      <c r="I7183">
        <v>52.688569999999999</v>
      </c>
      <c r="J7183">
        <v>-187.51089999999999</v>
      </c>
      <c r="K7183">
        <v>1.1212629999999999</v>
      </c>
      <c r="L7183">
        <v>23.99615</v>
      </c>
      <c r="M7183">
        <v>-1.479193E-3</v>
      </c>
      <c r="N7183">
        <v>-1.497976E-2</v>
      </c>
      <c r="O7183">
        <v>0.99988670000000002</v>
      </c>
      <c r="P7183">
        <v>-1.7090029999999999E-2</v>
      </c>
      <c r="Q7183">
        <v>-0.1065253</v>
      </c>
      <c r="R7183">
        <v>0.99416309999999997</v>
      </c>
      <c r="S7183">
        <v>-3.9642330000000003E-2</v>
      </c>
      <c r="T7183">
        <v>-0.11584</v>
      </c>
      <c r="U7183">
        <v>3.0047000000000001</v>
      </c>
      <c r="V7183">
        <v>-1.5459209999999999E-2</v>
      </c>
      <c r="W7183">
        <v>-9.1647889999999996E-2</v>
      </c>
      <c r="X7183">
        <v>0.99567150000000004</v>
      </c>
      <c r="Y7183">
        <v>-1.17047E-2</v>
      </c>
      <c r="Z7183">
        <v>-2.3548429999999999E-2</v>
      </c>
      <c r="AA7183">
        <v>0.99965420000000005</v>
      </c>
      <c r="AB7183">
        <v>41</v>
      </c>
      <c r="AC7183">
        <v>-0.38280000000000303</v>
      </c>
      <c r="AD7183">
        <v>-1.121264684554</v>
      </c>
      <c r="AE7183">
        <v>28.692419999999998</v>
      </c>
      <c r="AF7183">
        <v>-0.33983430569112</v>
      </c>
      <c r="AG7183">
        <v>-1.121264684554</v>
      </c>
      <c r="AH7183">
        <v>28.649211022094001</v>
      </c>
      <c r="AI7183">
        <v>92.241124541974301</v>
      </c>
      <c r="AJ7183">
        <v>90.679605392523001</v>
      </c>
      <c r="AK7183">
        <v>28.673158424502599</v>
      </c>
      <c r="AL7183">
        <v>95.2584159378533</v>
      </c>
      <c r="AM7183">
        <v>90.889526638357196</v>
      </c>
      <c r="AN7183">
        <v>1.0000000294137601</v>
      </c>
    </row>
    <row r="7184" spans="1:40" x14ac:dyDescent="0.25">
      <c r="A7184" t="str">
        <f>"20190303154703077"</f>
        <v>20190303154703077</v>
      </c>
      <c r="B7184" t="str">
        <f>"1551599223069212"</f>
        <v>1551599223069212</v>
      </c>
      <c r="C7184" t="s">
        <v>40</v>
      </c>
      <c r="D7184">
        <v>5.1697620000000004</v>
      </c>
      <c r="E7184">
        <v>0.50198370000000003</v>
      </c>
      <c r="F7184" t="s">
        <v>41</v>
      </c>
      <c r="G7184">
        <v>-187.8929</v>
      </c>
      <c r="H7184" s="1">
        <v>-2.0476999999999999E-6</v>
      </c>
      <c r="I7184">
        <v>53.534770000000002</v>
      </c>
      <c r="J7184">
        <v>-187.51230000000001</v>
      </c>
      <c r="K7184">
        <v>1.12137</v>
      </c>
      <c r="L7184">
        <v>24.41525</v>
      </c>
      <c r="M7184">
        <v>-2.3719560000000002E-3</v>
      </c>
      <c r="N7184">
        <v>-1.5013810000000001E-2</v>
      </c>
      <c r="O7184">
        <v>0.99988449999999995</v>
      </c>
      <c r="P7184">
        <v>-1.749887E-2</v>
      </c>
      <c r="Q7184">
        <v>-0.10523689999999999</v>
      </c>
      <c r="R7184">
        <v>0.99429319999999999</v>
      </c>
      <c r="S7184">
        <v>-3.8864139999999998E-2</v>
      </c>
      <c r="T7184">
        <v>-0.1140574</v>
      </c>
      <c r="U7184">
        <v>3.0047299999999999</v>
      </c>
      <c r="V7184">
        <v>-1.4962029999999999E-2</v>
      </c>
      <c r="W7184">
        <v>-9.0325939999999993E-2</v>
      </c>
      <c r="X7184">
        <v>0.99579980000000001</v>
      </c>
      <c r="Y7184">
        <v>-1.055358E-2</v>
      </c>
      <c r="Z7184">
        <v>-2.2922120000000001E-2</v>
      </c>
      <c r="AA7184">
        <v>0.9996815</v>
      </c>
      <c r="AB7184">
        <v>41</v>
      </c>
      <c r="AC7184">
        <v>-0.38059999999998601</v>
      </c>
      <c r="AD7184">
        <v>-1.1213720477</v>
      </c>
      <c r="AE7184">
        <v>29.119519999999898</v>
      </c>
      <c r="AF7184">
        <v>-0.31105971273732502</v>
      </c>
      <c r="AG7184">
        <v>-1.1213720477</v>
      </c>
      <c r="AH7184">
        <v>29.0772277752002</v>
      </c>
      <c r="AI7184">
        <v>92.2084082869452</v>
      </c>
      <c r="AJ7184">
        <v>90.612910179388606</v>
      </c>
      <c r="AK7184">
        <v>29.100505296388398</v>
      </c>
      <c r="AL7184">
        <v>95.182358764329393</v>
      </c>
      <c r="AM7184">
        <v>90.860812254042401</v>
      </c>
      <c r="AN7184">
        <v>0.99999993972932</v>
      </c>
    </row>
    <row r="7185" spans="1:40" x14ac:dyDescent="0.25">
      <c r="A7185" t="str">
        <f>"20190303154703099"</f>
        <v>20190303154703099</v>
      </c>
      <c r="B7185" t="str">
        <f>"1551599223088732"</f>
        <v>1551599223088732</v>
      </c>
      <c r="C7185" t="s">
        <v>40</v>
      </c>
      <c r="D7185">
        <v>5.1850809999999896</v>
      </c>
      <c r="E7185">
        <v>0.50213469999999905</v>
      </c>
      <c r="F7185" t="s">
        <v>41</v>
      </c>
      <c r="G7185">
        <v>-187.90770000000001</v>
      </c>
      <c r="H7185" s="1">
        <v>-2.642326E-6</v>
      </c>
      <c r="I7185">
        <v>54.926949999999998</v>
      </c>
      <c r="J7185">
        <v>-187.51410000000001</v>
      </c>
      <c r="K7185">
        <v>1.1214949999999999</v>
      </c>
      <c r="L7185">
        <v>24.832339999999999</v>
      </c>
      <c r="M7185">
        <v>-3.3605610000000002E-3</v>
      </c>
      <c r="N7185">
        <v>-1.5042750000000001E-2</v>
      </c>
      <c r="O7185">
        <v>0.99988120000000003</v>
      </c>
      <c r="P7185">
        <v>-1.8294089999999999E-2</v>
      </c>
      <c r="Q7185">
        <v>-0.10344920000000001</v>
      </c>
      <c r="R7185">
        <v>0.99446650000000003</v>
      </c>
      <c r="S7185">
        <v>-3.8940429999999998E-2</v>
      </c>
      <c r="T7185">
        <v>-0.11043500000000001</v>
      </c>
      <c r="U7185">
        <v>3.0048520000000001</v>
      </c>
      <c r="V7185">
        <v>-1.4756470000000001E-2</v>
      </c>
      <c r="W7185">
        <v>-8.8509850000000001E-2</v>
      </c>
      <c r="X7185">
        <v>0.99596600000000002</v>
      </c>
      <c r="Y7185">
        <v>-9.5905769999999994E-3</v>
      </c>
      <c r="Z7185">
        <v>-2.1688300000000001E-2</v>
      </c>
      <c r="AA7185">
        <v>0.99971880000000002</v>
      </c>
      <c r="AB7185">
        <v>41</v>
      </c>
      <c r="AC7185">
        <v>-0.39359999999999201</v>
      </c>
      <c r="AD7185">
        <v>-1.1214976423259999</v>
      </c>
      <c r="AE7185">
        <v>30.094609999999999</v>
      </c>
      <c r="AF7185">
        <v>-0.29204605418623603</v>
      </c>
      <c r="AG7185">
        <v>-1.1214976423259999</v>
      </c>
      <c r="AH7185">
        <v>30.054032952072799</v>
      </c>
      <c r="AI7185">
        <v>92.136959506868394</v>
      </c>
      <c r="AJ7185">
        <v>90.556746567128798</v>
      </c>
      <c r="AK7185">
        <v>30.076368539831901</v>
      </c>
      <c r="AL7185">
        <v>95.077885595464494</v>
      </c>
      <c r="AM7185">
        <v>90.848845836659507</v>
      </c>
      <c r="AN7185">
        <v>1.00000001005494</v>
      </c>
    </row>
    <row r="7186" spans="1:40" x14ac:dyDescent="0.25">
      <c r="A7186" t="str">
        <f>"20190303154703123"</f>
        <v>20190303154703123</v>
      </c>
      <c r="B7186" t="str">
        <f>"1551599223118987"</f>
        <v>1551599223118987</v>
      </c>
      <c r="C7186" t="s">
        <v>40</v>
      </c>
      <c r="D7186">
        <v>5.1101890000000001</v>
      </c>
      <c r="E7186">
        <v>0.50236349999999996</v>
      </c>
      <c r="F7186" t="s">
        <v>41</v>
      </c>
      <c r="G7186">
        <v>-187.9383</v>
      </c>
      <c r="H7186" s="1">
        <v>-3.4664750000000001E-6</v>
      </c>
      <c r="I7186">
        <v>56.860709999999997</v>
      </c>
      <c r="J7186">
        <v>-187.51660000000001</v>
      </c>
      <c r="K7186">
        <v>1.1216189999999999</v>
      </c>
      <c r="L7186">
        <v>25.272400000000001</v>
      </c>
      <c r="M7186">
        <v>-4.5063220000000001E-3</v>
      </c>
      <c r="N7186">
        <v>-1.5068379999999999E-2</v>
      </c>
      <c r="O7186">
        <v>0.99987630000000005</v>
      </c>
      <c r="P7186">
        <v>-1.9413099999999999E-2</v>
      </c>
      <c r="Q7186">
        <v>-0.10039629999999999</v>
      </c>
      <c r="R7186">
        <v>0.99475809999999998</v>
      </c>
      <c r="S7186">
        <v>-3.9794919999999998E-2</v>
      </c>
      <c r="T7186">
        <v>-0.1052226</v>
      </c>
      <c r="U7186">
        <v>3.0050050000000001</v>
      </c>
      <c r="V7186">
        <v>-1.472102E-2</v>
      </c>
      <c r="W7186">
        <v>-8.5430549999999994E-2</v>
      </c>
      <c r="X7186">
        <v>0.99623539999999999</v>
      </c>
      <c r="Y7186">
        <v>-8.729222E-3</v>
      </c>
      <c r="Z7186">
        <v>-1.9928919999999999E-2</v>
      </c>
      <c r="AA7186">
        <v>0.99976330000000002</v>
      </c>
      <c r="AB7186">
        <v>41</v>
      </c>
      <c r="AC7186">
        <v>-0.42169999999998697</v>
      </c>
      <c r="AD7186">
        <v>-1.1216224664749901</v>
      </c>
      <c r="AE7186">
        <v>31.58831</v>
      </c>
      <c r="AF7186">
        <v>-0.278980784532668</v>
      </c>
      <c r="AG7186">
        <v>-1.1216224664749901</v>
      </c>
      <c r="AH7186">
        <v>31.550118935746401</v>
      </c>
      <c r="AI7186">
        <v>92.035956565492597</v>
      </c>
      <c r="AJ7186">
        <v>90.506622652301303</v>
      </c>
      <c r="AK7186">
        <v>31.571282395480601</v>
      </c>
      <c r="AL7186">
        <v>94.900783479900895</v>
      </c>
      <c r="AM7186">
        <v>90.846577962483494</v>
      </c>
      <c r="AN7186">
        <v>1.0000000297581499</v>
      </c>
    </row>
    <row r="7187" spans="1:40" x14ac:dyDescent="0.25">
      <c r="A7187" t="str">
        <f>"20190303154703146"</f>
        <v>20190303154703146</v>
      </c>
      <c r="B7187" t="str">
        <f>"1551599223139484"</f>
        <v>1551599223139484</v>
      </c>
      <c r="C7187" t="s">
        <v>40</v>
      </c>
      <c r="D7187">
        <v>5.0971060000000001</v>
      </c>
      <c r="E7187">
        <v>0.50248019999999904</v>
      </c>
      <c r="F7187" t="s">
        <v>41</v>
      </c>
      <c r="G7187">
        <v>-187.99510000000001</v>
      </c>
      <c r="H7187" s="1">
        <v>-7.922969E-7</v>
      </c>
      <c r="I7187">
        <v>60.408659999999998</v>
      </c>
      <c r="J7187">
        <v>-187.5196</v>
      </c>
      <c r="K7187">
        <v>1.121721</v>
      </c>
      <c r="L7187">
        <v>25.692900000000002</v>
      </c>
      <c r="M7187">
        <v>-5.6850570000000003E-3</v>
      </c>
      <c r="N7187">
        <v>-1.5088549999999999E-2</v>
      </c>
      <c r="O7187">
        <v>0.99987000000000004</v>
      </c>
      <c r="P7187">
        <v>-2.0076529999999999E-2</v>
      </c>
      <c r="Q7187">
        <v>-9.7296289999999994E-2</v>
      </c>
      <c r="R7187">
        <v>0.99505290000000002</v>
      </c>
      <c r="S7187">
        <v>-4.092407E-2</v>
      </c>
      <c r="T7187">
        <v>-9.593546E-2</v>
      </c>
      <c r="U7187">
        <v>3.0053100000000001</v>
      </c>
      <c r="V7187">
        <v>-1.4201750000000001E-2</v>
      </c>
      <c r="W7187">
        <v>-8.2307549999999993E-2</v>
      </c>
      <c r="X7187">
        <v>0.9965058</v>
      </c>
      <c r="Y7187">
        <v>-7.9258569999999997E-3</v>
      </c>
      <c r="Z7187">
        <v>-1.681906E-2</v>
      </c>
      <c r="AA7187">
        <v>0.99982709999999997</v>
      </c>
      <c r="AB7187">
        <v>41</v>
      </c>
      <c r="AC7187">
        <v>-0.47550000000001003</v>
      </c>
      <c r="AD7187">
        <v>-1.1217217922968901</v>
      </c>
      <c r="AE7187">
        <v>34.715760000000003</v>
      </c>
      <c r="AF7187">
        <v>-0.27781877058918097</v>
      </c>
      <c r="AG7187">
        <v>-1.1217217922968901</v>
      </c>
      <c r="AH7187">
        <v>34.681700140024198</v>
      </c>
      <c r="AI7187">
        <v>91.852431332585198</v>
      </c>
      <c r="AJ7187">
        <v>90.458959696266305</v>
      </c>
      <c r="AK7187">
        <v>34.700947647739603</v>
      </c>
      <c r="AL7187">
        <v>94.721216101576005</v>
      </c>
      <c r="AM7187">
        <v>90.816498262333994</v>
      </c>
      <c r="AN7187">
        <v>1.0000000159618501</v>
      </c>
    </row>
    <row r="7188" spans="1:40" x14ac:dyDescent="0.25">
      <c r="A7188" t="str">
        <f>"20190303154703167"</f>
        <v>20190303154703167</v>
      </c>
      <c r="B7188" t="str">
        <f>"1551599223159004"</f>
        <v>1551599223159004</v>
      </c>
      <c r="C7188" t="s">
        <v>40</v>
      </c>
      <c r="D7188">
        <v>5.1030680000000004</v>
      </c>
      <c r="E7188">
        <v>0.50260649999999996</v>
      </c>
      <c r="F7188" t="s">
        <v>41</v>
      </c>
      <c r="G7188">
        <v>-188.06370000000001</v>
      </c>
      <c r="H7188" s="1">
        <v>-2.5470910000000001E-6</v>
      </c>
      <c r="I7188">
        <v>64.769490000000005</v>
      </c>
      <c r="J7188">
        <v>-187.52289999999999</v>
      </c>
      <c r="K7188">
        <v>1.1217999999999999</v>
      </c>
      <c r="L7188">
        <v>26.091159999999999</v>
      </c>
      <c r="M7188">
        <v>-6.8547149999999999E-3</v>
      </c>
      <c r="N7188">
        <v>-1.5104370000000001E-2</v>
      </c>
      <c r="O7188">
        <v>0.99986240000000004</v>
      </c>
      <c r="P7188">
        <v>-2.0292259999999999E-2</v>
      </c>
      <c r="Q7188">
        <v>-9.4733990000000004E-2</v>
      </c>
      <c r="R7188">
        <v>0.99529579999999995</v>
      </c>
      <c r="S7188">
        <v>-4.1854860000000001E-2</v>
      </c>
      <c r="T7188">
        <v>-8.6279389999999997E-2</v>
      </c>
      <c r="U7188">
        <v>3.005646</v>
      </c>
      <c r="V7188">
        <v>-1.3246590000000001E-2</v>
      </c>
      <c r="W7188">
        <v>-7.9725340000000006E-2</v>
      </c>
      <c r="X7188">
        <v>0.99672879999999997</v>
      </c>
      <c r="Y7188">
        <v>-7.0652800000000002E-3</v>
      </c>
      <c r="Z7188">
        <v>-1.359049E-2</v>
      </c>
      <c r="AA7188">
        <v>0.99988270000000001</v>
      </c>
      <c r="AB7188">
        <v>41</v>
      </c>
      <c r="AC7188">
        <v>-0.54080000000001804</v>
      </c>
      <c r="AD7188">
        <v>-1.12180254709099</v>
      </c>
      <c r="AE7188">
        <v>38.678329999999903</v>
      </c>
      <c r="AF7188">
        <v>-0.27539648996081401</v>
      </c>
      <c r="AG7188">
        <v>-1.12180254709099</v>
      </c>
      <c r="AH7188">
        <v>38.648623813835997</v>
      </c>
      <c r="AI7188">
        <v>91.662539920450996</v>
      </c>
      <c r="AJ7188">
        <v>90.408262648414393</v>
      </c>
      <c r="AK7188">
        <v>38.665881690254501</v>
      </c>
      <c r="AL7188">
        <v>94.572778673243803</v>
      </c>
      <c r="AM7188">
        <v>90.761419776264802</v>
      </c>
      <c r="AN7188">
        <v>0.99999995136708997</v>
      </c>
    </row>
    <row r="7189" spans="1:40" x14ac:dyDescent="0.25">
      <c r="A7189" t="str">
        <f>"20190303154703187"</f>
        <v>20190303154703187</v>
      </c>
      <c r="B7189" t="str">
        <f>"1551599223179500"</f>
        <v>1551599223179500</v>
      </c>
      <c r="C7189" t="s">
        <v>40</v>
      </c>
      <c r="D7189">
        <v>5.0820970000000001</v>
      </c>
      <c r="E7189">
        <v>0.50278789999999995</v>
      </c>
      <c r="F7189" t="s">
        <v>41</v>
      </c>
      <c r="G7189">
        <v>-188.12010000000001</v>
      </c>
      <c r="H7189" s="1">
        <v>-4.3829890000000001E-6</v>
      </c>
      <c r="I7189">
        <v>69.072299999999998</v>
      </c>
      <c r="J7189">
        <v>-187.52619999999999</v>
      </c>
      <c r="K7189">
        <v>1.121861</v>
      </c>
      <c r="L7189">
        <v>26.448180000000001</v>
      </c>
      <c r="M7189">
        <v>-7.9350219999999999E-3</v>
      </c>
      <c r="N7189">
        <v>-1.511617E-2</v>
      </c>
      <c r="O7189">
        <v>0.99985429999999997</v>
      </c>
      <c r="P7189">
        <v>-2.0260420000000001E-2</v>
      </c>
      <c r="Q7189">
        <v>-9.3148759999999997E-2</v>
      </c>
      <c r="R7189">
        <v>0.99544600000000005</v>
      </c>
      <c r="S7189">
        <v>-4.1763309999999998E-2</v>
      </c>
      <c r="T7189">
        <v>-7.8452709999999995E-2</v>
      </c>
      <c r="U7189">
        <v>3.0058590000000001</v>
      </c>
      <c r="V7189">
        <v>-1.213407E-2</v>
      </c>
      <c r="W7189">
        <v>-7.8124269999999996E-2</v>
      </c>
      <c r="X7189">
        <v>0.99686980000000003</v>
      </c>
      <c r="Y7189">
        <v>-5.9543319999999997E-3</v>
      </c>
      <c r="Z7189">
        <v>-1.0975149999999999E-2</v>
      </c>
      <c r="AA7189">
        <v>0.99992199999999998</v>
      </c>
      <c r="AB7189">
        <v>41</v>
      </c>
      <c r="AC7189">
        <v>-0.59390000000001897</v>
      </c>
      <c r="AD7189">
        <v>-1.121865382989</v>
      </c>
      <c r="AE7189">
        <v>42.624119999999998</v>
      </c>
      <c r="AF7189">
        <v>-0.25544241306547899</v>
      </c>
      <c r="AG7189">
        <v>-1.121865382989</v>
      </c>
      <c r="AH7189">
        <v>42.597987287837299</v>
      </c>
      <c r="AI7189">
        <v>91.508572261989002</v>
      </c>
      <c r="AJ7189">
        <v>90.343574841995107</v>
      </c>
      <c r="AK7189">
        <v>42.613523132201699</v>
      </c>
      <c r="AL7189">
        <v>94.480756752430693</v>
      </c>
      <c r="AM7189">
        <v>90.697379604457794</v>
      </c>
      <c r="AN7189">
        <v>1.00000001768491</v>
      </c>
    </row>
    <row r="7190" spans="1:40" x14ac:dyDescent="0.25">
      <c r="A7190" t="str">
        <f>"20190303154703211"</f>
        <v>20190303154703211</v>
      </c>
      <c r="B7190" t="str">
        <f>"1551599223208780"</f>
        <v>1551599223208780</v>
      </c>
      <c r="C7190" t="s">
        <v>40</v>
      </c>
      <c r="D7190">
        <v>4.9471509999999999</v>
      </c>
      <c r="E7190">
        <v>0.50806370000000001</v>
      </c>
      <c r="F7190" t="s">
        <v>41</v>
      </c>
      <c r="G7190">
        <v>-188.13650000000001</v>
      </c>
      <c r="H7190" s="1">
        <v>-1.377235E-6</v>
      </c>
      <c r="I7190">
        <v>72.072609999999997</v>
      </c>
      <c r="J7190">
        <v>-187.53110000000001</v>
      </c>
      <c r="K7190">
        <v>1.121915</v>
      </c>
      <c r="L7190">
        <v>26.902529999999999</v>
      </c>
      <c r="M7190">
        <v>-9.3359589999999996E-3</v>
      </c>
      <c r="N7190">
        <v>-1.5128279999999999E-2</v>
      </c>
      <c r="O7190">
        <v>0.99984200000000001</v>
      </c>
      <c r="P7190">
        <v>-2.0265310000000002E-2</v>
      </c>
      <c r="Q7190">
        <v>-9.1629100000000005E-2</v>
      </c>
      <c r="R7190">
        <v>0.995587</v>
      </c>
      <c r="S7190">
        <v>-4.0206909999999998E-2</v>
      </c>
      <c r="T7190">
        <v>-7.3914289999999994E-2</v>
      </c>
      <c r="U7190">
        <v>3.0059809999999998</v>
      </c>
      <c r="V7190">
        <v>-1.073926E-2</v>
      </c>
      <c r="W7190">
        <v>-7.6587440000000007E-2</v>
      </c>
      <c r="X7190">
        <v>0.99700500000000003</v>
      </c>
      <c r="Y7190">
        <v>-4.0358540000000002E-3</v>
      </c>
      <c r="Z7190">
        <v>-9.4532569999999996E-3</v>
      </c>
      <c r="AA7190">
        <v>0.99994720000000004</v>
      </c>
      <c r="AB7190">
        <v>41</v>
      </c>
      <c r="AC7190">
        <v>-0.60540000000000205</v>
      </c>
      <c r="AD7190">
        <v>-1.121916377235</v>
      </c>
      <c r="AE7190">
        <v>45.170079999999999</v>
      </c>
      <c r="AF7190">
        <v>-0.18350615473179199</v>
      </c>
      <c r="AG7190">
        <v>-1.121916377235</v>
      </c>
      <c r="AH7190">
        <v>45.145917825465098</v>
      </c>
      <c r="AI7190">
        <v>91.423546536747807</v>
      </c>
      <c r="AJ7190">
        <v>90.232890830063397</v>
      </c>
      <c r="AK7190">
        <v>45.160228821054297</v>
      </c>
      <c r="AL7190">
        <v>94.3924384448799</v>
      </c>
      <c r="AM7190">
        <v>90.617138808065803</v>
      </c>
      <c r="AN7190">
        <v>0.99999996884804998</v>
      </c>
    </row>
    <row r="7191" spans="1:40" x14ac:dyDescent="0.25">
      <c r="A7191" t="str">
        <f>"20190303154703232"</f>
        <v>20190303154703232</v>
      </c>
      <c r="B7191" t="str">
        <f>"1551599223229276"</f>
        <v>1551599223229276</v>
      </c>
      <c r="C7191" t="s">
        <v>40</v>
      </c>
      <c r="D7191">
        <v>5.190741</v>
      </c>
      <c r="E7191">
        <v>0.5071909</v>
      </c>
      <c r="F7191" t="s">
        <v>41</v>
      </c>
      <c r="G7191">
        <v>-187.46610000000001</v>
      </c>
      <c r="H7191" s="1">
        <v>-4.3447250000000001E-6</v>
      </c>
      <c r="I7191">
        <v>167.8716</v>
      </c>
      <c r="J7191">
        <v>-187.53550000000001</v>
      </c>
      <c r="K7191">
        <v>1.121956</v>
      </c>
      <c r="L7191">
        <v>27.272919999999999</v>
      </c>
      <c r="M7191">
        <v>-1.0482099999999999E-2</v>
      </c>
      <c r="N7191">
        <v>-1.5136159999999999E-2</v>
      </c>
      <c r="O7191">
        <v>0.99983049999999996</v>
      </c>
      <c r="P7191">
        <v>-1.984961E-2</v>
      </c>
      <c r="Q7191">
        <v>-9.0544449999999999E-2</v>
      </c>
      <c r="R7191">
        <v>0.99569459999999999</v>
      </c>
      <c r="S7191">
        <v>1.3885499999999999E-3</v>
      </c>
      <c r="T7191">
        <v>-2.3964289999999999E-2</v>
      </c>
      <c r="U7191">
        <v>3.0111080000000001</v>
      </c>
      <c r="V7191">
        <v>-9.1797219999999995E-3</v>
      </c>
      <c r="W7191">
        <v>-7.5489199999999895E-2</v>
      </c>
      <c r="X7191">
        <v>0.99710430000000005</v>
      </c>
      <c r="Y7191">
        <v>1.0942489999999999E-2</v>
      </c>
      <c r="Z7191">
        <v>7.1791550000000004E-3</v>
      </c>
      <c r="AA7191">
        <v>0.99991430000000003</v>
      </c>
      <c r="AB7191">
        <v>41</v>
      </c>
      <c r="AC7191">
        <v>6.9400000000001599E-2</v>
      </c>
      <c r="AD7191">
        <v>-1.1219603447249999</v>
      </c>
      <c r="AE7191">
        <v>140.59868</v>
      </c>
      <c r="AF7191">
        <v>1.5432361861109201</v>
      </c>
      <c r="AG7191">
        <v>-1.1219603447249999</v>
      </c>
      <c r="AH7191">
        <v>140.58127438104901</v>
      </c>
      <c r="AI7191">
        <v>90.4572326957814</v>
      </c>
      <c r="AJ7191">
        <v>89.371058705065593</v>
      </c>
      <c r="AK7191">
        <v>140.59422135899101</v>
      </c>
      <c r="AL7191">
        <v>94.329331363962496</v>
      </c>
      <c r="AM7191">
        <v>90.527471869093205</v>
      </c>
      <c r="AN7191">
        <v>0.99999993584556102</v>
      </c>
    </row>
    <row r="7192" spans="1:40" x14ac:dyDescent="0.25">
      <c r="A7192" t="str">
        <f>"20190303154703253"</f>
        <v>20190303154703253</v>
      </c>
      <c r="B7192" t="str">
        <f>"1551599223248796"</f>
        <v>1551599223248796</v>
      </c>
      <c r="C7192" t="s">
        <v>40</v>
      </c>
      <c r="D7192">
        <v>4.9190500000000004</v>
      </c>
      <c r="E7192">
        <v>0.5081639</v>
      </c>
      <c r="F7192" t="s">
        <v>41</v>
      </c>
      <c r="G7192">
        <v>-187.6454</v>
      </c>
      <c r="H7192" s="1">
        <v>-1.5281419999999999E-6</v>
      </c>
      <c r="I7192">
        <v>112.2213</v>
      </c>
      <c r="J7192">
        <v>-187.54079999999999</v>
      </c>
      <c r="K7192">
        <v>1.121983</v>
      </c>
      <c r="L7192">
        <v>27.676819999999999</v>
      </c>
      <c r="M7192">
        <v>-1.1721240000000001E-2</v>
      </c>
      <c r="N7192">
        <v>-1.5142940000000001E-2</v>
      </c>
      <c r="O7192">
        <v>0.9998167</v>
      </c>
      <c r="P7192">
        <v>-2.0046580000000001E-2</v>
      </c>
      <c r="Q7192">
        <v>-8.9057440000000002E-2</v>
      </c>
      <c r="R7192">
        <v>0.99582479999999995</v>
      </c>
      <c r="S7192">
        <v>-3.8909909999999999E-3</v>
      </c>
      <c r="T7192">
        <v>-3.9745089999999997E-2</v>
      </c>
      <c r="U7192">
        <v>3.009277</v>
      </c>
      <c r="V7192">
        <v>-8.1422379999999996E-3</v>
      </c>
      <c r="W7192">
        <v>-7.399058E-2</v>
      </c>
      <c r="X7192">
        <v>0.99722569999999999</v>
      </c>
      <c r="Y7192">
        <v>1.042742E-2</v>
      </c>
      <c r="Z7192">
        <v>1.9383779999999999E-3</v>
      </c>
      <c r="AA7192">
        <v>0.99994369999999999</v>
      </c>
      <c r="AB7192">
        <v>41</v>
      </c>
      <c r="AC7192">
        <v>-0.104600000000004</v>
      </c>
      <c r="AD7192">
        <v>-1.121984528142</v>
      </c>
      <c r="AE7192">
        <v>84.544479999999993</v>
      </c>
      <c r="AF7192">
        <v>0.88633080343612203</v>
      </c>
      <c r="AG7192">
        <v>-1.121984528142</v>
      </c>
      <c r="AH7192">
        <v>84.525010640251196</v>
      </c>
      <c r="AI7192">
        <v>90.760457396473001</v>
      </c>
      <c r="AJ7192">
        <v>89.399217430218201</v>
      </c>
      <c r="AK7192">
        <v>84.537103423934994</v>
      </c>
      <c r="AL7192">
        <v>94.243225647627099</v>
      </c>
      <c r="AM7192">
        <v>90.467803333567403</v>
      </c>
      <c r="AN7192">
        <v>0.99999999935443695</v>
      </c>
    </row>
    <row r="7193" spans="1:40" x14ac:dyDescent="0.25">
      <c r="A7193" t="str">
        <f>"20190303154703277"</f>
        <v>20190303154703277</v>
      </c>
      <c r="B7193" t="str">
        <f>"1551599223269292"</f>
        <v>1551599223269292</v>
      </c>
      <c r="C7193" t="s">
        <v>40</v>
      </c>
      <c r="D7193">
        <v>4.9412089999999997</v>
      </c>
      <c r="E7193">
        <v>0.50864860000000001</v>
      </c>
      <c r="F7193" t="s">
        <v>61</v>
      </c>
      <c r="G7193">
        <v>-187.4135</v>
      </c>
      <c r="H7193" s="1">
        <v>-9.4234660000000008E-6</v>
      </c>
      <c r="I7193">
        <v>143.97550000000001</v>
      </c>
      <c r="J7193">
        <v>-187.54689999999999</v>
      </c>
      <c r="K7193">
        <v>1.122001</v>
      </c>
      <c r="L7193">
        <v>28.096979999999999</v>
      </c>
      <c r="M7193">
        <v>-1.2985139999999999E-2</v>
      </c>
      <c r="N7193">
        <v>-1.514825E-2</v>
      </c>
      <c r="O7193">
        <v>0.99980089999999999</v>
      </c>
      <c r="P7193">
        <v>-2.0396480000000002E-2</v>
      </c>
      <c r="Q7193">
        <v>-8.7825429999999996E-2</v>
      </c>
      <c r="R7193">
        <v>0.99592700000000001</v>
      </c>
      <c r="S7193">
        <v>3.2958979999999998E-3</v>
      </c>
      <c r="T7193">
        <v>-2.903938E-2</v>
      </c>
      <c r="U7193">
        <v>3.01004</v>
      </c>
      <c r="V7193">
        <v>-7.2346659999999998E-3</v>
      </c>
      <c r="W7193">
        <v>-7.2748899999999894E-2</v>
      </c>
      <c r="X7193">
        <v>0.99732399999999999</v>
      </c>
      <c r="Y7193">
        <v>1.407884E-2</v>
      </c>
      <c r="Z7193">
        <v>5.5034059999999997E-3</v>
      </c>
      <c r="AA7193">
        <v>0.99988569999999999</v>
      </c>
      <c r="AB7193">
        <v>41</v>
      </c>
      <c r="AC7193">
        <v>0.133399999999994</v>
      </c>
      <c r="AD7193">
        <v>-1.122010423466</v>
      </c>
      <c r="AE7193">
        <v>115.87851999999999</v>
      </c>
      <c r="AF7193">
        <v>1.6381067063203301</v>
      </c>
      <c r="AG7193">
        <v>-1.122010423466</v>
      </c>
      <c r="AH7193">
        <v>115.85615365022601</v>
      </c>
      <c r="AI7193">
        <v>90.554808922597402</v>
      </c>
      <c r="AJ7193">
        <v>89.189940767074305</v>
      </c>
      <c r="AK7193">
        <v>115.87316617576499</v>
      </c>
      <c r="AL7193">
        <v>94.171890555428803</v>
      </c>
      <c r="AM7193">
        <v>90.415620758531006</v>
      </c>
      <c r="AN7193">
        <v>0.99999995190966895</v>
      </c>
    </row>
    <row r="7194" spans="1:40" x14ac:dyDescent="0.25">
      <c r="A7194" t="str">
        <f>"20190303154703299"</f>
        <v>20190303154703299</v>
      </c>
      <c r="B7194" t="str">
        <f>"1551599223288812"</f>
        <v>1551599223288812</v>
      </c>
      <c r="C7194" t="s">
        <v>40</v>
      </c>
      <c r="D7194">
        <v>4.9197050000000004</v>
      </c>
      <c r="E7194">
        <v>0.50907049999999998</v>
      </c>
      <c r="F7194" t="s">
        <v>41</v>
      </c>
      <c r="G7194">
        <v>-187.23480000000001</v>
      </c>
      <c r="H7194" s="1">
        <v>-1.1577270000000001E-6</v>
      </c>
      <c r="I7194">
        <v>180.88800000000001</v>
      </c>
      <c r="J7194">
        <v>-187.55330000000001</v>
      </c>
      <c r="K7194">
        <v>1.1220049999999999</v>
      </c>
      <c r="L7194">
        <v>28.506710000000002</v>
      </c>
      <c r="M7194">
        <v>-1.418377E-2</v>
      </c>
      <c r="N7194">
        <v>-1.5151960000000001E-2</v>
      </c>
      <c r="O7194">
        <v>0.99978460000000002</v>
      </c>
      <c r="P7194">
        <v>-2.1275240000000001E-2</v>
      </c>
      <c r="Q7194">
        <v>-8.6369310000000005E-2</v>
      </c>
      <c r="R7194">
        <v>0.99603600000000003</v>
      </c>
      <c r="S7194">
        <v>6.1492919999999998E-3</v>
      </c>
      <c r="T7194">
        <v>-2.2106770000000001E-2</v>
      </c>
      <c r="U7194">
        <v>3.010437</v>
      </c>
      <c r="V7194">
        <v>-6.9234300000000004E-3</v>
      </c>
      <c r="W7194">
        <v>-7.1286189999999999E-2</v>
      </c>
      <c r="X7194">
        <v>0.99743190000000004</v>
      </c>
      <c r="Y7194">
        <v>1.6224990000000002E-2</v>
      </c>
      <c r="Z7194">
        <v>7.81103599999999E-3</v>
      </c>
      <c r="AA7194">
        <v>0.99983789999999995</v>
      </c>
      <c r="AB7194">
        <v>41</v>
      </c>
      <c r="AC7194">
        <v>0.31850000000000001</v>
      </c>
      <c r="AD7194">
        <v>-1.122006157727</v>
      </c>
      <c r="AE7194">
        <v>152.38128999999901</v>
      </c>
      <c r="AF7194">
        <v>2.4799228089532801</v>
      </c>
      <c r="AG7194">
        <v>-1.122006157727</v>
      </c>
      <c r="AH7194">
        <v>152.353179738005</v>
      </c>
      <c r="AI7194">
        <v>90.421891692834095</v>
      </c>
      <c r="AJ7194">
        <v>89.067452588759807</v>
      </c>
      <c r="AK7194">
        <v>152.37749273182499</v>
      </c>
      <c r="AL7194">
        <v>94.087864951984102</v>
      </c>
      <c r="AM7194">
        <v>90.397698277012907</v>
      </c>
      <c r="AN7194">
        <v>1.00000002495264</v>
      </c>
    </row>
    <row r="7195" spans="1:40" x14ac:dyDescent="0.25">
      <c r="A7195" t="str">
        <f>"20190303154703323"</f>
        <v>20190303154703323</v>
      </c>
      <c r="B7195" t="str">
        <f>"1551599223319068"</f>
        <v>1551599223319068</v>
      </c>
      <c r="C7195" t="s">
        <v>40</v>
      </c>
      <c r="D7195">
        <v>4.8742429999999999</v>
      </c>
      <c r="E7195">
        <v>0.50903679999999996</v>
      </c>
      <c r="F7195" t="s">
        <v>41</v>
      </c>
      <c r="G7195">
        <v>-187.0017</v>
      </c>
      <c r="H7195" s="1">
        <v>-3.7691870000000001E-6</v>
      </c>
      <c r="I7195">
        <v>267.17910000000001</v>
      </c>
      <c r="J7195">
        <v>-187.56059999999999</v>
      </c>
      <c r="K7195">
        <v>1.1220000000000001</v>
      </c>
      <c r="L7195">
        <v>28.944310000000002</v>
      </c>
      <c r="M7195">
        <v>-1.541495E-2</v>
      </c>
      <c r="N7195">
        <v>-1.515469E-2</v>
      </c>
      <c r="O7195">
        <v>0.9997663</v>
      </c>
      <c r="P7195">
        <v>-2.2549489999999998E-2</v>
      </c>
      <c r="Q7195">
        <v>-8.5092979999999999E-2</v>
      </c>
      <c r="R7195">
        <v>0.99611780000000005</v>
      </c>
      <c r="S7195">
        <v>6.9580079999999999E-3</v>
      </c>
      <c r="T7195">
        <v>-1.41542E-2</v>
      </c>
      <c r="U7195">
        <v>3.0108640000000002</v>
      </c>
      <c r="V7195">
        <v>-6.9768570000000004E-3</v>
      </c>
      <c r="W7195">
        <v>-7.0005419999999999E-2</v>
      </c>
      <c r="X7195">
        <v>0.99752220000000003</v>
      </c>
      <c r="Y7195">
        <v>1.7724569999999999E-2</v>
      </c>
      <c r="Z7195">
        <v>1.0455549999999999E-2</v>
      </c>
      <c r="AA7195">
        <v>0.99978820000000002</v>
      </c>
      <c r="AB7195">
        <v>41</v>
      </c>
      <c r="AC7195">
        <v>0.55889999999999396</v>
      </c>
      <c r="AD7195">
        <v>-1.122003769187</v>
      </c>
      <c r="AE7195">
        <v>238.23479</v>
      </c>
      <c r="AF7195">
        <v>4.2315389857605004</v>
      </c>
      <c r="AG7195">
        <v>-1.122003769187</v>
      </c>
      <c r="AH7195">
        <v>238.19257736591399</v>
      </c>
      <c r="AI7195">
        <v>90.269846625869704</v>
      </c>
      <c r="AJ7195">
        <v>88.982236027759996</v>
      </c>
      <c r="AK7195">
        <v>238.232803633049</v>
      </c>
      <c r="AL7195">
        <v>94.014298575429606</v>
      </c>
      <c r="AM7195">
        <v>90.400730873194803</v>
      </c>
      <c r="AN7195">
        <v>0.99999998742790697</v>
      </c>
    </row>
    <row r="7196" spans="1:40" x14ac:dyDescent="0.25">
      <c r="A7196" t="str">
        <f>"20190303154703346"</f>
        <v>20190303154703346</v>
      </c>
      <c r="B7196" t="str">
        <f>"1551599223339564"</f>
        <v>1551599223339564</v>
      </c>
      <c r="C7196" t="s">
        <v>40</v>
      </c>
      <c r="D7196">
        <v>4.8860700000000001</v>
      </c>
      <c r="E7196">
        <v>0.50905359999999999</v>
      </c>
      <c r="F7196" t="s">
        <v>41</v>
      </c>
      <c r="G7196">
        <v>-187.3186</v>
      </c>
      <c r="H7196" s="1">
        <v>-1.4618799999999901E-6</v>
      </c>
      <c r="I7196">
        <v>321.84739999999999</v>
      </c>
      <c r="J7196">
        <v>-187.56780000000001</v>
      </c>
      <c r="K7196">
        <v>1.1219730000000001</v>
      </c>
      <c r="L7196">
        <v>29.349460000000001</v>
      </c>
      <c r="M7196">
        <v>-1.650372E-2</v>
      </c>
      <c r="N7196">
        <v>-1.5155999999999999E-2</v>
      </c>
      <c r="O7196">
        <v>0.99974890000000005</v>
      </c>
      <c r="P7196">
        <v>-2.3774770000000001E-2</v>
      </c>
      <c r="Q7196">
        <v>-8.3648440000000004E-2</v>
      </c>
      <c r="R7196">
        <v>0.99621159999999997</v>
      </c>
      <c r="S7196">
        <v>2.487183E-3</v>
      </c>
      <c r="T7196">
        <v>-1.1533140000000001E-2</v>
      </c>
      <c r="U7196">
        <v>3.0107729999999999</v>
      </c>
      <c r="V7196">
        <v>-7.1245519999999897E-3</v>
      </c>
      <c r="W7196">
        <v>-6.8557870000000007E-2</v>
      </c>
      <c r="X7196">
        <v>0.99762169999999895</v>
      </c>
      <c r="Y7196">
        <v>1.732904E-2</v>
      </c>
      <c r="Z7196">
        <v>1.1326900000000001E-2</v>
      </c>
      <c r="AA7196">
        <v>0.9997857</v>
      </c>
      <c r="AB7196">
        <v>41</v>
      </c>
      <c r="AC7196">
        <v>0.249200000000001</v>
      </c>
      <c r="AD7196">
        <v>-1.1219744618799901</v>
      </c>
      <c r="AE7196">
        <v>292.49794000000003</v>
      </c>
      <c r="AF7196">
        <v>5.0769501205377496</v>
      </c>
      <c r="AG7196">
        <v>-1.1219744618799901</v>
      </c>
      <c r="AH7196">
        <v>292.44967769607001</v>
      </c>
      <c r="AI7196">
        <v>90.219779355084498</v>
      </c>
      <c r="AJ7196">
        <v>89.005440524246595</v>
      </c>
      <c r="AK7196">
        <v>292.49589438786097</v>
      </c>
      <c r="AL7196">
        <v>93.931160247933093</v>
      </c>
      <c r="AM7196">
        <v>90.409172957052206</v>
      </c>
      <c r="AN7196">
        <v>0.99999999854551302</v>
      </c>
    </row>
    <row r="7197" spans="1:40" x14ac:dyDescent="0.25">
      <c r="A7197" t="str">
        <f>"20190303154703368"</f>
        <v>20190303154703368</v>
      </c>
      <c r="B7197" t="str">
        <f>"1551599223359084"</f>
        <v>1551599223359084</v>
      </c>
      <c r="C7197" t="s">
        <v>40</v>
      </c>
      <c r="D7197">
        <v>4.8916599999999999</v>
      </c>
      <c r="E7197">
        <v>0.509067099999999</v>
      </c>
      <c r="F7197" t="s">
        <v>77</v>
      </c>
      <c r="G7197">
        <v>-187.69640000000001</v>
      </c>
      <c r="H7197">
        <v>0.23749729999999999</v>
      </c>
      <c r="I7197">
        <v>391.87</v>
      </c>
      <c r="J7197">
        <v>-187.57560000000001</v>
      </c>
      <c r="K7197">
        <v>1.1219509999999999</v>
      </c>
      <c r="L7197">
        <v>29.764949999999999</v>
      </c>
      <c r="M7197">
        <v>-1.7575339999999998E-2</v>
      </c>
      <c r="N7197">
        <v>-1.5156319999999999E-2</v>
      </c>
      <c r="O7197">
        <v>0.99973060000000002</v>
      </c>
      <c r="P7197">
        <v>-2.4291730000000001E-2</v>
      </c>
      <c r="Q7197">
        <v>-8.2307409999999998E-2</v>
      </c>
      <c r="R7197">
        <v>0.9963109</v>
      </c>
      <c r="S7197">
        <v>-1.0681149999999999E-3</v>
      </c>
      <c r="T7197">
        <v>-7.3456759999999998E-3</v>
      </c>
      <c r="U7197">
        <v>3.0107729999999999</v>
      </c>
      <c r="V7197">
        <v>-6.5814269999999999E-3</v>
      </c>
      <c r="W7197">
        <v>-6.7212740000000007E-2</v>
      </c>
      <c r="X7197">
        <v>0.99771699999999996</v>
      </c>
      <c r="Y7197">
        <v>1.722038E-2</v>
      </c>
      <c r="Z7197">
        <v>1.271746E-2</v>
      </c>
      <c r="AA7197">
        <v>0.99977079999999996</v>
      </c>
      <c r="AB7197">
        <v>41</v>
      </c>
      <c r="AC7197">
        <v>-0.120800000000002</v>
      </c>
      <c r="AD7197">
        <v>-0.88445369999999901</v>
      </c>
      <c r="AE7197">
        <v>362.10505000000001</v>
      </c>
      <c r="AF7197">
        <v>6.2440322548997997</v>
      </c>
      <c r="AG7197">
        <v>-0.88445369999999901</v>
      </c>
      <c r="AH7197">
        <v>362.049070412628</v>
      </c>
      <c r="AI7197">
        <v>90.139947407293903</v>
      </c>
      <c r="AJ7197">
        <v>89.011953735412703</v>
      </c>
      <c r="AK7197">
        <v>362.10399001363601</v>
      </c>
      <c r="AL7197">
        <v>93.853911608546099</v>
      </c>
      <c r="AM7197">
        <v>90.377945370206305</v>
      </c>
      <c r="AN7197">
        <v>1.0000000398443301</v>
      </c>
    </row>
    <row r="7198" spans="1:40" x14ac:dyDescent="0.25">
      <c r="A7198" t="str">
        <f>"20190303154703388"</f>
        <v>20190303154703388</v>
      </c>
      <c r="B7198" t="str">
        <f>"1551599223378604"</f>
        <v>1551599223378604</v>
      </c>
      <c r="C7198" t="s">
        <v>40</v>
      </c>
      <c r="D7198">
        <v>4.8143180000000001</v>
      </c>
      <c r="E7198">
        <v>0.50899899999999998</v>
      </c>
      <c r="F7198" t="s">
        <v>77</v>
      </c>
      <c r="G7198">
        <v>-187.88220000000001</v>
      </c>
      <c r="H7198">
        <v>0.72680089999999997</v>
      </c>
      <c r="I7198">
        <v>391.87</v>
      </c>
      <c r="J7198">
        <v>-187.58269999999999</v>
      </c>
      <c r="K7198">
        <v>1.1219190000000001</v>
      </c>
      <c r="L7198">
        <v>30.122409999999999</v>
      </c>
      <c r="M7198">
        <v>-1.8459139999999999E-2</v>
      </c>
      <c r="N7198">
        <v>-1.515595E-2</v>
      </c>
      <c r="O7198">
        <v>0.99971469999999996</v>
      </c>
      <c r="P7198">
        <v>-2.4822440000000001E-2</v>
      </c>
      <c r="Q7198">
        <v>-8.1489859999999997E-2</v>
      </c>
      <c r="R7198">
        <v>0.99636499999999995</v>
      </c>
      <c r="S7198">
        <v>-2.5482180000000001E-3</v>
      </c>
      <c r="T7198">
        <v>-3.2855269999999999E-3</v>
      </c>
      <c r="U7198">
        <v>3.0107729999999999</v>
      </c>
      <c r="V7198">
        <v>-6.2373280000000003E-3</v>
      </c>
      <c r="W7198">
        <v>-6.6393060000000004E-2</v>
      </c>
      <c r="X7198">
        <v>0.9977741</v>
      </c>
      <c r="Y7198">
        <v>1.7612949999999999E-2</v>
      </c>
      <c r="Z7198">
        <v>1.4065060000000001E-2</v>
      </c>
      <c r="AA7198">
        <v>0.99974600000000002</v>
      </c>
      <c r="AB7198">
        <v>41</v>
      </c>
      <c r="AC7198">
        <v>-0.29950000000002303</v>
      </c>
      <c r="AD7198">
        <v>-0.39511810000000003</v>
      </c>
      <c r="AE7198">
        <v>361.74759</v>
      </c>
      <c r="AF7198">
        <v>6.3788601520589197</v>
      </c>
      <c r="AG7198">
        <v>-0.39511810000000003</v>
      </c>
      <c r="AH7198">
        <v>361.691037320737</v>
      </c>
      <c r="AI7198">
        <v>90.0625812318074</v>
      </c>
      <c r="AJ7198">
        <v>88.989624177775198</v>
      </c>
      <c r="AK7198">
        <v>361.74749819909403</v>
      </c>
      <c r="AL7198">
        <v>93.806842227032703</v>
      </c>
      <c r="AM7198">
        <v>90.358165154626306</v>
      </c>
      <c r="AN7198">
        <v>1.0000000486537699</v>
      </c>
    </row>
    <row r="7199" spans="1:40" x14ac:dyDescent="0.25">
      <c r="A7199" t="str">
        <f>"20190303154703411"</f>
        <v>20190303154703411</v>
      </c>
      <c r="B7199" t="str">
        <f>"1551599223408860"</f>
        <v>1551599223408860</v>
      </c>
      <c r="C7199" t="s">
        <v>40</v>
      </c>
      <c r="D7199">
        <v>4.8591040000000003</v>
      </c>
      <c r="E7199">
        <v>0.50896160000000001</v>
      </c>
      <c r="F7199" t="s">
        <v>77</v>
      </c>
      <c r="G7199">
        <v>-188.1584</v>
      </c>
      <c r="H7199">
        <v>0.85993960000000003</v>
      </c>
      <c r="I7199">
        <v>391.87</v>
      </c>
      <c r="J7199">
        <v>-187.59129999999999</v>
      </c>
      <c r="K7199">
        <v>1.12188</v>
      </c>
      <c r="L7199">
        <v>30.538209999999999</v>
      </c>
      <c r="M7199">
        <v>-1.9436080000000001E-2</v>
      </c>
      <c r="N7199">
        <v>-1.5154910000000001E-2</v>
      </c>
      <c r="O7199">
        <v>0.99969629999999998</v>
      </c>
      <c r="P7199">
        <v>-2.5128290000000001E-2</v>
      </c>
      <c r="Q7199">
        <v>-8.0958390000000005E-2</v>
      </c>
      <c r="R7199">
        <v>0.99640070000000003</v>
      </c>
      <c r="S7199">
        <v>-4.7912600000000003E-3</v>
      </c>
      <c r="T7199">
        <v>-2.180338E-3</v>
      </c>
      <c r="U7199">
        <v>3.0106510000000002</v>
      </c>
      <c r="V7199">
        <v>-5.5766710000000001E-3</v>
      </c>
      <c r="W7199">
        <v>-6.5859559999999998E-2</v>
      </c>
      <c r="X7199">
        <v>0.99781330000000001</v>
      </c>
      <c r="Y7199">
        <v>1.7845179999999999E-2</v>
      </c>
      <c r="Z7199">
        <v>1.4430810000000001E-2</v>
      </c>
      <c r="AA7199">
        <v>0.99973659999999998</v>
      </c>
      <c r="AB7199">
        <v>41</v>
      </c>
      <c r="AC7199">
        <v>-0.56710000000001004</v>
      </c>
      <c r="AD7199">
        <v>-0.26194040000000002</v>
      </c>
      <c r="AE7199">
        <v>361.33179000000001</v>
      </c>
      <c r="AF7199">
        <v>6.4566835097859103</v>
      </c>
      <c r="AG7199">
        <v>-0.26194040000000002</v>
      </c>
      <c r="AH7199">
        <v>361.27435292258201</v>
      </c>
      <c r="AI7199">
        <v>90.041535415906196</v>
      </c>
      <c r="AJ7199">
        <v>88.976120690353</v>
      </c>
      <c r="AK7199">
        <v>361.33214007938602</v>
      </c>
      <c r="AL7199">
        <v>93.776208133960097</v>
      </c>
      <c r="AM7199">
        <v>90.320216602931893</v>
      </c>
      <c r="AN7199">
        <v>0.999999981279862</v>
      </c>
    </row>
    <row r="7200" spans="1:40" x14ac:dyDescent="0.25">
      <c r="A7200" t="str">
        <f>"20190303154703434"</f>
        <v>20190303154703434</v>
      </c>
      <c r="B7200" t="str">
        <f>"1551599223429356"</f>
        <v>1551599223429356</v>
      </c>
      <c r="C7200" t="s">
        <v>40</v>
      </c>
      <c r="D7200">
        <v>4.8664690000000004</v>
      </c>
      <c r="E7200">
        <v>0.50904349999999998</v>
      </c>
      <c r="F7200" t="s">
        <v>77</v>
      </c>
      <c r="G7200">
        <v>-188.31290000000001</v>
      </c>
      <c r="H7200">
        <v>0.72969249999999997</v>
      </c>
      <c r="I7200">
        <v>391.87</v>
      </c>
      <c r="J7200">
        <v>-187.6002</v>
      </c>
      <c r="K7200">
        <v>1.1218399999999999</v>
      </c>
      <c r="L7200">
        <v>30.9512</v>
      </c>
      <c r="M7200">
        <v>-2.034857E-2</v>
      </c>
      <c r="N7200">
        <v>-1.5153299999999899E-2</v>
      </c>
      <c r="O7200">
        <v>0.99967810000000001</v>
      </c>
      <c r="P7200">
        <v>-2.575231E-2</v>
      </c>
      <c r="Q7200">
        <v>-8.1548609999999994E-2</v>
      </c>
      <c r="R7200">
        <v>0.99633660000000002</v>
      </c>
      <c r="S7200">
        <v>-6.0119630000000004E-3</v>
      </c>
      <c r="T7200">
        <v>-3.2675270000000001E-3</v>
      </c>
      <c r="U7200">
        <v>3.010437</v>
      </c>
      <c r="V7200">
        <v>-5.2985979999999998E-3</v>
      </c>
      <c r="W7200">
        <v>-6.6450599999999999E-2</v>
      </c>
      <c r="X7200">
        <v>0.99777570000000004</v>
      </c>
      <c r="Y7200">
        <v>1.8352179999999999E-2</v>
      </c>
      <c r="Z7200">
        <v>1.406814E-2</v>
      </c>
      <c r="AA7200">
        <v>0.99973259999999997</v>
      </c>
      <c r="AB7200">
        <v>41</v>
      </c>
      <c r="AC7200">
        <v>-0.71270000000001199</v>
      </c>
      <c r="AD7200">
        <v>-0.39214749999999998</v>
      </c>
      <c r="AE7200">
        <v>360.91879999999998</v>
      </c>
      <c r="AF7200">
        <v>6.6324646123425302</v>
      </c>
      <c r="AG7200">
        <v>-0.39214749999999998</v>
      </c>
      <c r="AH7200">
        <v>360.858131388385</v>
      </c>
      <c r="AI7200">
        <v>90.062253256337698</v>
      </c>
      <c r="AJ7200">
        <v>88.947039252822094</v>
      </c>
      <c r="AK7200">
        <v>360.919290639351</v>
      </c>
      <c r="AL7200">
        <v>93.810146308215494</v>
      </c>
      <c r="AM7200">
        <v>90.304261217243706</v>
      </c>
      <c r="AN7200">
        <v>1.0000000524457999</v>
      </c>
    </row>
    <row r="7201" spans="1:40" x14ac:dyDescent="0.25">
      <c r="A7201" t="str">
        <f>"20190303154703455"</f>
        <v>20190303154703455</v>
      </c>
      <c r="B7201" t="str">
        <f>"1551599223448876"</f>
        <v>1551599223448876</v>
      </c>
      <c r="C7201" t="s">
        <v>40</v>
      </c>
      <c r="D7201">
        <v>4.8771230000000001</v>
      </c>
      <c r="E7201">
        <v>0.50910250000000001</v>
      </c>
      <c r="F7201" t="s">
        <v>77</v>
      </c>
      <c r="G7201">
        <v>-188.49850000000001</v>
      </c>
      <c r="H7201">
        <v>0.27956769999999997</v>
      </c>
      <c r="I7201">
        <v>391.87</v>
      </c>
      <c r="J7201">
        <v>-187.6088</v>
      </c>
      <c r="K7201">
        <v>1.121788</v>
      </c>
      <c r="L7201">
        <v>31.34018</v>
      </c>
      <c r="M7201">
        <v>-2.114895E-2</v>
      </c>
      <c r="N7201">
        <v>-1.5151380000000001E-2</v>
      </c>
      <c r="O7201">
        <v>0.99966149999999998</v>
      </c>
      <c r="P7201">
        <v>-2.628813E-2</v>
      </c>
      <c r="Q7201">
        <v>-8.0735689999999999E-2</v>
      </c>
      <c r="R7201">
        <v>0.99638879999999996</v>
      </c>
      <c r="S7201">
        <v>-7.492065E-3</v>
      </c>
      <c r="T7201">
        <v>-7.0250030000000002E-3</v>
      </c>
      <c r="U7201">
        <v>3.0102540000000002</v>
      </c>
      <c r="V7201">
        <v>-5.0452819999999999E-3</v>
      </c>
      <c r="W7201">
        <v>-6.5637340000000002E-2</v>
      </c>
      <c r="X7201">
        <v>0.99783080000000002</v>
      </c>
      <c r="Y7201">
        <v>1.8660759999999998E-2</v>
      </c>
      <c r="Z7201">
        <v>1.281852E-2</v>
      </c>
      <c r="AA7201">
        <v>0.99974370000000001</v>
      </c>
      <c r="AB7201">
        <v>41</v>
      </c>
      <c r="AC7201">
        <v>-0.88970000000000404</v>
      </c>
      <c r="AD7201">
        <v>-0.84222029999999903</v>
      </c>
      <c r="AE7201">
        <v>360.52981999999997</v>
      </c>
      <c r="AF7201">
        <v>6.73616492487852</v>
      </c>
      <c r="AG7201">
        <v>-0.84222029999999903</v>
      </c>
      <c r="AH7201">
        <v>360.46601517892401</v>
      </c>
      <c r="AI7201">
        <v>90.133846618385405</v>
      </c>
      <c r="AJ7201">
        <v>88.929416682559307</v>
      </c>
      <c r="AK7201">
        <v>360.52993405804898</v>
      </c>
      <c r="AL7201">
        <v>93.763448146561998</v>
      </c>
      <c r="AM7201">
        <v>90.289699317399496</v>
      </c>
      <c r="AN7201">
        <v>1.0000000103506801</v>
      </c>
    </row>
    <row r="7202" spans="1:40" x14ac:dyDescent="0.25">
      <c r="A7202" t="str">
        <f>"20190303154703478"</f>
        <v>20190303154703478</v>
      </c>
      <c r="B7202" t="str">
        <f>"1551599223469373"</f>
        <v>1551599223469373</v>
      </c>
      <c r="C7202" t="s">
        <v>40</v>
      </c>
      <c r="D7202">
        <v>4.8839329999999999</v>
      </c>
      <c r="E7202">
        <v>0.5092757</v>
      </c>
      <c r="F7202" t="s">
        <v>77</v>
      </c>
      <c r="G7202">
        <v>-188.65600000000001</v>
      </c>
      <c r="H7202">
        <v>0.4119816</v>
      </c>
      <c r="I7202">
        <v>391.87</v>
      </c>
      <c r="J7202">
        <v>-187.61789999999999</v>
      </c>
      <c r="K7202">
        <v>1.121737</v>
      </c>
      <c r="L7202">
        <v>31.739039999999999</v>
      </c>
      <c r="M7202">
        <v>-2.1902769999999998E-2</v>
      </c>
      <c r="N7202">
        <v>-1.5148999999999999E-2</v>
      </c>
      <c r="O7202">
        <v>0.99964540000000002</v>
      </c>
      <c r="P7202">
        <v>-2.6988249999999998E-2</v>
      </c>
      <c r="Q7202">
        <v>-8.1636029999999998E-2</v>
      </c>
      <c r="R7202">
        <v>0.99629679999999998</v>
      </c>
      <c r="S7202">
        <v>-8.7432859999999994E-3</v>
      </c>
      <c r="T7202">
        <v>-5.9263709999999997E-3</v>
      </c>
      <c r="U7202">
        <v>3.0101619999999998</v>
      </c>
      <c r="V7202">
        <v>-5.0040629999999996E-3</v>
      </c>
      <c r="W7202">
        <v>-6.6540169999999996E-2</v>
      </c>
      <c r="X7202">
        <v>0.99777119999999997</v>
      </c>
      <c r="Y7202">
        <v>1.8999100000000001E-2</v>
      </c>
      <c r="Z7202">
        <v>1.3180819999999999E-2</v>
      </c>
      <c r="AA7202">
        <v>0.99973259999999997</v>
      </c>
      <c r="AB7202">
        <v>41</v>
      </c>
      <c r="AC7202">
        <v>-1.03809999999998</v>
      </c>
      <c r="AD7202">
        <v>-0.70975539999999904</v>
      </c>
      <c r="AE7202">
        <v>360.13096000000002</v>
      </c>
      <c r="AF7202">
        <v>6.8508927373046102</v>
      </c>
      <c r="AG7202">
        <v>-0.70975539999999904</v>
      </c>
      <c r="AH7202">
        <v>360.06588809723098</v>
      </c>
      <c r="AI7202">
        <v>90.112919825770007</v>
      </c>
      <c r="AJ7202">
        <v>88.909977602231294</v>
      </c>
      <c r="AK7202">
        <v>360.131756799193</v>
      </c>
      <c r="AL7202">
        <v>93.815289870332606</v>
      </c>
      <c r="AM7202">
        <v>90.287349731583404</v>
      </c>
      <c r="AN7202">
        <v>1.0000000012097801</v>
      </c>
    </row>
    <row r="7203" spans="1:40" x14ac:dyDescent="0.25">
      <c r="A7203" t="str">
        <f>"20190303154703500"</f>
        <v>20190303154703500</v>
      </c>
      <c r="B7203" t="str">
        <f>"1551599223488892"</f>
        <v>1551599223488892</v>
      </c>
      <c r="C7203" t="s">
        <v>40</v>
      </c>
      <c r="D7203">
        <v>4.874841</v>
      </c>
      <c r="E7203">
        <v>0.50947929999999997</v>
      </c>
      <c r="F7203" t="s">
        <v>50</v>
      </c>
      <c r="G7203">
        <v>-188.67179999999999</v>
      </c>
      <c r="H7203" s="1">
        <v>-4.4266040000000002E-6</v>
      </c>
      <c r="I7203">
        <v>357.5872</v>
      </c>
      <c r="J7203">
        <v>-187.62739999999999</v>
      </c>
      <c r="K7203">
        <v>1.121667</v>
      </c>
      <c r="L7203">
        <v>32.140630000000002</v>
      </c>
      <c r="M7203">
        <v>-2.258659E-2</v>
      </c>
      <c r="N7203">
        <v>-1.5146140000000001E-2</v>
      </c>
      <c r="O7203">
        <v>0.99963020000000002</v>
      </c>
      <c r="P7203">
        <v>-2.7361300000000002E-2</v>
      </c>
      <c r="Q7203">
        <v>-8.1848820000000003E-2</v>
      </c>
      <c r="R7203">
        <v>0.99626910000000002</v>
      </c>
      <c r="S7203">
        <v>-9.7351069999999998E-3</v>
      </c>
      <c r="T7203">
        <v>-1.0362150000000001E-2</v>
      </c>
      <c r="U7203">
        <v>3.01004</v>
      </c>
      <c r="V7203">
        <v>-4.7071120000000003E-3</v>
      </c>
      <c r="W7203">
        <v>-6.6754510000000003E-2</v>
      </c>
      <c r="X7203">
        <v>0.99775829999999999</v>
      </c>
      <c r="Y7203">
        <v>1.9353189999999999E-2</v>
      </c>
      <c r="Z7203">
        <v>1.170503E-2</v>
      </c>
      <c r="AA7203">
        <v>0.99974419999999997</v>
      </c>
      <c r="AB7203">
        <v>40</v>
      </c>
      <c r="AC7203">
        <v>-1.04439999999999</v>
      </c>
      <c r="AD7203">
        <v>-1.121671426604</v>
      </c>
      <c r="AE7203">
        <v>325.44657000000001</v>
      </c>
      <c r="AF7203">
        <v>6.3073627578072697</v>
      </c>
      <c r="AG7203">
        <v>-1.121671426604</v>
      </c>
      <c r="AH7203">
        <v>325.383253444952</v>
      </c>
      <c r="AI7203">
        <v>90.1974739409535</v>
      </c>
      <c r="AJ7203">
        <v>88.889494133141298</v>
      </c>
      <c r="AK7203">
        <v>325.44631292145499</v>
      </c>
      <c r="AL7203">
        <v>93.827598120461005</v>
      </c>
      <c r="AM7203">
        <v>90.270301585537595</v>
      </c>
      <c r="AN7203">
        <v>0.99999997336380497</v>
      </c>
    </row>
    <row r="7204" spans="1:40" x14ac:dyDescent="0.25">
      <c r="A7204" t="str">
        <f>"20190303154703525"</f>
        <v>20190303154703525</v>
      </c>
      <c r="B7204" t="str">
        <f>"1551599223518638"</f>
        <v>1551599223518638</v>
      </c>
      <c r="C7204" t="s">
        <v>40</v>
      </c>
      <c r="D7204">
        <v>4.9008510000000003</v>
      </c>
      <c r="E7204">
        <v>0.50964489999999996</v>
      </c>
      <c r="F7204" t="s">
        <v>54</v>
      </c>
      <c r="G7204">
        <v>-188.41050000000001</v>
      </c>
      <c r="H7204" s="1">
        <v>1.51498E-6</v>
      </c>
      <c r="I7204">
        <v>295.27089999999998</v>
      </c>
      <c r="J7204">
        <v>-187.63820000000001</v>
      </c>
      <c r="K7204">
        <v>1.1215809999999999</v>
      </c>
      <c r="L7204">
        <v>32.590150000000001</v>
      </c>
      <c r="M7204">
        <v>-2.3247029999999998E-2</v>
      </c>
      <c r="N7204">
        <v>-1.514247E-2</v>
      </c>
      <c r="O7204">
        <v>0.99961509999999998</v>
      </c>
      <c r="P7204">
        <v>-2.7138860000000001E-2</v>
      </c>
      <c r="Q7204">
        <v>-8.2544610000000004E-2</v>
      </c>
      <c r="R7204">
        <v>0.99621780000000004</v>
      </c>
      <c r="S7204">
        <v>-8.9569090000000007E-3</v>
      </c>
      <c r="T7204">
        <v>-1.283073E-2</v>
      </c>
      <c r="U7204">
        <v>3.0099490000000002</v>
      </c>
      <c r="V7204">
        <v>-3.8405560000000002E-3</v>
      </c>
      <c r="W7204">
        <v>-6.7451940000000002E-2</v>
      </c>
      <c r="X7204">
        <v>0.99771509999999997</v>
      </c>
      <c r="Y7204">
        <v>2.0271839999999999E-2</v>
      </c>
      <c r="Z7204">
        <v>1.0881740000000001E-2</v>
      </c>
      <c r="AA7204">
        <v>0.99973529999999999</v>
      </c>
      <c r="AB7204">
        <v>40</v>
      </c>
      <c r="AC7204">
        <v>-0.77230000000000099</v>
      </c>
      <c r="AD7204">
        <v>-1.12157948502</v>
      </c>
      <c r="AE7204">
        <v>262.68074999999999</v>
      </c>
      <c r="AF7204">
        <v>5.3350587900152497</v>
      </c>
      <c r="AG7204">
        <v>-1.12157948502</v>
      </c>
      <c r="AH7204">
        <v>262.62291256338199</v>
      </c>
      <c r="AI7204">
        <v>90.244640211130701</v>
      </c>
      <c r="AJ7204">
        <v>88.836223729564793</v>
      </c>
      <c r="AK7204">
        <v>262.67949100778299</v>
      </c>
      <c r="AL7204">
        <v>93.867648212184307</v>
      </c>
      <c r="AM7204">
        <v>90.220550498775495</v>
      </c>
      <c r="AN7204">
        <v>0.99999996742408004</v>
      </c>
    </row>
    <row r="7205" spans="1:40" x14ac:dyDescent="0.25">
      <c r="A7205" t="str">
        <f>"20190303154703570"</f>
        <v>20190303154703570</v>
      </c>
      <c r="B7205" t="str">
        <f>"1551599223558653"</f>
        <v>1551599223558653</v>
      </c>
      <c r="C7205" t="s">
        <v>40</v>
      </c>
      <c r="D7205">
        <v>5.1199859999999999</v>
      </c>
      <c r="E7205">
        <v>0.50977600000000001</v>
      </c>
      <c r="F7205" t="s">
        <v>54</v>
      </c>
      <c r="G7205">
        <v>-188.0702</v>
      </c>
      <c r="H7205" s="1">
        <v>2.699669E-6</v>
      </c>
      <c r="I7205">
        <v>221.50569999999999</v>
      </c>
      <c r="J7205">
        <v>-187.65799999999999</v>
      </c>
      <c r="K7205">
        <v>1.121418</v>
      </c>
      <c r="L7205">
        <v>33.39499</v>
      </c>
      <c r="M7205">
        <v>-2.4168499999999999E-2</v>
      </c>
      <c r="N7205">
        <v>-1.5135310000000001E-2</v>
      </c>
      <c r="O7205">
        <v>0.99959330000000002</v>
      </c>
      <c r="P7205">
        <v>-2.406875E-2</v>
      </c>
      <c r="Q7205">
        <v>-8.2115079999999993E-2</v>
      </c>
      <c r="R7205">
        <v>0.9963322</v>
      </c>
      <c r="S7205">
        <v>-6.8817139999999997E-3</v>
      </c>
      <c r="T7205">
        <v>-1.78684E-2</v>
      </c>
      <c r="U7205">
        <v>3.0097049999999999</v>
      </c>
      <c r="V7205">
        <v>1.216225E-4</v>
      </c>
      <c r="W7205">
        <v>-6.702139E-2</v>
      </c>
      <c r="X7205">
        <v>0.99775150000000001</v>
      </c>
      <c r="Y7205">
        <v>2.1881979999999999E-2</v>
      </c>
      <c r="Z7205">
        <v>9.2018029999999997E-3</v>
      </c>
      <c r="AA7205">
        <v>0.9997182</v>
      </c>
      <c r="AB7205">
        <v>40</v>
      </c>
      <c r="AC7205">
        <v>-0.412200000000012</v>
      </c>
      <c r="AD7205">
        <v>-1.1214153003309999</v>
      </c>
      <c r="AE7205">
        <v>188.11071000000001</v>
      </c>
      <c r="AF7205">
        <v>4.1346481011226697</v>
      </c>
      <c r="AG7205">
        <v>-1.1214153003309999</v>
      </c>
      <c r="AH7205">
        <v>188.05903009465899</v>
      </c>
      <c r="AI7205">
        <v>90.341574021857696</v>
      </c>
      <c r="AJ7205">
        <v>88.740503307163607</v>
      </c>
      <c r="AK7205">
        <v>188.10781931472101</v>
      </c>
      <c r="AL7205">
        <v>93.842923558146694</v>
      </c>
      <c r="AM7205">
        <v>89.993015840207306</v>
      </c>
      <c r="AN7205">
        <v>0.99999996863090601</v>
      </c>
    </row>
    <row r="7206" spans="1:40" x14ac:dyDescent="0.25">
      <c r="A7206" t="str">
        <f>"20190303154703612"</f>
        <v>20190303154703612</v>
      </c>
      <c r="B7206" t="str">
        <f>"1551599223608429"</f>
        <v>1551599223608429</v>
      </c>
      <c r="C7206" t="s">
        <v>40</v>
      </c>
      <c r="D7206">
        <v>4.9853839999999998</v>
      </c>
      <c r="E7206">
        <v>0.51749590000000001</v>
      </c>
      <c r="F7206" t="s">
        <v>54</v>
      </c>
      <c r="G7206">
        <v>-187.4915</v>
      </c>
      <c r="H7206" s="1">
        <v>4.8384890000000003E-6</v>
      </c>
      <c r="I7206">
        <v>207.1644</v>
      </c>
      <c r="J7206">
        <v>-187.6772</v>
      </c>
      <c r="K7206">
        <v>1.121265</v>
      </c>
      <c r="L7206">
        <v>34.159939999999999</v>
      </c>
      <c r="M7206">
        <v>-2.4768180000000001E-2</v>
      </c>
      <c r="N7206">
        <v>-1.5128020000000001E-2</v>
      </c>
      <c r="O7206">
        <v>0.99957879999999999</v>
      </c>
      <c r="P7206">
        <v>-2.0213450000000001E-2</v>
      </c>
      <c r="Q7206">
        <v>-8.2562479999999994E-2</v>
      </c>
      <c r="R7206">
        <v>0.99638090000000001</v>
      </c>
      <c r="S7206">
        <v>2.8839109999999999E-3</v>
      </c>
      <c r="T7206">
        <v>-1.9421819999999999E-2</v>
      </c>
      <c r="U7206">
        <v>3.0095209999999999</v>
      </c>
      <c r="V7206">
        <v>4.5511960000000004E-3</v>
      </c>
      <c r="W7206">
        <v>-6.7471669999999997E-2</v>
      </c>
      <c r="X7206">
        <v>0.99771080000000001</v>
      </c>
      <c r="Y7206">
        <v>2.5724730000000001E-2</v>
      </c>
      <c r="Z7206">
        <v>8.6793389999999995E-3</v>
      </c>
      <c r="AA7206">
        <v>0.99963139999999995</v>
      </c>
      <c r="AB7206">
        <v>40</v>
      </c>
      <c r="AC7206">
        <v>0.18569999999999701</v>
      </c>
      <c r="AD7206">
        <v>-1.1212601615110001</v>
      </c>
      <c r="AE7206">
        <v>173.00445999999999</v>
      </c>
      <c r="AF7206">
        <v>4.4709510261483203</v>
      </c>
      <c r="AG7206">
        <v>-1.1212601615110001</v>
      </c>
      <c r="AH7206">
        <v>172.93950957205399</v>
      </c>
      <c r="AI7206">
        <v>90.371350177375405</v>
      </c>
      <c r="AJ7206">
        <v>88.519080011926107</v>
      </c>
      <c r="AK7206">
        <v>173.000926582636</v>
      </c>
      <c r="AL7206">
        <v>93.868781151529902</v>
      </c>
      <c r="AM7206">
        <v>89.738639178957797</v>
      </c>
      <c r="AN7206">
        <v>0.99999999003712903</v>
      </c>
    </row>
    <row r="7207" spans="1:40" x14ac:dyDescent="0.25">
      <c r="A7207" t="str">
        <f>"20190303154703633"</f>
        <v>20190303154703633</v>
      </c>
      <c r="B7207" t="str">
        <f>"1551599223628458"</f>
        <v>1551599223628458</v>
      </c>
      <c r="C7207" t="s">
        <v>40</v>
      </c>
      <c r="D7207">
        <v>4.9945750000000002</v>
      </c>
      <c r="E7207">
        <v>0.51774290000000001</v>
      </c>
      <c r="F7207" t="s">
        <v>41</v>
      </c>
      <c r="G7207">
        <v>-187.06809999999999</v>
      </c>
      <c r="H7207" s="1">
        <v>-3.9849130000000003E-6</v>
      </c>
      <c r="I7207">
        <v>57.709420000000001</v>
      </c>
      <c r="J7207">
        <v>-187.68680000000001</v>
      </c>
      <c r="K7207">
        <v>1.121189</v>
      </c>
      <c r="L7207">
        <v>34.537230000000001</v>
      </c>
      <c r="M7207">
        <v>-2.496054E-2</v>
      </c>
      <c r="N7207">
        <v>-1.512426E-2</v>
      </c>
      <c r="O7207">
        <v>0.99957399999999996</v>
      </c>
      <c r="P7207">
        <v>-1.9655249999999999E-2</v>
      </c>
      <c r="Q7207">
        <v>-8.3339919999999998E-2</v>
      </c>
      <c r="R7207">
        <v>0.99632730000000003</v>
      </c>
      <c r="S7207">
        <v>7.76062E-2</v>
      </c>
      <c r="T7207">
        <v>-0.14287049999999901</v>
      </c>
      <c r="U7207">
        <v>3.0006409999999999</v>
      </c>
      <c r="V7207">
        <v>5.2883160000000004E-3</v>
      </c>
      <c r="W7207">
        <v>-6.8253899999999895E-2</v>
      </c>
      <c r="X7207">
        <v>0.99765400000000004</v>
      </c>
      <c r="Y7207">
        <v>5.0763900000000001E-2</v>
      </c>
      <c r="Z7207">
        <v>-3.2381189999999997E-2</v>
      </c>
      <c r="AA7207">
        <v>0.99818560000000001</v>
      </c>
      <c r="AB7207">
        <v>40</v>
      </c>
      <c r="AC7207">
        <v>0.61870000000001801</v>
      </c>
      <c r="AD7207">
        <v>-1.121192984913</v>
      </c>
      <c r="AE7207">
        <v>23.172190000000001</v>
      </c>
      <c r="AF7207">
        <v>1.1941700212637101</v>
      </c>
      <c r="AG7207">
        <v>-1.121192984913</v>
      </c>
      <c r="AH7207">
        <v>23.095492738586302</v>
      </c>
      <c r="AI7207">
        <v>92.775594980702095</v>
      </c>
      <c r="AJ7207">
        <v>87.040113993937794</v>
      </c>
      <c r="AK7207">
        <v>23.153507306392999</v>
      </c>
      <c r="AL7207">
        <v>93.913703024963596</v>
      </c>
      <c r="AM7207">
        <v>89.696292151686194</v>
      </c>
      <c r="AN7207">
        <v>1.00000003243366</v>
      </c>
    </row>
    <row r="7208" spans="1:40" x14ac:dyDescent="0.25">
      <c r="A7208" t="str">
        <f>"20190303154703655"</f>
        <v>20190303154703655</v>
      </c>
      <c r="B7208" t="str">
        <f>"1551599223648954"</f>
        <v>1551599223648954</v>
      </c>
      <c r="C7208" t="s">
        <v>40</v>
      </c>
      <c r="D7208">
        <v>4.992731</v>
      </c>
      <c r="E7208">
        <v>0.51776829999999996</v>
      </c>
      <c r="F7208" t="s">
        <v>41</v>
      </c>
      <c r="G7208">
        <v>-187.07810000000001</v>
      </c>
      <c r="H7208" s="1">
        <v>-3.6814629999999999E-6</v>
      </c>
      <c r="I7208">
        <v>57.0062</v>
      </c>
      <c r="J7208">
        <v>-187.697</v>
      </c>
      <c r="K7208">
        <v>1.1211089999999999</v>
      </c>
      <c r="L7208">
        <v>34.939329999999998</v>
      </c>
      <c r="M7208">
        <v>-2.510283E-2</v>
      </c>
      <c r="N7208">
        <v>-1.512019E-2</v>
      </c>
      <c r="O7208">
        <v>0.99957050000000003</v>
      </c>
      <c r="P7208">
        <v>-2.0387789999999999E-2</v>
      </c>
      <c r="Q7208">
        <v>-8.3399680000000004E-2</v>
      </c>
      <c r="R7208">
        <v>0.99630759999999996</v>
      </c>
      <c r="S7208">
        <v>8.1268309999999996E-2</v>
      </c>
      <c r="T7208">
        <v>-0.1497049</v>
      </c>
      <c r="U7208">
        <v>3.0001220000000002</v>
      </c>
      <c r="V7208">
        <v>4.6846479999999996E-3</v>
      </c>
      <c r="W7208">
        <v>-6.8319190000000002E-2</v>
      </c>
      <c r="X7208">
        <v>0.99765250000000005</v>
      </c>
      <c r="Y7208">
        <v>5.2124459999999997E-2</v>
      </c>
      <c r="Z7208">
        <v>-3.4658840000000003E-2</v>
      </c>
      <c r="AA7208">
        <v>0.99803900000000001</v>
      </c>
      <c r="AB7208">
        <v>40</v>
      </c>
      <c r="AC7208">
        <v>0.61889999999999601</v>
      </c>
      <c r="AD7208">
        <v>-1.1211126814629999</v>
      </c>
      <c r="AE7208">
        <v>22.066870000000002</v>
      </c>
      <c r="AF7208">
        <v>1.16969234935196</v>
      </c>
      <c r="AG7208">
        <v>-1.1211126814629999</v>
      </c>
      <c r="AH7208">
        <v>21.987667295975399</v>
      </c>
      <c r="AI7208">
        <v>92.914769437503907</v>
      </c>
      <c r="AJ7208">
        <v>86.9548692608263</v>
      </c>
      <c r="AK7208">
        <v>22.047280715661401</v>
      </c>
      <c r="AL7208">
        <v>93.917452808015497</v>
      </c>
      <c r="AM7208">
        <v>89.730959842056095</v>
      </c>
      <c r="AN7208">
        <v>0.99999998420269398</v>
      </c>
    </row>
    <row r="7209" spans="1:40" x14ac:dyDescent="0.25">
      <c r="A7209" t="str">
        <f>"20190303154703680"</f>
        <v>20190303154703680</v>
      </c>
      <c r="B7209" t="str">
        <f>"1551599223668474"</f>
        <v>1551599223668474</v>
      </c>
      <c r="C7209" t="s">
        <v>40</v>
      </c>
      <c r="D7209">
        <v>4.9977729999999996</v>
      </c>
      <c r="E7209">
        <v>0.517648</v>
      </c>
      <c r="F7209" t="s">
        <v>41</v>
      </c>
      <c r="G7209">
        <v>-187.10130000000001</v>
      </c>
      <c r="H7209" s="1">
        <v>-3.8534780000000003E-6</v>
      </c>
      <c r="I7209">
        <v>57.416730000000001</v>
      </c>
      <c r="J7209">
        <v>-187.7081</v>
      </c>
      <c r="K7209">
        <v>1.1210370000000001</v>
      </c>
      <c r="L7209">
        <v>35.376159999999999</v>
      </c>
      <c r="M7209">
        <v>-2.5197569999999999E-2</v>
      </c>
      <c r="N7209">
        <v>-1.5115689999999999E-2</v>
      </c>
      <c r="O7209">
        <v>0.99956820000000002</v>
      </c>
      <c r="P7209">
        <v>-2.122696E-2</v>
      </c>
      <c r="Q7209">
        <v>-8.2303420000000002E-2</v>
      </c>
      <c r="R7209">
        <v>0.99638119999999997</v>
      </c>
      <c r="S7209">
        <v>7.9513550000000002E-2</v>
      </c>
      <c r="T7209">
        <v>-0.14964259999999999</v>
      </c>
      <c r="U7209">
        <v>3.0002140000000002</v>
      </c>
      <c r="V7209">
        <v>3.9283950000000003E-3</v>
      </c>
      <c r="W7209">
        <v>-6.7227430000000005E-2</v>
      </c>
      <c r="X7209">
        <v>0.99773000000000001</v>
      </c>
      <c r="Y7209">
        <v>5.1635229999999997E-2</v>
      </c>
      <c r="Z7209">
        <v>-3.4642069999999997E-2</v>
      </c>
      <c r="AA7209">
        <v>0.99806499999999998</v>
      </c>
      <c r="AB7209">
        <v>40</v>
      </c>
      <c r="AC7209">
        <v>0.60679999999999201</v>
      </c>
      <c r="AD7209">
        <v>-1.1210408534780001</v>
      </c>
      <c r="AE7209">
        <v>22.040569999999999</v>
      </c>
      <c r="AF7209">
        <v>1.1590433776543401</v>
      </c>
      <c r="AG7209">
        <v>-1.1210408534780001</v>
      </c>
      <c r="AH7209">
        <v>21.961507190351501</v>
      </c>
      <c r="AI7209">
        <v>92.918113691867305</v>
      </c>
      <c r="AJ7209">
        <v>86.978953222304398</v>
      </c>
      <c r="AK7209">
        <v>22.0206247009096</v>
      </c>
      <c r="AL7209">
        <v>93.854755128156398</v>
      </c>
      <c r="AM7209">
        <v>89.774408616899095</v>
      </c>
      <c r="AN7209">
        <v>1.00000005626583</v>
      </c>
    </row>
    <row r="7210" spans="1:40" x14ac:dyDescent="0.25">
      <c r="A7210" t="str">
        <f>"20190303154703700"</f>
        <v>20190303154703700</v>
      </c>
      <c r="B7210" t="str">
        <f>"1551599223688970"</f>
        <v>1551599223688970</v>
      </c>
      <c r="C7210" t="s">
        <v>40</v>
      </c>
      <c r="D7210">
        <v>5.0197520000000004</v>
      </c>
      <c r="E7210">
        <v>0.51762989999999998</v>
      </c>
      <c r="F7210" t="s">
        <v>41</v>
      </c>
      <c r="G7210">
        <v>-187.11269999999999</v>
      </c>
      <c r="H7210" s="1">
        <v>-4.450093E-6</v>
      </c>
      <c r="I7210">
        <v>58.812179999999998</v>
      </c>
      <c r="J7210">
        <v>-187.71729999999999</v>
      </c>
      <c r="K7210">
        <v>1.1209849999999999</v>
      </c>
      <c r="L7210">
        <v>35.737819999999999</v>
      </c>
      <c r="M7210">
        <v>-2.5225790000000001E-2</v>
      </c>
      <c r="N7210">
        <v>-1.5111909999999999E-2</v>
      </c>
      <c r="O7210">
        <v>0.9995676</v>
      </c>
      <c r="P7210">
        <v>-2.2787060000000001E-2</v>
      </c>
      <c r="Q7210">
        <v>-8.0485490000000007E-2</v>
      </c>
      <c r="R7210">
        <v>0.99649529999999997</v>
      </c>
      <c r="S7210">
        <v>7.6232910000000001E-2</v>
      </c>
      <c r="T7210">
        <v>-0.14353440000000001</v>
      </c>
      <c r="U7210">
        <v>3.0006710000000001</v>
      </c>
      <c r="V7210">
        <v>2.389136E-3</v>
      </c>
      <c r="W7210">
        <v>-6.5412390000000001E-2</v>
      </c>
      <c r="X7210">
        <v>0.99785550000000001</v>
      </c>
      <c r="Y7210">
        <v>5.0571970000000001E-2</v>
      </c>
      <c r="Z7210">
        <v>-3.2613469999999999E-2</v>
      </c>
      <c r="AA7210">
        <v>0.99818779999999996</v>
      </c>
      <c r="AB7210">
        <v>40</v>
      </c>
      <c r="AC7210">
        <v>0.60460000000000402</v>
      </c>
      <c r="AD7210">
        <v>-1.120989450093</v>
      </c>
      <c r="AE7210">
        <v>23.074359999999999</v>
      </c>
      <c r="AF7210">
        <v>1.18375102638519</v>
      </c>
      <c r="AG7210">
        <v>-1.120989450093</v>
      </c>
      <c r="AH7210">
        <v>22.9975214512341</v>
      </c>
      <c r="AI7210">
        <v>92.786928745220806</v>
      </c>
      <c r="AJ7210">
        <v>87.053415783358105</v>
      </c>
      <c r="AK7210">
        <v>23.055235343402199</v>
      </c>
      <c r="AL7210">
        <v>93.750531577149502</v>
      </c>
      <c r="AM7210">
        <v>89.862818666717502</v>
      </c>
      <c r="AN7210">
        <v>1.0000000438082901</v>
      </c>
    </row>
    <row r="7211" spans="1:40" x14ac:dyDescent="0.25">
      <c r="A7211" t="str">
        <f>"20190303154703724"</f>
        <v>20190303154703724</v>
      </c>
      <c r="B7211" t="str">
        <f>"1551599223718757"</f>
        <v>1551599223718757</v>
      </c>
      <c r="C7211" t="s">
        <v>40</v>
      </c>
      <c r="D7211">
        <v>4.9636950000000004</v>
      </c>
      <c r="E7211">
        <v>0.51784929999999996</v>
      </c>
      <c r="F7211" t="s">
        <v>41</v>
      </c>
      <c r="G7211">
        <v>-187.12090000000001</v>
      </c>
      <c r="H7211" s="1">
        <v>-1.173743E-6</v>
      </c>
      <c r="I7211">
        <v>60.846049999999998</v>
      </c>
      <c r="J7211">
        <v>-187.72790000000001</v>
      </c>
      <c r="K7211">
        <v>1.1209359999999999</v>
      </c>
      <c r="L7211">
        <v>36.160640000000001</v>
      </c>
      <c r="M7211">
        <v>-2.520126E-2</v>
      </c>
      <c r="N7211">
        <v>-1.510747E-2</v>
      </c>
      <c r="O7211">
        <v>0.99956820000000002</v>
      </c>
      <c r="P7211">
        <v>-2.3902219999999998E-2</v>
      </c>
      <c r="Q7211">
        <v>-7.8470010000000007E-2</v>
      </c>
      <c r="R7211">
        <v>0.99662989999999996</v>
      </c>
      <c r="S7211">
        <v>7.1289060000000001E-2</v>
      </c>
      <c r="T7211">
        <v>-0.133999799999999</v>
      </c>
      <c r="U7211">
        <v>3.0013730000000001</v>
      </c>
      <c r="V7211">
        <v>1.2419379999999999E-3</v>
      </c>
      <c r="W7211">
        <v>-6.3399839999999999E-2</v>
      </c>
      <c r="X7211">
        <v>0.99798739999999997</v>
      </c>
      <c r="Y7211">
        <v>4.8902550000000003E-2</v>
      </c>
      <c r="Z7211">
        <v>-2.9445510000000001E-2</v>
      </c>
      <c r="AA7211">
        <v>0.99836939999999996</v>
      </c>
      <c r="AB7211">
        <v>40</v>
      </c>
      <c r="AC7211">
        <v>0.60699999999999898</v>
      </c>
      <c r="AD7211">
        <v>-1.1209371737430001</v>
      </c>
      <c r="AE7211">
        <v>24.685410000000001</v>
      </c>
      <c r="AF7211">
        <v>1.2264542545680499</v>
      </c>
      <c r="AG7211">
        <v>-1.1209371737430001</v>
      </c>
      <c r="AH7211">
        <v>24.611551599553199</v>
      </c>
      <c r="AI7211">
        <v>92.604516181712498</v>
      </c>
      <c r="AJ7211">
        <v>87.1471700320579</v>
      </c>
      <c r="AK7211">
        <v>24.6675730935067</v>
      </c>
      <c r="AL7211">
        <v>93.634981313935498</v>
      </c>
      <c r="AM7211">
        <v>89.928698729979502</v>
      </c>
      <c r="AN7211">
        <v>0.99999996634039001</v>
      </c>
    </row>
    <row r="7212" spans="1:40" x14ac:dyDescent="0.25">
      <c r="A7212" t="str">
        <f>"20190303154703749"</f>
        <v>20190303154703749</v>
      </c>
      <c r="B7212" t="str">
        <f>"1551599223739252"</f>
        <v>1551599223739252</v>
      </c>
      <c r="C7212" t="s">
        <v>40</v>
      </c>
      <c r="D7212">
        <v>4.9834209999999999</v>
      </c>
      <c r="E7212">
        <v>0.51781759999999999</v>
      </c>
      <c r="F7212" t="s">
        <v>41</v>
      </c>
      <c r="G7212">
        <v>-187.08969999999999</v>
      </c>
      <c r="H7212" s="1">
        <v>-2.2653059999999999E-6</v>
      </c>
      <c r="I7212">
        <v>63.709890000000001</v>
      </c>
      <c r="J7212">
        <v>-187.73849999999999</v>
      </c>
      <c r="K7212">
        <v>1.120887</v>
      </c>
      <c r="L7212">
        <v>36.58334</v>
      </c>
      <c r="M7212">
        <v>-2.512313E-2</v>
      </c>
      <c r="N7212">
        <v>-1.510295E-2</v>
      </c>
      <c r="O7212">
        <v>0.99957030000000002</v>
      </c>
      <c r="P7212">
        <v>-2.441654E-2</v>
      </c>
      <c r="Q7212">
        <v>-7.6172790000000004E-2</v>
      </c>
      <c r="R7212">
        <v>0.99679569999999995</v>
      </c>
      <c r="S7212">
        <v>6.9549559999999996E-2</v>
      </c>
      <c r="T7212">
        <v>-0.122155</v>
      </c>
      <c r="U7212">
        <v>3.0021969999999998</v>
      </c>
      <c r="V7212">
        <v>6.4401239999999896E-4</v>
      </c>
      <c r="W7212">
        <v>-6.1104949999999998E-2</v>
      </c>
      <c r="X7212">
        <v>0.9981312</v>
      </c>
      <c r="Y7212">
        <v>4.8244080000000002E-2</v>
      </c>
      <c r="Z7212">
        <v>-2.550703E-2</v>
      </c>
      <c r="AA7212">
        <v>0.9985098</v>
      </c>
      <c r="AB7212">
        <v>40</v>
      </c>
      <c r="AC7212">
        <v>0.64879999999999405</v>
      </c>
      <c r="AD7212">
        <v>-1.1208892653059901</v>
      </c>
      <c r="AE7212">
        <v>27.126550000000002</v>
      </c>
      <c r="AF7212">
        <v>1.3279107467328399</v>
      </c>
      <c r="AG7212">
        <v>-1.1208892653059901</v>
      </c>
      <c r="AH7212">
        <v>27.055515909495</v>
      </c>
      <c r="AI7212">
        <v>92.369514474813101</v>
      </c>
      <c r="AJ7212">
        <v>87.190122854512197</v>
      </c>
      <c r="AK7212">
        <v>27.111264832635602</v>
      </c>
      <c r="AL7212">
        <v>93.503237912816004</v>
      </c>
      <c r="AM7212">
        <v>89.963031726336496</v>
      </c>
      <c r="AN7212">
        <v>1.00000006103995</v>
      </c>
    </row>
    <row r="7213" spans="1:40" x14ac:dyDescent="0.25">
      <c r="A7213" t="str">
        <f>"20190303154703790"</f>
        <v>20190303154703790</v>
      </c>
      <c r="B7213" t="str">
        <f>"1551599223779268"</f>
        <v>1551599223779268</v>
      </c>
      <c r="C7213" t="s">
        <v>40</v>
      </c>
      <c r="D7213">
        <v>4.9960579999999997</v>
      </c>
      <c r="E7213">
        <v>0.51791169999999997</v>
      </c>
      <c r="F7213" t="s">
        <v>41</v>
      </c>
      <c r="G7213">
        <v>-187.0746</v>
      </c>
      <c r="H7213" s="1">
        <v>-3.2435400000000002E-6</v>
      </c>
      <c r="I7213">
        <v>65.983919999999998</v>
      </c>
      <c r="J7213">
        <v>-187.7569</v>
      </c>
      <c r="K7213">
        <v>1.120816</v>
      </c>
      <c r="L7213">
        <v>37.321660000000001</v>
      </c>
      <c r="M7213">
        <v>-2.4901010000000001E-2</v>
      </c>
      <c r="N7213">
        <v>-1.5094959999999999E-2</v>
      </c>
      <c r="O7213">
        <v>0.99957600000000002</v>
      </c>
      <c r="P7213">
        <v>-2.4962539999999998E-2</v>
      </c>
      <c r="Q7213">
        <v>-7.2250770000000006E-2</v>
      </c>
      <c r="R7213">
        <v>0.99707409999999996</v>
      </c>
      <c r="S7213">
        <v>6.7810060000000005E-2</v>
      </c>
      <c r="T7213">
        <v>-0.114472</v>
      </c>
      <c r="U7213">
        <v>3.0025629999999999</v>
      </c>
      <c r="V7213">
        <v>-1.2931290000000001E-4</v>
      </c>
      <c r="W7213">
        <v>-5.7187010000000003E-2</v>
      </c>
      <c r="X7213">
        <v>0.99836349999999996</v>
      </c>
      <c r="Y7213">
        <v>4.7443779999999998E-2</v>
      </c>
      <c r="Z7213">
        <v>-2.2960499999999998E-2</v>
      </c>
      <c r="AA7213">
        <v>0.99861</v>
      </c>
      <c r="AB7213">
        <v>40</v>
      </c>
      <c r="AC7213">
        <v>0.68229999999999702</v>
      </c>
      <c r="AD7213">
        <v>-1.12081924354</v>
      </c>
      <c r="AE7213">
        <v>28.66226</v>
      </c>
      <c r="AF7213">
        <v>1.3937588402090599</v>
      </c>
      <c r="AG7213">
        <v>-1.12081924354</v>
      </c>
      <c r="AH7213">
        <v>28.592680781681398</v>
      </c>
      <c r="AI7213">
        <v>92.242157992661703</v>
      </c>
      <c r="AJ7213">
        <v>87.209308889045602</v>
      </c>
      <c r="AK7213">
        <v>28.648563554993199</v>
      </c>
      <c r="AL7213">
        <v>93.278362795403794</v>
      </c>
      <c r="AM7213">
        <v>90.007421228205104</v>
      </c>
      <c r="AN7213">
        <v>1.0000000244834</v>
      </c>
    </row>
    <row r="7214" spans="1:40" x14ac:dyDescent="0.25">
      <c r="A7214" t="str">
        <f>"20190303154703813"</f>
        <v>20190303154703813</v>
      </c>
      <c r="B7214" t="str">
        <f>"1551599223808548"</f>
        <v>1551599223808548</v>
      </c>
      <c r="C7214" t="s">
        <v>40</v>
      </c>
      <c r="D7214">
        <v>4.993913</v>
      </c>
      <c r="E7214">
        <v>0.51791960000000004</v>
      </c>
      <c r="F7214" t="s">
        <v>41</v>
      </c>
      <c r="G7214">
        <v>-187.02760000000001</v>
      </c>
      <c r="H7214" s="1">
        <v>-9.1674019999999997E-7</v>
      </c>
      <c r="I7214">
        <v>70.017880000000005</v>
      </c>
      <c r="J7214">
        <v>-187.76750000000001</v>
      </c>
      <c r="K7214">
        <v>1.1207830000000001</v>
      </c>
      <c r="L7214">
        <v>37.752139999999997</v>
      </c>
      <c r="M7214">
        <v>-2.4738349999999999E-2</v>
      </c>
      <c r="N7214">
        <v>-1.509017E-2</v>
      </c>
      <c r="O7214">
        <v>0.99958009999999997</v>
      </c>
      <c r="P7214">
        <v>-2.453984E-2</v>
      </c>
      <c r="Q7214">
        <v>-7.1227230000000002E-2</v>
      </c>
      <c r="R7214">
        <v>0.99715819999999999</v>
      </c>
      <c r="S7214">
        <v>6.6986080000000003E-2</v>
      </c>
      <c r="T7214">
        <v>-0.102942699999999</v>
      </c>
      <c r="U7214">
        <v>3.0030209999999999</v>
      </c>
      <c r="V7214">
        <v>1.2782209999999999E-4</v>
      </c>
      <c r="W7214">
        <v>-5.6167309999999998E-2</v>
      </c>
      <c r="X7214">
        <v>0.99842140000000001</v>
      </c>
      <c r="Y7214">
        <v>4.7007260000000002E-2</v>
      </c>
      <c r="Z7214">
        <v>-1.91313E-2</v>
      </c>
      <c r="AA7214">
        <v>0.99871129999999997</v>
      </c>
      <c r="AB7214">
        <v>40</v>
      </c>
      <c r="AC7214">
        <v>0.739900000000005</v>
      </c>
      <c r="AD7214">
        <v>-1.1207839167401901</v>
      </c>
      <c r="AE7214">
        <v>32.265740000000001</v>
      </c>
      <c r="AF7214">
        <v>1.53611305663977</v>
      </c>
      <c r="AG7214">
        <v>-1.1207839167401901</v>
      </c>
      <c r="AH7214">
        <v>32.198726847171898</v>
      </c>
      <c r="AI7214">
        <v>91.9913025548354</v>
      </c>
      <c r="AJ7214">
        <v>87.268646223628593</v>
      </c>
      <c r="AK7214">
        <v>32.254826158105203</v>
      </c>
      <c r="AL7214">
        <v>93.219844180681605</v>
      </c>
      <c r="AM7214">
        <v>89.992664753761801</v>
      </c>
      <c r="AN7214">
        <v>1.0000000375145399</v>
      </c>
    </row>
    <row r="7215" spans="1:40" x14ac:dyDescent="0.25">
      <c r="A7215" t="str">
        <f>"20190303154703837"</f>
        <v>20190303154703837</v>
      </c>
      <c r="B7215" t="str">
        <f>"1551599223828577"</f>
        <v>1551599223828577</v>
      </c>
      <c r="C7215" t="s">
        <v>40</v>
      </c>
      <c r="D7215">
        <v>5.0338310000000002</v>
      </c>
      <c r="E7215">
        <v>0.51806620000000003</v>
      </c>
      <c r="F7215" t="s">
        <v>41</v>
      </c>
      <c r="G7215">
        <v>-187.0205</v>
      </c>
      <c r="H7215" s="1">
        <v>-1.1027700000000001E-6</v>
      </c>
      <c r="I7215">
        <v>70.558989999999994</v>
      </c>
      <c r="J7215">
        <v>-187.77770000000001</v>
      </c>
      <c r="K7215">
        <v>1.120757</v>
      </c>
      <c r="L7215">
        <v>38.170780000000001</v>
      </c>
      <c r="M7215">
        <v>-2.4566560000000001E-2</v>
      </c>
      <c r="N7215">
        <v>-1.508554E-2</v>
      </c>
      <c r="O7215">
        <v>0.99958440000000004</v>
      </c>
      <c r="P7215">
        <v>-2.392702E-2</v>
      </c>
      <c r="Q7215">
        <v>-7.0254239999999996E-2</v>
      </c>
      <c r="R7215">
        <v>0.99724210000000002</v>
      </c>
      <c r="S7215">
        <v>6.8374630000000006E-2</v>
      </c>
      <c r="T7215">
        <v>-0.1025884</v>
      </c>
      <c r="U7215">
        <v>3.0028990000000002</v>
      </c>
      <c r="V7215">
        <v>5.675004E-4</v>
      </c>
      <c r="W7215">
        <v>-5.519814E-2</v>
      </c>
      <c r="X7215">
        <v>0.99847529999999995</v>
      </c>
      <c r="Y7215">
        <v>4.7298069999999998E-2</v>
      </c>
      <c r="Z7215">
        <v>-1.9019390000000001E-2</v>
      </c>
      <c r="AA7215">
        <v>0.99869969999999997</v>
      </c>
      <c r="AB7215">
        <v>40</v>
      </c>
      <c r="AC7215">
        <v>0.75720000000001098</v>
      </c>
      <c r="AD7215">
        <v>-1.12075810277</v>
      </c>
      <c r="AE7215">
        <v>32.388210000000001</v>
      </c>
      <c r="AF7215">
        <v>1.5508728076657201</v>
      </c>
      <c r="AG7215">
        <v>-1.12075810277</v>
      </c>
      <c r="AH7215">
        <v>32.321147837700302</v>
      </c>
      <c r="AI7215">
        <v>91.983694483261502</v>
      </c>
      <c r="AJ7215">
        <v>87.252870927191907</v>
      </c>
      <c r="AK7215">
        <v>32.377737764349099</v>
      </c>
      <c r="AL7215">
        <v>93.164228532898605</v>
      </c>
      <c r="AM7215">
        <v>89.967434973813795</v>
      </c>
      <c r="AN7215">
        <v>1.00000004071312</v>
      </c>
    </row>
    <row r="7216" spans="1:40" x14ac:dyDescent="0.25">
      <c r="A7216" t="str">
        <f>"20190303154703858"</f>
        <v>20190303154703858</v>
      </c>
      <c r="B7216" t="str">
        <f>"1551599223849073"</f>
        <v>1551599223849073</v>
      </c>
      <c r="C7216" t="s">
        <v>40</v>
      </c>
      <c r="D7216">
        <v>5.0349599999999999</v>
      </c>
      <c r="E7216">
        <v>0.51806739999999996</v>
      </c>
      <c r="F7216" t="s">
        <v>41</v>
      </c>
      <c r="G7216">
        <v>-186.98009999999999</v>
      </c>
      <c r="H7216" s="1">
        <v>-1.492527E-6</v>
      </c>
      <c r="I7216">
        <v>71.672790000000006</v>
      </c>
      <c r="J7216">
        <v>-187.7868</v>
      </c>
      <c r="K7216">
        <v>1.1207389999999999</v>
      </c>
      <c r="L7216">
        <v>38.549959999999999</v>
      </c>
      <c r="M7216">
        <v>-2.440432E-2</v>
      </c>
      <c r="N7216">
        <v>-1.5081509999999999E-2</v>
      </c>
      <c r="O7216">
        <v>0.99958840000000004</v>
      </c>
      <c r="P7216">
        <v>-2.3415999999999999E-2</v>
      </c>
      <c r="Q7216">
        <v>-7.0430259999999995E-2</v>
      </c>
      <c r="R7216">
        <v>0.99724190000000001</v>
      </c>
      <c r="S7216">
        <v>7.1487430000000005E-2</v>
      </c>
      <c r="T7216">
        <v>-0.1004584</v>
      </c>
      <c r="U7216">
        <v>3.0029300000000001</v>
      </c>
      <c r="V7216">
        <v>9.1374930000000004E-4</v>
      </c>
      <c r="W7216">
        <v>-5.5378469999999999E-2</v>
      </c>
      <c r="X7216">
        <v>0.99846500000000005</v>
      </c>
      <c r="Y7216">
        <v>4.8170610000000003E-2</v>
      </c>
      <c r="Z7216">
        <v>-1.8314420000000001E-2</v>
      </c>
      <c r="AA7216">
        <v>0.99867119999999998</v>
      </c>
      <c r="AB7216">
        <v>40</v>
      </c>
      <c r="AC7216">
        <v>0.80670000000000597</v>
      </c>
      <c r="AD7216">
        <v>-1.1207404925269999</v>
      </c>
      <c r="AE7216">
        <v>33.12283</v>
      </c>
      <c r="AF7216">
        <v>1.61304614730719</v>
      </c>
      <c r="AG7216">
        <v>-1.1207404925269999</v>
      </c>
      <c r="AH7216">
        <v>33.055451905265599</v>
      </c>
      <c r="AI7216">
        <v>91.939555412452094</v>
      </c>
      <c r="AJ7216">
        <v>87.206285912043597</v>
      </c>
      <c r="AK7216">
        <v>33.113756624494599</v>
      </c>
      <c r="AL7216">
        <v>93.174576691583596</v>
      </c>
      <c r="AM7216">
        <v>89.947565549310696</v>
      </c>
      <c r="AN7216">
        <v>0.999999983051162</v>
      </c>
    </row>
    <row r="7217" spans="1:40" x14ac:dyDescent="0.25">
      <c r="A7217" t="str">
        <f>"20190303154703882"</f>
        <v>20190303154703882</v>
      </c>
      <c r="B7217" t="str">
        <f>"1551599223879329"</f>
        <v>1551599223879329</v>
      </c>
      <c r="C7217" t="s">
        <v>40</v>
      </c>
      <c r="D7217">
        <v>5.0585610000000001</v>
      </c>
      <c r="E7217">
        <v>0.5181289</v>
      </c>
      <c r="F7217" t="s">
        <v>41</v>
      </c>
      <c r="G7217">
        <v>-186.99940000000001</v>
      </c>
      <c r="H7217" s="1">
        <v>-1.254317E-6</v>
      </c>
      <c r="I7217">
        <v>70.987849999999995</v>
      </c>
      <c r="J7217">
        <v>-187.79660000000001</v>
      </c>
      <c r="K7217">
        <v>1.1207240000000001</v>
      </c>
      <c r="L7217">
        <v>38.953800000000001</v>
      </c>
      <c r="M7217">
        <v>-2.422848E-2</v>
      </c>
      <c r="N7217">
        <v>-1.5077170000000001E-2</v>
      </c>
      <c r="O7217">
        <v>0.9995927</v>
      </c>
      <c r="P7217">
        <v>-2.261902E-2</v>
      </c>
      <c r="Q7217">
        <v>-7.0577280000000006E-2</v>
      </c>
      <c r="R7217">
        <v>0.99724979999999996</v>
      </c>
      <c r="S7217">
        <v>7.2891239999999996E-2</v>
      </c>
      <c r="T7217">
        <v>-0.1037438</v>
      </c>
      <c r="U7217">
        <v>3.0026860000000002</v>
      </c>
      <c r="V7217">
        <v>1.532947E-3</v>
      </c>
      <c r="W7217">
        <v>-5.5530219999999998E-2</v>
      </c>
      <c r="X7217">
        <v>0.9984558</v>
      </c>
      <c r="Y7217">
        <v>4.8462459999999999E-2</v>
      </c>
      <c r="Z7217">
        <v>-1.941263E-2</v>
      </c>
      <c r="AA7217">
        <v>0.99863639999999998</v>
      </c>
      <c r="AB7217">
        <v>40</v>
      </c>
      <c r="AC7217">
        <v>0.79720000000000302</v>
      </c>
      <c r="AD7217">
        <v>-1.1207252543170001</v>
      </c>
      <c r="AE7217">
        <v>32.034049999999901</v>
      </c>
      <c r="AF7217">
        <v>1.57126852157883</v>
      </c>
      <c r="AG7217">
        <v>-1.1207252543170001</v>
      </c>
      <c r="AH7217">
        <v>31.966225206860301</v>
      </c>
      <c r="AI7217">
        <v>92.005529232132801</v>
      </c>
      <c r="AJ7217">
        <v>87.185946923986293</v>
      </c>
      <c r="AK7217">
        <v>32.024435417947302</v>
      </c>
      <c r="AL7217">
        <v>93.183284767882</v>
      </c>
      <c r="AM7217">
        <v>89.912032836801302</v>
      </c>
      <c r="AN7217">
        <v>0.99999996990669604</v>
      </c>
    </row>
    <row r="7218" spans="1:40" x14ac:dyDescent="0.25">
      <c r="A7218" t="str">
        <f>"20190303154703924"</f>
        <v>20190303154703924</v>
      </c>
      <c r="B7218" t="str">
        <f>"1551599223919345"</f>
        <v>1551599223919345</v>
      </c>
      <c r="C7218" t="s">
        <v>40</v>
      </c>
      <c r="D7218">
        <v>5.0248819999999998</v>
      </c>
      <c r="E7218">
        <v>0.51808670000000001</v>
      </c>
      <c r="F7218" t="s">
        <v>41</v>
      </c>
      <c r="G7218">
        <v>-187.00470000000001</v>
      </c>
      <c r="H7218" s="1">
        <v>-1.032887E-6</v>
      </c>
      <c r="I7218">
        <v>70.341340000000002</v>
      </c>
      <c r="J7218">
        <v>-187.8141</v>
      </c>
      <c r="K7218">
        <v>1.1207020000000001</v>
      </c>
      <c r="L7218">
        <v>39.689210000000003</v>
      </c>
      <c r="M7218">
        <v>-2.3908209999999999E-2</v>
      </c>
      <c r="N7218">
        <v>-1.506877E-2</v>
      </c>
      <c r="O7218">
        <v>0.99960059999999995</v>
      </c>
      <c r="P7218">
        <v>-2.1007430000000001E-2</v>
      </c>
      <c r="Q7218">
        <v>-7.0167999999999994E-2</v>
      </c>
      <c r="R7218">
        <v>0.99731400000000003</v>
      </c>
      <c r="S7218">
        <v>7.5744629999999993E-2</v>
      </c>
      <c r="T7218">
        <v>-0.1072042</v>
      </c>
      <c r="U7218">
        <v>3.0024109999999999</v>
      </c>
      <c r="V7218">
        <v>2.8232499999999998E-3</v>
      </c>
      <c r="W7218">
        <v>-5.5129589999999999E-2</v>
      </c>
      <c r="X7218">
        <v>0.99847520000000001</v>
      </c>
      <c r="Y7218">
        <v>4.9091889999999999E-2</v>
      </c>
      <c r="Z7218">
        <v>-2.0573060000000001E-2</v>
      </c>
      <c r="AA7218">
        <v>0.99858239999999998</v>
      </c>
      <c r="AB7218">
        <v>40</v>
      </c>
      <c r="AC7218">
        <v>0.80939999999998202</v>
      </c>
      <c r="AD7218">
        <v>-1.120703032887</v>
      </c>
      <c r="AE7218">
        <v>30.65213</v>
      </c>
      <c r="AF7218">
        <v>1.54003210411118</v>
      </c>
      <c r="AG7218">
        <v>-1.120703032887</v>
      </c>
      <c r="AH7218">
        <v>30.583158386039901</v>
      </c>
      <c r="AI7218">
        <v>92.095980017298501</v>
      </c>
      <c r="AJ7218">
        <v>87.117273781784306</v>
      </c>
      <c r="AK7218">
        <v>30.642409354279199</v>
      </c>
      <c r="AL7218">
        <v>93.160295097998102</v>
      </c>
      <c r="AM7218">
        <v>89.837993093453306</v>
      </c>
      <c r="AN7218">
        <v>0.99999998372458498</v>
      </c>
    </row>
    <row r="7219" spans="1:40" x14ac:dyDescent="0.25">
      <c r="A7219" t="str">
        <f>"20190303154703948"</f>
        <v>20190303154703948</v>
      </c>
      <c r="B7219" t="str">
        <f>"1551599223938865"</f>
        <v>1551599223938865</v>
      </c>
      <c r="C7219" t="s">
        <v>40</v>
      </c>
      <c r="D7219">
        <v>5.0054970000000001</v>
      </c>
      <c r="E7219">
        <v>0.51802440000000005</v>
      </c>
      <c r="F7219" t="s">
        <v>41</v>
      </c>
      <c r="G7219">
        <v>-186.98830000000001</v>
      </c>
      <c r="H7219" s="1">
        <v>-1.047149E-6</v>
      </c>
      <c r="I7219">
        <v>70.370409999999893</v>
      </c>
      <c r="J7219">
        <v>-187.8244</v>
      </c>
      <c r="K7219">
        <v>1.1206989999999999</v>
      </c>
      <c r="L7219">
        <v>40.129939999999998</v>
      </c>
      <c r="M7219">
        <v>-2.37179E-2</v>
      </c>
      <c r="N7219">
        <v>-1.506359E-2</v>
      </c>
      <c r="O7219">
        <v>0.99960519999999997</v>
      </c>
      <c r="P7219">
        <v>-1.9628929999999999E-2</v>
      </c>
      <c r="Q7219">
        <v>-6.9565379999999996E-2</v>
      </c>
      <c r="R7219">
        <v>0.9973843</v>
      </c>
      <c r="S7219">
        <v>8.0795290000000006E-2</v>
      </c>
      <c r="T7219">
        <v>-0.1096579</v>
      </c>
      <c r="U7219">
        <v>3.002075</v>
      </c>
      <c r="V7219">
        <v>4.0121779999999999E-3</v>
      </c>
      <c r="W7219">
        <v>-5.4532190000000001E-2</v>
      </c>
      <c r="X7219">
        <v>0.9985039</v>
      </c>
      <c r="Y7219">
        <v>5.0582019999999998E-2</v>
      </c>
      <c r="Z7219">
        <v>-2.139516E-2</v>
      </c>
      <c r="AA7219">
        <v>0.99849069999999995</v>
      </c>
      <c r="AB7219">
        <v>39</v>
      </c>
      <c r="AC7219">
        <v>0.83609999999998696</v>
      </c>
      <c r="AD7219">
        <v>-1.1207000471489901</v>
      </c>
      <c r="AE7219">
        <v>30.240469999999899</v>
      </c>
      <c r="AF7219">
        <v>1.5510579556169199</v>
      </c>
      <c r="AG7219">
        <v>-1.1207000471489901</v>
      </c>
      <c r="AH7219">
        <v>30.170723102980102</v>
      </c>
      <c r="AI7219">
        <v>92.124486911267795</v>
      </c>
      <c r="AJ7219">
        <v>87.057050742248293</v>
      </c>
      <c r="AK7219">
        <v>30.231346015916301</v>
      </c>
      <c r="AL7219">
        <v>93.126015141560302</v>
      </c>
      <c r="AM7219">
        <v>89.769775932913106</v>
      </c>
      <c r="AN7219">
        <v>0.99999994781685297</v>
      </c>
    </row>
    <row r="7220" spans="1:40" x14ac:dyDescent="0.25">
      <c r="A7220" t="str">
        <f>"20190303154703972"</f>
        <v>20190303154703972</v>
      </c>
      <c r="B7220" t="str">
        <f>"1551599223959361"</f>
        <v>1551599223959361</v>
      </c>
      <c r="C7220" t="s">
        <v>40</v>
      </c>
      <c r="D7220">
        <v>5.0284399999999998</v>
      </c>
      <c r="E7220">
        <v>0.51795959999999996</v>
      </c>
      <c r="F7220" t="s">
        <v>41</v>
      </c>
      <c r="G7220">
        <v>-186.96119999999999</v>
      </c>
      <c r="H7220" s="1">
        <v>-1.21207E-6</v>
      </c>
      <c r="I7220">
        <v>70.833819999999903</v>
      </c>
      <c r="J7220">
        <v>-187.83359999999999</v>
      </c>
      <c r="K7220">
        <v>1.120706</v>
      </c>
      <c r="L7220">
        <v>40.526980000000002</v>
      </c>
      <c r="M7220">
        <v>-2.354682E-2</v>
      </c>
      <c r="N7220">
        <v>-1.505897E-2</v>
      </c>
      <c r="O7220">
        <v>0.99960930000000003</v>
      </c>
      <c r="P7220">
        <v>-1.8939350000000001E-2</v>
      </c>
      <c r="Q7220">
        <v>-6.8757120000000005E-2</v>
      </c>
      <c r="R7220">
        <v>0.99745360000000005</v>
      </c>
      <c r="S7220">
        <v>8.4396360000000004E-2</v>
      </c>
      <c r="T7220">
        <v>-0.109569899999999</v>
      </c>
      <c r="U7220">
        <v>3.0018919999999998</v>
      </c>
      <c r="V7220">
        <v>4.5320509999999996E-3</v>
      </c>
      <c r="W7220">
        <v>-5.3728119999999997E-2</v>
      </c>
      <c r="X7220">
        <v>0.99854529999999997</v>
      </c>
      <c r="Y7220">
        <v>5.1609219999999997E-2</v>
      </c>
      <c r="Z7220">
        <v>-2.1371270000000001E-2</v>
      </c>
      <c r="AA7220">
        <v>0.99843870000000001</v>
      </c>
      <c r="AB7220">
        <v>39</v>
      </c>
      <c r="AC7220">
        <v>0.87239999999999895</v>
      </c>
      <c r="AD7220">
        <v>-1.1207072120699999</v>
      </c>
      <c r="AE7220">
        <v>30.306839999999902</v>
      </c>
      <c r="AF7220">
        <v>1.58370490075181</v>
      </c>
      <c r="AG7220">
        <v>-1.1207072120699999</v>
      </c>
      <c r="AH7220">
        <v>30.2365785230886</v>
      </c>
      <c r="AI7220">
        <v>92.119771460912901</v>
      </c>
      <c r="AJ7220">
        <v>87.001751840557205</v>
      </c>
      <c r="AK7220">
        <v>30.2987588302022</v>
      </c>
      <c r="AL7220">
        <v>93.079877568529099</v>
      </c>
      <c r="AM7220">
        <v>89.739956102277205</v>
      </c>
      <c r="AN7220">
        <v>0.999999983258545</v>
      </c>
    </row>
    <row r="7221" spans="1:40" x14ac:dyDescent="0.25">
      <c r="A7221" t="str">
        <f>"20190303154703993"</f>
        <v>20190303154703993</v>
      </c>
      <c r="B7221" t="str">
        <f>"1551599223988641"</f>
        <v>1551599223988641</v>
      </c>
      <c r="C7221" t="s">
        <v>40</v>
      </c>
      <c r="D7221">
        <v>5.0388769999999896</v>
      </c>
      <c r="E7221">
        <v>0.51788259999999997</v>
      </c>
      <c r="F7221" t="s">
        <v>41</v>
      </c>
      <c r="G7221">
        <v>-186.9444</v>
      </c>
      <c r="H7221" s="1">
        <v>-1.4619590000000001E-6</v>
      </c>
      <c r="I7221">
        <v>71.555019999999999</v>
      </c>
      <c r="J7221">
        <v>-187.8426</v>
      </c>
      <c r="K7221">
        <v>1.120708</v>
      </c>
      <c r="L7221">
        <v>40.91489</v>
      </c>
      <c r="M7221">
        <v>-2.3379899999999999E-2</v>
      </c>
      <c r="N7221">
        <v>-1.505449E-2</v>
      </c>
      <c r="O7221">
        <v>0.99961330000000004</v>
      </c>
      <c r="P7221">
        <v>-1.8149229999999999E-2</v>
      </c>
      <c r="Q7221">
        <v>-6.8302310000000005E-2</v>
      </c>
      <c r="R7221">
        <v>0.99749960000000004</v>
      </c>
      <c r="S7221">
        <v>8.6029049999999996E-2</v>
      </c>
      <c r="T7221">
        <v>-0.1084237</v>
      </c>
      <c r="U7221">
        <v>3.0018310000000001</v>
      </c>
      <c r="V7221">
        <v>5.1560920000000001E-3</v>
      </c>
      <c r="W7221">
        <v>-5.3277730000000002E-2</v>
      </c>
      <c r="X7221">
        <v>0.99856639999999997</v>
      </c>
      <c r="Y7221">
        <v>5.1985870000000003E-2</v>
      </c>
      <c r="Z7221">
        <v>-2.099525E-2</v>
      </c>
      <c r="AA7221">
        <v>0.99842710000000001</v>
      </c>
      <c r="AB7221">
        <v>39</v>
      </c>
      <c r="AC7221">
        <v>0.898200000000002</v>
      </c>
      <c r="AD7221">
        <v>-1.1207094619589999</v>
      </c>
      <c r="AE7221">
        <v>30.640129999999999</v>
      </c>
      <c r="AF7221">
        <v>1.6122437123788</v>
      </c>
      <c r="AG7221">
        <v>-1.1207094619589999</v>
      </c>
      <c r="AH7221">
        <v>30.569887931273399</v>
      </c>
      <c r="AI7221">
        <v>92.096644330126196</v>
      </c>
      <c r="AJ7221">
        <v>86.981040382499401</v>
      </c>
      <c r="AK7221">
        <v>30.632880498197402</v>
      </c>
      <c r="AL7221">
        <v>93.054035121930895</v>
      </c>
      <c r="AM7221">
        <v>89.704156193380101</v>
      </c>
      <c r="AN7221">
        <v>0.99999997850381195</v>
      </c>
    </row>
    <row r="7222" spans="1:40" x14ac:dyDescent="0.25">
      <c r="A7222" t="str">
        <f>"20190303154704014"</f>
        <v>20190303154704014</v>
      </c>
      <c r="B7222" t="str">
        <f>"1551599224009138"</f>
        <v>1551599224009138</v>
      </c>
      <c r="C7222" t="s">
        <v>40</v>
      </c>
      <c r="D7222">
        <v>5.0263169999999997</v>
      </c>
      <c r="E7222">
        <v>0.51776089999999997</v>
      </c>
      <c r="F7222" t="s">
        <v>41</v>
      </c>
      <c r="G7222">
        <v>-186.94159999999999</v>
      </c>
      <c r="H7222" s="1">
        <v>-1.498056E-6</v>
      </c>
      <c r="I7222">
        <v>71.658900000000003</v>
      </c>
      <c r="J7222">
        <v>-187.85120000000001</v>
      </c>
      <c r="K7222">
        <v>1.120709</v>
      </c>
      <c r="L7222">
        <v>41.287050000000001</v>
      </c>
      <c r="M7222">
        <v>-2.321958E-2</v>
      </c>
      <c r="N7222">
        <v>-1.5050350000000001E-2</v>
      </c>
      <c r="O7222">
        <v>0.99961710000000004</v>
      </c>
      <c r="P7222">
        <v>-1.7486809999999998E-2</v>
      </c>
      <c r="Q7222">
        <v>-6.8065959999999995E-2</v>
      </c>
      <c r="R7222">
        <v>0.99752750000000001</v>
      </c>
      <c r="S7222">
        <v>8.7966920000000004E-2</v>
      </c>
      <c r="T7222">
        <v>-0.1094178</v>
      </c>
      <c r="U7222">
        <v>3.001617</v>
      </c>
      <c r="V7222">
        <v>5.6587219999999997E-3</v>
      </c>
      <c r="W7222">
        <v>-5.3045589999999997E-2</v>
      </c>
      <c r="X7222">
        <v>0.99857600000000002</v>
      </c>
      <c r="Y7222">
        <v>5.2471280000000002E-2</v>
      </c>
      <c r="Z7222">
        <v>-2.133152E-2</v>
      </c>
      <c r="AA7222">
        <v>0.99839449999999996</v>
      </c>
      <c r="AB7222">
        <v>39</v>
      </c>
      <c r="AC7222">
        <v>0.90960000000001096</v>
      </c>
      <c r="AD7222">
        <v>-1.1207104980560001</v>
      </c>
      <c r="AE7222">
        <v>30.371849999999998</v>
      </c>
      <c r="AF7222">
        <v>1.6124626531389299</v>
      </c>
      <c r="AG7222">
        <v>-1.1207104980560001</v>
      </c>
      <c r="AH7222">
        <v>30.301315833971799</v>
      </c>
      <c r="AI7222">
        <v>92.115159841227495</v>
      </c>
      <c r="AJ7222">
        <v>86.953919532217995</v>
      </c>
      <c r="AK7222">
        <v>30.3648772284416</v>
      </c>
      <c r="AL7222">
        <v>93.040715756358395</v>
      </c>
      <c r="AM7222">
        <v>89.675320238431993</v>
      </c>
      <c r="AN7222">
        <v>0.99999994176455897</v>
      </c>
    </row>
    <row r="7223" spans="1:40" x14ac:dyDescent="0.25">
      <c r="A7223" t="str">
        <f>"20190303154704038"</f>
        <v>20190303154704038</v>
      </c>
      <c r="B7223" t="str">
        <f>"1551599224028657"</f>
        <v>1551599224028657</v>
      </c>
      <c r="C7223" t="s">
        <v>40</v>
      </c>
      <c r="D7223">
        <v>5.0426549999999999</v>
      </c>
      <c r="E7223">
        <v>0.51766499999999904</v>
      </c>
      <c r="F7223" t="s">
        <v>41</v>
      </c>
      <c r="G7223">
        <v>-186.946</v>
      </c>
      <c r="H7223" s="1">
        <v>-1.5485230000000001E-6</v>
      </c>
      <c r="I7223">
        <v>71.810649999999995</v>
      </c>
      <c r="J7223">
        <v>-187.8603</v>
      </c>
      <c r="K7223">
        <v>1.1207069999999999</v>
      </c>
      <c r="L7223">
        <v>41.686860000000003</v>
      </c>
      <c r="M7223">
        <v>-2.3047229999999998E-2</v>
      </c>
      <c r="N7223">
        <v>-1.504598E-2</v>
      </c>
      <c r="O7223">
        <v>0.99962119999999999</v>
      </c>
      <c r="P7223">
        <v>-1.689214E-2</v>
      </c>
      <c r="Q7223">
        <v>-6.7413260000000003E-2</v>
      </c>
      <c r="R7223">
        <v>0.99758210000000003</v>
      </c>
      <c r="S7223">
        <v>8.9004520000000004E-2</v>
      </c>
      <c r="T7223">
        <v>-0.1102023</v>
      </c>
      <c r="U7223">
        <v>3.001465</v>
      </c>
      <c r="V7223">
        <v>6.0824750000000004E-3</v>
      </c>
      <c r="W7223">
        <v>-5.2396940000000003E-2</v>
      </c>
      <c r="X7223">
        <v>0.99860780000000005</v>
      </c>
      <c r="Y7223">
        <v>5.2645079999999997E-2</v>
      </c>
      <c r="Z7223">
        <v>-2.1598200000000001E-2</v>
      </c>
      <c r="AA7223">
        <v>0.99837969999999998</v>
      </c>
      <c r="AB7223">
        <v>39</v>
      </c>
      <c r="AC7223">
        <v>0.914299999999997</v>
      </c>
      <c r="AD7223">
        <v>-1.1207085485229999</v>
      </c>
      <c r="AE7223">
        <v>30.12379</v>
      </c>
      <c r="AF7223">
        <v>1.60618449929959</v>
      </c>
      <c r="AG7223">
        <v>-1.1207085485229999</v>
      </c>
      <c r="AH7223">
        <v>30.053153999845001</v>
      </c>
      <c r="AI7223">
        <v>92.132579741807007</v>
      </c>
      <c r="AJ7223">
        <v>86.940749649090293</v>
      </c>
      <c r="AK7223">
        <v>30.116903586439999</v>
      </c>
      <c r="AL7223">
        <v>93.003498951644403</v>
      </c>
      <c r="AM7223">
        <v>89.651018310856401</v>
      </c>
      <c r="AN7223">
        <v>0.99999998702216397</v>
      </c>
    </row>
    <row r="7224" spans="1:40" x14ac:dyDescent="0.25">
      <c r="A7224" t="str">
        <f>"20190303154704058"</f>
        <v>20190303154704058</v>
      </c>
      <c r="B7224" t="str">
        <f>"1551599224049153"</f>
        <v>1551599224049153</v>
      </c>
      <c r="C7224" t="s">
        <v>40</v>
      </c>
      <c r="D7224">
        <v>5.0227789999999999</v>
      </c>
      <c r="E7224">
        <v>0.51757189999999997</v>
      </c>
      <c r="F7224" t="s">
        <v>41</v>
      </c>
      <c r="G7224">
        <v>-186.94</v>
      </c>
      <c r="H7224" s="1">
        <v>-1.733253E-6</v>
      </c>
      <c r="I7224">
        <v>72.348740000000006</v>
      </c>
      <c r="J7224">
        <v>-187.8689</v>
      </c>
      <c r="K7224">
        <v>1.120703</v>
      </c>
      <c r="L7224">
        <v>42.067320000000002</v>
      </c>
      <c r="M7224">
        <v>-2.2883110000000002E-2</v>
      </c>
      <c r="N7224">
        <v>-1.504176E-2</v>
      </c>
      <c r="O7224">
        <v>0.99962499999999999</v>
      </c>
      <c r="P7224">
        <v>-1.6694850000000001E-2</v>
      </c>
      <c r="Q7224">
        <v>-6.7479109999999995E-2</v>
      </c>
      <c r="R7224">
        <v>0.99758100000000005</v>
      </c>
      <c r="S7224">
        <v>9.0087890000000004E-2</v>
      </c>
      <c r="T7224">
        <v>-0.1097019</v>
      </c>
      <c r="U7224">
        <v>3.0013730000000001</v>
      </c>
      <c r="V7224">
        <v>6.1156559999999997E-3</v>
      </c>
      <c r="W7224">
        <v>-5.2467100000000003E-2</v>
      </c>
      <c r="X7224">
        <v>0.99860389999999999</v>
      </c>
      <c r="Y7224">
        <v>5.2842180000000002E-2</v>
      </c>
      <c r="Z7224">
        <v>-2.1437080000000001E-2</v>
      </c>
      <c r="AA7224">
        <v>0.9983727</v>
      </c>
      <c r="AB7224">
        <v>39</v>
      </c>
      <c r="AC7224">
        <v>0.92889999999999795</v>
      </c>
      <c r="AD7224">
        <v>-1.120704733253</v>
      </c>
      <c r="AE7224">
        <v>30.281420000000001</v>
      </c>
      <c r="AF7224">
        <v>1.61945206566828</v>
      </c>
      <c r="AG7224">
        <v>-1.120704733253</v>
      </c>
      <c r="AH7224">
        <v>30.2108890300924</v>
      </c>
      <c r="AI7224">
        <v>92.121430133621601</v>
      </c>
      <c r="AJ7224">
        <v>86.931601499579997</v>
      </c>
      <c r="AK7224">
        <v>30.275013130974699</v>
      </c>
      <c r="AL7224">
        <v>93.007524401372905</v>
      </c>
      <c r="AM7224">
        <v>89.649113229832693</v>
      </c>
      <c r="AN7224">
        <v>0.99999997346296399</v>
      </c>
    </row>
    <row r="7225" spans="1:40" x14ac:dyDescent="0.25">
      <c r="A7225" t="str">
        <f>"20190303154704080"</f>
        <v>20190303154704080</v>
      </c>
      <c r="B7225" t="str">
        <f>"1551599224068674"</f>
        <v>1551599224068674</v>
      </c>
      <c r="C7225" t="s">
        <v>40</v>
      </c>
      <c r="D7225">
        <v>5.0438159999999996</v>
      </c>
      <c r="E7225">
        <v>0.51751340000000001</v>
      </c>
      <c r="F7225" t="s">
        <v>41</v>
      </c>
      <c r="G7225">
        <v>-186.96180000000001</v>
      </c>
      <c r="H7225" s="1">
        <v>-1.713899E-6</v>
      </c>
      <c r="I7225">
        <v>72.308920000000001</v>
      </c>
      <c r="J7225">
        <v>-187.8775</v>
      </c>
      <c r="K7225">
        <v>1.1207069999999999</v>
      </c>
      <c r="L7225">
        <v>42.451689999999999</v>
      </c>
      <c r="M7225">
        <v>-2.271724E-2</v>
      </c>
      <c r="N7225">
        <v>-1.5037490000000001E-2</v>
      </c>
      <c r="O7225">
        <v>0.99962879999999998</v>
      </c>
      <c r="P7225">
        <v>-1.6499710000000001E-2</v>
      </c>
      <c r="Q7225">
        <v>-6.7145529999999995E-2</v>
      </c>
      <c r="R7225">
        <v>0.99760680000000002</v>
      </c>
      <c r="S7225">
        <v>9.002686E-2</v>
      </c>
      <c r="T7225">
        <v>-0.1112216</v>
      </c>
      <c r="U7225">
        <v>3.0012509999999999</v>
      </c>
      <c r="V7225">
        <v>6.1457780000000002E-3</v>
      </c>
      <c r="W7225">
        <v>-5.2137540000000003E-2</v>
      </c>
      <c r="X7225">
        <v>0.99862099999999998</v>
      </c>
      <c r="Y7225">
        <v>5.2656960000000003E-2</v>
      </c>
      <c r="Z7225">
        <v>-2.1948160000000001E-2</v>
      </c>
      <c r="AA7225">
        <v>0.99837140000000002</v>
      </c>
      <c r="AB7225">
        <v>39</v>
      </c>
      <c r="AC7225">
        <v>0.91569999999998597</v>
      </c>
      <c r="AD7225">
        <v>-1.120708713899</v>
      </c>
      <c r="AE7225">
        <v>29.857229999999898</v>
      </c>
      <c r="AF7225">
        <v>1.5915739199960901</v>
      </c>
      <c r="AG7225">
        <v>-1.120708713899</v>
      </c>
      <c r="AH7225">
        <v>29.786790696775199</v>
      </c>
      <c r="AI7225">
        <v>92.151633887041001</v>
      </c>
      <c r="AJ7225">
        <v>86.941468628280703</v>
      </c>
      <c r="AK7225">
        <v>29.850326557304399</v>
      </c>
      <c r="AL7225">
        <v>92.988616051511698</v>
      </c>
      <c r="AM7225">
        <v>89.647391056543697</v>
      </c>
      <c r="AN7225">
        <v>0.99999999765273795</v>
      </c>
    </row>
    <row r="7226" spans="1:40" x14ac:dyDescent="0.25">
      <c r="A7226" t="str">
        <f>"20190303154704103"</f>
        <v>20190303154704103</v>
      </c>
      <c r="B7226" t="str">
        <f>"1551599224098929"</f>
        <v>1551599224098929</v>
      </c>
      <c r="C7226" t="s">
        <v>40</v>
      </c>
      <c r="D7226">
        <v>5.01675</v>
      </c>
      <c r="E7226">
        <v>0.51429409999999998</v>
      </c>
      <c r="F7226" t="s">
        <v>41</v>
      </c>
      <c r="G7226">
        <v>-186.96690000000001</v>
      </c>
      <c r="H7226" s="1">
        <v>-1.881128E-6</v>
      </c>
      <c r="I7226">
        <v>72.763589999999994</v>
      </c>
      <c r="J7226">
        <v>-187.88630000000001</v>
      </c>
      <c r="K7226">
        <v>1.1207100000000001</v>
      </c>
      <c r="L7226">
        <v>42.845640000000003</v>
      </c>
      <c r="M7226">
        <v>-2.2547149999999998E-2</v>
      </c>
      <c r="N7226">
        <v>-1.5033070000000001E-2</v>
      </c>
      <c r="O7226">
        <v>0.99963279999999999</v>
      </c>
      <c r="P7226">
        <v>-1.6189849999999999E-2</v>
      </c>
      <c r="Q7226">
        <v>-6.6575019999999999E-2</v>
      </c>
      <c r="R7226">
        <v>0.99765009999999998</v>
      </c>
      <c r="S7226">
        <v>9.0164179999999997E-2</v>
      </c>
      <c r="T7226">
        <v>-0.1109629</v>
      </c>
      <c r="U7226">
        <v>3.0012210000000001</v>
      </c>
      <c r="V7226">
        <v>6.286926E-3</v>
      </c>
      <c r="W7226">
        <v>-5.1570989999999997E-2</v>
      </c>
      <c r="X7226">
        <v>0.99864949999999997</v>
      </c>
      <c r="Y7226">
        <v>5.2533129999999997E-2</v>
      </c>
      <c r="Z7226">
        <v>-2.1867350000000001E-2</v>
      </c>
      <c r="AA7226">
        <v>0.99837969999999998</v>
      </c>
      <c r="AB7226">
        <v>39</v>
      </c>
      <c r="AC7226">
        <v>0.919399999999996</v>
      </c>
      <c r="AD7226">
        <v>-1.1207118811279999</v>
      </c>
      <c r="AE7226">
        <v>29.917950000000001</v>
      </c>
      <c r="AF7226">
        <v>1.59157571014293</v>
      </c>
      <c r="AG7226">
        <v>-1.1207118811279999</v>
      </c>
      <c r="AH7226">
        <v>29.847767044286002</v>
      </c>
      <c r="AI7226">
        <v>92.147260927773004</v>
      </c>
      <c r="AJ7226">
        <v>86.947701683647296</v>
      </c>
      <c r="AK7226">
        <v>29.911173596025701</v>
      </c>
      <c r="AL7226">
        <v>92.956111514268301</v>
      </c>
      <c r="AM7226">
        <v>89.639303311819404</v>
      </c>
      <c r="AN7226">
        <v>0.99999995814917897</v>
      </c>
    </row>
    <row r="7227" spans="1:40" x14ac:dyDescent="0.25">
      <c r="A7227" t="str">
        <f>"20190303154704125"</f>
        <v>20190303154704125</v>
      </c>
      <c r="B7227" t="str">
        <f>"1551599224118450"</f>
        <v>1551599224118450</v>
      </c>
      <c r="C7227" t="s">
        <v>40</v>
      </c>
      <c r="D7227">
        <v>5.0013439999999996</v>
      </c>
      <c r="E7227">
        <v>0.51453879999999996</v>
      </c>
      <c r="F7227" t="s">
        <v>41</v>
      </c>
      <c r="G7227">
        <v>-187.405</v>
      </c>
      <c r="H7227" s="1">
        <v>-2.7205839999999998E-6</v>
      </c>
      <c r="I7227">
        <v>64.901519999999906</v>
      </c>
      <c r="J7227">
        <v>-187.89490000000001</v>
      </c>
      <c r="K7227">
        <v>1.1207039999999999</v>
      </c>
      <c r="L7227">
        <v>43.233339999999998</v>
      </c>
      <c r="M7227">
        <v>-2.2379650000000001E-2</v>
      </c>
      <c r="N7227">
        <v>-1.5028720000000001E-2</v>
      </c>
      <c r="O7227">
        <v>0.99963659999999999</v>
      </c>
      <c r="P7227">
        <v>-1.5688999999999901E-2</v>
      </c>
      <c r="Q7227">
        <v>-6.6517870000000007E-2</v>
      </c>
      <c r="R7227">
        <v>0.99766189999999999</v>
      </c>
      <c r="S7227">
        <v>6.5429689999999999E-2</v>
      </c>
      <c r="T7227">
        <v>-0.15233339999999901</v>
      </c>
      <c r="U7227">
        <v>2.9979550000000001</v>
      </c>
      <c r="V7227">
        <v>6.6206980000000004E-3</v>
      </c>
      <c r="W7227">
        <v>-5.1518380000000003E-2</v>
      </c>
      <c r="X7227">
        <v>0.99865009999999999</v>
      </c>
      <c r="Y7227">
        <v>4.4155199999999999E-2</v>
      </c>
      <c r="Z7227">
        <v>-3.5678370000000001E-2</v>
      </c>
      <c r="AA7227">
        <v>0.99838740000000004</v>
      </c>
      <c r="AB7227">
        <v>39</v>
      </c>
      <c r="AC7227">
        <v>0.489900000000005</v>
      </c>
      <c r="AD7227">
        <v>-1.120706720584</v>
      </c>
      <c r="AE7227">
        <v>21.6681799999999</v>
      </c>
      <c r="AF7227">
        <v>0.97215903234877798</v>
      </c>
      <c r="AG7227">
        <v>-1.120706720584</v>
      </c>
      <c r="AH7227">
        <v>21.5940502201131</v>
      </c>
      <c r="AI7227">
        <v>92.967919763735196</v>
      </c>
      <c r="AJ7227">
        <v>87.422298098152794</v>
      </c>
      <c r="AK7227">
        <v>21.6449551084429</v>
      </c>
      <c r="AL7227">
        <v>92.953093048126604</v>
      </c>
      <c r="AM7227">
        <v>89.620154751505495</v>
      </c>
      <c r="AN7227">
        <v>0.99999999967492004</v>
      </c>
    </row>
    <row r="7228" spans="1:40" x14ac:dyDescent="0.25">
      <c r="A7228" t="str">
        <f>"20190303154704149"</f>
        <v>20190303154704149</v>
      </c>
      <c r="B7228" t="str">
        <f>"1551599224138946"</f>
        <v>1551599224138946</v>
      </c>
      <c r="C7228" t="s">
        <v>40</v>
      </c>
      <c r="D7228">
        <v>5.0237339999999904</v>
      </c>
      <c r="E7228">
        <v>0.51485079999999905</v>
      </c>
      <c r="F7228" t="s">
        <v>41</v>
      </c>
      <c r="G7228">
        <v>-187.38</v>
      </c>
      <c r="H7228" s="1">
        <v>-3.0368420000000002E-6</v>
      </c>
      <c r="I7228">
        <v>65.628380000000007</v>
      </c>
      <c r="J7228">
        <v>-187.90389999999999</v>
      </c>
      <c r="K7228">
        <v>1.1207009999999999</v>
      </c>
      <c r="L7228">
        <v>43.641849999999998</v>
      </c>
      <c r="M7228">
        <v>-2.2202940000000001E-2</v>
      </c>
      <c r="N7228">
        <v>-1.502413E-2</v>
      </c>
      <c r="O7228">
        <v>0.99964059999999999</v>
      </c>
      <c r="P7228">
        <v>-1.509421E-2</v>
      </c>
      <c r="Q7228">
        <v>-6.6780309999999996E-2</v>
      </c>
      <c r="R7228">
        <v>0.99765349999999997</v>
      </c>
      <c r="S7228">
        <v>6.8939210000000001E-2</v>
      </c>
      <c r="T7228">
        <v>-0.15003320000000001</v>
      </c>
      <c r="U7228">
        <v>2.9981080000000002</v>
      </c>
      <c r="V7228">
        <v>7.0386090000000004E-3</v>
      </c>
      <c r="W7228">
        <v>-5.1785850000000001E-2</v>
      </c>
      <c r="X7228">
        <v>0.9986334</v>
      </c>
      <c r="Y7228">
        <v>4.5145980000000002E-2</v>
      </c>
      <c r="Z7228">
        <v>-3.491474E-2</v>
      </c>
      <c r="AA7228">
        <v>0.99837010000000004</v>
      </c>
      <c r="AB7228">
        <v>39</v>
      </c>
      <c r="AC7228">
        <v>0.52389999999999703</v>
      </c>
      <c r="AD7228">
        <v>-1.120704036842</v>
      </c>
      <c r="AE7228">
        <v>21.986529999999998</v>
      </c>
      <c r="AF7228">
        <v>1.0093704930443199</v>
      </c>
      <c r="AG7228">
        <v>-1.120704036842</v>
      </c>
      <c r="AH7228">
        <v>21.912574910570601</v>
      </c>
      <c r="AI7228">
        <v>92.924707578253901</v>
      </c>
      <c r="AJ7228">
        <v>87.362618615394197</v>
      </c>
      <c r="AK7228">
        <v>21.964419991017099</v>
      </c>
      <c r="AL7228">
        <v>92.968438457280499</v>
      </c>
      <c r="AM7228">
        <v>89.596172217461401</v>
      </c>
      <c r="AN7228">
        <v>0.99999999193621802</v>
      </c>
    </row>
    <row r="7229" spans="1:40" x14ac:dyDescent="0.25">
      <c r="A7229" t="str">
        <f>"20190303154704173"</f>
        <v>20190303154704173</v>
      </c>
      <c r="B7229" t="str">
        <f>"1551599224169202"</f>
        <v>1551599224169202</v>
      </c>
      <c r="C7229" t="s">
        <v>40</v>
      </c>
      <c r="D7229">
        <v>4.9900390000000003</v>
      </c>
      <c r="E7229">
        <v>0.51542849999999996</v>
      </c>
      <c r="F7229" t="s">
        <v>41</v>
      </c>
      <c r="G7229">
        <v>-187.3509</v>
      </c>
      <c r="H7229" s="1">
        <v>-3.3374329999999999E-6</v>
      </c>
      <c r="I7229">
        <v>66.317049999999995</v>
      </c>
      <c r="J7229">
        <v>-187.9127</v>
      </c>
      <c r="K7229">
        <v>1.1207</v>
      </c>
      <c r="L7229">
        <v>44.044280000000001</v>
      </c>
      <c r="M7229">
        <v>-2.2028699999999998E-2</v>
      </c>
      <c r="N7229">
        <v>-1.5019599999999999E-2</v>
      </c>
      <c r="O7229">
        <v>0.99964450000000005</v>
      </c>
      <c r="P7229">
        <v>-1.4255530000000001E-2</v>
      </c>
      <c r="Q7229">
        <v>-6.7723560000000002E-2</v>
      </c>
      <c r="R7229">
        <v>0.99760230000000005</v>
      </c>
      <c r="S7229">
        <v>7.3120119999999997E-2</v>
      </c>
      <c r="T7229">
        <v>-0.14818529999999999</v>
      </c>
      <c r="U7229">
        <v>2.99823</v>
      </c>
      <c r="V7229">
        <v>7.7015869999999898E-3</v>
      </c>
      <c r="W7229">
        <v>-5.2734870000000003E-2</v>
      </c>
      <c r="X7229">
        <v>0.99857879999999999</v>
      </c>
      <c r="Y7229">
        <v>4.6362430000000003E-2</v>
      </c>
      <c r="Z7229">
        <v>-3.4301280000000003E-2</v>
      </c>
      <c r="AA7229">
        <v>0.99833559999999999</v>
      </c>
      <c r="AB7229">
        <v>39</v>
      </c>
      <c r="AC7229">
        <v>0.56180000000000496</v>
      </c>
      <c r="AD7229">
        <v>-1.120703337433</v>
      </c>
      <c r="AE7229">
        <v>22.272769999999898</v>
      </c>
      <c r="AF7229">
        <v>1.04970319669048</v>
      </c>
      <c r="AG7229">
        <v>-1.120703337433</v>
      </c>
      <c r="AH7229">
        <v>22.198819237963001</v>
      </c>
      <c r="AI7229">
        <v>92.886892988074905</v>
      </c>
      <c r="AJ7229">
        <v>87.292703041731201</v>
      </c>
      <c r="AK7229">
        <v>22.251863479974698</v>
      </c>
      <c r="AL7229">
        <v>93.022887831424597</v>
      </c>
      <c r="AM7229">
        <v>89.558112307628406</v>
      </c>
      <c r="AN7229">
        <v>0.99999995038283596</v>
      </c>
    </row>
    <row r="7230" spans="1:40" x14ac:dyDescent="0.25">
      <c r="A7230" t="str">
        <f>"20190303154704193"</f>
        <v>20190303154704193</v>
      </c>
      <c r="B7230" t="str">
        <f>"1551599224188722"</f>
        <v>1551599224188722</v>
      </c>
      <c r="C7230" t="s">
        <v>40</v>
      </c>
      <c r="D7230">
        <v>4.8921150000000004</v>
      </c>
      <c r="E7230">
        <v>0.51591369999999903</v>
      </c>
      <c r="F7230" t="s">
        <v>41</v>
      </c>
      <c r="G7230">
        <v>-187.28469999999999</v>
      </c>
      <c r="H7230" s="1">
        <v>-3.8422570000000003E-6</v>
      </c>
      <c r="I7230">
        <v>67.466419999999999</v>
      </c>
      <c r="J7230">
        <v>-187.92080000000001</v>
      </c>
      <c r="K7230">
        <v>1.1207009999999999</v>
      </c>
      <c r="L7230">
        <v>44.420200000000001</v>
      </c>
      <c r="M7230">
        <v>-2.1865820000000001E-2</v>
      </c>
      <c r="N7230">
        <v>-1.501538E-2</v>
      </c>
      <c r="O7230">
        <v>0.99964819999999999</v>
      </c>
      <c r="P7230">
        <v>-1.375326E-2</v>
      </c>
      <c r="Q7230">
        <v>-6.8312170000000005E-2</v>
      </c>
      <c r="R7230">
        <v>0.99756920000000004</v>
      </c>
      <c r="S7230">
        <v>8.0398559999999994E-2</v>
      </c>
      <c r="T7230">
        <v>-0.14347839999999901</v>
      </c>
      <c r="U7230">
        <v>2.9986269999999999</v>
      </c>
      <c r="V7230">
        <v>8.0401740000000006E-3</v>
      </c>
      <c r="W7230">
        <v>-5.3328420000000001E-2</v>
      </c>
      <c r="X7230">
        <v>0.9985446</v>
      </c>
      <c r="Y7230">
        <v>4.861886E-2</v>
      </c>
      <c r="Z7230">
        <v>-3.2731389999999999E-2</v>
      </c>
      <c r="AA7230">
        <v>0.99828090000000003</v>
      </c>
      <c r="AB7230">
        <v>39</v>
      </c>
      <c r="AC7230">
        <v>0.63610000000002698</v>
      </c>
      <c r="AD7230">
        <v>-1.1207048422569901</v>
      </c>
      <c r="AE7230">
        <v>23.046220000000002</v>
      </c>
      <c r="AF7230">
        <v>1.1372419414824999</v>
      </c>
      <c r="AG7230">
        <v>-1.1207048422569901</v>
      </c>
      <c r="AH7230">
        <v>22.972515687542799</v>
      </c>
      <c r="AI7230">
        <v>92.789526416116004</v>
      </c>
      <c r="AJ7230">
        <v>87.165917123952497</v>
      </c>
      <c r="AK7230">
        <v>23.0279346792396</v>
      </c>
      <c r="AL7230">
        <v>93.056943693054194</v>
      </c>
      <c r="AM7230">
        <v>89.538670499399998</v>
      </c>
      <c r="AN7230">
        <v>0.99999994148340099</v>
      </c>
    </row>
    <row r="7231" spans="1:40" x14ac:dyDescent="0.25">
      <c r="A7231" t="str">
        <f>"20190303154704214"</f>
        <v>20190303154704214</v>
      </c>
      <c r="B7231" t="str">
        <f>"1551599224209217"</f>
        <v>1551599224209217</v>
      </c>
      <c r="C7231" t="s">
        <v>40</v>
      </c>
      <c r="D7231">
        <v>4.9917759999999998</v>
      </c>
      <c r="E7231">
        <v>0.51587590000000005</v>
      </c>
      <c r="F7231" t="s">
        <v>41</v>
      </c>
      <c r="G7231">
        <v>-187.2285</v>
      </c>
      <c r="H7231" s="1">
        <v>-4.340952E-6</v>
      </c>
      <c r="I7231">
        <v>68.60566</v>
      </c>
      <c r="J7231">
        <v>-187.92840000000001</v>
      </c>
      <c r="K7231">
        <v>1.120698</v>
      </c>
      <c r="L7231">
        <v>44.772829999999999</v>
      </c>
      <c r="M7231">
        <v>-2.171294E-2</v>
      </c>
      <c r="N7231">
        <v>-1.5011399999999999E-2</v>
      </c>
      <c r="O7231">
        <v>0.99965159999999997</v>
      </c>
      <c r="P7231">
        <v>-1.353618E-2</v>
      </c>
      <c r="Q7231">
        <v>-6.7079559999999996E-2</v>
      </c>
      <c r="R7231">
        <v>0.99765579999999998</v>
      </c>
      <c r="S7231">
        <v>8.5845950000000004E-2</v>
      </c>
      <c r="T7231">
        <v>-0.13896729999999999</v>
      </c>
      <c r="U7231">
        <v>2.998993</v>
      </c>
      <c r="V7231">
        <v>8.1070940000000005E-3</v>
      </c>
      <c r="W7231">
        <v>-5.2098709999999999E-2</v>
      </c>
      <c r="X7231">
        <v>0.99860899999999997</v>
      </c>
      <c r="Y7231">
        <v>5.0275840000000002E-2</v>
      </c>
      <c r="Z7231">
        <v>-3.122805E-2</v>
      </c>
      <c r="AA7231">
        <v>0.998247</v>
      </c>
      <c r="AB7231">
        <v>39</v>
      </c>
      <c r="AC7231">
        <v>0.69990000000001296</v>
      </c>
      <c r="AD7231">
        <v>-1.1207023409520001</v>
      </c>
      <c r="AE7231">
        <v>23.832829999999898</v>
      </c>
      <c r="AF7231">
        <v>1.2145906550983201</v>
      </c>
      <c r="AG7231">
        <v>-1.1207023409520001</v>
      </c>
      <c r="AH7231">
        <v>23.759519521749599</v>
      </c>
      <c r="AI7231">
        <v>92.697041305114794</v>
      </c>
      <c r="AJ7231">
        <v>87.073577469015902</v>
      </c>
      <c r="AK7231">
        <v>23.816926168186999</v>
      </c>
      <c r="AL7231">
        <v>92.986388318088999</v>
      </c>
      <c r="AM7231">
        <v>89.534860925664702</v>
      </c>
      <c r="AN7231">
        <v>0.99999996771889299</v>
      </c>
    </row>
    <row r="7232" spans="1:40" x14ac:dyDescent="0.25">
      <c r="A7232" t="str">
        <f>"20190303154704237"</f>
        <v>20190303154704237</v>
      </c>
      <c r="B7232" t="str">
        <f>"1551599224228737"</f>
        <v>1551599224228737</v>
      </c>
      <c r="C7232" t="s">
        <v>40</v>
      </c>
      <c r="D7232">
        <v>5.0100020000000001</v>
      </c>
      <c r="E7232">
        <v>0.51586599999999905</v>
      </c>
      <c r="F7232" t="s">
        <v>41</v>
      </c>
      <c r="G7232">
        <v>-187.22460000000001</v>
      </c>
      <c r="H7232" s="1">
        <v>-4.6492999999999997E-6</v>
      </c>
      <c r="I7232">
        <v>69.322829999999996</v>
      </c>
      <c r="J7232">
        <v>-187.93690000000001</v>
      </c>
      <c r="K7232">
        <v>1.1207039999999999</v>
      </c>
      <c r="L7232">
        <v>45.172939999999997</v>
      </c>
      <c r="M7232">
        <v>-2.153892E-2</v>
      </c>
      <c r="N7232">
        <v>-1.500695E-2</v>
      </c>
      <c r="O7232">
        <v>0.99965539999999997</v>
      </c>
      <c r="P7232">
        <v>-1.3930089999999999E-2</v>
      </c>
      <c r="Q7232">
        <v>-6.7453230000000003E-2</v>
      </c>
      <c r="R7232">
        <v>0.99762519999999999</v>
      </c>
      <c r="S7232">
        <v>8.5968020000000006E-2</v>
      </c>
      <c r="T7232">
        <v>-0.13690479999999899</v>
      </c>
      <c r="U7232">
        <v>2.9990230000000002</v>
      </c>
      <c r="V7232">
        <v>7.5387789999999998E-3</v>
      </c>
      <c r="W7232">
        <v>-5.247682E-2</v>
      </c>
      <c r="X7232">
        <v>0.99859370000000003</v>
      </c>
      <c r="Y7232">
        <v>5.0143229999999997E-2</v>
      </c>
      <c r="Z7232">
        <v>-3.0547330000000001E-2</v>
      </c>
      <c r="AA7232">
        <v>0.99827469999999996</v>
      </c>
      <c r="AB7232">
        <v>39</v>
      </c>
      <c r="AC7232">
        <v>0.71229999999999805</v>
      </c>
      <c r="AD7232">
        <v>-1.1207086493</v>
      </c>
      <c r="AE7232">
        <v>24.149889999999999</v>
      </c>
      <c r="AF7232">
        <v>1.22970989325344</v>
      </c>
      <c r="AG7232">
        <v>-1.1207086493</v>
      </c>
      <c r="AH7232">
        <v>24.077136050170701</v>
      </c>
      <c r="AI7232">
        <v>92.661535695614006</v>
      </c>
      <c r="AJ7232">
        <v>87.076229529070403</v>
      </c>
      <c r="AK7232">
        <v>24.134553127758799</v>
      </c>
      <c r="AL7232">
        <v>93.008081963323306</v>
      </c>
      <c r="AM7232">
        <v>89.567459704830796</v>
      </c>
      <c r="AN7232">
        <v>1.0000000137528999</v>
      </c>
    </row>
    <row r="7233" spans="1:40" x14ac:dyDescent="0.25">
      <c r="A7233" t="str">
        <f>"20190303154704259"</f>
        <v>20190303154704259</v>
      </c>
      <c r="B7233" t="str">
        <f>"1551599224249233"</f>
        <v>1551599224249233</v>
      </c>
      <c r="C7233" t="s">
        <v>40</v>
      </c>
      <c r="D7233">
        <v>5.0073089999999896</v>
      </c>
      <c r="E7233">
        <v>0.51582260000000002</v>
      </c>
      <c r="F7233" t="s">
        <v>41</v>
      </c>
      <c r="G7233">
        <v>-187.25810000000001</v>
      </c>
      <c r="H7233" s="1">
        <v>-4.5880290000000001E-6</v>
      </c>
      <c r="I7233">
        <v>69.193839999999994</v>
      </c>
      <c r="J7233">
        <v>-187.94479999999999</v>
      </c>
      <c r="K7233">
        <v>1.120709</v>
      </c>
      <c r="L7233">
        <v>45.549439999999997</v>
      </c>
      <c r="M7233">
        <v>-2.1374689999999998E-2</v>
      </c>
      <c r="N7233">
        <v>-1.5002710000000001E-2</v>
      </c>
      <c r="O7233">
        <v>0.99965890000000002</v>
      </c>
      <c r="P7233">
        <v>-1.3932109999999999E-2</v>
      </c>
      <c r="Q7233">
        <v>-6.7091509999999993E-2</v>
      </c>
      <c r="R7233">
        <v>0.99764960000000003</v>
      </c>
      <c r="S7233">
        <v>8.4747310000000006E-2</v>
      </c>
      <c r="T7233">
        <v>-0.13991400000000001</v>
      </c>
      <c r="U7233">
        <v>2.9988709999999998</v>
      </c>
      <c r="V7233">
        <v>7.3735140000000003E-3</v>
      </c>
      <c r="W7233">
        <v>-5.2118930000000001E-2</v>
      </c>
      <c r="X7233">
        <v>0.99861369999999905</v>
      </c>
      <c r="Y7233">
        <v>4.9573569999999997E-2</v>
      </c>
      <c r="Z7233">
        <v>-3.1554810000000003E-2</v>
      </c>
      <c r="AA7233">
        <v>0.99827189999999999</v>
      </c>
      <c r="AB7233">
        <v>39</v>
      </c>
      <c r="AC7233">
        <v>0.686699999999973</v>
      </c>
      <c r="AD7233">
        <v>-1.120713588029</v>
      </c>
      <c r="AE7233">
        <v>23.644400000000001</v>
      </c>
      <c r="AF7233">
        <v>1.18932199490529</v>
      </c>
      <c r="AG7233">
        <v>-1.120713588029</v>
      </c>
      <c r="AH7233">
        <v>23.571405483924</v>
      </c>
      <c r="AI7233">
        <v>92.718651713858705</v>
      </c>
      <c r="AJ7233">
        <v>87.111525986097405</v>
      </c>
      <c r="AK7233">
        <v>23.627984303395799</v>
      </c>
      <c r="AL7233">
        <v>92.9875482086087</v>
      </c>
      <c r="AM7233">
        <v>89.576949970790196</v>
      </c>
      <c r="AN7233">
        <v>1.0000000367003701</v>
      </c>
    </row>
    <row r="7234" spans="1:40" x14ac:dyDescent="0.25">
      <c r="A7234" t="str">
        <f>"20190303154704282"</f>
        <v>20190303154704282</v>
      </c>
      <c r="B7234" t="str">
        <f>"1551599224278514"</f>
        <v>1551599224278514</v>
      </c>
      <c r="C7234" t="s">
        <v>40</v>
      </c>
      <c r="D7234">
        <v>4.9733679999999998</v>
      </c>
      <c r="E7234">
        <v>0.51547240000000005</v>
      </c>
      <c r="F7234" t="s">
        <v>41</v>
      </c>
      <c r="G7234">
        <v>-187.2697</v>
      </c>
      <c r="H7234" s="1">
        <v>-4.7272579999999997E-6</v>
      </c>
      <c r="I7234">
        <v>69.523160000000004</v>
      </c>
      <c r="J7234">
        <v>-187.95310000000001</v>
      </c>
      <c r="K7234">
        <v>1.120706</v>
      </c>
      <c r="L7234">
        <v>45.943539999999999</v>
      </c>
      <c r="M7234">
        <v>-2.120232E-2</v>
      </c>
      <c r="N7234">
        <v>-1.4998269999999999E-2</v>
      </c>
      <c r="O7234">
        <v>0.99966270000000002</v>
      </c>
      <c r="P7234">
        <v>-1.358328E-2</v>
      </c>
      <c r="Q7234">
        <v>-6.7838529999999994E-2</v>
      </c>
      <c r="R7234">
        <v>0.99760380000000004</v>
      </c>
      <c r="S7234">
        <v>8.4457400000000002E-2</v>
      </c>
      <c r="T7234">
        <v>-0.14018710000000001</v>
      </c>
      <c r="U7234">
        <v>2.9988100000000002</v>
      </c>
      <c r="V7234">
        <v>7.5488909999999899E-3</v>
      </c>
      <c r="W7234">
        <v>-5.2871149999999999E-2</v>
      </c>
      <c r="X7234">
        <v>0.99857280000000004</v>
      </c>
      <c r="Y7234">
        <v>4.9305509999999997E-2</v>
      </c>
      <c r="Z7234">
        <v>-3.1651599999999898E-2</v>
      </c>
      <c r="AA7234">
        <v>0.99828209999999995</v>
      </c>
      <c r="AB7234">
        <v>39</v>
      </c>
      <c r="AC7234">
        <v>0.683400000000006</v>
      </c>
      <c r="AD7234">
        <v>-1.1207107272579999</v>
      </c>
      <c r="AE7234">
        <v>23.579619999999998</v>
      </c>
      <c r="AF7234">
        <v>1.18058055351613</v>
      </c>
      <c r="AG7234">
        <v>-1.1207107272579999</v>
      </c>
      <c r="AH7234">
        <v>23.506770057441301</v>
      </c>
      <c r="AI7234">
        <v>92.726140713246593</v>
      </c>
      <c r="AJ7234">
        <v>87.124849720267903</v>
      </c>
      <c r="AK7234">
        <v>23.563064348911698</v>
      </c>
      <c r="AL7234">
        <v>93.030706886874697</v>
      </c>
      <c r="AM7234">
        <v>89.566870482285594</v>
      </c>
      <c r="AN7234">
        <v>0.999999990578746</v>
      </c>
    </row>
    <row r="7235" spans="1:40" x14ac:dyDescent="0.25">
      <c r="A7235" t="str">
        <f>"20190303154704303"</f>
        <v>20190303154704303</v>
      </c>
      <c r="B7235" t="str">
        <f>"1551599224299009"</f>
        <v>1551599224299009</v>
      </c>
      <c r="C7235" t="s">
        <v>40</v>
      </c>
      <c r="D7235">
        <v>4.9282899999999996</v>
      </c>
      <c r="E7235">
        <v>0.5034149</v>
      </c>
      <c r="F7235" t="s">
        <v>41</v>
      </c>
      <c r="G7235">
        <v>-187.27869999999999</v>
      </c>
      <c r="H7235" s="1">
        <v>-9.7574630000000006E-7</v>
      </c>
      <c r="I7235">
        <v>70.387600000000006</v>
      </c>
      <c r="J7235">
        <v>-187.96090000000001</v>
      </c>
      <c r="K7235">
        <v>1.1207</v>
      </c>
      <c r="L7235">
        <v>46.316589999999998</v>
      </c>
      <c r="M7235">
        <v>-2.103878E-2</v>
      </c>
      <c r="N7235">
        <v>-1.499407E-2</v>
      </c>
      <c r="O7235">
        <v>0.99966619999999995</v>
      </c>
      <c r="P7235">
        <v>-1.249401E-2</v>
      </c>
      <c r="Q7235">
        <v>-6.9049780000000005E-2</v>
      </c>
      <c r="R7235">
        <v>0.99753499999999995</v>
      </c>
      <c r="S7235">
        <v>8.2748409999999994E-2</v>
      </c>
      <c r="T7235">
        <v>-0.13749729999999999</v>
      </c>
      <c r="U7235">
        <v>2.998993</v>
      </c>
      <c r="V7235">
        <v>8.4726679999999992E-3</v>
      </c>
      <c r="W7235">
        <v>-5.4088249999999997E-2</v>
      </c>
      <c r="X7235">
        <v>0.99850019999999995</v>
      </c>
      <c r="Y7235">
        <v>4.8573390000000001E-2</v>
      </c>
      <c r="Z7235">
        <v>-3.076096E-2</v>
      </c>
      <c r="AA7235">
        <v>0.99834590000000001</v>
      </c>
      <c r="AB7235">
        <v>39</v>
      </c>
      <c r="AC7235">
        <v>0.68220000000002201</v>
      </c>
      <c r="AD7235">
        <v>-1.1207009757463</v>
      </c>
      <c r="AE7235">
        <v>24.071010000000001</v>
      </c>
      <c r="AF7235">
        <v>1.1859619011862901</v>
      </c>
      <c r="AG7235">
        <v>-1.1207009757463</v>
      </c>
      <c r="AH7235">
        <v>23.999346027802499</v>
      </c>
      <c r="AI7235">
        <v>92.670353392149494</v>
      </c>
      <c r="AJ7235">
        <v>87.170948699709101</v>
      </c>
      <c r="AK7235">
        <v>24.0547518397156</v>
      </c>
      <c r="AL7235">
        <v>93.100541533560303</v>
      </c>
      <c r="AM7235">
        <v>89.513834381752005</v>
      </c>
      <c r="AN7235">
        <v>0.99999998714557004</v>
      </c>
    </row>
    <row r="7236" spans="1:40" x14ac:dyDescent="0.25">
      <c r="A7236" t="str">
        <f>"20190303154704326"</f>
        <v>20190303154704326</v>
      </c>
      <c r="B7236" t="str">
        <f>"1551599224318529"</f>
        <v>1551599224318529</v>
      </c>
      <c r="C7236" t="s">
        <v>40</v>
      </c>
      <c r="D7236">
        <v>4.9324770000000004</v>
      </c>
      <c r="E7236">
        <v>0.50336570000000003</v>
      </c>
      <c r="F7236" t="s">
        <v>41</v>
      </c>
      <c r="G7236">
        <v>-188.09370000000001</v>
      </c>
      <c r="H7236" s="1">
        <v>-3.242138E-6</v>
      </c>
      <c r="I7236">
        <v>86.402059999999906</v>
      </c>
      <c r="J7236">
        <v>-187.96879999999999</v>
      </c>
      <c r="K7236">
        <v>1.1206969999999901</v>
      </c>
      <c r="L7236">
        <v>46.702550000000002</v>
      </c>
      <c r="M7236">
        <v>-2.0869289999999999E-2</v>
      </c>
      <c r="N7236">
        <v>-1.498974E-2</v>
      </c>
      <c r="O7236">
        <v>0.99966980000000005</v>
      </c>
      <c r="P7236">
        <v>-1.123862E-2</v>
      </c>
      <c r="Q7236">
        <v>-6.9739190000000006E-2</v>
      </c>
      <c r="R7236">
        <v>0.997502</v>
      </c>
      <c r="S7236">
        <v>-9.9487299999999994E-3</v>
      </c>
      <c r="T7236">
        <v>-8.3914520000000006E-2</v>
      </c>
      <c r="U7236">
        <v>3.001465</v>
      </c>
      <c r="V7236">
        <v>9.5576299999999993E-3</v>
      </c>
      <c r="W7236">
        <v>-5.4783279999999997E-2</v>
      </c>
      <c r="X7236">
        <v>0.99845249999999997</v>
      </c>
      <c r="Y7236">
        <v>1.755226E-2</v>
      </c>
      <c r="Z7236">
        <v>-1.294907E-2</v>
      </c>
      <c r="AA7236">
        <v>0.99976209999999999</v>
      </c>
      <c r="AB7236">
        <v>39</v>
      </c>
      <c r="AC7236">
        <v>-0.124900000000025</v>
      </c>
      <c r="AD7236">
        <v>-1.1207002421379999</v>
      </c>
      <c r="AE7236">
        <v>39.699509999999897</v>
      </c>
      <c r="AF7236">
        <v>0.70316056961197204</v>
      </c>
      <c r="AG7236">
        <v>-1.1207002421379999</v>
      </c>
      <c r="AH7236">
        <v>39.661862296915103</v>
      </c>
      <c r="AI7236">
        <v>91.6182858883394</v>
      </c>
      <c r="AJ7236">
        <v>88.984316156903503</v>
      </c>
      <c r="AK7236">
        <v>39.683922748121098</v>
      </c>
      <c r="AL7236">
        <v>93.140422990617594</v>
      </c>
      <c r="AM7236">
        <v>89.451556147267496</v>
      </c>
      <c r="AN7236">
        <v>0.99999997540751195</v>
      </c>
    </row>
    <row r="7237" spans="1:40" x14ac:dyDescent="0.25">
      <c r="A7237" t="str">
        <f>"20190303154704349"</f>
        <v>20190303154704349</v>
      </c>
      <c r="B7237" t="str">
        <f>"1551599224339026"</f>
        <v>1551599224339026</v>
      </c>
      <c r="C7237" t="s">
        <v>40</v>
      </c>
      <c r="D7237">
        <v>4.9341559999999998</v>
      </c>
      <c r="E7237">
        <v>0.50369079999999999</v>
      </c>
      <c r="F7237" t="s">
        <v>41</v>
      </c>
      <c r="G7237">
        <v>-188.0556</v>
      </c>
      <c r="H7237" s="1">
        <v>-3.4852090000000001E-6</v>
      </c>
      <c r="I7237">
        <v>86.9529</v>
      </c>
      <c r="J7237">
        <v>-187.977</v>
      </c>
      <c r="K7237">
        <v>1.1206929999999999</v>
      </c>
      <c r="L7237">
        <v>47.100459999999998</v>
      </c>
      <c r="M7237">
        <v>-2.0694230000000001E-2</v>
      </c>
      <c r="N7237">
        <v>-1.498524E-2</v>
      </c>
      <c r="O7237">
        <v>0.99967349999999999</v>
      </c>
      <c r="P7237">
        <v>-9.8037560000000003E-3</v>
      </c>
      <c r="Q7237">
        <v>-7.0151959999999999E-2</v>
      </c>
      <c r="R7237">
        <v>0.99748809999999999</v>
      </c>
      <c r="S7237">
        <v>-6.4697269999999998E-3</v>
      </c>
      <c r="T7237">
        <v>-8.3573939999999999E-2</v>
      </c>
      <c r="U7237">
        <v>3.0015869999999998</v>
      </c>
      <c r="V7237">
        <v>1.081704E-2</v>
      </c>
      <c r="W7237">
        <v>-5.5201729999999997E-2</v>
      </c>
      <c r="X7237">
        <v>0.99841659999999999</v>
      </c>
      <c r="Y7237">
        <v>1.853577E-2</v>
      </c>
      <c r="Z7237">
        <v>-1.283888E-2</v>
      </c>
      <c r="AA7237">
        <v>0.99974580000000002</v>
      </c>
      <c r="AB7237">
        <v>39</v>
      </c>
      <c r="AC7237">
        <v>-7.8599999999994397E-2</v>
      </c>
      <c r="AD7237">
        <v>-1.120696485209</v>
      </c>
      <c r="AE7237">
        <v>39.852440000000001</v>
      </c>
      <c r="AF7237">
        <v>0.74563539832687498</v>
      </c>
      <c r="AG7237">
        <v>-1.120696485209</v>
      </c>
      <c r="AH7237">
        <v>39.814045700354903</v>
      </c>
      <c r="AI7237">
        <v>91.6120687617084</v>
      </c>
      <c r="AJ7237">
        <v>88.927093014745495</v>
      </c>
      <c r="AK7237">
        <v>39.836794145477498</v>
      </c>
      <c r="AL7237">
        <v>93.164434752523704</v>
      </c>
      <c r="AM7237">
        <v>89.3792706461265</v>
      </c>
      <c r="AN7237">
        <v>0.99999997325245604</v>
      </c>
    </row>
    <row r="7238" spans="1:40" x14ac:dyDescent="0.25">
      <c r="A7238" t="str">
        <f>"20190303154704372"</f>
        <v>20190303154704372</v>
      </c>
      <c r="B7238" t="str">
        <f>"1551599224369282"</f>
        <v>1551599224369282</v>
      </c>
      <c r="C7238" t="s">
        <v>40</v>
      </c>
      <c r="D7238">
        <v>5.0918210000000004</v>
      </c>
      <c r="E7238">
        <v>0.50364699999999996</v>
      </c>
      <c r="F7238" t="s">
        <v>41</v>
      </c>
      <c r="G7238">
        <v>-187.97069999999999</v>
      </c>
      <c r="H7238" s="1">
        <v>-3.3519859999999999E-6</v>
      </c>
      <c r="I7238">
        <v>86.607259999999997</v>
      </c>
      <c r="J7238">
        <v>-187.98490000000001</v>
      </c>
      <c r="K7238">
        <v>1.120684</v>
      </c>
      <c r="L7238">
        <v>47.494450000000001</v>
      </c>
      <c r="M7238">
        <v>-2.0520670000000001E-2</v>
      </c>
      <c r="N7238">
        <v>-1.4980820000000001E-2</v>
      </c>
      <c r="O7238">
        <v>0.99967720000000004</v>
      </c>
      <c r="P7238">
        <v>-9.2194909999999998E-3</v>
      </c>
      <c r="Q7238">
        <v>-7.0927089999999998E-2</v>
      </c>
      <c r="R7238">
        <v>0.99743890000000002</v>
      </c>
      <c r="S7238">
        <v>4.7302249999999998E-4</v>
      </c>
      <c r="T7238">
        <v>-8.5146550000000001E-2</v>
      </c>
      <c r="U7238">
        <v>3.0015869999999998</v>
      </c>
      <c r="V7238">
        <v>1.1226649999999999E-2</v>
      </c>
      <c r="W7238">
        <v>-5.5982249999999997E-2</v>
      </c>
      <c r="X7238">
        <v>0.99836860000000005</v>
      </c>
      <c r="Y7238">
        <v>2.0673799999999999E-2</v>
      </c>
      <c r="Z7238">
        <v>-1.3365780000000001E-2</v>
      </c>
      <c r="AA7238">
        <v>0.9996969</v>
      </c>
      <c r="AB7238">
        <v>39</v>
      </c>
      <c r="AC7238">
        <v>1.42000000000166E-2</v>
      </c>
      <c r="AD7238">
        <v>-1.1206873519859999</v>
      </c>
      <c r="AE7238">
        <v>39.112810000000003</v>
      </c>
      <c r="AF7238">
        <v>0.81623803197244604</v>
      </c>
      <c r="AG7238">
        <v>-1.1206873519859999</v>
      </c>
      <c r="AH7238">
        <v>39.072203327170897</v>
      </c>
      <c r="AI7238">
        <v>91.642575928367407</v>
      </c>
      <c r="AJ7238">
        <v>88.803236345406006</v>
      </c>
      <c r="AK7238">
        <v>39.096793442756002</v>
      </c>
      <c r="AL7238">
        <v>93.209224577264294</v>
      </c>
      <c r="AM7238">
        <v>89.355736395762094</v>
      </c>
      <c r="AN7238">
        <v>0.99999995572562095</v>
      </c>
    </row>
    <row r="7239" spans="1:40" x14ac:dyDescent="0.25">
      <c r="A7239" t="str">
        <f>"20190303154704395"</f>
        <v>20190303154704395</v>
      </c>
      <c r="B7239" t="str">
        <f>"1551599224388801"</f>
        <v>1551599224388801</v>
      </c>
      <c r="C7239" t="s">
        <v>40</v>
      </c>
      <c r="D7239">
        <v>4.9870099999999997</v>
      </c>
      <c r="E7239">
        <v>0.50394129999999904</v>
      </c>
      <c r="F7239" t="s">
        <v>41</v>
      </c>
      <c r="G7239">
        <v>-187.9623</v>
      </c>
      <c r="H7239" s="1">
        <v>-2.1071009999999999E-6</v>
      </c>
      <c r="I7239">
        <v>83.701909999999998</v>
      </c>
      <c r="J7239">
        <v>-187.9931</v>
      </c>
      <c r="K7239">
        <v>1.120676</v>
      </c>
      <c r="L7239">
        <v>47.899230000000003</v>
      </c>
      <c r="M7239">
        <v>-2.0342160000000001E-2</v>
      </c>
      <c r="N7239">
        <v>-1.4976379999999999E-2</v>
      </c>
      <c r="O7239">
        <v>0.99968089999999998</v>
      </c>
      <c r="P7239">
        <v>-9.3328460000000005E-3</v>
      </c>
      <c r="Q7239">
        <v>-7.0924650000000006E-2</v>
      </c>
      <c r="R7239">
        <v>0.99743800000000005</v>
      </c>
      <c r="S7239">
        <v>1.876831E-3</v>
      </c>
      <c r="T7239">
        <v>-9.2889429999999995E-2</v>
      </c>
      <c r="U7239">
        <v>3.001099</v>
      </c>
      <c r="V7239">
        <v>1.0935230000000001E-2</v>
      </c>
      <c r="W7239">
        <v>-5.5984020000000002E-2</v>
      </c>
      <c r="X7239">
        <v>0.99837180000000003</v>
      </c>
      <c r="Y7239">
        <v>2.0962399999999999E-2</v>
      </c>
      <c r="Z7239">
        <v>-1.595121E-2</v>
      </c>
      <c r="AA7239">
        <v>0.99965300000000001</v>
      </c>
      <c r="AB7239">
        <v>38</v>
      </c>
      <c r="AC7239">
        <v>3.07999999999992E-2</v>
      </c>
      <c r="AD7239">
        <v>-1.1206781071009999</v>
      </c>
      <c r="AE7239">
        <v>35.802680000000002</v>
      </c>
      <c r="AF7239">
        <v>0.75843605783642798</v>
      </c>
      <c r="AG7239">
        <v>-1.1206781071009999</v>
      </c>
      <c r="AH7239">
        <v>35.7596066323717</v>
      </c>
      <c r="AI7239">
        <v>91.794614090518493</v>
      </c>
      <c r="AJ7239">
        <v>88.784979055473102</v>
      </c>
      <c r="AK7239">
        <v>35.785201007895999</v>
      </c>
      <c r="AL7239">
        <v>93.209325942338197</v>
      </c>
      <c r="AM7239">
        <v>89.372460767166203</v>
      </c>
      <c r="AN7239">
        <v>1.0000000203928701</v>
      </c>
    </row>
    <row r="7240" spans="1:40" x14ac:dyDescent="0.25">
      <c r="A7240" t="str">
        <f>"20190303154704417"</f>
        <v>20190303154704417</v>
      </c>
      <c r="B7240" t="str">
        <f>"1551599224409298"</f>
        <v>1551599224409298</v>
      </c>
      <c r="C7240" t="s">
        <v>40</v>
      </c>
      <c r="D7240">
        <v>4.9633310000000002</v>
      </c>
      <c r="E7240">
        <v>0.50396790000000002</v>
      </c>
      <c r="F7240" t="s">
        <v>41</v>
      </c>
      <c r="G7240">
        <v>-187.94710000000001</v>
      </c>
      <c r="H7240" s="1">
        <v>-2.6574499999999999E-6</v>
      </c>
      <c r="I7240">
        <v>84.97851</v>
      </c>
      <c r="J7240">
        <v>-188.00040000000001</v>
      </c>
      <c r="K7240">
        <v>1.120681</v>
      </c>
      <c r="L7240">
        <v>48.263820000000003</v>
      </c>
      <c r="M7240">
        <v>-2.0181279999999999E-2</v>
      </c>
      <c r="N7240">
        <v>-1.4972360000000001E-2</v>
      </c>
      <c r="O7240">
        <v>0.99968420000000002</v>
      </c>
      <c r="P7240">
        <v>-9.8450020000000003E-3</v>
      </c>
      <c r="Q7240">
        <v>-7.0792960000000002E-2</v>
      </c>
      <c r="R7240">
        <v>0.99744239999999995</v>
      </c>
      <c r="S7240">
        <v>3.7231450000000002E-3</v>
      </c>
      <c r="T7240">
        <v>-9.0710280000000004E-2</v>
      </c>
      <c r="U7240">
        <v>3.0012819999999998</v>
      </c>
      <c r="V7240">
        <v>1.0262840000000001E-2</v>
      </c>
      <c r="W7240">
        <v>-5.5855809999999999E-2</v>
      </c>
      <c r="X7240">
        <v>0.99838610000000005</v>
      </c>
      <c r="Y7240">
        <v>2.1416399999999999E-2</v>
      </c>
      <c r="Z7240">
        <v>-1.522825E-2</v>
      </c>
      <c r="AA7240">
        <v>0.99965470000000001</v>
      </c>
      <c r="AB7240">
        <v>38</v>
      </c>
      <c r="AC7240">
        <v>5.3300000000007203E-2</v>
      </c>
      <c r="AD7240">
        <v>-1.1206836574500001</v>
      </c>
      <c r="AE7240">
        <v>36.714689999999997</v>
      </c>
      <c r="AF7240">
        <v>0.79358226526028497</v>
      </c>
      <c r="AG7240">
        <v>-1.1206836574500001</v>
      </c>
      <c r="AH7240">
        <v>36.671967118342302</v>
      </c>
      <c r="AI7240">
        <v>91.749986600468802</v>
      </c>
      <c r="AJ7240">
        <v>88.760311417526793</v>
      </c>
      <c r="AK7240">
        <v>36.697668549930903</v>
      </c>
      <c r="AL7240">
        <v>93.201968600197603</v>
      </c>
      <c r="AM7240">
        <v>89.411052790249997</v>
      </c>
      <c r="AN7240">
        <v>1.0000000010344099</v>
      </c>
    </row>
    <row r="7241" spans="1:40" x14ac:dyDescent="0.25">
      <c r="A7241" t="str">
        <f>"20190303154704438"</f>
        <v>20190303154704438</v>
      </c>
      <c r="B7241" t="str">
        <f>"1551599224428818"</f>
        <v>1551599224428818</v>
      </c>
      <c r="C7241" t="s">
        <v>40</v>
      </c>
      <c r="D7241">
        <v>4.935041</v>
      </c>
      <c r="E7241">
        <v>0.50337089999999995</v>
      </c>
      <c r="F7241" t="s">
        <v>41</v>
      </c>
      <c r="G7241">
        <v>-187.9691</v>
      </c>
      <c r="H7241" s="1">
        <v>-3.0042980000000001E-6</v>
      </c>
      <c r="I7241">
        <v>85.796099999999996</v>
      </c>
      <c r="J7241">
        <v>-188.0076</v>
      </c>
      <c r="K7241">
        <v>1.120692</v>
      </c>
      <c r="L7241">
        <v>48.627560000000003</v>
      </c>
      <c r="M7241">
        <v>-2.002073E-2</v>
      </c>
      <c r="N7241">
        <v>-1.496857E-2</v>
      </c>
      <c r="O7241">
        <v>0.99968749999999995</v>
      </c>
      <c r="P7241">
        <v>-9.9198729999999992E-3</v>
      </c>
      <c r="Q7241">
        <v>-7.0021029999999998E-2</v>
      </c>
      <c r="R7241">
        <v>0.99749620000000006</v>
      </c>
      <c r="S7241">
        <v>2.5024410000000002E-3</v>
      </c>
      <c r="T7241">
        <v>-8.9617730000000007E-2</v>
      </c>
      <c r="U7241">
        <v>3.0013429999999999</v>
      </c>
      <c r="V7241">
        <v>1.002927E-2</v>
      </c>
      <c r="W7241">
        <v>-5.5086780000000002E-2</v>
      </c>
      <c r="X7241">
        <v>0.99843119999999996</v>
      </c>
      <c r="Y7241">
        <v>2.0849489999999998E-2</v>
      </c>
      <c r="Z7241">
        <v>-1.4868320000000001E-2</v>
      </c>
      <c r="AA7241">
        <v>0.99967209999999995</v>
      </c>
      <c r="AB7241">
        <v>38</v>
      </c>
      <c r="AC7241">
        <v>3.8499999999999E-2</v>
      </c>
      <c r="AD7241">
        <v>-1.120695004298</v>
      </c>
      <c r="AE7241">
        <v>37.16854</v>
      </c>
      <c r="AF7241">
        <v>0.78200602934903996</v>
      </c>
      <c r="AG7241">
        <v>-1.120695004298</v>
      </c>
      <c r="AH7241">
        <v>37.126564900132799</v>
      </c>
      <c r="AI7241">
        <v>91.728610652780205</v>
      </c>
      <c r="AJ7241">
        <v>88.793343236687093</v>
      </c>
      <c r="AK7241">
        <v>37.151706717274401</v>
      </c>
      <c r="AL7241">
        <v>93.157838480027294</v>
      </c>
      <c r="AM7241">
        <v>89.424481610366399</v>
      </c>
      <c r="AN7241">
        <v>1.0000000003604701</v>
      </c>
    </row>
    <row r="7242" spans="1:40" x14ac:dyDescent="0.25">
      <c r="A7242" t="str">
        <f>"20190303154704461"</f>
        <v>20190303154704461</v>
      </c>
      <c r="B7242" t="str">
        <f>"1551599224449314"</f>
        <v>1551599224449314</v>
      </c>
      <c r="C7242" t="s">
        <v>40</v>
      </c>
      <c r="D7242">
        <v>4.8444779999999996</v>
      </c>
      <c r="E7242">
        <v>0.50335779999999997</v>
      </c>
      <c r="F7242" t="s">
        <v>41</v>
      </c>
      <c r="G7242">
        <v>-188.0368</v>
      </c>
      <c r="H7242" s="1">
        <v>-2.2990220000000001E-6</v>
      </c>
      <c r="I7242">
        <v>84.180109999999999</v>
      </c>
      <c r="J7242">
        <v>-188.0153</v>
      </c>
      <c r="K7242">
        <v>1.1207020000000001</v>
      </c>
      <c r="L7242">
        <v>49.022829999999999</v>
      </c>
      <c r="M7242">
        <v>-1.9846229999999999E-2</v>
      </c>
      <c r="N7242">
        <v>-1.496433E-2</v>
      </c>
      <c r="O7242">
        <v>0.99969110000000005</v>
      </c>
      <c r="P7242">
        <v>-9.9732650000000003E-3</v>
      </c>
      <c r="Q7242">
        <v>-6.9722480000000003E-2</v>
      </c>
      <c r="R7242">
        <v>0.99751659999999998</v>
      </c>
      <c r="S7242">
        <v>-2.4719239999999999E-3</v>
      </c>
      <c r="T7242">
        <v>-9.459352E-2</v>
      </c>
      <c r="U7242">
        <v>3.0008539999999999</v>
      </c>
      <c r="V7242">
        <v>9.8023550000000004E-3</v>
      </c>
      <c r="W7242">
        <v>-5.479204E-2</v>
      </c>
      <c r="X7242">
        <v>0.9984497</v>
      </c>
      <c r="Y7242">
        <v>1.901837E-2</v>
      </c>
      <c r="Z7242">
        <v>-1.653408E-2</v>
      </c>
      <c r="AA7242">
        <v>0.99968239999999997</v>
      </c>
      <c r="AB7242">
        <v>38</v>
      </c>
      <c r="AC7242">
        <v>-2.15000000000031E-2</v>
      </c>
      <c r="AD7242">
        <v>-1.120704299022</v>
      </c>
      <c r="AE7242">
        <v>35.15728</v>
      </c>
      <c r="AF7242">
        <v>0.67563526519341099</v>
      </c>
      <c r="AG7242">
        <v>-1.120704299022</v>
      </c>
      <c r="AH7242">
        <v>35.115099081934503</v>
      </c>
      <c r="AI7242">
        <v>91.827645932845897</v>
      </c>
      <c r="AJ7242">
        <v>88.897731337500105</v>
      </c>
      <c r="AK7242">
        <v>35.139474166121197</v>
      </c>
      <c r="AL7242">
        <v>93.140925489343005</v>
      </c>
      <c r="AM7242">
        <v>89.437512448025601</v>
      </c>
      <c r="AN7242">
        <v>1.00000002862049</v>
      </c>
    </row>
    <row r="7243" spans="1:40" x14ac:dyDescent="0.25">
      <c r="A7243" t="str">
        <f>"20190303154704483"</f>
        <v>20190303154704483</v>
      </c>
      <c r="B7243" t="str">
        <f>"1551599224479570"</f>
        <v>1551599224479570</v>
      </c>
      <c r="C7243" t="s">
        <v>40</v>
      </c>
      <c r="D7243">
        <v>4.8094049999999999</v>
      </c>
      <c r="E7243">
        <v>0.50288739999999998</v>
      </c>
      <c r="F7243" t="s">
        <v>41</v>
      </c>
      <c r="G7243">
        <v>-188.04849999999999</v>
      </c>
      <c r="H7243" s="1">
        <v>-2.8555500000000001E-6</v>
      </c>
      <c r="I7243">
        <v>85.482200000000006</v>
      </c>
      <c r="J7243">
        <v>-188.02250000000001</v>
      </c>
      <c r="K7243">
        <v>1.1207049999999901</v>
      </c>
      <c r="L7243">
        <v>49.396700000000003</v>
      </c>
      <c r="M7243">
        <v>-1.9681150000000001E-2</v>
      </c>
      <c r="N7243">
        <v>-1.4960040000000001E-2</v>
      </c>
      <c r="O7243">
        <v>0.99969439999999998</v>
      </c>
      <c r="P7243">
        <v>-9.6278030000000007E-3</v>
      </c>
      <c r="Q7243">
        <v>-6.8754590000000004E-2</v>
      </c>
      <c r="R7243">
        <v>0.99758709999999995</v>
      </c>
      <c r="S7243">
        <v>-2.7313229999999999E-3</v>
      </c>
      <c r="T7243">
        <v>-9.2246289999999995E-2</v>
      </c>
      <c r="U7243">
        <v>3.001007</v>
      </c>
      <c r="V7243">
        <v>9.9849120000000003E-3</v>
      </c>
      <c r="W7243">
        <v>-5.3827659999999999E-2</v>
      </c>
      <c r="X7243">
        <v>0.99850030000000001</v>
      </c>
      <c r="Y7243">
        <v>1.8767079999999998E-2</v>
      </c>
      <c r="Z7243">
        <v>-1.5756019999999999E-2</v>
      </c>
      <c r="AA7243">
        <v>0.99969969999999997</v>
      </c>
      <c r="AB7243">
        <v>38</v>
      </c>
      <c r="AC7243">
        <v>-2.5999999999981999E-2</v>
      </c>
      <c r="AD7243">
        <v>-1.1207078555500001</v>
      </c>
      <c r="AE7243">
        <v>36.085500000000003</v>
      </c>
      <c r="AF7243">
        <v>0.68362925994964596</v>
      </c>
      <c r="AG7243">
        <v>-1.1207078555500001</v>
      </c>
      <c r="AH7243">
        <v>36.044254670599202</v>
      </c>
      <c r="AI7243">
        <v>91.780578224735606</v>
      </c>
      <c r="AJ7243">
        <v>88.913436384367401</v>
      </c>
      <c r="AK7243">
        <v>36.068152570121498</v>
      </c>
      <c r="AL7243">
        <v>93.085589058525201</v>
      </c>
      <c r="AM7243">
        <v>89.427066523541299</v>
      </c>
      <c r="AN7243">
        <v>0.99999998227440601</v>
      </c>
    </row>
    <row r="7244" spans="1:40" x14ac:dyDescent="0.25">
      <c r="A7244" t="str">
        <f>"20190303154704505"</f>
        <v>20190303154704505</v>
      </c>
      <c r="B7244" t="str">
        <f>"1551599224499090"</f>
        <v>1551599224499090</v>
      </c>
      <c r="C7244" t="s">
        <v>40</v>
      </c>
      <c r="D7244">
        <v>4.7894329999999998</v>
      </c>
      <c r="E7244">
        <v>0.50276540000000003</v>
      </c>
      <c r="F7244" t="s">
        <v>41</v>
      </c>
      <c r="G7244">
        <v>-188.0873</v>
      </c>
      <c r="H7244" s="1">
        <v>-2.9721299999999901E-6</v>
      </c>
      <c r="I7244">
        <v>85.77</v>
      </c>
      <c r="J7244">
        <v>-188.03</v>
      </c>
      <c r="K7244">
        <v>1.1207129999999901</v>
      </c>
      <c r="L7244">
        <v>49.785310000000003</v>
      </c>
      <c r="M7244">
        <v>-1.9509470000000001E-2</v>
      </c>
      <c r="N7244">
        <v>-1.495547E-2</v>
      </c>
      <c r="O7244">
        <v>0.99969779999999997</v>
      </c>
      <c r="P7244">
        <v>-9.4765930000000002E-3</v>
      </c>
      <c r="Q7244">
        <v>-6.7265640000000002E-2</v>
      </c>
      <c r="R7244">
        <v>0.99769010000000002</v>
      </c>
      <c r="S7244">
        <v>-5.3405759999999997E-3</v>
      </c>
      <c r="T7244">
        <v>-9.2459200000000005E-2</v>
      </c>
      <c r="U7244">
        <v>3.0008240000000002</v>
      </c>
      <c r="V7244">
        <v>9.9675119999999996E-3</v>
      </c>
      <c r="W7244">
        <v>-5.2341890000000002E-2</v>
      </c>
      <c r="X7244">
        <v>0.99857949999999995</v>
      </c>
      <c r="Y7244">
        <v>1.772642E-2</v>
      </c>
      <c r="Z7244">
        <v>-1.5833860000000002E-2</v>
      </c>
      <c r="AA7244">
        <v>0.99971750000000004</v>
      </c>
      <c r="AB7244">
        <v>38</v>
      </c>
      <c r="AC7244">
        <v>-5.7299999999997901E-2</v>
      </c>
      <c r="AD7244">
        <v>-1.12071597212999</v>
      </c>
      <c r="AE7244">
        <v>35.984690000000001</v>
      </c>
      <c r="AF7244">
        <v>0.64420681526617396</v>
      </c>
      <c r="AG7244">
        <v>-1.12071597212999</v>
      </c>
      <c r="AH7244">
        <v>35.944093211419997</v>
      </c>
      <c r="AI7244">
        <v>91.785584028661603</v>
      </c>
      <c r="AJ7244">
        <v>88.973228225725606</v>
      </c>
      <c r="AK7244">
        <v>35.9673302248342</v>
      </c>
      <c r="AL7244">
        <v>93.000340381945705</v>
      </c>
      <c r="AM7244">
        <v>89.428110226498305</v>
      </c>
      <c r="AN7244">
        <v>1.00000002128224</v>
      </c>
    </row>
    <row r="7245" spans="1:40" x14ac:dyDescent="0.25">
      <c r="A7245" t="str">
        <f>"20190303154704532"</f>
        <v>20190303154704532</v>
      </c>
      <c r="B7245" t="str">
        <f>"1551599224519586"</f>
        <v>1551599224519586</v>
      </c>
      <c r="C7245" t="s">
        <v>40</v>
      </c>
      <c r="D7245">
        <v>4.7648140000000003</v>
      </c>
      <c r="E7245">
        <v>0.50283869999999997</v>
      </c>
      <c r="F7245" t="s">
        <v>41</v>
      </c>
      <c r="G7245">
        <v>-188.1028</v>
      </c>
      <c r="H7245" s="1">
        <v>-3.744688E-6</v>
      </c>
      <c r="I7245">
        <v>87.577280000000002</v>
      </c>
      <c r="J7245">
        <v>-188.03819999999999</v>
      </c>
      <c r="K7245">
        <v>1.1207199999999999</v>
      </c>
      <c r="L7245">
        <v>50.215850000000003</v>
      </c>
      <c r="M7245">
        <v>-1.9319320000000001E-2</v>
      </c>
      <c r="N7245">
        <v>-1.4950400000000001E-2</v>
      </c>
      <c r="O7245">
        <v>0.99970159999999997</v>
      </c>
      <c r="P7245">
        <v>-9.165856E-3</v>
      </c>
      <c r="Q7245">
        <v>-6.6222859999999995E-2</v>
      </c>
      <c r="R7245">
        <v>0.9977627</v>
      </c>
      <c r="S7245">
        <v>-5.7830809999999998E-3</v>
      </c>
      <c r="T7245">
        <v>-8.8990929999999996E-2</v>
      </c>
      <c r="U7245">
        <v>3.0008849999999998</v>
      </c>
      <c r="V7245">
        <v>1.009034E-2</v>
      </c>
      <c r="W7245">
        <v>-5.1303330000000001E-2</v>
      </c>
      <c r="X7245">
        <v>0.99863210000000002</v>
      </c>
      <c r="Y7245">
        <v>1.7389089999999999E-2</v>
      </c>
      <c r="Z7245">
        <v>-1.468443E-2</v>
      </c>
      <c r="AA7245">
        <v>0.99974099999999999</v>
      </c>
      <c r="AB7245">
        <v>38</v>
      </c>
      <c r="AC7245">
        <v>-6.46000000000128E-2</v>
      </c>
      <c r="AD7245">
        <v>-1.1207237446879901</v>
      </c>
      <c r="AE7245">
        <v>37.361429999999999</v>
      </c>
      <c r="AF7245">
        <v>0.65669924457670603</v>
      </c>
      <c r="AG7245">
        <v>-1.1207237446879901</v>
      </c>
      <c r="AH7245">
        <v>37.322120973325603</v>
      </c>
      <c r="AI7245">
        <v>91.719717962254705</v>
      </c>
      <c r="AJ7245">
        <v>88.991959410248398</v>
      </c>
      <c r="AK7245">
        <v>37.344718362270299</v>
      </c>
      <c r="AL7245">
        <v>92.940755395133095</v>
      </c>
      <c r="AM7245">
        <v>89.421093891960197</v>
      </c>
      <c r="AN7245">
        <v>0.99999995889040605</v>
      </c>
    </row>
    <row r="7246" spans="1:40" x14ac:dyDescent="0.25">
      <c r="A7246" t="str">
        <f>"20190303154704553"</f>
        <v>20190303154704553</v>
      </c>
      <c r="B7246" t="str">
        <f>"1551599224549843"</f>
        <v>1551599224549843</v>
      </c>
      <c r="C7246" t="s">
        <v>40</v>
      </c>
      <c r="D7246">
        <v>4.6846870000000003</v>
      </c>
      <c r="E7246">
        <v>0.50270159999999997</v>
      </c>
      <c r="F7246" t="s">
        <v>41</v>
      </c>
      <c r="G7246">
        <v>-188.09530000000001</v>
      </c>
      <c r="H7246" s="1">
        <v>-5.4104239999999995E-7</v>
      </c>
      <c r="I7246">
        <v>89.748699999999999</v>
      </c>
      <c r="J7246">
        <v>-188.0454</v>
      </c>
      <c r="K7246">
        <v>1.120722</v>
      </c>
      <c r="L7246">
        <v>50.595790000000001</v>
      </c>
      <c r="M7246">
        <v>-1.9151540000000002E-2</v>
      </c>
      <c r="N7246">
        <v>-1.494592E-2</v>
      </c>
      <c r="O7246">
        <v>0.99970490000000001</v>
      </c>
      <c r="P7246">
        <v>-8.9524240000000005E-3</v>
      </c>
      <c r="Q7246">
        <v>-6.6261219999999996E-2</v>
      </c>
      <c r="R7246">
        <v>0.99776209999999999</v>
      </c>
      <c r="S7246">
        <v>-4.333496E-3</v>
      </c>
      <c r="T7246">
        <v>-8.5076689999999996E-2</v>
      </c>
      <c r="U7246">
        <v>3.0010379999999999</v>
      </c>
      <c r="V7246">
        <v>1.0136289999999999E-2</v>
      </c>
      <c r="W7246">
        <v>-5.1346210000000003E-2</v>
      </c>
      <c r="X7246">
        <v>0.99862949999999995</v>
      </c>
      <c r="Y7246">
        <v>1.7704330000000001E-2</v>
      </c>
      <c r="Z7246">
        <v>-1.3384800000000001E-2</v>
      </c>
      <c r="AA7246">
        <v>0.99975369999999997</v>
      </c>
      <c r="AB7246">
        <v>38</v>
      </c>
      <c r="AC7246">
        <v>-4.9900000000008E-2</v>
      </c>
      <c r="AD7246">
        <v>-1.12072254104239</v>
      </c>
      <c r="AE7246">
        <v>39.152909999999999</v>
      </c>
      <c r="AF7246">
        <v>0.69945832286349996</v>
      </c>
      <c r="AG7246">
        <v>-1.12072254104239</v>
      </c>
      <c r="AH7246">
        <v>39.114634799245501</v>
      </c>
      <c r="AI7246">
        <v>91.640942138729798</v>
      </c>
      <c r="AJ7246">
        <v>88.975530793123596</v>
      </c>
      <c r="AK7246">
        <v>39.136938005390299</v>
      </c>
      <c r="AL7246">
        <v>92.943215277139402</v>
      </c>
      <c r="AM7246">
        <v>89.4184563010066</v>
      </c>
      <c r="AN7246">
        <v>1.0000000279632799</v>
      </c>
    </row>
    <row r="7247" spans="1:40" x14ac:dyDescent="0.25">
      <c r="A7247" t="str">
        <f>"20190303154704578"</f>
        <v>20190303154704578</v>
      </c>
      <c r="B7247" t="str">
        <f>"1551599224569362"</f>
        <v>1551599224569362</v>
      </c>
      <c r="C7247" t="s">
        <v>40</v>
      </c>
      <c r="D7247">
        <v>4.6292849999999897</v>
      </c>
      <c r="E7247">
        <v>0.50265150000000003</v>
      </c>
      <c r="F7247" t="s">
        <v>41</v>
      </c>
      <c r="G7247">
        <v>-188.1079</v>
      </c>
      <c r="H7247" s="1">
        <v>-4.411751E-6</v>
      </c>
      <c r="I7247">
        <v>89.134320000000002</v>
      </c>
      <c r="J7247">
        <v>-188.0531</v>
      </c>
      <c r="K7247">
        <v>1.120717</v>
      </c>
      <c r="L7247">
        <v>51.005549999999999</v>
      </c>
      <c r="M7247">
        <v>-1.897039E-2</v>
      </c>
      <c r="N7247">
        <v>-1.494118E-2</v>
      </c>
      <c r="O7247">
        <v>0.99970840000000005</v>
      </c>
      <c r="P7247">
        <v>-8.8414140000000006E-3</v>
      </c>
      <c r="Q7247">
        <v>-6.6560369999999994E-2</v>
      </c>
      <c r="R7247">
        <v>0.99774320000000005</v>
      </c>
      <c r="S7247">
        <v>-4.8675539999999996E-3</v>
      </c>
      <c r="T7247">
        <v>-8.726776E-2</v>
      </c>
      <c r="U7247">
        <v>3.0008849999999998</v>
      </c>
      <c r="V7247">
        <v>1.006604E-2</v>
      </c>
      <c r="W7247">
        <v>-5.1650300000000003E-2</v>
      </c>
      <c r="X7247">
        <v>0.99861449999999996</v>
      </c>
      <c r="Y7247">
        <v>1.7345199999999901E-2</v>
      </c>
      <c r="Z7247">
        <v>-1.412046E-2</v>
      </c>
      <c r="AA7247">
        <v>0.99974980000000002</v>
      </c>
      <c r="AB7247">
        <v>38</v>
      </c>
      <c r="AC7247">
        <v>-5.4800000000000099E-2</v>
      </c>
      <c r="AD7247">
        <v>-1.120721411751</v>
      </c>
      <c r="AE7247">
        <v>38.128770000000003</v>
      </c>
      <c r="AF7247">
        <v>0.66803110498150997</v>
      </c>
      <c r="AG7247">
        <v>-1.120721411751</v>
      </c>
      <c r="AH7247">
        <v>38.090038827655697</v>
      </c>
      <c r="AI7247">
        <v>91.685065805628895</v>
      </c>
      <c r="AJ7247">
        <v>88.995237588537904</v>
      </c>
      <c r="AK7247">
        <v>38.1123777785157</v>
      </c>
      <c r="AL7247">
        <v>92.960661585413305</v>
      </c>
      <c r="AM7247">
        <v>89.422477766914298</v>
      </c>
      <c r="AN7247">
        <v>0.99999999913080995</v>
      </c>
    </row>
    <row r="7248" spans="1:40" x14ac:dyDescent="0.25">
      <c r="A7248" t="str">
        <f>"20190303154704602"</f>
        <v>20190303154704602</v>
      </c>
      <c r="B7248" t="str">
        <f>"1551599224599618"</f>
        <v>1551599224599618</v>
      </c>
      <c r="C7248" t="s">
        <v>40</v>
      </c>
      <c r="D7248">
        <v>4.5993250000000003</v>
      </c>
      <c r="E7248">
        <v>0.50258599999999998</v>
      </c>
      <c r="F7248" t="s">
        <v>41</v>
      </c>
      <c r="G7248">
        <v>-188.1156</v>
      </c>
      <c r="H7248" s="1">
        <v>-4.2893310000000004E-6</v>
      </c>
      <c r="I7248">
        <v>88.852140000000006</v>
      </c>
      <c r="J7248">
        <v>-188.0607</v>
      </c>
      <c r="K7248">
        <v>1.1207260000000001</v>
      </c>
      <c r="L7248">
        <v>51.416559999999997</v>
      </c>
      <c r="M7248">
        <v>-1.8788570000000001E-2</v>
      </c>
      <c r="N7248">
        <v>-1.4936629999999999E-2</v>
      </c>
      <c r="O7248">
        <v>0.99971189999999999</v>
      </c>
      <c r="P7248">
        <v>-8.8533239999999992E-3</v>
      </c>
      <c r="Q7248">
        <v>-6.6773460000000007E-2</v>
      </c>
      <c r="R7248">
        <v>0.99772890000000003</v>
      </c>
      <c r="S7248">
        <v>-4.9591059999999996E-3</v>
      </c>
      <c r="T7248">
        <v>-8.8860149999999999E-2</v>
      </c>
      <c r="U7248">
        <v>3.0007929999999998</v>
      </c>
      <c r="V7248">
        <v>9.8723460000000006E-3</v>
      </c>
      <c r="W7248">
        <v>-5.1867999999999997E-2</v>
      </c>
      <c r="X7248">
        <v>0.99860510000000002</v>
      </c>
      <c r="Y7248">
        <v>1.7132809999999998E-2</v>
      </c>
      <c r="Z7248">
        <v>-1.465607E-2</v>
      </c>
      <c r="AA7248">
        <v>0.99974580000000002</v>
      </c>
      <c r="AB7248">
        <v>38</v>
      </c>
      <c r="AC7248">
        <v>-5.4900000000003502E-2</v>
      </c>
      <c r="AD7248">
        <v>-1.1207302893310001</v>
      </c>
      <c r="AE7248">
        <v>37.435580000000002</v>
      </c>
      <c r="AF7248">
        <v>0.64796843815668004</v>
      </c>
      <c r="AG7248">
        <v>-1.1207302893310001</v>
      </c>
      <c r="AH7248">
        <v>37.396485145618598</v>
      </c>
      <c r="AI7248">
        <v>91.716318347093804</v>
      </c>
      <c r="AJ7248">
        <v>89.007336065818194</v>
      </c>
      <c r="AK7248">
        <v>37.418885615752203</v>
      </c>
      <c r="AL7248">
        <v>92.973151766935302</v>
      </c>
      <c r="AM7248">
        <v>89.433584574209803</v>
      </c>
      <c r="AN7248">
        <v>0.99999994919277502</v>
      </c>
    </row>
    <row r="7249" spans="1:40" x14ac:dyDescent="0.25">
      <c r="A7249" t="str">
        <f>"20190303154704624"</f>
        <v>20190303154704624</v>
      </c>
      <c r="B7249" t="str">
        <f>"1551599224619138"</f>
        <v>1551599224619138</v>
      </c>
      <c r="C7249" t="s">
        <v>40</v>
      </c>
      <c r="D7249">
        <v>4.5861289999999997</v>
      </c>
      <c r="E7249">
        <v>0.5025693</v>
      </c>
      <c r="F7249" t="s">
        <v>41</v>
      </c>
      <c r="G7249">
        <v>-188.1284</v>
      </c>
      <c r="H7249" s="1">
        <v>-4.1874940000000004E-6</v>
      </c>
      <c r="I7249">
        <v>88.620050000000006</v>
      </c>
      <c r="J7249">
        <v>-188.06809999999999</v>
      </c>
      <c r="K7249">
        <v>1.1207279999999999</v>
      </c>
      <c r="L7249">
        <v>51.820039999999999</v>
      </c>
      <c r="M7249">
        <v>-1.860995E-2</v>
      </c>
      <c r="N7249">
        <v>-1.493211E-2</v>
      </c>
      <c r="O7249">
        <v>0.99971529999999997</v>
      </c>
      <c r="P7249">
        <v>-8.2399580000000004E-3</v>
      </c>
      <c r="Q7249">
        <v>-6.6032670000000002E-2</v>
      </c>
      <c r="R7249">
        <v>0.99778339999999999</v>
      </c>
      <c r="S7249">
        <v>-5.4626459999999998E-3</v>
      </c>
      <c r="T7249">
        <v>-9.0395089999999997E-2</v>
      </c>
      <c r="U7249">
        <v>3.0007320000000002</v>
      </c>
      <c r="V7249">
        <v>1.030875E-2</v>
      </c>
      <c r="W7249">
        <v>-5.1131330000000003E-2</v>
      </c>
      <c r="X7249">
        <v>0.99863869999999999</v>
      </c>
      <c r="Y7249">
        <v>1.678644E-2</v>
      </c>
      <c r="Z7249">
        <v>-1.517228E-2</v>
      </c>
      <c r="AA7249">
        <v>0.99974399999999997</v>
      </c>
      <c r="AB7249">
        <v>38</v>
      </c>
      <c r="AC7249">
        <v>-6.0300000000012198E-2</v>
      </c>
      <c r="AD7249">
        <v>-1.1207321874939999</v>
      </c>
      <c r="AE7249">
        <v>36.80001</v>
      </c>
      <c r="AF7249">
        <v>0.62405435972990297</v>
      </c>
      <c r="AG7249">
        <v>-1.1207321874939999</v>
      </c>
      <c r="AH7249">
        <v>36.760662909307001</v>
      </c>
      <c r="AI7249">
        <v>91.745999481102899</v>
      </c>
      <c r="AJ7249">
        <v>89.027431935132299</v>
      </c>
      <c r="AK7249">
        <v>36.783037150454</v>
      </c>
      <c r="AL7249">
        <v>92.930887542157805</v>
      </c>
      <c r="AM7249">
        <v>89.408567995076396</v>
      </c>
      <c r="AN7249">
        <v>0.99999996818590997</v>
      </c>
    </row>
    <row r="7250" spans="1:40" x14ac:dyDescent="0.25">
      <c r="A7250" t="str">
        <f>"20190303154704662"</f>
        <v>20190303154704662</v>
      </c>
      <c r="B7250" t="str">
        <f>"1551599224659154"</f>
        <v>1551599224659154</v>
      </c>
      <c r="C7250" t="s">
        <v>40</v>
      </c>
      <c r="D7250">
        <v>4.5430989999999998</v>
      </c>
      <c r="E7250">
        <v>0.50273069999999997</v>
      </c>
      <c r="F7250" t="s">
        <v>41</v>
      </c>
      <c r="G7250">
        <v>-188.11340000000001</v>
      </c>
      <c r="H7250" s="1">
        <v>-5.3827210000000001E-7</v>
      </c>
      <c r="I7250">
        <v>89.754719999999907</v>
      </c>
      <c r="J7250">
        <v>-188.07919999999999</v>
      </c>
      <c r="K7250">
        <v>1.120722</v>
      </c>
      <c r="L7250">
        <v>52.433590000000002</v>
      </c>
      <c r="M7250">
        <v>-1.8338130000000001E-2</v>
      </c>
      <c r="N7250">
        <v>-1.492508E-2</v>
      </c>
      <c r="O7250">
        <v>0.99972050000000001</v>
      </c>
      <c r="P7250">
        <v>-6.871655E-3</v>
      </c>
      <c r="Q7250">
        <v>-6.6245369999999998E-2</v>
      </c>
      <c r="R7250">
        <v>0.99777969999999905</v>
      </c>
      <c r="S7250">
        <v>-3.585815E-3</v>
      </c>
      <c r="T7250">
        <v>-8.8653449999999995E-2</v>
      </c>
      <c r="U7250">
        <v>3.0007630000000001</v>
      </c>
      <c r="V7250">
        <v>1.1405439999999999E-2</v>
      </c>
      <c r="W7250">
        <v>-5.1351880000000003E-2</v>
      </c>
      <c r="X7250">
        <v>0.99861549999999999</v>
      </c>
      <c r="Y7250">
        <v>1.7139830000000002E-2</v>
      </c>
      <c r="Z7250">
        <v>-1.459942E-2</v>
      </c>
      <c r="AA7250">
        <v>0.99974649999999998</v>
      </c>
      <c r="AB7250">
        <v>38</v>
      </c>
      <c r="AC7250">
        <v>-3.4200000000026799E-2</v>
      </c>
      <c r="AD7250">
        <v>-1.1207225382721</v>
      </c>
      <c r="AE7250">
        <v>37.321129999999897</v>
      </c>
      <c r="AF7250">
        <v>0.64969582092740297</v>
      </c>
      <c r="AG7250">
        <v>-1.1207225382721</v>
      </c>
      <c r="AH7250">
        <v>37.281861074887999</v>
      </c>
      <c r="AI7250">
        <v>91.721577166114002</v>
      </c>
      <c r="AJ7250">
        <v>89.001630822652004</v>
      </c>
      <c r="AK7250">
        <v>37.304360185838497</v>
      </c>
      <c r="AL7250">
        <v>92.943540631446794</v>
      </c>
      <c r="AM7250">
        <v>89.345638873865397</v>
      </c>
      <c r="AN7250">
        <v>1.0000000082406799</v>
      </c>
    </row>
    <row r="7251" spans="1:40" x14ac:dyDescent="0.25">
      <c r="A7251" t="str">
        <f>"20190303154704682"</f>
        <v>20190303154704682</v>
      </c>
      <c r="B7251" t="str">
        <f>"1551599224678673"</f>
        <v>1551599224678673</v>
      </c>
      <c r="C7251" t="s">
        <v>40</v>
      </c>
      <c r="D7251">
        <v>4.573137</v>
      </c>
      <c r="E7251">
        <v>0.5026872</v>
      </c>
      <c r="F7251" t="s">
        <v>41</v>
      </c>
      <c r="G7251">
        <v>-188.05330000000001</v>
      </c>
      <c r="H7251" s="1">
        <v>-9.0284190000000001E-7</v>
      </c>
      <c r="I7251">
        <v>90.77901</v>
      </c>
      <c r="J7251">
        <v>-188.0856</v>
      </c>
      <c r="K7251">
        <v>1.1207229999999999</v>
      </c>
      <c r="L7251">
        <v>52.789830000000002</v>
      </c>
      <c r="M7251">
        <v>-1.818028E-2</v>
      </c>
      <c r="N7251">
        <v>-1.492101E-2</v>
      </c>
      <c r="O7251">
        <v>0.99972340000000004</v>
      </c>
      <c r="P7251">
        <v>-5.8499059999999898E-3</v>
      </c>
      <c r="Q7251">
        <v>-6.5837670000000001E-2</v>
      </c>
      <c r="R7251">
        <v>0.99781319999999996</v>
      </c>
      <c r="S7251">
        <v>2.0294190000000002E-3</v>
      </c>
      <c r="T7251">
        <v>-8.770609E-2</v>
      </c>
      <c r="U7251">
        <v>3.0008539999999999</v>
      </c>
      <c r="V7251">
        <v>1.2270329999999999E-2</v>
      </c>
      <c r="W7251">
        <v>-5.0948449999999999E-2</v>
      </c>
      <c r="X7251">
        <v>0.99862589999999996</v>
      </c>
      <c r="Y7251">
        <v>1.88522E-2</v>
      </c>
      <c r="Z7251">
        <v>-1.4286739999999999E-2</v>
      </c>
      <c r="AA7251">
        <v>0.99972019999999995</v>
      </c>
      <c r="AB7251">
        <v>38</v>
      </c>
      <c r="AC7251">
        <v>3.2299999999992203E-2</v>
      </c>
      <c r="AD7251">
        <v>-1.1207239028418901</v>
      </c>
      <c r="AE7251">
        <v>37.989179999999998</v>
      </c>
      <c r="AF7251">
        <v>0.72239675906050504</v>
      </c>
      <c r="AG7251">
        <v>-1.1207239028418901</v>
      </c>
      <c r="AH7251">
        <v>37.9492847727089</v>
      </c>
      <c r="AI7251">
        <v>91.691269578006398</v>
      </c>
      <c r="AJ7251">
        <v>88.909458048539506</v>
      </c>
      <c r="AK7251">
        <v>37.972701956854003</v>
      </c>
      <c r="AL7251">
        <v>92.9203955308422</v>
      </c>
      <c r="AM7251">
        <v>89.296029929829004</v>
      </c>
      <c r="AN7251">
        <v>0.99999999685326002</v>
      </c>
    </row>
    <row r="7252" spans="1:40" x14ac:dyDescent="0.25">
      <c r="A7252" t="str">
        <f>"20190303154704705"</f>
        <v>20190303154704705</v>
      </c>
      <c r="B7252" t="str">
        <f>"1551599224699170"</f>
        <v>1551599224699170</v>
      </c>
      <c r="C7252" t="s">
        <v>40</v>
      </c>
      <c r="D7252">
        <v>4.5763579999999999</v>
      </c>
      <c r="E7252">
        <v>0.50262799999999996</v>
      </c>
      <c r="F7252" t="s">
        <v>41</v>
      </c>
      <c r="G7252">
        <v>-188.02590000000001</v>
      </c>
      <c r="H7252" s="1">
        <v>-1.1584669999999999E-6</v>
      </c>
      <c r="I7252">
        <v>91.508790000000005</v>
      </c>
      <c r="J7252">
        <v>-188.09219999999999</v>
      </c>
      <c r="K7252">
        <v>1.1207339999999999</v>
      </c>
      <c r="L7252">
        <v>53.161160000000002</v>
      </c>
      <c r="M7252">
        <v>-1.8015710000000001E-2</v>
      </c>
      <c r="N7252">
        <v>-1.4916810000000001E-2</v>
      </c>
      <c r="O7252">
        <v>0.99972640000000002</v>
      </c>
      <c r="P7252">
        <v>-5.5809369999999898E-3</v>
      </c>
      <c r="Q7252">
        <v>-6.5678070000000005E-2</v>
      </c>
      <c r="R7252">
        <v>0.99782530000000003</v>
      </c>
      <c r="S7252">
        <v>4.6234129999999998E-3</v>
      </c>
      <c r="T7252">
        <v>-8.6860060000000003E-2</v>
      </c>
      <c r="U7252">
        <v>3.0008539999999999</v>
      </c>
      <c r="V7252">
        <v>1.237534E-2</v>
      </c>
      <c r="W7252">
        <v>-5.0792940000000002E-2</v>
      </c>
      <c r="X7252">
        <v>0.99863259999999998</v>
      </c>
      <c r="Y7252">
        <v>1.9551599999999999E-2</v>
      </c>
      <c r="Z7252">
        <v>-1.400917E-2</v>
      </c>
      <c r="AA7252">
        <v>0.99971069999999995</v>
      </c>
      <c r="AB7252">
        <v>38</v>
      </c>
      <c r="AC7252">
        <v>6.6299999999983997E-2</v>
      </c>
      <c r="AD7252">
        <v>-1.120735158467</v>
      </c>
      <c r="AE7252">
        <v>38.347630000000002</v>
      </c>
      <c r="AF7252">
        <v>0.75657968726741798</v>
      </c>
      <c r="AG7252">
        <v>-1.120735158467</v>
      </c>
      <c r="AH7252">
        <v>38.307490517411097</v>
      </c>
      <c r="AI7252">
        <v>91.675457537314699</v>
      </c>
      <c r="AJ7252">
        <v>88.868545359446699</v>
      </c>
      <c r="AK7252">
        <v>38.331348656943298</v>
      </c>
      <c r="AL7252">
        <v>92.911473697404702</v>
      </c>
      <c r="AM7252">
        <v>89.290010701462904</v>
      </c>
      <c r="AN7252">
        <v>1.0000000707883501</v>
      </c>
    </row>
    <row r="7253" spans="1:40" x14ac:dyDescent="0.25">
      <c r="A7253" t="str">
        <f>"20190303154704728"</f>
        <v>20190303154704728</v>
      </c>
      <c r="B7253" t="str">
        <f>"1551599224719667"</f>
        <v>1551599224719667</v>
      </c>
      <c r="C7253" t="s">
        <v>40</v>
      </c>
      <c r="D7253">
        <v>4.5725350000000002</v>
      </c>
      <c r="E7253">
        <v>0.50258259999999999</v>
      </c>
      <c r="F7253" t="s">
        <v>41</v>
      </c>
      <c r="G7253">
        <v>-188.02670000000001</v>
      </c>
      <c r="H7253" s="1">
        <v>-1.282638E-6</v>
      </c>
      <c r="I7253">
        <v>91.806709999999995</v>
      </c>
      <c r="J7253">
        <v>-188.0992</v>
      </c>
      <c r="K7253">
        <v>1.1207400000000001</v>
      </c>
      <c r="L7253">
        <v>53.559269999999998</v>
      </c>
      <c r="M7253">
        <v>-1.7839219999999999E-2</v>
      </c>
      <c r="N7253">
        <v>-1.491234E-2</v>
      </c>
      <c r="O7253">
        <v>0.9997296</v>
      </c>
      <c r="P7253">
        <v>-5.0556769999999997E-3</v>
      </c>
      <c r="Q7253">
        <v>-6.5167409999999995E-2</v>
      </c>
      <c r="R7253">
        <v>0.99786160000000002</v>
      </c>
      <c r="S7253">
        <v>5.0811770000000001E-3</v>
      </c>
      <c r="T7253">
        <v>-8.7025050000000007E-2</v>
      </c>
      <c r="U7253">
        <v>3.0008240000000002</v>
      </c>
      <c r="V7253">
        <v>1.272529E-2</v>
      </c>
      <c r="W7253">
        <v>-5.0286530000000003E-2</v>
      </c>
      <c r="X7253">
        <v>0.99865380000000004</v>
      </c>
      <c r="Y7253">
        <v>1.9527599999999999E-2</v>
      </c>
      <c r="Z7253">
        <v>-1.406897E-2</v>
      </c>
      <c r="AA7253">
        <v>0.99971030000000005</v>
      </c>
      <c r="AB7253">
        <v>38</v>
      </c>
      <c r="AC7253">
        <v>7.2499999999990905E-2</v>
      </c>
      <c r="AD7253">
        <v>-1.1207412826379901</v>
      </c>
      <c r="AE7253">
        <v>38.247439999999997</v>
      </c>
      <c r="AF7253">
        <v>0.75422127772703895</v>
      </c>
      <c r="AG7253">
        <v>-1.1207412826379901</v>
      </c>
      <c r="AH7253">
        <v>38.207253012817198</v>
      </c>
      <c r="AI7253">
        <v>91.679860121567302</v>
      </c>
      <c r="AJ7253">
        <v>88.869113040200304</v>
      </c>
      <c r="AK7253">
        <v>38.231127285810103</v>
      </c>
      <c r="AL7253">
        <v>92.882421504415504</v>
      </c>
      <c r="AM7253">
        <v>89.269951256041793</v>
      </c>
      <c r="AN7253">
        <v>1.00000004017973</v>
      </c>
    </row>
    <row r="7254" spans="1:40" x14ac:dyDescent="0.25">
      <c r="A7254" t="str">
        <f>"20190303154704749"</f>
        <v>20190303154704749</v>
      </c>
      <c r="B7254" t="str">
        <f>"1551599224739186"</f>
        <v>1551599224739186</v>
      </c>
      <c r="C7254" t="s">
        <v>40</v>
      </c>
      <c r="D7254">
        <v>4.6044890000000001</v>
      </c>
      <c r="E7254">
        <v>0.50255459999999996</v>
      </c>
      <c r="F7254" t="s">
        <v>41</v>
      </c>
      <c r="G7254">
        <v>-188.018</v>
      </c>
      <c r="H7254" s="1">
        <v>-1.6996669999999999E-6</v>
      </c>
      <c r="I7254">
        <v>92.775210000000001</v>
      </c>
      <c r="J7254">
        <v>-188.10550000000001</v>
      </c>
      <c r="K7254">
        <v>1.1207389999999999</v>
      </c>
      <c r="L7254">
        <v>53.920380000000002</v>
      </c>
      <c r="M7254">
        <v>-1.7679029999999998E-2</v>
      </c>
      <c r="N7254">
        <v>-1.490826E-2</v>
      </c>
      <c r="O7254">
        <v>0.99973259999999997</v>
      </c>
      <c r="P7254">
        <v>-5.0010439999999996E-3</v>
      </c>
      <c r="Q7254">
        <v>-6.5168749999999998E-2</v>
      </c>
      <c r="R7254">
        <v>0.99786169999999996</v>
      </c>
      <c r="S7254">
        <v>6.2103269999999999E-3</v>
      </c>
      <c r="T7254">
        <v>-8.5760589999999998E-2</v>
      </c>
      <c r="U7254">
        <v>3.0008539999999999</v>
      </c>
      <c r="V7254">
        <v>1.262009E-2</v>
      </c>
      <c r="W7254">
        <v>-5.0291870000000002E-2</v>
      </c>
      <c r="X7254">
        <v>0.99865479999999995</v>
      </c>
      <c r="Y7254">
        <v>1.9743549999999999E-2</v>
      </c>
      <c r="Z7254">
        <v>-1.365193E-2</v>
      </c>
      <c r="AA7254">
        <v>0.99971189999999999</v>
      </c>
      <c r="AB7254">
        <v>38</v>
      </c>
      <c r="AC7254">
        <v>8.7500000000005601E-2</v>
      </c>
      <c r="AD7254">
        <v>-1.120740699667</v>
      </c>
      <c r="AE7254">
        <v>38.85483</v>
      </c>
      <c r="AF7254">
        <v>0.77383452693032995</v>
      </c>
      <c r="AG7254">
        <v>-1.120740699667</v>
      </c>
      <c r="AH7254">
        <v>38.814915469248</v>
      </c>
      <c r="AI7254">
        <v>91.653568689215206</v>
      </c>
      <c r="AJ7254">
        <v>88.857872570283206</v>
      </c>
      <c r="AK7254">
        <v>38.8388020216359</v>
      </c>
      <c r="AL7254">
        <v>92.882728041817003</v>
      </c>
      <c r="AM7254">
        <v>89.275986650368495</v>
      </c>
      <c r="AN7254">
        <v>0.99999997421137199</v>
      </c>
    </row>
    <row r="7255" spans="1:40" x14ac:dyDescent="0.25">
      <c r="A7255" t="str">
        <f>"20190303154704776"</f>
        <v>20190303154704776</v>
      </c>
      <c r="B7255" t="str">
        <f>"1551599224769442"</f>
        <v>1551599224769442</v>
      </c>
      <c r="C7255" t="s">
        <v>40</v>
      </c>
      <c r="D7255">
        <v>4.6039589999999997</v>
      </c>
      <c r="E7255">
        <v>0.50258859999999905</v>
      </c>
      <c r="F7255" t="s">
        <v>41</v>
      </c>
      <c r="G7255">
        <v>-188.02670000000001</v>
      </c>
      <c r="H7255" s="1">
        <v>-1.7625339999999999E-6</v>
      </c>
      <c r="I7255">
        <v>92.925349999999995</v>
      </c>
      <c r="J7255">
        <v>-188.1131</v>
      </c>
      <c r="K7255">
        <v>1.1207389999999999</v>
      </c>
      <c r="L7255">
        <v>54.362000000000002</v>
      </c>
      <c r="M7255">
        <v>-1.7482879999999999E-2</v>
      </c>
      <c r="N7255">
        <v>-1.49033E-2</v>
      </c>
      <c r="O7255">
        <v>0.99973610000000002</v>
      </c>
      <c r="P7255">
        <v>-5.3648680000000001E-3</v>
      </c>
      <c r="Q7255">
        <v>-6.5151130000000002E-2</v>
      </c>
      <c r="R7255">
        <v>0.997861</v>
      </c>
      <c r="S7255">
        <v>6.0577390000000004E-3</v>
      </c>
      <c r="T7255">
        <v>-8.6223480000000005E-2</v>
      </c>
      <c r="U7255">
        <v>3.0008240000000002</v>
      </c>
      <c r="V7255">
        <v>1.2060619999999999E-2</v>
      </c>
      <c r="W7255">
        <v>-5.0278820000000002E-2</v>
      </c>
      <c r="X7255">
        <v>0.99866239999999995</v>
      </c>
      <c r="Y7255">
        <v>1.9496639999999999E-2</v>
      </c>
      <c r="Z7255">
        <v>-1.3811459999999999E-2</v>
      </c>
      <c r="AA7255">
        <v>0.99971449999999995</v>
      </c>
      <c r="AB7255">
        <v>38</v>
      </c>
      <c r="AC7255">
        <v>8.6399999999997507E-2</v>
      </c>
      <c r="AD7255">
        <v>-1.120740762534</v>
      </c>
      <c r="AE7255">
        <v>38.56335</v>
      </c>
      <c r="AF7255">
        <v>0.76001816506172903</v>
      </c>
      <c r="AG7255">
        <v>-1.120740762534</v>
      </c>
      <c r="AH7255">
        <v>38.5234066502072</v>
      </c>
      <c r="AI7255">
        <v>91.666081264864999</v>
      </c>
      <c r="AJ7255">
        <v>88.869773246049803</v>
      </c>
      <c r="AK7255">
        <v>38.547198956671998</v>
      </c>
      <c r="AL7255">
        <v>92.881979299585694</v>
      </c>
      <c r="AM7255">
        <v>89.308085462727902</v>
      </c>
      <c r="AN7255">
        <v>1.00000000373456</v>
      </c>
    </row>
    <row r="7256" spans="1:40" x14ac:dyDescent="0.25">
      <c r="A7256" t="str">
        <f>"20190303154704824"</f>
        <v>20190303154704824</v>
      </c>
      <c r="B7256" t="str">
        <f>"1551599224819218"</f>
        <v>1551599224819218</v>
      </c>
      <c r="C7256" t="s">
        <v>40</v>
      </c>
      <c r="D7256">
        <v>4.6372220000000004</v>
      </c>
      <c r="E7256">
        <v>0.50258049999999999</v>
      </c>
      <c r="F7256" t="s">
        <v>41</v>
      </c>
      <c r="G7256">
        <v>-188.04349999999999</v>
      </c>
      <c r="H7256" s="1">
        <v>-2.0345000000000002E-6</v>
      </c>
      <c r="I7256">
        <v>93.566249999999997</v>
      </c>
      <c r="J7256">
        <v>-188.12649999999999</v>
      </c>
      <c r="K7256">
        <v>1.120749</v>
      </c>
      <c r="L7256">
        <v>55.154719999999998</v>
      </c>
      <c r="M7256">
        <v>-1.7131480000000001E-2</v>
      </c>
      <c r="N7256">
        <v>-1.490593E-2</v>
      </c>
      <c r="O7256">
        <v>0.99974220000000003</v>
      </c>
      <c r="P7256">
        <v>-6.1708269999999898E-3</v>
      </c>
      <c r="Q7256">
        <v>-6.4987149999999994E-2</v>
      </c>
      <c r="R7256">
        <v>0.99786699999999995</v>
      </c>
      <c r="S7256">
        <v>5.3253170000000004E-3</v>
      </c>
      <c r="T7256">
        <v>-8.5786100000000004E-2</v>
      </c>
      <c r="U7256">
        <v>3.0008539999999999</v>
      </c>
      <c r="V7256">
        <v>1.090431E-2</v>
      </c>
      <c r="W7256">
        <v>-5.0111299999999998E-2</v>
      </c>
      <c r="X7256">
        <v>0.99868409999999996</v>
      </c>
      <c r="Y7256">
        <v>1.8901399999999999E-2</v>
      </c>
      <c r="Z7256">
        <v>-1.3663440000000001E-2</v>
      </c>
      <c r="AA7256">
        <v>0.99972799999999995</v>
      </c>
      <c r="AB7256">
        <v>38</v>
      </c>
      <c r="AC7256">
        <v>8.2999999999998395E-2</v>
      </c>
      <c r="AD7256">
        <v>-1.1207510345</v>
      </c>
      <c r="AE7256">
        <v>38.411529999999999</v>
      </c>
      <c r="AF7256">
        <v>0.74047686197511997</v>
      </c>
      <c r="AG7256">
        <v>-1.1207510345</v>
      </c>
      <c r="AH7256">
        <v>38.371802909749697</v>
      </c>
      <c r="AI7256">
        <v>91.672689464900799</v>
      </c>
      <c r="AJ7256">
        <v>88.894476396548697</v>
      </c>
      <c r="AK7256">
        <v>38.395307622274998</v>
      </c>
      <c r="AL7256">
        <v>92.872369038619695</v>
      </c>
      <c r="AM7256">
        <v>89.374430697959497</v>
      </c>
      <c r="AN7256">
        <v>0.99999998897853704</v>
      </c>
    </row>
    <row r="7257" spans="1:40" x14ac:dyDescent="0.25">
      <c r="A7257" t="str">
        <f>"20190303154704842"</f>
        <v>20190303154704842</v>
      </c>
      <c r="B7257" t="str">
        <f>"1551599224838739"</f>
        <v>1551599224838739</v>
      </c>
      <c r="C7257" t="s">
        <v>40</v>
      </c>
      <c r="D7257">
        <v>4.6993780000000003</v>
      </c>
      <c r="E7257">
        <v>0.50256149999999999</v>
      </c>
      <c r="F7257" t="s">
        <v>41</v>
      </c>
      <c r="G7257">
        <v>-188.0907</v>
      </c>
      <c r="H7257" s="1">
        <v>-2.0654740000000001E-6</v>
      </c>
      <c r="I7257">
        <v>93.657970000000006</v>
      </c>
      <c r="J7257">
        <v>-188.1318</v>
      </c>
      <c r="K7257">
        <v>1.1207480000000001</v>
      </c>
      <c r="L7257">
        <v>55.469700000000003</v>
      </c>
      <c r="M7257">
        <v>-1.6992469999999999E-2</v>
      </c>
      <c r="N7257">
        <v>-1.492579E-2</v>
      </c>
      <c r="O7257">
        <v>0.99974419999999997</v>
      </c>
      <c r="P7257">
        <v>-6.3756899999999998E-3</v>
      </c>
      <c r="Q7257">
        <v>-6.5283540000000001E-2</v>
      </c>
      <c r="R7257">
        <v>0.99784640000000002</v>
      </c>
      <c r="S7257">
        <v>2.792358E-3</v>
      </c>
      <c r="T7257">
        <v>-8.7345240000000005E-2</v>
      </c>
      <c r="U7257">
        <v>3.0007320000000002</v>
      </c>
      <c r="V7257">
        <v>1.056028E-2</v>
      </c>
      <c r="W7257">
        <v>-5.0387920000000003E-2</v>
      </c>
      <c r="X7257">
        <v>0.9986739</v>
      </c>
      <c r="Y7257">
        <v>1.7918799999999999E-2</v>
      </c>
      <c r="Z7257">
        <v>-1.416418E-2</v>
      </c>
      <c r="AA7257">
        <v>0.99973909999999999</v>
      </c>
      <c r="AB7257">
        <v>37</v>
      </c>
      <c r="AC7257">
        <v>4.1100000000000102E-2</v>
      </c>
      <c r="AD7257">
        <v>-1.1207500654739999</v>
      </c>
      <c r="AE7257">
        <v>38.188269999999903</v>
      </c>
      <c r="AF7257">
        <v>0.68948553732093398</v>
      </c>
      <c r="AG7257">
        <v>-1.1207500654739999</v>
      </c>
      <c r="AH7257">
        <v>38.149198483867302</v>
      </c>
      <c r="AI7257">
        <v>91.682481174415599</v>
      </c>
      <c r="AJ7257">
        <v>88.964583467696599</v>
      </c>
      <c r="AK7257">
        <v>38.171885150945002</v>
      </c>
      <c r="AL7257">
        <v>92.888238183553696</v>
      </c>
      <c r="AM7257">
        <v>89.3941596709018</v>
      </c>
      <c r="AN7257">
        <v>1.0000000102683999</v>
      </c>
    </row>
    <row r="7258" spans="1:40" x14ac:dyDescent="0.25">
      <c r="A7258" t="str">
        <f>"20190303154704863"</f>
        <v>20190303154704863</v>
      </c>
      <c r="B7258" t="str">
        <f>"1551599224859234"</f>
        <v>1551599224859234</v>
      </c>
      <c r="C7258" t="s">
        <v>40</v>
      </c>
      <c r="D7258">
        <v>4.7535689999999997</v>
      </c>
      <c r="E7258">
        <v>0.50257529999999995</v>
      </c>
      <c r="F7258" t="s">
        <v>41</v>
      </c>
      <c r="G7258">
        <v>-188.1063</v>
      </c>
      <c r="H7258" s="1">
        <v>-1.8646549999999999E-6</v>
      </c>
      <c r="I7258">
        <v>93.196299999999994</v>
      </c>
      <c r="J7258">
        <v>-188.13749999999999</v>
      </c>
      <c r="K7258">
        <v>1.1207579999999999</v>
      </c>
      <c r="L7258">
        <v>55.8170199999999</v>
      </c>
      <c r="M7258">
        <v>-1.683929E-2</v>
      </c>
      <c r="N7258">
        <v>-1.49582E-2</v>
      </c>
      <c r="O7258">
        <v>0.99974629999999998</v>
      </c>
      <c r="P7258">
        <v>-6.1686329999999998E-3</v>
      </c>
      <c r="Q7258">
        <v>-6.5044370000000004E-2</v>
      </c>
      <c r="R7258">
        <v>0.99786330000000001</v>
      </c>
      <c r="S7258">
        <v>2.0294190000000002E-3</v>
      </c>
      <c r="T7258">
        <v>-8.9140529999999996E-2</v>
      </c>
      <c r="U7258">
        <v>3.0006409999999999</v>
      </c>
      <c r="V7258">
        <v>1.061488E-2</v>
      </c>
      <c r="W7258">
        <v>-5.01162E-2</v>
      </c>
      <c r="X7258">
        <v>0.99868699999999999</v>
      </c>
      <c r="Y7258">
        <v>1.7511479999999999E-2</v>
      </c>
      <c r="Z7258">
        <v>-1.4730460000000001E-2</v>
      </c>
      <c r="AA7258">
        <v>0.99973820000000002</v>
      </c>
      <c r="AB7258">
        <v>37</v>
      </c>
      <c r="AC7258">
        <v>3.1199999999984102E-2</v>
      </c>
      <c r="AD7258">
        <v>-1.1207598646550001</v>
      </c>
      <c r="AE7258">
        <v>37.379280000000001</v>
      </c>
      <c r="AF7258">
        <v>0.66011310289911396</v>
      </c>
      <c r="AG7258">
        <v>-1.1207598646550001</v>
      </c>
      <c r="AH7258">
        <v>37.339884517491697</v>
      </c>
      <c r="AI7258">
        <v>91.718953188791204</v>
      </c>
      <c r="AJ7258">
        <v>88.987202132645507</v>
      </c>
      <c r="AK7258">
        <v>37.362532405639399</v>
      </c>
      <c r="AL7258">
        <v>92.872650061803199</v>
      </c>
      <c r="AM7258">
        <v>89.391035506791795</v>
      </c>
      <c r="AN7258">
        <v>1.0000000165744201</v>
      </c>
    </row>
    <row r="7259" spans="1:40" x14ac:dyDescent="0.25">
      <c r="A7259" t="str">
        <f>"20190303154704883"</f>
        <v>20190303154704883</v>
      </c>
      <c r="B7259" t="str">
        <f>"1551599224878755"</f>
        <v>1551599224878755</v>
      </c>
      <c r="C7259" t="s">
        <v>40</v>
      </c>
      <c r="D7259">
        <v>4.7860319999999996</v>
      </c>
      <c r="E7259">
        <v>0.50248059999999894</v>
      </c>
      <c r="F7259" t="s">
        <v>41</v>
      </c>
      <c r="G7259">
        <v>-188.1026</v>
      </c>
      <c r="H7259" s="1">
        <v>-2.1870859999999998E-6</v>
      </c>
      <c r="I7259">
        <v>93.946389999999994</v>
      </c>
      <c r="J7259">
        <v>-188.1431</v>
      </c>
      <c r="K7259">
        <v>1.1207640000000001</v>
      </c>
      <c r="L7259">
        <v>56.157409999999999</v>
      </c>
      <c r="M7259">
        <v>-1.6688599999999901E-2</v>
      </c>
      <c r="N7259">
        <v>-1.4993299999999999E-2</v>
      </c>
      <c r="O7259">
        <v>0.99974830000000003</v>
      </c>
      <c r="P7259">
        <v>-5.7649609999999999E-3</v>
      </c>
      <c r="Q7259">
        <v>-6.5245780000000003E-2</v>
      </c>
      <c r="R7259">
        <v>0.99785259999999998</v>
      </c>
      <c r="S7259">
        <v>2.746582E-3</v>
      </c>
      <c r="T7259">
        <v>-8.8201520000000005E-2</v>
      </c>
      <c r="U7259">
        <v>3.000702</v>
      </c>
      <c r="V7259">
        <v>1.086788E-2</v>
      </c>
      <c r="W7259">
        <v>-5.0282859999999999E-2</v>
      </c>
      <c r="X7259">
        <v>0.99867589999999995</v>
      </c>
      <c r="Y7259">
        <v>1.7599699999999999E-2</v>
      </c>
      <c r="Z7259">
        <v>-1.4382270000000001E-2</v>
      </c>
      <c r="AA7259">
        <v>0.99974169999999996</v>
      </c>
      <c r="AB7259">
        <v>37</v>
      </c>
      <c r="AC7259">
        <v>4.0500000000008599E-2</v>
      </c>
      <c r="AD7259">
        <v>-1.120766187086</v>
      </c>
      <c r="AE7259">
        <v>37.788980000000002</v>
      </c>
      <c r="AF7259">
        <v>0.67062053841075997</v>
      </c>
      <c r="AG7259">
        <v>-1.120766187086</v>
      </c>
      <c r="AH7259">
        <v>37.749834369915902</v>
      </c>
      <c r="AI7259">
        <v>91.700303968878501</v>
      </c>
      <c r="AJ7259">
        <v>88.982255528776506</v>
      </c>
      <c r="AK7259">
        <v>37.772421734762197</v>
      </c>
      <c r="AL7259">
        <v>92.882211035100795</v>
      </c>
      <c r="AM7259">
        <v>89.376515366270695</v>
      </c>
      <c r="AN7259">
        <v>1.0000000150331401</v>
      </c>
    </row>
    <row r="7260" spans="1:40" x14ac:dyDescent="0.25">
      <c r="A7260" t="str">
        <f>"20190303154704907"</f>
        <v>20190303154704907</v>
      </c>
      <c r="B7260" t="str">
        <f>"1551599224899250"</f>
        <v>1551599224899250</v>
      </c>
      <c r="C7260" t="s">
        <v>40</v>
      </c>
      <c r="D7260">
        <v>4.7425300000000004</v>
      </c>
      <c r="E7260">
        <v>0.50234449999999997</v>
      </c>
      <c r="F7260" t="s">
        <v>41</v>
      </c>
      <c r="G7260">
        <v>-188.10059999999999</v>
      </c>
      <c r="H7260" s="1">
        <v>-2.0679780000000002E-6</v>
      </c>
      <c r="I7260">
        <v>93.66789</v>
      </c>
      <c r="J7260">
        <v>-188.14959999999999</v>
      </c>
      <c r="K7260">
        <v>1.120765</v>
      </c>
      <c r="L7260">
        <v>56.556339999999999</v>
      </c>
      <c r="M7260">
        <v>-1.6510960000000002E-2</v>
      </c>
      <c r="N7260">
        <v>-1.503176E-2</v>
      </c>
      <c r="O7260">
        <v>0.99975069999999999</v>
      </c>
      <c r="P7260">
        <v>-4.7873919999999997E-3</v>
      </c>
      <c r="Q7260">
        <v>-6.5705620000000006E-2</v>
      </c>
      <c r="R7260">
        <v>0.99782760000000004</v>
      </c>
      <c r="S7260">
        <v>3.4027100000000002E-3</v>
      </c>
      <c r="T7260">
        <v>-8.9654449999999997E-2</v>
      </c>
      <c r="U7260">
        <v>3.00061</v>
      </c>
      <c r="V7260">
        <v>1.1667459999999999E-2</v>
      </c>
      <c r="W7260">
        <v>-5.0705180000000002E-2</v>
      </c>
      <c r="X7260">
        <v>0.99864549999999996</v>
      </c>
      <c r="Y7260">
        <v>1.7640590000000001E-2</v>
      </c>
      <c r="Z7260">
        <v>-1.48284E-2</v>
      </c>
      <c r="AA7260">
        <v>0.99973440000000002</v>
      </c>
      <c r="AB7260">
        <v>37</v>
      </c>
      <c r="AC7260">
        <v>4.9000000000006497E-2</v>
      </c>
      <c r="AD7260">
        <v>-1.120767067978</v>
      </c>
      <c r="AE7260">
        <v>37.111550000000001</v>
      </c>
      <c r="AF7260">
        <v>0.661206822011284</v>
      </c>
      <c r="AG7260">
        <v>-1.120767067978</v>
      </c>
      <c r="AH7260">
        <v>37.071869995998398</v>
      </c>
      <c r="AI7260">
        <v>91.731379272617403</v>
      </c>
      <c r="AJ7260">
        <v>88.978191716556793</v>
      </c>
      <c r="AK7260">
        <v>37.0947012157039</v>
      </c>
      <c r="AL7260">
        <v>92.906439168164994</v>
      </c>
      <c r="AM7260">
        <v>89.330627533253306</v>
      </c>
      <c r="AN7260">
        <v>0.99999998978596605</v>
      </c>
    </row>
    <row r="7261" spans="1:40" x14ac:dyDescent="0.25">
      <c r="A7261" t="str">
        <f>"20190303154704929"</f>
        <v>20190303154704929</v>
      </c>
      <c r="B7261" t="str">
        <f>"1551599224918770"</f>
        <v>1551599224918770</v>
      </c>
      <c r="C7261" t="s">
        <v>40</v>
      </c>
      <c r="D7261">
        <v>4.8252280000000001</v>
      </c>
      <c r="E7261">
        <v>0.50221769999999999</v>
      </c>
      <c r="F7261" t="s">
        <v>41</v>
      </c>
      <c r="G7261">
        <v>-188.08789999999999</v>
      </c>
      <c r="H7261" s="1">
        <v>-1.8180880000000001E-6</v>
      </c>
      <c r="I7261">
        <v>93.080169999999995</v>
      </c>
      <c r="J7261">
        <v>-188.15539999999999</v>
      </c>
      <c r="K7261">
        <v>1.120771</v>
      </c>
      <c r="L7261">
        <v>56.916020000000003</v>
      </c>
      <c r="M7261">
        <v>-1.634884E-2</v>
      </c>
      <c r="N7261">
        <v>-1.505311E-2</v>
      </c>
      <c r="O7261">
        <v>0.99975309999999995</v>
      </c>
      <c r="P7261">
        <v>-4.2210520000000003E-3</v>
      </c>
      <c r="Q7261">
        <v>-6.6108760000000003E-2</v>
      </c>
      <c r="R7261">
        <v>0.99780349999999995</v>
      </c>
      <c r="S7261">
        <v>5.065918E-3</v>
      </c>
      <c r="T7261">
        <v>-9.2072730000000005E-2</v>
      </c>
      <c r="U7261">
        <v>3.0004879999999998</v>
      </c>
      <c r="V7261">
        <v>1.207132E-2</v>
      </c>
      <c r="W7261">
        <v>-5.1087609999999999E-2</v>
      </c>
      <c r="X7261">
        <v>0.99862119999999999</v>
      </c>
      <c r="Y7261">
        <v>1.8032389999999999E-2</v>
      </c>
      <c r="Z7261">
        <v>-1.56131E-2</v>
      </c>
      <c r="AA7261">
        <v>0.99971549999999998</v>
      </c>
      <c r="AB7261">
        <v>37</v>
      </c>
      <c r="AC7261">
        <v>6.7499999999995397E-2</v>
      </c>
      <c r="AD7261">
        <v>-1.1207728180879999</v>
      </c>
      <c r="AE7261">
        <v>36.164149999999999</v>
      </c>
      <c r="AF7261">
        <v>0.65816769401563502</v>
      </c>
      <c r="AG7261">
        <v>-1.1207728180879999</v>
      </c>
      <c r="AH7261">
        <v>36.123516828861398</v>
      </c>
      <c r="AI7261">
        <v>91.776801345736203</v>
      </c>
      <c r="AJ7261">
        <v>88.956190803474101</v>
      </c>
      <c r="AK7261">
        <v>36.1468917682868</v>
      </c>
      <c r="AL7261">
        <v>92.9283792552649</v>
      </c>
      <c r="AM7261">
        <v>89.307443097575003</v>
      </c>
      <c r="AN7261">
        <v>0.99999998087574604</v>
      </c>
    </row>
    <row r="7262" spans="1:40" x14ac:dyDescent="0.25">
      <c r="A7262" t="str">
        <f>"20190303154704950"</f>
        <v>20190303154704950</v>
      </c>
      <c r="B7262" t="str">
        <f>"1551599224939266"</f>
        <v>1551599224939266</v>
      </c>
      <c r="C7262" t="s">
        <v>40</v>
      </c>
      <c r="D7262">
        <v>4.8201539999999996</v>
      </c>
      <c r="E7262">
        <v>0.50209929999999903</v>
      </c>
      <c r="F7262" t="s">
        <v>41</v>
      </c>
      <c r="G7262">
        <v>-188.0866</v>
      </c>
      <c r="H7262" s="1">
        <v>-1.6192079999999999E-6</v>
      </c>
      <c r="I7262">
        <v>92.616</v>
      </c>
      <c r="J7262">
        <v>-188.1611</v>
      </c>
      <c r="K7262">
        <v>1.120762</v>
      </c>
      <c r="L7262">
        <v>57.277250000000002</v>
      </c>
      <c r="M7262">
        <v>-1.618141E-2</v>
      </c>
      <c r="N7262">
        <v>-1.505571E-2</v>
      </c>
      <c r="O7262">
        <v>0.99975570000000002</v>
      </c>
      <c r="P7262">
        <v>-3.6694459999999998E-3</v>
      </c>
      <c r="Q7262">
        <v>-6.6116099999999997E-2</v>
      </c>
      <c r="R7262">
        <v>0.99780519999999995</v>
      </c>
      <c r="S7262">
        <v>5.7830809999999998E-3</v>
      </c>
      <c r="T7262">
        <v>-9.4194050000000001E-2</v>
      </c>
      <c r="U7262">
        <v>3.0003660000000001</v>
      </c>
      <c r="V7262">
        <v>1.2455569999999999E-2</v>
      </c>
      <c r="W7262">
        <v>-5.109267E-2</v>
      </c>
      <c r="X7262">
        <v>0.99861619999999995</v>
      </c>
      <c r="Y7262">
        <v>1.8103830000000001E-2</v>
      </c>
      <c r="Z7262">
        <v>-1.6317890000000002E-2</v>
      </c>
      <c r="AA7262">
        <v>0.99970289999999995</v>
      </c>
      <c r="AB7262">
        <v>37</v>
      </c>
      <c r="AC7262">
        <v>7.4500000000000399E-2</v>
      </c>
      <c r="AD7262">
        <v>-1.1207636192079999</v>
      </c>
      <c r="AE7262">
        <v>35.338749999999997</v>
      </c>
      <c r="AF7262">
        <v>0.64573637524511396</v>
      </c>
      <c r="AG7262">
        <v>-1.1207636192079999</v>
      </c>
      <c r="AH7262">
        <v>35.297413352602703</v>
      </c>
      <c r="AI7262">
        <v>91.818340771943596</v>
      </c>
      <c r="AJ7262">
        <v>88.951938999241406</v>
      </c>
      <c r="AK7262">
        <v>35.321105248009303</v>
      </c>
      <c r="AL7262">
        <v>92.928669616536595</v>
      </c>
      <c r="AM7262">
        <v>89.285396543799607</v>
      </c>
      <c r="AN7262">
        <v>0.999999958527095</v>
      </c>
    </row>
    <row r="7263" spans="1:40" x14ac:dyDescent="0.25">
      <c r="A7263" t="str">
        <f>"20190303154704977"</f>
        <v>20190303154704977</v>
      </c>
      <c r="B7263" t="str">
        <f>"1551599224969522"</f>
        <v>1551599224969522</v>
      </c>
      <c r="C7263" t="s">
        <v>40</v>
      </c>
      <c r="D7263">
        <v>4.8997060000000001</v>
      </c>
      <c r="E7263">
        <v>0.5020173</v>
      </c>
      <c r="F7263" t="s">
        <v>41</v>
      </c>
      <c r="G7263">
        <v>-188.08690000000001</v>
      </c>
      <c r="H7263" s="1">
        <v>-1.6131209999999901E-6</v>
      </c>
      <c r="I7263">
        <v>92.601969999999994</v>
      </c>
      <c r="J7263">
        <v>-188.1679</v>
      </c>
      <c r="K7263">
        <v>1.120752</v>
      </c>
      <c r="L7263">
        <v>57.710720000000002</v>
      </c>
      <c r="M7263">
        <v>-1.597119E-2</v>
      </c>
      <c r="N7263">
        <v>-1.504306E-2</v>
      </c>
      <c r="O7263">
        <v>0.99975930000000002</v>
      </c>
      <c r="P7263">
        <v>-3.2229960000000001E-3</v>
      </c>
      <c r="Q7263">
        <v>-6.6659609999999994E-2</v>
      </c>
      <c r="R7263">
        <v>0.9977705</v>
      </c>
      <c r="S7263">
        <v>6.3018800000000002E-3</v>
      </c>
      <c r="T7263">
        <v>-9.5192070000000004E-2</v>
      </c>
      <c r="U7263">
        <v>3.000305</v>
      </c>
      <c r="V7263">
        <v>1.2690709999999999E-2</v>
      </c>
      <c r="W7263">
        <v>-5.1649630000000002E-2</v>
      </c>
      <c r="X7263">
        <v>0.99858460000000004</v>
      </c>
      <c r="Y7263">
        <v>1.8066459999999999E-2</v>
      </c>
      <c r="Z7263">
        <v>-1.6663480000000001E-2</v>
      </c>
      <c r="AA7263">
        <v>0.99969790000000003</v>
      </c>
      <c r="AB7263">
        <v>37</v>
      </c>
      <c r="AC7263">
        <v>8.0999999999988803E-2</v>
      </c>
      <c r="AD7263">
        <v>-1.1207536131209901</v>
      </c>
      <c r="AE7263">
        <v>34.891249999999999</v>
      </c>
      <c r="AF7263">
        <v>0.63764959245500397</v>
      </c>
      <c r="AG7263">
        <v>-1.1207536131209901</v>
      </c>
      <c r="AH7263">
        <v>34.849548001329502</v>
      </c>
      <c r="AI7263">
        <v>91.841676464802703</v>
      </c>
      <c r="AJ7263">
        <v>88.9517639036589</v>
      </c>
      <c r="AK7263">
        <v>34.873395039213698</v>
      </c>
      <c r="AL7263">
        <v>92.960623229653507</v>
      </c>
      <c r="AM7263">
        <v>89.271884445608606</v>
      </c>
      <c r="AN7263">
        <v>0.99999997087829995</v>
      </c>
    </row>
    <row r="7264" spans="1:40" x14ac:dyDescent="0.25">
      <c r="A7264" t="str">
        <f>"20190303154705018"</f>
        <v>20190303154705018</v>
      </c>
      <c r="B7264" t="str">
        <f>"1551599225009538"</f>
        <v>1551599225009538</v>
      </c>
      <c r="C7264" t="s">
        <v>40</v>
      </c>
      <c r="D7264">
        <v>4.919486</v>
      </c>
      <c r="E7264">
        <v>0.50180170000000002</v>
      </c>
      <c r="F7264" t="s">
        <v>41</v>
      </c>
      <c r="G7264">
        <v>-188.08590000000001</v>
      </c>
      <c r="H7264" s="1">
        <v>-1.4549349999999999E-6</v>
      </c>
      <c r="I7264">
        <v>92.232820000000004</v>
      </c>
      <c r="J7264">
        <v>-188.17850000000001</v>
      </c>
      <c r="K7264">
        <v>1.120725</v>
      </c>
      <c r="L7264">
        <v>58.397640000000003</v>
      </c>
      <c r="M7264">
        <v>-1.560478E-2</v>
      </c>
      <c r="N7264">
        <v>-1.501125E-2</v>
      </c>
      <c r="O7264">
        <v>0.99976560000000003</v>
      </c>
      <c r="P7264">
        <v>-1.435497E-3</v>
      </c>
      <c r="Q7264">
        <v>-6.8009029999999998E-2</v>
      </c>
      <c r="R7264">
        <v>0.9976836</v>
      </c>
      <c r="S7264">
        <v>7.125854E-3</v>
      </c>
      <c r="T7264">
        <v>-9.7401379999999996E-2</v>
      </c>
      <c r="U7264">
        <v>3.0002140000000002</v>
      </c>
      <c r="V7264">
        <v>1.410821E-2</v>
      </c>
      <c r="W7264">
        <v>-5.3033509999999999E-2</v>
      </c>
      <c r="X7264">
        <v>0.99849310000000002</v>
      </c>
      <c r="Y7264">
        <v>1.7974549999999999E-2</v>
      </c>
      <c r="Z7264">
        <v>-1.7431849999999999E-2</v>
      </c>
      <c r="AA7264">
        <v>0.99968650000000003</v>
      </c>
      <c r="AB7264">
        <v>37</v>
      </c>
      <c r="AC7264">
        <v>9.2600000000004401E-2</v>
      </c>
      <c r="AD7264">
        <v>-1.120726454935</v>
      </c>
      <c r="AE7264">
        <v>33.835179999999902</v>
      </c>
      <c r="AF7264">
        <v>0.61995855714296999</v>
      </c>
      <c r="AG7264">
        <v>-1.120726454935</v>
      </c>
      <c r="AH7264">
        <v>33.792539180314201</v>
      </c>
      <c r="AI7264">
        <v>91.899193681030795</v>
      </c>
      <c r="AJ7264">
        <v>88.948968462103593</v>
      </c>
      <c r="AK7264">
        <v>33.816801750792997</v>
      </c>
      <c r="AL7264">
        <v>93.040022370802305</v>
      </c>
      <c r="AM7264">
        <v>89.190493051203305</v>
      </c>
      <c r="AN7264">
        <v>1.0000000327599601</v>
      </c>
    </row>
    <row r="7265" spans="1:40" x14ac:dyDescent="0.25">
      <c r="A7265" t="str">
        <f>"20190303154705041"</f>
        <v>20190303154705041</v>
      </c>
      <c r="B7265" t="str">
        <f>"1551599225039206"</f>
        <v>1551599225039206</v>
      </c>
      <c r="C7265" t="s">
        <v>40</v>
      </c>
      <c r="D7265">
        <v>4.9128499999999997</v>
      </c>
      <c r="E7265">
        <v>0.50167589999999995</v>
      </c>
      <c r="F7265" t="s">
        <v>41</v>
      </c>
      <c r="G7265">
        <v>-188.06</v>
      </c>
      <c r="H7265" s="1">
        <v>-9.0349309999999997E-7</v>
      </c>
      <c r="I7265">
        <v>90.786209999999997</v>
      </c>
      <c r="J7265">
        <v>-188.1842</v>
      </c>
      <c r="K7265">
        <v>1.1207129999999901</v>
      </c>
      <c r="L7265">
        <v>58.778289999999998</v>
      </c>
      <c r="M7265">
        <v>-1.5381000000000001E-2</v>
      </c>
      <c r="N7265">
        <v>-1.499224E-2</v>
      </c>
      <c r="O7265">
        <v>0.99976929999999997</v>
      </c>
      <c r="P7265">
        <v>-1.0275659999999999E-3</v>
      </c>
      <c r="Q7265">
        <v>-6.8324689999999993E-2</v>
      </c>
      <c r="R7265">
        <v>0.99766259999999996</v>
      </c>
      <c r="S7265">
        <v>1.0971069999999999E-2</v>
      </c>
      <c r="T7265">
        <v>-0.1038043</v>
      </c>
      <c r="U7265">
        <v>2.999908</v>
      </c>
      <c r="V7265">
        <v>1.429074E-2</v>
      </c>
      <c r="W7265">
        <v>-5.3369020000000003E-2</v>
      </c>
      <c r="X7265">
        <v>0.99847260000000004</v>
      </c>
      <c r="Y7265">
        <v>1.9031530000000001E-2</v>
      </c>
      <c r="Z7265">
        <v>-1.9584850000000001E-2</v>
      </c>
      <c r="AA7265">
        <v>0.99962709999999999</v>
      </c>
      <c r="AB7265">
        <v>37</v>
      </c>
      <c r="AC7265">
        <v>0.124200000000001</v>
      </c>
      <c r="AD7265">
        <v>-1.12071390349309</v>
      </c>
      <c r="AE7265">
        <v>32.007919999999899</v>
      </c>
      <c r="AF7265">
        <v>0.61579952915352798</v>
      </c>
      <c r="AG7265">
        <v>-1.12071390349309</v>
      </c>
      <c r="AH7265">
        <v>31.963037587011598</v>
      </c>
      <c r="AI7265">
        <v>92.007756072164199</v>
      </c>
      <c r="AJ7265">
        <v>88.896276690549598</v>
      </c>
      <c r="AK7265">
        <v>31.9886070422316</v>
      </c>
      <c r="AL7265">
        <v>93.059273023957701</v>
      </c>
      <c r="AM7265">
        <v>89.180004354141701</v>
      </c>
      <c r="AN7265">
        <v>1.0000000052481299</v>
      </c>
    </row>
    <row r="7266" spans="1:40" x14ac:dyDescent="0.25">
      <c r="A7266" t="str">
        <f>"20190303154705062"</f>
        <v>20190303154705062</v>
      </c>
      <c r="B7266" t="str">
        <f>"1551599225058726"</f>
        <v>1551599225058726</v>
      </c>
      <c r="C7266" t="s">
        <v>40</v>
      </c>
      <c r="D7266">
        <v>4.9339500000000003</v>
      </c>
      <c r="E7266">
        <v>0.50158199999999997</v>
      </c>
      <c r="F7266" t="s">
        <v>41</v>
      </c>
      <c r="G7266">
        <v>-188.0686</v>
      </c>
      <c r="H7266" s="1">
        <v>-7.7028190000000005E-7</v>
      </c>
      <c r="I7266">
        <v>90.401430000000005</v>
      </c>
      <c r="J7266">
        <v>-188.1893</v>
      </c>
      <c r="K7266">
        <v>1.12069</v>
      </c>
      <c r="L7266">
        <v>59.126370000000001</v>
      </c>
      <c r="M7266">
        <v>-1.515937E-2</v>
      </c>
      <c r="N7266">
        <v>-1.4974579999999999E-2</v>
      </c>
      <c r="O7266">
        <v>0.99977300000000002</v>
      </c>
      <c r="P7266">
        <v>-1.284377E-3</v>
      </c>
      <c r="Q7266">
        <v>-6.8240780000000001E-2</v>
      </c>
      <c r="R7266">
        <v>0.997668</v>
      </c>
      <c r="S7266">
        <v>1.0971069999999999E-2</v>
      </c>
      <c r="T7266">
        <v>-0.1063104</v>
      </c>
      <c r="U7266">
        <v>2.9997560000000001</v>
      </c>
      <c r="V7266">
        <v>1.3811260000000001E-2</v>
      </c>
      <c r="W7266">
        <v>-5.3302740000000001E-2</v>
      </c>
      <c r="X7266">
        <v>0.99848289999999995</v>
      </c>
      <c r="Y7266">
        <v>1.880998E-2</v>
      </c>
      <c r="Z7266">
        <v>-2.043851E-2</v>
      </c>
      <c r="AA7266">
        <v>0.99961420000000001</v>
      </c>
      <c r="AB7266">
        <v>37</v>
      </c>
      <c r="AC7266">
        <v>0.120699999999999</v>
      </c>
      <c r="AD7266">
        <v>-1.12069077028189</v>
      </c>
      <c r="AE7266">
        <v>31.27506</v>
      </c>
      <c r="AF7266">
        <v>0.59408666257494402</v>
      </c>
      <c r="AG7266">
        <v>-1.12069077028189</v>
      </c>
      <c r="AH7266">
        <v>31.229536365588199</v>
      </c>
      <c r="AI7266">
        <v>92.054840276764807</v>
      </c>
      <c r="AJ7266">
        <v>88.910180640654005</v>
      </c>
      <c r="AK7266">
        <v>31.255284807130501</v>
      </c>
      <c r="AL7266">
        <v>93.055470009824404</v>
      </c>
      <c r="AM7266">
        <v>89.207521285447299</v>
      </c>
      <c r="AN7266">
        <v>1.0000000172933501</v>
      </c>
    </row>
    <row r="7267" spans="1:40" x14ac:dyDescent="0.25">
      <c r="A7267" t="str">
        <f>"20190303154705087"</f>
        <v>20190303154705087</v>
      </c>
      <c r="B7267" t="str">
        <f>"1551599225079223"</f>
        <v>1551599225079223</v>
      </c>
      <c r="C7267" t="s">
        <v>40</v>
      </c>
      <c r="D7267">
        <v>4.9562200000000001</v>
      </c>
      <c r="E7267">
        <v>0.50170389999999998</v>
      </c>
      <c r="F7267" t="s">
        <v>41</v>
      </c>
      <c r="G7267">
        <v>-188.09</v>
      </c>
      <c r="H7267" s="1">
        <v>-8.037105E-7</v>
      </c>
      <c r="I7267">
        <v>90.516440000000003</v>
      </c>
      <c r="J7267">
        <v>-188.1952</v>
      </c>
      <c r="K7267">
        <v>1.120668</v>
      </c>
      <c r="L7267">
        <v>59.529879999999999</v>
      </c>
      <c r="M7267">
        <v>-1.488049E-2</v>
      </c>
      <c r="N7267">
        <v>-1.4954490000000001E-2</v>
      </c>
      <c r="O7267">
        <v>0.99977740000000004</v>
      </c>
      <c r="P7267">
        <v>-1.443024E-3</v>
      </c>
      <c r="Q7267">
        <v>-6.8787940000000006E-2</v>
      </c>
      <c r="R7267">
        <v>0.99763020000000002</v>
      </c>
      <c r="S7267">
        <v>9.4909669999999995E-3</v>
      </c>
      <c r="T7267">
        <v>-0.10709539999999999</v>
      </c>
      <c r="U7267">
        <v>2.999695</v>
      </c>
      <c r="V7267">
        <v>1.337138E-2</v>
      </c>
      <c r="W7267">
        <v>-5.3870649999999999E-2</v>
      </c>
      <c r="X7267">
        <v>0.99845839999999997</v>
      </c>
      <c r="Y7267">
        <v>1.8038180000000001E-2</v>
      </c>
      <c r="Z7267">
        <v>-2.0721130000000001E-2</v>
      </c>
      <c r="AA7267">
        <v>0.99962260000000003</v>
      </c>
      <c r="AB7267">
        <v>37</v>
      </c>
      <c r="AC7267">
        <v>0.10519999999999601</v>
      </c>
      <c r="AD7267">
        <v>-1.1206688037104999</v>
      </c>
      <c r="AE7267">
        <v>30.986560000000001</v>
      </c>
      <c r="AF7267">
        <v>0.56559534256605903</v>
      </c>
      <c r="AG7267">
        <v>-1.1206688037104999</v>
      </c>
      <c r="AH7267">
        <v>30.941092287709999</v>
      </c>
      <c r="AI7267">
        <v>92.0739676992265</v>
      </c>
      <c r="AJ7267">
        <v>88.952764273505906</v>
      </c>
      <c r="AK7267">
        <v>30.966546281684799</v>
      </c>
      <c r="AL7267">
        <v>93.088055701672104</v>
      </c>
      <c r="AM7267">
        <v>89.232739346272297</v>
      </c>
      <c r="AN7267">
        <v>1.00000000863254</v>
      </c>
    </row>
    <row r="7268" spans="1:40" x14ac:dyDescent="0.25">
      <c r="A7268" t="str">
        <f>"20190303154705108"</f>
        <v>20190303154705108</v>
      </c>
      <c r="B7268" t="str">
        <f>"1551599225098743"</f>
        <v>1551599225098743</v>
      </c>
      <c r="C7268" t="s">
        <v>40</v>
      </c>
      <c r="D7268">
        <v>4.9216230000000003</v>
      </c>
      <c r="E7268">
        <v>0.52192479999999997</v>
      </c>
      <c r="F7268" t="s">
        <v>41</v>
      </c>
      <c r="G7268">
        <v>-188.09110000000001</v>
      </c>
      <c r="H7268" s="1">
        <v>-8.5825869999999895E-7</v>
      </c>
      <c r="I7268">
        <v>90.677570000000003</v>
      </c>
      <c r="J7268">
        <v>-188.2003</v>
      </c>
      <c r="K7268">
        <v>1.1206480000000001</v>
      </c>
      <c r="L7268">
        <v>59.8861699999999</v>
      </c>
      <c r="M7268">
        <v>-1.4619109999999999E-2</v>
      </c>
      <c r="N7268">
        <v>-1.4937580000000001E-2</v>
      </c>
      <c r="O7268">
        <v>0.99978149999999999</v>
      </c>
      <c r="P7268">
        <v>-1.2474750000000001E-3</v>
      </c>
      <c r="Q7268">
        <v>-6.9547570000000003E-2</v>
      </c>
      <c r="R7268">
        <v>0.99757779999999996</v>
      </c>
      <c r="S7268">
        <v>1.0025020000000001E-2</v>
      </c>
      <c r="T7268">
        <v>-0.1079266</v>
      </c>
      <c r="U7268">
        <v>2.999695</v>
      </c>
      <c r="V7268">
        <v>1.330307E-2</v>
      </c>
      <c r="W7268">
        <v>-5.4648240000000001E-2</v>
      </c>
      <c r="X7268">
        <v>0.998417</v>
      </c>
      <c r="Y7268">
        <v>1.7954729999999999E-2</v>
      </c>
      <c r="Z7268">
        <v>-2.101488E-2</v>
      </c>
      <c r="AA7268">
        <v>0.99961789999999995</v>
      </c>
      <c r="AB7268">
        <v>37</v>
      </c>
      <c r="AC7268">
        <v>0.109199999999987</v>
      </c>
      <c r="AD7268">
        <v>-1.1206488582587</v>
      </c>
      <c r="AE7268">
        <v>30.791399999999999</v>
      </c>
      <c r="AF7268">
        <v>0.55864148387533497</v>
      </c>
      <c r="AG7268">
        <v>-1.1206488582587</v>
      </c>
      <c r="AH7268">
        <v>30.7457872262843</v>
      </c>
      <c r="AI7268">
        <v>92.087097522504905</v>
      </c>
      <c r="AJ7268">
        <v>88.959067874182907</v>
      </c>
      <c r="AK7268">
        <v>30.771275019650599</v>
      </c>
      <c r="AL7268">
        <v>93.132674227988105</v>
      </c>
      <c r="AM7268">
        <v>89.236626915907493</v>
      </c>
      <c r="AN7268">
        <v>0.99999995384775997</v>
      </c>
    </row>
    <row r="7269" spans="1:40" x14ac:dyDescent="0.25">
      <c r="A7269" t="str">
        <f>"20190303154705129"</f>
        <v>20190303154705129</v>
      </c>
      <c r="B7269" t="str">
        <f>"1551599225119239"</f>
        <v>1551599225119239</v>
      </c>
      <c r="C7269" t="s">
        <v>40</v>
      </c>
      <c r="D7269">
        <v>4.9341949999999999</v>
      </c>
      <c r="E7269">
        <v>0.52373930000000002</v>
      </c>
      <c r="F7269" t="s">
        <v>41</v>
      </c>
      <c r="G7269">
        <v>-185.6438</v>
      </c>
      <c r="H7269" s="1">
        <v>-2.8650909999999999E-6</v>
      </c>
      <c r="I7269">
        <v>104.51009999999999</v>
      </c>
      <c r="J7269">
        <v>-188.20509999999999</v>
      </c>
      <c r="K7269">
        <v>1.120636</v>
      </c>
      <c r="L7269">
        <v>60.23386</v>
      </c>
      <c r="M7269">
        <v>-1.435146E-2</v>
      </c>
      <c r="N7269">
        <v>-1.4922070000000001E-2</v>
      </c>
      <c r="O7269">
        <v>0.9997857</v>
      </c>
      <c r="P7269">
        <v>-1.2245400000000001E-3</v>
      </c>
      <c r="Q7269">
        <v>-6.9925989999999993E-2</v>
      </c>
      <c r="R7269">
        <v>0.99755139999999998</v>
      </c>
      <c r="S7269">
        <v>0.17199710000000001</v>
      </c>
      <c r="T7269">
        <v>-7.5396299999999999E-2</v>
      </c>
      <c r="U7269">
        <v>3.0022579999999999</v>
      </c>
      <c r="V7269">
        <v>1.3056709999999999E-2</v>
      </c>
      <c r="W7269">
        <v>-5.50427E-2</v>
      </c>
      <c r="X7269">
        <v>0.99839860000000002</v>
      </c>
      <c r="Y7269">
        <v>7.1494879999999997E-2</v>
      </c>
      <c r="Z7269">
        <v>-1.012247E-2</v>
      </c>
      <c r="AA7269">
        <v>0.99738959999999999</v>
      </c>
      <c r="AB7269">
        <v>37</v>
      </c>
      <c r="AC7269">
        <v>2.5612999999999801</v>
      </c>
      <c r="AD7269">
        <v>-1.120638865091</v>
      </c>
      <c r="AE7269">
        <v>44.276240000000001</v>
      </c>
      <c r="AF7269">
        <v>3.1944959956220802</v>
      </c>
      <c r="AG7269">
        <v>-1.120638865091</v>
      </c>
      <c r="AH7269">
        <v>44.2066920500436</v>
      </c>
      <c r="AI7269">
        <v>91.448360937087003</v>
      </c>
      <c r="AJ7269">
        <v>85.866835222291499</v>
      </c>
      <c r="AK7269">
        <v>44.336128136536502</v>
      </c>
      <c r="AL7269">
        <v>93.155309138716405</v>
      </c>
      <c r="AM7269">
        <v>89.250748414421494</v>
      </c>
      <c r="AN7269">
        <v>0.99999997049063605</v>
      </c>
    </row>
    <row r="7270" spans="1:40" x14ac:dyDescent="0.25">
      <c r="A7270" t="str">
        <f>"20190303154705152"</f>
        <v>20190303154705152</v>
      </c>
      <c r="B7270" t="str">
        <f>"1551599225149026"</f>
        <v>1551599225149026</v>
      </c>
      <c r="C7270" t="s">
        <v>40</v>
      </c>
      <c r="D7270">
        <v>4.956874</v>
      </c>
      <c r="E7270">
        <v>0.52346440000000005</v>
      </c>
      <c r="F7270" t="s">
        <v>41</v>
      </c>
      <c r="G7270">
        <v>-185.62260000000001</v>
      </c>
      <c r="H7270" s="1">
        <v>-1.889031E-6</v>
      </c>
      <c r="I7270">
        <v>101.7765</v>
      </c>
      <c r="J7270">
        <v>-188.21019999999999</v>
      </c>
      <c r="K7270">
        <v>1.1206240000000001</v>
      </c>
      <c r="L7270">
        <v>60.611420000000003</v>
      </c>
      <c r="M7270">
        <v>-1.404919E-2</v>
      </c>
      <c r="N7270">
        <v>-1.490641E-2</v>
      </c>
      <c r="O7270">
        <v>0.99979019999999996</v>
      </c>
      <c r="P7270">
        <v>-8.1291939999999997E-4</v>
      </c>
      <c r="Q7270">
        <v>-6.9742739999999998E-2</v>
      </c>
      <c r="R7270">
        <v>0.99756469999999997</v>
      </c>
      <c r="S7270">
        <v>0.186615</v>
      </c>
      <c r="T7270">
        <v>-8.0978750000000002E-2</v>
      </c>
      <c r="U7270">
        <v>3.0019230000000001</v>
      </c>
      <c r="V7270">
        <v>1.31655E-2</v>
      </c>
      <c r="W7270">
        <v>-5.4875340000000002E-2</v>
      </c>
      <c r="X7270">
        <v>0.99840640000000003</v>
      </c>
      <c r="Y7270">
        <v>7.6034790000000005E-2</v>
      </c>
      <c r="Z7270">
        <v>-1.198636E-2</v>
      </c>
      <c r="AA7270">
        <v>0.99703310000000001</v>
      </c>
      <c r="AB7270">
        <v>37</v>
      </c>
      <c r="AC7270">
        <v>2.5875999999999801</v>
      </c>
      <c r="AD7270">
        <v>-1.1206258890309999</v>
      </c>
      <c r="AE7270">
        <v>41.165079999999897</v>
      </c>
      <c r="AF7270">
        <v>3.1634097441871099</v>
      </c>
      <c r="AG7270">
        <v>-1.1206258890309999</v>
      </c>
      <c r="AH7270">
        <v>41.094324394089902</v>
      </c>
      <c r="AI7270">
        <v>91.557440563094104</v>
      </c>
      <c r="AJ7270">
        <v>85.5980958410982</v>
      </c>
      <c r="AK7270">
        <v>41.2311346072294</v>
      </c>
      <c r="AL7270">
        <v>93.145705551841203</v>
      </c>
      <c r="AM7270">
        <v>89.244512186751194</v>
      </c>
      <c r="AN7270">
        <v>0.99999998644566201</v>
      </c>
    </row>
    <row r="7271" spans="1:40" x14ac:dyDescent="0.25">
      <c r="A7271" t="str">
        <f>"20190303154705174"</f>
        <v>20190303154705174</v>
      </c>
      <c r="B7271" t="str">
        <f>"1551599225169522"</f>
        <v>1551599225169522</v>
      </c>
      <c r="C7271" t="s">
        <v>40</v>
      </c>
      <c r="D7271">
        <v>5.0672059999999997</v>
      </c>
      <c r="E7271">
        <v>0.52231019999999995</v>
      </c>
      <c r="F7271" t="s">
        <v>41</v>
      </c>
      <c r="G7271">
        <v>-186.03280000000001</v>
      </c>
      <c r="H7271" s="1">
        <v>-3.3665139999999998E-6</v>
      </c>
      <c r="I7271">
        <v>95.839830000000006</v>
      </c>
      <c r="J7271">
        <v>-188.2149</v>
      </c>
      <c r="K7271">
        <v>1.1206210000000001</v>
      </c>
      <c r="L7271">
        <v>60.962739999999997</v>
      </c>
      <c r="M7271">
        <v>-1.375901E-2</v>
      </c>
      <c r="N7271">
        <v>-1.489298E-2</v>
      </c>
      <c r="O7271">
        <v>0.99979439999999997</v>
      </c>
      <c r="P7271">
        <v>-1.6106580000000001E-4</v>
      </c>
      <c r="Q7271">
        <v>-6.930509E-2</v>
      </c>
      <c r="R7271">
        <v>0.99759549999999997</v>
      </c>
      <c r="S7271">
        <v>0.18547060000000001</v>
      </c>
      <c r="T7271">
        <v>-9.5456239999999998E-2</v>
      </c>
      <c r="U7271">
        <v>3.0007929999999998</v>
      </c>
      <c r="V7271">
        <v>1.3527310000000001E-2</v>
      </c>
      <c r="W7271">
        <v>-5.4451340000000001E-2</v>
      </c>
      <c r="X7271">
        <v>0.9984248</v>
      </c>
      <c r="Y7271">
        <v>7.5383049999999993E-2</v>
      </c>
      <c r="Z7271">
        <v>-1.6818969999999999E-2</v>
      </c>
      <c r="AA7271">
        <v>0.99701280000000003</v>
      </c>
      <c r="AB7271">
        <v>37</v>
      </c>
      <c r="AC7271">
        <v>2.1820999999999899</v>
      </c>
      <c r="AD7271">
        <v>-1.1206243665140001</v>
      </c>
      <c r="AE7271">
        <v>34.877090000000003</v>
      </c>
      <c r="AF7271">
        <v>2.65908638167984</v>
      </c>
      <c r="AG7271">
        <v>-1.1206243665140001</v>
      </c>
      <c r="AH7271">
        <v>34.807966011622803</v>
      </c>
      <c r="AI7271">
        <v>91.838617429619703</v>
      </c>
      <c r="AJ7271">
        <v>85.631486035689505</v>
      </c>
      <c r="AK7271">
        <v>34.927368025981401</v>
      </c>
      <c r="AL7271">
        <v>93.121375693777495</v>
      </c>
      <c r="AM7271">
        <v>89.223766926017007</v>
      </c>
      <c r="AN7271">
        <v>1.0000000088993299</v>
      </c>
    </row>
    <row r="7272" spans="1:40" x14ac:dyDescent="0.25">
      <c r="A7272" t="str">
        <f>"20190303154705198"</f>
        <v>20190303154705198</v>
      </c>
      <c r="B7272" t="str">
        <f>"1551599225189042"</f>
        <v>1551599225189042</v>
      </c>
      <c r="C7272" t="s">
        <v>40</v>
      </c>
      <c r="D7272">
        <v>4.9646179999999998</v>
      </c>
      <c r="E7272">
        <v>0.52223809999999904</v>
      </c>
      <c r="F7272" t="s">
        <v>41</v>
      </c>
      <c r="G7272">
        <v>-186.4298</v>
      </c>
      <c r="H7272" s="1">
        <v>-1.4222239999999999E-6</v>
      </c>
      <c r="I7272">
        <v>91.035899999999998</v>
      </c>
      <c r="J7272">
        <v>-188.22020000000001</v>
      </c>
      <c r="K7272">
        <v>1.120619</v>
      </c>
      <c r="L7272">
        <v>61.372680000000003</v>
      </c>
      <c r="M7272">
        <v>-1.3413380000000001E-2</v>
      </c>
      <c r="N7272">
        <v>-1.487865E-2</v>
      </c>
      <c r="O7272">
        <v>0.99979929999999995</v>
      </c>
      <c r="P7272" s="1">
        <v>-2.1624539999999999E-5</v>
      </c>
      <c r="Q7272">
        <v>-6.8813520000000003E-2</v>
      </c>
      <c r="R7272">
        <v>0.99762949999999995</v>
      </c>
      <c r="S7272">
        <v>0.17803959999999999</v>
      </c>
      <c r="T7272">
        <v>-0.1117703</v>
      </c>
      <c r="U7272">
        <v>2.9994809999999998</v>
      </c>
      <c r="V7272">
        <v>1.332157E-2</v>
      </c>
      <c r="W7272">
        <v>-5.3973710000000001E-2</v>
      </c>
      <c r="X7272">
        <v>0.99845349999999999</v>
      </c>
      <c r="Y7272">
        <v>7.2595640000000003E-2</v>
      </c>
      <c r="Z7272">
        <v>-2.2272179999999999E-2</v>
      </c>
      <c r="AA7272">
        <v>0.99711280000000002</v>
      </c>
      <c r="AB7272">
        <v>37</v>
      </c>
      <c r="AC7272">
        <v>1.7904</v>
      </c>
      <c r="AD7272">
        <v>-1.1206204222239999</v>
      </c>
      <c r="AE7272">
        <v>29.6632199999999</v>
      </c>
      <c r="AF7272">
        <v>2.1850598303316402</v>
      </c>
      <c r="AG7272">
        <v>-1.1206204222239999</v>
      </c>
      <c r="AH7272">
        <v>29.5944493661579</v>
      </c>
      <c r="AI7272">
        <v>92.162639097390993</v>
      </c>
      <c r="AJ7272">
        <v>85.777317852671203</v>
      </c>
      <c r="AK7272">
        <v>29.696156483271</v>
      </c>
      <c r="AL7272">
        <v>93.093969207985197</v>
      </c>
      <c r="AM7272">
        <v>89.2355933938601</v>
      </c>
      <c r="AN7272">
        <v>1.00000000863033</v>
      </c>
    </row>
    <row r="7273" spans="1:40" x14ac:dyDescent="0.25">
      <c r="A7273" t="str">
        <f>"20190303154705221"</f>
        <v>20190303154705221</v>
      </c>
      <c r="B7273" t="str">
        <f>"1551599225209538"</f>
        <v>1551599225209538</v>
      </c>
      <c r="C7273" t="s">
        <v>40</v>
      </c>
      <c r="D7273">
        <v>5.0960400000000003</v>
      </c>
      <c r="E7273">
        <v>0.52179179999999903</v>
      </c>
      <c r="F7273" t="s">
        <v>41</v>
      </c>
      <c r="G7273">
        <v>-186.46369999999999</v>
      </c>
      <c r="H7273" s="1">
        <v>-1.3952640000000001E-6</v>
      </c>
      <c r="I7273">
        <v>90.983159999999998</v>
      </c>
      <c r="J7273">
        <v>-188.22460000000001</v>
      </c>
      <c r="K7273">
        <v>1.1206240000000001</v>
      </c>
      <c r="L7273">
        <v>61.7256199999999</v>
      </c>
      <c r="M7273">
        <v>-1.3112800000000001E-2</v>
      </c>
      <c r="N7273">
        <v>-1.4876210000000001E-2</v>
      </c>
      <c r="O7273">
        <v>0.99980340000000001</v>
      </c>
      <c r="P7273" s="1">
        <v>-7.1502839999999999E-5</v>
      </c>
      <c r="Q7273">
        <v>-6.8016409999999999E-2</v>
      </c>
      <c r="R7273">
        <v>0.99768420000000002</v>
      </c>
      <c r="S7273">
        <v>0.17791750000000001</v>
      </c>
      <c r="T7273">
        <v>-0.11350970000000001</v>
      </c>
      <c r="U7273">
        <v>2.999298</v>
      </c>
      <c r="V7273">
        <v>1.2972350000000001E-2</v>
      </c>
      <c r="W7273">
        <v>-5.3178179999999999E-2</v>
      </c>
      <c r="X7273">
        <v>0.99850079999999997</v>
      </c>
      <c r="Y7273">
        <v>7.2257989999999994E-2</v>
      </c>
      <c r="Z7273">
        <v>-2.285537E-2</v>
      </c>
      <c r="AA7273">
        <v>0.99712409999999996</v>
      </c>
      <c r="AB7273">
        <v>37</v>
      </c>
      <c r="AC7273">
        <v>1.7609000000000199</v>
      </c>
      <c r="AD7273">
        <v>-1.120625395264</v>
      </c>
      <c r="AE7273">
        <v>29.257539999999999</v>
      </c>
      <c r="AF7273">
        <v>2.1413092104530902</v>
      </c>
      <c r="AG7273">
        <v>-1.120625395264</v>
      </c>
      <c r="AH7273">
        <v>29.189263510516302</v>
      </c>
      <c r="AI7273">
        <v>92.192716025879193</v>
      </c>
      <c r="AJ7273">
        <v>85.804327099490905</v>
      </c>
      <c r="AK7273">
        <v>29.289146636555301</v>
      </c>
      <c r="AL7273">
        <v>93.048323090440206</v>
      </c>
      <c r="AM7273">
        <v>89.255665001104603</v>
      </c>
      <c r="AN7273">
        <v>1.00000002414663</v>
      </c>
    </row>
    <row r="7274" spans="1:40" x14ac:dyDescent="0.25">
      <c r="A7274" t="str">
        <f>"20190303154705264"</f>
        <v>20190303154705264</v>
      </c>
      <c r="B7274" t="str">
        <f>"1551599225259314"</f>
        <v>1551599225259314</v>
      </c>
      <c r="C7274" t="s">
        <v>40</v>
      </c>
      <c r="D7274">
        <v>4.9848889999999999</v>
      </c>
      <c r="E7274">
        <v>0.52178709999999995</v>
      </c>
      <c r="F7274" t="s">
        <v>41</v>
      </c>
      <c r="G7274">
        <v>-186.62979999999999</v>
      </c>
      <c r="H7274" s="1">
        <v>-4.6940439999999998E-6</v>
      </c>
      <c r="I7274">
        <v>89.181179999999998</v>
      </c>
      <c r="J7274">
        <v>-188.23310000000001</v>
      </c>
      <c r="K7274">
        <v>1.1207240000000001</v>
      </c>
      <c r="L7274">
        <v>62.425020000000004</v>
      </c>
      <c r="M7274">
        <v>-1.2537619999999999E-2</v>
      </c>
      <c r="N7274">
        <v>-1.523532E-2</v>
      </c>
      <c r="O7274">
        <v>0.99980530000000001</v>
      </c>
      <c r="P7274" s="1">
        <v>8.036334E-5</v>
      </c>
      <c r="Q7274">
        <v>-6.7950339999999998E-2</v>
      </c>
      <c r="R7274">
        <v>0.99768869999999998</v>
      </c>
      <c r="S7274">
        <v>0.1741791</v>
      </c>
      <c r="T7274">
        <v>-0.12239220000000001</v>
      </c>
      <c r="U7274">
        <v>2.9986269999999999</v>
      </c>
      <c r="V7274">
        <v>1.2549609999999999E-2</v>
      </c>
      <c r="W7274">
        <v>-5.2753290000000001E-2</v>
      </c>
      <c r="X7274">
        <v>0.99852870000000005</v>
      </c>
      <c r="Y7274">
        <v>7.0453119999999994E-2</v>
      </c>
      <c r="Z7274">
        <v>-2.5459470000000001E-2</v>
      </c>
      <c r="AA7274">
        <v>0.99719009999999997</v>
      </c>
      <c r="AB7274">
        <v>37</v>
      </c>
      <c r="AC7274">
        <v>1.6033000000000099</v>
      </c>
      <c r="AD7274">
        <v>-1.120728694044</v>
      </c>
      <c r="AE7274">
        <v>26.756159999999898</v>
      </c>
      <c r="AF7274">
        <v>1.9352881533025801</v>
      </c>
      <c r="AG7274">
        <v>-1.120728694044</v>
      </c>
      <c r="AH7274">
        <v>26.6872972618396</v>
      </c>
      <c r="AI7274">
        <v>92.398423256988295</v>
      </c>
      <c r="AJ7274">
        <v>85.852330669215704</v>
      </c>
      <c r="AK7274">
        <v>26.780836584837299</v>
      </c>
      <c r="AL7274">
        <v>93.023944590519093</v>
      </c>
      <c r="AM7274">
        <v>89.279938741907102</v>
      </c>
      <c r="AN7274">
        <v>0.99999998352033204</v>
      </c>
    </row>
    <row r="7275" spans="1:40" x14ac:dyDescent="0.25">
      <c r="A7275" t="str">
        <f>"20190303154705286"</f>
        <v>20190303154705286</v>
      </c>
      <c r="B7275" t="str">
        <f>"1551599225278835"</f>
        <v>1551599225278835</v>
      </c>
      <c r="C7275" t="s">
        <v>40</v>
      </c>
      <c r="D7275">
        <v>5.1054019999999998</v>
      </c>
      <c r="E7275">
        <v>0.52146949999999903</v>
      </c>
      <c r="F7275" t="s">
        <v>41</v>
      </c>
      <c r="G7275">
        <v>-186.72329999999999</v>
      </c>
      <c r="H7275" s="1">
        <v>-4.326914E-6</v>
      </c>
      <c r="I7275">
        <v>88.364069999999998</v>
      </c>
      <c r="J7275">
        <v>-188.23740000000001</v>
      </c>
      <c r="K7275">
        <v>1.12086</v>
      </c>
      <c r="L7275">
        <v>62.799190000000003</v>
      </c>
      <c r="M7275">
        <v>-1.2221660000000001E-2</v>
      </c>
      <c r="N7275">
        <v>-1.5762459999999999E-2</v>
      </c>
      <c r="O7275">
        <v>0.99980100000000005</v>
      </c>
      <c r="P7275" s="1">
        <v>7.9298669999999896E-5</v>
      </c>
      <c r="Q7275">
        <v>-6.7901630000000004E-2</v>
      </c>
      <c r="R7275">
        <v>0.99769200000000002</v>
      </c>
      <c r="S7275">
        <v>0.1744995</v>
      </c>
      <c r="T7275">
        <v>-0.12953689999999901</v>
      </c>
      <c r="U7275">
        <v>2.9981080000000002</v>
      </c>
      <c r="V7275">
        <v>1.2234439999999999E-2</v>
      </c>
      <c r="W7275">
        <v>-5.2177649999999999E-2</v>
      </c>
      <c r="X7275">
        <v>0.99856290000000003</v>
      </c>
      <c r="Y7275">
        <v>7.0248790000000005E-2</v>
      </c>
      <c r="Z7275">
        <v>-2.7312659999999999E-2</v>
      </c>
      <c r="AA7275">
        <v>0.99715549999999997</v>
      </c>
      <c r="AB7275">
        <v>36</v>
      </c>
      <c r="AC7275">
        <v>1.51410000000001</v>
      </c>
      <c r="AD7275">
        <v>-1.120864326914</v>
      </c>
      <c r="AE7275">
        <v>25.564879999999899</v>
      </c>
      <c r="AF7275">
        <v>1.8229789594716601</v>
      </c>
      <c r="AG7275">
        <v>-1.120864326914</v>
      </c>
      <c r="AH7275">
        <v>25.495624402315201</v>
      </c>
      <c r="AI7275">
        <v>92.510871890306504</v>
      </c>
      <c r="AJ7275">
        <v>85.910217968069702</v>
      </c>
      <c r="AK7275">
        <v>25.5852780479313</v>
      </c>
      <c r="AL7275">
        <v>92.990917229801994</v>
      </c>
      <c r="AM7275">
        <v>89.298044515322502</v>
      </c>
      <c r="AN7275">
        <v>1.0000000269690199</v>
      </c>
    </row>
    <row r="7276" spans="1:40" x14ac:dyDescent="0.25">
      <c r="A7276" t="str">
        <f>"20190303154705309"</f>
        <v>20190303154705309</v>
      </c>
      <c r="B7276" t="str">
        <f>"1551599225299329"</f>
        <v>1551599225299329</v>
      </c>
      <c r="C7276" t="s">
        <v>40</v>
      </c>
      <c r="D7276">
        <v>5.025042</v>
      </c>
      <c r="E7276">
        <v>0.52186999999999995</v>
      </c>
      <c r="F7276" t="s">
        <v>41</v>
      </c>
      <c r="G7276">
        <v>-186.82900000000001</v>
      </c>
      <c r="H7276" s="1">
        <v>-3.8846510000000004E-6</v>
      </c>
      <c r="I7276">
        <v>87.376819999999995</v>
      </c>
      <c r="J7276">
        <v>-188.2415</v>
      </c>
      <c r="K7276">
        <v>1.120989</v>
      </c>
      <c r="L7276">
        <v>63.15625</v>
      </c>
      <c r="M7276">
        <v>-1.191615E-2</v>
      </c>
      <c r="N7276">
        <v>-1.6377639999999999E-2</v>
      </c>
      <c r="O7276">
        <v>0.99979479999999998</v>
      </c>
      <c r="P7276" s="1">
        <v>-2.2132780000000001E-5</v>
      </c>
      <c r="Q7276">
        <v>-6.8001519999999996E-2</v>
      </c>
      <c r="R7276">
        <v>0.99768520000000005</v>
      </c>
      <c r="S7276">
        <v>0.171783399999999</v>
      </c>
      <c r="T7276">
        <v>-0.13670660000000001</v>
      </c>
      <c r="U7276">
        <v>2.99762</v>
      </c>
      <c r="V7276">
        <v>1.1828999999999999E-2</v>
      </c>
      <c r="W7276">
        <v>-5.1662769999999997E-2</v>
      </c>
      <c r="X7276">
        <v>0.99859450000000005</v>
      </c>
      <c r="Y7276">
        <v>6.9047709999999998E-2</v>
      </c>
      <c r="Z7276">
        <v>-2.9088920000000001E-2</v>
      </c>
      <c r="AA7276">
        <v>0.9971892</v>
      </c>
      <c r="AB7276">
        <v>36</v>
      </c>
      <c r="AC7276">
        <v>1.4124999999999901</v>
      </c>
      <c r="AD7276">
        <v>-1.120992884651</v>
      </c>
      <c r="AE7276">
        <v>24.220569999999899</v>
      </c>
      <c r="AF7276">
        <v>1.6974306469029199</v>
      </c>
      <c r="AG7276">
        <v>-1.120992884651</v>
      </c>
      <c r="AH7276">
        <v>24.150459036191702</v>
      </c>
      <c r="AI7276">
        <v>92.651062311647607</v>
      </c>
      <c r="AJ7276">
        <v>85.9795408010675</v>
      </c>
      <c r="AK7276">
        <v>24.235976718656399</v>
      </c>
      <c r="AL7276">
        <v>92.9613771016285</v>
      </c>
      <c r="AM7276">
        <v>89.321326045803005</v>
      </c>
      <c r="AN7276">
        <v>0.99999997123766105</v>
      </c>
    </row>
    <row r="7277" spans="1:40" x14ac:dyDescent="0.25">
      <c r="A7277" t="str">
        <f>"20190303154705331"</f>
        <v>20190303154705331</v>
      </c>
      <c r="B7277" t="str">
        <f>"1551599225318850"</f>
        <v>1551599225318850</v>
      </c>
      <c r="C7277" t="s">
        <v>40</v>
      </c>
      <c r="D7277">
        <v>5.1395749999999998</v>
      </c>
      <c r="E7277">
        <v>0.5218602</v>
      </c>
      <c r="F7277" t="s">
        <v>41</v>
      </c>
      <c r="G7277">
        <v>-186.77459999999999</v>
      </c>
      <c r="H7277" s="1">
        <v>-4.2996180000000004E-6</v>
      </c>
      <c r="I7277">
        <v>88.321640000000002</v>
      </c>
      <c r="J7277">
        <v>-188.24549999999999</v>
      </c>
      <c r="K7277">
        <v>1.1211100000000001</v>
      </c>
      <c r="L7277">
        <v>63.517699999999998</v>
      </c>
      <c r="M7277">
        <v>-1.1610769999999999E-2</v>
      </c>
      <c r="N7277">
        <v>-1.7038060000000001E-2</v>
      </c>
      <c r="O7277">
        <v>0.99978739999999999</v>
      </c>
      <c r="P7277" s="1">
        <v>8.1194809999999998E-5</v>
      </c>
      <c r="Q7277">
        <v>-6.8255449999999995E-2</v>
      </c>
      <c r="R7277">
        <v>0.99766779999999999</v>
      </c>
      <c r="S7277">
        <v>0.1747437</v>
      </c>
      <c r="T7277">
        <v>-0.13353989999999999</v>
      </c>
      <c r="U7277">
        <v>2.9978639999999999</v>
      </c>
      <c r="V7277">
        <v>1.1627719999999999E-2</v>
      </c>
      <c r="W7277">
        <v>-5.1257209999999997E-2</v>
      </c>
      <c r="X7277">
        <v>0.9986178</v>
      </c>
      <c r="Y7277">
        <v>6.9721149999999996E-2</v>
      </c>
      <c r="Z7277">
        <v>-2.737123E-2</v>
      </c>
      <c r="AA7277">
        <v>0.99719100000000005</v>
      </c>
      <c r="AB7277">
        <v>36</v>
      </c>
      <c r="AC7277">
        <v>1.4709000000000001</v>
      </c>
      <c r="AD7277">
        <v>-1.1211142996179999</v>
      </c>
      <c r="AE7277">
        <v>24.803940000000001</v>
      </c>
      <c r="AF7277">
        <v>1.7552621295617601</v>
      </c>
      <c r="AG7277">
        <v>-1.1211142996179999</v>
      </c>
      <c r="AH7277">
        <v>24.734831760359501</v>
      </c>
      <c r="AI7277">
        <v>92.5886727553996</v>
      </c>
      <c r="AJ7277">
        <v>85.940914140531007</v>
      </c>
      <c r="AK7277">
        <v>24.822363800201799</v>
      </c>
      <c r="AL7277">
        <v>92.938109288075907</v>
      </c>
      <c r="AM7277">
        <v>89.332888743328297</v>
      </c>
      <c r="AN7277">
        <v>1.0000000079631099</v>
      </c>
    </row>
    <row r="7278" spans="1:40" x14ac:dyDescent="0.25">
      <c r="A7278" t="str">
        <f>"20190303154705353"</f>
        <v>20190303154705353</v>
      </c>
      <c r="B7278" t="str">
        <f>"1551599225349615"</f>
        <v>1551599225349615</v>
      </c>
      <c r="C7278" t="s">
        <v>40</v>
      </c>
      <c r="D7278">
        <v>5.2721819999999999</v>
      </c>
      <c r="E7278">
        <v>0.52221579999999901</v>
      </c>
      <c r="F7278" t="s">
        <v>41</v>
      </c>
      <c r="G7278">
        <v>-186.804</v>
      </c>
      <c r="H7278" s="1">
        <v>-4.2503730000000003E-6</v>
      </c>
      <c r="I7278">
        <v>88.218980000000002</v>
      </c>
      <c r="J7278">
        <v>-188.2492</v>
      </c>
      <c r="K7278">
        <v>1.121208</v>
      </c>
      <c r="L7278">
        <v>63.865659999999998</v>
      </c>
      <c r="M7278">
        <v>-1.132419E-2</v>
      </c>
      <c r="N7278">
        <v>-1.769546E-2</v>
      </c>
      <c r="O7278">
        <v>0.99977930000000004</v>
      </c>
      <c r="P7278">
        <v>1.9181769999999999E-4</v>
      </c>
      <c r="Q7278">
        <v>-6.9283659999999997E-2</v>
      </c>
      <c r="R7278">
        <v>0.99759699999999996</v>
      </c>
      <c r="S7278">
        <v>0.17494199999999999</v>
      </c>
      <c r="T7278">
        <v>-0.13605539999999999</v>
      </c>
      <c r="U7278">
        <v>2.997681</v>
      </c>
      <c r="V7278">
        <v>1.1451070000000001E-2</v>
      </c>
      <c r="W7278">
        <v>-5.1629840000000003E-2</v>
      </c>
      <c r="X7278">
        <v>0.99860070000000001</v>
      </c>
      <c r="Y7278">
        <v>6.9502120000000001E-2</v>
      </c>
      <c r="Z7278">
        <v>-2.755239E-2</v>
      </c>
      <c r="AA7278">
        <v>0.99720129999999996</v>
      </c>
      <c r="AB7278">
        <v>36</v>
      </c>
      <c r="AC7278">
        <v>1.44519999999999</v>
      </c>
      <c r="AD7278">
        <v>-1.121212250373</v>
      </c>
      <c r="AE7278">
        <v>24.35332</v>
      </c>
      <c r="AF7278">
        <v>1.71730484136791</v>
      </c>
      <c r="AG7278">
        <v>-1.121212250373</v>
      </c>
      <c r="AH7278">
        <v>24.284097095651202</v>
      </c>
      <c r="AI7278">
        <v>92.636929338421496</v>
      </c>
      <c r="AJ7278">
        <v>85.954933449036801</v>
      </c>
      <c r="AK7278">
        <v>24.370548302809802</v>
      </c>
      <c r="AL7278">
        <v>92.959487559249993</v>
      </c>
      <c r="AM7278">
        <v>89.343011449556698</v>
      </c>
      <c r="AN7278">
        <v>1.00000006271152</v>
      </c>
    </row>
    <row r="7279" spans="1:40" x14ac:dyDescent="0.25">
      <c r="A7279" t="str">
        <f>"20190303154705374"</f>
        <v>20190303154705374</v>
      </c>
      <c r="B7279" t="str">
        <f>"1551599225369134"</f>
        <v>1551599225369134</v>
      </c>
      <c r="C7279" t="s">
        <v>40</v>
      </c>
      <c r="D7279">
        <v>5.0613020000000004</v>
      </c>
      <c r="E7279">
        <v>0.52244829999999998</v>
      </c>
      <c r="F7279" t="s">
        <v>41</v>
      </c>
      <c r="G7279">
        <v>-186.80170000000001</v>
      </c>
      <c r="H7279" s="1">
        <v>-4.2529200000000001E-6</v>
      </c>
      <c r="I7279">
        <v>88.223999999999904</v>
      </c>
      <c r="J7279">
        <v>-188.25290000000001</v>
      </c>
      <c r="K7279">
        <v>1.1212959999999901</v>
      </c>
      <c r="L7279">
        <v>64.214869999999905</v>
      </c>
      <c r="M7279">
        <v>-1.1040049999999999E-2</v>
      </c>
      <c r="N7279">
        <v>-1.835993E-2</v>
      </c>
      <c r="O7279">
        <v>0.99977050000000001</v>
      </c>
      <c r="P7279">
        <v>7.0325679999999895E-4</v>
      </c>
      <c r="Q7279">
        <v>-7.0599120000000001E-2</v>
      </c>
      <c r="R7279">
        <v>0.99750450000000002</v>
      </c>
      <c r="S7279">
        <v>0.17813109999999999</v>
      </c>
      <c r="T7279">
        <v>-0.13798009999999999</v>
      </c>
      <c r="U7279">
        <v>2.99762</v>
      </c>
      <c r="V7279">
        <v>1.1677389999999999E-2</v>
      </c>
      <c r="W7279">
        <v>-5.2283349999999999E-2</v>
      </c>
      <c r="X7279">
        <v>0.99856400000000001</v>
      </c>
      <c r="Y7279">
        <v>7.0274439999999994E-2</v>
      </c>
      <c r="Z7279">
        <v>-2.7525500000000001E-2</v>
      </c>
      <c r="AA7279">
        <v>0.99714789999999998</v>
      </c>
      <c r="AB7279">
        <v>36</v>
      </c>
      <c r="AC7279">
        <v>1.4512</v>
      </c>
      <c r="AD7279">
        <v>-1.12130025291999</v>
      </c>
      <c r="AE7279">
        <v>24.009129999999999</v>
      </c>
      <c r="AF7279">
        <v>1.7124965459127</v>
      </c>
      <c r="AG7279">
        <v>-1.12130025291999</v>
      </c>
      <c r="AH7279">
        <v>23.939615817763201</v>
      </c>
      <c r="AI7279">
        <v>92.674874209108296</v>
      </c>
      <c r="AJ7279">
        <v>85.908373153968299</v>
      </c>
      <c r="AK7279">
        <v>24.026967436176001</v>
      </c>
      <c r="AL7279">
        <v>92.996981793724004</v>
      </c>
      <c r="AM7279">
        <v>89.330003218484094</v>
      </c>
      <c r="AN7279">
        <v>0.99999998611021701</v>
      </c>
    </row>
    <row r="7280" spans="1:40" x14ac:dyDescent="0.25">
      <c r="A7280" t="str">
        <f>"20190303154705399"</f>
        <v>20190303154705399</v>
      </c>
      <c r="B7280" t="str">
        <f>"1551599225389630"</f>
        <v>1551599225389630</v>
      </c>
      <c r="C7280" t="s">
        <v>40</v>
      </c>
      <c r="D7280">
        <v>5.0672600000000001</v>
      </c>
      <c r="E7280">
        <v>0.52227279999999998</v>
      </c>
      <c r="F7280" t="s">
        <v>41</v>
      </c>
      <c r="G7280">
        <v>-186.79849999999999</v>
      </c>
      <c r="H7280" s="1">
        <v>-4.2516299999999996E-6</v>
      </c>
      <c r="I7280">
        <v>88.219639999999998</v>
      </c>
      <c r="J7280">
        <v>-188.25659999999999</v>
      </c>
      <c r="K7280">
        <v>1.1213799999999901</v>
      </c>
      <c r="L7280">
        <v>64.58578</v>
      </c>
      <c r="M7280">
        <v>-1.073605E-2</v>
      </c>
      <c r="N7280">
        <v>-1.905016E-2</v>
      </c>
      <c r="O7280">
        <v>0.99976089999999995</v>
      </c>
      <c r="P7280">
        <v>1.1504379999999999E-3</v>
      </c>
      <c r="Q7280">
        <v>-7.2214730000000005E-2</v>
      </c>
      <c r="R7280">
        <v>0.99738839999999995</v>
      </c>
      <c r="S7280">
        <v>0.1816101</v>
      </c>
      <c r="T7280">
        <v>-0.14001629999999901</v>
      </c>
      <c r="U7280">
        <v>2.9974669999999999</v>
      </c>
      <c r="V7280">
        <v>1.1819639999999999E-2</v>
      </c>
      <c r="W7280">
        <v>-5.3211609999999999E-2</v>
      </c>
      <c r="X7280">
        <v>0.99851330000000005</v>
      </c>
      <c r="Y7280">
        <v>7.1124439999999997E-2</v>
      </c>
      <c r="Z7280">
        <v>-2.7510880000000001E-2</v>
      </c>
      <c r="AA7280">
        <v>0.99708799999999997</v>
      </c>
      <c r="AB7280">
        <v>35</v>
      </c>
      <c r="AC7280">
        <v>1.4581</v>
      </c>
      <c r="AD7280">
        <v>-1.1213842516300001</v>
      </c>
      <c r="AE7280">
        <v>23.633859999999999</v>
      </c>
      <c r="AF7280">
        <v>1.7079656698960799</v>
      </c>
      <c r="AG7280">
        <v>-1.1213842516300001</v>
      </c>
      <c r="AH7280">
        <v>23.563991126994999</v>
      </c>
      <c r="AI7280">
        <v>92.717468939175205</v>
      </c>
      <c r="AJ7280">
        <v>85.854335982036602</v>
      </c>
      <c r="AK7280">
        <v>23.652406372342899</v>
      </c>
      <c r="AL7280">
        <v>93.050241293656399</v>
      </c>
      <c r="AM7280">
        <v>89.321807872266902</v>
      </c>
      <c r="AN7280">
        <v>0.99999999480270596</v>
      </c>
    </row>
    <row r="7281" spans="1:40" x14ac:dyDescent="0.25">
      <c r="A7281" t="str">
        <f>"20190303154705443"</f>
        <v>20190303154705443</v>
      </c>
      <c r="B7281" t="str">
        <f>"1551599225439406"</f>
        <v>1551599225439406</v>
      </c>
      <c r="C7281" t="s">
        <v>40</v>
      </c>
      <c r="D7281">
        <v>5.2529190000000003</v>
      </c>
      <c r="E7281">
        <v>0.52239539999999995</v>
      </c>
      <c r="F7281" t="s">
        <v>41</v>
      </c>
      <c r="G7281">
        <v>-186.8732</v>
      </c>
      <c r="H7281" s="1">
        <v>-3.8963920000000003E-6</v>
      </c>
      <c r="I7281">
        <v>87.422479999999993</v>
      </c>
      <c r="J7281">
        <v>-188.26310000000001</v>
      </c>
      <c r="K7281">
        <v>1.1214959999999901</v>
      </c>
      <c r="L7281">
        <v>65.267330000000001</v>
      </c>
      <c r="M7281">
        <v>-1.0165179999999999E-2</v>
      </c>
      <c r="N7281">
        <v>-2.0204610000000001E-2</v>
      </c>
      <c r="O7281">
        <v>0.99974419999999997</v>
      </c>
      <c r="P7281">
        <v>3.4458319999999998E-3</v>
      </c>
      <c r="Q7281">
        <v>-7.2750980000000007E-2</v>
      </c>
      <c r="R7281">
        <v>0.99734420000000001</v>
      </c>
      <c r="S7281">
        <v>0.18154909999999999</v>
      </c>
      <c r="T7281">
        <v>-0.14716509999999999</v>
      </c>
      <c r="U7281">
        <v>2.9969790000000001</v>
      </c>
      <c r="V7281">
        <v>1.354674E-2</v>
      </c>
      <c r="W7281">
        <v>-5.2597049999999999E-2</v>
      </c>
      <c r="X7281">
        <v>0.99852399999999997</v>
      </c>
      <c r="Y7281">
        <v>7.0537749999999996E-2</v>
      </c>
      <c r="Z7281">
        <v>-2.8739210000000001E-2</v>
      </c>
      <c r="AA7281">
        <v>0.99709499999999995</v>
      </c>
      <c r="AB7281">
        <v>35</v>
      </c>
      <c r="AC7281">
        <v>1.3899000000000099</v>
      </c>
      <c r="AD7281">
        <v>-1.12149989639199</v>
      </c>
      <c r="AE7281">
        <v>22.155149999999999</v>
      </c>
      <c r="AF7281">
        <v>1.6109734305560099</v>
      </c>
      <c r="AG7281">
        <v>-1.12149989639199</v>
      </c>
      <c r="AH7281">
        <v>22.0835081507688</v>
      </c>
      <c r="AI7281">
        <v>92.899548198419097</v>
      </c>
      <c r="AJ7281">
        <v>85.827711437139598</v>
      </c>
      <c r="AK7281">
        <v>22.170573507616801</v>
      </c>
      <c r="AL7281">
        <v>93.014979987965603</v>
      </c>
      <c r="AM7281">
        <v>89.222729335008793</v>
      </c>
      <c r="AN7281">
        <v>1.0000000712046599</v>
      </c>
    </row>
    <row r="7282" spans="1:40" x14ac:dyDescent="0.25">
      <c r="A7282" t="str">
        <f>"20190303154705466"</f>
        <v>20190303154705466</v>
      </c>
      <c r="B7282" t="str">
        <f>"1551599225458927"</f>
        <v>1551599225458927</v>
      </c>
      <c r="C7282" t="s">
        <v>40</v>
      </c>
      <c r="D7282">
        <v>5.3747420000000004</v>
      </c>
      <c r="E7282">
        <v>0.52303529999999998</v>
      </c>
      <c r="F7282" t="s">
        <v>41</v>
      </c>
      <c r="G7282">
        <v>-186.82509999999999</v>
      </c>
      <c r="H7282" s="1">
        <v>-4.1614529999999996E-6</v>
      </c>
      <c r="I7282">
        <v>88.020430000000005</v>
      </c>
      <c r="J7282">
        <v>-188.26650000000001</v>
      </c>
      <c r="K7282">
        <v>1.121542</v>
      </c>
      <c r="L7282">
        <v>65.631839999999997</v>
      </c>
      <c r="M7282">
        <v>-9.8584020000000005E-3</v>
      </c>
      <c r="N7282">
        <v>-2.0738240000000002E-2</v>
      </c>
      <c r="O7282">
        <v>0.99973630000000002</v>
      </c>
      <c r="P7282">
        <v>4.4197759999999899E-3</v>
      </c>
      <c r="Q7282">
        <v>-7.2007089999999996E-2</v>
      </c>
      <c r="R7282">
        <v>0.99739429999999996</v>
      </c>
      <c r="S7282">
        <v>0.18939210000000001</v>
      </c>
      <c r="T7282">
        <v>-0.1477001</v>
      </c>
      <c r="U7282">
        <v>2.9965519999999999</v>
      </c>
      <c r="V7282">
        <v>1.4216690000000001E-2</v>
      </c>
      <c r="W7282">
        <v>-5.1319759999999999E-2</v>
      </c>
      <c r="X7282">
        <v>0.9985811</v>
      </c>
      <c r="Y7282">
        <v>7.2837109999999997E-2</v>
      </c>
      <c r="Z7282">
        <v>-2.8382250000000001E-2</v>
      </c>
      <c r="AA7282">
        <v>0.99693989999999999</v>
      </c>
      <c r="AB7282">
        <v>35</v>
      </c>
      <c r="AC7282">
        <v>1.44140000000001</v>
      </c>
      <c r="AD7282">
        <v>-1.121546161453</v>
      </c>
      <c r="AE7282">
        <v>22.388590000000001</v>
      </c>
      <c r="AF7282">
        <v>1.6579497402846199</v>
      </c>
      <c r="AG7282">
        <v>-1.121546161453</v>
      </c>
      <c r="AH7282">
        <v>22.317514792431901</v>
      </c>
      <c r="AI7282">
        <v>92.869033646994396</v>
      </c>
      <c r="AJ7282">
        <v>85.751348329960095</v>
      </c>
      <c r="AK7282">
        <v>22.407099982907098</v>
      </c>
      <c r="AL7282">
        <v>92.9416978187827</v>
      </c>
      <c r="AM7282">
        <v>89.184341353494005</v>
      </c>
      <c r="AN7282">
        <v>1.0000000226591099</v>
      </c>
    </row>
    <row r="7283" spans="1:40" x14ac:dyDescent="0.25">
      <c r="A7283" t="str">
        <f>"20190303154705489"</f>
        <v>20190303154705489</v>
      </c>
      <c r="B7283" t="str">
        <f>"1551599225479423"</f>
        <v>1551599225479423</v>
      </c>
      <c r="C7283" t="s">
        <v>40</v>
      </c>
      <c r="D7283">
        <v>5.1512849999999997</v>
      </c>
      <c r="E7283">
        <v>0.52342860000000002</v>
      </c>
      <c r="F7283" t="s">
        <v>41</v>
      </c>
      <c r="G7283">
        <v>-186.76150000000001</v>
      </c>
      <c r="H7283" s="1">
        <v>-4.3712569999999998E-6</v>
      </c>
      <c r="I7283">
        <v>88.483199999999997</v>
      </c>
      <c r="J7283">
        <v>-188.26949999999999</v>
      </c>
      <c r="K7283">
        <v>1.1215740000000001</v>
      </c>
      <c r="L7283">
        <v>65.975949999999997</v>
      </c>
      <c r="M7283">
        <v>-9.5693150000000001E-3</v>
      </c>
      <c r="N7283">
        <v>-2.1188519999999999E-2</v>
      </c>
      <c r="O7283">
        <v>0.99972969999999906</v>
      </c>
      <c r="P7283">
        <v>4.9103439999999996E-3</v>
      </c>
      <c r="Q7283">
        <v>-7.176428E-2</v>
      </c>
      <c r="R7283">
        <v>0.99740949999999995</v>
      </c>
      <c r="S7283">
        <v>0.19734189999999999</v>
      </c>
      <c r="T7283">
        <v>-0.14706040000000001</v>
      </c>
      <c r="U7283">
        <v>2.9963380000000002</v>
      </c>
      <c r="V7283">
        <v>1.442009E-2</v>
      </c>
      <c r="W7283">
        <v>-5.0626959999999999E-2</v>
      </c>
      <c r="X7283">
        <v>0.99861350000000004</v>
      </c>
      <c r="Y7283">
        <v>7.5185310000000005E-2</v>
      </c>
      <c r="Z7283">
        <v>-2.7714720000000002E-2</v>
      </c>
      <c r="AA7283">
        <v>0.99678440000000001</v>
      </c>
      <c r="AB7283">
        <v>34</v>
      </c>
      <c r="AC7283">
        <v>1.50799999999998</v>
      </c>
      <c r="AD7283">
        <v>-1.121578371257</v>
      </c>
      <c r="AE7283">
        <v>22.507249999999999</v>
      </c>
      <c r="AF7283">
        <v>1.7191084128555301</v>
      </c>
      <c r="AG7283">
        <v>-1.121578371257</v>
      </c>
      <c r="AH7283">
        <v>22.436320005707401</v>
      </c>
      <c r="AI7283">
        <v>92.853449913157306</v>
      </c>
      <c r="AJ7283">
        <v>85.618462532925804</v>
      </c>
      <c r="AK7283">
        <v>22.5300183572168</v>
      </c>
      <c r="AL7283">
        <v>92.901951771082906</v>
      </c>
      <c r="AM7283">
        <v>89.172700070511098</v>
      </c>
      <c r="AN7283">
        <v>0.99999997522834905</v>
      </c>
    </row>
    <row r="7284" spans="1:40" x14ac:dyDescent="0.25">
      <c r="A7284" t="str">
        <f>"20190303154705509"</f>
        <v>20190303154705509</v>
      </c>
      <c r="B7284" t="str">
        <f>"1551599225498943"</f>
        <v>1551599225498943</v>
      </c>
      <c r="C7284" t="s">
        <v>40</v>
      </c>
      <c r="D7284">
        <v>5.370495</v>
      </c>
      <c r="E7284">
        <v>0.52403129999999998</v>
      </c>
      <c r="F7284" t="s">
        <v>41</v>
      </c>
      <c r="G7284">
        <v>-186.6909</v>
      </c>
      <c r="H7284" s="1">
        <v>-4.7744359999999997E-6</v>
      </c>
      <c r="I7284">
        <v>89.393839999999997</v>
      </c>
      <c r="J7284">
        <v>-188.2722</v>
      </c>
      <c r="K7284">
        <v>1.121597</v>
      </c>
      <c r="L7284">
        <v>66.282809999999998</v>
      </c>
      <c r="M7284">
        <v>-9.3111429999999992E-3</v>
      </c>
      <c r="N7284">
        <v>-2.1534620000000001E-2</v>
      </c>
      <c r="O7284">
        <v>0.99972470000000002</v>
      </c>
      <c r="P7284">
        <v>4.6215149999999997E-3</v>
      </c>
      <c r="Q7284">
        <v>-7.1086620000000003E-2</v>
      </c>
      <c r="R7284">
        <v>0.9974594</v>
      </c>
      <c r="S7284">
        <v>0.2019958</v>
      </c>
      <c r="T7284">
        <v>-0.14351269999999999</v>
      </c>
      <c r="U7284">
        <v>2.9964599999999999</v>
      </c>
      <c r="V7284">
        <v>1.3875449999999999E-2</v>
      </c>
      <c r="W7284">
        <v>-4.9602019999999997E-2</v>
      </c>
      <c r="X7284">
        <v>0.99867269999999997</v>
      </c>
      <c r="Y7284">
        <v>7.6468040000000001E-2</v>
      </c>
      <c r="Z7284">
        <v>-2.6184260000000001E-2</v>
      </c>
      <c r="AA7284">
        <v>0.99672819999999995</v>
      </c>
      <c r="AB7284">
        <v>34</v>
      </c>
      <c r="AC7284">
        <v>1.5812999999999899</v>
      </c>
      <c r="AD7284">
        <v>-1.1216017744360001</v>
      </c>
      <c r="AE7284">
        <v>23.11103</v>
      </c>
      <c r="AF7284">
        <v>1.79226985674323</v>
      </c>
      <c r="AG7284">
        <v>-1.1216017744360001</v>
      </c>
      <c r="AH7284">
        <v>23.0412852228609</v>
      </c>
      <c r="AI7284">
        <v>92.778459735887495</v>
      </c>
      <c r="AJ7284">
        <v>85.552195219916499</v>
      </c>
      <c r="AK7284">
        <v>23.1380864917788</v>
      </c>
      <c r="AL7284">
        <v>92.843153007155195</v>
      </c>
      <c r="AM7284">
        <v>89.203989881962698</v>
      </c>
      <c r="AN7284">
        <v>1.0000000251130301</v>
      </c>
    </row>
    <row r="7285" spans="1:40" x14ac:dyDescent="0.25">
      <c r="A7285" t="str">
        <f>"20190303154705535"</f>
        <v>20190303154705535</v>
      </c>
      <c r="B7285" t="str">
        <f>"1551599225529198"</f>
        <v>1551599225529198</v>
      </c>
      <c r="C7285" t="s">
        <v>40</v>
      </c>
      <c r="D7285">
        <v>5.2729609999999996</v>
      </c>
      <c r="E7285">
        <v>0.52462900000000001</v>
      </c>
      <c r="F7285" t="s">
        <v>41</v>
      </c>
      <c r="G7285">
        <v>-186.6498</v>
      </c>
      <c r="H7285" s="1">
        <v>-9.7520469999999989E-7</v>
      </c>
      <c r="I7285">
        <v>89.894289999999998</v>
      </c>
      <c r="J7285">
        <v>-188.27539999999999</v>
      </c>
      <c r="K7285">
        <v>1.121607</v>
      </c>
      <c r="L7285">
        <v>66.670559999999995</v>
      </c>
      <c r="M7285">
        <v>-8.9828859999999903E-3</v>
      </c>
      <c r="N7285">
        <v>-2.1848969999999999E-2</v>
      </c>
      <c r="O7285">
        <v>0.99972090000000002</v>
      </c>
      <c r="P7285">
        <v>4.9834440000000001E-3</v>
      </c>
      <c r="Q7285">
        <v>-7.0863809999999999E-2</v>
      </c>
      <c r="R7285">
        <v>0.99747350000000001</v>
      </c>
      <c r="S7285">
        <v>0.2059021</v>
      </c>
      <c r="T7285">
        <v>-0.14234279999999999</v>
      </c>
      <c r="U7285">
        <v>2.9965519999999999</v>
      </c>
      <c r="V7285">
        <v>1.391099E-2</v>
      </c>
      <c r="W7285">
        <v>-4.9064799999999999E-2</v>
      </c>
      <c r="X7285">
        <v>0.99869870000000005</v>
      </c>
      <c r="Y7285">
        <v>7.7431719999999996E-2</v>
      </c>
      <c r="Z7285">
        <v>-2.5476499999999999E-2</v>
      </c>
      <c r="AA7285">
        <v>0.99667209999999995</v>
      </c>
      <c r="AB7285">
        <v>34</v>
      </c>
      <c r="AC7285">
        <v>1.6255999999999899</v>
      </c>
      <c r="AD7285">
        <v>-1.1216079752046999</v>
      </c>
      <c r="AE7285">
        <v>23.22373</v>
      </c>
      <c r="AF7285">
        <v>1.8299527974210801</v>
      </c>
      <c r="AG7285">
        <v>-1.1216079752046999</v>
      </c>
      <c r="AH7285">
        <v>23.1544424937576</v>
      </c>
      <c r="AI7285">
        <v>92.764649277169696</v>
      </c>
      <c r="AJ7285">
        <v>85.481165776635507</v>
      </c>
      <c r="AK7285">
        <v>23.253708067479501</v>
      </c>
      <c r="AL7285">
        <v>92.812335165762406</v>
      </c>
      <c r="AM7285">
        <v>89.2019720517537</v>
      </c>
      <c r="AN7285">
        <v>0.99999998181175498</v>
      </c>
    </row>
    <row r="7286" spans="1:40" x14ac:dyDescent="0.25">
      <c r="A7286" t="str">
        <f>"20190303154705557"</f>
        <v>20190303154705557</v>
      </c>
      <c r="B7286" t="str">
        <f>"1551599225548719"</f>
        <v>1551599225548719</v>
      </c>
      <c r="C7286" t="s">
        <v>40</v>
      </c>
      <c r="D7286">
        <v>5.3707890000000003</v>
      </c>
      <c r="E7286">
        <v>0.52514039999999995</v>
      </c>
      <c r="F7286" t="s">
        <v>41</v>
      </c>
      <c r="G7286">
        <v>-186.5772</v>
      </c>
      <c r="H7286" s="1">
        <v>-1.2633189999999999E-6</v>
      </c>
      <c r="I7286">
        <v>90.684200000000004</v>
      </c>
      <c r="J7286">
        <v>-188.2782</v>
      </c>
      <c r="K7286">
        <v>1.121586</v>
      </c>
      <c r="L7286">
        <v>67.01361</v>
      </c>
      <c r="M7286">
        <v>-8.6906880000000002E-3</v>
      </c>
      <c r="N7286">
        <v>-2.1997840000000001E-2</v>
      </c>
      <c r="O7286">
        <v>0.99972019999999995</v>
      </c>
      <c r="P7286">
        <v>4.7885970000000003E-3</v>
      </c>
      <c r="Q7286">
        <v>-7.132811E-2</v>
      </c>
      <c r="R7286">
        <v>0.99744140000000003</v>
      </c>
      <c r="S7286">
        <v>0.21191409999999999</v>
      </c>
      <c r="T7286">
        <v>-0.13996169999999999</v>
      </c>
      <c r="U7286">
        <v>2.9965820000000001</v>
      </c>
      <c r="V7286">
        <v>1.342462E-2</v>
      </c>
      <c r="W7286">
        <v>-4.9380399999999998E-2</v>
      </c>
      <c r="X7286">
        <v>0.99868979999999996</v>
      </c>
      <c r="Y7286">
        <v>7.9129999999999895E-2</v>
      </c>
      <c r="Z7286">
        <v>-2.453056E-2</v>
      </c>
      <c r="AA7286">
        <v>0.99656239999999996</v>
      </c>
      <c r="AB7286">
        <v>34</v>
      </c>
      <c r="AC7286">
        <v>1.7009999999999901</v>
      </c>
      <c r="AD7286">
        <v>-1.121587263319</v>
      </c>
      <c r="AE7286">
        <v>23.670590000000001</v>
      </c>
      <c r="AF7286">
        <v>1.90244987661474</v>
      </c>
      <c r="AG7286">
        <v>-1.121587263319</v>
      </c>
      <c r="AH7286">
        <v>23.6021906787531</v>
      </c>
      <c r="AI7286">
        <v>92.711893521896599</v>
      </c>
      <c r="AJ7286">
        <v>85.391648235716204</v>
      </c>
      <c r="AK7286">
        <v>23.7052879830322</v>
      </c>
      <c r="AL7286">
        <v>92.830439663636</v>
      </c>
      <c r="AM7286">
        <v>89.229863222482507</v>
      </c>
      <c r="AN7286">
        <v>0.99999998047517202</v>
      </c>
    </row>
    <row r="7287" spans="1:40" x14ac:dyDescent="0.25">
      <c r="A7287" t="str">
        <f>"20190303154705577"</f>
        <v>20190303154705577</v>
      </c>
      <c r="B7287" t="str">
        <f>"1551599225569215"</f>
        <v>1551599225569215</v>
      </c>
      <c r="C7287" t="s">
        <v>40</v>
      </c>
      <c r="D7287">
        <v>5.3135250000000003</v>
      </c>
      <c r="E7287">
        <v>0.52559820000000002</v>
      </c>
      <c r="F7287" t="s">
        <v>41</v>
      </c>
      <c r="G7287">
        <v>-186.5883</v>
      </c>
      <c r="H7287" s="1">
        <v>-1.204291E-6</v>
      </c>
      <c r="I7287">
        <v>90.519450000000006</v>
      </c>
      <c r="J7287">
        <v>-188.28049999999999</v>
      </c>
      <c r="K7287">
        <v>1.121551</v>
      </c>
      <c r="L7287">
        <v>67.318700000000007</v>
      </c>
      <c r="M7287">
        <v>-8.4288079999999994E-3</v>
      </c>
      <c r="N7287">
        <v>-2.202163E-2</v>
      </c>
      <c r="O7287">
        <v>0.99972190000000005</v>
      </c>
      <c r="P7287">
        <v>4.7205019999999997E-3</v>
      </c>
      <c r="Q7287">
        <v>-7.1507879999999996E-2</v>
      </c>
      <c r="R7287">
        <v>0.99742889999999995</v>
      </c>
      <c r="S7287">
        <v>0.2154083</v>
      </c>
      <c r="T7287">
        <v>-0.1429753</v>
      </c>
      <c r="U7287">
        <v>2.996429</v>
      </c>
      <c r="V7287">
        <v>1.309548E-2</v>
      </c>
      <c r="W7287">
        <v>-4.9536179999999999E-2</v>
      </c>
      <c r="X7287">
        <v>0.99868650000000003</v>
      </c>
      <c r="Y7287">
        <v>8.0025289999999999E-2</v>
      </c>
      <c r="Z7287">
        <v>-2.5506020000000001E-2</v>
      </c>
      <c r="AA7287">
        <v>0.99646650000000003</v>
      </c>
      <c r="AB7287">
        <v>34</v>
      </c>
      <c r="AC7287">
        <v>1.6921999999999799</v>
      </c>
      <c r="AD7287">
        <v>-1.121552204291</v>
      </c>
      <c r="AE7287">
        <v>23.200749999999999</v>
      </c>
      <c r="AF7287">
        <v>1.88336408164049</v>
      </c>
      <c r="AG7287">
        <v>-1.121552204291</v>
      </c>
      <c r="AH7287">
        <v>23.131888534680101</v>
      </c>
      <c r="AI7287">
        <v>92.766677829306602</v>
      </c>
      <c r="AJ7287">
        <v>85.345329660431204</v>
      </c>
      <c r="AK7287">
        <v>23.2355160646763</v>
      </c>
      <c r="AL7287">
        <v>92.839376010361207</v>
      </c>
      <c r="AM7287">
        <v>89.248740485338104</v>
      </c>
      <c r="AN7287">
        <v>1.0000000250038299</v>
      </c>
    </row>
    <row r="7288" spans="1:40" x14ac:dyDescent="0.25">
      <c r="A7288" t="str">
        <f>"20190303154705606"</f>
        <v>20190303154705606</v>
      </c>
      <c r="B7288" t="str">
        <f>"1551599225599471"</f>
        <v>1551599225599471</v>
      </c>
      <c r="C7288" t="s">
        <v>40</v>
      </c>
      <c r="D7288">
        <v>5.3682019999999904</v>
      </c>
      <c r="E7288">
        <v>0.5263118</v>
      </c>
      <c r="F7288" t="s">
        <v>41</v>
      </c>
      <c r="G7288">
        <v>-186.5873</v>
      </c>
      <c r="H7288" s="1">
        <v>-1.200523E-6</v>
      </c>
      <c r="I7288">
        <v>90.507580000000004</v>
      </c>
      <c r="J7288">
        <v>-188.2835</v>
      </c>
      <c r="K7288">
        <v>1.1214630000000001</v>
      </c>
      <c r="L7288">
        <v>67.72748</v>
      </c>
      <c r="M7288">
        <v>-8.0746710000000003E-3</v>
      </c>
      <c r="N7288">
        <v>-2.184618E-2</v>
      </c>
      <c r="O7288">
        <v>0.99972870000000003</v>
      </c>
      <c r="P7288">
        <v>4.7551E-3</v>
      </c>
      <c r="Q7288">
        <v>-7.1780990000000003E-2</v>
      </c>
      <c r="R7288">
        <v>0.99740910000000005</v>
      </c>
      <c r="S7288">
        <v>0.21878049999999999</v>
      </c>
      <c r="T7288">
        <v>-0.1449193</v>
      </c>
      <c r="U7288">
        <v>2.9963069999999998</v>
      </c>
      <c r="V7288">
        <v>1.277676E-2</v>
      </c>
      <c r="W7288">
        <v>-4.9984500000000001E-2</v>
      </c>
      <c r="X7288">
        <v>0.99866829999999995</v>
      </c>
      <c r="Y7288">
        <v>8.0788579999999999E-2</v>
      </c>
      <c r="Z7288">
        <v>-2.632555E-2</v>
      </c>
      <c r="AA7288">
        <v>0.99638349999999998</v>
      </c>
      <c r="AB7288">
        <v>34</v>
      </c>
      <c r="AC7288">
        <v>1.6961999999999999</v>
      </c>
      <c r="AD7288">
        <v>-1.12146420052299</v>
      </c>
      <c r="AE7288">
        <v>22.780100000000001</v>
      </c>
      <c r="AF7288">
        <v>1.87560975511215</v>
      </c>
      <c r="AG7288">
        <v>-1.12146420052299</v>
      </c>
      <c r="AH7288">
        <v>22.710918945739198</v>
      </c>
      <c r="AI7288">
        <v>92.817390747598907</v>
      </c>
      <c r="AJ7288">
        <v>85.278870132818099</v>
      </c>
      <c r="AK7288">
        <v>22.815815419714099</v>
      </c>
      <c r="AL7288">
        <v>92.865094686867494</v>
      </c>
      <c r="AM7288">
        <v>89.2670093898262</v>
      </c>
      <c r="AN7288">
        <v>1.0000000346306099</v>
      </c>
    </row>
    <row r="7289" spans="1:40" x14ac:dyDescent="0.25">
      <c r="A7289" t="str">
        <f>"20190303154705629"</f>
        <v>20190303154705629</v>
      </c>
      <c r="B7289" t="str">
        <f>"1551599225618991"</f>
        <v>1551599225618991</v>
      </c>
      <c r="C7289" t="s">
        <v>40</v>
      </c>
      <c r="D7289">
        <v>5.3926740000000004</v>
      </c>
      <c r="E7289">
        <v>0.52667659999999905</v>
      </c>
      <c r="F7289" t="s">
        <v>41</v>
      </c>
      <c r="G7289">
        <v>-186.5839</v>
      </c>
      <c r="H7289" s="1">
        <v>-1.166024E-6</v>
      </c>
      <c r="I7289">
        <v>90.403530000000003</v>
      </c>
      <c r="J7289">
        <v>-188.2861</v>
      </c>
      <c r="K7289">
        <v>1.1213580000000001</v>
      </c>
      <c r="L7289">
        <v>68.085239999999999</v>
      </c>
      <c r="M7289">
        <v>-7.7651580000000003E-3</v>
      </c>
      <c r="N7289">
        <v>-2.14793E-2</v>
      </c>
      <c r="O7289">
        <v>0.99973909999999999</v>
      </c>
      <c r="P7289">
        <v>4.9071260000000004E-3</v>
      </c>
      <c r="Q7289">
        <v>-7.2252979999999994E-2</v>
      </c>
      <c r="R7289">
        <v>0.99737430000000005</v>
      </c>
      <c r="S7289">
        <v>0.2245636</v>
      </c>
      <c r="T7289">
        <v>-0.148173</v>
      </c>
      <c r="U7289">
        <v>2.9960629999999999</v>
      </c>
      <c r="V7289">
        <v>1.261929E-2</v>
      </c>
      <c r="W7289">
        <v>-5.082337E-2</v>
      </c>
      <c r="X7289">
        <v>0.99862790000000001</v>
      </c>
      <c r="Y7289">
        <v>8.2394789999999996E-2</v>
      </c>
      <c r="Z7289">
        <v>-2.7769680000000001E-2</v>
      </c>
      <c r="AA7289">
        <v>0.99621280000000001</v>
      </c>
      <c r="AB7289">
        <v>33</v>
      </c>
      <c r="AC7289">
        <v>1.7021999999999999</v>
      </c>
      <c r="AD7289">
        <v>-1.1213591660240001</v>
      </c>
      <c r="AE7289">
        <v>22.318290000000001</v>
      </c>
      <c r="AF7289">
        <v>1.87079826981871</v>
      </c>
      <c r="AG7289">
        <v>-1.1213591660240001</v>
      </c>
      <c r="AH7289">
        <v>22.2485552537449</v>
      </c>
      <c r="AI7289">
        <v>92.875218479071805</v>
      </c>
      <c r="AJ7289">
        <v>85.193517783189705</v>
      </c>
      <c r="AK7289">
        <v>22.3552128915053</v>
      </c>
      <c r="AL7289">
        <v>92.913219750555399</v>
      </c>
      <c r="AM7289">
        <v>89.276013041999605</v>
      </c>
      <c r="AN7289">
        <v>0.99999997203833502</v>
      </c>
    </row>
    <row r="7290" spans="1:40" x14ac:dyDescent="0.25">
      <c r="A7290" t="str">
        <f>"20190303154705666"</f>
        <v>20190303154705666</v>
      </c>
      <c r="B7290" t="str">
        <f>"1551599225659007"</f>
        <v>1551599225659007</v>
      </c>
      <c r="C7290" t="s">
        <v>40</v>
      </c>
      <c r="D7290">
        <v>5.4123479999999997</v>
      </c>
      <c r="E7290">
        <v>0.52739139999999995</v>
      </c>
      <c r="F7290" t="s">
        <v>41</v>
      </c>
      <c r="G7290">
        <v>-186.5984</v>
      </c>
      <c r="H7290" s="1">
        <v>-1.117574E-6</v>
      </c>
      <c r="I7290">
        <v>90.272509999999997</v>
      </c>
      <c r="J7290">
        <v>-188.28980000000001</v>
      </c>
      <c r="K7290">
        <v>1.121176</v>
      </c>
      <c r="L7290">
        <v>68.63843</v>
      </c>
      <c r="M7290">
        <v>-7.2950269999999999E-3</v>
      </c>
      <c r="N7290">
        <v>-2.0642480000000001E-2</v>
      </c>
      <c r="O7290">
        <v>0.99976030000000005</v>
      </c>
      <c r="P7290">
        <v>5.4359949999999999E-3</v>
      </c>
      <c r="Q7290">
        <v>-7.2185250000000006E-2</v>
      </c>
      <c r="R7290">
        <v>0.99737640000000005</v>
      </c>
      <c r="S7290">
        <v>0.22787479999999999</v>
      </c>
      <c r="T7290">
        <v>-0.15141060000000001</v>
      </c>
      <c r="U7290">
        <v>2.995819</v>
      </c>
      <c r="V7290">
        <v>1.2678480000000001E-2</v>
      </c>
      <c r="W7290">
        <v>-5.1591499999999998E-2</v>
      </c>
      <c r="X7290">
        <v>0.99858780000000003</v>
      </c>
      <c r="Y7290">
        <v>8.3024459999999994E-2</v>
      </c>
      <c r="Z7290">
        <v>-2.9681900000000001E-2</v>
      </c>
      <c r="AA7290">
        <v>0.99610540000000003</v>
      </c>
      <c r="AB7290">
        <v>33</v>
      </c>
      <c r="AC7290">
        <v>1.69140000000001</v>
      </c>
      <c r="AD7290">
        <v>-1.121177117574</v>
      </c>
      <c r="AE7290">
        <v>21.634080000000001</v>
      </c>
      <c r="AF7290">
        <v>1.84428654070835</v>
      </c>
      <c r="AG7290">
        <v>-1.121177117574</v>
      </c>
      <c r="AH7290">
        <v>21.563599269824199</v>
      </c>
      <c r="AI7290">
        <v>92.965547569519899</v>
      </c>
      <c r="AJ7290">
        <v>85.111516384314896</v>
      </c>
      <c r="AK7290">
        <v>21.671346161297201</v>
      </c>
      <c r="AL7290">
        <v>92.957288062172793</v>
      </c>
      <c r="AM7290">
        <v>89.272588383765196</v>
      </c>
      <c r="AN7290">
        <v>1.0000000105180999</v>
      </c>
    </row>
    <row r="7291" spans="1:40" x14ac:dyDescent="0.25">
      <c r="A7291" t="str">
        <f>"20190303154705688"</f>
        <v>20190303154705688</v>
      </c>
      <c r="B7291" t="str">
        <f>"1551599225679503"</f>
        <v>1551599225679503</v>
      </c>
      <c r="C7291" t="s">
        <v>40</v>
      </c>
      <c r="D7291">
        <v>5.3494809999999999</v>
      </c>
      <c r="E7291">
        <v>0.5277423</v>
      </c>
      <c r="F7291" t="s">
        <v>41</v>
      </c>
      <c r="G7291">
        <v>-186.5822</v>
      </c>
      <c r="H7291" s="1">
        <v>-1.163968E-6</v>
      </c>
      <c r="I7291">
        <v>90.396190000000004</v>
      </c>
      <c r="J7291">
        <v>-188.29169999999999</v>
      </c>
      <c r="K7291">
        <v>1.1210819999999999</v>
      </c>
      <c r="L7291">
        <v>68.957790000000003</v>
      </c>
      <c r="M7291">
        <v>-7.0204359999999997E-3</v>
      </c>
      <c r="N7291">
        <v>-2.008325E-2</v>
      </c>
      <c r="O7291">
        <v>0.99977369999999999</v>
      </c>
      <c r="P7291">
        <v>5.4336860000000001E-3</v>
      </c>
      <c r="Q7291">
        <v>-7.2285070000000007E-2</v>
      </c>
      <c r="R7291">
        <v>0.99736919999999996</v>
      </c>
      <c r="S7291">
        <v>0.23507690000000001</v>
      </c>
      <c r="T7291">
        <v>-0.15435409999999999</v>
      </c>
      <c r="U7291">
        <v>2.995422</v>
      </c>
      <c r="V7291">
        <v>1.2402079999999999E-2</v>
      </c>
      <c r="W7291">
        <v>-5.2249629999999998E-2</v>
      </c>
      <c r="X7291">
        <v>0.99855700000000003</v>
      </c>
      <c r="Y7291">
        <v>8.5137399999999905E-2</v>
      </c>
      <c r="Z7291">
        <v>-3.1215179999999999E-2</v>
      </c>
      <c r="AA7291">
        <v>0.99588010000000005</v>
      </c>
      <c r="AB7291">
        <v>33</v>
      </c>
      <c r="AC7291">
        <v>1.70949999999999</v>
      </c>
      <c r="AD7291">
        <v>-1.1210831639679999</v>
      </c>
      <c r="AE7291">
        <v>21.438400000000001</v>
      </c>
      <c r="AF7291">
        <v>1.8549546505525101</v>
      </c>
      <c r="AG7291">
        <v>-1.1210831639679999</v>
      </c>
      <c r="AH7291">
        <v>21.367804793311802</v>
      </c>
      <c r="AI7291">
        <v>92.992093796769893</v>
      </c>
      <c r="AJ7291">
        <v>85.038550157293102</v>
      </c>
      <c r="AK7291">
        <v>21.477447844220698</v>
      </c>
      <c r="AL7291">
        <v>92.995047217430098</v>
      </c>
      <c r="AM7291">
        <v>89.288422887196106</v>
      </c>
      <c r="AN7291">
        <v>0.99999995883623005</v>
      </c>
    </row>
    <row r="7292" spans="1:40" x14ac:dyDescent="0.25">
      <c r="A7292" t="str">
        <f>"20190303154705709"</f>
        <v>20190303154705709</v>
      </c>
      <c r="B7292" t="str">
        <f>"1551599225699023"</f>
        <v>1551599225699023</v>
      </c>
      <c r="C7292" t="s">
        <v>40</v>
      </c>
      <c r="D7292">
        <v>5.4005130000000001</v>
      </c>
      <c r="E7292">
        <v>0.52804359999999995</v>
      </c>
      <c r="F7292" t="s">
        <v>41</v>
      </c>
      <c r="G7292">
        <v>-186.59289999999999</v>
      </c>
      <c r="H7292" s="1">
        <v>-1.1458669999999901E-6</v>
      </c>
      <c r="I7292">
        <v>90.351299999999995</v>
      </c>
      <c r="J7292">
        <v>-188.2937</v>
      </c>
      <c r="K7292">
        <v>1.121011</v>
      </c>
      <c r="L7292">
        <v>69.275880000000001</v>
      </c>
      <c r="M7292">
        <v>-6.7398279999999998E-3</v>
      </c>
      <c r="N7292">
        <v>-1.9517710000000001E-2</v>
      </c>
      <c r="O7292">
        <v>0.99978679999999998</v>
      </c>
      <c r="P7292">
        <v>5.9074459999999898E-3</v>
      </c>
      <c r="Q7292">
        <v>-7.2070809999999999E-2</v>
      </c>
      <c r="R7292">
        <v>0.99738199999999999</v>
      </c>
      <c r="S7292">
        <v>0.23785400000000001</v>
      </c>
      <c r="T7292">
        <v>-0.1569594</v>
      </c>
      <c r="U7292">
        <v>2.9952390000000002</v>
      </c>
      <c r="V7292">
        <v>1.2596390000000001E-2</v>
      </c>
      <c r="W7292">
        <v>-5.2599949999999999E-2</v>
      </c>
      <c r="X7292">
        <v>0.99853619999999998</v>
      </c>
      <c r="Y7292">
        <v>8.5777439999999996E-2</v>
      </c>
      <c r="Z7292">
        <v>-3.2644899999999998E-2</v>
      </c>
      <c r="AA7292">
        <v>0.99577930000000003</v>
      </c>
      <c r="AB7292">
        <v>33</v>
      </c>
      <c r="AC7292">
        <v>1.7008000000000101</v>
      </c>
      <c r="AD7292">
        <v>-1.1210121458669999</v>
      </c>
      <c r="AE7292">
        <v>21.075419999999902</v>
      </c>
      <c r="AF7292">
        <v>1.8376675811954499</v>
      </c>
      <c r="AG7292">
        <v>-1.1210121458669999</v>
      </c>
      <c r="AH7292">
        <v>21.0044340040332</v>
      </c>
      <c r="AI7292">
        <v>93.043388870669801</v>
      </c>
      <c r="AJ7292">
        <v>84.999952025067401</v>
      </c>
      <c r="AK7292">
        <v>21.114448564903299</v>
      </c>
      <c r="AL7292">
        <v>93.015146641492706</v>
      </c>
      <c r="AM7292">
        <v>89.277260349479903</v>
      </c>
      <c r="AN7292">
        <v>0.99999998324573702</v>
      </c>
    </row>
    <row r="7293" spans="1:40" x14ac:dyDescent="0.25">
      <c r="A7293" t="str">
        <f>"20190303154705733"</f>
        <v>20190303154705733</v>
      </c>
      <c r="B7293" t="str">
        <f>"1551599225729279"</f>
        <v>1551599225729279</v>
      </c>
      <c r="C7293" t="s">
        <v>40</v>
      </c>
      <c r="D7293">
        <v>5.2615910000000001</v>
      </c>
      <c r="E7293">
        <v>0.52843669999999998</v>
      </c>
      <c r="F7293" t="s">
        <v>41</v>
      </c>
      <c r="G7293">
        <v>-186.5728</v>
      </c>
      <c r="H7293" s="1">
        <v>-1.2374570000000001E-6</v>
      </c>
      <c r="I7293">
        <v>90.604740000000007</v>
      </c>
      <c r="J7293">
        <v>-188.29570000000001</v>
      </c>
      <c r="K7293">
        <v>1.1209530000000001</v>
      </c>
      <c r="L7293">
        <v>69.616879999999995</v>
      </c>
      <c r="M7293">
        <v>-6.4350650000000002E-3</v>
      </c>
      <c r="N7293">
        <v>-1.8934079999999999E-2</v>
      </c>
      <c r="O7293">
        <v>0.99980000000000002</v>
      </c>
      <c r="P7293">
        <v>6.6709450000000002E-3</v>
      </c>
      <c r="Q7293">
        <v>-7.1725230000000001E-2</v>
      </c>
      <c r="R7293">
        <v>0.99740209999999996</v>
      </c>
      <c r="S7293">
        <v>0.24165339999999999</v>
      </c>
      <c r="T7293">
        <v>-0.15741550000000001</v>
      </c>
      <c r="U7293">
        <v>2.9950559999999999</v>
      </c>
      <c r="V7293">
        <v>1.3056399999999999E-2</v>
      </c>
      <c r="W7293">
        <v>-5.2837080000000002E-2</v>
      </c>
      <c r="X7293">
        <v>0.99851780000000001</v>
      </c>
      <c r="Y7293">
        <v>8.6733130000000005E-2</v>
      </c>
      <c r="Z7293">
        <v>-3.3378409999999997E-2</v>
      </c>
      <c r="AA7293">
        <v>0.99567229999999995</v>
      </c>
      <c r="AB7293">
        <v>33</v>
      </c>
      <c r="AC7293">
        <v>1.7229000000000101</v>
      </c>
      <c r="AD7293">
        <v>-1.1209542374570001</v>
      </c>
      <c r="AE7293">
        <v>20.987860000000001</v>
      </c>
      <c r="AF7293">
        <v>1.8526971661534599</v>
      </c>
      <c r="AG7293">
        <v>-1.1209542374570001</v>
      </c>
      <c r="AH7293">
        <v>20.917067891425098</v>
      </c>
      <c r="AI7293">
        <v>93.055630040448705</v>
      </c>
      <c r="AJ7293">
        <v>84.938323460247702</v>
      </c>
      <c r="AK7293">
        <v>21.028855279506601</v>
      </c>
      <c r="AL7293">
        <v>93.028752023102399</v>
      </c>
      <c r="AM7293">
        <v>89.250855632604996</v>
      </c>
      <c r="AN7293">
        <v>1.00000001176036</v>
      </c>
    </row>
    <row r="7294" spans="1:40" x14ac:dyDescent="0.25">
      <c r="A7294" t="str">
        <f>"20190303154705754"</f>
        <v>20190303154705754</v>
      </c>
      <c r="B7294" t="str">
        <f>"1551599225748799"</f>
        <v>1551599225748799</v>
      </c>
      <c r="C7294" t="s">
        <v>40</v>
      </c>
      <c r="D7294">
        <v>5.3601919999999996</v>
      </c>
      <c r="E7294">
        <v>0.52876429999999996</v>
      </c>
      <c r="F7294" t="s">
        <v>41</v>
      </c>
      <c r="G7294">
        <v>-186.54429999999999</v>
      </c>
      <c r="H7294" s="1">
        <v>-1.3209069999999999E-6</v>
      </c>
      <c r="I7294">
        <v>90.827659999999995</v>
      </c>
      <c r="J7294">
        <v>-188.29750000000001</v>
      </c>
      <c r="K7294">
        <v>1.120911</v>
      </c>
      <c r="L7294">
        <v>69.946719999999999</v>
      </c>
      <c r="M7294">
        <v>-6.1406509999999996E-3</v>
      </c>
      <c r="N7294">
        <v>-1.840717E-2</v>
      </c>
      <c r="O7294">
        <v>0.99981169999999997</v>
      </c>
      <c r="P7294">
        <v>7.409873E-3</v>
      </c>
      <c r="Q7294">
        <v>-7.1719779999999997E-2</v>
      </c>
      <c r="R7294">
        <v>0.99739730000000004</v>
      </c>
      <c r="S7294">
        <v>0.2472839</v>
      </c>
      <c r="T7294">
        <v>-0.1582692</v>
      </c>
      <c r="U7294">
        <v>2.9947810000000001</v>
      </c>
      <c r="V7294">
        <v>1.350149E-2</v>
      </c>
      <c r="W7294">
        <v>-5.3358160000000002E-2</v>
      </c>
      <c r="X7294">
        <v>0.99848409999999999</v>
      </c>
      <c r="Y7294">
        <v>8.8305060000000005E-2</v>
      </c>
      <c r="Z7294">
        <v>-3.4185729999999998E-2</v>
      </c>
      <c r="AA7294">
        <v>0.99550669999999997</v>
      </c>
      <c r="AB7294">
        <v>33</v>
      </c>
      <c r="AC7294">
        <v>1.7532000000000201</v>
      </c>
      <c r="AD7294">
        <v>-1.120912320907</v>
      </c>
      <c r="AE7294">
        <v>20.880939999999899</v>
      </c>
      <c r="AF7294">
        <v>1.87604294964326</v>
      </c>
      <c r="AG7294">
        <v>-1.120912320907</v>
      </c>
      <c r="AH7294">
        <v>20.8102302827158</v>
      </c>
      <c r="AI7294">
        <v>93.070744348765899</v>
      </c>
      <c r="AJ7294">
        <v>84.848708360953694</v>
      </c>
      <c r="AK7294">
        <v>20.924666448947999</v>
      </c>
      <c r="AL7294">
        <v>93.058650101523796</v>
      </c>
      <c r="AM7294">
        <v>89.225294372526406</v>
      </c>
      <c r="AN7294">
        <v>0.99999994071180598</v>
      </c>
    </row>
    <row r="7295" spans="1:40" x14ac:dyDescent="0.25">
      <c r="A7295" t="str">
        <f>"20190303154705778"</f>
        <v>20190303154705778</v>
      </c>
      <c r="B7295" t="str">
        <f>"1551599225769295"</f>
        <v>1551599225769295</v>
      </c>
      <c r="C7295" t="s">
        <v>40</v>
      </c>
      <c r="D7295">
        <v>5.393491</v>
      </c>
      <c r="E7295">
        <v>0.52906330000000001</v>
      </c>
      <c r="F7295" t="s">
        <v>41</v>
      </c>
      <c r="G7295">
        <v>-186.5206</v>
      </c>
      <c r="H7295" s="1">
        <v>-1.405487E-6</v>
      </c>
      <c r="I7295">
        <v>91.057689999999994</v>
      </c>
      <c r="J7295">
        <v>-188.29920000000001</v>
      </c>
      <c r="K7295">
        <v>1.120878</v>
      </c>
      <c r="L7295">
        <v>70.283360000000002</v>
      </c>
      <c r="M7295">
        <v>-5.8428880000000001E-3</v>
      </c>
      <c r="N7295">
        <v>-1.7913889999999998E-2</v>
      </c>
      <c r="O7295">
        <v>0.9998224</v>
      </c>
      <c r="P7295">
        <v>8.2117430000000005E-3</v>
      </c>
      <c r="Q7295">
        <v>-7.088026E-2</v>
      </c>
      <c r="R7295">
        <v>0.99745099999999998</v>
      </c>
      <c r="S7295">
        <v>0.25204470000000001</v>
      </c>
      <c r="T7295">
        <v>-0.1589969</v>
      </c>
      <c r="U7295">
        <v>2.994507</v>
      </c>
      <c r="V7295">
        <v>1.400674E-2</v>
      </c>
      <c r="W7295">
        <v>-5.3010769999999999E-2</v>
      </c>
      <c r="X7295">
        <v>0.99849569999999999</v>
      </c>
      <c r="Y7295">
        <v>8.9586319999999997E-2</v>
      </c>
      <c r="Z7295">
        <v>-3.4918810000000002E-2</v>
      </c>
      <c r="AA7295">
        <v>0.9953668</v>
      </c>
      <c r="AB7295">
        <v>33</v>
      </c>
      <c r="AC7295">
        <v>1.77860000000001</v>
      </c>
      <c r="AD7295">
        <v>-1.1208794054869999</v>
      </c>
      <c r="AE7295">
        <v>20.774329999999999</v>
      </c>
      <c r="AF7295">
        <v>1.89449618170126</v>
      </c>
      <c r="AG7295">
        <v>-1.1208794054869999</v>
      </c>
      <c r="AH7295">
        <v>20.703748419264201</v>
      </c>
      <c r="AI7295">
        <v>93.086040661159004</v>
      </c>
      <c r="AJ7295">
        <v>84.771710572050907</v>
      </c>
      <c r="AK7295">
        <v>20.820439117182701</v>
      </c>
      <c r="AL7295">
        <v>93.038717739136203</v>
      </c>
      <c r="AM7295">
        <v>89.196316566581004</v>
      </c>
      <c r="AN7295">
        <v>0.99999999670995499</v>
      </c>
    </row>
    <row r="7296" spans="1:40" x14ac:dyDescent="0.25">
      <c r="A7296" t="str">
        <f>"20190303154705800"</f>
        <v>20190303154705800</v>
      </c>
      <c r="B7296" t="str">
        <f>"1551599225788815"</f>
        <v>1551599225788815</v>
      </c>
      <c r="C7296" t="s">
        <v>40</v>
      </c>
      <c r="D7296">
        <v>5.3049569999999999</v>
      </c>
      <c r="E7296">
        <v>0.5293409</v>
      </c>
      <c r="F7296" t="s">
        <v>41</v>
      </c>
      <c r="G7296">
        <v>-186.4659</v>
      </c>
      <c r="H7296" s="1">
        <v>-1.6262340000000001E-6</v>
      </c>
      <c r="I7296">
        <v>91.663570000000007</v>
      </c>
      <c r="J7296">
        <v>-188.30080000000001</v>
      </c>
      <c r="K7296">
        <v>1.1208670000000001</v>
      </c>
      <c r="L7296">
        <v>70.604799999999997</v>
      </c>
      <c r="M7296">
        <v>-5.5605849999999998E-3</v>
      </c>
      <c r="N7296">
        <v>-1.7487880000000001E-2</v>
      </c>
      <c r="O7296">
        <v>0.99983160000000004</v>
      </c>
      <c r="P7296">
        <v>8.6746700000000006E-3</v>
      </c>
      <c r="Q7296">
        <v>-6.9784479999999996E-2</v>
      </c>
      <c r="R7296">
        <v>0.99752439999999998</v>
      </c>
      <c r="S7296">
        <v>0.25677489999999997</v>
      </c>
      <c r="T7296">
        <v>-0.15698519999999999</v>
      </c>
      <c r="U7296">
        <v>2.994415</v>
      </c>
      <c r="V7296">
        <v>1.4188620000000001E-2</v>
      </c>
      <c r="W7296">
        <v>-5.2339459999999997E-2</v>
      </c>
      <c r="X7296">
        <v>0.99852850000000004</v>
      </c>
      <c r="Y7296">
        <v>9.0870779999999998E-2</v>
      </c>
      <c r="Z7296">
        <v>-3.4673040000000002E-2</v>
      </c>
      <c r="AA7296">
        <v>0.99525889999999995</v>
      </c>
      <c r="AB7296">
        <v>33</v>
      </c>
      <c r="AC7296">
        <v>1.8349</v>
      </c>
      <c r="AD7296">
        <v>-1.120868626234</v>
      </c>
      <c r="AE7296">
        <v>21.058769999999999</v>
      </c>
      <c r="AF7296">
        <v>1.94651572697914</v>
      </c>
      <c r="AG7296">
        <v>-1.120868626234</v>
      </c>
      <c r="AH7296">
        <v>20.989225642271201</v>
      </c>
      <c r="AI7296">
        <v>93.043774859462701</v>
      </c>
      <c r="AJ7296">
        <v>84.701612701746797</v>
      </c>
      <c r="AK7296">
        <v>21.109070633612099</v>
      </c>
      <c r="AL7296">
        <v>93.0002011741704</v>
      </c>
      <c r="AM7296">
        <v>89.185908729261897</v>
      </c>
      <c r="AN7296">
        <v>0.999999950661421</v>
      </c>
    </row>
    <row r="7297" spans="1:40" x14ac:dyDescent="0.25">
      <c r="A7297" t="str">
        <f>"20190303154705844"</f>
        <v>20190303154705844</v>
      </c>
      <c r="B7297" t="str">
        <f>"1551599225838592"</f>
        <v>1551599225838592</v>
      </c>
      <c r="C7297" t="s">
        <v>40</v>
      </c>
      <c r="D7297">
        <v>5.2973869999999996</v>
      </c>
      <c r="E7297">
        <v>0.49909969999999998</v>
      </c>
      <c r="F7297" t="s">
        <v>41</v>
      </c>
      <c r="G7297">
        <v>-186.41319999999999</v>
      </c>
      <c r="H7297" s="1">
        <v>-1.8630509999999999E-6</v>
      </c>
      <c r="I7297">
        <v>92.318290000000005</v>
      </c>
      <c r="J7297">
        <v>-188.30369999999999</v>
      </c>
      <c r="K7297">
        <v>1.1208530000000001</v>
      </c>
      <c r="L7297">
        <v>71.255399999999995</v>
      </c>
      <c r="M7297">
        <v>-4.9891509999999998E-3</v>
      </c>
      <c r="N7297">
        <v>-1.6760850000000001E-2</v>
      </c>
      <c r="O7297">
        <v>0.99984709999999999</v>
      </c>
      <c r="P7297">
        <v>8.4031850000000005E-3</v>
      </c>
      <c r="Q7297">
        <v>-6.8794099999999997E-2</v>
      </c>
      <c r="R7297">
        <v>0.99759549999999997</v>
      </c>
      <c r="S7297">
        <v>0.26031490000000002</v>
      </c>
      <c r="T7297">
        <v>-0.15457270000000001</v>
      </c>
      <c r="U7297">
        <v>2.9943849999999999</v>
      </c>
      <c r="V7297">
        <v>1.3347090000000001E-2</v>
      </c>
      <c r="W7297">
        <v>-5.2073479999999998E-2</v>
      </c>
      <c r="X7297">
        <v>0.9985541</v>
      </c>
      <c r="Y7297">
        <v>9.1473689999999996E-2</v>
      </c>
      <c r="Z7297">
        <v>-3.4597160000000002E-2</v>
      </c>
      <c r="AA7297">
        <v>0.99520629999999999</v>
      </c>
      <c r="AB7297">
        <v>33</v>
      </c>
      <c r="AC7297">
        <v>1.8905000000000001</v>
      </c>
      <c r="AD7297">
        <v>-1.120854863051</v>
      </c>
      <c r="AE7297">
        <v>21.062889999999999</v>
      </c>
      <c r="AF7297">
        <v>1.98998695085991</v>
      </c>
      <c r="AG7297">
        <v>-1.120854863051</v>
      </c>
      <c r="AH7297">
        <v>20.994218113291701</v>
      </c>
      <c r="AI7297">
        <v>93.042436841853103</v>
      </c>
      <c r="AJ7297">
        <v>84.585260954208906</v>
      </c>
      <c r="AK7297">
        <v>21.1180860372593</v>
      </c>
      <c r="AL7297">
        <v>92.984940560565406</v>
      </c>
      <c r="AM7297">
        <v>89.234206350913297</v>
      </c>
      <c r="AN7297">
        <v>1.00000004137879</v>
      </c>
    </row>
    <row r="7298" spans="1:40" x14ac:dyDescent="0.25">
      <c r="A7298" t="str">
        <f>"20190303154705866"</f>
        <v>20190303154705866</v>
      </c>
      <c r="B7298" t="str">
        <f>"1551599225859087"</f>
        <v>1551599225859087</v>
      </c>
      <c r="C7298" t="s">
        <v>40</v>
      </c>
      <c r="D7298">
        <v>5.2650980000000001</v>
      </c>
      <c r="E7298">
        <v>0.4973554</v>
      </c>
      <c r="F7298" t="s">
        <v>41</v>
      </c>
      <c r="G7298">
        <v>-188.1414</v>
      </c>
      <c r="H7298" s="1">
        <v>-3.8226039999999997E-6</v>
      </c>
      <c r="I7298">
        <v>97.774839999999998</v>
      </c>
      <c r="J7298">
        <v>-188.30510000000001</v>
      </c>
      <c r="K7298">
        <v>1.120843</v>
      </c>
      <c r="L7298">
        <v>71.588650000000001</v>
      </c>
      <c r="M7298">
        <v>-4.6947660000000004E-3</v>
      </c>
      <c r="N7298">
        <v>-1.64522E-2</v>
      </c>
      <c r="O7298">
        <v>0.99985360000000001</v>
      </c>
      <c r="P7298">
        <v>8.0536529999999992E-3</v>
      </c>
      <c r="Q7298">
        <v>-6.8942069999999994E-2</v>
      </c>
      <c r="R7298">
        <v>0.99758820000000004</v>
      </c>
      <c r="S7298">
        <v>1.8356319999999999E-2</v>
      </c>
      <c r="T7298">
        <v>-0.12672539999999999</v>
      </c>
      <c r="U7298">
        <v>2.9983219999999999</v>
      </c>
      <c r="V7298">
        <v>1.2703399999999899E-2</v>
      </c>
      <c r="W7298">
        <v>-5.2529340000000001E-2</v>
      </c>
      <c r="X7298">
        <v>0.99853860000000005</v>
      </c>
      <c r="Y7298">
        <v>1.081008E-2</v>
      </c>
      <c r="Z7298">
        <v>-2.578196E-2</v>
      </c>
      <c r="AA7298">
        <v>0.99960910000000003</v>
      </c>
      <c r="AB7298">
        <v>33</v>
      </c>
      <c r="AC7298">
        <v>0.16370000000000501</v>
      </c>
      <c r="AD7298">
        <v>-1.120846822604</v>
      </c>
      <c r="AE7298">
        <v>26.18619</v>
      </c>
      <c r="AF7298">
        <v>0.286128680970891</v>
      </c>
      <c r="AG7298">
        <v>-1.120846822604</v>
      </c>
      <c r="AH7298">
        <v>26.137248658866099</v>
      </c>
      <c r="AI7298">
        <v>92.455370496590504</v>
      </c>
      <c r="AJ7298">
        <v>89.372798905035594</v>
      </c>
      <c r="AK7298">
        <v>26.1628349892976</v>
      </c>
      <c r="AL7298">
        <v>93.011095269435003</v>
      </c>
      <c r="AM7298">
        <v>89.271122877042103</v>
      </c>
      <c r="AN7298">
        <v>1.00000002181117</v>
      </c>
    </row>
    <row r="7299" spans="1:40" x14ac:dyDescent="0.25">
      <c r="A7299" t="str">
        <f>"20190303154705888"</f>
        <v>20190303154705888</v>
      </c>
      <c r="B7299" t="str">
        <f>"1551599225878607"</f>
        <v>1551599225878607</v>
      </c>
      <c r="C7299" t="s">
        <v>40</v>
      </c>
      <c r="D7299">
        <v>5.2410350000000001</v>
      </c>
      <c r="E7299">
        <v>0.49647469999999999</v>
      </c>
      <c r="F7299" t="s">
        <v>41</v>
      </c>
      <c r="G7299">
        <v>-188.2713</v>
      </c>
      <c r="H7299" s="1">
        <v>-6.9420009999999905E-7</v>
      </c>
      <c r="I7299">
        <v>100.3364</v>
      </c>
      <c r="J7299">
        <v>-188.30629999999999</v>
      </c>
      <c r="K7299">
        <v>1.1208419999999999</v>
      </c>
      <c r="L7299">
        <v>71.901430000000005</v>
      </c>
      <c r="M7299">
        <v>-4.4179240000000002E-3</v>
      </c>
      <c r="N7299">
        <v>-1.6196530000000001E-2</v>
      </c>
      <c r="O7299">
        <v>0.9998591</v>
      </c>
      <c r="P7299">
        <v>7.9111659999999903E-3</v>
      </c>
      <c r="Q7299">
        <v>-6.8920460000000003E-2</v>
      </c>
      <c r="R7299">
        <v>0.9975908</v>
      </c>
      <c r="S7299">
        <v>3.5247799999999999E-3</v>
      </c>
      <c r="T7299">
        <v>-0.1169335</v>
      </c>
      <c r="U7299">
        <v>2.9991460000000001</v>
      </c>
      <c r="V7299">
        <v>1.228447E-2</v>
      </c>
      <c r="W7299">
        <v>-5.2762650000000001E-2</v>
      </c>
      <c r="X7299">
        <v>0.99853150000000002</v>
      </c>
      <c r="Y7299">
        <v>5.5909459999999899E-3</v>
      </c>
      <c r="Z7299">
        <v>-2.2769049999999999E-2</v>
      </c>
      <c r="AA7299">
        <v>0.99972510000000003</v>
      </c>
      <c r="AB7299">
        <v>33</v>
      </c>
      <c r="AC7299">
        <v>3.4999999999996499E-2</v>
      </c>
      <c r="AD7299">
        <v>-1.1208426942001</v>
      </c>
      <c r="AE7299">
        <v>28.43497</v>
      </c>
      <c r="AF7299">
        <v>0.16039046331203199</v>
      </c>
      <c r="AG7299">
        <v>-1.1208426942001</v>
      </c>
      <c r="AH7299">
        <v>28.3904259549352</v>
      </c>
      <c r="AI7299">
        <v>92.260804360765405</v>
      </c>
      <c r="AJ7299">
        <v>89.676313456121207</v>
      </c>
      <c r="AK7299">
        <v>28.412995254786502</v>
      </c>
      <c r="AL7299">
        <v>93.024481634674601</v>
      </c>
      <c r="AM7299">
        <v>89.295152152865796</v>
      </c>
      <c r="AN7299">
        <v>0.99999998096522602</v>
      </c>
    </row>
    <row r="7300" spans="1:40" x14ac:dyDescent="0.25">
      <c r="A7300" t="str">
        <f>"20190303154705910"</f>
        <v>20190303154705910</v>
      </c>
      <c r="B7300" t="str">
        <f>"1551599225899106"</f>
        <v>1551599225899106</v>
      </c>
      <c r="C7300" t="s">
        <v>40</v>
      </c>
      <c r="D7300">
        <v>5.2702019999999896</v>
      </c>
      <c r="E7300">
        <v>0.49540469999999998</v>
      </c>
      <c r="F7300" t="s">
        <v>41</v>
      </c>
      <c r="G7300">
        <v>-188.34520000000001</v>
      </c>
      <c r="H7300" s="1">
        <v>-1.37187E-6</v>
      </c>
      <c r="I7300">
        <v>102.1464</v>
      </c>
      <c r="J7300">
        <v>-188.3074</v>
      </c>
      <c r="K7300">
        <v>1.120844</v>
      </c>
      <c r="L7300">
        <v>72.232819999999904</v>
      </c>
      <c r="M7300">
        <v>-4.124506E-3</v>
      </c>
      <c r="N7300">
        <v>-1.5958920000000001E-2</v>
      </c>
      <c r="O7300">
        <v>0.99986419999999998</v>
      </c>
      <c r="P7300">
        <v>7.790104E-3</v>
      </c>
      <c r="Q7300">
        <v>-6.8654190000000004E-2</v>
      </c>
      <c r="R7300">
        <v>0.99761010000000006</v>
      </c>
      <c r="S7300">
        <v>-3.860474E-3</v>
      </c>
      <c r="T7300">
        <v>-0.11116180000000001</v>
      </c>
      <c r="U7300">
        <v>2.999603</v>
      </c>
      <c r="V7300">
        <v>1.187068E-2</v>
      </c>
      <c r="W7300">
        <v>-5.273311E-2</v>
      </c>
      <c r="X7300">
        <v>0.99853809999999998</v>
      </c>
      <c r="Y7300">
        <v>2.8371310000000001E-3</v>
      </c>
      <c r="Z7300">
        <v>-2.108022E-2</v>
      </c>
      <c r="AA7300">
        <v>0.99977369999999999</v>
      </c>
      <c r="AB7300">
        <v>33</v>
      </c>
      <c r="AC7300">
        <v>-3.7800000000004198E-2</v>
      </c>
      <c r="AD7300">
        <v>-1.12084537187</v>
      </c>
      <c r="AE7300">
        <v>29.91358</v>
      </c>
      <c r="AF7300">
        <v>8.5474766125442095E-2</v>
      </c>
      <c r="AG7300">
        <v>-1.12084537187</v>
      </c>
      <c r="AH7300">
        <v>29.871543048341799</v>
      </c>
      <c r="AI7300">
        <v>92.148845591419999</v>
      </c>
      <c r="AJ7300">
        <v>89.836053665522201</v>
      </c>
      <c r="AK7300">
        <v>29.892686135110399</v>
      </c>
      <c r="AL7300">
        <v>93.022786653194501</v>
      </c>
      <c r="AM7300">
        <v>89.318896468551301</v>
      </c>
      <c r="AN7300">
        <v>1.00000001554277</v>
      </c>
    </row>
    <row r="7301" spans="1:40" x14ac:dyDescent="0.25">
      <c r="A7301" t="str">
        <f>"20190303154705933"</f>
        <v>20190303154705933</v>
      </c>
      <c r="B7301" t="str">
        <f>"1551599225929359"</f>
        <v>1551599225929359</v>
      </c>
      <c r="C7301" t="s">
        <v>40</v>
      </c>
      <c r="D7301">
        <v>5.2403469999999999</v>
      </c>
      <c r="E7301">
        <v>0.494168</v>
      </c>
      <c r="F7301" t="s">
        <v>41</v>
      </c>
      <c r="G7301">
        <v>-188.43289999999999</v>
      </c>
      <c r="H7301" s="1">
        <v>-1.1760949999999999E-6</v>
      </c>
      <c r="I7301">
        <v>101.72629999999999</v>
      </c>
      <c r="J7301">
        <v>-188.30850000000001</v>
      </c>
      <c r="K7301">
        <v>1.1208400000000001</v>
      </c>
      <c r="L7301">
        <v>72.560699999999997</v>
      </c>
      <c r="M7301">
        <v>-3.8342749999999998E-3</v>
      </c>
      <c r="N7301">
        <v>-1.575358E-2</v>
      </c>
      <c r="O7301">
        <v>0.9998686</v>
      </c>
      <c r="P7301">
        <v>8.0917880000000008E-3</v>
      </c>
      <c r="Q7301">
        <v>-6.8258959999999994E-2</v>
      </c>
      <c r="R7301">
        <v>0.99763480000000004</v>
      </c>
      <c r="S7301">
        <v>-1.275635E-2</v>
      </c>
      <c r="T7301">
        <v>-0.1139886</v>
      </c>
      <c r="U7301">
        <v>2.9994510000000001</v>
      </c>
      <c r="V7301">
        <v>1.188295E-2</v>
      </c>
      <c r="W7301">
        <v>-5.254259E-2</v>
      </c>
      <c r="X7301">
        <v>0.99854799999999999</v>
      </c>
      <c r="Y7301">
        <v>-4.1688069999999997E-4</v>
      </c>
      <c r="Z7301">
        <v>-2.2228370000000001E-2</v>
      </c>
      <c r="AA7301">
        <v>0.9997528</v>
      </c>
      <c r="AB7301">
        <v>33</v>
      </c>
      <c r="AC7301">
        <v>-0.12439999999998</v>
      </c>
      <c r="AD7301">
        <v>-1.1208411760949999</v>
      </c>
      <c r="AE7301">
        <v>29.165600000000001</v>
      </c>
      <c r="AF7301">
        <v>-1.25377640007812E-2</v>
      </c>
      <c r="AG7301">
        <v>-1.1208411760949999</v>
      </c>
      <c r="AH7301">
        <v>29.1228523115368</v>
      </c>
      <c r="AI7301">
        <v>92.204034915218102</v>
      </c>
      <c r="AJ7301">
        <v>90.024666571450794</v>
      </c>
      <c r="AK7301">
        <v>29.144415741221099</v>
      </c>
      <c r="AL7301">
        <v>93.011855498966597</v>
      </c>
      <c r="AM7301">
        <v>89.318199278748295</v>
      </c>
      <c r="AN7301">
        <v>1.0000000182843001</v>
      </c>
    </row>
    <row r="7302" spans="1:40" x14ac:dyDescent="0.25">
      <c r="A7302" t="str">
        <f>"20190303154705956"</f>
        <v>20190303154705956</v>
      </c>
      <c r="B7302" t="str">
        <f>"1551599225949855"</f>
        <v>1551599225949855</v>
      </c>
      <c r="C7302" t="s">
        <v>40</v>
      </c>
      <c r="D7302">
        <v>5.2760199999999999</v>
      </c>
      <c r="E7302">
        <v>0.4933978</v>
      </c>
      <c r="F7302" t="s">
        <v>41</v>
      </c>
      <c r="G7302">
        <v>-188.5181</v>
      </c>
      <c r="H7302" s="1">
        <v>-9.6550659999999992E-7</v>
      </c>
      <c r="I7302">
        <v>101.27070000000001</v>
      </c>
      <c r="J7302">
        <v>-188.30950000000001</v>
      </c>
      <c r="K7302">
        <v>1.120844</v>
      </c>
      <c r="L7302">
        <v>72.904629999999997</v>
      </c>
      <c r="M7302">
        <v>-3.5300349999999999E-3</v>
      </c>
      <c r="N7302">
        <v>-1.556607E-2</v>
      </c>
      <c r="O7302">
        <v>0.9998726</v>
      </c>
      <c r="P7302">
        <v>8.3422549999999998E-3</v>
      </c>
      <c r="Q7302">
        <v>-6.7855310000000002E-2</v>
      </c>
      <c r="R7302">
        <v>0.99766030000000006</v>
      </c>
      <c r="S7302">
        <v>-2.189636E-2</v>
      </c>
      <c r="T7302">
        <v>-0.11709310000000001</v>
      </c>
      <c r="U7302">
        <v>2.999298</v>
      </c>
      <c r="V7302">
        <v>1.183005E-2</v>
      </c>
      <c r="W7302">
        <v>-5.2325780000000002E-2</v>
      </c>
      <c r="X7302">
        <v>0.99856</v>
      </c>
      <c r="Y7302">
        <v>-3.7662780000000001E-3</v>
      </c>
      <c r="Z7302">
        <v>-2.345067E-2</v>
      </c>
      <c r="AA7302">
        <v>0.99971790000000005</v>
      </c>
      <c r="AB7302">
        <v>33</v>
      </c>
      <c r="AC7302">
        <v>-0.20859999999998899</v>
      </c>
      <c r="AD7302">
        <v>-1.1208449655066</v>
      </c>
      <c r="AE7302">
        <v>28.366069999999901</v>
      </c>
      <c r="AF7302">
        <v>-0.10828428798911</v>
      </c>
      <c r="AG7302">
        <v>-1.1208449655066</v>
      </c>
      <c r="AH7302">
        <v>28.322411633560598</v>
      </c>
      <c r="AI7302">
        <v>92.266252041330404</v>
      </c>
      <c r="AJ7302">
        <v>90.2190562915317</v>
      </c>
      <c r="AK7302">
        <v>28.344788227548499</v>
      </c>
      <c r="AL7302">
        <v>92.999416127814399</v>
      </c>
      <c r="AM7302">
        <v>89.3212423611091</v>
      </c>
      <c r="AN7302">
        <v>1.0000000054678</v>
      </c>
    </row>
    <row r="7303" spans="1:40" x14ac:dyDescent="0.25">
      <c r="A7303" t="str">
        <f>"20190303154705978"</f>
        <v>20190303154705978</v>
      </c>
      <c r="B7303" t="str">
        <f>"1551599225969375"</f>
        <v>1551599225969375</v>
      </c>
      <c r="C7303" t="s">
        <v>40</v>
      </c>
      <c r="D7303">
        <v>5.3031579999999998</v>
      </c>
      <c r="E7303">
        <v>0.49326019999999998</v>
      </c>
      <c r="F7303" t="s">
        <v>41</v>
      </c>
      <c r="G7303">
        <v>-188.56020000000001</v>
      </c>
      <c r="H7303" s="1">
        <v>-7.0770780000000004E-7</v>
      </c>
      <c r="I7303">
        <v>100.602</v>
      </c>
      <c r="J7303">
        <v>-188.31030000000001</v>
      </c>
      <c r="K7303">
        <v>1.120846</v>
      </c>
      <c r="L7303">
        <v>73.203639999999993</v>
      </c>
      <c r="M7303">
        <v>-3.2653769999999999E-3</v>
      </c>
      <c r="N7303">
        <v>-1.542441E-2</v>
      </c>
      <c r="O7303">
        <v>0.99987570000000003</v>
      </c>
      <c r="P7303">
        <v>9.2052390000000005E-3</v>
      </c>
      <c r="Q7303">
        <v>-6.7706119999999995E-2</v>
      </c>
      <c r="R7303">
        <v>0.99766279999999996</v>
      </c>
      <c r="S7303">
        <v>-2.7145389999999998E-2</v>
      </c>
      <c r="T7303">
        <v>-0.1213621</v>
      </c>
      <c r="U7303">
        <v>2.998993</v>
      </c>
      <c r="V7303">
        <v>1.2428969999999999E-2</v>
      </c>
      <c r="W7303">
        <v>-5.2318419999999997E-2</v>
      </c>
      <c r="X7303">
        <v>0.99855309999999997</v>
      </c>
      <c r="Y7303">
        <v>-5.7801249999999997E-3</v>
      </c>
      <c r="Z7303">
        <v>-2.501666E-2</v>
      </c>
      <c r="AA7303">
        <v>0.99967030000000001</v>
      </c>
      <c r="AB7303">
        <v>33</v>
      </c>
      <c r="AC7303">
        <v>-0.24989999999999599</v>
      </c>
      <c r="AD7303">
        <v>-1.1208467077077999</v>
      </c>
      <c r="AE7303">
        <v>27.39836</v>
      </c>
      <c r="AF7303">
        <v>-0.16015404159240201</v>
      </c>
      <c r="AG7303">
        <v>-1.1208467077077999</v>
      </c>
      <c r="AH7303">
        <v>27.3532562892754</v>
      </c>
      <c r="AI7303">
        <v>92.346440174901005</v>
      </c>
      <c r="AJ7303">
        <v>90.335464476456494</v>
      </c>
      <c r="AK7303">
        <v>27.376679424028001</v>
      </c>
      <c r="AL7303">
        <v>92.998993884064802</v>
      </c>
      <c r="AM7303">
        <v>89.286877430839894</v>
      </c>
      <c r="AN7303">
        <v>0.999999994943083</v>
      </c>
    </row>
    <row r="7304" spans="1:40" x14ac:dyDescent="0.25">
      <c r="A7304" t="str">
        <f>"20190303154706003"</f>
        <v>20190303154706003</v>
      </c>
      <c r="B7304" t="str">
        <f>"1551599225998655"</f>
        <v>1551599225998655</v>
      </c>
      <c r="C7304" t="s">
        <v>40</v>
      </c>
      <c r="D7304">
        <v>5.3163609999999997</v>
      </c>
      <c r="E7304">
        <v>0.49345030000000001</v>
      </c>
      <c r="F7304" t="s">
        <v>41</v>
      </c>
      <c r="G7304">
        <v>-188.54740000000001</v>
      </c>
      <c r="H7304" s="1">
        <v>-8.2927930000000003E-7</v>
      </c>
      <c r="I7304">
        <v>100.9492</v>
      </c>
      <c r="J7304">
        <v>-188.31110000000001</v>
      </c>
      <c r="K7304">
        <v>1.1208419999999999</v>
      </c>
      <c r="L7304">
        <v>73.563630000000003</v>
      </c>
      <c r="M7304">
        <v>-2.9467270000000001E-3</v>
      </c>
      <c r="N7304">
        <v>-1.5275779999999999E-2</v>
      </c>
      <c r="O7304">
        <v>0.99987899999999996</v>
      </c>
      <c r="P7304">
        <v>1.0197380000000001E-2</v>
      </c>
      <c r="Q7304">
        <v>-6.7222420000000005E-2</v>
      </c>
      <c r="R7304">
        <v>0.99768590000000001</v>
      </c>
      <c r="S7304">
        <v>-2.5634770000000001E-2</v>
      </c>
      <c r="T7304">
        <v>-0.1211537</v>
      </c>
      <c r="U7304">
        <v>2.9990540000000001</v>
      </c>
      <c r="V7304">
        <v>1.3103470000000001E-2</v>
      </c>
      <c r="W7304">
        <v>-5.1983290000000001E-2</v>
      </c>
      <c r="X7304">
        <v>0.99856199999999995</v>
      </c>
      <c r="Y7304">
        <v>-5.5952329999999998E-3</v>
      </c>
      <c r="Z7304">
        <v>-2.509523E-2</v>
      </c>
      <c r="AA7304">
        <v>0.99966940000000004</v>
      </c>
      <c r="AB7304">
        <v>33</v>
      </c>
      <c r="AC7304">
        <v>-0.23629999999999901</v>
      </c>
      <c r="AD7304">
        <v>-1.1208428292793</v>
      </c>
      <c r="AE7304">
        <v>27.385570000000001</v>
      </c>
      <c r="AF7304">
        <v>-0.15533158054483401</v>
      </c>
      <c r="AG7304">
        <v>-1.1208428292793</v>
      </c>
      <c r="AH7304">
        <v>27.340352512025198</v>
      </c>
      <c r="AI7304">
        <v>92.347540615661103</v>
      </c>
      <c r="AJ7304">
        <v>90.325516952673993</v>
      </c>
      <c r="AK7304">
        <v>27.363758733581601</v>
      </c>
      <c r="AL7304">
        <v>92.979766122964705</v>
      </c>
      <c r="AM7304">
        <v>89.248188455922204</v>
      </c>
      <c r="AN7304">
        <v>1.00000001560463</v>
      </c>
    </row>
    <row r="7305" spans="1:40" x14ac:dyDescent="0.25">
      <c r="A7305" t="str">
        <f>"20190303154706204"</f>
        <v>20190303154706204</v>
      </c>
      <c r="B7305" t="str">
        <f>"1551599226198736"</f>
        <v>1551599226198736</v>
      </c>
      <c r="C7305" t="s">
        <v>40</v>
      </c>
      <c r="D7305">
        <v>5.2040800000000003</v>
      </c>
      <c r="E7305">
        <v>0.49402550000000001</v>
      </c>
      <c r="F7305" t="s">
        <v>41</v>
      </c>
      <c r="G7305">
        <v>-188.50720000000001</v>
      </c>
      <c r="H7305" s="1">
        <v>-9.3904980000000005E-7</v>
      </c>
      <c r="I7305">
        <v>101.2045</v>
      </c>
      <c r="J7305">
        <v>-188.31360000000001</v>
      </c>
      <c r="K7305">
        <v>1.120819</v>
      </c>
      <c r="L7305">
        <v>76.467929999999996</v>
      </c>
      <c r="M7305">
        <v>-3.7066030000000003E-4</v>
      </c>
      <c r="N7305">
        <v>-1.464968E-2</v>
      </c>
      <c r="O7305">
        <v>0.99989260000000002</v>
      </c>
      <c r="P7305">
        <v>1.459536E-2</v>
      </c>
      <c r="Q7305">
        <v>-6.5758029999999995E-2</v>
      </c>
      <c r="R7305">
        <v>0.99772879999999997</v>
      </c>
      <c r="S7305">
        <v>-2.1270750000000001E-2</v>
      </c>
      <c r="T7305">
        <v>-0.12160990000000001</v>
      </c>
      <c r="U7305">
        <v>2.998993</v>
      </c>
      <c r="V7305">
        <v>1.493221E-2</v>
      </c>
      <c r="W7305">
        <v>-5.1144309999999998E-2</v>
      </c>
      <c r="X7305">
        <v>0.99857960000000001</v>
      </c>
      <c r="Y7305">
        <v>-6.7166709999999996E-3</v>
      </c>
      <c r="Z7305">
        <v>-2.5874009999999999E-2</v>
      </c>
      <c r="AA7305">
        <v>0.9996427</v>
      </c>
      <c r="AB7305">
        <v>32</v>
      </c>
      <c r="AC7305">
        <v>-0.19360000000000299</v>
      </c>
      <c r="AD7305">
        <v>-1.1208199390497999</v>
      </c>
      <c r="AE7305">
        <v>24.736569999999901</v>
      </c>
      <c r="AF7305">
        <v>-0.184052298508531</v>
      </c>
      <c r="AG7305">
        <v>-1.1208199390497999</v>
      </c>
      <c r="AH7305">
        <v>24.685962449159799</v>
      </c>
      <c r="AI7305">
        <v>92.599550175353002</v>
      </c>
      <c r="AJ7305">
        <v>90.427174939695504</v>
      </c>
      <c r="AK7305">
        <v>24.712079123895801</v>
      </c>
      <c r="AL7305">
        <v>92.931632226721803</v>
      </c>
      <c r="AM7305">
        <v>89.143294283646398</v>
      </c>
      <c r="AN7305">
        <v>0.99999996443850903</v>
      </c>
    </row>
    <row r="7306" spans="1:40" x14ac:dyDescent="0.25">
      <c r="A7306" t="str">
        <f>"20190303154706226"</f>
        <v>20190303154706226</v>
      </c>
      <c r="B7306" t="str">
        <f>"1551599226219231"</f>
        <v>1551599226219231</v>
      </c>
      <c r="C7306" t="s">
        <v>40</v>
      </c>
      <c r="D7306">
        <v>5.066916</v>
      </c>
      <c r="E7306">
        <v>0.56070659999999894</v>
      </c>
      <c r="F7306" t="s">
        <v>41</v>
      </c>
      <c r="G7306">
        <v>-188.34610000000001</v>
      </c>
      <c r="H7306" s="1">
        <v>-2.5612499999999998E-6</v>
      </c>
      <c r="I7306">
        <v>104.91930000000001</v>
      </c>
      <c r="J7306">
        <v>-188.3134</v>
      </c>
      <c r="K7306">
        <v>1.120806</v>
      </c>
      <c r="L7306">
        <v>76.783999999999907</v>
      </c>
      <c r="M7306" s="1">
        <v>-9.0328730000000003E-5</v>
      </c>
      <c r="N7306">
        <v>-1.461757E-2</v>
      </c>
      <c r="O7306">
        <v>0.99989309999999998</v>
      </c>
      <c r="P7306">
        <v>1.495958E-2</v>
      </c>
      <c r="Q7306">
        <v>-6.6135529999999998E-2</v>
      </c>
      <c r="R7306">
        <v>0.99769850000000004</v>
      </c>
      <c r="S7306">
        <v>-3.433228E-3</v>
      </c>
      <c r="T7306">
        <v>-0.1181469</v>
      </c>
      <c r="U7306">
        <v>2.9990839999999999</v>
      </c>
      <c r="V7306">
        <v>1.501649E-2</v>
      </c>
      <c r="W7306">
        <v>-5.155423E-2</v>
      </c>
      <c r="X7306">
        <v>0.99855729999999998</v>
      </c>
      <c r="Y7306">
        <v>-1.0536530000000001E-3</v>
      </c>
      <c r="Z7306">
        <v>-2.4753319999999999E-2</v>
      </c>
      <c r="AA7306">
        <v>0.99969300000000005</v>
      </c>
      <c r="AB7306">
        <v>32</v>
      </c>
      <c r="AC7306">
        <v>-3.2700000000005502E-2</v>
      </c>
      <c r="AD7306">
        <v>-1.1208085612500001</v>
      </c>
      <c r="AE7306">
        <v>28.135300000000001</v>
      </c>
      <c r="AF7306">
        <v>-3.01105188102581E-2</v>
      </c>
      <c r="AG7306">
        <v>-1.1208085612500001</v>
      </c>
      <c r="AH7306">
        <v>28.090724679610499</v>
      </c>
      <c r="AI7306">
        <v>92.284865162800898</v>
      </c>
      <c r="AJ7306">
        <v>90.061415467408295</v>
      </c>
      <c r="AK7306">
        <v>28.1130918168029</v>
      </c>
      <c r="AL7306">
        <v>92.955149811918304</v>
      </c>
      <c r="AM7306">
        <v>89.138440376604294</v>
      </c>
      <c r="AN7306">
        <v>1.00000000749305</v>
      </c>
    </row>
    <row r="7307" spans="1:40" x14ac:dyDescent="0.25">
      <c r="A7307" t="str">
        <f>"20190303154706248"</f>
        <v>20190303154706248</v>
      </c>
      <c r="B7307" t="str">
        <f>"1551599226238752"</f>
        <v>1551599226238752</v>
      </c>
      <c r="C7307" t="s">
        <v>40</v>
      </c>
      <c r="D7307">
        <v>5.1820339999999998</v>
      </c>
      <c r="E7307">
        <v>0.55883649999999996</v>
      </c>
      <c r="F7307" t="s">
        <v>53</v>
      </c>
      <c r="G7307">
        <v>-169.31059999999999</v>
      </c>
      <c r="H7307">
        <v>4.6867570000000001</v>
      </c>
      <c r="I7307">
        <v>184.38210000000001</v>
      </c>
      <c r="J7307">
        <v>-188.31309999999999</v>
      </c>
      <c r="K7307">
        <v>1.1208009999999999</v>
      </c>
      <c r="L7307">
        <v>77.111969999999999</v>
      </c>
      <c r="M7307">
        <v>2.008717E-4</v>
      </c>
      <c r="N7307">
        <v>-1.45882999999999E-2</v>
      </c>
      <c r="O7307">
        <v>0.99989349999999999</v>
      </c>
      <c r="P7307">
        <v>1.4976049999999999E-2</v>
      </c>
      <c r="Q7307">
        <v>-6.5888459999999996E-2</v>
      </c>
      <c r="R7307">
        <v>0.99771460000000001</v>
      </c>
      <c r="S7307">
        <v>0.53080749999999999</v>
      </c>
      <c r="T7307">
        <v>9.9609139999999999E-2</v>
      </c>
      <c r="U7307">
        <v>3.0055540000000001</v>
      </c>
      <c r="V7307">
        <v>1.474263E-2</v>
      </c>
      <c r="W7307">
        <v>-5.1335939999999997E-2</v>
      </c>
      <c r="X7307">
        <v>0.99857260000000003</v>
      </c>
      <c r="Y7307">
        <v>0.17354839999999999</v>
      </c>
      <c r="Z7307">
        <v>4.7196620000000002E-2</v>
      </c>
      <c r="AA7307">
        <v>0.98369379999999995</v>
      </c>
      <c r="AB7307">
        <v>32</v>
      </c>
      <c r="AC7307">
        <v>19.002500000000001</v>
      </c>
      <c r="AD7307">
        <v>3.5659559999999999</v>
      </c>
      <c r="AE7307">
        <v>107.27012999999999</v>
      </c>
      <c r="AF7307">
        <v>18.9606342579713</v>
      </c>
      <c r="AG7307">
        <v>3.5659559999999999</v>
      </c>
      <c r="AH7307">
        <v>107.159128759193</v>
      </c>
      <c r="AI7307">
        <v>88.123191350963793</v>
      </c>
      <c r="AJ7307">
        <v>79.965992130927205</v>
      </c>
      <c r="AK7307">
        <v>108.882048888179</v>
      </c>
      <c r="AL7307">
        <v>92.942626211724203</v>
      </c>
      <c r="AM7307">
        <v>89.1541635386221</v>
      </c>
      <c r="AN7307">
        <v>0.99999998067287998</v>
      </c>
    </row>
    <row r="7308" spans="1:40" x14ac:dyDescent="0.25">
      <c r="A7308" t="str">
        <f>"20190303154706268"</f>
        <v>20190303154706268</v>
      </c>
      <c r="B7308" t="str">
        <f>"1551599226259247"</f>
        <v>1551599226259247</v>
      </c>
      <c r="C7308" t="s">
        <v>40</v>
      </c>
      <c r="D7308">
        <v>5.2729589999999904</v>
      </c>
      <c r="E7308">
        <v>0.553427</v>
      </c>
      <c r="F7308" t="s">
        <v>53</v>
      </c>
      <c r="G7308">
        <v>-168.41640000000001</v>
      </c>
      <c r="H7308">
        <v>4.4201639999999998</v>
      </c>
      <c r="I7308">
        <v>192.98609999999999</v>
      </c>
      <c r="J7308">
        <v>-188.31280000000001</v>
      </c>
      <c r="K7308">
        <v>1.120803</v>
      </c>
      <c r="L7308">
        <v>77.396879999999996</v>
      </c>
      <c r="M7308">
        <v>4.540697E-4</v>
      </c>
      <c r="N7308">
        <v>-1.4565750000000001E-2</v>
      </c>
      <c r="O7308">
        <v>0.99989380000000005</v>
      </c>
      <c r="P7308">
        <v>1.4724610000000001E-2</v>
      </c>
      <c r="Q7308">
        <v>-6.6277169999999996E-2</v>
      </c>
      <c r="R7308">
        <v>0.99769260000000004</v>
      </c>
      <c r="S7308">
        <v>0.5159454</v>
      </c>
      <c r="T7308">
        <v>8.5557460000000002E-2</v>
      </c>
      <c r="U7308">
        <v>3.0047609999999998</v>
      </c>
      <c r="V7308">
        <v>1.423836E-2</v>
      </c>
      <c r="W7308">
        <v>-5.1747050000000003E-2</v>
      </c>
      <c r="X7308">
        <v>0.99855870000000002</v>
      </c>
      <c r="Y7308">
        <v>0.16864779999999999</v>
      </c>
      <c r="Z7308">
        <v>4.2609769999999998E-2</v>
      </c>
      <c r="AA7308">
        <v>0.98475500000000005</v>
      </c>
      <c r="AB7308">
        <v>32</v>
      </c>
      <c r="AC7308">
        <v>19.8964</v>
      </c>
      <c r="AD7308">
        <v>3.2993610000000002</v>
      </c>
      <c r="AE7308">
        <v>115.589219999999</v>
      </c>
      <c r="AF7308">
        <v>19.828216635184202</v>
      </c>
      <c r="AG7308">
        <v>3.2993610000000002</v>
      </c>
      <c r="AH7308">
        <v>115.506842164996</v>
      </c>
      <c r="AI7308">
        <v>88.387411272886197</v>
      </c>
      <c r="AJ7308">
        <v>80.259390231684506</v>
      </c>
      <c r="AK7308">
        <v>117.242801676135</v>
      </c>
      <c r="AL7308">
        <v>92.966212423740103</v>
      </c>
      <c r="AM7308">
        <v>89.183079919564605</v>
      </c>
      <c r="AN7308">
        <v>0.99999998271244095</v>
      </c>
    </row>
    <row r="7309" spans="1:40" x14ac:dyDescent="0.25">
      <c r="A7309" t="str">
        <f>"20190303154706291"</f>
        <v>20190303154706291</v>
      </c>
      <c r="B7309" t="str">
        <f>"1551599226289504"</f>
        <v>1551599226289504</v>
      </c>
      <c r="C7309" t="s">
        <v>40</v>
      </c>
      <c r="D7309">
        <v>5.2443489999999997</v>
      </c>
      <c r="E7309">
        <v>0.54899379999999998</v>
      </c>
      <c r="F7309" t="s">
        <v>53</v>
      </c>
      <c r="G7309">
        <v>-168.41220000000001</v>
      </c>
      <c r="H7309">
        <v>2.746775</v>
      </c>
      <c r="I7309">
        <v>204.03120000000001</v>
      </c>
      <c r="J7309">
        <v>-188.31229999999999</v>
      </c>
      <c r="K7309">
        <v>1.120797</v>
      </c>
      <c r="L7309">
        <v>77.728909999999999</v>
      </c>
      <c r="M7309">
        <v>7.4916819999999999E-4</v>
      </c>
      <c r="N7309">
        <v>-1.4542609999999999E-2</v>
      </c>
      <c r="O7309">
        <v>0.99989399999999995</v>
      </c>
      <c r="P7309">
        <v>1.504398E-2</v>
      </c>
      <c r="Q7309">
        <v>-6.6422250000000002E-2</v>
      </c>
      <c r="R7309">
        <v>0.99767819999999996</v>
      </c>
      <c r="S7309">
        <v>0.47184749999999998</v>
      </c>
      <c r="T7309">
        <v>3.8552999999999997E-2</v>
      </c>
      <c r="U7309">
        <v>3.0025330000000001</v>
      </c>
      <c r="V7309">
        <v>1.426327E-2</v>
      </c>
      <c r="W7309">
        <v>-5.1915360000000001E-2</v>
      </c>
      <c r="X7309">
        <v>0.99854960000000004</v>
      </c>
      <c r="Y7309">
        <v>0.15444469999999999</v>
      </c>
      <c r="Z7309">
        <v>2.7223440000000002E-2</v>
      </c>
      <c r="AA7309">
        <v>0.98762629999999996</v>
      </c>
      <c r="AB7309">
        <v>32</v>
      </c>
      <c r="AC7309">
        <v>19.900099999999899</v>
      </c>
      <c r="AD7309">
        <v>1.6259779999999999</v>
      </c>
      <c r="AE7309">
        <v>126.30229</v>
      </c>
      <c r="AF7309">
        <v>19.802260377306101</v>
      </c>
      <c r="AG7309">
        <v>1.6259779999999999</v>
      </c>
      <c r="AH7309">
        <v>126.296740245593</v>
      </c>
      <c r="AI7309">
        <v>89.271301220852095</v>
      </c>
      <c r="AJ7309">
        <v>81.089054872663397</v>
      </c>
      <c r="AK7309">
        <v>127.85006811562501</v>
      </c>
      <c r="AL7309">
        <v>92.975868880428095</v>
      </c>
      <c r="AM7309">
        <v>89.181643455919996</v>
      </c>
      <c r="AN7309">
        <v>0.99999997456759104</v>
      </c>
    </row>
    <row r="7310" spans="1:40" x14ac:dyDescent="0.25">
      <c r="A7310" t="str">
        <f>"20190303154706312"</f>
        <v>20190303154706312</v>
      </c>
      <c r="B7310" t="str">
        <f>"1551599226309023"</f>
        <v>1551599226309023</v>
      </c>
      <c r="C7310" t="s">
        <v>40</v>
      </c>
      <c r="D7310">
        <v>5.236205</v>
      </c>
      <c r="E7310">
        <v>0.54713339999999999</v>
      </c>
      <c r="F7310" t="s">
        <v>53</v>
      </c>
      <c r="G7310">
        <v>-169.29689999999999</v>
      </c>
      <c r="H7310">
        <v>0.92472650000000001</v>
      </c>
      <c r="I7310">
        <v>208.21530000000001</v>
      </c>
      <c r="J7310">
        <v>-188.31180000000001</v>
      </c>
      <c r="K7310">
        <v>1.1207910000000001</v>
      </c>
      <c r="L7310">
        <v>78.033659999999998</v>
      </c>
      <c r="M7310">
        <v>1.019919E-3</v>
      </c>
      <c r="N7310">
        <v>-1.452383E-2</v>
      </c>
      <c r="O7310">
        <v>0.99989399999999995</v>
      </c>
      <c r="P7310">
        <v>1.5284799999999901E-2</v>
      </c>
      <c r="Q7310">
        <v>-6.601398E-2</v>
      </c>
      <c r="R7310">
        <v>0.99770159999999997</v>
      </c>
      <c r="S7310">
        <v>0.43719479999999999</v>
      </c>
      <c r="T7310">
        <v>-4.5070650000000002E-3</v>
      </c>
      <c r="U7310">
        <v>3.000092</v>
      </c>
      <c r="V7310">
        <v>1.4234220000000001E-2</v>
      </c>
      <c r="W7310">
        <v>-5.1525439999999999E-2</v>
      </c>
      <c r="X7310">
        <v>0.99857030000000002</v>
      </c>
      <c r="Y7310">
        <v>0.14316579999999901</v>
      </c>
      <c r="Z7310">
        <v>1.303618E-2</v>
      </c>
      <c r="AA7310">
        <v>0.98961290000000002</v>
      </c>
      <c r="AB7310">
        <v>32</v>
      </c>
      <c r="AC7310">
        <v>19.014900000000001</v>
      </c>
      <c r="AD7310">
        <v>-0.1960645</v>
      </c>
      <c r="AE7310">
        <v>130.18163999999999</v>
      </c>
      <c r="AF7310">
        <v>18.882059438017301</v>
      </c>
      <c r="AG7310">
        <v>-0.1960645</v>
      </c>
      <c r="AH7310">
        <v>130.20067881604299</v>
      </c>
      <c r="AI7310">
        <v>90.085386347767496</v>
      </c>
      <c r="AJ7310">
        <v>81.7483365925642</v>
      </c>
      <c r="AK7310">
        <v>131.56286472279101</v>
      </c>
      <c r="AL7310">
        <v>92.953497904092103</v>
      </c>
      <c r="AM7310">
        <v>89.1833269039915</v>
      </c>
      <c r="AN7310">
        <v>1.00000006401414</v>
      </c>
    </row>
    <row r="7311" spans="1:40" x14ac:dyDescent="0.25">
      <c r="A7311" t="str">
        <f>"20190303154706335"</f>
        <v>20190303154706335</v>
      </c>
      <c r="B7311" t="str">
        <f>"1551599226329520"</f>
        <v>1551599226329520</v>
      </c>
      <c r="C7311" t="s">
        <v>40</v>
      </c>
      <c r="D7311">
        <v>5.189629</v>
      </c>
      <c r="E7311">
        <v>0.54577089999999995</v>
      </c>
      <c r="F7311" t="s">
        <v>43</v>
      </c>
      <c r="G7311">
        <v>-167.9991</v>
      </c>
      <c r="H7311">
        <v>-0.05</v>
      </c>
      <c r="I7311">
        <v>222.04730000000001</v>
      </c>
      <c r="J7311">
        <v>-188.31120000000001</v>
      </c>
      <c r="K7311">
        <v>1.12079</v>
      </c>
      <c r="L7311">
        <v>78.359499999999997</v>
      </c>
      <c r="M7311">
        <v>1.309592E-3</v>
      </c>
      <c r="N7311">
        <v>-1.450595E-2</v>
      </c>
      <c r="O7311">
        <v>0.9998939</v>
      </c>
      <c r="P7311">
        <v>1.542404E-2</v>
      </c>
      <c r="Q7311">
        <v>-6.5550629999999999E-2</v>
      </c>
      <c r="R7311">
        <v>0.99773000000000001</v>
      </c>
      <c r="S7311">
        <v>0.42297360000000001</v>
      </c>
      <c r="T7311">
        <v>-2.437949E-2</v>
      </c>
      <c r="U7311">
        <v>2.9988100000000002</v>
      </c>
      <c r="V7311">
        <v>1.408474E-2</v>
      </c>
      <c r="W7311">
        <v>-5.1079399999999997E-2</v>
      </c>
      <c r="X7311">
        <v>0.99859529999999996</v>
      </c>
      <c r="Y7311">
        <v>0.138342299999999</v>
      </c>
      <c r="Z7311">
        <v>6.4544729999999996E-3</v>
      </c>
      <c r="AA7311">
        <v>0.9903634</v>
      </c>
      <c r="AB7311">
        <v>32</v>
      </c>
      <c r="AC7311">
        <v>20.312100000000001</v>
      </c>
      <c r="AD7311">
        <v>-1.17079</v>
      </c>
      <c r="AE7311">
        <v>143.68780000000001</v>
      </c>
      <c r="AF7311">
        <v>20.122580567766398</v>
      </c>
      <c r="AG7311">
        <v>-1.17079</v>
      </c>
      <c r="AH7311">
        <v>143.70492613597199</v>
      </c>
      <c r="AI7311">
        <v>90.4622788549798</v>
      </c>
      <c r="AJ7311">
        <v>82.028868110506096</v>
      </c>
      <c r="AK7311">
        <v>145.111663189681</v>
      </c>
      <c r="AL7311">
        <v>92.927908100643606</v>
      </c>
      <c r="AM7311">
        <v>89.191922243425907</v>
      </c>
      <c r="AN7311">
        <v>1.0000000290936499</v>
      </c>
    </row>
    <row r="7312" spans="1:40" x14ac:dyDescent="0.25">
      <c r="A7312" t="str">
        <f>"20190303154706358"</f>
        <v>20190303154706358</v>
      </c>
      <c r="B7312" t="str">
        <f>"1551599226349039"</f>
        <v>1551599226349039</v>
      </c>
      <c r="C7312" t="s">
        <v>40</v>
      </c>
      <c r="D7312">
        <v>5.1877279999999999</v>
      </c>
      <c r="E7312">
        <v>0.54432849999999999</v>
      </c>
      <c r="F7312" t="s">
        <v>41</v>
      </c>
      <c r="G7312">
        <v>-177.0094</v>
      </c>
      <c r="H7312">
        <v>7.9985699999999896E-2</v>
      </c>
      <c r="I7312">
        <v>160.49109999999999</v>
      </c>
      <c r="J7312">
        <v>-188.31039999999999</v>
      </c>
      <c r="K7312">
        <v>1.1207929999999999</v>
      </c>
      <c r="L7312">
        <v>78.678250000000006</v>
      </c>
      <c r="M7312">
        <v>1.593021E-3</v>
      </c>
      <c r="N7312">
        <v>-1.4490660000000001E-2</v>
      </c>
      <c r="O7312">
        <v>0.9998937</v>
      </c>
      <c r="P7312">
        <v>1.6265080000000001E-2</v>
      </c>
      <c r="Q7312">
        <v>-6.5976309999999996E-2</v>
      </c>
      <c r="R7312">
        <v>0.99768860000000004</v>
      </c>
      <c r="S7312">
        <v>0.41253659999999998</v>
      </c>
      <c r="T7312">
        <v>-3.7991289999999997E-2</v>
      </c>
      <c r="U7312">
        <v>2.9979550000000001</v>
      </c>
      <c r="V7312">
        <v>1.4642830000000001E-2</v>
      </c>
      <c r="W7312">
        <v>-5.152118E-2</v>
      </c>
      <c r="X7312">
        <v>0.99856449999999997</v>
      </c>
      <c r="Y7312">
        <v>0.13471639999999999</v>
      </c>
      <c r="Z7312">
        <v>1.9347850000000001E-3</v>
      </c>
      <c r="AA7312">
        <v>0.99088229999999999</v>
      </c>
      <c r="AB7312">
        <v>32</v>
      </c>
      <c r="AC7312">
        <v>11.300999999999901</v>
      </c>
      <c r="AD7312">
        <v>-1.0408073</v>
      </c>
      <c r="AE7312">
        <v>81.812849999999898</v>
      </c>
      <c r="AF7312">
        <v>11.168868605395501</v>
      </c>
      <c r="AG7312">
        <v>-1.0408073</v>
      </c>
      <c r="AH7312">
        <v>81.817756975717401</v>
      </c>
      <c r="AI7312">
        <v>90.722126288888603</v>
      </c>
      <c r="AJ7312">
        <v>82.226651676107707</v>
      </c>
      <c r="AK7312">
        <v>82.583123350342504</v>
      </c>
      <c r="AL7312">
        <v>92.953253828912196</v>
      </c>
      <c r="AM7312">
        <v>89.159881777975301</v>
      </c>
      <c r="AN7312">
        <v>0.99999995255962404</v>
      </c>
    </row>
    <row r="7313" spans="1:40" x14ac:dyDescent="0.25">
      <c r="A7313" t="str">
        <f>"20190303154706380"</f>
        <v>20190303154706380</v>
      </c>
      <c r="B7313" t="str">
        <f>"1551599226369536"</f>
        <v>1551599226369536</v>
      </c>
      <c r="C7313" t="s">
        <v>40</v>
      </c>
      <c r="D7313">
        <v>5.2476029999999998</v>
      </c>
      <c r="E7313">
        <v>0.54340200000000005</v>
      </c>
      <c r="F7313" t="s">
        <v>61</v>
      </c>
      <c r="G7313">
        <v>-179.54220000000001</v>
      </c>
      <c r="H7313" s="1">
        <v>-9.8619180000000005E-6</v>
      </c>
      <c r="I7313">
        <v>143.81829999999999</v>
      </c>
      <c r="J7313">
        <v>-188.30959999999999</v>
      </c>
      <c r="K7313">
        <v>1.120787</v>
      </c>
      <c r="L7313">
        <v>78.993499999999997</v>
      </c>
      <c r="M7313">
        <v>1.8731850000000001E-3</v>
      </c>
      <c r="N7313">
        <v>-1.4477E-2</v>
      </c>
      <c r="O7313">
        <v>0.99989340000000004</v>
      </c>
      <c r="P7313">
        <v>1.66982E-2</v>
      </c>
      <c r="Q7313">
        <v>-6.5947069999999997E-2</v>
      </c>
      <c r="R7313">
        <v>0.9976834</v>
      </c>
      <c r="S7313">
        <v>0.40341189999999999</v>
      </c>
      <c r="T7313">
        <v>-5.156612E-2</v>
      </c>
      <c r="U7313">
        <v>2.9969790000000001</v>
      </c>
      <c r="V7313">
        <v>1.4796460000000001E-2</v>
      </c>
      <c r="W7313">
        <v>-5.1505670000000003E-2</v>
      </c>
      <c r="X7313">
        <v>0.99856310000000004</v>
      </c>
      <c r="Y7313">
        <v>0.13151589999999999</v>
      </c>
      <c r="Z7313">
        <v>-2.577013E-3</v>
      </c>
      <c r="AA7313">
        <v>0.99131069999999999</v>
      </c>
      <c r="AB7313">
        <v>32</v>
      </c>
      <c r="AC7313">
        <v>8.7673999999999808</v>
      </c>
      <c r="AD7313">
        <v>-1.120796861918</v>
      </c>
      <c r="AE7313">
        <v>64.824799999999996</v>
      </c>
      <c r="AF7313">
        <v>8.6434056681560403</v>
      </c>
      <c r="AG7313">
        <v>-1.120796861918</v>
      </c>
      <c r="AH7313">
        <v>64.822081661381006</v>
      </c>
      <c r="AI7313">
        <v>90.981877167375401</v>
      </c>
      <c r="AJ7313">
        <v>82.404955886718795</v>
      </c>
      <c r="AK7313">
        <v>65.405404349065407</v>
      </c>
      <c r="AL7313">
        <v>92.952363799542795</v>
      </c>
      <c r="AM7313">
        <v>89.151067498415202</v>
      </c>
      <c r="AN7313">
        <v>1.00000001697614</v>
      </c>
    </row>
    <row r="7314" spans="1:40" x14ac:dyDescent="0.25">
      <c r="A7314" t="str">
        <f>"20190303154706402"</f>
        <v>20190303154706402</v>
      </c>
      <c r="B7314" t="str">
        <f>"1551599226398815"</f>
        <v>1551599226398815</v>
      </c>
      <c r="C7314" t="s">
        <v>40</v>
      </c>
      <c r="D7314">
        <v>5.1953129999999996</v>
      </c>
      <c r="E7314">
        <v>0.54234890000000002</v>
      </c>
      <c r="F7314" t="s">
        <v>61</v>
      </c>
      <c r="G7314">
        <v>-180.89709999999999</v>
      </c>
      <c r="H7314" s="1">
        <v>-7.19404999999999E-6</v>
      </c>
      <c r="I7314">
        <v>134.8913</v>
      </c>
      <c r="J7314">
        <v>-188.30869999999999</v>
      </c>
      <c r="K7314">
        <v>1.1207720000000001</v>
      </c>
      <c r="L7314">
        <v>79.307459999999907</v>
      </c>
      <c r="M7314">
        <v>2.1524629999999999E-3</v>
      </c>
      <c r="N7314">
        <v>-1.4464589999999999E-2</v>
      </c>
      <c r="O7314">
        <v>0.99989309999999998</v>
      </c>
      <c r="P7314">
        <v>1.750473E-2</v>
      </c>
      <c r="Q7314">
        <v>-6.5771319999999994E-2</v>
      </c>
      <c r="R7314">
        <v>0.99768120000000005</v>
      </c>
      <c r="S7314">
        <v>0.39733889999999999</v>
      </c>
      <c r="T7314">
        <v>-6.0078859999999998E-2</v>
      </c>
      <c r="U7314">
        <v>2.9963380000000002</v>
      </c>
      <c r="V7314">
        <v>1.5324519999999999E-2</v>
      </c>
      <c r="W7314">
        <v>-5.1342579999999999E-2</v>
      </c>
      <c r="X7314">
        <v>0.99856350000000005</v>
      </c>
      <c r="Y7314">
        <v>0.12928919999999999</v>
      </c>
      <c r="Z7314">
        <v>-5.4138379999999998E-3</v>
      </c>
      <c r="AA7314">
        <v>0.99159219999999904</v>
      </c>
      <c r="AB7314">
        <v>32</v>
      </c>
      <c r="AC7314">
        <v>7.4115999999999902</v>
      </c>
      <c r="AD7314">
        <v>-1.12077919404999</v>
      </c>
      <c r="AE7314">
        <v>55.583840000000002</v>
      </c>
      <c r="AF7314">
        <v>7.2890163770891601</v>
      </c>
      <c r="AG7314">
        <v>-1.12077919404999</v>
      </c>
      <c r="AH7314">
        <v>55.577464286799199</v>
      </c>
      <c r="AI7314">
        <v>91.145467631579805</v>
      </c>
      <c r="AJ7314">
        <v>82.528269947964702</v>
      </c>
      <c r="AK7314">
        <v>56.064609534872602</v>
      </c>
      <c r="AL7314">
        <v>92.943007152739995</v>
      </c>
      <c r="AM7314">
        <v>89.120775595715799</v>
      </c>
      <c r="AN7314">
        <v>0.99999998248326805</v>
      </c>
    </row>
    <row r="7315" spans="1:40" x14ac:dyDescent="0.25">
      <c r="A7315" t="str">
        <f>"20190303154706427"</f>
        <v>20190303154706427</v>
      </c>
      <c r="B7315" t="str">
        <f>"1551599226419311"</f>
        <v>1551599226419311</v>
      </c>
      <c r="C7315" t="s">
        <v>40</v>
      </c>
      <c r="D7315">
        <v>5.1934079999999998</v>
      </c>
      <c r="E7315">
        <v>0.54175240000000002</v>
      </c>
      <c r="F7315" t="s">
        <v>61</v>
      </c>
      <c r="G7315">
        <v>-182.0522</v>
      </c>
      <c r="H7315" s="1">
        <v>-4.5165680000000001E-6</v>
      </c>
      <c r="I7315">
        <v>127.2145</v>
      </c>
      <c r="J7315">
        <v>-188.30760000000001</v>
      </c>
      <c r="K7315">
        <v>1.120773</v>
      </c>
      <c r="L7315">
        <v>79.653469999999999</v>
      </c>
      <c r="M7315">
        <v>2.4605149999999999E-3</v>
      </c>
      <c r="N7315">
        <v>-1.4452329999999999E-2</v>
      </c>
      <c r="O7315">
        <v>0.99989249999999996</v>
      </c>
      <c r="P7315">
        <v>1.8029150000000001E-2</v>
      </c>
      <c r="Q7315">
        <v>-6.6789409999999994E-2</v>
      </c>
      <c r="R7315">
        <v>0.99760420000000005</v>
      </c>
      <c r="S7315">
        <v>0.39120480000000002</v>
      </c>
      <c r="T7315">
        <v>-7.0078849999999998E-2</v>
      </c>
      <c r="U7315">
        <v>2.9954830000000001</v>
      </c>
      <c r="V7315">
        <v>1.554119E-2</v>
      </c>
      <c r="W7315">
        <v>-5.2373950000000002E-2</v>
      </c>
      <c r="X7315">
        <v>0.99850660000000002</v>
      </c>
      <c r="Y7315">
        <v>0.12701869999999901</v>
      </c>
      <c r="Z7315">
        <v>-8.7466690000000003E-3</v>
      </c>
      <c r="AA7315">
        <v>0.99186180000000002</v>
      </c>
      <c r="AB7315">
        <v>32</v>
      </c>
      <c r="AC7315">
        <v>6.2553999999999998</v>
      </c>
      <c r="AD7315">
        <v>-1.1207775165680001</v>
      </c>
      <c r="AE7315">
        <v>47.561030000000002</v>
      </c>
      <c r="AF7315">
        <v>6.13499530576056</v>
      </c>
      <c r="AG7315">
        <v>-1.1207775165680001</v>
      </c>
      <c r="AH7315">
        <v>47.550322895903498</v>
      </c>
      <c r="AI7315">
        <v>91.339135455192903</v>
      </c>
      <c r="AJ7315">
        <v>82.648249077817198</v>
      </c>
      <c r="AK7315">
        <v>47.957559541202997</v>
      </c>
      <c r="AL7315">
        <v>93.002179887358906</v>
      </c>
      <c r="AM7315">
        <v>89.108295626505196</v>
      </c>
      <c r="AN7315">
        <v>0.99999999473438905</v>
      </c>
    </row>
    <row r="7316" spans="1:40" x14ac:dyDescent="0.25">
      <c r="A7316" t="str">
        <f>"20190303154706469"</f>
        <v>20190303154706469</v>
      </c>
      <c r="B7316" t="str">
        <f>"1551599226459328"</f>
        <v>1551599226459328</v>
      </c>
      <c r="C7316" t="s">
        <v>40</v>
      </c>
      <c r="D7316">
        <v>5.3157930000000002</v>
      </c>
      <c r="E7316">
        <v>0.57064559999999998</v>
      </c>
      <c r="F7316" t="s">
        <v>61</v>
      </c>
      <c r="G7316">
        <v>-182.75389999999999</v>
      </c>
      <c r="H7316" s="1">
        <v>-2.7746859999999999E-6</v>
      </c>
      <c r="I7316">
        <v>122.5292</v>
      </c>
      <c r="J7316">
        <v>-188.30549999999999</v>
      </c>
      <c r="K7316">
        <v>1.1207739999999999</v>
      </c>
      <c r="L7316">
        <v>80.249110000000002</v>
      </c>
      <c r="M7316">
        <v>2.990655E-3</v>
      </c>
      <c r="N7316">
        <v>-1.443385E-2</v>
      </c>
      <c r="O7316">
        <v>0.99989130000000004</v>
      </c>
      <c r="P7316">
        <v>1.9626279999999999E-2</v>
      </c>
      <c r="Q7316">
        <v>-6.7306820000000003E-2</v>
      </c>
      <c r="R7316">
        <v>0.99753930000000002</v>
      </c>
      <c r="S7316">
        <v>0.38793949999999999</v>
      </c>
      <c r="T7316">
        <v>-7.8288670000000005E-2</v>
      </c>
      <c r="U7316">
        <v>2.9949650000000001</v>
      </c>
      <c r="V7316">
        <v>1.6609349999999998E-2</v>
      </c>
      <c r="W7316">
        <v>-5.2911140000000002E-2</v>
      </c>
      <c r="X7316">
        <v>0.99846109999999999</v>
      </c>
      <c r="Y7316">
        <v>0.1254458</v>
      </c>
      <c r="Z7316">
        <v>-1.1490709999999999E-2</v>
      </c>
      <c r="AA7316">
        <v>0.99203399999999997</v>
      </c>
      <c r="AB7316">
        <v>32</v>
      </c>
      <c r="AC7316">
        <v>5.5515999999999996</v>
      </c>
      <c r="AD7316">
        <v>-1.120776774686</v>
      </c>
      <c r="AE7316">
        <v>42.280090000000001</v>
      </c>
      <c r="AF7316">
        <v>5.4213718256546599</v>
      </c>
      <c r="AG7316">
        <v>-1.120776774686</v>
      </c>
      <c r="AH7316">
        <v>42.267307935451498</v>
      </c>
      <c r="AI7316">
        <v>91.506585201178595</v>
      </c>
      <c r="AJ7316">
        <v>82.690924811429696</v>
      </c>
      <c r="AK7316">
        <v>42.628309058194702</v>
      </c>
      <c r="AL7316">
        <v>93.033001286447401</v>
      </c>
      <c r="AM7316">
        <v>89.046975500856604</v>
      </c>
      <c r="AN7316">
        <v>1.00000001372836</v>
      </c>
    </row>
    <row r="7317" spans="1:40" x14ac:dyDescent="0.25">
      <c r="A7317" t="str">
        <f>"20190303154706490"</f>
        <v>20190303154706490</v>
      </c>
      <c r="B7317" t="str">
        <f>"1551599226478847"</f>
        <v>1551599226478847</v>
      </c>
      <c r="C7317" t="s">
        <v>40</v>
      </c>
      <c r="D7317">
        <v>5.1826339999999904</v>
      </c>
      <c r="E7317">
        <v>0.58158889999999996</v>
      </c>
      <c r="F7317" t="s">
        <v>53</v>
      </c>
      <c r="G7317">
        <v>-169.03219999999999</v>
      </c>
      <c r="H7317">
        <v>1.0533360000000001</v>
      </c>
      <c r="I7317">
        <v>172.69139999999999</v>
      </c>
      <c r="J7317">
        <v>-188.30430000000001</v>
      </c>
      <c r="K7317">
        <v>1.12077</v>
      </c>
      <c r="L7317">
        <v>80.56183</v>
      </c>
      <c r="M7317">
        <v>3.2691180000000001E-3</v>
      </c>
      <c r="N7317">
        <v>-1.442534E-2</v>
      </c>
      <c r="O7317">
        <v>0.99989059999999996</v>
      </c>
      <c r="P7317">
        <v>1.9912240000000001E-2</v>
      </c>
      <c r="Q7317">
        <v>-6.7575720000000006E-2</v>
      </c>
      <c r="R7317">
        <v>0.99751540000000005</v>
      </c>
      <c r="S7317">
        <v>0.62442019999999998</v>
      </c>
      <c r="T7317">
        <v>-2.1837950000000001E-3</v>
      </c>
      <c r="U7317">
        <v>2.9949650000000001</v>
      </c>
      <c r="V7317">
        <v>1.6617469999999999E-2</v>
      </c>
      <c r="W7317">
        <v>-5.3188729999999997E-2</v>
      </c>
      <c r="X7317">
        <v>0.99844619999999995</v>
      </c>
      <c r="Y7317">
        <v>0.2008587</v>
      </c>
      <c r="Z7317">
        <v>1.37065E-2</v>
      </c>
      <c r="AA7317">
        <v>0.97952430000000001</v>
      </c>
      <c r="AB7317">
        <v>32</v>
      </c>
      <c r="AC7317">
        <v>19.272099999999998</v>
      </c>
      <c r="AD7317">
        <v>-6.7433999999999994E-2</v>
      </c>
      <c r="AE7317">
        <v>92.129570000000001</v>
      </c>
      <c r="AF7317">
        <v>18.970773480425802</v>
      </c>
      <c r="AG7317">
        <v>-6.7433999999999994E-2</v>
      </c>
      <c r="AH7317">
        <v>92.192039600323199</v>
      </c>
      <c r="AI7317">
        <v>90.041049010885104</v>
      </c>
      <c r="AJ7317">
        <v>78.372292795619998</v>
      </c>
      <c r="AK7317">
        <v>94.123679058234501</v>
      </c>
      <c r="AL7317">
        <v>93.048928497984306</v>
      </c>
      <c r="AM7317">
        <v>89.046495444543098</v>
      </c>
      <c r="AN7317">
        <v>0.99999999780132598</v>
      </c>
    </row>
    <row r="7318" spans="1:40" x14ac:dyDescent="0.25">
      <c r="A7318" t="str">
        <f>"20190303154706513"</f>
        <v>20190303154706513</v>
      </c>
      <c r="B7318" t="str">
        <f>"1551599226509103"</f>
        <v>1551599226509103</v>
      </c>
      <c r="C7318" t="s">
        <v>40</v>
      </c>
      <c r="D7318">
        <v>5.2241200000000001</v>
      </c>
      <c r="E7318">
        <v>0.58720839999999996</v>
      </c>
      <c r="F7318" t="s">
        <v>53</v>
      </c>
      <c r="G7318">
        <v>-166.71860000000001</v>
      </c>
      <c r="H7318">
        <v>0.42548750000000002</v>
      </c>
      <c r="I7318">
        <v>171.25649999999999</v>
      </c>
      <c r="J7318">
        <v>-188.30289999999999</v>
      </c>
      <c r="K7318">
        <v>1.1207659999999999</v>
      </c>
      <c r="L7318">
        <v>80.885769999999994</v>
      </c>
      <c r="M7318">
        <v>3.5576330000000001E-3</v>
      </c>
      <c r="N7318">
        <v>-1.4417289999999999E-2</v>
      </c>
      <c r="O7318">
        <v>0.99988969999999999</v>
      </c>
      <c r="P7318">
        <v>2.0220700000000001E-2</v>
      </c>
      <c r="Q7318">
        <v>-6.7917920000000007E-2</v>
      </c>
      <c r="R7318">
        <v>0.99748599999999998</v>
      </c>
      <c r="S7318">
        <v>0.71203609999999995</v>
      </c>
      <c r="T7318">
        <v>-2.293384E-2</v>
      </c>
      <c r="U7318">
        <v>2.9916990000000001</v>
      </c>
      <c r="V7318">
        <v>1.663806E-2</v>
      </c>
      <c r="W7318">
        <v>-5.3539290000000003E-2</v>
      </c>
      <c r="X7318">
        <v>0.99842710000000001</v>
      </c>
      <c r="Y7318">
        <v>0.2280326</v>
      </c>
      <c r="Z7318">
        <v>6.951273E-3</v>
      </c>
      <c r="AA7318">
        <v>0.97362870000000001</v>
      </c>
      <c r="AB7318">
        <v>32</v>
      </c>
      <c r="AC7318">
        <v>21.584299999999899</v>
      </c>
      <c r="AD7318">
        <v>-0.69527849999999902</v>
      </c>
      <c r="AE7318">
        <v>90.370729999999995</v>
      </c>
      <c r="AF7318">
        <v>21.261433469109601</v>
      </c>
      <c r="AG7318">
        <v>-0.69527849999999902</v>
      </c>
      <c r="AH7318">
        <v>90.441890464982507</v>
      </c>
      <c r="AI7318">
        <v>90.428768666495799</v>
      </c>
      <c r="AJ7318">
        <v>76.770892674995196</v>
      </c>
      <c r="AK7318">
        <v>92.909996858431995</v>
      </c>
      <c r="AL7318">
        <v>93.069042829831503</v>
      </c>
      <c r="AM7318">
        <v>89.045295956303093</v>
      </c>
      <c r="AN7318">
        <v>0.99999997731433798</v>
      </c>
    </row>
    <row r="7319" spans="1:40" x14ac:dyDescent="0.25">
      <c r="A7319" t="str">
        <f>"20190303154706538"</f>
        <v>20190303154706538</v>
      </c>
      <c r="B7319" t="str">
        <f>"1551599226528624"</f>
        <v>1551599226528624</v>
      </c>
      <c r="C7319" t="s">
        <v>40</v>
      </c>
      <c r="D7319">
        <v>5.4217829999999996</v>
      </c>
      <c r="E7319">
        <v>0.58734209999999998</v>
      </c>
      <c r="F7319" t="s">
        <v>53</v>
      </c>
      <c r="G7319">
        <v>-165.67449999999999</v>
      </c>
      <c r="H7319">
        <v>0.40534110000000001</v>
      </c>
      <c r="I7319">
        <v>170.21360000000001</v>
      </c>
      <c r="J7319">
        <v>-188.3014</v>
      </c>
      <c r="K7319">
        <v>1.1207579999999999</v>
      </c>
      <c r="L7319">
        <v>81.224760000000003</v>
      </c>
      <c r="M7319">
        <v>3.8596680000000001E-3</v>
      </c>
      <c r="N7319">
        <v>-1.4409659999999999E-2</v>
      </c>
      <c r="O7319">
        <v>0.99988869999999996</v>
      </c>
      <c r="P7319">
        <v>2.027087E-2</v>
      </c>
      <c r="Q7319">
        <v>-6.8152030000000002E-2</v>
      </c>
      <c r="R7319">
        <v>0.99746900000000005</v>
      </c>
      <c r="S7319">
        <v>0.75756840000000003</v>
      </c>
      <c r="T7319">
        <v>-2.3950340000000001E-2</v>
      </c>
      <c r="U7319">
        <v>2.99057</v>
      </c>
      <c r="V7319">
        <v>1.638688E-2</v>
      </c>
      <c r="W7319">
        <v>-5.3780979999999999E-2</v>
      </c>
      <c r="X7319">
        <v>0.99841829999999998</v>
      </c>
      <c r="Y7319">
        <v>0.2417755</v>
      </c>
      <c r="Z7319">
        <v>6.6362579999999999E-3</v>
      </c>
      <c r="AA7319">
        <v>0.97030959999999999</v>
      </c>
      <c r="AB7319">
        <v>32</v>
      </c>
      <c r="AC7319">
        <v>22.626899999999999</v>
      </c>
      <c r="AD7319">
        <v>-0.71541689999999902</v>
      </c>
      <c r="AE7319">
        <v>88.988839999999996</v>
      </c>
      <c r="AF7319">
        <v>22.281875707304799</v>
      </c>
      <c r="AG7319">
        <v>-0.71541689999999902</v>
      </c>
      <c r="AH7319">
        <v>89.070111225058497</v>
      </c>
      <c r="AI7319">
        <v>90.446436925816201</v>
      </c>
      <c r="AJ7319">
        <v>75.955070256409698</v>
      </c>
      <c r="AK7319">
        <v>91.817637303629596</v>
      </c>
      <c r="AL7319">
        <v>93.082910517833398</v>
      </c>
      <c r="AM7319">
        <v>89.059697954534101</v>
      </c>
      <c r="AN7319">
        <v>1.0000000127103901</v>
      </c>
    </row>
    <row r="7320" spans="1:40" x14ac:dyDescent="0.25">
      <c r="A7320" t="str">
        <f>"20190303154706559"</f>
        <v>20190303154706559</v>
      </c>
      <c r="B7320" t="str">
        <f>"1551599226549120"</f>
        <v>1551599226549120</v>
      </c>
      <c r="C7320" t="s">
        <v>40</v>
      </c>
      <c r="D7320">
        <v>5.4451700000000001</v>
      </c>
      <c r="E7320">
        <v>0.58669499999999997</v>
      </c>
      <c r="F7320" t="s">
        <v>53</v>
      </c>
      <c r="G7320">
        <v>-165.70519999999999</v>
      </c>
      <c r="H7320">
        <v>0.46645449999999999</v>
      </c>
      <c r="I7320">
        <v>170.24420000000001</v>
      </c>
      <c r="J7320">
        <v>-188.29990000000001</v>
      </c>
      <c r="K7320">
        <v>1.1207579999999999</v>
      </c>
      <c r="L7320">
        <v>81.527799999999999</v>
      </c>
      <c r="M7320">
        <v>4.1299559999999997E-3</v>
      </c>
      <c r="N7320">
        <v>-1.4403269999999999E-2</v>
      </c>
      <c r="O7320">
        <v>0.99988779999999999</v>
      </c>
      <c r="P7320">
        <v>2.049463E-2</v>
      </c>
      <c r="Q7320">
        <v>-6.8139279999999997E-2</v>
      </c>
      <c r="R7320">
        <v>0.9974653</v>
      </c>
      <c r="S7320">
        <v>0.75913999999999904</v>
      </c>
      <c r="T7320">
        <v>-2.1980880000000001E-2</v>
      </c>
      <c r="U7320">
        <v>2.9906920000000001</v>
      </c>
      <c r="V7320">
        <v>1.6341100000000001E-2</v>
      </c>
      <c r="W7320">
        <v>-5.3774519999999999E-2</v>
      </c>
      <c r="X7320">
        <v>0.99841939999999996</v>
      </c>
      <c r="Y7320">
        <v>0.2419829</v>
      </c>
      <c r="Z7320">
        <v>7.2689440000000003E-3</v>
      </c>
      <c r="AA7320">
        <v>0.97025329999999999</v>
      </c>
      <c r="AB7320">
        <v>32</v>
      </c>
      <c r="AC7320">
        <v>22.5947</v>
      </c>
      <c r="AD7320">
        <v>-0.65430349999999904</v>
      </c>
      <c r="AE7320">
        <v>88.716399999999993</v>
      </c>
      <c r="AF7320">
        <v>22.226939082172699</v>
      </c>
      <c r="AG7320">
        <v>-0.65430349999999904</v>
      </c>
      <c r="AH7320">
        <v>88.804431846319304</v>
      </c>
      <c r="AI7320">
        <v>90.409511056689794</v>
      </c>
      <c r="AJ7320">
        <v>75.948071963874995</v>
      </c>
      <c r="AK7320">
        <v>91.546119795326703</v>
      </c>
      <c r="AL7320">
        <v>93.082539845435605</v>
      </c>
      <c r="AM7320">
        <v>89.062325438042706</v>
      </c>
      <c r="AN7320">
        <v>1.0000000144234</v>
      </c>
    </row>
    <row r="7321" spans="1:40" x14ac:dyDescent="0.25">
      <c r="A7321" t="str">
        <f>"20190303154706584"</f>
        <v>20190303154706584</v>
      </c>
      <c r="B7321" t="str">
        <f>"1551599226579376"</f>
        <v>1551599226579376</v>
      </c>
      <c r="C7321" t="s">
        <v>40</v>
      </c>
      <c r="D7321">
        <v>5.3771440000000004</v>
      </c>
      <c r="E7321">
        <v>0.5860552</v>
      </c>
      <c r="F7321" t="s">
        <v>61</v>
      </c>
      <c r="G7321">
        <v>-172.4933</v>
      </c>
      <c r="H7321" s="1">
        <v>-6.1966199999999896E-6</v>
      </c>
      <c r="I7321">
        <v>144.1696</v>
      </c>
      <c r="J7321">
        <v>-188.29820000000001</v>
      </c>
      <c r="K7321">
        <v>1.120757</v>
      </c>
      <c r="L7321">
        <v>81.87012</v>
      </c>
      <c r="M7321">
        <v>4.4349649999999999E-3</v>
      </c>
      <c r="N7321">
        <v>-1.43965E-2</v>
      </c>
      <c r="O7321">
        <v>0.99988650000000001</v>
      </c>
      <c r="P7321">
        <v>2.0261930000000001E-2</v>
      </c>
      <c r="Q7321">
        <v>-6.8240140000000005E-2</v>
      </c>
      <c r="R7321">
        <v>0.99746319999999999</v>
      </c>
      <c r="S7321">
        <v>0.75408940000000002</v>
      </c>
      <c r="T7321">
        <v>-5.3468469999999997E-2</v>
      </c>
      <c r="U7321">
        <v>2.988464</v>
      </c>
      <c r="V7321">
        <v>1.5804120000000001E-2</v>
      </c>
      <c r="W7321">
        <v>-5.3881749999999999E-2</v>
      </c>
      <c r="X7321">
        <v>0.99842229999999998</v>
      </c>
      <c r="Y7321">
        <v>0.2403063</v>
      </c>
      <c r="Z7321">
        <v>-2.9663609999999998E-3</v>
      </c>
      <c r="AA7321">
        <v>0.97069260000000002</v>
      </c>
      <c r="AB7321">
        <v>31</v>
      </c>
      <c r="AC7321">
        <v>15.8049</v>
      </c>
      <c r="AD7321">
        <v>-1.12076319662</v>
      </c>
      <c r="AE7321">
        <v>62.299480000000003</v>
      </c>
      <c r="AF7321">
        <v>15.5236996189898</v>
      </c>
      <c r="AG7321">
        <v>-1.12076319662</v>
      </c>
      <c r="AH7321">
        <v>62.3500100039888</v>
      </c>
      <c r="AI7321">
        <v>90.999299883231998</v>
      </c>
      <c r="AJ7321">
        <v>76.018951808027197</v>
      </c>
      <c r="AK7321">
        <v>64.263248497885897</v>
      </c>
      <c r="AL7321">
        <v>93.088692478354005</v>
      </c>
      <c r="AM7321">
        <v>89.093135481767902</v>
      </c>
      <c r="AN7321">
        <v>1.0000000511646601</v>
      </c>
    </row>
    <row r="7322" spans="1:40" x14ac:dyDescent="0.25">
      <c r="A7322" t="str">
        <f>"20190303154706629"</f>
        <v>20190303154706629</v>
      </c>
      <c r="B7322" t="str">
        <f>"1551599226619392"</f>
        <v>1551599226619392</v>
      </c>
      <c r="C7322" t="s">
        <v>40</v>
      </c>
      <c r="D7322">
        <v>5.3819919999999897</v>
      </c>
      <c r="E7322">
        <v>0.58541549999999998</v>
      </c>
      <c r="F7322" t="s">
        <v>41</v>
      </c>
      <c r="G7322">
        <v>-178.96940000000001</v>
      </c>
      <c r="H7322">
        <v>7.9986719999999997E-2</v>
      </c>
      <c r="I7322">
        <v>119.11409999999999</v>
      </c>
      <c r="J7322">
        <v>-188.29480000000001</v>
      </c>
      <c r="K7322">
        <v>1.1207590000000001</v>
      </c>
      <c r="L7322">
        <v>82.490139999999997</v>
      </c>
      <c r="M7322">
        <v>4.9878700000000002E-3</v>
      </c>
      <c r="N7322">
        <v>-1.438534E-2</v>
      </c>
      <c r="O7322">
        <v>0.99988410000000005</v>
      </c>
      <c r="P7322">
        <v>1.9835249999999999E-2</v>
      </c>
      <c r="Q7322">
        <v>-6.8931119999999999E-2</v>
      </c>
      <c r="R7322">
        <v>0.99742419999999998</v>
      </c>
      <c r="S7322">
        <v>0.74810790000000005</v>
      </c>
      <c r="T7322">
        <v>-8.346307E-2</v>
      </c>
      <c r="U7322">
        <v>2.9867249999999999</v>
      </c>
      <c r="V7322">
        <v>1.482575E-2</v>
      </c>
      <c r="W7322">
        <v>-5.4583640000000003E-2</v>
      </c>
      <c r="X7322">
        <v>0.99839909999999998</v>
      </c>
      <c r="Y7322">
        <v>0.2380401</v>
      </c>
      <c r="Z7322">
        <v>-1.2739469999999999E-2</v>
      </c>
      <c r="AA7322">
        <v>0.97117180000000003</v>
      </c>
      <c r="AB7322">
        <v>31</v>
      </c>
      <c r="AC7322">
        <v>9.3254000000000001</v>
      </c>
      <c r="AD7322">
        <v>-1.0407722800000001</v>
      </c>
      <c r="AE7322">
        <v>36.623959999999997</v>
      </c>
      <c r="AF7322">
        <v>9.1356610265053302</v>
      </c>
      <c r="AG7322">
        <v>-1.0407722800000001</v>
      </c>
      <c r="AH7322">
        <v>36.642233515416201</v>
      </c>
      <c r="AI7322">
        <v>91.578670055538595</v>
      </c>
      <c r="AJ7322">
        <v>76.000403183774395</v>
      </c>
      <c r="AK7322">
        <v>37.778258116651102</v>
      </c>
      <c r="AL7322">
        <v>93.1289673379558</v>
      </c>
      <c r="AM7322">
        <v>89.149247556181706</v>
      </c>
      <c r="AN7322">
        <v>0.99999996974976002</v>
      </c>
    </row>
    <row r="7323" spans="1:40" x14ac:dyDescent="0.25">
      <c r="A7323" t="str">
        <f>"20190303154706650"</f>
        <v>20190303154706650</v>
      </c>
      <c r="B7323" t="str">
        <f>"1551599226638912"</f>
        <v>1551599226638912</v>
      </c>
      <c r="C7323" t="s">
        <v>40</v>
      </c>
      <c r="D7323">
        <v>5.3807229999999997</v>
      </c>
      <c r="E7323">
        <v>0.58526119999999904</v>
      </c>
      <c r="F7323" t="s">
        <v>41</v>
      </c>
      <c r="G7323">
        <v>-180.6002</v>
      </c>
      <c r="H7323" s="1">
        <v>-3.8027259999999999E-6</v>
      </c>
      <c r="I7323">
        <v>113.4731</v>
      </c>
      <c r="J7323">
        <v>-188.2929</v>
      </c>
      <c r="K7323">
        <v>1.12076</v>
      </c>
      <c r="L7323">
        <v>82.802059999999997</v>
      </c>
      <c r="M7323">
        <v>5.2660550000000004E-3</v>
      </c>
      <c r="N7323">
        <v>-1.4380179999999999E-2</v>
      </c>
      <c r="O7323">
        <v>0.99988279999999996</v>
      </c>
      <c r="P7323">
        <v>1.9522129999999999E-2</v>
      </c>
      <c r="Q7323">
        <v>-6.931031E-2</v>
      </c>
      <c r="R7323">
        <v>0.99740410000000002</v>
      </c>
      <c r="S7323">
        <v>0.74145509999999903</v>
      </c>
      <c r="T7323">
        <v>-0.10799839999999999</v>
      </c>
      <c r="U7323">
        <v>2.9855649999999998</v>
      </c>
      <c r="V7323">
        <v>1.4235050000000001E-2</v>
      </c>
      <c r="W7323">
        <v>-5.4967809999999999E-2</v>
      </c>
      <c r="X7323">
        <v>0.99838660000000001</v>
      </c>
      <c r="Y7323">
        <v>0.23577600000000001</v>
      </c>
      <c r="Z7323">
        <v>-2.0741619999999999E-2</v>
      </c>
      <c r="AA7323">
        <v>0.97158599999999995</v>
      </c>
      <c r="AB7323">
        <v>31</v>
      </c>
      <c r="AC7323">
        <v>7.6927000000000003</v>
      </c>
      <c r="AD7323">
        <v>-1.1207638027259901</v>
      </c>
      <c r="AE7323">
        <v>30.671040000000001</v>
      </c>
      <c r="AF7323">
        <v>7.5216122177724296</v>
      </c>
      <c r="AG7323">
        <v>-1.1207638027259901</v>
      </c>
      <c r="AH7323">
        <v>30.672596575193801</v>
      </c>
      <c r="AI7323">
        <v>92.032467295265107</v>
      </c>
      <c r="AJ7323">
        <v>76.221671034276099</v>
      </c>
      <c r="AK7323">
        <v>31.601249065830199</v>
      </c>
      <c r="AL7323">
        <v>93.151011816572904</v>
      </c>
      <c r="AM7323">
        <v>89.183129036396807</v>
      </c>
      <c r="AN7323">
        <v>0.99999994992212804</v>
      </c>
    </row>
    <row r="7324" spans="1:40" x14ac:dyDescent="0.25">
      <c r="A7324" t="str">
        <f>"20190303154706671"</f>
        <v>20190303154706671</v>
      </c>
      <c r="B7324" t="str">
        <f>"1551599226659408"</f>
        <v>1551599226659408</v>
      </c>
      <c r="C7324" t="s">
        <v>40</v>
      </c>
      <c r="D7324">
        <v>5.372064</v>
      </c>
      <c r="E7324">
        <v>0.58517529999999995</v>
      </c>
      <c r="F7324" t="s">
        <v>41</v>
      </c>
      <c r="G7324">
        <v>-181.25989999999999</v>
      </c>
      <c r="H7324" s="1">
        <v>-2.8531039999999999E-6</v>
      </c>
      <c r="I7324">
        <v>111.19840000000001</v>
      </c>
      <c r="J7324">
        <v>-188.2911</v>
      </c>
      <c r="K7324">
        <v>1.1207560000000001</v>
      </c>
      <c r="L7324">
        <v>83.088099999999997</v>
      </c>
      <c r="M7324">
        <v>5.5211540000000003E-3</v>
      </c>
      <c r="N7324">
        <v>-1.437568E-2</v>
      </c>
      <c r="O7324">
        <v>0.99988140000000003</v>
      </c>
      <c r="P7324">
        <v>1.90689E-2</v>
      </c>
      <c r="Q7324">
        <v>-6.9354369999999999E-2</v>
      </c>
      <c r="R7324">
        <v>0.99740980000000001</v>
      </c>
      <c r="S7324">
        <v>0.73933409999999999</v>
      </c>
      <c r="T7324">
        <v>-0.1178191</v>
      </c>
      <c r="U7324">
        <v>2.9851380000000001</v>
      </c>
      <c r="V7324">
        <v>1.3527330000000001E-2</v>
      </c>
      <c r="W7324">
        <v>-5.5015809999999998E-2</v>
      </c>
      <c r="X7324">
        <v>0.9983938</v>
      </c>
      <c r="Y7324">
        <v>0.23488790000000001</v>
      </c>
      <c r="Z7324">
        <v>-2.394839E-2</v>
      </c>
      <c r="AA7324">
        <v>0.97172740000000002</v>
      </c>
      <c r="AB7324">
        <v>31</v>
      </c>
      <c r="AC7324">
        <v>7.0312000000000099</v>
      </c>
      <c r="AD7324">
        <v>-1.12075885310399</v>
      </c>
      <c r="AE7324">
        <v>28.110299999999999</v>
      </c>
      <c r="AF7324">
        <v>6.8656043745426798</v>
      </c>
      <c r="AG7324">
        <v>-1.12075885310399</v>
      </c>
      <c r="AH7324">
        <v>28.1066476394397</v>
      </c>
      <c r="AI7324">
        <v>92.218318136796896</v>
      </c>
      <c r="AJ7324">
        <v>76.273175847540003</v>
      </c>
      <c r="AK7324">
        <v>28.954727858540998</v>
      </c>
      <c r="AL7324">
        <v>93.153766169325806</v>
      </c>
      <c r="AM7324">
        <v>89.2237416794799</v>
      </c>
      <c r="AN7324">
        <v>0.99999995394266095</v>
      </c>
    </row>
    <row r="7325" spans="1:40" x14ac:dyDescent="0.25">
      <c r="A7325" t="str">
        <f>"20190303154706694"</f>
        <v>20190303154706694</v>
      </c>
      <c r="B7325" t="str">
        <f>"1551599226689664"</f>
        <v>1551599226689664</v>
      </c>
      <c r="C7325" t="s">
        <v>40</v>
      </c>
      <c r="D7325">
        <v>5.3555449999999896</v>
      </c>
      <c r="E7325">
        <v>0.5853159</v>
      </c>
      <c r="F7325" t="s">
        <v>41</v>
      </c>
      <c r="G7325">
        <v>-181.65979999999999</v>
      </c>
      <c r="H7325" s="1">
        <v>-2.3210950000000002E-6</v>
      </c>
      <c r="I7325">
        <v>109.9477</v>
      </c>
      <c r="J7325">
        <v>-188.28899999999999</v>
      </c>
      <c r="K7325">
        <v>1.120765</v>
      </c>
      <c r="L7325">
        <v>83.409970000000001</v>
      </c>
      <c r="M7325">
        <v>5.8084319999999997E-3</v>
      </c>
      <c r="N7325">
        <v>-1.4370839999999999E-2</v>
      </c>
      <c r="O7325">
        <v>0.99987979999999999</v>
      </c>
      <c r="P7325">
        <v>1.911537E-2</v>
      </c>
      <c r="Q7325">
        <v>-6.9414199999999995E-2</v>
      </c>
      <c r="R7325">
        <v>0.99740479999999998</v>
      </c>
      <c r="S7325">
        <v>0.73696899999999999</v>
      </c>
      <c r="T7325">
        <v>-0.1245556</v>
      </c>
      <c r="U7325">
        <v>2.9850460000000001</v>
      </c>
      <c r="V7325">
        <v>1.328728E-2</v>
      </c>
      <c r="W7325">
        <v>-5.508031E-2</v>
      </c>
      <c r="X7325">
        <v>0.99839350000000004</v>
      </c>
      <c r="Y7325">
        <v>0.23387350000000001</v>
      </c>
      <c r="Z7325">
        <v>-2.6151379999999998E-2</v>
      </c>
      <c r="AA7325">
        <v>0.97191519999999998</v>
      </c>
      <c r="AB7325">
        <v>31</v>
      </c>
      <c r="AC7325">
        <v>6.6292000000000204</v>
      </c>
      <c r="AD7325">
        <v>-1.120767321095</v>
      </c>
      <c r="AE7325">
        <v>26.53773</v>
      </c>
      <c r="AF7325">
        <v>6.4640773323080998</v>
      </c>
      <c r="AG7325">
        <v>-1.120767321095</v>
      </c>
      <c r="AH7325">
        <v>26.531249199308998</v>
      </c>
      <c r="AI7325">
        <v>92.350254118924497</v>
      </c>
      <c r="AJ7325">
        <v>76.307224519988907</v>
      </c>
      <c r="AK7325">
        <v>27.330342098516201</v>
      </c>
      <c r="AL7325">
        <v>93.157467256146404</v>
      </c>
      <c r="AM7325">
        <v>89.237514945337907</v>
      </c>
      <c r="AN7325">
        <v>0.99999998660087197</v>
      </c>
    </row>
    <row r="7326" spans="1:40" x14ac:dyDescent="0.25">
      <c r="A7326" t="str">
        <f>"20190303154706714"</f>
        <v>20190303154706714</v>
      </c>
      <c r="B7326" t="str">
        <f>"1551599226709184"</f>
        <v>1551599226709184</v>
      </c>
      <c r="C7326" t="s">
        <v>40</v>
      </c>
      <c r="D7326">
        <v>5.3717439999999996</v>
      </c>
      <c r="E7326">
        <v>0.585395</v>
      </c>
      <c r="F7326" t="s">
        <v>41</v>
      </c>
      <c r="G7326">
        <v>-182.1001</v>
      </c>
      <c r="H7326" s="1">
        <v>-5.1749339999999999E-6</v>
      </c>
      <c r="I7326">
        <v>108.42919999999999</v>
      </c>
      <c r="J7326">
        <v>-188.28700000000001</v>
      </c>
      <c r="K7326">
        <v>1.120768</v>
      </c>
      <c r="L7326">
        <v>83.699129999999997</v>
      </c>
      <c r="M7326">
        <v>6.0667029999999997E-3</v>
      </c>
      <c r="N7326">
        <v>-1.436671E-2</v>
      </c>
      <c r="O7326">
        <v>0.99987839999999995</v>
      </c>
      <c r="P7326">
        <v>1.9533459999999999E-2</v>
      </c>
      <c r="Q7326">
        <v>-6.8630200000000002E-2</v>
      </c>
      <c r="R7326">
        <v>0.99745090000000003</v>
      </c>
      <c r="S7326">
        <v>0.73822019999999899</v>
      </c>
      <c r="T7326">
        <v>-0.13368769999999999</v>
      </c>
      <c r="U7326">
        <v>2.9843440000000001</v>
      </c>
      <c r="V7326">
        <v>1.344798E-2</v>
      </c>
      <c r="W7326">
        <v>-5.4299840000000002E-2</v>
      </c>
      <c r="X7326">
        <v>0.99843409999999999</v>
      </c>
      <c r="Y7326">
        <v>0.23403489999999999</v>
      </c>
      <c r="Z7326">
        <v>-2.9128419999999999E-2</v>
      </c>
      <c r="AA7326">
        <v>0.97179170000000004</v>
      </c>
      <c r="AB7326">
        <v>31</v>
      </c>
      <c r="AC7326">
        <v>6.1868999999999996</v>
      </c>
      <c r="AD7326">
        <v>-1.120773174934</v>
      </c>
      <c r="AE7326">
        <v>24.730069999999898</v>
      </c>
      <c r="AF7326">
        <v>6.0250944686018304</v>
      </c>
      <c r="AG7326">
        <v>-1.120773174934</v>
      </c>
      <c r="AH7326">
        <v>24.719371570067501</v>
      </c>
      <c r="AI7326">
        <v>92.522263286839404</v>
      </c>
      <c r="AJ7326">
        <v>76.301835104118695</v>
      </c>
      <c r="AK7326">
        <v>25.467729123035099</v>
      </c>
      <c r="AL7326">
        <v>93.112682592216601</v>
      </c>
      <c r="AM7326">
        <v>89.228325727610098</v>
      </c>
      <c r="AN7326">
        <v>0.99999998641645804</v>
      </c>
    </row>
    <row r="7327" spans="1:40" x14ac:dyDescent="0.25">
      <c r="A7327" t="str">
        <f>"20190303154706737"</f>
        <v>20190303154706737</v>
      </c>
      <c r="B7327" t="str">
        <f>"1551599226729680"</f>
        <v>1551599226729680</v>
      </c>
      <c r="C7327" t="s">
        <v>40</v>
      </c>
      <c r="D7327">
        <v>5.3258769999999904</v>
      </c>
      <c r="E7327">
        <v>0.5855494</v>
      </c>
      <c r="F7327" t="s">
        <v>41</v>
      </c>
      <c r="G7327">
        <v>-182.2012</v>
      </c>
      <c r="H7327" s="1">
        <v>-5.0732580000000003E-6</v>
      </c>
      <c r="I7327">
        <v>108.23399999999999</v>
      </c>
      <c r="J7327">
        <v>-188.28479999999999</v>
      </c>
      <c r="K7327">
        <v>1.120768</v>
      </c>
      <c r="L7327">
        <v>84.016199999999998</v>
      </c>
      <c r="M7327">
        <v>6.3499840000000004E-3</v>
      </c>
      <c r="N7327">
        <v>-1.436233E-2</v>
      </c>
      <c r="O7327">
        <v>0.99987669999999995</v>
      </c>
      <c r="P7327">
        <v>1.996821E-2</v>
      </c>
      <c r="Q7327">
        <v>-6.819037E-2</v>
      </c>
      <c r="R7327">
        <v>0.99747249999999998</v>
      </c>
      <c r="S7327">
        <v>0.7401276</v>
      </c>
      <c r="T7327">
        <v>-0.13630239999999999</v>
      </c>
      <c r="U7327">
        <v>2.9837950000000002</v>
      </c>
      <c r="V7327">
        <v>1.3600299999999999E-2</v>
      </c>
      <c r="W7327">
        <v>-5.386411E-2</v>
      </c>
      <c r="X7327">
        <v>0.9984556</v>
      </c>
      <c r="Y7327">
        <v>0.2343788</v>
      </c>
      <c r="Z7327">
        <v>-2.998493E-2</v>
      </c>
      <c r="AA7327">
        <v>0.97168279999999996</v>
      </c>
      <c r="AB7327">
        <v>31</v>
      </c>
      <c r="AC7327">
        <v>6.0835999999999899</v>
      </c>
      <c r="AD7327">
        <v>-1.1207730732579999</v>
      </c>
      <c r="AE7327">
        <v>24.2178</v>
      </c>
      <c r="AF7327">
        <v>5.9177568563449903</v>
      </c>
      <c r="AG7327">
        <v>-1.1207730732579999</v>
      </c>
      <c r="AH7327">
        <v>24.2071784090252</v>
      </c>
      <c r="AI7327">
        <v>92.575131387528302</v>
      </c>
      <c r="AJ7327">
        <v>76.262734293341694</v>
      </c>
      <c r="AK7327">
        <v>24.945209259874598</v>
      </c>
      <c r="AL7327">
        <v>93.087680630331604</v>
      </c>
      <c r="AM7327">
        <v>89.219603153229102</v>
      </c>
      <c r="AN7327">
        <v>0.999999947838769</v>
      </c>
    </row>
    <row r="7328" spans="1:40" x14ac:dyDescent="0.25">
      <c r="A7328" t="str">
        <f>"20190303154706759"</f>
        <v>20190303154706759</v>
      </c>
      <c r="B7328" t="str">
        <f>"1551599226750176"</f>
        <v>1551599226750176</v>
      </c>
      <c r="C7328" t="s">
        <v>40</v>
      </c>
      <c r="D7328">
        <v>5.3246739999999999</v>
      </c>
      <c r="E7328">
        <v>0.58571980000000001</v>
      </c>
      <c r="F7328" t="s">
        <v>41</v>
      </c>
      <c r="G7328">
        <v>-182.2449</v>
      </c>
      <c r="H7328" s="1">
        <v>-5.0848659999999997E-6</v>
      </c>
      <c r="I7328">
        <v>108.2791</v>
      </c>
      <c r="J7328">
        <v>-188.2825</v>
      </c>
      <c r="K7328">
        <v>1.1207659999999999</v>
      </c>
      <c r="L7328">
        <v>84.326169999999905</v>
      </c>
      <c r="M7328">
        <v>6.6267069999999999E-3</v>
      </c>
      <c r="N7328">
        <v>-1.43582E-2</v>
      </c>
      <c r="O7328">
        <v>0.99987490000000001</v>
      </c>
      <c r="P7328">
        <v>2.0549479999999998E-2</v>
      </c>
      <c r="Q7328">
        <v>-6.7683989999999999E-2</v>
      </c>
      <c r="R7328">
        <v>0.99749520000000003</v>
      </c>
      <c r="S7328">
        <v>0.74264529999999995</v>
      </c>
      <c r="T7328">
        <v>-0.1378075</v>
      </c>
      <c r="U7328">
        <v>2.9833069999999999</v>
      </c>
      <c r="V7328">
        <v>1.390568E-2</v>
      </c>
      <c r="W7328">
        <v>-5.336163E-2</v>
      </c>
      <c r="X7328">
        <v>0.99847839999999999</v>
      </c>
      <c r="Y7328">
        <v>0.2349146</v>
      </c>
      <c r="Z7328">
        <v>-3.0477890000000001E-2</v>
      </c>
      <c r="AA7328">
        <v>0.97153809999999996</v>
      </c>
      <c r="AB7328">
        <v>31</v>
      </c>
      <c r="AC7328">
        <v>6.0375999999999896</v>
      </c>
      <c r="AD7328">
        <v>-1.120771084866</v>
      </c>
      <c r="AE7328">
        <v>23.952929999999999</v>
      </c>
      <c r="AF7328">
        <v>5.8666451059835403</v>
      </c>
      <c r="AG7328">
        <v>-1.120771084866</v>
      </c>
      <c r="AH7328">
        <v>23.943128975250801</v>
      </c>
      <c r="AI7328">
        <v>92.603150021250102</v>
      </c>
      <c r="AJ7328">
        <v>76.232393348601903</v>
      </c>
      <c r="AK7328">
        <v>24.676853076308699</v>
      </c>
      <c r="AL7328">
        <v>93.058849101518405</v>
      </c>
      <c r="AM7328">
        <v>89.202100646177897</v>
      </c>
      <c r="AN7328">
        <v>0.99999997337953905</v>
      </c>
    </row>
    <row r="7329" spans="1:40" x14ac:dyDescent="0.25">
      <c r="A7329" t="str">
        <f>"20190303154706782"</f>
        <v>20190303154706782</v>
      </c>
      <c r="B7329" t="str">
        <f>"1551599226779456"</f>
        <v>1551599226779456</v>
      </c>
      <c r="C7329" t="s">
        <v>40</v>
      </c>
      <c r="D7329">
        <v>5.3555380000000001</v>
      </c>
      <c r="E7329">
        <v>0.58581909999999904</v>
      </c>
      <c r="F7329" t="s">
        <v>41</v>
      </c>
      <c r="G7329">
        <v>-182.2603</v>
      </c>
      <c r="H7329" s="1">
        <v>-5.1418999999999998E-6</v>
      </c>
      <c r="I7329">
        <v>108.41840000000001</v>
      </c>
      <c r="J7329">
        <v>-188.28020000000001</v>
      </c>
      <c r="K7329">
        <v>1.120762</v>
      </c>
      <c r="L7329">
        <v>84.628910000000005</v>
      </c>
      <c r="M7329">
        <v>6.8971129999999999E-3</v>
      </c>
      <c r="N7329">
        <v>-1.4354199999999999E-2</v>
      </c>
      <c r="O7329">
        <v>0.99987320000000002</v>
      </c>
      <c r="P7329">
        <v>2.1335E-2</v>
      </c>
      <c r="Q7329">
        <v>-6.7459480000000002E-2</v>
      </c>
      <c r="R7329">
        <v>0.99749390000000004</v>
      </c>
      <c r="S7329">
        <v>0.74559019999999898</v>
      </c>
      <c r="T7329">
        <v>-0.13875789999999999</v>
      </c>
      <c r="U7329">
        <v>2.982758</v>
      </c>
      <c r="V7329">
        <v>1.442158E-2</v>
      </c>
      <c r="W7329">
        <v>-5.3141330000000001E-2</v>
      </c>
      <c r="X7329">
        <v>0.99848289999999995</v>
      </c>
      <c r="Y7329">
        <v>0.23559359999999999</v>
      </c>
      <c r="Z7329">
        <v>-3.078989E-2</v>
      </c>
      <c r="AA7329">
        <v>0.9713638</v>
      </c>
      <c r="AB7329">
        <v>31</v>
      </c>
      <c r="AC7329">
        <v>6.0198999999999998</v>
      </c>
      <c r="AD7329">
        <v>-1.1207671419</v>
      </c>
      <c r="AE7329">
        <v>23.789490000000001</v>
      </c>
      <c r="AF7329">
        <v>5.8434718549509199</v>
      </c>
      <c r="AG7329">
        <v>-1.1207671419</v>
      </c>
      <c r="AH7329">
        <v>23.780842457722802</v>
      </c>
      <c r="AI7329">
        <v>92.620458129169805</v>
      </c>
      <c r="AJ7329">
        <v>76.1946905641896</v>
      </c>
      <c r="AK7329">
        <v>24.513888926586102</v>
      </c>
      <c r="AL7329">
        <v>93.046208696160704</v>
      </c>
      <c r="AM7329">
        <v>89.172506393425095</v>
      </c>
      <c r="AN7329">
        <v>1.0000000422581301</v>
      </c>
    </row>
    <row r="7330" spans="1:40" x14ac:dyDescent="0.25">
      <c r="A7330" t="str">
        <f>"20190303154706803"</f>
        <v>20190303154706803</v>
      </c>
      <c r="B7330" t="str">
        <f>"1551599226798976"</f>
        <v>1551599226798976</v>
      </c>
      <c r="C7330" t="s">
        <v>40</v>
      </c>
      <c r="D7330">
        <v>5.3348829999999996</v>
      </c>
      <c r="E7330">
        <v>0.58594429999999997</v>
      </c>
      <c r="F7330" t="s">
        <v>41</v>
      </c>
      <c r="G7330">
        <v>-182.41499999999999</v>
      </c>
      <c r="H7330" s="1">
        <v>-4.9275069999999998E-6</v>
      </c>
      <c r="I7330">
        <v>107.98260000000001</v>
      </c>
      <c r="J7330">
        <v>-188.27780000000001</v>
      </c>
      <c r="K7330">
        <v>1.120762</v>
      </c>
      <c r="L7330">
        <v>84.936980000000005</v>
      </c>
      <c r="M7330">
        <v>7.1723519999999999E-3</v>
      </c>
      <c r="N7330">
        <v>-1.4350190000000001E-2</v>
      </c>
      <c r="O7330">
        <v>0.99987130000000002</v>
      </c>
      <c r="P7330">
        <v>2.11387E-2</v>
      </c>
      <c r="Q7330">
        <v>-6.7824889999999999E-2</v>
      </c>
      <c r="R7330">
        <v>0.99747330000000001</v>
      </c>
      <c r="S7330">
        <v>0.7488861</v>
      </c>
      <c r="T7330">
        <v>-0.14310149999999999</v>
      </c>
      <c r="U7330">
        <v>2.9818419999999999</v>
      </c>
      <c r="V7330">
        <v>1.395066E-2</v>
      </c>
      <c r="W7330">
        <v>-5.3510660000000002E-2</v>
      </c>
      <c r="X7330">
        <v>0.99846979999999996</v>
      </c>
      <c r="Y7330">
        <v>0.23639289999999999</v>
      </c>
      <c r="Z7330">
        <v>-3.2207560000000003E-2</v>
      </c>
      <c r="AA7330">
        <v>0.97112359999999998</v>
      </c>
      <c r="AB7330">
        <v>31</v>
      </c>
      <c r="AC7330">
        <v>5.8628000000000204</v>
      </c>
      <c r="AD7330">
        <v>-1.120766927507</v>
      </c>
      <c r="AE7330">
        <v>23.04562</v>
      </c>
      <c r="AF7330">
        <v>5.6847130589884598</v>
      </c>
      <c r="AG7330">
        <v>-1.120766927507</v>
      </c>
      <c r="AH7330">
        <v>23.035910478975101</v>
      </c>
      <c r="AI7330">
        <v>92.704412621450302</v>
      </c>
      <c r="AJ7330">
        <v>76.137736062731094</v>
      </c>
      <c r="AK7330">
        <v>23.7534261247548</v>
      </c>
      <c r="AL7330">
        <v>93.067400099041507</v>
      </c>
      <c r="AM7330">
        <v>89.199513162991906</v>
      </c>
      <c r="AN7330">
        <v>0.99999997658005502</v>
      </c>
    </row>
    <row r="7331" spans="1:40" x14ac:dyDescent="0.25">
      <c r="A7331" t="str">
        <f>"20190303154706830"</f>
        <v>20190303154706830</v>
      </c>
      <c r="B7331" t="str">
        <f>"1551599226819471"</f>
        <v>1551599226819471</v>
      </c>
      <c r="C7331" t="s">
        <v>40</v>
      </c>
      <c r="D7331">
        <v>5.3625020000000001</v>
      </c>
      <c r="E7331">
        <v>0.58608649999999995</v>
      </c>
      <c r="F7331" t="s">
        <v>41</v>
      </c>
      <c r="G7331">
        <v>-182.57060000000001</v>
      </c>
      <c r="H7331" s="1">
        <v>-4.7577319999999901E-6</v>
      </c>
      <c r="I7331">
        <v>107.6512</v>
      </c>
      <c r="J7331">
        <v>-188.2749</v>
      </c>
      <c r="K7331">
        <v>1.1207640000000001</v>
      </c>
      <c r="L7331">
        <v>85.296139999999994</v>
      </c>
      <c r="M7331">
        <v>7.4936319999999897E-3</v>
      </c>
      <c r="N7331">
        <v>-1.434559E-2</v>
      </c>
      <c r="O7331">
        <v>0.99986900000000001</v>
      </c>
      <c r="P7331">
        <v>2.1658480000000001E-2</v>
      </c>
      <c r="Q7331">
        <v>-6.878049E-2</v>
      </c>
      <c r="R7331">
        <v>0.99739670000000002</v>
      </c>
      <c r="S7331">
        <v>0.7491913</v>
      </c>
      <c r="T7331">
        <v>-0.14712420000000001</v>
      </c>
      <c r="U7331">
        <v>2.9817200000000001</v>
      </c>
      <c r="V7331">
        <v>1.414997E-2</v>
      </c>
      <c r="W7331">
        <v>-5.4471819999999997E-2</v>
      </c>
      <c r="X7331">
        <v>0.9984151</v>
      </c>
      <c r="Y7331">
        <v>0.23617099999999999</v>
      </c>
      <c r="Z7331">
        <v>-3.352103E-2</v>
      </c>
      <c r="AA7331">
        <v>0.97113320000000003</v>
      </c>
      <c r="AB7331">
        <v>31</v>
      </c>
      <c r="AC7331">
        <v>5.7042999999999804</v>
      </c>
      <c r="AD7331">
        <v>-1.12076875773199</v>
      </c>
      <c r="AE7331">
        <v>22.355059999999899</v>
      </c>
      <c r="AF7331">
        <v>5.5235671428816504</v>
      </c>
      <c r="AG7331">
        <v>-1.12076875773199</v>
      </c>
      <c r="AH7331">
        <v>22.344452819504099</v>
      </c>
      <c r="AI7331">
        <v>92.787701015629494</v>
      </c>
      <c r="AJ7331">
        <v>76.114802476199003</v>
      </c>
      <c r="AK7331">
        <v>23.044315750164401</v>
      </c>
      <c r="AL7331">
        <v>93.122550707062203</v>
      </c>
      <c r="AM7331">
        <v>89.188033827762894</v>
      </c>
      <c r="AN7331">
        <v>1.0000000563665601</v>
      </c>
    </row>
    <row r="7332" spans="1:40" x14ac:dyDescent="0.25">
      <c r="A7332" t="str">
        <f>"20190303154706852"</f>
        <v>20190303154706852</v>
      </c>
      <c r="B7332" t="str">
        <f>"1551599226848751"</f>
        <v>1551599226848751</v>
      </c>
      <c r="C7332" t="s">
        <v>40</v>
      </c>
      <c r="D7332">
        <v>5.224971</v>
      </c>
      <c r="E7332">
        <v>0.586225</v>
      </c>
      <c r="F7332" t="s">
        <v>41</v>
      </c>
      <c r="G7332">
        <v>-182.7747</v>
      </c>
      <c r="H7332" s="1">
        <v>-4.4854890000000004E-6</v>
      </c>
      <c r="I7332">
        <v>107.101</v>
      </c>
      <c r="J7332">
        <v>-188.2722</v>
      </c>
      <c r="K7332">
        <v>1.120768</v>
      </c>
      <c r="L7332">
        <v>85.604129999999998</v>
      </c>
      <c r="M7332">
        <v>7.7636780000000004E-3</v>
      </c>
      <c r="N7332">
        <v>-1.4372309999999999E-2</v>
      </c>
      <c r="O7332">
        <v>0.99986649999999999</v>
      </c>
      <c r="P7332">
        <v>2.211407E-2</v>
      </c>
      <c r="Q7332">
        <v>-6.9560159999999996E-2</v>
      </c>
      <c r="R7332">
        <v>0.99733260000000001</v>
      </c>
      <c r="S7332">
        <v>0.7519226</v>
      </c>
      <c r="T7332">
        <v>-0.15321949999999901</v>
      </c>
      <c r="U7332">
        <v>2.9809269999999999</v>
      </c>
      <c r="V7332">
        <v>1.433597E-2</v>
      </c>
      <c r="W7332">
        <v>-5.5225719999999999E-2</v>
      </c>
      <c r="X7332">
        <v>0.99837089999999995</v>
      </c>
      <c r="Y7332">
        <v>0.236786</v>
      </c>
      <c r="Z7332">
        <v>-3.5476609999999999E-2</v>
      </c>
      <c r="AA7332">
        <v>0.9709139</v>
      </c>
      <c r="AB7332">
        <v>31</v>
      </c>
      <c r="AC7332">
        <v>5.4974999999999996</v>
      </c>
      <c r="AD7332">
        <v>-1.120772485489</v>
      </c>
      <c r="AE7332">
        <v>21.496870000000001</v>
      </c>
      <c r="AF7332">
        <v>5.3168570417618604</v>
      </c>
      <c r="AG7332">
        <v>-1.120772485489</v>
      </c>
      <c r="AH7332">
        <v>21.484093586592799</v>
      </c>
      <c r="AI7332">
        <v>92.898973564062501</v>
      </c>
      <c r="AJ7332">
        <v>76.099795449159799</v>
      </c>
      <c r="AK7332">
        <v>22.160581603474199</v>
      </c>
      <c r="AL7332">
        <v>93.165811524607406</v>
      </c>
      <c r="AM7332">
        <v>89.177325652541697</v>
      </c>
      <c r="AN7332">
        <v>0.99999992707608099</v>
      </c>
    </row>
    <row r="7333" spans="1:40" x14ac:dyDescent="0.25">
      <c r="A7333" t="str">
        <f>"20190303154706874"</f>
        <v>20190303154706874</v>
      </c>
      <c r="B7333" t="str">
        <f>"1551599226869248"</f>
        <v>1551599226869248</v>
      </c>
      <c r="C7333" t="s">
        <v>40</v>
      </c>
      <c r="D7333">
        <v>5.0817040000000002</v>
      </c>
      <c r="E7333">
        <v>0.55177589999999999</v>
      </c>
      <c r="F7333" t="s">
        <v>41</v>
      </c>
      <c r="G7333">
        <v>-182.82749999999999</v>
      </c>
      <c r="H7333" s="1">
        <v>-4.4818549999999996E-6</v>
      </c>
      <c r="I7333">
        <v>107.1144</v>
      </c>
      <c r="J7333">
        <v>-188.2696</v>
      </c>
      <c r="K7333">
        <v>1.1208129999999901</v>
      </c>
      <c r="L7333">
        <v>85.902590000000004</v>
      </c>
      <c r="M7333">
        <v>8.0207919999999901E-3</v>
      </c>
      <c r="N7333">
        <v>-1.4526229999999999E-2</v>
      </c>
      <c r="O7333">
        <v>0.99986229999999998</v>
      </c>
      <c r="P7333">
        <v>2.286765E-2</v>
      </c>
      <c r="Q7333">
        <v>-7.0502860000000001E-2</v>
      </c>
      <c r="R7333">
        <v>0.99724939999999995</v>
      </c>
      <c r="S7333">
        <v>0.75442500000000001</v>
      </c>
      <c r="T7333">
        <v>-0.15529470000000001</v>
      </c>
      <c r="U7333">
        <v>2.9804689999999998</v>
      </c>
      <c r="V7333">
        <v>1.48332E-2</v>
      </c>
      <c r="W7333">
        <v>-5.6016009999999998E-2</v>
      </c>
      <c r="X7333">
        <v>0.99831970000000003</v>
      </c>
      <c r="Y7333">
        <v>0.2373304</v>
      </c>
      <c r="Z7333">
        <v>-3.599575E-2</v>
      </c>
      <c r="AA7333">
        <v>0.97076180000000001</v>
      </c>
      <c r="AB7333">
        <v>31</v>
      </c>
      <c r="AC7333">
        <v>5.4421000000000097</v>
      </c>
      <c r="AD7333">
        <v>-1.1208174818550001</v>
      </c>
      <c r="AE7333">
        <v>21.21181</v>
      </c>
      <c r="AF7333">
        <v>5.2579977651932701</v>
      </c>
      <c r="AG7333">
        <v>-1.1208174818550001</v>
      </c>
      <c r="AH7333">
        <v>21.199249272260001</v>
      </c>
      <c r="AI7333">
        <v>92.937599992887598</v>
      </c>
      <c r="AJ7333">
        <v>76.070171269018303</v>
      </c>
      <c r="AK7333">
        <v>21.870321031796099</v>
      </c>
      <c r="AL7333">
        <v>93.211161715328601</v>
      </c>
      <c r="AM7333">
        <v>89.148752425007103</v>
      </c>
      <c r="AN7333">
        <v>1.0000000203033199</v>
      </c>
    </row>
    <row r="7334" spans="1:40" x14ac:dyDescent="0.25">
      <c r="A7334" t="str">
        <f>"20190303154706894"</f>
        <v>20190303154706894</v>
      </c>
      <c r="B7334" t="str">
        <f>"1551599226888769"</f>
        <v>1551599226888769</v>
      </c>
      <c r="C7334" t="s">
        <v>40</v>
      </c>
      <c r="D7334">
        <v>5.0584439999999997</v>
      </c>
      <c r="E7334">
        <v>0.54937019999999903</v>
      </c>
      <c r="F7334" t="s">
        <v>42</v>
      </c>
      <c r="G7334">
        <v>-188.13759999999999</v>
      </c>
      <c r="H7334">
        <v>1.001214</v>
      </c>
      <c r="I7334">
        <v>86.718400000000003</v>
      </c>
      <c r="J7334">
        <v>-188.267</v>
      </c>
      <c r="K7334">
        <v>1.1209020000000001</v>
      </c>
      <c r="L7334">
        <v>86.191859999999906</v>
      </c>
      <c r="M7334">
        <v>8.2743690000000002E-3</v>
      </c>
      <c r="N7334">
        <v>-1.4876540000000001E-2</v>
      </c>
      <c r="O7334">
        <v>0.9998551</v>
      </c>
      <c r="P7334">
        <v>2.3955959999999998E-2</v>
      </c>
      <c r="Q7334">
        <v>-7.1469530000000003E-2</v>
      </c>
      <c r="R7334">
        <v>0.99715509999999996</v>
      </c>
      <c r="S7334">
        <v>0.4791107</v>
      </c>
      <c r="T7334">
        <v>-0.43493140000000002</v>
      </c>
      <c r="U7334">
        <v>2.9665530000000002</v>
      </c>
      <c r="V7334">
        <v>1.5669530000000001E-2</v>
      </c>
      <c r="W7334">
        <v>-5.663435E-2</v>
      </c>
      <c r="X7334">
        <v>0.99827200000000005</v>
      </c>
      <c r="Y7334">
        <v>0.14976239999999999</v>
      </c>
      <c r="Z7334">
        <v>-0.1286003</v>
      </c>
      <c r="AA7334">
        <v>0.98032300000000006</v>
      </c>
      <c r="AB7334">
        <v>31</v>
      </c>
      <c r="AC7334">
        <v>0.12940000000000301</v>
      </c>
      <c r="AD7334">
        <v>-0.119688</v>
      </c>
      <c r="AE7334">
        <v>0.526540000000011</v>
      </c>
      <c r="AF7334">
        <v>0.11922863555422</v>
      </c>
      <c r="AG7334">
        <v>-0.119688</v>
      </c>
      <c r="AH7334">
        <v>0.503079203729909</v>
      </c>
      <c r="AI7334">
        <v>103.034269519105</v>
      </c>
      <c r="AJ7334">
        <v>76.667025322353098</v>
      </c>
      <c r="AK7334">
        <v>0.53068763892297299</v>
      </c>
      <c r="AL7334">
        <v>93.246646435250796</v>
      </c>
      <c r="AM7334">
        <v>89.100721835109596</v>
      </c>
      <c r="AN7334">
        <v>0.99999998487717101</v>
      </c>
    </row>
    <row r="7335" spans="1:40" x14ac:dyDescent="0.25">
      <c r="A7335" t="str">
        <f>"20190303154706917"</f>
        <v>20190303154706917</v>
      </c>
      <c r="B7335" t="str">
        <f>"1551599226909264"</f>
        <v>1551599226909264</v>
      </c>
      <c r="C7335" t="s">
        <v>40</v>
      </c>
      <c r="D7335">
        <v>5.0373519999999896</v>
      </c>
      <c r="E7335">
        <v>0.54898579999999997</v>
      </c>
      <c r="F7335" t="s">
        <v>42</v>
      </c>
      <c r="G7335">
        <v>-188.14340000000001</v>
      </c>
      <c r="H7335">
        <v>0.98445190000000005</v>
      </c>
      <c r="I7335">
        <v>86.983969999999999</v>
      </c>
      <c r="J7335">
        <v>-188.26419999999999</v>
      </c>
      <c r="K7335">
        <v>1.1210359999999999</v>
      </c>
      <c r="L7335">
        <v>86.497069999999994</v>
      </c>
      <c r="M7335">
        <v>8.5470559999999904E-3</v>
      </c>
      <c r="N7335">
        <v>-1.5434979999999999E-2</v>
      </c>
      <c r="O7335">
        <v>0.99984439999999997</v>
      </c>
      <c r="P7335">
        <v>2.4835619999999999E-2</v>
      </c>
      <c r="Q7335">
        <v>-7.1985510000000003E-2</v>
      </c>
      <c r="R7335">
        <v>0.99709639999999999</v>
      </c>
      <c r="S7335">
        <v>0.46209719999999999</v>
      </c>
      <c r="T7335">
        <v>-0.51005900000000004</v>
      </c>
      <c r="U7335">
        <v>2.9609070000000002</v>
      </c>
      <c r="V7335">
        <v>1.6278440000000002E-2</v>
      </c>
      <c r="W7335">
        <v>-5.6593579999999997E-2</v>
      </c>
      <c r="X7335">
        <v>0.99826459999999995</v>
      </c>
      <c r="Y7335">
        <v>0.143735</v>
      </c>
      <c r="Z7335">
        <v>-0.15266450000000001</v>
      </c>
      <c r="AA7335">
        <v>0.97776980000000002</v>
      </c>
      <c r="AB7335">
        <v>31</v>
      </c>
      <c r="AC7335">
        <v>0.120799999999974</v>
      </c>
      <c r="AD7335">
        <v>-0.13658410000000001</v>
      </c>
      <c r="AE7335">
        <v>0.486900000000005</v>
      </c>
      <c r="AF7335">
        <v>0.108584446729006</v>
      </c>
      <c r="AG7335">
        <v>-0.13658410000000001</v>
      </c>
      <c r="AH7335">
        <v>0.45424296827448601</v>
      </c>
      <c r="AI7335">
        <v>106.30132975928301</v>
      </c>
      <c r="AJ7335">
        <v>76.5560229065794</v>
      </c>
      <c r="AK7335">
        <v>0.48660299287105702</v>
      </c>
      <c r="AL7335">
        <v>93.244306631815306</v>
      </c>
      <c r="AM7335">
        <v>89.065775494634494</v>
      </c>
      <c r="AN7335">
        <v>1.0000000162596001</v>
      </c>
    </row>
    <row r="7336" spans="1:40" x14ac:dyDescent="0.25">
      <c r="A7336" t="str">
        <f>"20190303154706939"</f>
        <v>20190303154706939</v>
      </c>
      <c r="B7336" t="str">
        <f>"1551599226928784"</f>
        <v>1551599226928784</v>
      </c>
      <c r="C7336" t="s">
        <v>40</v>
      </c>
      <c r="D7336">
        <v>5.0197459999999996</v>
      </c>
      <c r="E7336">
        <v>0.54844029999999999</v>
      </c>
      <c r="F7336" t="s">
        <v>42</v>
      </c>
      <c r="G7336">
        <v>-188.1456</v>
      </c>
      <c r="H7336">
        <v>0.98468770000000005</v>
      </c>
      <c r="I7336">
        <v>87.256360000000001</v>
      </c>
      <c r="J7336">
        <v>-188.26130000000001</v>
      </c>
      <c r="K7336">
        <v>1.1211599999999999</v>
      </c>
      <c r="L7336">
        <v>86.798310000000001</v>
      </c>
      <c r="M7336">
        <v>8.8164880000000008E-3</v>
      </c>
      <c r="N7336">
        <v>-1.6084419999999999E-2</v>
      </c>
      <c r="O7336">
        <v>0.99983180000000005</v>
      </c>
      <c r="P7336">
        <v>2.5325420000000001E-2</v>
      </c>
      <c r="Q7336">
        <v>-7.2221320000000006E-2</v>
      </c>
      <c r="R7336">
        <v>0.99706700000000004</v>
      </c>
      <c r="S7336">
        <v>0.46159359999999999</v>
      </c>
      <c r="T7336">
        <v>-0.53133509999999995</v>
      </c>
      <c r="U7336">
        <v>2.9588619999999999</v>
      </c>
      <c r="V7336">
        <v>1.6500279999999999E-2</v>
      </c>
      <c r="W7336">
        <v>-5.6181290000000002E-2</v>
      </c>
      <c r="X7336">
        <v>0.99828419999999896</v>
      </c>
      <c r="Y7336">
        <v>0.1432388</v>
      </c>
      <c r="Z7336">
        <v>-0.15895709999999999</v>
      </c>
      <c r="AA7336">
        <v>0.97683940000000002</v>
      </c>
      <c r="AB7336">
        <v>31</v>
      </c>
      <c r="AC7336">
        <v>0.11570000000000299</v>
      </c>
      <c r="AD7336">
        <v>-0.13647229999999899</v>
      </c>
      <c r="AE7336">
        <v>0.45805000000000001</v>
      </c>
      <c r="AF7336">
        <v>0.103056964754508</v>
      </c>
      <c r="AG7336">
        <v>-0.13647229999999899</v>
      </c>
      <c r="AH7336">
        <v>0.423696866829401</v>
      </c>
      <c r="AI7336">
        <v>107.378754445711</v>
      </c>
      <c r="AJ7336">
        <v>76.329259140222803</v>
      </c>
      <c r="AK7336">
        <v>0.456907497873205</v>
      </c>
      <c r="AL7336">
        <v>93.220646659212406</v>
      </c>
      <c r="AM7336">
        <v>89.053064922719102</v>
      </c>
      <c r="AN7336">
        <v>0.99999997027789</v>
      </c>
    </row>
    <row r="7337" spans="1:40" x14ac:dyDescent="0.25">
      <c r="A7337" t="str">
        <f>"20190303154706971"</f>
        <v>20190303154706971</v>
      </c>
      <c r="B7337" t="str">
        <f>"1551599226968801"</f>
        <v>1551599226968801</v>
      </c>
      <c r="C7337" t="s">
        <v>40</v>
      </c>
      <c r="D7337">
        <v>5.0520430000000003</v>
      </c>
      <c r="E7337">
        <v>0.54761019999999905</v>
      </c>
      <c r="F7337" t="s">
        <v>42</v>
      </c>
      <c r="G7337">
        <v>-188.1481</v>
      </c>
      <c r="H7337">
        <v>0.98704150000000002</v>
      </c>
      <c r="I7337">
        <v>87.528310000000005</v>
      </c>
      <c r="J7337">
        <v>-188.25710000000001</v>
      </c>
      <c r="K7337">
        <v>1.1213229999999901</v>
      </c>
      <c r="L7337">
        <v>87.231200000000001</v>
      </c>
      <c r="M7337">
        <v>9.1930699999999994E-3</v>
      </c>
      <c r="N7337">
        <v>-1.704965E-2</v>
      </c>
      <c r="O7337">
        <v>0.99981240000000005</v>
      </c>
      <c r="P7337">
        <v>2.5279300000000001E-2</v>
      </c>
      <c r="Q7337">
        <v>-7.3801969999999995E-2</v>
      </c>
      <c r="R7337">
        <v>0.99695250000000002</v>
      </c>
      <c r="S7337">
        <v>0.45880130000000002</v>
      </c>
      <c r="T7337">
        <v>-0.54341079999999997</v>
      </c>
      <c r="U7337">
        <v>2.9577939999999998</v>
      </c>
      <c r="V7337">
        <v>1.60787999999999E-2</v>
      </c>
      <c r="W7337">
        <v>-5.6799669999999997E-2</v>
      </c>
      <c r="X7337">
        <v>0.99825609999999998</v>
      </c>
      <c r="Y7337">
        <v>0.1419271</v>
      </c>
      <c r="Z7337">
        <v>-0.16195309999999999</v>
      </c>
      <c r="AA7337">
        <v>0.97653869999999998</v>
      </c>
      <c r="AB7337">
        <v>30</v>
      </c>
      <c r="AC7337">
        <v>0.10900000000000799</v>
      </c>
      <c r="AD7337">
        <v>-0.134281499999999</v>
      </c>
      <c r="AE7337">
        <v>0.29711000000000298</v>
      </c>
      <c r="AF7337">
        <v>9.00512234308469E-2</v>
      </c>
      <c r="AG7337">
        <v>-0.134281499999999</v>
      </c>
      <c r="AH7337">
        <v>0.25261920144286698</v>
      </c>
      <c r="AI7337">
        <v>116.596947879129</v>
      </c>
      <c r="AJ7337">
        <v>70.380362620425601</v>
      </c>
      <c r="AK7337">
        <v>0.29992866655468903</v>
      </c>
      <c r="AL7337">
        <v>93.256133842748795</v>
      </c>
      <c r="AM7337">
        <v>89.077223044209106</v>
      </c>
      <c r="AN7337">
        <v>0.99999998575437898</v>
      </c>
    </row>
    <row r="7338" spans="1:40" x14ac:dyDescent="0.25">
      <c r="A7338" t="str">
        <f>"20190303154706993"</f>
        <v>20190303154706993</v>
      </c>
      <c r="B7338" t="str">
        <f>"1551599226989296"</f>
        <v>1551599226989296</v>
      </c>
      <c r="C7338" t="s">
        <v>40</v>
      </c>
      <c r="D7338">
        <v>5.0562500000000004</v>
      </c>
      <c r="E7338">
        <v>0.54703590000000002</v>
      </c>
      <c r="F7338" t="s">
        <v>42</v>
      </c>
      <c r="G7338">
        <v>-188.13120000000001</v>
      </c>
      <c r="H7338">
        <v>0.96509889999999998</v>
      </c>
      <c r="I7338">
        <v>88.054550000000006</v>
      </c>
      <c r="J7338">
        <v>-188.25409999999999</v>
      </c>
      <c r="K7338">
        <v>1.1214120000000001</v>
      </c>
      <c r="L7338">
        <v>87.522090000000006</v>
      </c>
      <c r="M7338">
        <v>9.4428059999999998E-3</v>
      </c>
      <c r="N7338">
        <v>-1.7680000000000001E-2</v>
      </c>
      <c r="O7338">
        <v>0.99979910000000005</v>
      </c>
      <c r="P7338">
        <v>2.4636660000000001E-2</v>
      </c>
      <c r="Q7338">
        <v>-7.4262330000000001E-2</v>
      </c>
      <c r="R7338">
        <v>0.9969344</v>
      </c>
      <c r="S7338">
        <v>0.45179750000000002</v>
      </c>
      <c r="T7338">
        <v>-0.56090200000000001</v>
      </c>
      <c r="U7338">
        <v>2.9561769999999998</v>
      </c>
      <c r="V7338">
        <v>1.518714E-2</v>
      </c>
      <c r="W7338">
        <v>-5.6630470000000002E-2</v>
      </c>
      <c r="X7338">
        <v>0.99827969999999999</v>
      </c>
      <c r="Y7338">
        <v>0.1393588</v>
      </c>
      <c r="Z7338">
        <v>-0.16706969999999999</v>
      </c>
      <c r="AA7338">
        <v>0.97604659999999999</v>
      </c>
      <c r="AB7338">
        <v>30</v>
      </c>
      <c r="AC7338">
        <v>0.12289999999998701</v>
      </c>
      <c r="AD7338">
        <v>-0.15631310000000001</v>
      </c>
      <c r="AE7338">
        <v>0.53246000000000004</v>
      </c>
      <c r="AF7338">
        <v>0.10895112334745501</v>
      </c>
      <c r="AG7338">
        <v>-0.15631310000000001</v>
      </c>
      <c r="AH7338">
        <v>0.49323874818763103</v>
      </c>
      <c r="AI7338">
        <v>107.194794015122</v>
      </c>
      <c r="AJ7338">
        <v>77.543993957984199</v>
      </c>
      <c r="AK7338">
        <v>0.52876137833996895</v>
      </c>
      <c r="AL7338">
        <v>93.246423690593403</v>
      </c>
      <c r="AM7338">
        <v>89.128408698562694</v>
      </c>
      <c r="AN7338">
        <v>1.00000000939294</v>
      </c>
    </row>
    <row r="7339" spans="1:40" x14ac:dyDescent="0.25">
      <c r="A7339" t="str">
        <f>"20190303154707017"</f>
        <v>20190303154707017</v>
      </c>
      <c r="B7339" t="str">
        <f>"1551599227008816"</f>
        <v>1551599227008816</v>
      </c>
      <c r="C7339" t="s">
        <v>40</v>
      </c>
      <c r="D7339">
        <v>5.0588829999999998</v>
      </c>
      <c r="E7339">
        <v>0.5468982</v>
      </c>
      <c r="F7339" t="s">
        <v>42</v>
      </c>
      <c r="G7339">
        <v>-188.1335</v>
      </c>
      <c r="H7339">
        <v>0.96876850000000003</v>
      </c>
      <c r="I7339">
        <v>88.322289999999995</v>
      </c>
      <c r="J7339">
        <v>-188.25069999999999</v>
      </c>
      <c r="K7339">
        <v>1.1214919999999999</v>
      </c>
      <c r="L7339">
        <v>87.845640000000003</v>
      </c>
      <c r="M7339">
        <v>9.7235919999999997E-3</v>
      </c>
      <c r="N7339">
        <v>-1.8348159999999999E-2</v>
      </c>
      <c r="O7339">
        <v>0.99978440000000002</v>
      </c>
      <c r="P7339">
        <v>2.4353570000000001E-2</v>
      </c>
      <c r="Q7339">
        <v>-7.467551E-2</v>
      </c>
      <c r="R7339">
        <v>0.99691050000000003</v>
      </c>
      <c r="S7339">
        <v>0.44496150000000001</v>
      </c>
      <c r="T7339">
        <v>-0.56392869999999995</v>
      </c>
      <c r="U7339">
        <v>2.956207</v>
      </c>
      <c r="V7339">
        <v>1.462455E-2</v>
      </c>
      <c r="W7339">
        <v>-5.6376469999999998E-2</v>
      </c>
      <c r="X7339">
        <v>0.99830249999999998</v>
      </c>
      <c r="Y7339">
        <v>0.13685610000000001</v>
      </c>
      <c r="Z7339">
        <v>-0.16743649999999999</v>
      </c>
      <c r="AA7339">
        <v>0.97633769999999998</v>
      </c>
      <c r="AB7339">
        <v>30</v>
      </c>
      <c r="AC7339">
        <v>0.117199999999996</v>
      </c>
      <c r="AD7339">
        <v>-0.15272349999999901</v>
      </c>
      <c r="AE7339">
        <v>0.47664999999999202</v>
      </c>
      <c r="AF7339">
        <v>0.10262393338690499</v>
      </c>
      <c r="AG7339">
        <v>-0.15272349999999901</v>
      </c>
      <c r="AH7339">
        <v>0.435597213484884</v>
      </c>
      <c r="AI7339">
        <v>108.842936980695</v>
      </c>
      <c r="AJ7339">
        <v>76.743220036888204</v>
      </c>
      <c r="AK7339">
        <v>0.47286474974546999</v>
      </c>
      <c r="AL7339">
        <v>93.231847200148707</v>
      </c>
      <c r="AM7339">
        <v>89.160710246733103</v>
      </c>
      <c r="AN7339">
        <v>1.0000000326692999</v>
      </c>
    </row>
    <row r="7340" spans="1:40" x14ac:dyDescent="0.25">
      <c r="A7340" t="str">
        <f>"20190303154707040"</f>
        <v>20190303154707040</v>
      </c>
      <c r="B7340" t="str">
        <f>"1551599227029312"</f>
        <v>1551599227029312</v>
      </c>
      <c r="C7340" t="s">
        <v>40</v>
      </c>
      <c r="D7340">
        <v>5.0386579999999999</v>
      </c>
      <c r="E7340">
        <v>0.54668779999999995</v>
      </c>
      <c r="F7340" t="s">
        <v>42</v>
      </c>
      <c r="G7340">
        <v>-188.1388</v>
      </c>
      <c r="H7340">
        <v>0.97806329999999997</v>
      </c>
      <c r="I7340">
        <v>88.591160000000002</v>
      </c>
      <c r="J7340">
        <v>-188.2475</v>
      </c>
      <c r="K7340">
        <v>1.1215539999999999</v>
      </c>
      <c r="L7340">
        <v>88.136899999999997</v>
      </c>
      <c r="M7340">
        <v>9.9807639999999996E-3</v>
      </c>
      <c r="N7340">
        <v>-1.8912040000000001E-2</v>
      </c>
      <c r="O7340">
        <v>0.99977139999999998</v>
      </c>
      <c r="P7340">
        <v>2.4280670000000001E-2</v>
      </c>
      <c r="Q7340">
        <v>-7.492886E-2</v>
      </c>
      <c r="R7340">
        <v>0.99689320000000003</v>
      </c>
      <c r="S7340">
        <v>0.443222</v>
      </c>
      <c r="T7340">
        <v>-0.56866619999999901</v>
      </c>
      <c r="U7340">
        <v>2.9558719999999998</v>
      </c>
      <c r="V7340">
        <v>1.429592E-2</v>
      </c>
      <c r="W7340">
        <v>-5.60666999999999E-2</v>
      </c>
      <c r="X7340">
        <v>0.99832469999999995</v>
      </c>
      <c r="Y7340">
        <v>0.13602139999999999</v>
      </c>
      <c r="Z7340">
        <v>-0.1684283</v>
      </c>
      <c r="AA7340">
        <v>0.97628380000000003</v>
      </c>
      <c r="AB7340">
        <v>30</v>
      </c>
      <c r="AC7340">
        <v>0.10869999999999801</v>
      </c>
      <c r="AD7340">
        <v>-0.1434907</v>
      </c>
      <c r="AE7340">
        <v>0.45426000000000499</v>
      </c>
      <c r="AF7340">
        <v>9.51775351550041E-2</v>
      </c>
      <c r="AG7340">
        <v>-0.1434907</v>
      </c>
      <c r="AH7340">
        <v>0.41605709674608499</v>
      </c>
      <c r="AI7340">
        <v>108.582518233033</v>
      </c>
      <c r="AJ7340">
        <v>77.114689907351803</v>
      </c>
      <c r="AK7340">
        <v>0.450279748531347</v>
      </c>
      <c r="AL7340">
        <v>93.214070586965704</v>
      </c>
      <c r="AM7340">
        <v>89.1795856605994</v>
      </c>
      <c r="AN7340">
        <v>1.0000000274038101</v>
      </c>
    </row>
    <row r="7341" spans="1:40" x14ac:dyDescent="0.25">
      <c r="A7341" t="str">
        <f>"20190303154707063"</f>
        <v>20190303154707063</v>
      </c>
      <c r="B7341" t="str">
        <f>"1551599227058974"</f>
        <v>1551599227058974</v>
      </c>
      <c r="C7341" t="s">
        <v>40</v>
      </c>
      <c r="D7341">
        <v>5.1030509999999998</v>
      </c>
      <c r="E7341">
        <v>0.54642829999999998</v>
      </c>
      <c r="F7341" t="s">
        <v>42</v>
      </c>
      <c r="G7341">
        <v>-188.14</v>
      </c>
      <c r="H7341">
        <v>0.98240159999999999</v>
      </c>
      <c r="I7341">
        <v>88.855999999999995</v>
      </c>
      <c r="J7341">
        <v>-188.2441</v>
      </c>
      <c r="K7341">
        <v>1.121591</v>
      </c>
      <c r="L7341">
        <v>88.444269999999904</v>
      </c>
      <c r="M7341">
        <v>1.025439E-2</v>
      </c>
      <c r="N7341">
        <v>-1.9459420000000002E-2</v>
      </c>
      <c r="O7341">
        <v>0.99975809999999998</v>
      </c>
      <c r="P7341">
        <v>2.4689610000000001E-2</v>
      </c>
      <c r="Q7341">
        <v>-7.5169470000000002E-2</v>
      </c>
      <c r="R7341">
        <v>0.99686509999999995</v>
      </c>
      <c r="S7341">
        <v>0.44120789999999999</v>
      </c>
      <c r="T7341">
        <v>-0.5719495</v>
      </c>
      <c r="U7341">
        <v>2.9556269999999998</v>
      </c>
      <c r="V7341">
        <v>1.443286E-2</v>
      </c>
      <c r="W7341">
        <v>-5.5760980000000002E-2</v>
      </c>
      <c r="X7341">
        <v>0.9983398</v>
      </c>
      <c r="Y7341">
        <v>0.1350895</v>
      </c>
      <c r="Z7341">
        <v>-0.168969799999999</v>
      </c>
      <c r="AA7341">
        <v>0.97631970000000001</v>
      </c>
      <c r="AB7341">
        <v>30</v>
      </c>
      <c r="AC7341">
        <v>0.104100000000016</v>
      </c>
      <c r="AD7341">
        <v>-0.13918939999999999</v>
      </c>
      <c r="AE7341">
        <v>0.41173000000001903</v>
      </c>
      <c r="AF7341">
        <v>9.0184293636888901E-2</v>
      </c>
      <c r="AG7341">
        <v>-0.13918939999999999</v>
      </c>
      <c r="AH7341">
        <v>0.372737422687412</v>
      </c>
      <c r="AI7341">
        <v>109.948477673753</v>
      </c>
      <c r="AJ7341">
        <v>76.398602899883997</v>
      </c>
      <c r="AK7341">
        <v>0.40797068787205698</v>
      </c>
      <c r="AL7341">
        <v>93.196526842648794</v>
      </c>
      <c r="AM7341">
        <v>89.171740562676803</v>
      </c>
      <c r="AN7341">
        <v>0.999999975301189</v>
      </c>
    </row>
    <row r="7342" spans="1:40" x14ac:dyDescent="0.25">
      <c r="A7342" t="str">
        <f>"20190303154707085"</f>
        <v>20190303154707085</v>
      </c>
      <c r="B7342" t="str">
        <f>"1551599227079469"</f>
        <v>1551599227079469</v>
      </c>
      <c r="C7342" t="s">
        <v>40</v>
      </c>
      <c r="D7342">
        <v>5.0898370000000002</v>
      </c>
      <c r="E7342">
        <v>0.52395170000000002</v>
      </c>
      <c r="F7342" t="s">
        <v>42</v>
      </c>
      <c r="G7342">
        <v>-188.108</v>
      </c>
      <c r="H7342">
        <v>0.94366119999999998</v>
      </c>
      <c r="I7342">
        <v>89.357669999999999</v>
      </c>
      <c r="J7342">
        <v>-188.24100000000001</v>
      </c>
      <c r="K7342">
        <v>1.1216189999999999</v>
      </c>
      <c r="L7342">
        <v>88.721159999999998</v>
      </c>
      <c r="M7342">
        <v>1.050015E-2</v>
      </c>
      <c r="N7342">
        <v>-1.990573E-2</v>
      </c>
      <c r="O7342">
        <v>0.99974669999999999</v>
      </c>
      <c r="P7342">
        <v>2.576262E-2</v>
      </c>
      <c r="Q7342">
        <v>-7.6011099999999998E-2</v>
      </c>
      <c r="R7342">
        <v>0.9967741</v>
      </c>
      <c r="S7342">
        <v>0.44009399999999999</v>
      </c>
      <c r="T7342">
        <v>-0.57566879999999998</v>
      </c>
      <c r="U7342">
        <v>2.9551090000000002</v>
      </c>
      <c r="V7342">
        <v>1.5261769999999999E-2</v>
      </c>
      <c r="W7342">
        <v>-5.6158699999999999E-2</v>
      </c>
      <c r="X7342">
        <v>0.9983052</v>
      </c>
      <c r="Y7342">
        <v>0.13448350000000001</v>
      </c>
      <c r="Z7342">
        <v>-0.16975799999999999</v>
      </c>
      <c r="AA7342">
        <v>0.97626659999999998</v>
      </c>
      <c r="AB7342">
        <v>29</v>
      </c>
      <c r="AC7342">
        <v>0.13299999999998099</v>
      </c>
      <c r="AD7342">
        <v>-0.1779578</v>
      </c>
      <c r="AE7342">
        <v>0.63651000000000102</v>
      </c>
      <c r="AF7342">
        <v>0.11750697502013099</v>
      </c>
      <c r="AG7342">
        <v>-0.1779578</v>
      </c>
      <c r="AH7342">
        <v>0.59342589898884601</v>
      </c>
      <c r="AI7342">
        <v>106.392320386788</v>
      </c>
      <c r="AJ7342">
        <v>78.799490596973996</v>
      </c>
      <c r="AK7342">
        <v>0.63058002295501003</v>
      </c>
      <c r="AL7342">
        <v>93.2193502154459</v>
      </c>
      <c r="AM7342">
        <v>89.124148711104198</v>
      </c>
      <c r="AN7342">
        <v>0.99999999677813101</v>
      </c>
    </row>
    <row r="7343" spans="1:40" x14ac:dyDescent="0.25">
      <c r="A7343" t="str">
        <f>"20190303154707106"</f>
        <v>20190303154707106</v>
      </c>
      <c r="B7343" t="str">
        <f>"1551599227098990"</f>
        <v>1551599227098990</v>
      </c>
      <c r="C7343" t="s">
        <v>40</v>
      </c>
      <c r="D7343">
        <v>5.1021859999999997</v>
      </c>
      <c r="E7343">
        <v>0.52263219999999999</v>
      </c>
      <c r="F7343" t="s">
        <v>42</v>
      </c>
      <c r="G7343">
        <v>-188.16399999999999</v>
      </c>
      <c r="H7343">
        <v>0.88909969999999905</v>
      </c>
      <c r="I7343">
        <v>89.588679999999997</v>
      </c>
      <c r="J7343">
        <v>-188.23769999999999</v>
      </c>
      <c r="K7343">
        <v>1.1216440000000001</v>
      </c>
      <c r="L7343">
        <v>89.002750000000006</v>
      </c>
      <c r="M7343">
        <v>1.0749119999999999E-2</v>
      </c>
      <c r="N7343">
        <v>-2.031231E-2</v>
      </c>
      <c r="O7343">
        <v>0.99973590000000001</v>
      </c>
      <c r="P7343">
        <v>2.684361E-2</v>
      </c>
      <c r="Q7343">
        <v>-7.7153440000000004E-2</v>
      </c>
      <c r="R7343">
        <v>0.99665780000000004</v>
      </c>
      <c r="S7343">
        <v>0.26126100000000002</v>
      </c>
      <c r="T7343">
        <v>-0.78875360000000005</v>
      </c>
      <c r="U7343">
        <v>2.9428100000000001</v>
      </c>
      <c r="V7343">
        <v>1.6095580000000002E-2</v>
      </c>
      <c r="W7343">
        <v>-5.6897219999999998E-2</v>
      </c>
      <c r="X7343">
        <v>0.99825030000000003</v>
      </c>
      <c r="Y7343">
        <v>7.4946260000000001E-2</v>
      </c>
      <c r="Z7343">
        <v>-0.2383662</v>
      </c>
      <c r="AA7343">
        <v>0.96827920000000001</v>
      </c>
      <c r="AB7343">
        <v>29</v>
      </c>
      <c r="AC7343">
        <v>7.3699999999973898E-2</v>
      </c>
      <c r="AD7343">
        <v>-0.23254430000000001</v>
      </c>
      <c r="AE7343">
        <v>0.58593000000000395</v>
      </c>
      <c r="AF7343">
        <v>5.8348614078241698E-2</v>
      </c>
      <c r="AG7343">
        <v>-0.23254430000000001</v>
      </c>
      <c r="AH7343">
        <v>0.50792859105140697</v>
      </c>
      <c r="AI7343">
        <v>114.457818719665</v>
      </c>
      <c r="AJ7343">
        <v>83.446836878379798</v>
      </c>
      <c r="AK7343">
        <v>0.56166971240650798</v>
      </c>
      <c r="AL7343">
        <v>93.261732015791793</v>
      </c>
      <c r="AM7343">
        <v>89.076254825377802</v>
      </c>
      <c r="AN7343">
        <v>1.0000000113946701</v>
      </c>
    </row>
    <row r="7344" spans="1:40" x14ac:dyDescent="0.25">
      <c r="A7344" t="str">
        <f>"20190303154707128"</f>
        <v>20190303154707128</v>
      </c>
      <c r="B7344" t="str">
        <f>"1551599227119485"</f>
        <v>1551599227119485</v>
      </c>
      <c r="C7344" t="s">
        <v>40</v>
      </c>
      <c r="D7344">
        <v>5.0846460000000002</v>
      </c>
      <c r="E7344">
        <v>0.52203239999999995</v>
      </c>
      <c r="F7344" t="s">
        <v>42</v>
      </c>
      <c r="G7344">
        <v>-188.16489999999999</v>
      </c>
      <c r="H7344">
        <v>0.89167960000000002</v>
      </c>
      <c r="I7344">
        <v>89.845780000000005</v>
      </c>
      <c r="J7344">
        <v>-188.2345</v>
      </c>
      <c r="K7344">
        <v>1.1216660000000001</v>
      </c>
      <c r="L7344">
        <v>89.277190000000004</v>
      </c>
      <c r="M7344">
        <v>1.0991580000000001E-2</v>
      </c>
      <c r="N7344">
        <v>-2.066519E-2</v>
      </c>
      <c r="O7344">
        <v>0.99972609999999995</v>
      </c>
      <c r="P7344">
        <v>2.7480350000000001E-2</v>
      </c>
      <c r="Q7344">
        <v>-7.818021E-2</v>
      </c>
      <c r="R7344">
        <v>0.99656049999999996</v>
      </c>
      <c r="S7344">
        <v>0.25355529999999998</v>
      </c>
      <c r="T7344">
        <v>-0.80229280000000003</v>
      </c>
      <c r="U7344">
        <v>2.9411320000000001</v>
      </c>
      <c r="V7344">
        <v>1.6491550000000001E-2</v>
      </c>
      <c r="W7344">
        <v>-5.7573310000000003E-2</v>
      </c>
      <c r="X7344">
        <v>0.99820509999999996</v>
      </c>
      <c r="Y7344">
        <v>7.2150599999999995E-2</v>
      </c>
      <c r="Z7344">
        <v>-0.24236559999999999</v>
      </c>
      <c r="AA7344">
        <v>0.96749839999999998</v>
      </c>
      <c r="AB7344">
        <v>29</v>
      </c>
      <c r="AC7344">
        <v>6.9600000000008294E-2</v>
      </c>
      <c r="AD7344">
        <v>-0.22998640000000001</v>
      </c>
      <c r="AE7344">
        <v>0.56859000000000004</v>
      </c>
      <c r="AF7344">
        <v>5.4551434885340498E-2</v>
      </c>
      <c r="AG7344">
        <v>-0.22998640000000001</v>
      </c>
      <c r="AH7344">
        <v>0.49028947173375798</v>
      </c>
      <c r="AI7344">
        <v>114.995217196387</v>
      </c>
      <c r="AJ7344">
        <v>83.651170679847795</v>
      </c>
      <c r="AK7344">
        <v>0.54429162158348299</v>
      </c>
      <c r="AL7344">
        <v>93.300532632228794</v>
      </c>
      <c r="AM7344">
        <v>89.053490853891404</v>
      </c>
      <c r="AN7344">
        <v>1.0000000394558799</v>
      </c>
    </row>
    <row r="7345" spans="1:40" x14ac:dyDescent="0.25">
      <c r="A7345" t="str">
        <f>"20190303154707151"</f>
        <v>20190303154707151</v>
      </c>
      <c r="B7345" t="str">
        <f>"1551599227139513"</f>
        <v>1551599227139513</v>
      </c>
      <c r="C7345" t="s">
        <v>40</v>
      </c>
      <c r="D7345">
        <v>5.2234660000000002</v>
      </c>
      <c r="E7345">
        <v>0.52200290000000005</v>
      </c>
      <c r="F7345" t="s">
        <v>42</v>
      </c>
      <c r="G7345">
        <v>-188.16419999999999</v>
      </c>
      <c r="H7345">
        <v>0.89473519999999895</v>
      </c>
      <c r="I7345">
        <v>90.101470000000006</v>
      </c>
      <c r="J7345">
        <v>-188.23099999999999</v>
      </c>
      <c r="K7345">
        <v>1.1216809999999999</v>
      </c>
      <c r="L7345">
        <v>89.564610000000002</v>
      </c>
      <c r="M7345">
        <v>1.1246809999999999E-2</v>
      </c>
      <c r="N7345">
        <v>-2.098415E-2</v>
      </c>
      <c r="O7345">
        <v>0.99971650000000001</v>
      </c>
      <c r="P7345">
        <v>2.843687E-2</v>
      </c>
      <c r="Q7345">
        <v>-7.8888539999999993E-2</v>
      </c>
      <c r="R7345">
        <v>0.99647779999999997</v>
      </c>
      <c r="S7345">
        <v>0.25086979999999998</v>
      </c>
      <c r="T7345">
        <v>-0.80936490000000005</v>
      </c>
      <c r="U7345">
        <v>2.9399410000000001</v>
      </c>
      <c r="V7345">
        <v>1.7194669999999999E-2</v>
      </c>
      <c r="W7345">
        <v>-5.7964660000000001E-2</v>
      </c>
      <c r="X7345">
        <v>0.99817060000000002</v>
      </c>
      <c r="Y7345">
        <v>7.1007890000000004E-2</v>
      </c>
      <c r="Z7345">
        <v>-0.24433849999999999</v>
      </c>
      <c r="AA7345">
        <v>0.96708669999999997</v>
      </c>
      <c r="AB7345">
        <v>29</v>
      </c>
      <c r="AC7345">
        <v>6.6800000000000595E-2</v>
      </c>
      <c r="AD7345">
        <v>-0.2269458</v>
      </c>
      <c r="AE7345">
        <v>0.53685999999999001</v>
      </c>
      <c r="AF7345">
        <v>5.1664791179146699E-2</v>
      </c>
      <c r="AG7345">
        <v>-0.2269458</v>
      </c>
      <c r="AH7345">
        <v>0.4571335937953</v>
      </c>
      <c r="AI7345">
        <v>116.257739852424</v>
      </c>
      <c r="AJ7345">
        <v>83.551848923913695</v>
      </c>
      <c r="AK7345">
        <v>0.51297638284957203</v>
      </c>
      <c r="AL7345">
        <v>93.322992800143197</v>
      </c>
      <c r="AM7345">
        <v>89.013109993052197</v>
      </c>
      <c r="AN7345">
        <v>1.00000005259484</v>
      </c>
    </row>
    <row r="7346" spans="1:40" x14ac:dyDescent="0.25">
      <c r="A7346" t="str">
        <f>"20190303154707306"</f>
        <v>20190303154707306</v>
      </c>
      <c r="B7346" t="str">
        <f>"1551599227299110"</f>
        <v>1551599227299110</v>
      </c>
      <c r="C7346" t="s">
        <v>40</v>
      </c>
      <c r="D7346">
        <v>4.7228469999999998</v>
      </c>
      <c r="E7346">
        <v>0.52108949999999998</v>
      </c>
      <c r="F7346" t="s">
        <v>42</v>
      </c>
      <c r="G7346">
        <v>-188.12090000000001</v>
      </c>
      <c r="H7346">
        <v>0.86412269999999902</v>
      </c>
      <c r="I7346">
        <v>92.067340000000002</v>
      </c>
      <c r="J7346">
        <v>-188.20570000000001</v>
      </c>
      <c r="K7346">
        <v>1.1216569999999999</v>
      </c>
      <c r="L7346">
        <v>91.496489999999994</v>
      </c>
      <c r="M7346">
        <v>1.2980469999999999E-2</v>
      </c>
      <c r="N7346">
        <v>-2.175005E-2</v>
      </c>
      <c r="O7346">
        <v>0.99967910000000004</v>
      </c>
      <c r="P7346">
        <v>3.0874950000000002E-2</v>
      </c>
      <c r="Q7346">
        <v>-8.1218390000000001E-2</v>
      </c>
      <c r="R7346">
        <v>0.99621800000000005</v>
      </c>
      <c r="S7346">
        <v>0.3134613</v>
      </c>
      <c r="T7346">
        <v>-0.91540339999999998</v>
      </c>
      <c r="U7346">
        <v>2.9271240000000001</v>
      </c>
      <c r="V7346">
        <v>1.7909209999999998E-2</v>
      </c>
      <c r="W7346">
        <v>-5.9533129999999997E-2</v>
      </c>
      <c r="X7346">
        <v>0.99806569999999994</v>
      </c>
      <c r="Y7346">
        <v>8.9088349999999997E-2</v>
      </c>
      <c r="Z7346">
        <v>-0.276258</v>
      </c>
      <c r="AA7346">
        <v>0.9569455</v>
      </c>
      <c r="AB7346">
        <v>27</v>
      </c>
      <c r="AC7346">
        <v>8.4800000000001305E-2</v>
      </c>
      <c r="AD7346">
        <v>-0.25753429999999999</v>
      </c>
      <c r="AE7346">
        <v>0.57084999999999297</v>
      </c>
      <c r="AF7346">
        <v>6.4530869411524597E-2</v>
      </c>
      <c r="AG7346">
        <v>-0.25753429999999999</v>
      </c>
      <c r="AH7346">
        <v>0.476929692662238</v>
      </c>
      <c r="AI7346">
        <v>118.151582448971</v>
      </c>
      <c r="AJ7346">
        <v>82.294402607691495</v>
      </c>
      <c r="AK7346">
        <v>0.54584803794315695</v>
      </c>
      <c r="AL7346">
        <v>93.413015054871195</v>
      </c>
      <c r="AM7346">
        <v>88.971999501666303</v>
      </c>
      <c r="AN7346">
        <v>1.0000000374434499</v>
      </c>
    </row>
    <row r="7347" spans="1:40" x14ac:dyDescent="0.25">
      <c r="A7347" t="str">
        <f>"20190303154707329"</f>
        <v>20190303154707329</v>
      </c>
      <c r="B7347" t="str">
        <f>"1551599227319606"</f>
        <v>1551599227319606</v>
      </c>
      <c r="C7347" t="s">
        <v>40</v>
      </c>
      <c r="D7347">
        <v>4.801768</v>
      </c>
      <c r="E7347">
        <v>0.52243779999999995</v>
      </c>
      <c r="F7347" t="s">
        <v>42</v>
      </c>
      <c r="G7347">
        <v>-188.1343</v>
      </c>
      <c r="H7347">
        <v>0.89817250000000004</v>
      </c>
      <c r="I7347">
        <v>92.322739999999996</v>
      </c>
      <c r="J7347">
        <v>-188.2021</v>
      </c>
      <c r="K7347">
        <v>1.1216520000000001</v>
      </c>
      <c r="L7347">
        <v>91.757419999999996</v>
      </c>
      <c r="M7347">
        <v>1.3216550000000001E-2</v>
      </c>
      <c r="N7347">
        <v>-2.173394E-2</v>
      </c>
      <c r="O7347">
        <v>0.99967640000000002</v>
      </c>
      <c r="P7347">
        <v>2.9928360000000001E-2</v>
      </c>
      <c r="Q7347">
        <v>-8.2007430000000006E-2</v>
      </c>
      <c r="R7347">
        <v>0.99618229999999997</v>
      </c>
      <c r="S7347">
        <v>0.2533417</v>
      </c>
      <c r="T7347">
        <v>-0.79486599999999996</v>
      </c>
      <c r="U7347">
        <v>2.9387509999999999</v>
      </c>
      <c r="V7347">
        <v>1.6727780000000001E-2</v>
      </c>
      <c r="W7347">
        <v>-6.0338360000000001E-2</v>
      </c>
      <c r="X7347">
        <v>0.99803779999999997</v>
      </c>
      <c r="Y7347">
        <v>6.9990479999999994E-2</v>
      </c>
      <c r="Z7347">
        <v>-0.23926239999999999</v>
      </c>
      <c r="AA7347">
        <v>0.96842899999999998</v>
      </c>
      <c r="AB7347">
        <v>27</v>
      </c>
      <c r="AC7347">
        <v>6.7800000000005398E-2</v>
      </c>
      <c r="AD7347">
        <v>-0.2234795</v>
      </c>
      <c r="AE7347">
        <v>0.56531999999999905</v>
      </c>
      <c r="AF7347">
        <v>5.2268366786468103E-2</v>
      </c>
      <c r="AG7347">
        <v>-0.2234795</v>
      </c>
      <c r="AH7347">
        <v>0.49058787834775802</v>
      </c>
      <c r="AI7347">
        <v>114.36912133787899</v>
      </c>
      <c r="AJ7347">
        <v>83.918516782442794</v>
      </c>
      <c r="AK7347">
        <v>0.54161936400809096</v>
      </c>
      <c r="AL7347">
        <v>93.4592345793954</v>
      </c>
      <c r="AM7347">
        <v>89.039774383039003</v>
      </c>
      <c r="AN7347">
        <v>0.99999999327002898</v>
      </c>
    </row>
    <row r="7348" spans="1:40" x14ac:dyDescent="0.25">
      <c r="A7348" t="str">
        <f>"20190303154707351"</f>
        <v>20190303154707351</v>
      </c>
      <c r="B7348" t="str">
        <f>"1551599227339631"</f>
        <v>1551599227339631</v>
      </c>
      <c r="C7348" t="s">
        <v>40</v>
      </c>
      <c r="D7348">
        <v>4.7907710000000003</v>
      </c>
      <c r="E7348">
        <v>0.52501919999999902</v>
      </c>
      <c r="F7348" t="s">
        <v>42</v>
      </c>
      <c r="G7348">
        <v>-188.12459999999999</v>
      </c>
      <c r="H7348">
        <v>1.013922</v>
      </c>
      <c r="I7348">
        <v>92.619579999999999</v>
      </c>
      <c r="J7348">
        <v>-188.19829999999999</v>
      </c>
      <c r="K7348">
        <v>1.1216539999999999</v>
      </c>
      <c r="L7348">
        <v>92.020719999999997</v>
      </c>
      <c r="M7348">
        <v>1.345496E-2</v>
      </c>
      <c r="N7348">
        <v>-2.1718310000000001E-2</v>
      </c>
      <c r="O7348">
        <v>0.99967360000000005</v>
      </c>
      <c r="P7348">
        <v>2.9770359999999999E-2</v>
      </c>
      <c r="Q7348">
        <v>-8.2400219999999996E-2</v>
      </c>
      <c r="R7348">
        <v>0.99615450000000005</v>
      </c>
      <c r="S7348">
        <v>0.26693729999999999</v>
      </c>
      <c r="T7348">
        <v>-0.37147459999999999</v>
      </c>
      <c r="U7348">
        <v>2.972931</v>
      </c>
      <c r="V7348">
        <v>1.6332639999999999E-2</v>
      </c>
      <c r="W7348">
        <v>-6.0746950000000001E-2</v>
      </c>
      <c r="X7348">
        <v>0.99801960000000001</v>
      </c>
      <c r="Y7348">
        <v>7.5431059999999994E-2</v>
      </c>
      <c r="Z7348">
        <v>-0.1019829</v>
      </c>
      <c r="AA7348">
        <v>0.99192219999999998</v>
      </c>
      <c r="AB7348">
        <v>27</v>
      </c>
      <c r="AC7348">
        <v>7.3700000000002305E-2</v>
      </c>
      <c r="AD7348">
        <v>-0.10773199999999999</v>
      </c>
      <c r="AE7348">
        <v>0.59886000000000195</v>
      </c>
      <c r="AF7348">
        <v>6.3606062218476103E-2</v>
      </c>
      <c r="AG7348">
        <v>-0.10773199999999999</v>
      </c>
      <c r="AH7348">
        <v>0.58126716384134303</v>
      </c>
      <c r="AI7348">
        <v>100.43911553648699</v>
      </c>
      <c r="AJ7348">
        <v>83.755166806985301</v>
      </c>
      <c r="AK7348">
        <v>0.59457836383028495</v>
      </c>
      <c r="AL7348">
        <v>93.482687941272005</v>
      </c>
      <c r="AM7348">
        <v>89.0624354330063</v>
      </c>
      <c r="AN7348">
        <v>1.00000003452391</v>
      </c>
    </row>
    <row r="7349" spans="1:40" x14ac:dyDescent="0.25">
      <c r="A7349" t="str">
        <f>"20190303154707373"</f>
        <v>20190303154707373</v>
      </c>
      <c r="B7349" t="str">
        <f>"1551599227368912"</f>
        <v>1551599227368912</v>
      </c>
      <c r="C7349" t="s">
        <v>40</v>
      </c>
      <c r="D7349">
        <v>4.7936180000000004</v>
      </c>
      <c r="E7349">
        <v>0.52401719999999996</v>
      </c>
      <c r="F7349" t="s">
        <v>42</v>
      </c>
      <c r="G7349">
        <v>-188.11680000000001</v>
      </c>
      <c r="H7349">
        <v>1.0239910000000001</v>
      </c>
      <c r="I7349">
        <v>92.862539999999996</v>
      </c>
      <c r="J7349">
        <v>-188.1944</v>
      </c>
      <c r="K7349">
        <v>1.1216710000000001</v>
      </c>
      <c r="L7349">
        <v>92.287080000000003</v>
      </c>
      <c r="M7349">
        <v>1.369597E-2</v>
      </c>
      <c r="N7349">
        <v>-2.1725879999999999E-2</v>
      </c>
      <c r="O7349">
        <v>0.99967010000000001</v>
      </c>
      <c r="P7349">
        <v>3.0184220000000001E-2</v>
      </c>
      <c r="Q7349">
        <v>-8.2615789999999995E-2</v>
      </c>
      <c r="R7349">
        <v>0.99612429999999996</v>
      </c>
      <c r="S7349">
        <v>0.28739930000000002</v>
      </c>
      <c r="T7349">
        <v>-0.34510829999999998</v>
      </c>
      <c r="U7349">
        <v>2.9744570000000001</v>
      </c>
      <c r="V7349">
        <v>1.650685E-2</v>
      </c>
      <c r="W7349">
        <v>-6.0955339999999997E-2</v>
      </c>
      <c r="X7349">
        <v>0.998004</v>
      </c>
      <c r="Y7349">
        <v>8.198917E-2</v>
      </c>
      <c r="Z7349">
        <v>-9.3182669999999995E-2</v>
      </c>
      <c r="AA7349">
        <v>0.99226749999999997</v>
      </c>
      <c r="AB7349">
        <v>27</v>
      </c>
      <c r="AC7349">
        <v>7.7599999999989594E-2</v>
      </c>
      <c r="AD7349">
        <v>-9.7679999999999698E-2</v>
      </c>
      <c r="AE7349">
        <v>0.57545999999999198</v>
      </c>
      <c r="AF7349">
        <v>6.7791028263128494E-2</v>
      </c>
      <c r="AG7349">
        <v>-9.7679999999999698E-2</v>
      </c>
      <c r="AH7349">
        <v>0.56060509364653899</v>
      </c>
      <c r="AI7349">
        <v>99.813917896242401</v>
      </c>
      <c r="AJ7349">
        <v>83.105000441019001</v>
      </c>
      <c r="AK7349">
        <v>0.573075105841649</v>
      </c>
      <c r="AL7349">
        <v>93.494650072820903</v>
      </c>
      <c r="AM7349">
        <v>89.052422026262207</v>
      </c>
      <c r="AN7349">
        <v>1.00000000679371</v>
      </c>
    </row>
    <row r="7350" spans="1:40" x14ac:dyDescent="0.25">
      <c r="A7350" t="str">
        <f>"20190303154707397"</f>
        <v>20190303154707397</v>
      </c>
      <c r="B7350" t="str">
        <f>"1551599227389407"</f>
        <v>1551599227389407</v>
      </c>
      <c r="C7350" t="s">
        <v>40</v>
      </c>
      <c r="D7350">
        <v>4.8107519999999999</v>
      </c>
      <c r="E7350">
        <v>0.52372680000000005</v>
      </c>
      <c r="F7350" t="s">
        <v>42</v>
      </c>
      <c r="G7350">
        <v>-188.11799999999999</v>
      </c>
      <c r="H7350">
        <v>1.0226379999999999</v>
      </c>
      <c r="I7350">
        <v>93.098370000000003</v>
      </c>
      <c r="J7350">
        <v>-188.19040000000001</v>
      </c>
      <c r="K7350">
        <v>1.121691</v>
      </c>
      <c r="L7350">
        <v>92.559479999999994</v>
      </c>
      <c r="M7350">
        <v>1.394258E-2</v>
      </c>
      <c r="N7350">
        <v>-2.1767459999999999E-2</v>
      </c>
      <c r="O7350">
        <v>0.9996659</v>
      </c>
      <c r="P7350">
        <v>3.0065959999999999E-2</v>
      </c>
      <c r="Q7350">
        <v>-8.2740019999999997E-2</v>
      </c>
      <c r="R7350">
        <v>0.99611749999999999</v>
      </c>
      <c r="S7350">
        <v>0.28031919999999999</v>
      </c>
      <c r="T7350">
        <v>-0.3629271</v>
      </c>
      <c r="U7350">
        <v>2.9730530000000002</v>
      </c>
      <c r="V7350">
        <v>1.6143149999999998E-2</v>
      </c>
      <c r="W7350">
        <v>-6.1037899999999999E-2</v>
      </c>
      <c r="X7350">
        <v>0.99800489999999997</v>
      </c>
      <c r="Y7350">
        <v>7.9391130000000004E-2</v>
      </c>
      <c r="Z7350">
        <v>-9.9078280000000005E-2</v>
      </c>
      <c r="AA7350">
        <v>0.99190750000000005</v>
      </c>
      <c r="AB7350">
        <v>27</v>
      </c>
      <c r="AC7350">
        <v>7.2400000000015993E-2</v>
      </c>
      <c r="AD7350">
        <v>-9.9053000000000002E-2</v>
      </c>
      <c r="AE7350">
        <v>0.53888999999998</v>
      </c>
      <c r="AF7350">
        <v>6.2793736339452802E-2</v>
      </c>
      <c r="AG7350">
        <v>-9.9053000000000002E-2</v>
      </c>
      <c r="AH7350">
        <v>0.52250692153323397</v>
      </c>
      <c r="AI7350">
        <v>100.659407376121</v>
      </c>
      <c r="AJ7350">
        <v>83.147183787138303</v>
      </c>
      <c r="AK7350">
        <v>0.53550726716133901</v>
      </c>
      <c r="AL7350">
        <v>93.499389248423697</v>
      </c>
      <c r="AM7350">
        <v>89.073297427913701</v>
      </c>
      <c r="AN7350">
        <v>1.00000000347617</v>
      </c>
    </row>
    <row r="7351" spans="1:40" x14ac:dyDescent="0.25">
      <c r="A7351" t="str">
        <f>"20190303154707420"</f>
        <v>20190303154707420</v>
      </c>
      <c r="B7351" t="str">
        <f>"1551599227408928"</f>
        <v>1551599227408928</v>
      </c>
      <c r="C7351" t="s">
        <v>40</v>
      </c>
      <c r="D7351">
        <v>4.7386970000000002</v>
      </c>
      <c r="E7351">
        <v>0.52403100000000002</v>
      </c>
      <c r="F7351" t="s">
        <v>42</v>
      </c>
      <c r="G7351">
        <v>-188.11789999999999</v>
      </c>
      <c r="H7351">
        <v>1.024697</v>
      </c>
      <c r="I7351">
        <v>93.334339999999997</v>
      </c>
      <c r="J7351">
        <v>-188.18639999999999</v>
      </c>
      <c r="K7351">
        <v>1.1217239999999999</v>
      </c>
      <c r="L7351">
        <v>92.828890000000001</v>
      </c>
      <c r="M7351">
        <v>1.4186560000000001E-2</v>
      </c>
      <c r="N7351">
        <v>-2.1842090000000002E-2</v>
      </c>
      <c r="O7351">
        <v>0.99966080000000002</v>
      </c>
      <c r="P7351">
        <v>3.0283259999999999E-2</v>
      </c>
      <c r="Q7351">
        <v>-8.2897410000000005E-2</v>
      </c>
      <c r="R7351">
        <v>0.99609789999999998</v>
      </c>
      <c r="S7351">
        <v>0.27769470000000002</v>
      </c>
      <c r="T7351">
        <v>-0.37208780000000002</v>
      </c>
      <c r="U7351">
        <v>2.9724119999999998</v>
      </c>
      <c r="V7351">
        <v>1.611775E-2</v>
      </c>
      <c r="W7351">
        <v>-6.1120939999999999E-2</v>
      </c>
      <c r="X7351">
        <v>0.9980002</v>
      </c>
      <c r="Y7351">
        <v>7.8270259999999994E-2</v>
      </c>
      <c r="Z7351">
        <v>-0.1020481</v>
      </c>
      <c r="AA7351">
        <v>0.99169549999999995</v>
      </c>
      <c r="AB7351">
        <v>26</v>
      </c>
      <c r="AC7351">
        <v>6.85000000000002E-2</v>
      </c>
      <c r="AD7351">
        <v>-9.7026999999999905E-2</v>
      </c>
      <c r="AE7351">
        <v>0.50544999999999596</v>
      </c>
      <c r="AF7351">
        <v>5.9179407709721202E-2</v>
      </c>
      <c r="AG7351">
        <v>-9.7026999999999905E-2</v>
      </c>
      <c r="AH7351">
        <v>0.488688099073534</v>
      </c>
      <c r="AI7351">
        <v>101.150399759335</v>
      </c>
      <c r="AJ7351">
        <v>83.095187341142207</v>
      </c>
      <c r="AK7351">
        <v>0.50172950800404104</v>
      </c>
      <c r="AL7351">
        <v>93.504156089136004</v>
      </c>
      <c r="AM7351">
        <v>89.074750912569698</v>
      </c>
      <c r="AN7351">
        <v>0.99999997518579198</v>
      </c>
    </row>
    <row r="7352" spans="1:40" x14ac:dyDescent="0.25">
      <c r="A7352" t="str">
        <f>"20190303154707443"</f>
        <v>20190303154707443</v>
      </c>
      <c r="B7352" t="str">
        <f>"1551599227439690"</f>
        <v>1551599227439690</v>
      </c>
      <c r="C7352" t="s">
        <v>40</v>
      </c>
      <c r="D7352">
        <v>4.7531749999999997</v>
      </c>
      <c r="E7352">
        <v>0.52377580000000001</v>
      </c>
      <c r="F7352" t="s">
        <v>42</v>
      </c>
      <c r="G7352">
        <v>-188.1163</v>
      </c>
      <c r="H7352">
        <v>1.028762</v>
      </c>
      <c r="I7352">
        <v>93.569659999999999</v>
      </c>
      <c r="J7352">
        <v>-188.1824</v>
      </c>
      <c r="K7352">
        <v>1.121767</v>
      </c>
      <c r="L7352">
        <v>93.090329999999994</v>
      </c>
      <c r="M7352">
        <v>1.4423210000000001E-2</v>
      </c>
      <c r="N7352">
        <v>-2.1944390000000001E-2</v>
      </c>
      <c r="O7352">
        <v>0.99965510000000002</v>
      </c>
      <c r="P7352">
        <v>3.0923610000000001E-2</v>
      </c>
      <c r="Q7352">
        <v>-8.2931519999999995E-2</v>
      </c>
      <c r="R7352">
        <v>0.9960753</v>
      </c>
      <c r="S7352">
        <v>0.28071590000000002</v>
      </c>
      <c r="T7352">
        <v>-0.37299189999999999</v>
      </c>
      <c r="U7352">
        <v>2.9721679999999999</v>
      </c>
      <c r="V7352">
        <v>1.6522760000000001E-2</v>
      </c>
      <c r="W7352">
        <v>-6.105323E-2</v>
      </c>
      <c r="X7352">
        <v>0.99799780000000005</v>
      </c>
      <c r="Y7352">
        <v>7.903694E-2</v>
      </c>
      <c r="Z7352">
        <v>-0.1022433</v>
      </c>
      <c r="AA7352">
        <v>0.99161460000000001</v>
      </c>
      <c r="AB7352">
        <v>26</v>
      </c>
      <c r="AC7352">
        <v>6.6100000000005807E-2</v>
      </c>
      <c r="AD7352">
        <v>-9.3004999999999699E-2</v>
      </c>
      <c r="AE7352">
        <v>0.47932999999998999</v>
      </c>
      <c r="AF7352">
        <v>5.70695137869267E-2</v>
      </c>
      <c r="AG7352">
        <v>-9.3004999999999699E-2</v>
      </c>
      <c r="AH7352">
        <v>0.46312337373300999</v>
      </c>
      <c r="AI7352">
        <v>101.27211394630299</v>
      </c>
      <c r="AJ7352">
        <v>82.975002376321598</v>
      </c>
      <c r="AK7352">
        <v>0.47580470649912798</v>
      </c>
      <c r="AL7352">
        <v>93.500269058076597</v>
      </c>
      <c r="AM7352">
        <v>89.051502985947806</v>
      </c>
      <c r="AN7352">
        <v>1.0000000536481399</v>
      </c>
    </row>
    <row r="7353" spans="1:40" x14ac:dyDescent="0.25">
      <c r="A7353" t="str">
        <f>"20190303154707465"</f>
        <v>20190303154707465</v>
      </c>
      <c r="B7353" t="str">
        <f>"1551599227459211"</f>
        <v>1551599227459211</v>
      </c>
      <c r="C7353" t="s">
        <v>40</v>
      </c>
      <c r="D7353">
        <v>4.7617820000000002</v>
      </c>
      <c r="E7353">
        <v>0.52403040000000001</v>
      </c>
      <c r="F7353" t="s">
        <v>42</v>
      </c>
      <c r="G7353">
        <v>-188.09469999999999</v>
      </c>
      <c r="H7353">
        <v>1.0030220000000001</v>
      </c>
      <c r="I7353">
        <v>94.017870000000002</v>
      </c>
      <c r="J7353">
        <v>-188.17830000000001</v>
      </c>
      <c r="K7353">
        <v>1.12181</v>
      </c>
      <c r="L7353">
        <v>93.353489999999994</v>
      </c>
      <c r="M7353">
        <v>1.466135E-2</v>
      </c>
      <c r="N7353">
        <v>-2.2081489999999999E-2</v>
      </c>
      <c r="O7353">
        <v>0.99964869999999995</v>
      </c>
      <c r="P7353">
        <v>3.1510959999999998E-2</v>
      </c>
      <c r="Q7353">
        <v>-8.3094550000000003E-2</v>
      </c>
      <c r="R7353">
        <v>0.99604329999999996</v>
      </c>
      <c r="S7353">
        <v>0.28053280000000003</v>
      </c>
      <c r="T7353">
        <v>-0.38041249999999999</v>
      </c>
      <c r="U7353">
        <v>2.9714360000000002</v>
      </c>
      <c r="V7353">
        <v>1.6873409999999998E-2</v>
      </c>
      <c r="W7353">
        <v>-6.1079880000000003E-2</v>
      </c>
      <c r="X7353">
        <v>0.9979903</v>
      </c>
      <c r="Y7353">
        <v>7.8736349999999997E-2</v>
      </c>
      <c r="Z7353">
        <v>-0.10457370000000001</v>
      </c>
      <c r="AA7353">
        <v>0.99139549999999999</v>
      </c>
      <c r="AB7353">
        <v>26</v>
      </c>
      <c r="AC7353">
        <v>8.3600000000018299E-2</v>
      </c>
      <c r="AD7353">
        <v>-0.118788</v>
      </c>
      <c r="AE7353">
        <v>0.66437999999999398</v>
      </c>
      <c r="AF7353">
        <v>7.1594874069370804E-2</v>
      </c>
      <c r="AG7353">
        <v>-0.118788</v>
      </c>
      <c r="AH7353">
        <v>0.64522951046836097</v>
      </c>
      <c r="AI7353">
        <v>100.369211785681</v>
      </c>
      <c r="AJ7353">
        <v>83.668342629653793</v>
      </c>
      <c r="AK7353">
        <v>0.65996782960705802</v>
      </c>
      <c r="AL7353">
        <v>93.5017988537994</v>
      </c>
      <c r="AM7353">
        <v>89.031370270760604</v>
      </c>
      <c r="AN7353">
        <v>1.0000000512999601</v>
      </c>
    </row>
    <row r="7354" spans="1:40" x14ac:dyDescent="0.25">
      <c r="A7354" t="str">
        <f>"20190303154707508"</f>
        <v>20190303154707508</v>
      </c>
      <c r="B7354" t="str">
        <f>"1551599227499226"</f>
        <v>1551599227499226</v>
      </c>
      <c r="C7354" t="s">
        <v>40</v>
      </c>
      <c r="D7354">
        <v>4.6982480000000004</v>
      </c>
      <c r="E7354">
        <v>0.52424659999999901</v>
      </c>
      <c r="F7354" t="s">
        <v>42</v>
      </c>
      <c r="G7354">
        <v>-188.0925</v>
      </c>
      <c r="H7354">
        <v>1.007215</v>
      </c>
      <c r="I7354">
        <v>94.248090000000005</v>
      </c>
      <c r="J7354">
        <v>-188.1705</v>
      </c>
      <c r="K7354">
        <v>1.121902</v>
      </c>
      <c r="L7354">
        <v>93.83963</v>
      </c>
      <c r="M7354">
        <v>1.510212E-2</v>
      </c>
      <c r="N7354">
        <v>-2.240433E-2</v>
      </c>
      <c r="O7354">
        <v>0.99963489999999999</v>
      </c>
      <c r="P7354">
        <v>3.3049229999999999E-2</v>
      </c>
      <c r="Q7354">
        <v>-8.2686040000000002E-2</v>
      </c>
      <c r="R7354">
        <v>0.99602749999999995</v>
      </c>
      <c r="S7354">
        <v>0.28436280000000003</v>
      </c>
      <c r="T7354">
        <v>-0.38063059999999999</v>
      </c>
      <c r="U7354">
        <v>2.9711609999999999</v>
      </c>
      <c r="V7354">
        <v>1.7973240000000001E-2</v>
      </c>
      <c r="W7354">
        <v>-6.0349149999999997E-2</v>
      </c>
      <c r="X7354">
        <v>0.99801550000000006</v>
      </c>
      <c r="Y7354">
        <v>7.9570589999999997E-2</v>
      </c>
      <c r="Z7354">
        <v>-0.1043235</v>
      </c>
      <c r="AA7354">
        <v>0.99135519999999999</v>
      </c>
      <c r="AB7354">
        <v>26</v>
      </c>
      <c r="AC7354">
        <v>7.80000000000029E-2</v>
      </c>
      <c r="AD7354">
        <v>-0.114686999999999</v>
      </c>
      <c r="AE7354">
        <v>0.40846000000000499</v>
      </c>
      <c r="AF7354">
        <v>6.67441689722338E-2</v>
      </c>
      <c r="AG7354">
        <v>-0.114686999999999</v>
      </c>
      <c r="AH7354">
        <v>0.38063905769855699</v>
      </c>
      <c r="AI7354">
        <v>106.52948337178699</v>
      </c>
      <c r="AJ7354">
        <v>80.054427958860103</v>
      </c>
      <c r="AK7354">
        <v>0.40310542579632802</v>
      </c>
      <c r="AL7354">
        <v>93.459853914007496</v>
      </c>
      <c r="AM7354">
        <v>88.968273048419306</v>
      </c>
      <c r="AN7354">
        <v>0.99999999775103499</v>
      </c>
    </row>
    <row r="7355" spans="1:40" x14ac:dyDescent="0.25">
      <c r="A7355" t="str">
        <f>"20190303154707531"</f>
        <v>20190303154707531</v>
      </c>
      <c r="B7355" t="str">
        <f>"1551599227519722"</f>
        <v>1551599227519722</v>
      </c>
      <c r="C7355" t="s">
        <v>40</v>
      </c>
      <c r="D7355">
        <v>4.7514209999999997</v>
      </c>
      <c r="E7355">
        <v>0.54233880000000001</v>
      </c>
      <c r="F7355" t="s">
        <v>42</v>
      </c>
      <c r="G7355">
        <v>-188.08609999999999</v>
      </c>
      <c r="H7355">
        <v>1.0126029999999999</v>
      </c>
      <c r="I7355">
        <v>94.701639999999998</v>
      </c>
      <c r="J7355">
        <v>-188.16640000000001</v>
      </c>
      <c r="K7355">
        <v>1.121936</v>
      </c>
      <c r="L7355">
        <v>94.099059999999994</v>
      </c>
      <c r="M7355">
        <v>1.53381E-2</v>
      </c>
      <c r="N7355">
        <v>-2.2576200000000001E-2</v>
      </c>
      <c r="O7355">
        <v>0.9996275</v>
      </c>
      <c r="P7355">
        <v>3.373205E-2</v>
      </c>
      <c r="Q7355">
        <v>-8.2297250000000002E-2</v>
      </c>
      <c r="R7355">
        <v>0.99603680000000006</v>
      </c>
      <c r="S7355">
        <v>0.2906494</v>
      </c>
      <c r="T7355">
        <v>-0.3767432</v>
      </c>
      <c r="U7355">
        <v>2.9710390000000002</v>
      </c>
      <c r="V7355">
        <v>1.8421170000000001E-2</v>
      </c>
      <c r="W7355">
        <v>-5.9788429999999997E-2</v>
      </c>
      <c r="X7355">
        <v>0.99804110000000001</v>
      </c>
      <c r="Y7355">
        <v>8.1428920000000002E-2</v>
      </c>
      <c r="Z7355">
        <v>-0.102860199999999</v>
      </c>
      <c r="AA7355">
        <v>0.99135720000000005</v>
      </c>
      <c r="AB7355">
        <v>25</v>
      </c>
      <c r="AC7355">
        <v>8.0300000000022395E-2</v>
      </c>
      <c r="AD7355">
        <v>-0.109332999999999</v>
      </c>
      <c r="AE7355">
        <v>0.602580000000003</v>
      </c>
      <c r="AF7355">
        <v>6.8819679207113807E-2</v>
      </c>
      <c r="AG7355">
        <v>-0.109332999999999</v>
      </c>
      <c r="AH7355">
        <v>0.58482398329312801</v>
      </c>
      <c r="AI7355">
        <v>100.518284418006</v>
      </c>
      <c r="AJ7355">
        <v>83.288534184736605</v>
      </c>
      <c r="AK7355">
        <v>0.59892315414417796</v>
      </c>
      <c r="AL7355">
        <v>93.427668841005399</v>
      </c>
      <c r="AM7355">
        <v>88.942593181597701</v>
      </c>
      <c r="AN7355">
        <v>1.0000000165776199</v>
      </c>
    </row>
    <row r="7356" spans="1:40" x14ac:dyDescent="0.25">
      <c r="A7356" t="str">
        <f>"20190303154707553"</f>
        <v>20190303154707553</v>
      </c>
      <c r="B7356" t="str">
        <f>"1551599227549511"</f>
        <v>1551599227549511</v>
      </c>
      <c r="C7356" t="s">
        <v>40</v>
      </c>
      <c r="D7356">
        <v>4.8917060000000001</v>
      </c>
      <c r="E7356">
        <v>0.54156040000000005</v>
      </c>
      <c r="F7356" t="s">
        <v>61</v>
      </c>
      <c r="G7356">
        <v>-181.57900000000001</v>
      </c>
      <c r="H7356" s="1">
        <v>-8.4852639999999997E-6</v>
      </c>
      <c r="I7356">
        <v>138.7552</v>
      </c>
      <c r="J7356">
        <v>-188.16239999999999</v>
      </c>
      <c r="K7356">
        <v>1.121964</v>
      </c>
      <c r="L7356">
        <v>94.338409999999996</v>
      </c>
      <c r="M7356">
        <v>1.555613E-2</v>
      </c>
      <c r="N7356">
        <v>-2.2722840000000001E-2</v>
      </c>
      <c r="O7356">
        <v>0.99962079999999998</v>
      </c>
      <c r="P7356">
        <v>3.4173540000000002E-2</v>
      </c>
      <c r="Q7356">
        <v>-8.2261760000000003E-2</v>
      </c>
      <c r="R7356">
        <v>0.99602469999999999</v>
      </c>
      <c r="S7356">
        <v>0.4411774</v>
      </c>
      <c r="T7356">
        <v>-7.5140709999999999E-2</v>
      </c>
      <c r="U7356">
        <v>2.9907840000000001</v>
      </c>
      <c r="V7356">
        <v>1.8645829999999999E-2</v>
      </c>
      <c r="W7356">
        <v>-5.9606590000000001E-2</v>
      </c>
      <c r="X7356">
        <v>0.99804780000000004</v>
      </c>
      <c r="Y7356">
        <v>0.13045129999999999</v>
      </c>
      <c r="Z7356">
        <v>-2.173557E-3</v>
      </c>
      <c r="AA7356">
        <v>0.99145229999999995</v>
      </c>
      <c r="AB7356">
        <v>25</v>
      </c>
      <c r="AC7356">
        <v>6.5833999999999797</v>
      </c>
      <c r="AD7356">
        <v>-1.1219724852640001</v>
      </c>
      <c r="AE7356">
        <v>44.416789999999999</v>
      </c>
      <c r="AF7356">
        <v>5.8877951045096699</v>
      </c>
      <c r="AG7356">
        <v>-1.1219724852640001</v>
      </c>
      <c r="AH7356">
        <v>44.486076132372197</v>
      </c>
      <c r="AI7356">
        <v>91.432252042034506</v>
      </c>
      <c r="AJ7356">
        <v>82.460640823140906</v>
      </c>
      <c r="AK7356">
        <v>44.888037639281997</v>
      </c>
      <c r="AL7356">
        <v>93.417231578158095</v>
      </c>
      <c r="AM7356">
        <v>88.929707476589201</v>
      </c>
      <c r="AN7356">
        <v>1.0000000118163199</v>
      </c>
    </row>
    <row r="7357" spans="1:40" x14ac:dyDescent="0.25">
      <c r="A7357" t="str">
        <f>"20190303154707578"</f>
        <v>20190303154707578</v>
      </c>
      <c r="B7357" t="str">
        <f>"1551599227569032"</f>
        <v>1551599227569032</v>
      </c>
      <c r="C7357" t="s">
        <v>40</v>
      </c>
      <c r="D7357">
        <v>4.8632799999999996</v>
      </c>
      <c r="E7357">
        <v>0.53905769999999997</v>
      </c>
      <c r="F7357" t="s">
        <v>61</v>
      </c>
      <c r="G7357">
        <v>-182.07859999999999</v>
      </c>
      <c r="H7357" s="1">
        <v>-7.4923780000000003E-6</v>
      </c>
      <c r="I7357">
        <v>136.04130000000001</v>
      </c>
      <c r="J7357">
        <v>-188.15780000000001</v>
      </c>
      <c r="K7357">
        <v>1.1219889999999999</v>
      </c>
      <c r="L7357">
        <v>94.612459999999999</v>
      </c>
      <c r="M7357">
        <v>1.580602E-2</v>
      </c>
      <c r="N7357">
        <v>-2.2876879999999999E-2</v>
      </c>
      <c r="O7357">
        <v>0.99961330000000004</v>
      </c>
      <c r="P7357">
        <v>3.4783099999999997E-2</v>
      </c>
      <c r="Q7357">
        <v>-8.2511979999999999E-2</v>
      </c>
      <c r="R7357">
        <v>0.9959829</v>
      </c>
      <c r="S7357">
        <v>0.43624879999999999</v>
      </c>
      <c r="T7357">
        <v>-8.0453159999999996E-2</v>
      </c>
      <c r="U7357">
        <v>2.9903870000000001</v>
      </c>
      <c r="V7357">
        <v>1.900719E-2</v>
      </c>
      <c r="W7357">
        <v>-5.9703600000000003E-2</v>
      </c>
      <c r="X7357">
        <v>0.99803520000000001</v>
      </c>
      <c r="Y7357">
        <v>0.1286196</v>
      </c>
      <c r="Z7357">
        <v>-3.7871480000000002E-3</v>
      </c>
      <c r="AA7357">
        <v>0.99168679999999998</v>
      </c>
      <c r="AB7357">
        <v>25</v>
      </c>
      <c r="AC7357">
        <v>6.0792000000000099</v>
      </c>
      <c r="AD7357">
        <v>-1.1219964923779999</v>
      </c>
      <c r="AE7357">
        <v>41.428840000000001</v>
      </c>
      <c r="AF7357">
        <v>5.4195524081723701</v>
      </c>
      <c r="AG7357">
        <v>-1.1219964923779999</v>
      </c>
      <c r="AH7357">
        <v>41.489985115139298</v>
      </c>
      <c r="AI7357">
        <v>91.536006287404106</v>
      </c>
      <c r="AJ7357">
        <v>82.5579803665713</v>
      </c>
      <c r="AK7357">
        <v>41.857487852095403</v>
      </c>
      <c r="AL7357">
        <v>93.422799707036404</v>
      </c>
      <c r="AM7357">
        <v>88.908956183959504</v>
      </c>
      <c r="AN7357">
        <v>1.0000000267818401</v>
      </c>
    </row>
    <row r="7358" spans="1:40" x14ac:dyDescent="0.25">
      <c r="A7358" t="str">
        <f>"20190303154707600"</f>
        <v>20190303154707600</v>
      </c>
      <c r="B7358" t="str">
        <f>"1551599227589527"</f>
        <v>1551599227589527</v>
      </c>
      <c r="C7358" t="s">
        <v>40</v>
      </c>
      <c r="D7358">
        <v>4.7797090000000004</v>
      </c>
      <c r="E7358">
        <v>0.53929189999999905</v>
      </c>
      <c r="F7358" t="s">
        <v>61</v>
      </c>
      <c r="G7358">
        <v>-183.77029999999999</v>
      </c>
      <c r="H7358" s="1">
        <v>-3.9610730000000004E-6</v>
      </c>
      <c r="I7358">
        <v>125.99679999999999</v>
      </c>
      <c r="J7358">
        <v>-188.15379999999999</v>
      </c>
      <c r="K7358">
        <v>1.122007</v>
      </c>
      <c r="L7358">
        <v>94.852999999999994</v>
      </c>
      <c r="M7358">
        <v>1.602597E-2</v>
      </c>
      <c r="N7358">
        <v>-2.2999200000000001E-2</v>
      </c>
      <c r="O7358">
        <v>0.99960700000000002</v>
      </c>
      <c r="P7358">
        <v>3.5268300000000002E-2</v>
      </c>
      <c r="Q7358">
        <v>-8.2764710000000005E-2</v>
      </c>
      <c r="R7358">
        <v>0.99594490000000002</v>
      </c>
      <c r="S7358">
        <v>0.41781620000000003</v>
      </c>
      <c r="T7358">
        <v>-0.1068456</v>
      </c>
      <c r="U7358">
        <v>2.9886780000000002</v>
      </c>
      <c r="V7358">
        <v>1.927398E-2</v>
      </c>
      <c r="W7358">
        <v>-5.9834760000000001E-2</v>
      </c>
      <c r="X7358">
        <v>0.99802219999999997</v>
      </c>
      <c r="Y7358">
        <v>0.12246700000000001</v>
      </c>
      <c r="Z7358">
        <v>-1.2445579999999999E-2</v>
      </c>
      <c r="AA7358">
        <v>0.99239460000000002</v>
      </c>
      <c r="AB7358">
        <v>25</v>
      </c>
      <c r="AC7358">
        <v>4.38349999999999</v>
      </c>
      <c r="AD7358">
        <v>-1.122010961073</v>
      </c>
      <c r="AE7358">
        <v>31.143799999999999</v>
      </c>
      <c r="AF7358">
        <v>3.87875852269701</v>
      </c>
      <c r="AG7358">
        <v>-1.122010961073</v>
      </c>
      <c r="AH7358">
        <v>31.1703956403192</v>
      </c>
      <c r="AI7358">
        <v>92.045766808653696</v>
      </c>
      <c r="AJ7358">
        <v>82.906732621399499</v>
      </c>
      <c r="AK7358">
        <v>31.430832643253201</v>
      </c>
      <c r="AL7358">
        <v>93.430328178309296</v>
      </c>
      <c r="AM7358">
        <v>88.893631373822103</v>
      </c>
      <c r="AN7358">
        <v>0.999999998251069</v>
      </c>
    </row>
    <row r="7359" spans="1:40" x14ac:dyDescent="0.25">
      <c r="A7359" t="str">
        <f>"20190303154707631"</f>
        <v>20190303154707631</v>
      </c>
      <c r="B7359" t="str">
        <f>"1551599227618807"</f>
        <v>1551599227618807</v>
      </c>
      <c r="C7359" t="s">
        <v>40</v>
      </c>
      <c r="D7359">
        <v>4.799296</v>
      </c>
      <c r="E7359">
        <v>0.54099209999999998</v>
      </c>
      <c r="F7359" t="s">
        <v>61</v>
      </c>
      <c r="G7359">
        <v>-183.8115</v>
      </c>
      <c r="H7359" s="1">
        <v>-3.8697319999999996E-6</v>
      </c>
      <c r="I7359">
        <v>125.66719999999999</v>
      </c>
      <c r="J7359">
        <v>-188.148</v>
      </c>
      <c r="K7359">
        <v>1.122018</v>
      </c>
      <c r="L7359">
        <v>95.185519999999997</v>
      </c>
      <c r="M7359">
        <v>1.633134E-2</v>
      </c>
      <c r="N7359">
        <v>-2.3104260000000001E-2</v>
      </c>
      <c r="O7359">
        <v>0.99959960000000003</v>
      </c>
      <c r="P7359">
        <v>3.506571E-2</v>
      </c>
      <c r="Q7359">
        <v>-8.2868059999999993E-2</v>
      </c>
      <c r="R7359">
        <v>0.99594340000000003</v>
      </c>
      <c r="S7359">
        <v>0.42109679999999999</v>
      </c>
      <c r="T7359">
        <v>-0.1088088</v>
      </c>
      <c r="U7359">
        <v>2.988251</v>
      </c>
      <c r="V7359">
        <v>1.8767559999999999E-2</v>
      </c>
      <c r="W7359">
        <v>-5.9832789999999997E-2</v>
      </c>
      <c r="X7359">
        <v>0.99803200000000003</v>
      </c>
      <c r="Y7359">
        <v>0.1232487</v>
      </c>
      <c r="Z7359">
        <v>-1.2991870000000001E-2</v>
      </c>
      <c r="AA7359">
        <v>0.99229069999999997</v>
      </c>
      <c r="AB7359">
        <v>24</v>
      </c>
      <c r="AC7359">
        <v>4.3365</v>
      </c>
      <c r="AD7359">
        <v>-1.1220218697319999</v>
      </c>
      <c r="AE7359">
        <v>30.481680000000001</v>
      </c>
      <c r="AF7359">
        <v>3.83289135520041</v>
      </c>
      <c r="AG7359">
        <v>-1.1220218697319999</v>
      </c>
      <c r="AH7359">
        <v>30.507935567418102</v>
      </c>
      <c r="AI7359">
        <v>92.089862491941602</v>
      </c>
      <c r="AJ7359">
        <v>82.839113691251498</v>
      </c>
      <c r="AK7359">
        <v>30.768232347709901</v>
      </c>
      <c r="AL7359">
        <v>93.430214998991005</v>
      </c>
      <c r="AM7359">
        <v>88.922704622527206</v>
      </c>
      <c r="AN7359">
        <v>1.00000002854576</v>
      </c>
    </row>
    <row r="7360" spans="1:40" x14ac:dyDescent="0.25">
      <c r="A7360" t="str">
        <f>"20190303154707655"</f>
        <v>20190303154707655</v>
      </c>
      <c r="B7360" t="str">
        <f>"1551599227649571"</f>
        <v>1551599227649571</v>
      </c>
      <c r="C7360" t="s">
        <v>40</v>
      </c>
      <c r="D7360">
        <v>4.8454480000000002</v>
      </c>
      <c r="E7360">
        <v>0.54201330000000003</v>
      </c>
      <c r="F7360" t="s">
        <v>61</v>
      </c>
      <c r="G7360">
        <v>-183.0437</v>
      </c>
      <c r="H7360" s="1">
        <v>-5.4754220000000003E-6</v>
      </c>
      <c r="I7360">
        <v>130.31200000000001</v>
      </c>
      <c r="J7360">
        <v>-188.1437</v>
      </c>
      <c r="K7360">
        <v>1.1220060000000001</v>
      </c>
      <c r="L7360">
        <v>95.436859999999996</v>
      </c>
      <c r="M7360">
        <v>1.6562799999999999E-2</v>
      </c>
      <c r="N7360">
        <v>-2.3106990000000001E-2</v>
      </c>
      <c r="O7360">
        <v>0.99959580000000003</v>
      </c>
      <c r="P7360">
        <v>3.4672000000000001E-2</v>
      </c>
      <c r="Q7360">
        <v>-8.3071569999999997E-2</v>
      </c>
      <c r="R7360">
        <v>0.9959403</v>
      </c>
      <c r="S7360">
        <v>0.43434139999999999</v>
      </c>
      <c r="T7360">
        <v>-9.5475199999999996E-2</v>
      </c>
      <c r="U7360">
        <v>2.9889830000000002</v>
      </c>
      <c r="V7360">
        <v>1.814352E-2</v>
      </c>
      <c r="W7360">
        <v>-6.003327E-2</v>
      </c>
      <c r="X7360">
        <v>0.99803149999999996</v>
      </c>
      <c r="Y7360">
        <v>0.12730369999999999</v>
      </c>
      <c r="Z7360">
        <v>-8.5476010000000002E-3</v>
      </c>
      <c r="AA7360">
        <v>0.99182700000000001</v>
      </c>
      <c r="AB7360">
        <v>24</v>
      </c>
      <c r="AC7360">
        <v>5.0999999999999899</v>
      </c>
      <c r="AD7360">
        <v>-1.1220114754220001</v>
      </c>
      <c r="AE7360">
        <v>34.875140000000002</v>
      </c>
      <c r="AF7360">
        <v>4.5169384297921802</v>
      </c>
      <c r="AG7360">
        <v>-1.1220114754220001</v>
      </c>
      <c r="AH7360">
        <v>34.919459615579299</v>
      </c>
      <c r="AI7360">
        <v>91.825165246886399</v>
      </c>
      <c r="AJ7360">
        <v>82.629542639978496</v>
      </c>
      <c r="AK7360">
        <v>35.228259996394797</v>
      </c>
      <c r="AL7360">
        <v>93.441722344350794</v>
      </c>
      <c r="AM7360">
        <v>88.958517215919201</v>
      </c>
      <c r="AN7360">
        <v>1.0000000279085599</v>
      </c>
    </row>
    <row r="7361" spans="1:40" x14ac:dyDescent="0.25">
      <c r="A7361" t="str">
        <f>"20190303154707676"</f>
        <v>20190303154707676</v>
      </c>
      <c r="B7361" t="str">
        <f>"1551599227669091"</f>
        <v>1551599227669091</v>
      </c>
      <c r="C7361" t="s">
        <v>40</v>
      </c>
      <c r="D7361">
        <v>4.8542269999999998</v>
      </c>
      <c r="E7361">
        <v>0.54239190000000004</v>
      </c>
      <c r="F7361" t="s">
        <v>61</v>
      </c>
      <c r="G7361">
        <v>-182.58590000000001</v>
      </c>
      <c r="H7361" s="1">
        <v>-6.4074120000000002E-6</v>
      </c>
      <c r="I7361">
        <v>133.066</v>
      </c>
      <c r="J7361">
        <v>-188.1395</v>
      </c>
      <c r="K7361">
        <v>1.1219889999999999</v>
      </c>
      <c r="L7361">
        <v>95.672790000000006</v>
      </c>
      <c r="M7361">
        <v>1.678029E-2</v>
      </c>
      <c r="N7361">
        <v>-2.3059429999999999E-2</v>
      </c>
      <c r="O7361">
        <v>0.99959330000000002</v>
      </c>
      <c r="P7361">
        <v>3.3509619999999997E-2</v>
      </c>
      <c r="Q7361">
        <v>-8.2898630000000001E-2</v>
      </c>
      <c r="R7361">
        <v>0.99599439999999995</v>
      </c>
      <c r="S7361">
        <v>0.44152829999999899</v>
      </c>
      <c r="T7361">
        <v>-8.91372E-2</v>
      </c>
      <c r="U7361">
        <v>2.9894099999999999</v>
      </c>
      <c r="V7361">
        <v>1.6763989999999999E-2</v>
      </c>
      <c r="W7361">
        <v>-5.9906340000000002E-2</v>
      </c>
      <c r="X7361">
        <v>0.99806320000000004</v>
      </c>
      <c r="Y7361">
        <v>0.1294061</v>
      </c>
      <c r="Z7361">
        <v>-6.4841200000000003E-3</v>
      </c>
      <c r="AA7361">
        <v>0.99157050000000002</v>
      </c>
      <c r="AB7361">
        <v>24</v>
      </c>
      <c r="AC7361">
        <v>5.5535999999999799</v>
      </c>
      <c r="AD7361">
        <v>-1.121995407412</v>
      </c>
      <c r="AE7361">
        <v>37.393210000000003</v>
      </c>
      <c r="AF7361">
        <v>4.9208471495210304</v>
      </c>
      <c r="AG7361">
        <v>-1.121995407412</v>
      </c>
      <c r="AH7361">
        <v>37.4481703943921</v>
      </c>
      <c r="AI7361">
        <v>91.701523366841201</v>
      </c>
      <c r="AJ7361">
        <v>82.5139840592242</v>
      </c>
      <c r="AK7361">
        <v>37.786757948395497</v>
      </c>
      <c r="AL7361">
        <v>93.4344368567251</v>
      </c>
      <c r="AM7361">
        <v>89.037720694330403</v>
      </c>
      <c r="AN7361">
        <v>0.99999997606357705</v>
      </c>
    </row>
    <row r="7362" spans="1:40" x14ac:dyDescent="0.25">
      <c r="A7362" t="str">
        <f>"20190303154707698"</f>
        <v>20190303154707698</v>
      </c>
      <c r="B7362" t="str">
        <f>"1551599227689587"</f>
        <v>1551599227689587</v>
      </c>
      <c r="C7362" t="s">
        <v>40</v>
      </c>
      <c r="D7362">
        <v>4.8851129999999996</v>
      </c>
      <c r="E7362">
        <v>0.54272129999999996</v>
      </c>
      <c r="F7362" t="s">
        <v>61</v>
      </c>
      <c r="G7362">
        <v>-182.41470000000001</v>
      </c>
      <c r="H7362" s="1">
        <v>-6.9158989999999897E-6</v>
      </c>
      <c r="I7362">
        <v>134.47710000000001</v>
      </c>
      <c r="J7362">
        <v>-188.13550000000001</v>
      </c>
      <c r="K7362">
        <v>1.1219619999999999</v>
      </c>
      <c r="L7362">
        <v>95.896910000000005</v>
      </c>
      <c r="M7362">
        <v>1.6987909999999998E-2</v>
      </c>
      <c r="N7362">
        <v>-2.295262E-2</v>
      </c>
      <c r="O7362">
        <v>0.99959219999999904</v>
      </c>
      <c r="P7362">
        <v>3.1537160000000002E-2</v>
      </c>
      <c r="Q7362">
        <v>-8.2164500000000001E-2</v>
      </c>
      <c r="R7362">
        <v>0.99611970000000005</v>
      </c>
      <c r="S7362">
        <v>0.44111630000000002</v>
      </c>
      <c r="T7362">
        <v>-8.6454030000000001E-2</v>
      </c>
      <c r="U7362">
        <v>2.990021</v>
      </c>
      <c r="V7362">
        <v>1.458333E-2</v>
      </c>
      <c r="W7362">
        <v>-5.9275910000000001E-2</v>
      </c>
      <c r="X7362">
        <v>0.99813510000000005</v>
      </c>
      <c r="Y7362">
        <v>0.12903990000000001</v>
      </c>
      <c r="Z7362">
        <v>-5.6981870000000004E-3</v>
      </c>
      <c r="AA7362">
        <v>0.99162300000000003</v>
      </c>
      <c r="AB7362">
        <v>24</v>
      </c>
      <c r="AC7362">
        <v>5.7207999999999899</v>
      </c>
      <c r="AD7362">
        <v>-1.1219689158990001</v>
      </c>
      <c r="AE7362">
        <v>38.580190000000002</v>
      </c>
      <c r="AF7362">
        <v>5.06021700095613</v>
      </c>
      <c r="AG7362">
        <v>-1.1219689158990001</v>
      </c>
      <c r="AH7362">
        <v>38.639853909950602</v>
      </c>
      <c r="AI7362">
        <v>91.649132305829696</v>
      </c>
      <c r="AJ7362">
        <v>82.539089637336701</v>
      </c>
      <c r="AK7362">
        <v>38.985932341388697</v>
      </c>
      <c r="AL7362">
        <v>93.398251515305404</v>
      </c>
      <c r="AM7362">
        <v>89.162935145501294</v>
      </c>
      <c r="AN7362">
        <v>0.99999999243611304</v>
      </c>
    </row>
    <row r="7363" spans="1:40" x14ac:dyDescent="0.25">
      <c r="A7363" t="str">
        <f>"20190303154707719"</f>
        <v>20190303154707719</v>
      </c>
      <c r="B7363" t="str">
        <f>"1551599227709110"</f>
        <v>1551599227709110</v>
      </c>
      <c r="C7363" t="s">
        <v>40</v>
      </c>
      <c r="D7363">
        <v>4.9000579999999996</v>
      </c>
      <c r="E7363">
        <v>0.54305890000000001</v>
      </c>
      <c r="F7363" t="s">
        <v>61</v>
      </c>
      <c r="G7363">
        <v>-182.22020000000001</v>
      </c>
      <c r="H7363" s="1">
        <v>-7.570395E-6</v>
      </c>
      <c r="I7363">
        <v>136.30000000000001</v>
      </c>
      <c r="J7363">
        <v>-188.13140000000001</v>
      </c>
      <c r="K7363">
        <v>1.1219079999999999</v>
      </c>
      <c r="L7363">
        <v>96.123689999999996</v>
      </c>
      <c r="M7363">
        <v>1.7195240000000001E-2</v>
      </c>
      <c r="N7363">
        <v>-2.2706489999999999E-2</v>
      </c>
      <c r="O7363">
        <v>0.99959430000000005</v>
      </c>
      <c r="P7363">
        <v>2.927285E-2</v>
      </c>
      <c r="Q7363">
        <v>-8.2592639999999995E-2</v>
      </c>
      <c r="R7363">
        <v>0.99615339999999997</v>
      </c>
      <c r="S7363">
        <v>0.43789670000000003</v>
      </c>
      <c r="T7363">
        <v>-8.3057399999999906E-2</v>
      </c>
      <c r="U7363">
        <v>2.9909669999999999</v>
      </c>
      <c r="V7363">
        <v>1.2112380000000001E-2</v>
      </c>
      <c r="W7363">
        <v>-5.9948679999999997E-2</v>
      </c>
      <c r="X7363">
        <v>0.99812800000000002</v>
      </c>
      <c r="Y7363">
        <v>0.12774829999999901</v>
      </c>
      <c r="Z7363">
        <v>-4.8159029999999999E-3</v>
      </c>
      <c r="AA7363">
        <v>0.99179490000000003</v>
      </c>
      <c r="AB7363">
        <v>24</v>
      </c>
      <c r="AC7363">
        <v>5.9112</v>
      </c>
      <c r="AD7363">
        <v>-1.1219155703949999</v>
      </c>
      <c r="AE7363">
        <v>40.176310000000001</v>
      </c>
      <c r="AF7363">
        <v>5.2153254274897698</v>
      </c>
      <c r="AG7363">
        <v>-1.1219155703949999</v>
      </c>
      <c r="AH7363">
        <v>40.241322561445898</v>
      </c>
      <c r="AI7363">
        <v>91.583736469638296</v>
      </c>
      <c r="AJ7363">
        <v>82.615556404930501</v>
      </c>
      <c r="AK7363">
        <v>40.593378220543002</v>
      </c>
      <c r="AL7363">
        <v>93.436866945152204</v>
      </c>
      <c r="AM7363">
        <v>89.304744290146402</v>
      </c>
      <c r="AN7363">
        <v>1.0000000291835001</v>
      </c>
    </row>
    <row r="7364" spans="1:40" x14ac:dyDescent="0.25">
      <c r="A7364" t="str">
        <f>"20190303154707742"</f>
        <v>20190303154707742</v>
      </c>
      <c r="B7364" t="str">
        <f>"1551599227738894"</f>
        <v>1551599227738894</v>
      </c>
      <c r="C7364" t="s">
        <v>40</v>
      </c>
      <c r="D7364">
        <v>4.9317710000000003</v>
      </c>
      <c r="E7364">
        <v>0.54346539999999999</v>
      </c>
      <c r="F7364" t="s">
        <v>61</v>
      </c>
      <c r="G7364">
        <v>-182.31639999999999</v>
      </c>
      <c r="H7364" s="1">
        <v>-7.5346759999999901E-6</v>
      </c>
      <c r="I7364">
        <v>136.22200000000001</v>
      </c>
      <c r="J7364">
        <v>-188.12719999999999</v>
      </c>
      <c r="K7364">
        <v>1.121804</v>
      </c>
      <c r="L7364">
        <v>96.356260000000006</v>
      </c>
      <c r="M7364">
        <v>1.739402E-2</v>
      </c>
      <c r="N7364">
        <v>-2.2208180000000001E-2</v>
      </c>
      <c r="O7364">
        <v>0.99960199999999999</v>
      </c>
      <c r="P7364">
        <v>2.7409849999999999E-2</v>
      </c>
      <c r="Q7364">
        <v>-8.3307569999999997E-2</v>
      </c>
      <c r="R7364">
        <v>0.99614689999999995</v>
      </c>
      <c r="S7364">
        <v>0.43388369999999998</v>
      </c>
      <c r="T7364">
        <v>-8.3711149999999998E-2</v>
      </c>
      <c r="U7364">
        <v>2.9919129999999998</v>
      </c>
      <c r="V7364">
        <v>1.005229E-2</v>
      </c>
      <c r="W7364">
        <v>-6.1160810000000003E-2</v>
      </c>
      <c r="X7364">
        <v>0.99807729999999995</v>
      </c>
      <c r="Y7364">
        <v>0.12620580000000001</v>
      </c>
      <c r="Z7364">
        <v>-5.5266719999999998E-3</v>
      </c>
      <c r="AA7364">
        <v>0.99198869999999895</v>
      </c>
      <c r="AB7364">
        <v>23</v>
      </c>
      <c r="AC7364">
        <v>5.8108000000000004</v>
      </c>
      <c r="AD7364">
        <v>-1.121811534676</v>
      </c>
      <c r="AE7364">
        <v>39.865740000000002</v>
      </c>
      <c r="AF7364">
        <v>5.1123599146591996</v>
      </c>
      <c r="AG7364">
        <v>-1.121811534676</v>
      </c>
      <c r="AH7364">
        <v>39.929843482706602</v>
      </c>
      <c r="AI7364">
        <v>91.596253260717404</v>
      </c>
      <c r="AJ7364">
        <v>82.703911985652198</v>
      </c>
      <c r="AK7364">
        <v>40.271417724855397</v>
      </c>
      <c r="AL7364">
        <v>93.506444684132305</v>
      </c>
      <c r="AM7364">
        <v>89.422956199836307</v>
      </c>
      <c r="AN7364">
        <v>0.99999999499469505</v>
      </c>
    </row>
    <row r="7365" spans="1:40" x14ac:dyDescent="0.25">
      <c r="A7365" t="str">
        <f>"20190303154707765"</f>
        <v>20190303154707765</v>
      </c>
      <c r="B7365" t="str">
        <f>"1551599227759390"</f>
        <v>1551599227759390</v>
      </c>
      <c r="C7365" t="s">
        <v>40</v>
      </c>
      <c r="D7365">
        <v>4.9857750000000003</v>
      </c>
      <c r="E7365">
        <v>0.54391060000000002</v>
      </c>
      <c r="F7365" t="s">
        <v>61</v>
      </c>
      <c r="G7365">
        <v>-182.54050000000001</v>
      </c>
      <c r="H7365" s="1">
        <v>-7.1180929999999997E-6</v>
      </c>
      <c r="I7365">
        <v>135.08699999999999</v>
      </c>
      <c r="J7365">
        <v>-188.12280000000001</v>
      </c>
      <c r="K7365">
        <v>1.121658</v>
      </c>
      <c r="L7365">
        <v>96.593990000000005</v>
      </c>
      <c r="M7365">
        <v>1.7569499999999998E-2</v>
      </c>
      <c r="N7365">
        <v>-2.1463240000000001E-2</v>
      </c>
      <c r="O7365">
        <v>0.99961529999999998</v>
      </c>
      <c r="P7365">
        <v>2.5724279999999999E-2</v>
      </c>
      <c r="Q7365">
        <v>-8.3408839999999998E-2</v>
      </c>
      <c r="R7365">
        <v>0.99618329999999999</v>
      </c>
      <c r="S7365">
        <v>0.43164059999999999</v>
      </c>
      <c r="T7365">
        <v>-8.6674810000000005E-2</v>
      </c>
      <c r="U7365">
        <v>2.9924620000000002</v>
      </c>
      <c r="V7365">
        <v>8.1938110000000005E-3</v>
      </c>
      <c r="W7365">
        <v>-6.200456E-2</v>
      </c>
      <c r="X7365">
        <v>0.99804219999999999</v>
      </c>
      <c r="Y7365">
        <v>0.12527869999999999</v>
      </c>
      <c r="Z7365">
        <v>-7.2492839999999999E-3</v>
      </c>
      <c r="AA7365">
        <v>0.99209510000000001</v>
      </c>
      <c r="AB7365">
        <v>23</v>
      </c>
      <c r="AC7365">
        <v>5.5823</v>
      </c>
      <c r="AD7365">
        <v>-1.121665118093</v>
      </c>
      <c r="AE7365">
        <v>38.493009999999998</v>
      </c>
      <c r="AF7365">
        <v>4.9009035322613999</v>
      </c>
      <c r="AG7365">
        <v>-1.121665118093</v>
      </c>
      <c r="AH7365">
        <v>38.553105021805798</v>
      </c>
      <c r="AI7365">
        <v>91.653198313601393</v>
      </c>
      <c r="AJ7365">
        <v>82.755368691189005</v>
      </c>
      <c r="AK7365">
        <v>38.879543398708599</v>
      </c>
      <c r="AL7365">
        <v>93.554880024950194</v>
      </c>
      <c r="AM7365">
        <v>89.529618846711699</v>
      </c>
      <c r="AN7365">
        <v>0.99999996849016803</v>
      </c>
    </row>
    <row r="7366" spans="1:40" x14ac:dyDescent="0.25">
      <c r="A7366" t="str">
        <f>"20190303154707787"</f>
        <v>20190303154707787</v>
      </c>
      <c r="B7366" t="str">
        <f>"1551599227778909"</f>
        <v>1551599227778909</v>
      </c>
      <c r="C7366" t="s">
        <v>40</v>
      </c>
      <c r="D7366">
        <v>4.9836689999999999</v>
      </c>
      <c r="E7366">
        <v>0.54432809999999998</v>
      </c>
      <c r="F7366" t="s">
        <v>61</v>
      </c>
      <c r="G7366">
        <v>-182.6105</v>
      </c>
      <c r="H7366" s="1">
        <v>-7.0653120000000003E-6</v>
      </c>
      <c r="I7366">
        <v>134.95359999999999</v>
      </c>
      <c r="J7366">
        <v>-188.11840000000001</v>
      </c>
      <c r="K7366">
        <v>1.121532</v>
      </c>
      <c r="L7366">
        <v>96.833100000000002</v>
      </c>
      <c r="M7366">
        <v>1.7714859999999999E-2</v>
      </c>
      <c r="N7366">
        <v>-2.0657689999999999E-2</v>
      </c>
      <c r="O7366">
        <v>0.99962969999999896</v>
      </c>
      <c r="P7366">
        <v>2.4397120000000001E-2</v>
      </c>
      <c r="Q7366">
        <v>-8.3308809999999997E-2</v>
      </c>
      <c r="R7366">
        <v>0.99622509999999997</v>
      </c>
      <c r="S7366">
        <v>0.43009950000000002</v>
      </c>
      <c r="T7366">
        <v>-8.7518929999999995E-2</v>
      </c>
      <c r="U7366">
        <v>2.993042</v>
      </c>
      <c r="V7366">
        <v>6.7245079999999997E-3</v>
      </c>
      <c r="W7366">
        <v>-6.2707470000000001E-2</v>
      </c>
      <c r="X7366">
        <v>0.99800929999999999</v>
      </c>
      <c r="Y7366">
        <v>0.1246094</v>
      </c>
      <c r="Z7366">
        <v>-8.3299169999999992E-3</v>
      </c>
      <c r="AA7366">
        <v>0.99217089999999997</v>
      </c>
      <c r="AB7366">
        <v>23</v>
      </c>
      <c r="AC7366">
        <v>5.5079000000000002</v>
      </c>
      <c r="AD7366">
        <v>-1.1215390653120001</v>
      </c>
      <c r="AE7366">
        <v>38.1204999999999</v>
      </c>
      <c r="AF7366">
        <v>4.8274987269221903</v>
      </c>
      <c r="AG7366">
        <v>-1.1215390653120001</v>
      </c>
      <c r="AH7366">
        <v>38.1797359195374</v>
      </c>
      <c r="AI7366">
        <v>91.669310189096393</v>
      </c>
      <c r="AJ7366">
        <v>82.793683337406193</v>
      </c>
      <c r="AK7366">
        <v>38.500062710586199</v>
      </c>
      <c r="AL7366">
        <v>93.595232201160599</v>
      </c>
      <c r="AM7366">
        <v>89.613951395789499</v>
      </c>
      <c r="AN7366">
        <v>1.00000000434406</v>
      </c>
    </row>
    <row r="7367" spans="1:40" x14ac:dyDescent="0.25">
      <c r="A7367" t="str">
        <f>"20190303154707809"</f>
        <v>20190303154707809</v>
      </c>
      <c r="B7367" t="str">
        <f>"1551599227799406"</f>
        <v>1551599227799406</v>
      </c>
      <c r="C7367" t="s">
        <v>40</v>
      </c>
      <c r="D7367">
        <v>5.0190390000000003</v>
      </c>
      <c r="E7367">
        <v>0.54468739999999904</v>
      </c>
      <c r="F7367" t="s">
        <v>61</v>
      </c>
      <c r="G7367">
        <v>-182.5224</v>
      </c>
      <c r="H7367" s="1">
        <v>-7.3778839999999997E-6</v>
      </c>
      <c r="I7367">
        <v>135.8253</v>
      </c>
      <c r="J7367">
        <v>-188.11439999999999</v>
      </c>
      <c r="K7367">
        <v>1.1214470000000001</v>
      </c>
      <c r="L7367">
        <v>97.049409999999995</v>
      </c>
      <c r="M7367">
        <v>1.78111E-2</v>
      </c>
      <c r="N7367">
        <v>-1.996173E-2</v>
      </c>
      <c r="O7367">
        <v>0.99964209999999998</v>
      </c>
      <c r="P7367">
        <v>2.4208489999999999E-2</v>
      </c>
      <c r="Q7367">
        <v>-8.4261329999999995E-2</v>
      </c>
      <c r="R7367">
        <v>0.99614959999999997</v>
      </c>
      <c r="S7367">
        <v>0.42962650000000002</v>
      </c>
      <c r="T7367">
        <v>-8.6105940000000006E-2</v>
      </c>
      <c r="U7367">
        <v>2.9936219999999998</v>
      </c>
      <c r="V7367">
        <v>6.4448880000000002E-3</v>
      </c>
      <c r="W7367">
        <v>-6.4355599999999999E-2</v>
      </c>
      <c r="X7367">
        <v>0.99790619999999997</v>
      </c>
      <c r="Y7367">
        <v>0.1243369</v>
      </c>
      <c r="Z7367">
        <v>-8.5531649999999997E-3</v>
      </c>
      <c r="AA7367">
        <v>0.99220319999999995</v>
      </c>
      <c r="AB7367">
        <v>23</v>
      </c>
      <c r="AC7367">
        <v>5.5919999999999801</v>
      </c>
      <c r="AD7367">
        <v>-1.1214543778839901</v>
      </c>
      <c r="AE7367">
        <v>38.775889999999997</v>
      </c>
      <c r="AF7367">
        <v>4.8963216182801004</v>
      </c>
      <c r="AG7367">
        <v>-1.1214543778839901</v>
      </c>
      <c r="AH7367">
        <v>38.837532263183398</v>
      </c>
      <c r="AI7367">
        <v>91.641003918170199</v>
      </c>
      <c r="AJ7367">
        <v>82.814520960156202</v>
      </c>
      <c r="AK7367">
        <v>39.161020640493</v>
      </c>
      <c r="AL7367">
        <v>93.689854340069601</v>
      </c>
      <c r="AM7367">
        <v>89.629965473890394</v>
      </c>
      <c r="AN7367">
        <v>0.99999998191556605</v>
      </c>
    </row>
    <row r="7368" spans="1:40" x14ac:dyDescent="0.25">
      <c r="A7368" t="str">
        <f>"20190303154707832"</f>
        <v>20190303154707832</v>
      </c>
      <c r="B7368" t="str">
        <f>"1551599227829662"</f>
        <v>1551599227829662</v>
      </c>
      <c r="C7368" t="s">
        <v>40</v>
      </c>
      <c r="D7368">
        <v>5.1731860000000003</v>
      </c>
      <c r="E7368">
        <v>0.54507519999999998</v>
      </c>
      <c r="F7368" t="s">
        <v>61</v>
      </c>
      <c r="G7368">
        <v>-182.6885</v>
      </c>
      <c r="H7368" s="1">
        <v>-6.9597350000000004E-6</v>
      </c>
      <c r="I7368">
        <v>134.6713</v>
      </c>
      <c r="J7368">
        <v>-188.10980000000001</v>
      </c>
      <c r="K7368">
        <v>1.121383</v>
      </c>
      <c r="L7368">
        <v>97.295720000000003</v>
      </c>
      <c r="M7368">
        <v>1.7878330000000001E-2</v>
      </c>
      <c r="N7368">
        <v>-1.9218659999999999E-2</v>
      </c>
      <c r="O7368">
        <v>0.99965539999999997</v>
      </c>
      <c r="P7368">
        <v>2.5206570000000001E-2</v>
      </c>
      <c r="Q7368">
        <v>-8.6079550000000005E-2</v>
      </c>
      <c r="R7368">
        <v>0.9959694</v>
      </c>
      <c r="S7368">
        <v>0.43173220000000001</v>
      </c>
      <c r="T7368">
        <v>-8.9233759999999995E-2</v>
      </c>
      <c r="U7368">
        <v>2.9935610000000001</v>
      </c>
      <c r="V7368">
        <v>7.3844540000000004E-3</v>
      </c>
      <c r="W7368">
        <v>-6.6917779999999996E-2</v>
      </c>
      <c r="X7368">
        <v>0.99773109999999998</v>
      </c>
      <c r="Y7368">
        <v>0.12495630000000001</v>
      </c>
      <c r="Z7368">
        <v>-1.032782E-2</v>
      </c>
      <c r="AA7368">
        <v>0.99210849999999995</v>
      </c>
      <c r="AB7368">
        <v>23</v>
      </c>
      <c r="AC7368">
        <v>5.4212999999999996</v>
      </c>
      <c r="AD7368">
        <v>-1.1213899597349899</v>
      </c>
      <c r="AE7368">
        <v>37.375579999999999</v>
      </c>
      <c r="AF7368">
        <v>4.7479107870579602</v>
      </c>
      <c r="AG7368">
        <v>-1.1213899597349899</v>
      </c>
      <c r="AH7368">
        <v>37.433542558132302</v>
      </c>
      <c r="AI7368">
        <v>91.702256678843298</v>
      </c>
      <c r="AJ7368">
        <v>82.771445586959601</v>
      </c>
      <c r="AK7368">
        <v>37.750103055954099</v>
      </c>
      <c r="AL7368">
        <v>93.836973919433703</v>
      </c>
      <c r="AM7368">
        <v>89.575947544473294</v>
      </c>
      <c r="AN7368">
        <v>0.999999933674106</v>
      </c>
    </row>
    <row r="7369" spans="1:40" x14ac:dyDescent="0.25">
      <c r="A7369" t="str">
        <f>"20190303154707855"</f>
        <v>20190303154707855</v>
      </c>
      <c r="B7369" t="str">
        <f>"1551599227849182"</f>
        <v>1551599227849182</v>
      </c>
      <c r="C7369" t="s">
        <v>40</v>
      </c>
      <c r="D7369">
        <v>5.2887339999999998</v>
      </c>
      <c r="E7369">
        <v>0.54820880000000005</v>
      </c>
      <c r="F7369" t="s">
        <v>61</v>
      </c>
      <c r="G7369">
        <v>-182.94479999999999</v>
      </c>
      <c r="H7369" s="1">
        <v>-6.21380199999999E-6</v>
      </c>
      <c r="I7369">
        <v>132.60239999999999</v>
      </c>
      <c r="J7369">
        <v>-188.10570000000001</v>
      </c>
      <c r="K7369">
        <v>1.121348</v>
      </c>
      <c r="L7369">
        <v>97.524690000000007</v>
      </c>
      <c r="M7369">
        <v>1.7897119999999999E-2</v>
      </c>
      <c r="N7369">
        <v>-1.856944E-2</v>
      </c>
      <c r="O7369">
        <v>0.99966739999999998</v>
      </c>
      <c r="P7369">
        <v>2.7497190000000001E-2</v>
      </c>
      <c r="Q7369">
        <v>-8.8990819999999998E-2</v>
      </c>
      <c r="R7369">
        <v>0.9956528</v>
      </c>
      <c r="S7369">
        <v>0.4378204</v>
      </c>
      <c r="T7369">
        <v>-9.5056409999999994E-2</v>
      </c>
      <c r="U7369">
        <v>2.9928279999999998</v>
      </c>
      <c r="V7369">
        <v>9.6678579999999997E-3</v>
      </c>
      <c r="W7369">
        <v>-7.0480940000000006E-2</v>
      </c>
      <c r="X7369">
        <v>0.99746630000000003</v>
      </c>
      <c r="Y7369">
        <v>0.12694369999999999</v>
      </c>
      <c r="Z7369">
        <v>-1.2900760000000001E-2</v>
      </c>
      <c r="AA7369">
        <v>0.99182610000000004</v>
      </c>
      <c r="AB7369">
        <v>23</v>
      </c>
      <c r="AC7369">
        <v>5.1609000000000202</v>
      </c>
      <c r="AD7369">
        <v>-1.1213542138020001</v>
      </c>
      <c r="AE7369">
        <v>35.077709999999897</v>
      </c>
      <c r="AF7369">
        <v>4.5276459507706504</v>
      </c>
      <c r="AG7369">
        <v>-1.1213542138020001</v>
      </c>
      <c r="AH7369">
        <v>35.129331727157897</v>
      </c>
      <c r="AI7369">
        <v>91.813314157300397</v>
      </c>
      <c r="AJ7369">
        <v>82.655916627889098</v>
      </c>
      <c r="AK7369">
        <v>35.437648916442598</v>
      </c>
      <c r="AL7369">
        <v>94.041611178285194</v>
      </c>
      <c r="AM7369">
        <v>89.444682877551998</v>
      </c>
      <c r="AN7369">
        <v>1.00000002500864</v>
      </c>
    </row>
    <row r="7370" spans="1:40" x14ac:dyDescent="0.25">
      <c r="A7370" t="str">
        <f>"20190303154707879"</f>
        <v>20190303154707879</v>
      </c>
      <c r="B7370" t="str">
        <f>"1551599227868702"</f>
        <v>1551599227868702</v>
      </c>
      <c r="C7370" t="s">
        <v>40</v>
      </c>
      <c r="D7370">
        <v>5.1632230000000003</v>
      </c>
      <c r="E7370">
        <v>0.55612930000000005</v>
      </c>
      <c r="F7370" t="s">
        <v>42</v>
      </c>
      <c r="G7370">
        <v>-187.9854</v>
      </c>
      <c r="H7370">
        <v>0.99032969999999998</v>
      </c>
      <c r="I7370">
        <v>98.293220000000005</v>
      </c>
      <c r="J7370">
        <v>-188.10130000000001</v>
      </c>
      <c r="K7370">
        <v>1.1213409999999999</v>
      </c>
      <c r="L7370">
        <v>97.770809999999997</v>
      </c>
      <c r="M7370">
        <v>1.7845860000000002E-2</v>
      </c>
      <c r="N7370">
        <v>-1.7926069999999999E-2</v>
      </c>
      <c r="O7370">
        <v>0.99968000000000001</v>
      </c>
      <c r="P7370">
        <v>2.9525800000000001E-2</v>
      </c>
      <c r="Q7370">
        <v>-8.9979390000000006E-2</v>
      </c>
      <c r="R7370">
        <v>0.99550590000000005</v>
      </c>
      <c r="S7370">
        <v>0.46264650000000002</v>
      </c>
      <c r="T7370">
        <v>-0.5038068</v>
      </c>
      <c r="U7370">
        <v>2.955292</v>
      </c>
      <c r="V7370">
        <v>1.175817E-2</v>
      </c>
      <c r="W7370">
        <v>-7.2111899999999896E-2</v>
      </c>
      <c r="X7370">
        <v>0.99732719999999997</v>
      </c>
      <c r="Y7370">
        <v>0.1350644</v>
      </c>
      <c r="Z7370">
        <v>-0.14858379999999999</v>
      </c>
      <c r="AA7370">
        <v>0.97963290000000003</v>
      </c>
      <c r="AB7370">
        <v>23</v>
      </c>
      <c r="AC7370">
        <v>0.11590000000001</v>
      </c>
      <c r="AD7370">
        <v>-0.1310113</v>
      </c>
      <c r="AE7370">
        <v>0.52240999999999305</v>
      </c>
      <c r="AF7370">
        <v>0.100531188571683</v>
      </c>
      <c r="AG7370">
        <v>-0.1310113</v>
      </c>
      <c r="AH7370">
        <v>0.49473997233924999</v>
      </c>
      <c r="AI7370">
        <v>104.547651340467</v>
      </c>
      <c r="AJ7370">
        <v>78.513878884387196</v>
      </c>
      <c r="AK7370">
        <v>0.52157273781666103</v>
      </c>
      <c r="AL7370">
        <v>94.135296984533596</v>
      </c>
      <c r="AM7370">
        <v>89.324532305245398</v>
      </c>
      <c r="AN7370">
        <v>0.99999996227159804</v>
      </c>
    </row>
    <row r="7371" spans="1:40" x14ac:dyDescent="0.25">
      <c r="A7371" t="str">
        <f>"20190303154707901"</f>
        <v>20190303154707901</v>
      </c>
      <c r="B7371" t="str">
        <f>"1551599227890174"</f>
        <v>1551599227890174</v>
      </c>
      <c r="C7371" t="s">
        <v>40</v>
      </c>
      <c r="D7371">
        <v>5.1938779999999998</v>
      </c>
      <c r="E7371">
        <v>0.55898639999999999</v>
      </c>
      <c r="F7371" t="s">
        <v>42</v>
      </c>
      <c r="G7371">
        <v>-187.97200000000001</v>
      </c>
      <c r="H7371">
        <v>0.96886000000000005</v>
      </c>
      <c r="I7371">
        <v>98.488979999999998</v>
      </c>
      <c r="J7371">
        <v>-188.09719999999999</v>
      </c>
      <c r="K7371">
        <v>1.1213630000000001</v>
      </c>
      <c r="L7371">
        <v>98.005709999999993</v>
      </c>
      <c r="M7371">
        <v>1.7700799999999999E-2</v>
      </c>
      <c r="N7371">
        <v>-1.7377420000000001E-2</v>
      </c>
      <c r="O7371">
        <v>0.99969229999999998</v>
      </c>
      <c r="P7371">
        <v>3.1278899999999998E-2</v>
      </c>
      <c r="Q7371">
        <v>-9.0618879999999999E-2</v>
      </c>
      <c r="R7371">
        <v>0.99539429999999995</v>
      </c>
      <c r="S7371">
        <v>0.52903750000000005</v>
      </c>
      <c r="T7371">
        <v>-0.62457010000000002</v>
      </c>
      <c r="U7371">
        <v>2.9414060000000002</v>
      </c>
      <c r="V7371">
        <v>1.3667469999999999E-2</v>
      </c>
      <c r="W7371">
        <v>-7.329803E-2</v>
      </c>
      <c r="X7371">
        <v>0.9972164</v>
      </c>
      <c r="Y7371">
        <v>0.15611059999999999</v>
      </c>
      <c r="Z7371">
        <v>-0.1878087</v>
      </c>
      <c r="AA7371">
        <v>0.96972020000000003</v>
      </c>
      <c r="AB7371">
        <v>23</v>
      </c>
      <c r="AC7371">
        <v>0.125199999999978</v>
      </c>
      <c r="AD7371">
        <v>-0.152502999999999</v>
      </c>
      <c r="AE7371">
        <v>0.48327000000000397</v>
      </c>
      <c r="AF7371">
        <v>0.10667054267764001</v>
      </c>
      <c r="AG7371">
        <v>-0.152502999999999</v>
      </c>
      <c r="AH7371">
        <v>0.443979473812041</v>
      </c>
      <c r="AI7371">
        <v>108.46863215514701</v>
      </c>
      <c r="AJ7371">
        <v>76.490177792068593</v>
      </c>
      <c r="AK7371">
        <v>0.48140787576706601</v>
      </c>
      <c r="AL7371">
        <v>94.203437516466707</v>
      </c>
      <c r="AM7371">
        <v>89.214774927167895</v>
      </c>
      <c r="AN7371">
        <v>0.99999997468351998</v>
      </c>
    </row>
    <row r="7372" spans="1:40" x14ac:dyDescent="0.25">
      <c r="A7372" t="str">
        <f>"20190303154707923"</f>
        <v>20190303154707923</v>
      </c>
      <c r="B7372" t="str">
        <f>"1551599227919454"</f>
        <v>1551599227919454</v>
      </c>
      <c r="C7372" t="s">
        <v>40</v>
      </c>
      <c r="D7372">
        <v>5.1951219999999996</v>
      </c>
      <c r="E7372">
        <v>0.5615715</v>
      </c>
      <c r="F7372" t="s">
        <v>42</v>
      </c>
      <c r="G7372">
        <v>-187.93180000000001</v>
      </c>
      <c r="H7372">
        <v>0.92034329999999998</v>
      </c>
      <c r="I7372">
        <v>98.878749999999997</v>
      </c>
      <c r="J7372">
        <v>-188.09350000000001</v>
      </c>
      <c r="K7372">
        <v>1.121405</v>
      </c>
      <c r="L7372">
        <v>98.231960000000001</v>
      </c>
      <c r="M7372">
        <v>1.744801E-2</v>
      </c>
      <c r="N7372">
        <v>-1.6913689999999999E-2</v>
      </c>
      <c r="O7372">
        <v>0.9997047</v>
      </c>
      <c r="P7372">
        <v>3.2709299999999997E-2</v>
      </c>
      <c r="Q7372">
        <v>-9.0267639999999996E-2</v>
      </c>
      <c r="R7372">
        <v>0.9953803</v>
      </c>
      <c r="S7372">
        <v>0.5556335</v>
      </c>
      <c r="T7372">
        <v>-0.67580010000000001</v>
      </c>
      <c r="U7372">
        <v>2.9349059999999998</v>
      </c>
      <c r="V7372">
        <v>1.536154E-2</v>
      </c>
      <c r="W7372">
        <v>-7.340642E-2</v>
      </c>
      <c r="X7372">
        <v>0.99718379999999995</v>
      </c>
      <c r="Y7372">
        <v>0.16457369999999999</v>
      </c>
      <c r="Z7372">
        <v>-0.20445849999999999</v>
      </c>
      <c r="AA7372">
        <v>0.96494159999999995</v>
      </c>
      <c r="AB7372">
        <v>23</v>
      </c>
      <c r="AC7372">
        <v>0.16169999999999601</v>
      </c>
      <c r="AD7372">
        <v>-0.20106169999999901</v>
      </c>
      <c r="AE7372">
        <v>0.64678999999999498</v>
      </c>
      <c r="AF7372">
        <v>0.13785102349557701</v>
      </c>
      <c r="AG7372">
        <v>-0.20106169999999901</v>
      </c>
      <c r="AH7372">
        <v>0.59536486510203102</v>
      </c>
      <c r="AI7372">
        <v>108.211601548045</v>
      </c>
      <c r="AJ7372">
        <v>76.963439210763298</v>
      </c>
      <c r="AK7372">
        <v>0.64334130481699103</v>
      </c>
      <c r="AL7372">
        <v>94.209664452601402</v>
      </c>
      <c r="AM7372">
        <v>89.117432718687397</v>
      </c>
      <c r="AN7372">
        <v>1.0000000051954101</v>
      </c>
    </row>
    <row r="7373" spans="1:40" x14ac:dyDescent="0.25">
      <c r="A7373" t="str">
        <f>"20190303154707944"</f>
        <v>20190303154707944</v>
      </c>
      <c r="B7373" t="str">
        <f>"1551599227938975"</f>
        <v>1551599227938975</v>
      </c>
      <c r="C7373" t="s">
        <v>40</v>
      </c>
      <c r="D7373">
        <v>5.1843649999999997</v>
      </c>
      <c r="E7373">
        <v>0.56256030000000001</v>
      </c>
      <c r="F7373" t="s">
        <v>42</v>
      </c>
      <c r="G7373">
        <v>-187.92519999999999</v>
      </c>
      <c r="H7373">
        <v>0.91412700000000002</v>
      </c>
      <c r="I7373">
        <v>99.081829999999997</v>
      </c>
      <c r="J7373">
        <v>-188.09</v>
      </c>
      <c r="K7373">
        <v>1.121456</v>
      </c>
      <c r="L7373">
        <v>98.446380000000005</v>
      </c>
      <c r="M7373">
        <v>1.7127799999999999E-2</v>
      </c>
      <c r="N7373">
        <v>-1.6521589999999999E-2</v>
      </c>
      <c r="O7373">
        <v>0.99971679999999996</v>
      </c>
      <c r="P7373">
        <v>3.3208830000000002E-2</v>
      </c>
      <c r="Q7373">
        <v>-9.0752029999999997E-2</v>
      </c>
      <c r="R7373">
        <v>0.99531970000000003</v>
      </c>
      <c r="S7373">
        <v>0.57995609999999997</v>
      </c>
      <c r="T7373">
        <v>-0.71463369999999904</v>
      </c>
      <c r="U7373">
        <v>2.9300540000000002</v>
      </c>
      <c r="V7373">
        <v>1.619284E-2</v>
      </c>
      <c r="W7373">
        <v>-7.4279960000000006E-2</v>
      </c>
      <c r="X7373">
        <v>0.99710600000000005</v>
      </c>
      <c r="Y7373">
        <v>0.17234720000000001</v>
      </c>
      <c r="Z7373">
        <v>-0.21693680000000001</v>
      </c>
      <c r="AA7373">
        <v>0.96085109999999996</v>
      </c>
      <c r="AB7373">
        <v>23</v>
      </c>
      <c r="AC7373">
        <v>0.16480000000001299</v>
      </c>
      <c r="AD7373">
        <v>-0.20732900000000001</v>
      </c>
      <c r="AE7373">
        <v>0.63545000000000496</v>
      </c>
      <c r="AF7373">
        <v>0.139932976589007</v>
      </c>
      <c r="AG7373">
        <v>-0.20732900000000001</v>
      </c>
      <c r="AH7373">
        <v>0.58029843227336497</v>
      </c>
      <c r="AI7373">
        <v>109.153365173145</v>
      </c>
      <c r="AJ7373">
        <v>76.442540376620101</v>
      </c>
      <c r="AK7373">
        <v>0.63191203713569599</v>
      </c>
      <c r="AL7373">
        <v>94.259851444804596</v>
      </c>
      <c r="AM7373">
        <v>89.069607603155006</v>
      </c>
      <c r="AN7373">
        <v>1.0000000478804301</v>
      </c>
    </row>
    <row r="7374" spans="1:40" x14ac:dyDescent="0.25">
      <c r="A7374" t="str">
        <f>"20190303154707966"</f>
        <v>20190303154707966</v>
      </c>
      <c r="B7374" t="str">
        <f>"1551599227959470"</f>
        <v>1551599227959470</v>
      </c>
      <c r="C7374" t="s">
        <v>40</v>
      </c>
      <c r="D7374">
        <v>5.2063709999999999</v>
      </c>
      <c r="E7374">
        <v>0.56327899999999997</v>
      </c>
      <c r="F7374" t="s">
        <v>42</v>
      </c>
      <c r="G7374">
        <v>-187.92089999999999</v>
      </c>
      <c r="H7374">
        <v>0.91115630000000003</v>
      </c>
      <c r="I7374">
        <v>99.285929999999993</v>
      </c>
      <c r="J7374">
        <v>-188.0866</v>
      </c>
      <c r="K7374">
        <v>1.121505</v>
      </c>
      <c r="L7374">
        <v>98.670379999999994</v>
      </c>
      <c r="M7374">
        <v>1.6704650000000001E-2</v>
      </c>
      <c r="N7374">
        <v>-1.6158180000000001E-2</v>
      </c>
      <c r="O7374">
        <v>0.99972989999999995</v>
      </c>
      <c r="P7374">
        <v>3.3531140000000001E-2</v>
      </c>
      <c r="Q7374">
        <v>-9.0695289999999998E-2</v>
      </c>
      <c r="R7374">
        <v>0.99531409999999998</v>
      </c>
      <c r="S7374">
        <v>0.58901979999999998</v>
      </c>
      <c r="T7374">
        <v>-0.73334560000000004</v>
      </c>
      <c r="U7374">
        <v>2.9275820000000001</v>
      </c>
      <c r="V7374">
        <v>1.694857E-2</v>
      </c>
      <c r="W7374">
        <v>-7.4582670000000004E-2</v>
      </c>
      <c r="X7374">
        <v>0.99707080000000003</v>
      </c>
      <c r="Y7374">
        <v>0.17549579999999901</v>
      </c>
      <c r="Z7374">
        <v>-0.22311990000000001</v>
      </c>
      <c r="AA7374">
        <v>0.95886329999999997</v>
      </c>
      <c r="AB7374">
        <v>23</v>
      </c>
      <c r="AC7374">
        <v>0.165700000000015</v>
      </c>
      <c r="AD7374">
        <v>-0.210348699999999</v>
      </c>
      <c r="AE7374">
        <v>0.61554999999999804</v>
      </c>
      <c r="AF7374">
        <v>0.14013436592787501</v>
      </c>
      <c r="AG7374">
        <v>-0.210348699999999</v>
      </c>
      <c r="AH7374">
        <v>0.55752586003893101</v>
      </c>
      <c r="AI7374">
        <v>110.097982101759</v>
      </c>
      <c r="AJ7374">
        <v>75.890957048955997</v>
      </c>
      <c r="AK7374">
        <v>0.61214320278660905</v>
      </c>
      <c r="AL7374">
        <v>94.277243879175501</v>
      </c>
      <c r="AM7374">
        <v>89.026159409639106</v>
      </c>
      <c r="AN7374">
        <v>1.000000004451</v>
      </c>
    </row>
    <row r="7375" spans="1:40" x14ac:dyDescent="0.25">
      <c r="A7375" t="str">
        <f>"20190303154707988"</f>
        <v>20190303154707988</v>
      </c>
      <c r="B7375" t="str">
        <f>"1551599227978990"</f>
        <v>1551599227978990</v>
      </c>
      <c r="C7375" t="s">
        <v>40</v>
      </c>
      <c r="D7375">
        <v>5.2596809999999996</v>
      </c>
      <c r="E7375">
        <v>0.56379869999999899</v>
      </c>
      <c r="F7375" t="s">
        <v>42</v>
      </c>
      <c r="G7375">
        <v>-187.9194</v>
      </c>
      <c r="H7375">
        <v>0.9121437</v>
      </c>
      <c r="I7375">
        <v>99.491470000000007</v>
      </c>
      <c r="J7375">
        <v>-188.08330000000001</v>
      </c>
      <c r="K7375">
        <v>1.1215580000000001</v>
      </c>
      <c r="L7375">
        <v>98.905789999999996</v>
      </c>
      <c r="M7375">
        <v>1.615755E-2</v>
      </c>
      <c r="N7375">
        <v>-1.5822610000000001E-2</v>
      </c>
      <c r="O7375">
        <v>0.99974419999999997</v>
      </c>
      <c r="P7375">
        <v>3.3440200000000003E-2</v>
      </c>
      <c r="Q7375">
        <v>-9.0453889999999995E-2</v>
      </c>
      <c r="R7375">
        <v>0.99533899999999997</v>
      </c>
      <c r="S7375">
        <v>0.59550479999999995</v>
      </c>
      <c r="T7375">
        <v>-0.74612469999999997</v>
      </c>
      <c r="U7375">
        <v>2.926056</v>
      </c>
      <c r="V7375">
        <v>1.7413930000000001E-2</v>
      </c>
      <c r="W7375">
        <v>-7.4672699999999995E-2</v>
      </c>
      <c r="X7375">
        <v>0.9970561</v>
      </c>
      <c r="Y7375">
        <v>0.1779715</v>
      </c>
      <c r="Z7375">
        <v>-0.22739139999999999</v>
      </c>
      <c r="AA7375">
        <v>0.95740230000000004</v>
      </c>
      <c r="AB7375">
        <v>23</v>
      </c>
      <c r="AC7375">
        <v>0.16390000000001201</v>
      </c>
      <c r="AD7375">
        <v>-0.2094143</v>
      </c>
      <c r="AE7375">
        <v>0.58567999999999598</v>
      </c>
      <c r="AF7375">
        <v>0.1380470739554</v>
      </c>
      <c r="AG7375">
        <v>-0.2094143</v>
      </c>
      <c r="AH7375">
        <v>0.52590012406051001</v>
      </c>
      <c r="AI7375">
        <v>111.06435372874699</v>
      </c>
      <c r="AJ7375">
        <v>75.291870250187799</v>
      </c>
      <c r="AK7375">
        <v>0.582651082689287</v>
      </c>
      <c r="AL7375">
        <v>94.282416396492494</v>
      </c>
      <c r="AM7375">
        <v>88.999411104171003</v>
      </c>
      <c r="AN7375">
        <v>1.00000006181527</v>
      </c>
    </row>
    <row r="7376" spans="1:40" x14ac:dyDescent="0.25">
      <c r="A7376" t="str">
        <f>"20190303154708011"</f>
        <v>20190303154708011</v>
      </c>
      <c r="B7376" t="str">
        <f>"1551599227999486"</f>
        <v>1551599227999486</v>
      </c>
      <c r="C7376" t="s">
        <v>40</v>
      </c>
      <c r="D7376">
        <v>5.2910149999999998</v>
      </c>
      <c r="E7376">
        <v>0.56395530000000005</v>
      </c>
      <c r="F7376" t="s">
        <v>42</v>
      </c>
      <c r="G7376">
        <v>-187.92080000000001</v>
      </c>
      <c r="H7376">
        <v>0.91711370000000003</v>
      </c>
      <c r="I7376">
        <v>99.698390000000003</v>
      </c>
      <c r="J7376">
        <v>-188.0804</v>
      </c>
      <c r="K7376">
        <v>1.121615</v>
      </c>
      <c r="L7376">
        <v>99.12885</v>
      </c>
      <c r="M7376">
        <v>1.554738E-2</v>
      </c>
      <c r="N7376">
        <v>-1.5544199999999999E-2</v>
      </c>
      <c r="O7376">
        <v>0.99975829999999999</v>
      </c>
      <c r="P7376">
        <v>3.2632580000000001E-2</v>
      </c>
      <c r="Q7376">
        <v>-8.9786229999999995E-2</v>
      </c>
      <c r="R7376">
        <v>0.99542629999999999</v>
      </c>
      <c r="S7376">
        <v>0.59945680000000001</v>
      </c>
      <c r="T7376">
        <v>-0.75454060000000001</v>
      </c>
      <c r="U7376">
        <v>2.9253230000000001</v>
      </c>
      <c r="V7376">
        <v>1.722272E-2</v>
      </c>
      <c r="W7376">
        <v>-7.4279559999999994E-2</v>
      </c>
      <c r="X7376">
        <v>0.99708869999999905</v>
      </c>
      <c r="Y7376">
        <v>0.17972489999999999</v>
      </c>
      <c r="Z7376">
        <v>-0.2302324</v>
      </c>
      <c r="AA7376">
        <v>0.95639529999999995</v>
      </c>
      <c r="AB7376">
        <v>23</v>
      </c>
      <c r="AC7376">
        <v>0.15959999999998301</v>
      </c>
      <c r="AD7376">
        <v>-0.2045013</v>
      </c>
      <c r="AE7376">
        <v>0.56954000000000304</v>
      </c>
      <c r="AF7376">
        <v>0.13463100677661599</v>
      </c>
      <c r="AG7376">
        <v>-0.2045013</v>
      </c>
      <c r="AH7376">
        <v>0.51088203318986503</v>
      </c>
      <c r="AI7376">
        <v>111.16021194408501</v>
      </c>
      <c r="AJ7376">
        <v>75.236681752998706</v>
      </c>
      <c r="AK7376">
        <v>0.56652161611326501</v>
      </c>
      <c r="AL7376">
        <v>94.259828772360294</v>
      </c>
      <c r="AM7376">
        <v>89.010428012180597</v>
      </c>
      <c r="AN7376">
        <v>0.99999997539284002</v>
      </c>
    </row>
    <row r="7377" spans="1:40" x14ac:dyDescent="0.25">
      <c r="A7377" t="str">
        <f>"20190303154708031"</f>
        <v>20190303154708031</v>
      </c>
      <c r="B7377" t="str">
        <f>"1551599228019006"</f>
        <v>1551599228019006</v>
      </c>
      <c r="C7377" t="s">
        <v>40</v>
      </c>
      <c r="D7377">
        <v>5.2869400000000004</v>
      </c>
      <c r="E7377">
        <v>0.56402099999999999</v>
      </c>
      <c r="F7377" t="s">
        <v>42</v>
      </c>
      <c r="G7377">
        <v>-187.92179999999999</v>
      </c>
      <c r="H7377">
        <v>0.92021719999999896</v>
      </c>
      <c r="I7377">
        <v>99.904259999999994</v>
      </c>
      <c r="J7377">
        <v>-188.0778</v>
      </c>
      <c r="K7377">
        <v>1.121661</v>
      </c>
      <c r="L7377">
        <v>99.341309999999993</v>
      </c>
      <c r="M7377">
        <v>1.4892000000000001E-2</v>
      </c>
      <c r="N7377">
        <v>-1.5311389999999999E-2</v>
      </c>
      <c r="O7377">
        <v>0.99977190000000005</v>
      </c>
      <c r="P7377">
        <v>3.2197469999999999E-2</v>
      </c>
      <c r="Q7377">
        <v>-8.9123910000000001E-2</v>
      </c>
      <c r="R7377">
        <v>0.99550000000000005</v>
      </c>
      <c r="S7377">
        <v>0.59854130000000005</v>
      </c>
      <c r="T7377">
        <v>-0.75988480000000003</v>
      </c>
      <c r="U7377">
        <v>2.9256289999999998</v>
      </c>
      <c r="V7377">
        <v>1.7447799999999999E-2</v>
      </c>
      <c r="W7377">
        <v>-7.3846350000000005E-2</v>
      </c>
      <c r="X7377">
        <v>0.99711700000000003</v>
      </c>
      <c r="Y7377">
        <v>0.17997739999999901</v>
      </c>
      <c r="Z7377">
        <v>-0.232075</v>
      </c>
      <c r="AA7377">
        <v>0.95590229999999998</v>
      </c>
      <c r="AB7377">
        <v>23</v>
      </c>
      <c r="AC7377">
        <v>0.156000000000005</v>
      </c>
      <c r="AD7377">
        <v>-0.20144380000000001</v>
      </c>
      <c r="AE7377">
        <v>0.56294999999999995</v>
      </c>
      <c r="AF7377">
        <v>0.13191194768520001</v>
      </c>
      <c r="AG7377">
        <v>-0.20144380000000001</v>
      </c>
      <c r="AH7377">
        <v>0.50514199976284002</v>
      </c>
      <c r="AI7377">
        <v>111.098975514321</v>
      </c>
      <c r="AJ7377">
        <v>75.364708047269502</v>
      </c>
      <c r="AK7377">
        <v>0.55959700358824704</v>
      </c>
      <c r="AL7377">
        <v>94.234939161114994</v>
      </c>
      <c r="AM7377">
        <v>88.997526579368497</v>
      </c>
      <c r="AN7377">
        <v>1.00000001041108</v>
      </c>
    </row>
    <row r="7378" spans="1:40" x14ac:dyDescent="0.25">
      <c r="A7378" t="str">
        <f>"20190303154708055"</f>
        <v>20190303154708055</v>
      </c>
      <c r="B7378" t="str">
        <f>"1551599228049262"</f>
        <v>1551599228049262</v>
      </c>
      <c r="C7378" t="s">
        <v>40</v>
      </c>
      <c r="D7378">
        <v>5.3073329999999999</v>
      </c>
      <c r="E7378">
        <v>0.56407580000000002</v>
      </c>
      <c r="F7378" t="s">
        <v>42</v>
      </c>
      <c r="G7378">
        <v>-187.92080000000001</v>
      </c>
      <c r="H7378">
        <v>0.92092660000000004</v>
      </c>
      <c r="I7378">
        <v>100.10890000000001</v>
      </c>
      <c r="J7378">
        <v>-188.07509999999999</v>
      </c>
      <c r="K7378">
        <v>1.121715</v>
      </c>
      <c r="L7378">
        <v>99.579589999999996</v>
      </c>
      <c r="M7378">
        <v>1.408733E-2</v>
      </c>
      <c r="N7378">
        <v>-1.50831E-2</v>
      </c>
      <c r="O7378">
        <v>0.99978699999999998</v>
      </c>
      <c r="P7378">
        <v>3.1864589999999998E-2</v>
      </c>
      <c r="Q7378">
        <v>-8.8425199999999995E-2</v>
      </c>
      <c r="R7378">
        <v>0.99557300000000004</v>
      </c>
      <c r="S7378">
        <v>0.59780880000000003</v>
      </c>
      <c r="T7378">
        <v>-0.76513929999999997</v>
      </c>
      <c r="U7378">
        <v>2.9257200000000001</v>
      </c>
      <c r="V7378">
        <v>1.7923419999999999E-2</v>
      </c>
      <c r="W7378">
        <v>-7.3371969999999995E-2</v>
      </c>
      <c r="X7378">
        <v>0.99714360000000002</v>
      </c>
      <c r="Y7378">
        <v>0.18044779999999999</v>
      </c>
      <c r="Z7378">
        <v>-0.23389389999999999</v>
      </c>
      <c r="AA7378">
        <v>0.95537019999999995</v>
      </c>
      <c r="AB7378">
        <v>23</v>
      </c>
      <c r="AC7378">
        <v>0.15429999999997701</v>
      </c>
      <c r="AD7378">
        <v>-0.20078840000000001</v>
      </c>
      <c r="AE7378">
        <v>0.52931000000000905</v>
      </c>
      <c r="AF7378">
        <v>0.12963413669384</v>
      </c>
      <c r="AG7378">
        <v>-0.20078840000000001</v>
      </c>
      <c r="AH7378">
        <v>0.46920199470007801</v>
      </c>
      <c r="AI7378">
        <v>112.415275480692</v>
      </c>
      <c r="AJ7378">
        <v>74.555247330022695</v>
      </c>
      <c r="AK7378">
        <v>0.52656576303577596</v>
      </c>
      <c r="AL7378">
        <v>94.207685184029302</v>
      </c>
      <c r="AM7378">
        <v>88.970232829519205</v>
      </c>
      <c r="AN7378">
        <v>1.0000000269935601</v>
      </c>
    </row>
    <row r="7379" spans="1:40" x14ac:dyDescent="0.25">
      <c r="A7379" t="str">
        <f>"20190303154708078"</f>
        <v>20190303154708078</v>
      </c>
      <c r="B7379" t="str">
        <f>"1551599228068782"</f>
        <v>1551599228068782</v>
      </c>
      <c r="C7379" t="s">
        <v>40</v>
      </c>
      <c r="D7379">
        <v>5.3012819999999996</v>
      </c>
      <c r="E7379">
        <v>0.56404270000000001</v>
      </c>
      <c r="F7379" t="s">
        <v>42</v>
      </c>
      <c r="G7379">
        <v>-187.92500000000001</v>
      </c>
      <c r="H7379">
        <v>0.92740599999999995</v>
      </c>
      <c r="I7379">
        <v>100.3156</v>
      </c>
      <c r="J7379">
        <v>-188.0727</v>
      </c>
      <c r="K7379">
        <v>1.121758</v>
      </c>
      <c r="L7379">
        <v>99.819370000000006</v>
      </c>
      <c r="M7379">
        <v>1.3224659999999999E-2</v>
      </c>
      <c r="N7379">
        <v>-1.4884039999999999E-2</v>
      </c>
      <c r="O7379">
        <v>0.99980179999999996</v>
      </c>
      <c r="P7379">
        <v>3.1660029999999999E-2</v>
      </c>
      <c r="Q7379">
        <v>-8.865381E-2</v>
      </c>
      <c r="R7379">
        <v>0.99555919999999998</v>
      </c>
      <c r="S7379">
        <v>0.59693909999999994</v>
      </c>
      <c r="T7379">
        <v>-0.77231289999999997</v>
      </c>
      <c r="U7379">
        <v>2.9256289999999998</v>
      </c>
      <c r="V7379">
        <v>1.8585279999999999E-2</v>
      </c>
      <c r="W7379">
        <v>-7.3797139999999997E-2</v>
      </c>
      <c r="X7379">
        <v>0.99710010000000004</v>
      </c>
      <c r="Y7379">
        <v>0.18091409999999999</v>
      </c>
      <c r="Z7379">
        <v>-0.2362832</v>
      </c>
      <c r="AA7379">
        <v>0.95469389999999998</v>
      </c>
      <c r="AB7379">
        <v>23</v>
      </c>
      <c r="AC7379">
        <v>0.14769999999998601</v>
      </c>
      <c r="AD7379">
        <v>-0.194352</v>
      </c>
      <c r="AE7379">
        <v>0.496230000000011</v>
      </c>
      <c r="AF7379">
        <v>0.123693963671867</v>
      </c>
      <c r="AG7379">
        <v>-0.194352</v>
      </c>
      <c r="AH7379">
        <v>0.43661584591796299</v>
      </c>
      <c r="AI7379">
        <v>113.184368830625</v>
      </c>
      <c r="AJ7379">
        <v>74.182489632684806</v>
      </c>
      <c r="AK7379">
        <v>0.49366617613475999</v>
      </c>
      <c r="AL7379">
        <v>94.232111881080897</v>
      </c>
      <c r="AM7379">
        <v>88.932168584246</v>
      </c>
      <c r="AN7379">
        <v>1.0000000199624299</v>
      </c>
    </row>
    <row r="7380" spans="1:40" x14ac:dyDescent="0.25">
      <c r="A7380" t="str">
        <f>"20190303154708103"</f>
        <v>20190303154708103</v>
      </c>
      <c r="B7380" t="str">
        <f>"1551599228099039"</f>
        <v>1551599228099039</v>
      </c>
      <c r="C7380" t="s">
        <v>40</v>
      </c>
      <c r="D7380">
        <v>5.2867369999999996</v>
      </c>
      <c r="E7380">
        <v>0.56408510000000001</v>
      </c>
      <c r="F7380" t="s">
        <v>42</v>
      </c>
      <c r="G7380">
        <v>-187.92920000000001</v>
      </c>
      <c r="H7380">
        <v>0.9349672</v>
      </c>
      <c r="I7380">
        <v>100.5226</v>
      </c>
      <c r="J7380">
        <v>-188.07050000000001</v>
      </c>
      <c r="K7380">
        <v>1.1217779999999999</v>
      </c>
      <c r="L7380">
        <v>100.0629</v>
      </c>
      <c r="M7380">
        <v>1.2313849999999999E-2</v>
      </c>
      <c r="N7380">
        <v>-1.471012E-2</v>
      </c>
      <c r="O7380">
        <v>0.99981600000000004</v>
      </c>
      <c r="P7380">
        <v>3.04415E-2</v>
      </c>
      <c r="Q7380">
        <v>-8.7573250000000005E-2</v>
      </c>
      <c r="R7380">
        <v>0.99569280000000004</v>
      </c>
      <c r="S7380">
        <v>0.59637450000000003</v>
      </c>
      <c r="T7380">
        <v>-0.7770146</v>
      </c>
      <c r="U7380">
        <v>2.9252319999999998</v>
      </c>
      <c r="V7380">
        <v>1.827463E-2</v>
      </c>
      <c r="W7380">
        <v>-7.2888229999999998E-2</v>
      </c>
      <c r="X7380">
        <v>0.99717270000000002</v>
      </c>
      <c r="Y7380">
        <v>0.18157909999999999</v>
      </c>
      <c r="Z7380">
        <v>-0.23790829999999999</v>
      </c>
      <c r="AA7380">
        <v>0.95416380000000001</v>
      </c>
      <c r="AB7380">
        <v>23</v>
      </c>
      <c r="AC7380">
        <v>0.14130000000000101</v>
      </c>
      <c r="AD7380">
        <v>-0.1868108</v>
      </c>
      <c r="AE7380">
        <v>0.459699999999998</v>
      </c>
      <c r="AF7380">
        <v>0.117846644908961</v>
      </c>
      <c r="AG7380">
        <v>-0.1868108</v>
      </c>
      <c r="AH7380">
        <v>0.40091327283341599</v>
      </c>
      <c r="AI7380">
        <v>114.087020123972</v>
      </c>
      <c r="AJ7380">
        <v>73.619539084932796</v>
      </c>
      <c r="AK7380">
        <v>0.45773088059135802</v>
      </c>
      <c r="AL7380">
        <v>94.179894520851903</v>
      </c>
      <c r="AM7380">
        <v>88.950089614851507</v>
      </c>
      <c r="AN7380">
        <v>1.0000000248997201</v>
      </c>
    </row>
    <row r="7381" spans="1:40" x14ac:dyDescent="0.25">
      <c r="A7381" t="str">
        <f>"20190303154708145"</f>
        <v>20190303154708145</v>
      </c>
      <c r="B7381" t="str">
        <f>"1551599228139054"</f>
        <v>1551599228139054</v>
      </c>
      <c r="C7381" t="s">
        <v>40</v>
      </c>
      <c r="D7381">
        <v>5.2100960000000001</v>
      </c>
      <c r="E7381">
        <v>0.56408919999999996</v>
      </c>
      <c r="F7381" t="s">
        <v>42</v>
      </c>
      <c r="G7381">
        <v>-187.89760000000001</v>
      </c>
      <c r="H7381">
        <v>0.895883599999999</v>
      </c>
      <c r="I7381">
        <v>100.9136</v>
      </c>
      <c r="J7381">
        <v>-188.06729999999999</v>
      </c>
      <c r="K7381">
        <v>1.121775</v>
      </c>
      <c r="L7381">
        <v>100.5005</v>
      </c>
      <c r="M7381">
        <v>1.0648960000000001E-2</v>
      </c>
      <c r="N7381">
        <v>-1.4458500000000001E-2</v>
      </c>
      <c r="O7381">
        <v>0.99983880000000003</v>
      </c>
      <c r="P7381">
        <v>2.7300950000000001E-2</v>
      </c>
      <c r="Q7381">
        <v>-8.7063100000000004E-2</v>
      </c>
      <c r="R7381">
        <v>0.99582859999999995</v>
      </c>
      <c r="S7381">
        <v>0.59446719999999997</v>
      </c>
      <c r="T7381">
        <v>-0.77710319999999899</v>
      </c>
      <c r="U7381">
        <v>2.926453</v>
      </c>
      <c r="V7381">
        <v>1.6790309999999999E-2</v>
      </c>
      <c r="W7381">
        <v>-7.2630169999999994E-2</v>
      </c>
      <c r="X7381">
        <v>0.99721760000000004</v>
      </c>
      <c r="Y7381">
        <v>0.1825358</v>
      </c>
      <c r="Z7381">
        <v>-0.23807929999999999</v>
      </c>
      <c r="AA7381">
        <v>0.95393870000000003</v>
      </c>
      <c r="AB7381">
        <v>23</v>
      </c>
      <c r="AC7381">
        <v>0.16969999999997701</v>
      </c>
      <c r="AD7381">
        <v>-0.22589139999999999</v>
      </c>
      <c r="AE7381">
        <v>0.41310000000000002</v>
      </c>
      <c r="AF7381">
        <v>0.13161789699819801</v>
      </c>
      <c r="AG7381">
        <v>-0.22589139999999999</v>
      </c>
      <c r="AH7381">
        <v>0.33036403026487798</v>
      </c>
      <c r="AI7381">
        <v>122.424090770799</v>
      </c>
      <c r="AJ7381">
        <v>68.277532931494207</v>
      </c>
      <c r="AK7381">
        <v>0.42129631839958098</v>
      </c>
      <c r="AL7381">
        <v>94.165069587462696</v>
      </c>
      <c r="AM7381">
        <v>89.035393069568997</v>
      </c>
      <c r="AN7381">
        <v>0.99999999892694202</v>
      </c>
    </row>
    <row r="7382" spans="1:40" x14ac:dyDescent="0.25">
      <c r="A7382" t="str">
        <f>"20190303154708167"</f>
        <v>20190303154708167</v>
      </c>
      <c r="B7382" t="str">
        <f>"1551599228159550"</f>
        <v>1551599228159550</v>
      </c>
      <c r="C7382" t="s">
        <v>40</v>
      </c>
      <c r="D7382">
        <v>5.2058439999999999</v>
      </c>
      <c r="E7382">
        <v>0.5640752</v>
      </c>
      <c r="F7382" t="s">
        <v>42</v>
      </c>
      <c r="G7382">
        <v>-187.90299999999999</v>
      </c>
      <c r="H7382">
        <v>0.902725</v>
      </c>
      <c r="I7382">
        <v>101.3223</v>
      </c>
      <c r="J7382">
        <v>-188.0659</v>
      </c>
      <c r="K7382">
        <v>1.121759</v>
      </c>
      <c r="L7382">
        <v>100.7226</v>
      </c>
      <c r="M7382">
        <v>9.8120740000000005E-3</v>
      </c>
      <c r="N7382">
        <v>-1.435474E-2</v>
      </c>
      <c r="O7382">
        <v>0.99984879999999998</v>
      </c>
      <c r="P7382">
        <v>2.542666E-2</v>
      </c>
      <c r="Q7382">
        <v>-8.7484290000000006E-2</v>
      </c>
      <c r="R7382">
        <v>0.99584130000000004</v>
      </c>
      <c r="S7382">
        <v>0.5853119</v>
      </c>
      <c r="T7382">
        <v>-0.78048899999999999</v>
      </c>
      <c r="U7382">
        <v>2.9282840000000001</v>
      </c>
      <c r="V7382">
        <v>1.5748390000000001E-2</v>
      </c>
      <c r="W7382">
        <v>-7.3156929999999995E-2</v>
      </c>
      <c r="X7382">
        <v>0.99719610000000003</v>
      </c>
      <c r="Y7382">
        <v>0.18032680000000001</v>
      </c>
      <c r="Z7382">
        <v>-0.23919099999999999</v>
      </c>
      <c r="AA7382">
        <v>0.9540807</v>
      </c>
      <c r="AB7382">
        <v>23</v>
      </c>
      <c r="AC7382">
        <v>0.16290000000000701</v>
      </c>
      <c r="AD7382">
        <v>-0.21903399999999901</v>
      </c>
      <c r="AE7382">
        <v>0.59969999999999801</v>
      </c>
      <c r="AF7382">
        <v>0.13965720545698401</v>
      </c>
      <c r="AG7382">
        <v>-0.21903399999999901</v>
      </c>
      <c r="AH7382">
        <v>0.53482653287080895</v>
      </c>
      <c r="AI7382">
        <v>111.61620421024701</v>
      </c>
      <c r="AJ7382">
        <v>75.365361159748701</v>
      </c>
      <c r="AK7382">
        <v>0.59457501499362098</v>
      </c>
      <c r="AL7382">
        <v>94.195331191245202</v>
      </c>
      <c r="AM7382">
        <v>89.095221815202507</v>
      </c>
      <c r="AN7382">
        <v>1.00000000502491</v>
      </c>
    </row>
    <row r="7383" spans="1:40" x14ac:dyDescent="0.25">
      <c r="A7383" t="str">
        <f>"20190303154708201"</f>
        <v>20190303154708201</v>
      </c>
      <c r="B7383" t="str">
        <f>"1551599228188834"</f>
        <v>1551599228188834</v>
      </c>
      <c r="C7383" t="s">
        <v>40</v>
      </c>
      <c r="D7383">
        <v>5.061267</v>
      </c>
      <c r="E7383">
        <v>0.54895389999999999</v>
      </c>
      <c r="F7383" t="s">
        <v>42</v>
      </c>
      <c r="G7383">
        <v>-187.9066</v>
      </c>
      <c r="H7383">
        <v>0.90712610000000005</v>
      </c>
      <c r="I7383">
        <v>101.52670000000001</v>
      </c>
      <c r="J7383">
        <v>-188.0641</v>
      </c>
      <c r="K7383">
        <v>1.1217220000000001</v>
      </c>
      <c r="L7383">
        <v>101.0566</v>
      </c>
      <c r="M7383">
        <v>8.5874209999999996E-3</v>
      </c>
      <c r="N7383">
        <v>-1.422269E-2</v>
      </c>
      <c r="O7383">
        <v>0.99986200000000003</v>
      </c>
      <c r="P7383">
        <v>2.323967E-2</v>
      </c>
      <c r="Q7383">
        <v>-8.866578E-2</v>
      </c>
      <c r="R7383">
        <v>0.99579030000000002</v>
      </c>
      <c r="S7383">
        <v>0.57995609999999997</v>
      </c>
      <c r="T7383">
        <v>-0.78186309999999903</v>
      </c>
      <c r="U7383">
        <v>2.9290159999999998</v>
      </c>
      <c r="V7383">
        <v>1.4779520000000001E-2</v>
      </c>
      <c r="W7383">
        <v>-7.4473339999999999E-2</v>
      </c>
      <c r="X7383">
        <v>0.99711349999999999</v>
      </c>
      <c r="Y7383">
        <v>0.17978379999999999</v>
      </c>
      <c r="Z7383">
        <v>-0.23973549999999999</v>
      </c>
      <c r="AA7383">
        <v>0.95404650000000002</v>
      </c>
      <c r="AB7383">
        <v>23</v>
      </c>
      <c r="AC7383">
        <v>0.157499999999998</v>
      </c>
      <c r="AD7383">
        <v>-0.21459589999999901</v>
      </c>
      <c r="AE7383">
        <v>0.47010000000000202</v>
      </c>
      <c r="AF7383">
        <v>0.12924281559505699</v>
      </c>
      <c r="AG7383">
        <v>-0.21459589999999901</v>
      </c>
      <c r="AH7383">
        <v>0.39704733456133701</v>
      </c>
      <c r="AI7383">
        <v>117.200319130709</v>
      </c>
      <c r="AJ7383">
        <v>71.969421226261304</v>
      </c>
      <c r="AK7383">
        <v>0.46946958534287497</v>
      </c>
      <c r="AL7383">
        <v>94.270962185868797</v>
      </c>
      <c r="AM7383">
        <v>89.150806690599296</v>
      </c>
      <c r="AN7383">
        <v>1.0000000222322101</v>
      </c>
    </row>
    <row r="7384" spans="1:40" x14ac:dyDescent="0.25">
      <c r="A7384" t="str">
        <f>"20190303154708221"</f>
        <v>20190303154708221</v>
      </c>
      <c r="B7384" t="str">
        <f>"1551599228209326"</f>
        <v>1551599228209326</v>
      </c>
      <c r="C7384" t="s">
        <v>40</v>
      </c>
      <c r="D7384">
        <v>4.6808880000000004</v>
      </c>
      <c r="E7384">
        <v>0.5666814</v>
      </c>
      <c r="F7384" t="s">
        <v>42</v>
      </c>
      <c r="G7384">
        <v>-187.95410000000001</v>
      </c>
      <c r="H7384">
        <v>0.99213399999999996</v>
      </c>
      <c r="I7384">
        <v>101.7676</v>
      </c>
      <c r="J7384">
        <v>-188.06319999999999</v>
      </c>
      <c r="K7384">
        <v>1.1216969999999999</v>
      </c>
      <c r="L7384">
        <v>101.26519999999999</v>
      </c>
      <c r="M7384">
        <v>7.8678280000000003E-3</v>
      </c>
      <c r="N7384">
        <v>-1.415363E-2</v>
      </c>
      <c r="O7384">
        <v>0.99986889999999995</v>
      </c>
      <c r="P7384">
        <v>2.2634919999999999E-2</v>
      </c>
      <c r="Q7384">
        <v>-8.8374720000000004E-2</v>
      </c>
      <c r="R7384">
        <v>0.99583010000000005</v>
      </c>
      <c r="S7384">
        <v>0.45617679999999999</v>
      </c>
      <c r="T7384">
        <v>-0.53858419999999996</v>
      </c>
      <c r="U7384">
        <v>2.9541019999999998</v>
      </c>
      <c r="V7384">
        <v>1.488663E-2</v>
      </c>
      <c r="W7384">
        <v>-7.4251529999999996E-2</v>
      </c>
      <c r="X7384">
        <v>0.99712840000000003</v>
      </c>
      <c r="Y7384">
        <v>0.1425824</v>
      </c>
      <c r="Z7384">
        <v>-0.1634842</v>
      </c>
      <c r="AA7384">
        <v>0.9761881</v>
      </c>
      <c r="AB7384">
        <v>23</v>
      </c>
      <c r="AC7384">
        <v>0.109099999999983</v>
      </c>
      <c r="AD7384">
        <v>-0.12956299999999901</v>
      </c>
      <c r="AE7384">
        <v>0.50240000000000795</v>
      </c>
      <c r="AF7384">
        <v>9.8864425329557803E-2</v>
      </c>
      <c r="AG7384">
        <v>-0.12956299999999901</v>
      </c>
      <c r="AH7384">
        <v>0.473190017289423</v>
      </c>
      <c r="AI7384">
        <v>105.003793834101</v>
      </c>
      <c r="AJ7384">
        <v>78.198853680962401</v>
      </c>
      <c r="AK7384">
        <v>0.50046931776794101</v>
      </c>
      <c r="AL7384">
        <v>94.258218331280005</v>
      </c>
      <c r="AM7384">
        <v>89.144666115253301</v>
      </c>
      <c r="AN7384">
        <v>0.99999997377332805</v>
      </c>
    </row>
    <row r="7385" spans="1:40" x14ac:dyDescent="0.25">
      <c r="A7385" t="str">
        <f>"20190303154708247"</f>
        <v>20190303154708247</v>
      </c>
      <c r="B7385" t="str">
        <f>"1551599228239582"</f>
        <v>1551599228239582</v>
      </c>
      <c r="C7385" t="s">
        <v>40</v>
      </c>
      <c r="D7385">
        <v>5.1508719999999997</v>
      </c>
      <c r="E7385">
        <v>0.55454250000000005</v>
      </c>
      <c r="F7385" t="s">
        <v>43</v>
      </c>
      <c r="G7385">
        <v>-172.70160000000001</v>
      </c>
      <c r="H7385">
        <v>-0.05</v>
      </c>
      <c r="I7385">
        <v>177.5797</v>
      </c>
      <c r="J7385">
        <v>-188.06219999999999</v>
      </c>
      <c r="K7385">
        <v>1.1216269999999999</v>
      </c>
      <c r="L7385">
        <v>101.5257</v>
      </c>
      <c r="M7385">
        <v>7.0734550000000002E-3</v>
      </c>
      <c r="N7385">
        <v>-1.407956E-2</v>
      </c>
      <c r="O7385">
        <v>0.99987579999999998</v>
      </c>
      <c r="P7385">
        <v>2.295169E-2</v>
      </c>
      <c r="Q7385">
        <v>-8.6247290000000004E-2</v>
      </c>
      <c r="R7385">
        <v>0.99600929999999999</v>
      </c>
      <c r="S7385">
        <v>0.60282899999999995</v>
      </c>
      <c r="T7385">
        <v>-4.5980449999999999E-2</v>
      </c>
      <c r="U7385">
        <v>2.9947810000000001</v>
      </c>
      <c r="V7385">
        <v>1.598051E-2</v>
      </c>
      <c r="W7385">
        <v>-7.2196789999999997E-2</v>
      </c>
      <c r="X7385">
        <v>0.99726239999999999</v>
      </c>
      <c r="Y7385">
        <v>0.1903562</v>
      </c>
      <c r="Z7385">
        <v>-9.9028180000000003E-4</v>
      </c>
      <c r="AA7385">
        <v>0.98171459999999999</v>
      </c>
      <c r="AB7385">
        <v>23</v>
      </c>
      <c r="AC7385">
        <v>15.3605999999999</v>
      </c>
      <c r="AD7385">
        <v>-1.171627</v>
      </c>
      <c r="AE7385">
        <v>76.054000000000002</v>
      </c>
      <c r="AF7385">
        <v>14.818818766988301</v>
      </c>
      <c r="AG7385">
        <v>-1.171627</v>
      </c>
      <c r="AH7385">
        <v>76.143398123427005</v>
      </c>
      <c r="AI7385">
        <v>90.865314577219493</v>
      </c>
      <c r="AJ7385">
        <v>78.986919121388198</v>
      </c>
      <c r="AK7385">
        <v>77.580842849627999</v>
      </c>
      <c r="AL7385">
        <v>94.1401732790099</v>
      </c>
      <c r="AM7385">
        <v>89.081949325755701</v>
      </c>
      <c r="AN7385">
        <v>1.00000002381996</v>
      </c>
    </row>
    <row r="7386" spans="1:40" x14ac:dyDescent="0.25">
      <c r="A7386" t="str">
        <f>"20190303154708268"</f>
        <v>20190303154708268</v>
      </c>
      <c r="B7386" t="str">
        <f>"1551599228259102"</f>
        <v>1551599228259102</v>
      </c>
      <c r="C7386" t="s">
        <v>40</v>
      </c>
      <c r="D7386">
        <v>5.1227340000000003</v>
      </c>
      <c r="E7386">
        <v>0.5499925</v>
      </c>
      <c r="F7386" t="s">
        <v>61</v>
      </c>
      <c r="G7386">
        <v>-183.43219999999999</v>
      </c>
      <c r="H7386" s="1">
        <v>-4.923615E-6</v>
      </c>
      <c r="I7386">
        <v>128.8897</v>
      </c>
      <c r="J7386">
        <v>-188.06139999999999</v>
      </c>
      <c r="K7386">
        <v>1.121545</v>
      </c>
      <c r="L7386">
        <v>101.7419</v>
      </c>
      <c r="M7386">
        <v>6.5094920000000004E-3</v>
      </c>
      <c r="N7386">
        <v>-1.402605E-2</v>
      </c>
      <c r="O7386">
        <v>0.9998804</v>
      </c>
      <c r="P7386">
        <v>2.4844149999999999E-2</v>
      </c>
      <c r="Q7386">
        <v>-8.4880430000000007E-2</v>
      </c>
      <c r="R7386">
        <v>0.99608140000000001</v>
      </c>
      <c r="S7386">
        <v>0.50585939999999996</v>
      </c>
      <c r="T7386">
        <v>-0.1225475</v>
      </c>
      <c r="U7386">
        <v>2.9897459999999998</v>
      </c>
      <c r="V7386">
        <v>1.8420760000000001E-2</v>
      </c>
      <c r="W7386">
        <v>-7.0882979999999998E-2</v>
      </c>
      <c r="X7386">
        <v>0.99731449999999999</v>
      </c>
      <c r="Y7386">
        <v>0.1602857</v>
      </c>
      <c r="Z7386">
        <v>-2.6391459999999999E-2</v>
      </c>
      <c r="AA7386">
        <v>0.98671779999999998</v>
      </c>
      <c r="AB7386">
        <v>23</v>
      </c>
      <c r="AC7386">
        <v>4.6291999999999902</v>
      </c>
      <c r="AD7386">
        <v>-1.1215499236149999</v>
      </c>
      <c r="AE7386">
        <v>27.1478</v>
      </c>
      <c r="AF7386">
        <v>4.4449940184746497</v>
      </c>
      <c r="AG7386">
        <v>-1.1215499236149999</v>
      </c>
      <c r="AH7386">
        <v>27.1323618950548</v>
      </c>
      <c r="AI7386">
        <v>92.335940273851307</v>
      </c>
      <c r="AJ7386">
        <v>80.696093877819294</v>
      </c>
      <c r="AK7386">
        <v>27.516920395633999</v>
      </c>
      <c r="AL7386">
        <v>94.064704368673603</v>
      </c>
      <c r="AM7386">
        <v>88.941846522543003</v>
      </c>
      <c r="AN7386">
        <v>0.99999996658145296</v>
      </c>
    </row>
    <row r="7387" spans="1:40" x14ac:dyDescent="0.25">
      <c r="A7387" t="str">
        <f>"20190303154708293"</f>
        <v>20190303154708293</v>
      </c>
      <c r="B7387" t="str">
        <f>"1551599228289358"</f>
        <v>1551599228289358</v>
      </c>
      <c r="C7387" t="s">
        <v>40</v>
      </c>
      <c r="D7387">
        <v>5.0993510000000004</v>
      </c>
      <c r="E7387">
        <v>0.54621450000000005</v>
      </c>
      <c r="F7387" t="s">
        <v>61</v>
      </c>
      <c r="G7387">
        <v>-184.57230000000001</v>
      </c>
      <c r="H7387" s="1">
        <v>-2.9901259999999998E-6</v>
      </c>
      <c r="I7387">
        <v>123.7029</v>
      </c>
      <c r="J7387">
        <v>-188.06049999999999</v>
      </c>
      <c r="K7387">
        <v>1.1214309999999901</v>
      </c>
      <c r="L7387">
        <v>101.9823</v>
      </c>
      <c r="M7387">
        <v>5.9935889999999997E-3</v>
      </c>
      <c r="N7387">
        <v>-1.3974510000000001E-2</v>
      </c>
      <c r="O7387">
        <v>0.99988440000000001</v>
      </c>
      <c r="P7387">
        <v>2.7099970000000001E-2</v>
      </c>
      <c r="Q7387">
        <v>-8.4647470000000002E-2</v>
      </c>
      <c r="R7387">
        <v>0.99604239999999999</v>
      </c>
      <c r="S7387">
        <v>0.47456359999999997</v>
      </c>
      <c r="T7387">
        <v>-0.15254489999999901</v>
      </c>
      <c r="U7387">
        <v>2.9869690000000002</v>
      </c>
      <c r="V7387">
        <v>2.117519E-2</v>
      </c>
      <c r="W7387">
        <v>-7.0704180000000005E-2</v>
      </c>
      <c r="X7387">
        <v>0.99727259999999995</v>
      </c>
      <c r="Y7387">
        <v>0.15081559999999999</v>
      </c>
      <c r="Z7387">
        <v>-3.6440559999999997E-2</v>
      </c>
      <c r="AA7387">
        <v>0.98789009999999999</v>
      </c>
      <c r="AB7387">
        <v>23</v>
      </c>
      <c r="AC7387">
        <v>3.4881999999999702</v>
      </c>
      <c r="AD7387">
        <v>-1.12143399012599</v>
      </c>
      <c r="AE7387">
        <v>21.720600000000001</v>
      </c>
      <c r="AF7387">
        <v>3.3492368313414902</v>
      </c>
      <c r="AG7387">
        <v>-1.12143399012599</v>
      </c>
      <c r="AH7387">
        <v>21.684767885234599</v>
      </c>
      <c r="AI7387">
        <v>92.9257996860796</v>
      </c>
      <c r="AJ7387">
        <v>81.219979873060197</v>
      </c>
      <c r="AK7387">
        <v>21.970529346903</v>
      </c>
      <c r="AL7387">
        <v>94.054433758794602</v>
      </c>
      <c r="AM7387">
        <v>88.783615695671898</v>
      </c>
      <c r="AN7387">
        <v>1.00000005422588</v>
      </c>
    </row>
    <row r="7388" spans="1:40" x14ac:dyDescent="0.25">
      <c r="A7388" t="str">
        <f>"20190303154708315"</f>
        <v>20190303154708315</v>
      </c>
      <c r="B7388" t="str">
        <f>"1551599228308878"</f>
        <v>1551599228308878</v>
      </c>
      <c r="C7388" t="s">
        <v>40</v>
      </c>
      <c r="D7388">
        <v>5.0472070000000002</v>
      </c>
      <c r="E7388">
        <v>0.54469690000000004</v>
      </c>
      <c r="F7388" t="s">
        <v>61</v>
      </c>
      <c r="G7388">
        <v>-185.2276</v>
      </c>
      <c r="H7388" s="1">
        <v>-1.58881E-6</v>
      </c>
      <c r="I7388">
        <v>120.7376</v>
      </c>
      <c r="J7388">
        <v>-188.05969999999999</v>
      </c>
      <c r="K7388">
        <v>1.1213219999999999</v>
      </c>
      <c r="L7388">
        <v>102.2079</v>
      </c>
      <c r="M7388">
        <v>5.6483710000000001E-3</v>
      </c>
      <c r="N7388">
        <v>-1.393261E-2</v>
      </c>
      <c r="O7388">
        <v>0.99988699999999997</v>
      </c>
      <c r="P7388">
        <v>2.8402360000000001E-2</v>
      </c>
      <c r="Q7388">
        <v>-8.7607909999999997E-2</v>
      </c>
      <c r="R7388">
        <v>0.99575009999999997</v>
      </c>
      <c r="S7388">
        <v>0.45079039999999998</v>
      </c>
      <c r="T7388">
        <v>-0.17845030000000001</v>
      </c>
      <c r="U7388">
        <v>2.984467</v>
      </c>
      <c r="V7388">
        <v>2.2808109999999999E-2</v>
      </c>
      <c r="W7388">
        <v>-7.3714379999999996E-2</v>
      </c>
      <c r="X7388">
        <v>0.99701859999999998</v>
      </c>
      <c r="Y7388">
        <v>0.14353869999999999</v>
      </c>
      <c r="Z7388">
        <v>-4.5134529999999999E-2</v>
      </c>
      <c r="AA7388">
        <v>0.98861500000000002</v>
      </c>
      <c r="AB7388">
        <v>23</v>
      </c>
      <c r="AC7388">
        <v>2.8320999999999898</v>
      </c>
      <c r="AD7388">
        <v>-1.1213235888099999</v>
      </c>
      <c r="AE7388">
        <v>18.529699999999998</v>
      </c>
      <c r="AF7388">
        <v>2.7176569998498099</v>
      </c>
      <c r="AG7388">
        <v>-1.1213235888099999</v>
      </c>
      <c r="AH7388">
        <v>18.479275255039202</v>
      </c>
      <c r="AI7388">
        <v>93.435589712339194</v>
      </c>
      <c r="AJ7388">
        <v>81.633760245180099</v>
      </c>
      <c r="AK7388">
        <v>18.711671227102102</v>
      </c>
      <c r="AL7388">
        <v>94.227356987021594</v>
      </c>
      <c r="AM7388">
        <v>88.689512361085605</v>
      </c>
      <c r="AN7388">
        <v>1.0000000542232499</v>
      </c>
    </row>
    <row r="7389" spans="1:40" x14ac:dyDescent="0.25">
      <c r="A7389" t="str">
        <f>"20190303154708338"</f>
        <v>20190303154708338</v>
      </c>
      <c r="B7389" t="str">
        <f>"1551599228329374"</f>
        <v>1551599228329374</v>
      </c>
      <c r="C7389" t="s">
        <v>40</v>
      </c>
      <c r="D7389">
        <v>5.0830479999999998</v>
      </c>
      <c r="E7389">
        <v>0.54413199999999995</v>
      </c>
      <c r="F7389" t="s">
        <v>41</v>
      </c>
      <c r="G7389">
        <v>-185.55439999999999</v>
      </c>
      <c r="H7389" s="1">
        <v>-4.8477649999999997E-6</v>
      </c>
      <c r="I7389">
        <v>119.09480000000001</v>
      </c>
      <c r="J7389">
        <v>-188.05869999999999</v>
      </c>
      <c r="K7389">
        <v>1.121197</v>
      </c>
      <c r="L7389">
        <v>102.4413</v>
      </c>
      <c r="M7389">
        <v>5.4516919999999898E-3</v>
      </c>
      <c r="N7389">
        <v>-1.389494E-2</v>
      </c>
      <c r="O7389">
        <v>0.99988860000000002</v>
      </c>
      <c r="P7389">
        <v>2.8163219999999999E-2</v>
      </c>
      <c r="Q7389">
        <v>-9.0684520000000005E-2</v>
      </c>
      <c r="R7389">
        <v>0.99548139999999996</v>
      </c>
      <c r="S7389">
        <v>0.44250489999999998</v>
      </c>
      <c r="T7389">
        <v>-0.19806090000000001</v>
      </c>
      <c r="U7389">
        <v>2.982758</v>
      </c>
      <c r="V7389">
        <v>2.2748150000000002E-2</v>
      </c>
      <c r="W7389">
        <v>-7.6837870000000003E-2</v>
      </c>
      <c r="X7389">
        <v>0.99678409999999995</v>
      </c>
      <c r="Y7389">
        <v>0.14107900000000001</v>
      </c>
      <c r="Z7389">
        <v>-5.1700610000000001E-2</v>
      </c>
      <c r="AA7389">
        <v>0.98864750000000001</v>
      </c>
      <c r="AB7389">
        <v>23</v>
      </c>
      <c r="AC7389">
        <v>2.5043000000000002</v>
      </c>
      <c r="AD7389">
        <v>-1.1212018477650001</v>
      </c>
      <c r="AE7389">
        <v>16.653500000000001</v>
      </c>
      <c r="AF7389">
        <v>2.4028138741270602</v>
      </c>
      <c r="AG7389">
        <v>-1.1212018477650001</v>
      </c>
      <c r="AH7389">
        <v>16.593357010488401</v>
      </c>
      <c r="AI7389">
        <v>93.825778733979803</v>
      </c>
      <c r="AJ7389">
        <v>81.760512351481594</v>
      </c>
      <c r="AK7389">
        <v>16.803871725726001</v>
      </c>
      <c r="AL7389">
        <v>94.406829123086098</v>
      </c>
      <c r="AM7389">
        <v>88.692648907651304</v>
      </c>
      <c r="AN7389">
        <v>1.0000000393036801</v>
      </c>
    </row>
    <row r="7390" spans="1:40" x14ac:dyDescent="0.25">
      <c r="A7390" t="str">
        <f>"20190303154708381"</f>
        <v>20190303154708381</v>
      </c>
      <c r="B7390" t="str">
        <f>"1551599228369390"</f>
        <v>1551599228369390</v>
      </c>
      <c r="C7390" t="s">
        <v>40</v>
      </c>
      <c r="D7390">
        <v>5.0252290000000004</v>
      </c>
      <c r="E7390">
        <v>0.54330149999999999</v>
      </c>
      <c r="F7390" t="s">
        <v>41</v>
      </c>
      <c r="G7390">
        <v>-185.7371</v>
      </c>
      <c r="H7390" s="1">
        <v>-4.4654609999999998E-6</v>
      </c>
      <c r="I7390">
        <v>118.2792</v>
      </c>
      <c r="J7390">
        <v>-188.0566</v>
      </c>
      <c r="K7390">
        <v>1.120987</v>
      </c>
      <c r="L7390">
        <v>102.8633</v>
      </c>
      <c r="M7390">
        <v>5.5427330000000002E-3</v>
      </c>
      <c r="N7390">
        <v>-1.383962E-2</v>
      </c>
      <c r="O7390">
        <v>0.99988880000000002</v>
      </c>
      <c r="P7390">
        <v>2.513377E-2</v>
      </c>
      <c r="Q7390">
        <v>-9.1718720000000004E-2</v>
      </c>
      <c r="R7390">
        <v>0.99546769999999996</v>
      </c>
      <c r="S7390">
        <v>0.43711850000000002</v>
      </c>
      <c r="T7390">
        <v>-0.21110390000000001</v>
      </c>
      <c r="U7390">
        <v>2.9820250000000001</v>
      </c>
      <c r="V7390">
        <v>1.959112E-2</v>
      </c>
      <c r="W7390">
        <v>-7.7937389999999995E-2</v>
      </c>
      <c r="X7390">
        <v>0.99676569999999998</v>
      </c>
      <c r="Y7390">
        <v>0.1392389</v>
      </c>
      <c r="Z7390">
        <v>-5.6091799999999997E-2</v>
      </c>
      <c r="AA7390">
        <v>0.98866889999999996</v>
      </c>
      <c r="AB7390">
        <v>22</v>
      </c>
      <c r="AC7390">
        <v>2.3195000000000001</v>
      </c>
      <c r="AD7390">
        <v>-1.120991465461</v>
      </c>
      <c r="AE7390">
        <v>15.415900000000001</v>
      </c>
      <c r="AF7390">
        <v>2.2225181060697601</v>
      </c>
      <c r="AG7390">
        <v>-1.120991465461</v>
      </c>
      <c r="AH7390">
        <v>15.349155732704199</v>
      </c>
      <c r="AI7390">
        <v>94.134092243377495</v>
      </c>
      <c r="AJ7390">
        <v>81.760981223460902</v>
      </c>
      <c r="AK7390">
        <v>15.549687787999201</v>
      </c>
      <c r="AL7390">
        <v>94.470016851966093</v>
      </c>
      <c r="AM7390">
        <v>88.874014240478402</v>
      </c>
      <c r="AN7390">
        <v>0.99999995471967695</v>
      </c>
    </row>
    <row r="7391" spans="1:40" x14ac:dyDescent="0.25">
      <c r="A7391" t="str">
        <f>"20190303154708400"</f>
        <v>20190303154708400</v>
      </c>
      <c r="B7391" t="str">
        <f>"1551599228388910"</f>
        <v>1551599228388910</v>
      </c>
      <c r="C7391" t="s">
        <v>40</v>
      </c>
      <c r="D7391">
        <v>5.0663410000000004</v>
      </c>
      <c r="E7391">
        <v>0.54306129999999997</v>
      </c>
      <c r="F7391" t="s">
        <v>41</v>
      </c>
      <c r="G7391">
        <v>-185.88</v>
      </c>
      <c r="H7391" s="1">
        <v>-4.440489E-6</v>
      </c>
      <c r="I7391">
        <v>118.2801</v>
      </c>
      <c r="J7391">
        <v>-188.05529999999999</v>
      </c>
      <c r="K7391">
        <v>1.1209089999999999</v>
      </c>
      <c r="L7391">
        <v>103.07129999999999</v>
      </c>
      <c r="M7391">
        <v>5.7819769999999998E-3</v>
      </c>
      <c r="N7391">
        <v>-1.3817350000000001E-2</v>
      </c>
      <c r="O7391">
        <v>0.99988779999999999</v>
      </c>
      <c r="P7391">
        <v>2.509289E-2</v>
      </c>
      <c r="Q7391">
        <v>-9.3429819999999997E-2</v>
      </c>
      <c r="R7391">
        <v>0.99530960000000002</v>
      </c>
      <c r="S7391">
        <v>0.42115780000000003</v>
      </c>
      <c r="T7391">
        <v>-0.21690390000000001</v>
      </c>
      <c r="U7391">
        <v>2.983047</v>
      </c>
      <c r="V7391">
        <v>1.9294849999999999E-2</v>
      </c>
      <c r="W7391">
        <v>-7.9676789999999997E-2</v>
      </c>
      <c r="X7391">
        <v>0.99663400000000002</v>
      </c>
      <c r="Y7391">
        <v>0.1337545</v>
      </c>
      <c r="Z7391">
        <v>-5.8056299999999998E-2</v>
      </c>
      <c r="AA7391">
        <v>0.98931250000000004</v>
      </c>
      <c r="AB7391">
        <v>22</v>
      </c>
      <c r="AC7391">
        <v>2.1752999999999898</v>
      </c>
      <c r="AD7391">
        <v>-1.120913440489</v>
      </c>
      <c r="AE7391">
        <v>15.2088</v>
      </c>
      <c r="AF7391">
        <v>2.07626626179733</v>
      </c>
      <c r="AG7391">
        <v>-1.120913440489</v>
      </c>
      <c r="AH7391">
        <v>15.140530866939701</v>
      </c>
      <c r="AI7391">
        <v>94.194990393205103</v>
      </c>
      <c r="AJ7391">
        <v>82.191562472197603</v>
      </c>
      <c r="AK7391">
        <v>15.323283051085999</v>
      </c>
      <c r="AL7391">
        <v>94.569987835289396</v>
      </c>
      <c r="AM7391">
        <v>88.890891357163696</v>
      </c>
      <c r="AN7391">
        <v>1.0000000060286101</v>
      </c>
    </row>
    <row r="7392" spans="1:40" x14ac:dyDescent="0.25">
      <c r="A7392" t="str">
        <f>"20190303154708425"</f>
        <v>20190303154708425</v>
      </c>
      <c r="B7392" t="str">
        <f>"1551599228419167"</f>
        <v>1551599228419167</v>
      </c>
      <c r="C7392" t="s">
        <v>40</v>
      </c>
      <c r="D7392">
        <v>5.0468339999999996</v>
      </c>
      <c r="E7392">
        <v>0.54308000000000001</v>
      </c>
      <c r="F7392" t="s">
        <v>41</v>
      </c>
      <c r="G7392">
        <v>-185.96289999999999</v>
      </c>
      <c r="H7392" s="1">
        <v>-4.2875169999999999E-6</v>
      </c>
      <c r="I7392">
        <v>117.95780000000001</v>
      </c>
      <c r="J7392">
        <v>-188.05359999999999</v>
      </c>
      <c r="K7392">
        <v>1.120817</v>
      </c>
      <c r="L7392">
        <v>103.3036</v>
      </c>
      <c r="M7392">
        <v>6.2020010000000004E-3</v>
      </c>
      <c r="N7392">
        <v>-1.379585E-2</v>
      </c>
      <c r="O7392">
        <v>0.99988560000000004</v>
      </c>
      <c r="P7392">
        <v>2.537872E-2</v>
      </c>
      <c r="Q7392">
        <v>-9.5409759999999996E-2</v>
      </c>
      <c r="R7392">
        <v>0.99511450000000001</v>
      </c>
      <c r="S7392">
        <v>0.41920469999999999</v>
      </c>
      <c r="T7392">
        <v>-0.2245742</v>
      </c>
      <c r="U7392">
        <v>2.9824980000000001</v>
      </c>
      <c r="V7392">
        <v>1.9143179999999999E-2</v>
      </c>
      <c r="W7392">
        <v>-8.168504E-2</v>
      </c>
      <c r="X7392">
        <v>0.99647430000000004</v>
      </c>
      <c r="Y7392">
        <v>0.1327053</v>
      </c>
      <c r="Z7392">
        <v>-6.0628799999999997E-2</v>
      </c>
      <c r="AA7392">
        <v>0.9892995</v>
      </c>
      <c r="AB7392">
        <v>22</v>
      </c>
      <c r="AC7392">
        <v>2.0906999999999898</v>
      </c>
      <c r="AD7392">
        <v>-1.1208212875170001</v>
      </c>
      <c r="AE7392">
        <v>14.654199999999999</v>
      </c>
      <c r="AF7392">
        <v>1.9883660599613799</v>
      </c>
      <c r="AG7392">
        <v>-1.1208212875170001</v>
      </c>
      <c r="AH7392">
        <v>14.583276952765001</v>
      </c>
      <c r="AI7392">
        <v>94.354785212333596</v>
      </c>
      <c r="AJ7392">
        <v>82.235846929720793</v>
      </c>
      <c r="AK7392">
        <v>14.760819984946799</v>
      </c>
      <c r="AL7392">
        <v>94.685428616881197</v>
      </c>
      <c r="AM7392">
        <v>88.899431205171695</v>
      </c>
      <c r="AN7392">
        <v>0.99999996883040099</v>
      </c>
    </row>
    <row r="7393" spans="1:40" x14ac:dyDescent="0.25">
      <c r="A7393" t="str">
        <f>"20190303154708444"</f>
        <v>20190303154708444</v>
      </c>
      <c r="B7393" t="str">
        <f>"1551599228438686"</f>
        <v>1551599228438686</v>
      </c>
      <c r="C7393" t="s">
        <v>40</v>
      </c>
      <c r="D7393">
        <v>5.0931930000000003</v>
      </c>
      <c r="E7393">
        <v>0.54298919999999995</v>
      </c>
      <c r="F7393" t="s">
        <v>41</v>
      </c>
      <c r="G7393">
        <v>-186.02690000000001</v>
      </c>
      <c r="H7393" s="1">
        <v>-4.1590119999999998E-6</v>
      </c>
      <c r="I7393">
        <v>117.68470000000001</v>
      </c>
      <c r="J7393">
        <v>-188.05189999999999</v>
      </c>
      <c r="K7393">
        <v>1.1207549999999999</v>
      </c>
      <c r="L7393">
        <v>103.5087</v>
      </c>
      <c r="M7393">
        <v>6.6878409999999999E-3</v>
      </c>
      <c r="N7393">
        <v>-1.377923E-2</v>
      </c>
      <c r="O7393">
        <v>0.99988270000000001</v>
      </c>
      <c r="P7393">
        <v>2.7854469999999999E-2</v>
      </c>
      <c r="Q7393">
        <v>-9.3838320000000003E-2</v>
      </c>
      <c r="R7393">
        <v>0.99519769999999996</v>
      </c>
      <c r="S7393">
        <v>0.42019649999999997</v>
      </c>
      <c r="T7393">
        <v>-0.23238639999999999</v>
      </c>
      <c r="U7393">
        <v>2.9817200000000001</v>
      </c>
      <c r="V7393">
        <v>2.1120050000000001E-2</v>
      </c>
      <c r="W7393">
        <v>-8.0134559999999994E-2</v>
      </c>
      <c r="X7393">
        <v>0.99656029999999995</v>
      </c>
      <c r="Y7393">
        <v>0.13255719999999999</v>
      </c>
      <c r="Z7393">
        <v>-6.3239240000000002E-2</v>
      </c>
      <c r="AA7393">
        <v>0.98915589999999998</v>
      </c>
      <c r="AB7393">
        <v>22</v>
      </c>
      <c r="AC7393">
        <v>2.0249999999999702</v>
      </c>
      <c r="AD7393">
        <v>-1.1207591590120001</v>
      </c>
      <c r="AE7393">
        <v>14.176</v>
      </c>
      <c r="AF7393">
        <v>1.9183877058485199</v>
      </c>
      <c r="AG7393">
        <v>-1.1207591590120001</v>
      </c>
      <c r="AH7393">
        <v>14.1028395448959</v>
      </c>
      <c r="AI7393">
        <v>94.502479997095904</v>
      </c>
      <c r="AJ7393">
        <v>82.253687792410105</v>
      </c>
      <c r="AK7393">
        <v>14.2767781978828</v>
      </c>
      <c r="AL7393">
        <v>94.596300205614199</v>
      </c>
      <c r="AM7393">
        <v>88.785915302933901</v>
      </c>
      <c r="AN7393">
        <v>1.0000000178772399</v>
      </c>
    </row>
    <row r="7394" spans="1:40" x14ac:dyDescent="0.25">
      <c r="A7394" t="str">
        <f>"20190303154708468"</f>
        <v>20190303154708468</v>
      </c>
      <c r="B7394" t="str">
        <f>"1551599228459183"</f>
        <v>1551599228459183</v>
      </c>
      <c r="C7394" t="s">
        <v>40</v>
      </c>
      <c r="D7394">
        <v>4.9938089999999997</v>
      </c>
      <c r="E7394">
        <v>0.51628529999999995</v>
      </c>
      <c r="F7394" t="s">
        <v>41</v>
      </c>
      <c r="G7394">
        <v>-185.94649999999999</v>
      </c>
      <c r="H7394" s="1">
        <v>-4.3990840000000004E-6</v>
      </c>
      <c r="I7394">
        <v>118.2111</v>
      </c>
      <c r="J7394">
        <v>-188.0496</v>
      </c>
      <c r="K7394">
        <v>1.1207069999999999</v>
      </c>
      <c r="L7394">
        <v>103.75060000000001</v>
      </c>
      <c r="M7394">
        <v>7.3707649999999996E-3</v>
      </c>
      <c r="N7394">
        <v>-1.37622E-2</v>
      </c>
      <c r="O7394">
        <v>0.99987809999999999</v>
      </c>
      <c r="P7394">
        <v>3.115766E-2</v>
      </c>
      <c r="Q7394">
        <v>-8.8393869999999999E-2</v>
      </c>
      <c r="R7394">
        <v>0.99559819999999999</v>
      </c>
      <c r="S7394">
        <v>0.42689510000000003</v>
      </c>
      <c r="T7394">
        <v>-0.2272496</v>
      </c>
      <c r="U7394">
        <v>2.9811100000000001</v>
      </c>
      <c r="V7394">
        <v>2.3731680000000002E-2</v>
      </c>
      <c r="W7394">
        <v>-7.4708529999999995E-2</v>
      </c>
      <c r="X7394">
        <v>0.996923</v>
      </c>
      <c r="Y7394">
        <v>0.13410239999999901</v>
      </c>
      <c r="Z7394">
        <v>-6.1558679999999998E-2</v>
      </c>
      <c r="AA7394">
        <v>0.98905359999999998</v>
      </c>
      <c r="AB7394">
        <v>22</v>
      </c>
      <c r="AC7394">
        <v>2.1031000000000102</v>
      </c>
      <c r="AD7394">
        <v>-1.1207113990840001</v>
      </c>
      <c r="AE7394">
        <v>14.4604999999999</v>
      </c>
      <c r="AF7394">
        <v>1.98477323001428</v>
      </c>
      <c r="AG7394">
        <v>-1.1207113990840001</v>
      </c>
      <c r="AH7394">
        <v>14.390961330046</v>
      </c>
      <c r="AI7394">
        <v>94.411391637734994</v>
      </c>
      <c r="AJ7394">
        <v>82.1474171341154</v>
      </c>
      <c r="AK7394">
        <v>14.570349577738201</v>
      </c>
      <c r="AL7394">
        <v>94.284475266124403</v>
      </c>
      <c r="AM7394">
        <v>88.636335653312003</v>
      </c>
      <c r="AN7394">
        <v>1.00000001250969</v>
      </c>
    </row>
    <row r="7395" spans="1:40" x14ac:dyDescent="0.25">
      <c r="A7395" t="str">
        <f>"20190303154708492"</f>
        <v>20190303154708492</v>
      </c>
      <c r="B7395" t="str">
        <f>"1551599228489438"</f>
        <v>1551599228489438</v>
      </c>
      <c r="C7395" t="s">
        <v>40</v>
      </c>
      <c r="D7395">
        <v>5.0679059999999998</v>
      </c>
      <c r="E7395">
        <v>0.50789479999999998</v>
      </c>
      <c r="F7395" t="s">
        <v>61</v>
      </c>
      <c r="G7395">
        <v>-185.7972</v>
      </c>
      <c r="H7395" s="1">
        <v>-6.4326540000000003E-6</v>
      </c>
      <c r="I7395">
        <v>133.80410000000001</v>
      </c>
      <c r="J7395">
        <v>-188.0471</v>
      </c>
      <c r="K7395">
        <v>1.120684</v>
      </c>
      <c r="L7395">
        <v>103.9808</v>
      </c>
      <c r="M7395">
        <v>8.1058109999999992E-3</v>
      </c>
      <c r="N7395">
        <v>-1.3747840000000001E-2</v>
      </c>
      <c r="O7395">
        <v>0.9998726</v>
      </c>
      <c r="P7395">
        <v>3.4832380000000003E-2</v>
      </c>
      <c r="Q7395">
        <v>-8.2545820000000006E-2</v>
      </c>
      <c r="R7395">
        <v>0.99597840000000004</v>
      </c>
      <c r="S7395">
        <v>0.2245636</v>
      </c>
      <c r="T7395">
        <v>-0.1117351</v>
      </c>
      <c r="U7395">
        <v>2.9963380000000002</v>
      </c>
      <c r="V7395">
        <v>2.6669289999999998E-2</v>
      </c>
      <c r="W7395">
        <v>-6.8876199999999999E-2</v>
      </c>
      <c r="X7395">
        <v>0.99726870000000001</v>
      </c>
      <c r="Y7395">
        <v>6.6606239999999997E-2</v>
      </c>
      <c r="Z7395">
        <v>-2.343174E-2</v>
      </c>
      <c r="AA7395">
        <v>0.99750419999999995</v>
      </c>
      <c r="AB7395">
        <v>22</v>
      </c>
      <c r="AC7395">
        <v>2.24989999999999</v>
      </c>
      <c r="AD7395">
        <v>-1.1206904326539999</v>
      </c>
      <c r="AE7395">
        <v>29.8233</v>
      </c>
      <c r="AF7395">
        <v>2.00524563309596</v>
      </c>
      <c r="AG7395">
        <v>-1.1206904326539999</v>
      </c>
      <c r="AH7395">
        <v>29.798718919842401</v>
      </c>
      <c r="AI7395">
        <v>92.148947938735304</v>
      </c>
      <c r="AJ7395">
        <v>86.150198343898893</v>
      </c>
      <c r="AK7395">
        <v>29.887131116229</v>
      </c>
      <c r="AL7395">
        <v>93.949442340384707</v>
      </c>
      <c r="AM7395">
        <v>88.468142381353104</v>
      </c>
      <c r="AN7395">
        <v>1.0000000209776101</v>
      </c>
    </row>
    <row r="7396" spans="1:40" x14ac:dyDescent="0.25">
      <c r="A7396" t="str">
        <f>"20190303154708513"</f>
        <v>20190303154708513</v>
      </c>
      <c r="B7396" t="str">
        <f>"1551599228508958"</f>
        <v>1551599228508958</v>
      </c>
      <c r="C7396" t="s">
        <v>40</v>
      </c>
      <c r="D7396">
        <v>5.0437659999999997</v>
      </c>
      <c r="E7396">
        <v>0.5063434</v>
      </c>
      <c r="F7396" t="s">
        <v>61</v>
      </c>
      <c r="G7396">
        <v>-186.52600000000001</v>
      </c>
      <c r="H7396" s="1">
        <v>-5.515638E-6</v>
      </c>
      <c r="I7396">
        <v>131.06960000000001</v>
      </c>
      <c r="J7396">
        <v>-188.0445</v>
      </c>
      <c r="K7396">
        <v>1.1206739999999999</v>
      </c>
      <c r="L7396">
        <v>104.1969</v>
      </c>
      <c r="M7396">
        <v>8.8549700000000002E-3</v>
      </c>
      <c r="N7396">
        <v>-1.373577E-2</v>
      </c>
      <c r="O7396">
        <v>0.99986640000000004</v>
      </c>
      <c r="P7396">
        <v>3.7863859999999999E-2</v>
      </c>
      <c r="Q7396">
        <v>-7.885259E-2</v>
      </c>
      <c r="R7396">
        <v>0.99616689999999997</v>
      </c>
      <c r="S7396">
        <v>0.16822809999999999</v>
      </c>
      <c r="T7396">
        <v>-0.1239461</v>
      </c>
      <c r="U7396">
        <v>2.9959720000000001</v>
      </c>
      <c r="V7396">
        <v>2.895263E-2</v>
      </c>
      <c r="W7396">
        <v>-6.5197060000000001E-2</v>
      </c>
      <c r="X7396">
        <v>0.99745229999999996</v>
      </c>
      <c r="Y7396">
        <v>4.717996E-2</v>
      </c>
      <c r="Z7396">
        <v>-2.755312E-2</v>
      </c>
      <c r="AA7396">
        <v>0.99850629999999996</v>
      </c>
      <c r="AB7396">
        <v>22</v>
      </c>
      <c r="AC7396">
        <v>1.51850000000001</v>
      </c>
      <c r="AD7396">
        <v>-1.1206795156380001</v>
      </c>
      <c r="AE7396">
        <v>26.872699999999998</v>
      </c>
      <c r="AF7396">
        <v>1.27824503864719</v>
      </c>
      <c r="AG7396">
        <v>-1.1206795156380001</v>
      </c>
      <c r="AH7396">
        <v>26.838565700253401</v>
      </c>
      <c r="AI7396">
        <v>92.388367244194797</v>
      </c>
      <c r="AJ7396">
        <v>87.273224452073407</v>
      </c>
      <c r="AK7396">
        <v>26.8923491313498</v>
      </c>
      <c r="AL7396">
        <v>93.738167845000305</v>
      </c>
      <c r="AM7396">
        <v>88.337366255444707</v>
      </c>
      <c r="AN7396">
        <v>1.00000000109592</v>
      </c>
    </row>
    <row r="7397" spans="1:40" x14ac:dyDescent="0.25">
      <c r="A7397" t="str">
        <f>"20190303154708536"</f>
        <v>20190303154708536</v>
      </c>
      <c r="B7397" t="str">
        <f>"1551599228529454"</f>
        <v>1551599228529454</v>
      </c>
      <c r="C7397" t="s">
        <v>40</v>
      </c>
      <c r="D7397">
        <v>5.0576540000000003</v>
      </c>
      <c r="E7397">
        <v>0.50541440000000004</v>
      </c>
      <c r="F7397" t="s">
        <v>61</v>
      </c>
      <c r="G7397">
        <v>-186.55549999999999</v>
      </c>
      <c r="H7397" s="1">
        <v>-5.5833169999999901E-6</v>
      </c>
      <c r="I7397">
        <v>131.28649999999999</v>
      </c>
      <c r="J7397">
        <v>-188.04159999999999</v>
      </c>
      <c r="K7397">
        <v>1.1206640000000001</v>
      </c>
      <c r="L7397">
        <v>104.4222</v>
      </c>
      <c r="M7397">
        <v>9.6729269999999996E-3</v>
      </c>
      <c r="N7397">
        <v>-1.372454E-2</v>
      </c>
      <c r="O7397">
        <v>0.99985900000000005</v>
      </c>
      <c r="P7397">
        <v>4.1281289999999998E-2</v>
      </c>
      <c r="Q7397">
        <v>-7.566117E-2</v>
      </c>
      <c r="R7397">
        <v>0.99627869999999996</v>
      </c>
      <c r="S7397">
        <v>0.16464229999999899</v>
      </c>
      <c r="T7397">
        <v>-0.12392060000000001</v>
      </c>
      <c r="U7397">
        <v>2.9954679999999998</v>
      </c>
      <c r="V7397">
        <v>3.1555949999999999E-2</v>
      </c>
      <c r="W7397">
        <v>-6.2019339999999999E-2</v>
      </c>
      <c r="X7397">
        <v>0.99757600000000002</v>
      </c>
      <c r="Y7397">
        <v>4.5181239999999998E-2</v>
      </c>
      <c r="Z7397">
        <v>-2.756581E-2</v>
      </c>
      <c r="AA7397">
        <v>0.9985984</v>
      </c>
      <c r="AB7397">
        <v>22</v>
      </c>
      <c r="AC7397">
        <v>1.48609999999999</v>
      </c>
      <c r="AD7397">
        <v>-1.120669583317</v>
      </c>
      <c r="AE7397">
        <v>26.864299999999901</v>
      </c>
      <c r="AF7397">
        <v>1.2240259889790199</v>
      </c>
      <c r="AG7397">
        <v>-1.120669583317</v>
      </c>
      <c r="AH7397">
        <v>26.830870075068098</v>
      </c>
      <c r="AI7397">
        <v>92.389253161824996</v>
      </c>
      <c r="AJ7397">
        <v>87.387973952989697</v>
      </c>
      <c r="AK7397">
        <v>26.882145169644801</v>
      </c>
      <c r="AL7397">
        <v>93.555728284277905</v>
      </c>
      <c r="AM7397">
        <v>88.188188102428299</v>
      </c>
      <c r="AN7397">
        <v>1.00000002614521</v>
      </c>
    </row>
    <row r="7398" spans="1:40" x14ac:dyDescent="0.25">
      <c r="A7398" t="str">
        <f>"20190303154708557"</f>
        <v>20190303154708557</v>
      </c>
      <c r="B7398" t="str">
        <f>"1551599228548975"</f>
        <v>1551599228548975</v>
      </c>
      <c r="C7398" t="s">
        <v>40</v>
      </c>
      <c r="D7398">
        <v>5.0892939999999998</v>
      </c>
      <c r="E7398">
        <v>0.50433640000000002</v>
      </c>
      <c r="F7398" t="s">
        <v>61</v>
      </c>
      <c r="G7398">
        <v>-186.52269999999999</v>
      </c>
      <c r="H7398" s="1">
        <v>-5.7081399999999999E-6</v>
      </c>
      <c r="I7398">
        <v>131.67080000000001</v>
      </c>
      <c r="J7398">
        <v>-188.03870000000001</v>
      </c>
      <c r="K7398">
        <v>1.120662</v>
      </c>
      <c r="L7398">
        <v>104.6357</v>
      </c>
      <c r="M7398">
        <v>1.0459130000000001E-2</v>
      </c>
      <c r="N7398">
        <v>-1.371501E-2</v>
      </c>
      <c r="O7398">
        <v>0.99985119999999905</v>
      </c>
      <c r="P7398">
        <v>4.4119419999999999E-2</v>
      </c>
      <c r="Q7398">
        <v>-7.5139230000000001E-2</v>
      </c>
      <c r="R7398">
        <v>0.99619659999999999</v>
      </c>
      <c r="S7398">
        <v>0.16694639999999999</v>
      </c>
      <c r="T7398">
        <v>-0.1231744</v>
      </c>
      <c r="U7398">
        <v>2.9949340000000002</v>
      </c>
      <c r="V7398">
        <v>3.3612059999999999E-2</v>
      </c>
      <c r="W7398">
        <v>-6.1510059999999998E-2</v>
      </c>
      <c r="X7398">
        <v>0.99754039999999999</v>
      </c>
      <c r="Y7398">
        <v>4.5171830000000003E-2</v>
      </c>
      <c r="Z7398">
        <v>-2.7333409999999999E-2</v>
      </c>
      <c r="AA7398">
        <v>0.99860530000000003</v>
      </c>
      <c r="AB7398">
        <v>22</v>
      </c>
      <c r="AC7398">
        <v>1.51600000000001</v>
      </c>
      <c r="AD7398">
        <v>-1.1206677081400001</v>
      </c>
      <c r="AE7398">
        <v>27.0351</v>
      </c>
      <c r="AF7398">
        <v>1.2310182047034699</v>
      </c>
      <c r="AG7398">
        <v>-1.1206677081400001</v>
      </c>
      <c r="AH7398">
        <v>27.003224417923999</v>
      </c>
      <c r="AI7398">
        <v>92.374020215031706</v>
      </c>
      <c r="AJ7398">
        <v>87.389817369795097</v>
      </c>
      <c r="AK7398">
        <v>27.054490032102802</v>
      </c>
      <c r="AL7398">
        <v>93.526492774271702</v>
      </c>
      <c r="AM7398">
        <v>88.070152501497901</v>
      </c>
      <c r="AN7398">
        <v>1.0000000538453999</v>
      </c>
    </row>
    <row r="7399" spans="1:40" x14ac:dyDescent="0.25">
      <c r="A7399" t="str">
        <f>"20190303154708582"</f>
        <v>20190303154708582</v>
      </c>
      <c r="B7399" t="str">
        <f>"1551599228579231"</f>
        <v>1551599228579231</v>
      </c>
      <c r="C7399" t="s">
        <v>40</v>
      </c>
      <c r="D7399">
        <v>5.1415839999999999</v>
      </c>
      <c r="E7399">
        <v>0.50299559999999999</v>
      </c>
      <c r="F7399" t="s">
        <v>61</v>
      </c>
      <c r="G7399">
        <v>-186.61330000000001</v>
      </c>
      <c r="H7399" s="1">
        <v>-5.2468939999999999E-6</v>
      </c>
      <c r="I7399">
        <v>130.24529999999999</v>
      </c>
      <c r="J7399">
        <v>-188.03530000000001</v>
      </c>
      <c r="K7399">
        <v>1.1206750000000001</v>
      </c>
      <c r="L7399">
        <v>104.8687</v>
      </c>
      <c r="M7399">
        <v>1.130103E-2</v>
      </c>
      <c r="N7399">
        <v>-1.37056E-2</v>
      </c>
      <c r="O7399">
        <v>0.99984220000000001</v>
      </c>
      <c r="P7399">
        <v>4.6493430000000002E-2</v>
      </c>
      <c r="Q7399">
        <v>-7.5714050000000005E-2</v>
      </c>
      <c r="R7399">
        <v>0.99604510000000002</v>
      </c>
      <c r="S7399">
        <v>0.16665650000000001</v>
      </c>
      <c r="T7399">
        <v>-0.13102559999999999</v>
      </c>
      <c r="U7399">
        <v>2.994202</v>
      </c>
      <c r="V7399">
        <v>3.5150140000000003E-2</v>
      </c>
      <c r="W7399">
        <v>-6.2096239999999997E-2</v>
      </c>
      <c r="X7399">
        <v>0.99745099999999998</v>
      </c>
      <c r="Y7399">
        <v>4.4243209999999998E-2</v>
      </c>
      <c r="Z7399">
        <v>-2.9966309999999999E-2</v>
      </c>
      <c r="AA7399">
        <v>0.99857130000000005</v>
      </c>
      <c r="AB7399">
        <v>22</v>
      </c>
      <c r="AC7399">
        <v>1.4219999999999899</v>
      </c>
      <c r="AD7399">
        <v>-1.120680246894</v>
      </c>
      <c r="AE7399">
        <v>25.3765999999999</v>
      </c>
      <c r="AF7399">
        <v>1.13289796637957</v>
      </c>
      <c r="AG7399">
        <v>-1.120680246894</v>
      </c>
      <c r="AH7399">
        <v>25.341781933936701</v>
      </c>
      <c r="AI7399">
        <v>92.529597110634199</v>
      </c>
      <c r="AJ7399">
        <v>87.440310919481007</v>
      </c>
      <c r="AK7399">
        <v>25.391835176001099</v>
      </c>
      <c r="AL7399">
        <v>93.560142980148896</v>
      </c>
      <c r="AM7399">
        <v>87.981733827658701</v>
      </c>
      <c r="AN7399">
        <v>0.99999998638257803</v>
      </c>
    </row>
    <row r="7400" spans="1:40" x14ac:dyDescent="0.25">
      <c r="A7400" t="str">
        <f>"20190303154708603"</f>
        <v>20190303154708603</v>
      </c>
      <c r="B7400" t="str">
        <f>"1551599228598750"</f>
        <v>1551599228598750</v>
      </c>
      <c r="C7400" t="s">
        <v>40</v>
      </c>
      <c r="D7400">
        <v>5.1487669999999897</v>
      </c>
      <c r="E7400">
        <v>0.50229899999999905</v>
      </c>
      <c r="F7400" t="s">
        <v>61</v>
      </c>
      <c r="G7400">
        <v>-186.7747</v>
      </c>
      <c r="H7400" s="1">
        <v>-4.3701979999999996E-6</v>
      </c>
      <c r="I7400">
        <v>128.03819999999999</v>
      </c>
      <c r="J7400">
        <v>-188.03190000000001</v>
      </c>
      <c r="K7400">
        <v>1.1207</v>
      </c>
      <c r="L7400">
        <v>105.0859</v>
      </c>
      <c r="M7400">
        <v>1.20362E-2</v>
      </c>
      <c r="N7400">
        <v>-1.3697559999999999E-2</v>
      </c>
      <c r="O7400">
        <v>0.99983379999999999</v>
      </c>
      <c r="P7400">
        <v>4.8728689999999998E-2</v>
      </c>
      <c r="Q7400">
        <v>-7.7710139999999997E-2</v>
      </c>
      <c r="R7400">
        <v>0.99578449999999996</v>
      </c>
      <c r="S7400">
        <v>0.1628571</v>
      </c>
      <c r="T7400">
        <v>-0.144782299999999</v>
      </c>
      <c r="U7400">
        <v>2.9933010000000002</v>
      </c>
      <c r="V7400">
        <v>3.6658339999999998E-2</v>
      </c>
      <c r="W7400">
        <v>-6.4101939999999996E-2</v>
      </c>
      <c r="X7400">
        <v>0.99726979999999998</v>
      </c>
      <c r="Y7400">
        <v>4.2252930000000001E-2</v>
      </c>
      <c r="Z7400">
        <v>-3.456824E-2</v>
      </c>
      <c r="AA7400">
        <v>0.99850879999999997</v>
      </c>
      <c r="AB7400">
        <v>22</v>
      </c>
      <c r="AC7400">
        <v>1.2572000000000101</v>
      </c>
      <c r="AD7400">
        <v>-1.120704370198</v>
      </c>
      <c r="AE7400">
        <v>22.952299999999902</v>
      </c>
      <c r="AF7400">
        <v>0.97849864927686203</v>
      </c>
      <c r="AG7400">
        <v>-1.120704370198</v>
      </c>
      <c r="AH7400">
        <v>22.911310286005001</v>
      </c>
      <c r="AI7400">
        <v>92.797838698529901</v>
      </c>
      <c r="AJ7400">
        <v>87.554491954670198</v>
      </c>
      <c r="AK7400">
        <v>22.959563953037499</v>
      </c>
      <c r="AL7400">
        <v>93.675290652897303</v>
      </c>
      <c r="AM7400">
        <v>87.894829538610196</v>
      </c>
      <c r="AN7400">
        <v>0.99999997329767898</v>
      </c>
    </row>
    <row r="7401" spans="1:40" x14ac:dyDescent="0.25">
      <c r="A7401" t="str">
        <f>"20190303154708625"</f>
        <v>20190303154708625</v>
      </c>
      <c r="B7401" t="str">
        <f>"1551599228619247"</f>
        <v>1551599228619247</v>
      </c>
      <c r="C7401" t="s">
        <v>40</v>
      </c>
      <c r="D7401">
        <v>5.1781920000000001</v>
      </c>
      <c r="E7401">
        <v>0.50185139999999995</v>
      </c>
      <c r="F7401" t="s">
        <v>61</v>
      </c>
      <c r="G7401">
        <v>-186.87540000000001</v>
      </c>
      <c r="H7401" s="1">
        <v>-3.5858550000000001E-6</v>
      </c>
      <c r="I7401">
        <v>126.1939</v>
      </c>
      <c r="J7401">
        <v>-188.02869999999999</v>
      </c>
      <c r="K7401">
        <v>1.1207309999999999</v>
      </c>
      <c r="L7401">
        <v>105.2929</v>
      </c>
      <c r="M7401">
        <v>1.268844E-2</v>
      </c>
      <c r="N7401">
        <v>-1.369045E-2</v>
      </c>
      <c r="O7401">
        <v>0.99982579999999999</v>
      </c>
      <c r="P7401">
        <v>5.063368E-2</v>
      </c>
      <c r="Q7401">
        <v>-7.9522860000000001E-2</v>
      </c>
      <c r="R7401">
        <v>0.9955463</v>
      </c>
      <c r="S7401">
        <v>0.16395570000000001</v>
      </c>
      <c r="T7401">
        <v>-0.1588715</v>
      </c>
      <c r="U7401">
        <v>2.9922789999999999</v>
      </c>
      <c r="V7401">
        <v>3.7920830000000003E-2</v>
      </c>
      <c r="W7401">
        <v>-6.5921809999999997E-2</v>
      </c>
      <c r="X7401">
        <v>0.99710399999999999</v>
      </c>
      <c r="Y7401">
        <v>4.197443E-2</v>
      </c>
      <c r="Z7401">
        <v>-3.9278349999999997E-2</v>
      </c>
      <c r="AA7401">
        <v>0.99834630000000002</v>
      </c>
      <c r="AB7401">
        <v>22</v>
      </c>
      <c r="AC7401">
        <v>1.15329999999997</v>
      </c>
      <c r="AD7401">
        <v>-1.120734585855</v>
      </c>
      <c r="AE7401">
        <v>20.901</v>
      </c>
      <c r="AF7401">
        <v>0.88544308876853095</v>
      </c>
      <c r="AG7401">
        <v>-1.120734585855</v>
      </c>
      <c r="AH7401">
        <v>20.854173697713101</v>
      </c>
      <c r="AI7401">
        <v>93.073438174265306</v>
      </c>
      <c r="AJ7401">
        <v>87.568750511558505</v>
      </c>
      <c r="AK7401">
        <v>20.903028873581199</v>
      </c>
      <c r="AL7401">
        <v>93.779782377398405</v>
      </c>
      <c r="AM7401">
        <v>87.822035692474003</v>
      </c>
      <c r="AN7401">
        <v>1.00000003059878</v>
      </c>
    </row>
    <row r="7402" spans="1:40" x14ac:dyDescent="0.25">
      <c r="A7402" t="str">
        <f>"20190303154708647"</f>
        <v>20190303154708647</v>
      </c>
      <c r="B7402" t="str">
        <f>"1551599228638767"</f>
        <v>1551599228638767</v>
      </c>
      <c r="C7402" t="s">
        <v>40</v>
      </c>
      <c r="D7402">
        <v>5.2110310000000002</v>
      </c>
      <c r="E7402">
        <v>0.50091109999999905</v>
      </c>
      <c r="F7402" t="s">
        <v>61</v>
      </c>
      <c r="G7402">
        <v>-186.94380000000001</v>
      </c>
      <c r="H7402" s="1">
        <v>-3.228963E-6</v>
      </c>
      <c r="I7402">
        <v>124.8793</v>
      </c>
      <c r="J7402">
        <v>-188.02500000000001</v>
      </c>
      <c r="K7402">
        <v>1.1207910000000001</v>
      </c>
      <c r="L7402">
        <v>105.5201</v>
      </c>
      <c r="M7402">
        <v>1.332655E-2</v>
      </c>
      <c r="N7402">
        <v>-1.3683310000000001E-2</v>
      </c>
      <c r="O7402">
        <v>0.99981759999999997</v>
      </c>
      <c r="P7402">
        <v>5.1598449999999997E-2</v>
      </c>
      <c r="Q7402">
        <v>-7.938183E-2</v>
      </c>
      <c r="R7402">
        <v>0.99550799999999995</v>
      </c>
      <c r="S7402">
        <v>0.16567989999999999</v>
      </c>
      <c r="T7402">
        <v>-0.17116429999999999</v>
      </c>
      <c r="U7402">
        <v>2.991333</v>
      </c>
      <c r="V7402">
        <v>3.8259979999999999E-2</v>
      </c>
      <c r="W7402">
        <v>-6.5782770000000004E-2</v>
      </c>
      <c r="X7402">
        <v>0.99710019999999999</v>
      </c>
      <c r="Y7402">
        <v>4.1917200000000002E-2</v>
      </c>
      <c r="Z7402">
        <v>-4.338906E-2</v>
      </c>
      <c r="AA7402">
        <v>0.99817849999999997</v>
      </c>
      <c r="AB7402">
        <v>22</v>
      </c>
      <c r="AC7402">
        <v>1.0811999999999899</v>
      </c>
      <c r="AD7402">
        <v>-1.120794228963</v>
      </c>
      <c r="AE7402">
        <v>19.359200000000001</v>
      </c>
      <c r="AF7402">
        <v>0.82034739130120204</v>
      </c>
      <c r="AG7402">
        <v>-1.120794228963</v>
      </c>
      <c r="AH7402">
        <v>19.3073774771077</v>
      </c>
      <c r="AI7402">
        <v>93.319306271505695</v>
      </c>
      <c r="AJ7402">
        <v>87.567034185299804</v>
      </c>
      <c r="AK7402">
        <v>19.3572718787957</v>
      </c>
      <c r="AL7402">
        <v>93.771798743780806</v>
      </c>
      <c r="AM7402">
        <v>87.802567422838493</v>
      </c>
      <c r="AN7402">
        <v>1.00000000386925</v>
      </c>
    </row>
    <row r="7403" spans="1:40" x14ac:dyDescent="0.25">
      <c r="A7403" t="str">
        <f>"20190303154708669"</f>
        <v>20190303154708669</v>
      </c>
      <c r="B7403" t="str">
        <f>"1551599228659262"</f>
        <v>1551599228659262</v>
      </c>
      <c r="C7403" t="s">
        <v>40</v>
      </c>
      <c r="D7403">
        <v>5.1978160000000004</v>
      </c>
      <c r="E7403">
        <v>0.50036259999999999</v>
      </c>
      <c r="F7403" t="s">
        <v>61</v>
      </c>
      <c r="G7403">
        <v>-187.0326</v>
      </c>
      <c r="H7403" s="1">
        <v>-2.7756280000000001E-6</v>
      </c>
      <c r="I7403">
        <v>123.9365</v>
      </c>
      <c r="J7403">
        <v>-188.0215</v>
      </c>
      <c r="K7403">
        <v>1.1208579999999999</v>
      </c>
      <c r="L7403">
        <v>105.73180000000001</v>
      </c>
      <c r="M7403">
        <v>1.3834819999999999E-2</v>
      </c>
      <c r="N7403">
        <v>-1.3677109999999999E-2</v>
      </c>
      <c r="O7403">
        <v>0.9998108</v>
      </c>
      <c r="P7403">
        <v>5.2203109999999997E-2</v>
      </c>
      <c r="Q7403">
        <v>-7.6780210000000002E-2</v>
      </c>
      <c r="R7403">
        <v>0.99568049999999997</v>
      </c>
      <c r="S7403">
        <v>0.16116329999999901</v>
      </c>
      <c r="T7403">
        <v>-0.18200769999999999</v>
      </c>
      <c r="U7403">
        <v>2.9906619999999999</v>
      </c>
      <c r="V7403">
        <v>3.8368380000000001E-2</v>
      </c>
      <c r="W7403">
        <v>-6.3178860000000003E-2</v>
      </c>
      <c r="X7403">
        <v>0.99726440000000005</v>
      </c>
      <c r="Y7403">
        <v>3.9909729999999997E-2</v>
      </c>
      <c r="Z7403">
        <v>-4.7017059999999999E-2</v>
      </c>
      <c r="AA7403">
        <v>0.99809650000000005</v>
      </c>
      <c r="AB7403">
        <v>22</v>
      </c>
      <c r="AC7403">
        <v>0.988900000000001</v>
      </c>
      <c r="AD7403">
        <v>-1.120860775628</v>
      </c>
      <c r="AE7403">
        <v>18.2046999999999</v>
      </c>
      <c r="AF7403">
        <v>0.73414818830876305</v>
      </c>
      <c r="AG7403">
        <v>-1.120860775628</v>
      </c>
      <c r="AH7403">
        <v>18.148045849167399</v>
      </c>
      <c r="AI7403">
        <v>93.531335404362196</v>
      </c>
      <c r="AJ7403">
        <v>87.683460228850507</v>
      </c>
      <c r="AK7403">
        <v>18.197441319708101</v>
      </c>
      <c r="AL7403">
        <v>93.622294564292304</v>
      </c>
      <c r="AM7403">
        <v>87.796710155982296</v>
      </c>
      <c r="AN7403">
        <v>0.99999999222104197</v>
      </c>
    </row>
    <row r="7404" spans="1:40" x14ac:dyDescent="0.25">
      <c r="A7404" t="str">
        <f>"20190303154708694"</f>
        <v>20190303154708694</v>
      </c>
      <c r="B7404" t="str">
        <f>"1551599228689518"</f>
        <v>1551599228689518</v>
      </c>
      <c r="C7404" t="s">
        <v>40</v>
      </c>
      <c r="D7404">
        <v>5.2931939999999997</v>
      </c>
      <c r="E7404">
        <v>0.49924839999999998</v>
      </c>
      <c r="F7404" t="s">
        <v>61</v>
      </c>
      <c r="G7404">
        <v>-187.0359</v>
      </c>
      <c r="H7404" s="1">
        <v>-2.986027E-6</v>
      </c>
      <c r="I7404">
        <v>124.3211</v>
      </c>
      <c r="J7404">
        <v>-188.01750000000001</v>
      </c>
      <c r="K7404">
        <v>1.12094</v>
      </c>
      <c r="L7404">
        <v>105.97369999999999</v>
      </c>
      <c r="M7404">
        <v>1.43129E-2</v>
      </c>
      <c r="N7404">
        <v>-1.36706E-2</v>
      </c>
      <c r="O7404">
        <v>0.99980409999999997</v>
      </c>
      <c r="P7404">
        <v>5.3835229999999998E-2</v>
      </c>
      <c r="Q7404">
        <v>-7.4583559999999993E-2</v>
      </c>
      <c r="R7404">
        <v>0.9957606</v>
      </c>
      <c r="S7404">
        <v>0.1585693</v>
      </c>
      <c r="T7404">
        <v>-0.18033170000000001</v>
      </c>
      <c r="U7404">
        <v>2.9907840000000001</v>
      </c>
      <c r="V7404">
        <v>3.9535929999999997E-2</v>
      </c>
      <c r="W7404">
        <v>-6.0980880000000001E-2</v>
      </c>
      <c r="X7404">
        <v>0.99735560000000001</v>
      </c>
      <c r="Y7404">
        <v>3.8568709999999999E-2</v>
      </c>
      <c r="Z7404">
        <v>-4.6466540000000001E-2</v>
      </c>
      <c r="AA7404">
        <v>0.99817500000000003</v>
      </c>
      <c r="AB7404">
        <v>22</v>
      </c>
      <c r="AC7404">
        <v>0.98160000000001402</v>
      </c>
      <c r="AD7404">
        <v>-1.1209429860269999</v>
      </c>
      <c r="AE7404">
        <v>18.3474</v>
      </c>
      <c r="AF7404">
        <v>0.71620466995314702</v>
      </c>
      <c r="AG7404">
        <v>-1.1209429860269999</v>
      </c>
      <c r="AH7404">
        <v>18.291490118790801</v>
      </c>
      <c r="AI7404">
        <v>93.504148142182103</v>
      </c>
      <c r="AJ7404">
        <v>87.757724872293394</v>
      </c>
      <c r="AK7404">
        <v>18.339794793645002</v>
      </c>
      <c r="AL7404">
        <v>93.496116245014093</v>
      </c>
      <c r="AM7404">
        <v>87.729940535005497</v>
      </c>
      <c r="AN7404">
        <v>0.99999997516894901</v>
      </c>
    </row>
    <row r="7405" spans="1:40" x14ac:dyDescent="0.25">
      <c r="A7405" t="str">
        <f>"20190303154708716"</f>
        <v>20190303154708716</v>
      </c>
      <c r="B7405" t="str">
        <f>"1551599228709039"</f>
        <v>1551599228709039</v>
      </c>
      <c r="C7405" t="s">
        <v>40</v>
      </c>
      <c r="D7405">
        <v>5.1932729999999996</v>
      </c>
      <c r="E7405">
        <v>0.49880600000000003</v>
      </c>
      <c r="F7405" t="s">
        <v>61</v>
      </c>
      <c r="G7405">
        <v>-187.0856</v>
      </c>
      <c r="H7405" s="1">
        <v>-2.7826470000000001E-6</v>
      </c>
      <c r="I7405">
        <v>123.9628</v>
      </c>
      <c r="J7405">
        <v>-188.0138</v>
      </c>
      <c r="K7405">
        <v>1.1210009999999999</v>
      </c>
      <c r="L7405">
        <v>106.19459999999999</v>
      </c>
      <c r="M7405">
        <v>1.467132E-2</v>
      </c>
      <c r="N7405">
        <v>-1.3665099999999999E-2</v>
      </c>
      <c r="O7405">
        <v>0.99979899999999999</v>
      </c>
      <c r="P7405">
        <v>5.5514929999999997E-2</v>
      </c>
      <c r="Q7405">
        <v>-7.4343409999999999E-2</v>
      </c>
      <c r="R7405">
        <v>0.99568630000000002</v>
      </c>
      <c r="S7405">
        <v>0.15490719999999999</v>
      </c>
      <c r="T7405">
        <v>-0.18634139999999999</v>
      </c>
      <c r="U7405">
        <v>2.9904329999999999</v>
      </c>
      <c r="V7405">
        <v>4.0868300000000003E-2</v>
      </c>
      <c r="W7405">
        <v>-6.0741690000000001E-2</v>
      </c>
      <c r="X7405">
        <v>0.99731650000000005</v>
      </c>
      <c r="Y7405">
        <v>3.6992949999999997E-2</v>
      </c>
      <c r="Z7405">
        <v>-4.8479809999999998E-2</v>
      </c>
      <c r="AA7405">
        <v>0.99813890000000005</v>
      </c>
      <c r="AB7405">
        <v>22</v>
      </c>
      <c r="AC7405">
        <v>0.92820000000000402</v>
      </c>
      <c r="AD7405">
        <v>-1.1210037826469901</v>
      </c>
      <c r="AE7405">
        <v>17.7682</v>
      </c>
      <c r="AF7405">
        <v>0.66475400262256101</v>
      </c>
      <c r="AG7405">
        <v>-1.1210037826469901</v>
      </c>
      <c r="AH7405">
        <v>17.709606881649101</v>
      </c>
      <c r="AI7405">
        <v>93.619402028263593</v>
      </c>
      <c r="AJ7405">
        <v>87.850334796501699</v>
      </c>
      <c r="AK7405">
        <v>17.757497663445299</v>
      </c>
      <c r="AL7405">
        <v>93.482386177069998</v>
      </c>
      <c r="AM7405">
        <v>87.653431233091794</v>
      </c>
      <c r="AN7405">
        <v>0.99999998601059703</v>
      </c>
    </row>
    <row r="7406" spans="1:40" x14ac:dyDescent="0.25">
      <c r="A7406" t="str">
        <f>"20190303154708735"</f>
        <v>20190303154708735</v>
      </c>
      <c r="B7406" t="str">
        <f>"1551599228729535"</f>
        <v>1551599228729535</v>
      </c>
      <c r="C7406" t="s">
        <v>40</v>
      </c>
      <c r="D7406">
        <v>5.236999</v>
      </c>
      <c r="E7406">
        <v>0.4982589</v>
      </c>
      <c r="F7406" t="s">
        <v>61</v>
      </c>
      <c r="G7406">
        <v>-187.0804</v>
      </c>
      <c r="H7406" s="1">
        <v>-2.810383E-6</v>
      </c>
      <c r="I7406">
        <v>124.012</v>
      </c>
      <c r="J7406">
        <v>-188.01060000000001</v>
      </c>
      <c r="K7406">
        <v>1.121038</v>
      </c>
      <c r="L7406">
        <v>106.3862</v>
      </c>
      <c r="M7406">
        <v>1.493713E-2</v>
      </c>
      <c r="N7406">
        <v>-1.366058E-2</v>
      </c>
      <c r="O7406">
        <v>0.99979510000000005</v>
      </c>
      <c r="P7406">
        <v>5.6141650000000001E-2</v>
      </c>
      <c r="Q7406">
        <v>-7.5604249999999998E-2</v>
      </c>
      <c r="R7406">
        <v>0.9955562</v>
      </c>
      <c r="S7406">
        <v>0.1566467</v>
      </c>
      <c r="T7406">
        <v>-0.18813360000000001</v>
      </c>
      <c r="U7406">
        <v>2.9902190000000002</v>
      </c>
      <c r="V7406">
        <v>4.1236799999999997E-2</v>
      </c>
      <c r="W7406">
        <v>-6.2004990000000003E-2</v>
      </c>
      <c r="X7406">
        <v>0.99722359999999999</v>
      </c>
      <c r="Y7406">
        <v>3.7308180000000003E-2</v>
      </c>
      <c r="Z7406">
        <v>-4.9082819999999999E-2</v>
      </c>
      <c r="AA7406">
        <v>0.99809769999999998</v>
      </c>
      <c r="AB7406">
        <v>22</v>
      </c>
      <c r="AC7406">
        <v>0.93020000000001302</v>
      </c>
      <c r="AD7406">
        <v>-1.1210408103829901</v>
      </c>
      <c r="AE7406">
        <v>17.625799999999899</v>
      </c>
      <c r="AF7406">
        <v>0.664113720957347</v>
      </c>
      <c r="AG7406">
        <v>-1.1210408103829901</v>
      </c>
      <c r="AH7406">
        <v>17.566864070716001</v>
      </c>
      <c r="AI7406">
        <v>93.648816452096199</v>
      </c>
      <c r="AJ7406">
        <v>87.834969229237799</v>
      </c>
      <c r="AK7406">
        <v>17.615121140994699</v>
      </c>
      <c r="AL7406">
        <v>93.554904595951101</v>
      </c>
      <c r="AM7406">
        <v>87.632076417248598</v>
      </c>
      <c r="AN7406">
        <v>1.00000000042805</v>
      </c>
    </row>
    <row r="7407" spans="1:40" x14ac:dyDescent="0.25">
      <c r="A7407" t="str">
        <f>"20190303154708757"</f>
        <v>20190303154708757</v>
      </c>
      <c r="B7407" t="str">
        <f>"1551599228749055"</f>
        <v>1551599228749055</v>
      </c>
      <c r="C7407" t="s">
        <v>40</v>
      </c>
      <c r="D7407">
        <v>5.2576700000000001</v>
      </c>
      <c r="E7407">
        <v>0.49731219999999998</v>
      </c>
      <c r="F7407" t="s">
        <v>61</v>
      </c>
      <c r="G7407">
        <v>-187.1293</v>
      </c>
      <c r="H7407" s="1">
        <v>-2.497883E-6</v>
      </c>
      <c r="I7407">
        <v>123.45440000000001</v>
      </c>
      <c r="J7407">
        <v>-188.00700000000001</v>
      </c>
      <c r="K7407">
        <v>1.121054</v>
      </c>
      <c r="L7407">
        <v>106.60129999999999</v>
      </c>
      <c r="M7407">
        <v>1.520519E-2</v>
      </c>
      <c r="N7407">
        <v>-1.3655799999999999E-2</v>
      </c>
      <c r="O7407">
        <v>0.99979110000000004</v>
      </c>
      <c r="P7407">
        <v>5.5860670000000001E-2</v>
      </c>
      <c r="Q7407">
        <v>-7.7566140000000006E-2</v>
      </c>
      <c r="R7407">
        <v>0.99542109999999995</v>
      </c>
      <c r="S7407">
        <v>0.15437319999999999</v>
      </c>
      <c r="T7407">
        <v>-0.19636890000000001</v>
      </c>
      <c r="U7407">
        <v>2.9897770000000001</v>
      </c>
      <c r="V7407">
        <v>4.0693489999999999E-2</v>
      </c>
      <c r="W7407">
        <v>-6.3970700000000005E-2</v>
      </c>
      <c r="X7407">
        <v>0.99712179999999995</v>
      </c>
      <c r="Y7407">
        <v>3.628369E-2</v>
      </c>
      <c r="Z7407">
        <v>-5.1835369999999999E-2</v>
      </c>
      <c r="AA7407">
        <v>0.99799629999999995</v>
      </c>
      <c r="AB7407">
        <v>22</v>
      </c>
      <c r="AC7407">
        <v>0.87770000000000403</v>
      </c>
      <c r="AD7407">
        <v>-1.121056497883</v>
      </c>
      <c r="AE7407">
        <v>16.853100000000001</v>
      </c>
      <c r="AF7407">
        <v>0.61859027433320801</v>
      </c>
      <c r="AG7407">
        <v>-1.121056497883</v>
      </c>
      <c r="AH7407">
        <v>16.7904046422851</v>
      </c>
      <c r="AI7407">
        <v>93.817255193289597</v>
      </c>
      <c r="AJ7407">
        <v>87.890069354839895</v>
      </c>
      <c r="AK7407">
        <v>16.839154065766301</v>
      </c>
      <c r="AL7407">
        <v>93.667755417757405</v>
      </c>
      <c r="AM7407">
        <v>87.663001561994903</v>
      </c>
      <c r="AN7407">
        <v>1.00000004731105</v>
      </c>
    </row>
    <row r="7408" spans="1:40" x14ac:dyDescent="0.25">
      <c r="A7408" t="str">
        <f>"20190303154708781"</f>
        <v>20190303154708781</v>
      </c>
      <c r="B7408" t="str">
        <f>"1551599228769550"</f>
        <v>1551599228769550</v>
      </c>
      <c r="C7408" t="s">
        <v>40</v>
      </c>
      <c r="D7408">
        <v>5.2393929999999997</v>
      </c>
      <c r="E7408">
        <v>0.49677939999999998</v>
      </c>
      <c r="F7408" t="s">
        <v>61</v>
      </c>
      <c r="G7408">
        <v>-187.23070000000001</v>
      </c>
      <c r="H7408" s="1">
        <v>-1.9620629999999999E-6</v>
      </c>
      <c r="I7408">
        <v>122.50279999999999</v>
      </c>
      <c r="J7408">
        <v>-188.00319999999999</v>
      </c>
      <c r="K7408">
        <v>1.121062</v>
      </c>
      <c r="L7408">
        <v>106.8275</v>
      </c>
      <c r="M7408">
        <v>1.547023E-2</v>
      </c>
      <c r="N7408">
        <v>-1.3651109999999999E-2</v>
      </c>
      <c r="O7408">
        <v>0.99978719999999999</v>
      </c>
      <c r="P7408">
        <v>5.5615289999999998E-2</v>
      </c>
      <c r="Q7408">
        <v>-7.8552430000000006E-2</v>
      </c>
      <c r="R7408">
        <v>0.99535750000000001</v>
      </c>
      <c r="S7408">
        <v>0.14591979999999999</v>
      </c>
      <c r="T7408">
        <v>-0.21073749999999999</v>
      </c>
      <c r="U7408">
        <v>2.989182</v>
      </c>
      <c r="V7408">
        <v>4.0185730000000003E-2</v>
      </c>
      <c r="W7408">
        <v>-6.496151E-2</v>
      </c>
      <c r="X7408">
        <v>0.99707829999999997</v>
      </c>
      <c r="Y7408">
        <v>3.3201469999999997E-2</v>
      </c>
      <c r="Z7408">
        <v>-5.663315E-2</v>
      </c>
      <c r="AA7408">
        <v>0.99784280000000003</v>
      </c>
      <c r="AB7408">
        <v>22</v>
      </c>
      <c r="AC7408">
        <v>0.77249999999997898</v>
      </c>
      <c r="AD7408">
        <v>-1.1210639620630001</v>
      </c>
      <c r="AE7408">
        <v>15.675299999999901</v>
      </c>
      <c r="AF7408">
        <v>0.52719449337346203</v>
      </c>
      <c r="AG7408">
        <v>-1.1210639620630001</v>
      </c>
      <c r="AH7408">
        <v>15.605748663252999</v>
      </c>
      <c r="AI7408">
        <v>94.106541323944498</v>
      </c>
      <c r="AJ7408">
        <v>88.065165772447301</v>
      </c>
      <c r="AK7408">
        <v>15.6548430136333</v>
      </c>
      <c r="AL7408">
        <v>93.724643106794304</v>
      </c>
      <c r="AM7408">
        <v>87.692029553330798</v>
      </c>
      <c r="AN7408">
        <v>1.0000000135039999</v>
      </c>
    </row>
    <row r="7409" spans="1:40" x14ac:dyDescent="0.25">
      <c r="A7409" t="str">
        <f>"20190303154708802"</f>
        <v>20190303154708802</v>
      </c>
      <c r="B7409" t="str">
        <f>"1551599228799807"</f>
        <v>1551599228799807</v>
      </c>
      <c r="C7409" t="s">
        <v>40</v>
      </c>
      <c r="D7409">
        <v>5.3251480000000004</v>
      </c>
      <c r="E7409">
        <v>0.4956894</v>
      </c>
      <c r="F7409" t="s">
        <v>61</v>
      </c>
      <c r="G7409">
        <v>-187.27760000000001</v>
      </c>
      <c r="H7409" s="1">
        <v>-1.7867730000000001E-6</v>
      </c>
      <c r="I7409">
        <v>122.1949</v>
      </c>
      <c r="J7409">
        <v>-187.99959999999999</v>
      </c>
      <c r="K7409">
        <v>1.1210659999999999</v>
      </c>
      <c r="L7409">
        <v>107.0352</v>
      </c>
      <c r="M7409">
        <v>1.571463E-2</v>
      </c>
      <c r="N7409">
        <v>-1.364716E-2</v>
      </c>
      <c r="O7409">
        <v>0.99978339999999999</v>
      </c>
      <c r="P7409">
        <v>5.6480750000000003E-2</v>
      </c>
      <c r="Q7409">
        <v>-7.8160660000000007E-2</v>
      </c>
      <c r="R7409">
        <v>0.99533959999999999</v>
      </c>
      <c r="S7409">
        <v>0.141113299999999</v>
      </c>
      <c r="T7409">
        <v>-0.21804319999999999</v>
      </c>
      <c r="U7409">
        <v>2.9889070000000002</v>
      </c>
      <c r="V7409">
        <v>4.0807320000000001E-2</v>
      </c>
      <c r="W7409">
        <v>-6.4574320000000004E-2</v>
      </c>
      <c r="X7409">
        <v>0.99707820000000003</v>
      </c>
      <c r="Y7409">
        <v>3.1354479999999997E-2</v>
      </c>
      <c r="Z7409">
        <v>-5.9073130000000001E-2</v>
      </c>
      <c r="AA7409">
        <v>0.99776109999999896</v>
      </c>
      <c r="AB7409">
        <v>22</v>
      </c>
      <c r="AC7409">
        <v>0.72199999999997999</v>
      </c>
      <c r="AD7409">
        <v>-1.1210677867729999</v>
      </c>
      <c r="AE7409">
        <v>15.159700000000001</v>
      </c>
      <c r="AF7409">
        <v>0.48103489742494099</v>
      </c>
      <c r="AG7409">
        <v>-1.1210677867729999</v>
      </c>
      <c r="AH7409">
        <v>15.0868562409417</v>
      </c>
      <c r="AI7409">
        <v>94.247549898605996</v>
      </c>
      <c r="AJ7409">
        <v>88.1737788868205</v>
      </c>
      <c r="AK7409">
        <v>15.136096550627601</v>
      </c>
      <c r="AL7409">
        <v>93.702412095195299</v>
      </c>
      <c r="AM7409">
        <v>87.656369300898405</v>
      </c>
      <c r="AN7409">
        <v>1.0000000085421401</v>
      </c>
    </row>
    <row r="7410" spans="1:40" x14ac:dyDescent="0.25">
      <c r="A7410" t="str">
        <f>"20190303154708826"</f>
        <v>20190303154708826</v>
      </c>
      <c r="B7410" t="str">
        <f>"1551599228819326"</f>
        <v>1551599228819326</v>
      </c>
      <c r="C7410" t="s">
        <v>40</v>
      </c>
      <c r="D7410">
        <v>5.2893470000000002</v>
      </c>
      <c r="E7410">
        <v>0.49508849999999999</v>
      </c>
      <c r="F7410" t="s">
        <v>61</v>
      </c>
      <c r="G7410">
        <v>-187.33099999999999</v>
      </c>
      <c r="H7410" s="1">
        <v>-1.576437E-6</v>
      </c>
      <c r="I7410">
        <v>121.8248</v>
      </c>
      <c r="J7410">
        <v>-187.99539999999999</v>
      </c>
      <c r="K7410">
        <v>1.1210599999999999</v>
      </c>
      <c r="L7410">
        <v>107.2739</v>
      </c>
      <c r="M7410">
        <v>1.6014420000000001E-2</v>
      </c>
      <c r="N7410">
        <v>-1.364303E-2</v>
      </c>
      <c r="O7410">
        <v>0.99977870000000002</v>
      </c>
      <c r="P7410">
        <v>5.7984649999999999E-2</v>
      </c>
      <c r="Q7410">
        <v>-7.7419619999999995E-2</v>
      </c>
      <c r="R7410">
        <v>0.99531099999999995</v>
      </c>
      <c r="S7410">
        <v>0.1351166</v>
      </c>
      <c r="T7410">
        <v>-0.22653909999999999</v>
      </c>
      <c r="U7410">
        <v>2.9885860000000002</v>
      </c>
      <c r="V7410">
        <v>4.2011529999999998E-2</v>
      </c>
      <c r="W7410">
        <v>-6.3838809999999996E-2</v>
      </c>
      <c r="X7410">
        <v>0.99707559999999995</v>
      </c>
      <c r="Y7410">
        <v>2.9055000000000001E-2</v>
      </c>
      <c r="Z7410">
        <v>-6.1909659999999998E-2</v>
      </c>
      <c r="AA7410">
        <v>0.99765879999999996</v>
      </c>
      <c r="AB7410">
        <v>22</v>
      </c>
      <c r="AC7410">
        <v>0.66439999999999999</v>
      </c>
      <c r="AD7410">
        <v>-1.121061576437</v>
      </c>
      <c r="AE7410">
        <v>14.5509</v>
      </c>
      <c r="AF7410">
        <v>0.428729316832689</v>
      </c>
      <c r="AG7410">
        <v>-1.121061576437</v>
      </c>
      <c r="AH7410">
        <v>14.4739389780003</v>
      </c>
      <c r="AI7410">
        <v>94.426999498483895</v>
      </c>
      <c r="AJ7410">
        <v>88.303350591641504</v>
      </c>
      <c r="AK7410">
        <v>14.5236186063995</v>
      </c>
      <c r="AL7410">
        <v>93.660183163854001</v>
      </c>
      <c r="AM7410">
        <v>87.587283838986394</v>
      </c>
      <c r="AN7410">
        <v>1.0000000572152501</v>
      </c>
    </row>
    <row r="7411" spans="1:40" x14ac:dyDescent="0.25">
      <c r="A7411" t="str">
        <f>"20190303154708848"</f>
        <v>20190303154708848</v>
      </c>
      <c r="B7411" t="str">
        <f>"1551599228839823"</f>
        <v>1551599228839823</v>
      </c>
      <c r="C7411" t="s">
        <v>40</v>
      </c>
      <c r="D7411">
        <v>5.3450419999999896</v>
      </c>
      <c r="E7411">
        <v>0.49455929999999998</v>
      </c>
      <c r="F7411" t="s">
        <v>61</v>
      </c>
      <c r="G7411">
        <v>-187.33629999999999</v>
      </c>
      <c r="H7411" s="1">
        <v>-1.6005740000000001E-6</v>
      </c>
      <c r="I7411">
        <v>121.8702</v>
      </c>
      <c r="J7411">
        <v>-187.99170000000001</v>
      </c>
      <c r="K7411">
        <v>1.1210530000000001</v>
      </c>
      <c r="L7411">
        <v>107.48220000000001</v>
      </c>
      <c r="M7411">
        <v>1.6295520000000001E-2</v>
      </c>
      <c r="N7411">
        <v>-1.363964E-2</v>
      </c>
      <c r="O7411">
        <v>0.99977419999999995</v>
      </c>
      <c r="P7411">
        <v>6.0169960000000001E-2</v>
      </c>
      <c r="Q7411">
        <v>-7.7745069999999999E-2</v>
      </c>
      <c r="R7411">
        <v>0.99515589999999998</v>
      </c>
      <c r="S7411">
        <v>0.1349487</v>
      </c>
      <c r="T7411">
        <v>-0.22952500000000001</v>
      </c>
      <c r="U7411">
        <v>2.9884189999999999</v>
      </c>
      <c r="V7411">
        <v>4.3917480000000002E-2</v>
      </c>
      <c r="W7411">
        <v>-6.4170779999999997E-2</v>
      </c>
      <c r="X7411">
        <v>0.99697210000000003</v>
      </c>
      <c r="Y7411">
        <v>2.8717759999999998E-2</v>
      </c>
      <c r="Z7411">
        <v>-6.2907809999999995E-2</v>
      </c>
      <c r="AA7411">
        <v>0.99760610000000005</v>
      </c>
      <c r="AB7411">
        <v>22</v>
      </c>
      <c r="AC7411">
        <v>0.65540000000001397</v>
      </c>
      <c r="AD7411">
        <v>-1.1210546005740001</v>
      </c>
      <c r="AE7411">
        <v>14.3879999999999</v>
      </c>
      <c r="AF7411">
        <v>0.41829703038864002</v>
      </c>
      <c r="AG7411">
        <v>-1.1210546005740001</v>
      </c>
      <c r="AH7411">
        <v>14.3100752071801</v>
      </c>
      <c r="AI7411">
        <v>94.477511175830401</v>
      </c>
      <c r="AJ7411">
        <v>88.325666952373098</v>
      </c>
      <c r="AK7411">
        <v>14.360013518734901</v>
      </c>
      <c r="AL7411">
        <v>93.679242929349201</v>
      </c>
      <c r="AM7411">
        <v>87.477702190955796</v>
      </c>
      <c r="AN7411">
        <v>1.0000000011168799</v>
      </c>
    </row>
    <row r="7412" spans="1:40" x14ac:dyDescent="0.25">
      <c r="A7412" t="str">
        <f>"20190303154708870"</f>
        <v>20190303154708870</v>
      </c>
      <c r="B7412" t="str">
        <f>"1551599228859343"</f>
        <v>1551599228859343</v>
      </c>
      <c r="C7412" t="s">
        <v>40</v>
      </c>
      <c r="D7412">
        <v>5.2986969999999998</v>
      </c>
      <c r="E7412">
        <v>0.49407200000000001</v>
      </c>
      <c r="F7412" t="s">
        <v>61</v>
      </c>
      <c r="G7412">
        <v>-187.33789999999999</v>
      </c>
      <c r="H7412" s="1">
        <v>-1.5202719999999999E-6</v>
      </c>
      <c r="I7412">
        <v>121.72410000000001</v>
      </c>
      <c r="J7412">
        <v>-187.9879</v>
      </c>
      <c r="K7412">
        <v>1.121041</v>
      </c>
      <c r="L7412">
        <v>107.6939</v>
      </c>
      <c r="M7412">
        <v>1.659836E-2</v>
      </c>
      <c r="N7412">
        <v>-1.363635E-2</v>
      </c>
      <c r="O7412">
        <v>0.99976929999999997</v>
      </c>
      <c r="P7412">
        <v>6.2741959999999999E-2</v>
      </c>
      <c r="Q7412">
        <v>-7.9397739999999994E-2</v>
      </c>
      <c r="R7412">
        <v>0.99486649999999999</v>
      </c>
      <c r="S7412">
        <v>0.13717650000000001</v>
      </c>
      <c r="T7412">
        <v>-0.23519709999999999</v>
      </c>
      <c r="U7412">
        <v>2.987946</v>
      </c>
      <c r="V7412">
        <v>4.6190130000000003E-2</v>
      </c>
      <c r="W7412">
        <v>-6.5831689999999998E-2</v>
      </c>
      <c r="X7412">
        <v>0.99676109999999896</v>
      </c>
      <c r="Y7412">
        <v>2.9158139999999999E-2</v>
      </c>
      <c r="Z7412">
        <v>-6.4802250000000006E-2</v>
      </c>
      <c r="AA7412">
        <v>0.99747200000000003</v>
      </c>
      <c r="AB7412">
        <v>22</v>
      </c>
      <c r="AC7412">
        <v>0.65000000000000502</v>
      </c>
      <c r="AD7412">
        <v>-1.121042520272</v>
      </c>
      <c r="AE7412">
        <v>14.030200000000001</v>
      </c>
      <c r="AF7412">
        <v>0.41437066526514099</v>
      </c>
      <c r="AG7412">
        <v>-1.121042520272</v>
      </c>
      <c r="AH7412">
        <v>13.950184682885901</v>
      </c>
      <c r="AI7412">
        <v>94.592422319683493</v>
      </c>
      <c r="AJ7412">
        <v>88.298609513272993</v>
      </c>
      <c r="AK7412">
        <v>14.0012889430621</v>
      </c>
      <c r="AL7412">
        <v>93.774607700157802</v>
      </c>
      <c r="AM7412">
        <v>87.346798984557097</v>
      </c>
      <c r="AN7412">
        <v>1.00000001499544</v>
      </c>
    </row>
    <row r="7413" spans="1:40" x14ac:dyDescent="0.25">
      <c r="A7413" t="str">
        <f>"20190303154708893"</f>
        <v>20190303154708893</v>
      </c>
      <c r="B7413" t="str">
        <f>"1551599228889599"</f>
        <v>1551599228889599</v>
      </c>
      <c r="C7413" t="s">
        <v>40</v>
      </c>
      <c r="D7413">
        <v>5.319197</v>
      </c>
      <c r="E7413">
        <v>0.49362250000000002</v>
      </c>
      <c r="F7413" t="s">
        <v>61</v>
      </c>
      <c r="G7413">
        <v>-187.34139999999999</v>
      </c>
      <c r="H7413" s="1">
        <v>-1.3308330000000001E-6</v>
      </c>
      <c r="I7413">
        <v>121.3794</v>
      </c>
      <c r="J7413">
        <v>-187.9838</v>
      </c>
      <c r="K7413">
        <v>1.121032</v>
      </c>
      <c r="L7413">
        <v>107.9188</v>
      </c>
      <c r="M7413">
        <v>1.693277E-2</v>
      </c>
      <c r="N7413">
        <v>-1.3633009999999999E-2</v>
      </c>
      <c r="O7413">
        <v>0.99976370000000003</v>
      </c>
      <c r="P7413">
        <v>6.5913869999999999E-2</v>
      </c>
      <c r="Q7413">
        <v>-7.9895149999999998E-2</v>
      </c>
      <c r="R7413">
        <v>0.99462159999999999</v>
      </c>
      <c r="S7413">
        <v>0.141113299999999</v>
      </c>
      <c r="T7413">
        <v>-0.24468309999999999</v>
      </c>
      <c r="U7413">
        <v>2.9870610000000002</v>
      </c>
      <c r="V7413">
        <v>4.903101E-2</v>
      </c>
      <c r="W7413">
        <v>-6.6337060000000003E-2</v>
      </c>
      <c r="X7413">
        <v>0.99659189999999998</v>
      </c>
      <c r="Y7413">
        <v>3.0137870000000001E-2</v>
      </c>
      <c r="Z7413">
        <v>-6.7970009999999997E-2</v>
      </c>
      <c r="AA7413">
        <v>0.99723209999999995</v>
      </c>
      <c r="AB7413">
        <v>22</v>
      </c>
      <c r="AC7413">
        <v>0.64240000000000896</v>
      </c>
      <c r="AD7413">
        <v>-1.1210333308330001</v>
      </c>
      <c r="AE7413">
        <v>13.460599999999999</v>
      </c>
      <c r="AF7413">
        <v>0.411513691172054</v>
      </c>
      <c r="AG7413">
        <v>-1.1210333308330001</v>
      </c>
      <c r="AH7413">
        <v>13.376976741407599</v>
      </c>
      <c r="AI7413">
        <v>94.788121274304103</v>
      </c>
      <c r="AJ7413">
        <v>88.2379752392401</v>
      </c>
      <c r="AK7413">
        <v>13.4301737139554</v>
      </c>
      <c r="AL7413">
        <v>93.803626644220202</v>
      </c>
      <c r="AM7413">
        <v>87.183394123570395</v>
      </c>
      <c r="AN7413">
        <v>1.0000000303083301</v>
      </c>
    </row>
    <row r="7414" spans="1:40" x14ac:dyDescent="0.25">
      <c r="A7414" t="str">
        <f>"20190303154708916"</f>
        <v>20190303154708916</v>
      </c>
      <c r="B7414" t="str">
        <f>"1551599228909118"</f>
        <v>1551599228909118</v>
      </c>
      <c r="C7414" t="s">
        <v>40</v>
      </c>
      <c r="D7414">
        <v>5.3655480000000004</v>
      </c>
      <c r="E7414">
        <v>0.49375629999999998</v>
      </c>
      <c r="F7414" t="s">
        <v>61</v>
      </c>
      <c r="G7414">
        <v>-187.3252</v>
      </c>
      <c r="H7414" s="1">
        <v>-1.289658E-6</v>
      </c>
      <c r="I7414">
        <v>121.3002</v>
      </c>
      <c r="J7414">
        <v>-187.9795</v>
      </c>
      <c r="K7414">
        <v>1.12103</v>
      </c>
      <c r="L7414">
        <v>108.1504</v>
      </c>
      <c r="M7414">
        <v>1.7283110000000001E-2</v>
      </c>
      <c r="N7414">
        <v>-1.362967E-2</v>
      </c>
      <c r="O7414">
        <v>0.99975769999999997</v>
      </c>
      <c r="P7414">
        <v>7.0279750000000002E-2</v>
      </c>
      <c r="Q7414">
        <v>-7.9919210000000004E-2</v>
      </c>
      <c r="R7414">
        <v>0.99432069999999995</v>
      </c>
      <c r="S7414">
        <v>0.14698789999999901</v>
      </c>
      <c r="T7414">
        <v>-0.25018580000000001</v>
      </c>
      <c r="U7414">
        <v>2.9863740000000001</v>
      </c>
      <c r="V7414">
        <v>5.3051250000000001E-2</v>
      </c>
      <c r="W7414">
        <v>-6.6370150000000003E-2</v>
      </c>
      <c r="X7414">
        <v>0.99638369999999998</v>
      </c>
      <c r="Y7414">
        <v>3.1747829999999998E-2</v>
      </c>
      <c r="Z7414">
        <v>-6.9809430000000006E-2</v>
      </c>
      <c r="AA7414">
        <v>0.99705500000000002</v>
      </c>
      <c r="AB7414">
        <v>22</v>
      </c>
      <c r="AC7414">
        <v>0.65430000000000599</v>
      </c>
      <c r="AD7414">
        <v>-1.1210312896579999</v>
      </c>
      <c r="AE7414">
        <v>13.149800000000001</v>
      </c>
      <c r="AF7414">
        <v>0.423838964454406</v>
      </c>
      <c r="AG7414">
        <v>-1.1210312896579999</v>
      </c>
      <c r="AH7414">
        <v>13.0644310042944</v>
      </c>
      <c r="AI7414">
        <v>94.901850225382205</v>
      </c>
      <c r="AJ7414">
        <v>88.141850222962901</v>
      </c>
      <c r="AK7414">
        <v>13.119287636383</v>
      </c>
      <c r="AL7414">
        <v>93.805527036854798</v>
      </c>
      <c r="AM7414">
        <v>86.9522330963418</v>
      </c>
      <c r="AN7414">
        <v>0.99999995478163595</v>
      </c>
    </row>
    <row r="7415" spans="1:40" x14ac:dyDescent="0.25">
      <c r="A7415" t="str">
        <f>"20190303154708937"</f>
        <v>20190303154708937</v>
      </c>
      <c r="B7415" t="str">
        <f>"1551599228929615"</f>
        <v>1551599228929615</v>
      </c>
      <c r="C7415" t="s">
        <v>40</v>
      </c>
      <c r="D7415">
        <v>5.7173420000000004</v>
      </c>
      <c r="E7415">
        <v>0.53965949999999996</v>
      </c>
      <c r="F7415" t="s">
        <v>61</v>
      </c>
      <c r="G7415">
        <v>-187.2585</v>
      </c>
      <c r="H7415" s="1">
        <v>-1.412836E-6</v>
      </c>
      <c r="I7415">
        <v>121.508</v>
      </c>
      <c r="J7415">
        <v>-187.97569999999999</v>
      </c>
      <c r="K7415">
        <v>1.1210279999999999</v>
      </c>
      <c r="L7415">
        <v>108.3485</v>
      </c>
      <c r="M7415">
        <v>1.7584610000000001E-2</v>
      </c>
      <c r="N7415">
        <v>-1.3626920000000001E-2</v>
      </c>
      <c r="O7415">
        <v>0.99975250000000004</v>
      </c>
      <c r="P7415">
        <v>7.4895749999999997E-2</v>
      </c>
      <c r="Q7415">
        <v>-7.9281530000000003E-2</v>
      </c>
      <c r="R7415">
        <v>0.9940348</v>
      </c>
      <c r="S7415">
        <v>0.16113279999999999</v>
      </c>
      <c r="T7415">
        <v>-0.25056659999999997</v>
      </c>
      <c r="U7415">
        <v>2.985611</v>
      </c>
      <c r="V7415">
        <v>5.7370850000000001E-2</v>
      </c>
      <c r="W7415">
        <v>-6.5740590000000002E-2</v>
      </c>
      <c r="X7415">
        <v>0.99618609999999996</v>
      </c>
      <c r="Y7415">
        <v>3.616631E-2</v>
      </c>
      <c r="Z7415">
        <v>-6.9943149999999996E-2</v>
      </c>
      <c r="AA7415">
        <v>0.99689510000000003</v>
      </c>
      <c r="AB7415">
        <v>22</v>
      </c>
      <c r="AC7415">
        <v>0.71719999999999096</v>
      </c>
      <c r="AD7415">
        <v>-1.1210294128360001</v>
      </c>
      <c r="AE7415">
        <v>13.1594999999999</v>
      </c>
      <c r="AF7415">
        <v>0.482174158532298</v>
      </c>
      <c r="AG7415">
        <v>-1.1210294128360001</v>
      </c>
      <c r="AH7415">
        <v>13.0754704733203</v>
      </c>
      <c r="AI7415">
        <v>94.896975567105798</v>
      </c>
      <c r="AJ7415">
        <v>87.888104154851305</v>
      </c>
      <c r="AK7415">
        <v>13.132293286485501</v>
      </c>
      <c r="AL7415">
        <v>93.769376807186205</v>
      </c>
      <c r="AM7415">
        <v>86.703948480567803</v>
      </c>
      <c r="AN7415">
        <v>0.99999999271824003</v>
      </c>
    </row>
    <row r="7416" spans="1:40" x14ac:dyDescent="0.25">
      <c r="A7416" t="str">
        <f>"20190303154708960"</f>
        <v>20190303154708960</v>
      </c>
      <c r="B7416" t="str">
        <f>"1551599228949135"</f>
        <v>1551599228949135</v>
      </c>
      <c r="C7416" t="s">
        <v>40</v>
      </c>
      <c r="D7416">
        <v>5.3620289999999997</v>
      </c>
      <c r="E7416">
        <v>0.6254767</v>
      </c>
      <c r="F7416" t="s">
        <v>61</v>
      </c>
      <c r="G7416">
        <v>-184.76730000000001</v>
      </c>
      <c r="H7416" s="1">
        <v>-3.8071590000000001E-6</v>
      </c>
      <c r="I7416">
        <v>125.93859999999999</v>
      </c>
      <c r="J7416">
        <v>-187.97149999999999</v>
      </c>
      <c r="K7416">
        <v>1.1210230000000001</v>
      </c>
      <c r="L7416">
        <v>108.5647</v>
      </c>
      <c r="M7416">
        <v>1.791278E-2</v>
      </c>
      <c r="N7416">
        <v>-1.362408E-2</v>
      </c>
      <c r="O7416">
        <v>0.99974669999999999</v>
      </c>
      <c r="P7416">
        <v>7.9913999999999999E-2</v>
      </c>
      <c r="Q7416">
        <v>-7.9317860000000004E-2</v>
      </c>
      <c r="R7416">
        <v>0.993641</v>
      </c>
      <c r="S7416">
        <v>0.54029850000000001</v>
      </c>
      <c r="T7416">
        <v>-0.18878519999999999</v>
      </c>
      <c r="U7416">
        <v>2.962234</v>
      </c>
      <c r="V7416">
        <v>6.206801E-2</v>
      </c>
      <c r="W7416">
        <v>-6.5786499999999998E-2</v>
      </c>
      <c r="X7416">
        <v>0.9959015</v>
      </c>
      <c r="Y7416">
        <v>0.161483399999999</v>
      </c>
      <c r="Z7416">
        <v>-4.9073659999999998E-2</v>
      </c>
      <c r="AA7416">
        <v>0.98565449999999999</v>
      </c>
      <c r="AB7416">
        <v>22</v>
      </c>
      <c r="AC7416">
        <v>3.2041999999999802</v>
      </c>
      <c r="AD7416">
        <v>-1.1210268071589999</v>
      </c>
      <c r="AE7416">
        <v>17.3738999999999</v>
      </c>
      <c r="AF7416">
        <v>2.8808427800502998</v>
      </c>
      <c r="AG7416">
        <v>-1.1210268071589999</v>
      </c>
      <c r="AH7416">
        <v>17.358621494470299</v>
      </c>
      <c r="AI7416">
        <v>93.6453302819058</v>
      </c>
      <c r="AJ7416">
        <v>80.577057885716101</v>
      </c>
      <c r="AK7416">
        <v>17.6317241475138</v>
      </c>
      <c r="AL7416">
        <v>93.772012748326702</v>
      </c>
      <c r="AM7416">
        <v>86.433742365988905</v>
      </c>
      <c r="AN7416">
        <v>1.0000000495749199</v>
      </c>
    </row>
    <row r="7417" spans="1:40" x14ac:dyDescent="0.25">
      <c r="A7417" t="str">
        <f>"20190303154708982"</f>
        <v>20190303154708982</v>
      </c>
      <c r="B7417" t="str">
        <f>"1551599228979390"</f>
        <v>1551599228979390</v>
      </c>
      <c r="C7417" t="s">
        <v>40</v>
      </c>
      <c r="D7417">
        <v>4.4641919999999997</v>
      </c>
      <c r="E7417">
        <v>0.69658869999999995</v>
      </c>
      <c r="F7417" t="s">
        <v>61</v>
      </c>
      <c r="G7417">
        <v>-181.59880000000001</v>
      </c>
      <c r="H7417" s="1">
        <v>-3.3717759999999998E-6</v>
      </c>
      <c r="I7417">
        <v>123.5129</v>
      </c>
      <c r="J7417">
        <v>-187.96729999999999</v>
      </c>
      <c r="K7417">
        <v>1.12101299999999</v>
      </c>
      <c r="L7417">
        <v>108.7744</v>
      </c>
      <c r="M7417">
        <v>1.8230119999999999E-2</v>
      </c>
      <c r="N7417">
        <v>-1.3621350000000001E-2</v>
      </c>
      <c r="O7417">
        <v>0.99974099999999999</v>
      </c>
      <c r="P7417">
        <v>8.5175769999999998E-2</v>
      </c>
      <c r="Q7417">
        <v>-8.0425629999999998E-2</v>
      </c>
      <c r="R7417">
        <v>0.99311470000000002</v>
      </c>
      <c r="S7417">
        <v>1.2372890000000001</v>
      </c>
      <c r="T7417">
        <v>-0.21765390000000001</v>
      </c>
      <c r="U7417">
        <v>2.902298</v>
      </c>
      <c r="V7417">
        <v>6.7021880000000006E-2</v>
      </c>
      <c r="W7417">
        <v>-6.6905249999999999E-2</v>
      </c>
      <c r="X7417">
        <v>0.9955058</v>
      </c>
      <c r="Y7417">
        <v>0.37452200000000002</v>
      </c>
      <c r="Z7417">
        <v>-5.5512159999999998E-2</v>
      </c>
      <c r="AA7417">
        <v>0.92555480000000001</v>
      </c>
      <c r="AB7417">
        <v>22</v>
      </c>
      <c r="AC7417">
        <v>6.3684999999999796</v>
      </c>
      <c r="AD7417">
        <v>-1.12101637177599</v>
      </c>
      <c r="AE7417">
        <v>14.7385</v>
      </c>
      <c r="AF7417">
        <v>6.0691449584661799</v>
      </c>
      <c r="AG7417">
        <v>-1.12101637177599</v>
      </c>
      <c r="AH7417">
        <v>14.7801068553012</v>
      </c>
      <c r="AI7417">
        <v>94.013376594463693</v>
      </c>
      <c r="AJ7417">
        <v>67.675510151155805</v>
      </c>
      <c r="AK7417">
        <v>16.016952172207599</v>
      </c>
      <c r="AL7417">
        <v>93.836254053872693</v>
      </c>
      <c r="AM7417">
        <v>86.148405388444203</v>
      </c>
      <c r="AN7417">
        <v>1.00000002135496</v>
      </c>
    </row>
    <row r="7418" spans="1:40" x14ac:dyDescent="0.25">
      <c r="A7418" t="str">
        <f>"20190303154709004"</f>
        <v>20190303154709004</v>
      </c>
      <c r="B7418" t="str">
        <f>"1551599228999887"</f>
        <v>1551599228999887</v>
      </c>
      <c r="C7418" t="s">
        <v>40</v>
      </c>
      <c r="D7418">
        <v>4.39771</v>
      </c>
      <c r="E7418">
        <v>0.69827159999999999</v>
      </c>
      <c r="F7418" t="s">
        <v>53</v>
      </c>
      <c r="G7418">
        <v>-155.6086</v>
      </c>
      <c r="H7418">
        <v>4.8843290000000001</v>
      </c>
      <c r="I7418">
        <v>160.01</v>
      </c>
      <c r="J7418">
        <v>-187.96279999999999</v>
      </c>
      <c r="K7418">
        <v>1.121</v>
      </c>
      <c r="L7418">
        <v>108.99590000000001</v>
      </c>
      <c r="M7418">
        <v>1.8562840000000001E-2</v>
      </c>
      <c r="N7418">
        <v>-1.361829E-2</v>
      </c>
      <c r="O7418">
        <v>0.99973489999999998</v>
      </c>
      <c r="P7418">
        <v>9.0279349999999994E-2</v>
      </c>
      <c r="Q7418">
        <v>-8.180163E-2</v>
      </c>
      <c r="R7418">
        <v>0.99255130000000003</v>
      </c>
      <c r="S7418">
        <v>1.820068</v>
      </c>
      <c r="T7418">
        <v>0.2116758</v>
      </c>
      <c r="U7418">
        <v>2.8818359999999998</v>
      </c>
      <c r="V7418">
        <v>7.1803359999999997E-2</v>
      </c>
      <c r="W7418">
        <v>-6.8292660000000005E-2</v>
      </c>
      <c r="X7418">
        <v>0.99507809999999997</v>
      </c>
      <c r="Y7418">
        <v>0.51681889999999997</v>
      </c>
      <c r="Z7418">
        <v>7.5806299999999993E-2</v>
      </c>
      <c r="AA7418">
        <v>0.85273189999999999</v>
      </c>
      <c r="AB7418">
        <v>22</v>
      </c>
      <c r="AC7418">
        <v>32.354199999999899</v>
      </c>
      <c r="AD7418">
        <v>3.7633290000000001</v>
      </c>
      <c r="AE7418">
        <v>51.0140999999999</v>
      </c>
      <c r="AF7418">
        <v>31.280171635616298</v>
      </c>
      <c r="AG7418">
        <v>3.7633290000000001</v>
      </c>
      <c r="AH7418">
        <v>51.406441957998503</v>
      </c>
      <c r="AI7418">
        <v>86.421417520172795</v>
      </c>
      <c r="AJ7418">
        <v>58.680014628984502</v>
      </c>
      <c r="AK7418">
        <v>60.292902214911898</v>
      </c>
      <c r="AL7418">
        <v>93.915929061812903</v>
      </c>
      <c r="AM7418">
        <v>85.872774883429699</v>
      </c>
      <c r="AN7418">
        <v>1.0000000175083801</v>
      </c>
    </row>
    <row r="7419" spans="1:40" x14ac:dyDescent="0.25">
      <c r="A7419" t="str">
        <f>"20190303154709026"</f>
        <v>20190303154709026</v>
      </c>
      <c r="B7419" t="str">
        <f>"1551599229019407"</f>
        <v>1551599229019407</v>
      </c>
      <c r="C7419" t="s">
        <v>40</v>
      </c>
      <c r="D7419">
        <v>5.2556370000000001</v>
      </c>
      <c r="E7419">
        <v>0.68025939999999996</v>
      </c>
      <c r="F7419" t="s">
        <v>53</v>
      </c>
      <c r="G7419">
        <v>-155.13210000000001</v>
      </c>
      <c r="H7419">
        <v>4.8740329999999998</v>
      </c>
      <c r="I7419">
        <v>160.00989999999999</v>
      </c>
      <c r="J7419">
        <v>-187.95849999999999</v>
      </c>
      <c r="K7419">
        <v>1.120981</v>
      </c>
      <c r="L7419">
        <v>109.205</v>
      </c>
      <c r="M7419">
        <v>1.8875010000000001E-2</v>
      </c>
      <c r="N7419">
        <v>-1.3615479999999999E-2</v>
      </c>
      <c r="O7419">
        <v>0.99972919999999998</v>
      </c>
      <c r="P7419">
        <v>9.5500310000000005E-2</v>
      </c>
      <c r="Q7419">
        <v>-8.3185430000000005E-2</v>
      </c>
      <c r="R7419">
        <v>0.99194749999999998</v>
      </c>
      <c r="S7419">
        <v>1.848206</v>
      </c>
      <c r="T7419">
        <v>0.21127860000000001</v>
      </c>
      <c r="U7419">
        <v>2.871826</v>
      </c>
      <c r="V7419">
        <v>7.6723840000000001E-2</v>
      </c>
      <c r="W7419">
        <v>-6.9687940000000004E-2</v>
      </c>
      <c r="X7419">
        <v>0.994614</v>
      </c>
      <c r="Y7419">
        <v>0.52382050000000002</v>
      </c>
      <c r="Z7419">
        <v>7.5573790000000002E-2</v>
      </c>
      <c r="AA7419">
        <v>0.84846960000000005</v>
      </c>
      <c r="AB7419">
        <v>22</v>
      </c>
      <c r="AC7419">
        <v>32.8263999999999</v>
      </c>
      <c r="AD7419">
        <v>3.7530519999999998</v>
      </c>
      <c r="AE7419">
        <v>50.804899999999897</v>
      </c>
      <c r="AF7419">
        <v>31.739328196536398</v>
      </c>
      <c r="AG7419">
        <v>3.7530519999999998</v>
      </c>
      <c r="AH7419">
        <v>51.218321877477898</v>
      </c>
      <c r="AI7419">
        <v>86.435888616472496</v>
      </c>
      <c r="AJ7419">
        <v>58.214043062403697</v>
      </c>
      <c r="AK7419">
        <v>60.372070112156102</v>
      </c>
      <c r="AL7419">
        <v>93.996063795412397</v>
      </c>
      <c r="AM7419">
        <v>85.588978350982003</v>
      </c>
      <c r="AN7419">
        <v>0.99999998280089397</v>
      </c>
    </row>
    <row r="7420" spans="1:40" x14ac:dyDescent="0.25">
      <c r="A7420" t="str">
        <f>"20190303154709048"</f>
        <v>20190303154709048</v>
      </c>
      <c r="B7420" t="str">
        <f>"1551599229039903"</f>
        <v>1551599229039903</v>
      </c>
      <c r="C7420" t="s">
        <v>40</v>
      </c>
      <c r="D7420">
        <v>5.3102830000000001</v>
      </c>
      <c r="E7420">
        <v>0.67083369999999998</v>
      </c>
      <c r="F7420" t="s">
        <v>53</v>
      </c>
      <c r="G7420">
        <v>-156.82740000000001</v>
      </c>
      <c r="H7420">
        <v>2.2451110000000001</v>
      </c>
      <c r="I7420">
        <v>161.07149999999999</v>
      </c>
      <c r="J7420">
        <v>-187.95410000000001</v>
      </c>
      <c r="K7420">
        <v>1.120973</v>
      </c>
      <c r="L7420">
        <v>109.4182</v>
      </c>
      <c r="M7420">
        <v>1.9191239999999998E-2</v>
      </c>
      <c r="N7420">
        <v>-1.361273E-2</v>
      </c>
      <c r="O7420">
        <v>0.99972309999999998</v>
      </c>
      <c r="P7420">
        <v>0.1004702</v>
      </c>
      <c r="Q7420">
        <v>-8.3813209999999999E-2</v>
      </c>
      <c r="R7420">
        <v>0.99140360000000005</v>
      </c>
      <c r="S7420">
        <v>1.719055</v>
      </c>
      <c r="T7420">
        <v>6.207609E-2</v>
      </c>
      <c r="U7420">
        <v>2.8640590000000001</v>
      </c>
      <c r="V7420">
        <v>8.1388970000000005E-2</v>
      </c>
      <c r="W7420">
        <v>-7.0326189999999997E-2</v>
      </c>
      <c r="X7420">
        <v>0.99419820000000003</v>
      </c>
      <c r="Y7420">
        <v>0.49782949999999998</v>
      </c>
      <c r="Z7420">
        <v>3.2208609999999999E-2</v>
      </c>
      <c r="AA7420">
        <v>0.86667659999999902</v>
      </c>
      <c r="AB7420">
        <v>21</v>
      </c>
      <c r="AC7420">
        <v>31.1267</v>
      </c>
      <c r="AD7420">
        <v>1.1241379999999901</v>
      </c>
      <c r="AE7420">
        <v>51.653299999999902</v>
      </c>
      <c r="AF7420">
        <v>30.1191184144778</v>
      </c>
      <c r="AG7420">
        <v>1.1241379999999901</v>
      </c>
      <c r="AH7420">
        <v>52.223055290327203</v>
      </c>
      <c r="AI7420">
        <v>88.931744724014095</v>
      </c>
      <c r="AJ7420">
        <v>60.026236662754101</v>
      </c>
      <c r="AK7420">
        <v>60.296537911931203</v>
      </c>
      <c r="AL7420">
        <v>94.032722704827407</v>
      </c>
      <c r="AM7420">
        <v>85.319978509068093</v>
      </c>
      <c r="AN7420">
        <v>0.99999999916040805</v>
      </c>
    </row>
    <row r="7421" spans="1:40" x14ac:dyDescent="0.25">
      <c r="A7421" t="str">
        <f>"20190303154709072"</f>
        <v>20190303154709072</v>
      </c>
      <c r="B7421" t="str">
        <f>"1551599229059423"</f>
        <v>1551599229059423</v>
      </c>
      <c r="C7421" t="s">
        <v>40</v>
      </c>
      <c r="D7421">
        <v>5.3316739999999996</v>
      </c>
      <c r="E7421">
        <v>0.66489860000000001</v>
      </c>
      <c r="F7421" t="s">
        <v>53</v>
      </c>
      <c r="G7421">
        <v>-157.43379999999999</v>
      </c>
      <c r="H7421">
        <v>0.84082219999999996</v>
      </c>
      <c r="I7421">
        <v>161.9813</v>
      </c>
      <c r="J7421">
        <v>-187.9495</v>
      </c>
      <c r="K7421">
        <v>1.120967</v>
      </c>
      <c r="L7421">
        <v>109.6352</v>
      </c>
      <c r="M7421">
        <v>1.9511529999999999E-2</v>
      </c>
      <c r="N7421">
        <v>-1.3610010000000001E-2</v>
      </c>
      <c r="O7421">
        <v>0.99971699999999997</v>
      </c>
      <c r="P7421">
        <v>0.1052905</v>
      </c>
      <c r="Q7421">
        <v>-8.4803920000000005E-2</v>
      </c>
      <c r="R7421">
        <v>0.99081900000000001</v>
      </c>
      <c r="S7421">
        <v>1.65867599999999</v>
      </c>
      <c r="T7421">
        <v>-1.522338E-2</v>
      </c>
      <c r="U7421">
        <v>2.8566280000000002</v>
      </c>
      <c r="V7421">
        <v>8.5901329999999998E-2</v>
      </c>
      <c r="W7421">
        <v>-7.1327749999999995E-2</v>
      </c>
      <c r="X7421">
        <v>0.99374709999999999</v>
      </c>
      <c r="Y7421">
        <v>0.48508659999999998</v>
      </c>
      <c r="Z7421">
        <v>8.9078639999999997E-3</v>
      </c>
      <c r="AA7421">
        <v>0.8744208</v>
      </c>
      <c r="AB7421">
        <v>21</v>
      </c>
      <c r="AC7421">
        <v>30.515699999999999</v>
      </c>
      <c r="AD7421">
        <v>-0.28014480000000003</v>
      </c>
      <c r="AE7421">
        <v>52.3461</v>
      </c>
      <c r="AF7421">
        <v>29.487812254112701</v>
      </c>
      <c r="AG7421">
        <v>-0.28014480000000003</v>
      </c>
      <c r="AH7421">
        <v>52.930464790904097</v>
      </c>
      <c r="AI7421">
        <v>90.264911090754595</v>
      </c>
      <c r="AJ7421">
        <v>60.8776136233827</v>
      </c>
      <c r="AK7421">
        <v>60.590788537729999</v>
      </c>
      <c r="AL7421">
        <v>94.090252374171001</v>
      </c>
      <c r="AM7421">
        <v>85.059528229556193</v>
      </c>
      <c r="AN7421">
        <v>0.99999999258712002</v>
      </c>
    </row>
    <row r="7422" spans="1:40" x14ac:dyDescent="0.25">
      <c r="A7422" t="str">
        <f>"20190303154709095"</f>
        <v>20190303154709095</v>
      </c>
      <c r="B7422" t="str">
        <f>"1551599229089679"</f>
        <v>1551599229089679</v>
      </c>
      <c r="C7422" t="s">
        <v>40</v>
      </c>
      <c r="D7422">
        <v>5.6467980000000004</v>
      </c>
      <c r="E7422">
        <v>0.65608350000000004</v>
      </c>
      <c r="F7422" t="s">
        <v>41</v>
      </c>
      <c r="G7422">
        <v>-163.35900000000001</v>
      </c>
      <c r="H7422">
        <v>7.9986210000000002E-2</v>
      </c>
      <c r="I7422">
        <v>152.7407</v>
      </c>
      <c r="J7422">
        <v>-187.94460000000001</v>
      </c>
      <c r="K7422">
        <v>1.1209659999999999</v>
      </c>
      <c r="L7422">
        <v>109.8626</v>
      </c>
      <c r="M7422">
        <v>1.9846309999999999E-2</v>
      </c>
      <c r="N7422">
        <v>-1.360719E-2</v>
      </c>
      <c r="O7422">
        <v>0.9997104</v>
      </c>
      <c r="P7422">
        <v>0.1095401</v>
      </c>
      <c r="Q7422">
        <v>-8.5864259999999998E-2</v>
      </c>
      <c r="R7422">
        <v>0.9902668</v>
      </c>
      <c r="S7422">
        <v>1.625381</v>
      </c>
      <c r="T7422">
        <v>-6.8806649999999997E-2</v>
      </c>
      <c r="U7422">
        <v>2.8491819999999999</v>
      </c>
      <c r="V7422">
        <v>8.9828370000000005E-2</v>
      </c>
      <c r="W7422">
        <v>-7.2398340000000005E-2</v>
      </c>
      <c r="X7422">
        <v>0.99332240000000005</v>
      </c>
      <c r="Y7422">
        <v>0.4780568</v>
      </c>
      <c r="Z7422">
        <v>-7.53938E-3</v>
      </c>
      <c r="AA7422">
        <v>0.87829659999999998</v>
      </c>
      <c r="AB7422">
        <v>21</v>
      </c>
      <c r="AC7422">
        <v>24.585599999999999</v>
      </c>
      <c r="AD7422">
        <v>-1.04097979</v>
      </c>
      <c r="AE7422">
        <v>42.878100000000003</v>
      </c>
      <c r="AF7422">
        <v>23.719184727838002</v>
      </c>
      <c r="AG7422">
        <v>-1.04097979</v>
      </c>
      <c r="AH7422">
        <v>43.338408209503598</v>
      </c>
      <c r="AI7422">
        <v>91.207071598185195</v>
      </c>
      <c r="AJ7422">
        <v>61.308036979282001</v>
      </c>
      <c r="AK7422">
        <v>49.415594595330603</v>
      </c>
      <c r="AL7422">
        <v>94.151751545531198</v>
      </c>
      <c r="AM7422">
        <v>84.832669834169195</v>
      </c>
      <c r="AN7422">
        <v>1.0000000230166799</v>
      </c>
    </row>
    <row r="7423" spans="1:40" x14ac:dyDescent="0.25">
      <c r="A7423" t="str">
        <f>"20190303154709118"</f>
        <v>20190303154709118</v>
      </c>
      <c r="B7423" t="str">
        <f>"1551599229109200"</f>
        <v>1551599229109200</v>
      </c>
      <c r="C7423" t="s">
        <v>40</v>
      </c>
      <c r="D7423">
        <v>5.4447359999999998</v>
      </c>
      <c r="E7423">
        <v>0.65221200000000001</v>
      </c>
      <c r="F7423" t="s">
        <v>61</v>
      </c>
      <c r="G7423">
        <v>-175.7687</v>
      </c>
      <c r="H7423" s="1">
        <v>-3.4621950000000001E-6</v>
      </c>
      <c r="I7423">
        <v>131.95570000000001</v>
      </c>
      <c r="J7423">
        <v>-187.93979999999999</v>
      </c>
      <c r="K7423">
        <v>1.1209739999999999</v>
      </c>
      <c r="L7423">
        <v>110.0836</v>
      </c>
      <c r="M7423">
        <v>2.0171560000000002E-2</v>
      </c>
      <c r="N7423">
        <v>-1.360452E-2</v>
      </c>
      <c r="O7423">
        <v>0.99970389999999998</v>
      </c>
      <c r="P7423">
        <v>0.1160605</v>
      </c>
      <c r="Q7423">
        <v>-8.6403380000000002E-2</v>
      </c>
      <c r="R7423">
        <v>0.98947689999999999</v>
      </c>
      <c r="S7423">
        <v>1.5671839999999999</v>
      </c>
      <c r="T7423">
        <v>-0.14428170000000001</v>
      </c>
      <c r="U7423">
        <v>2.8436279999999998</v>
      </c>
      <c r="V7423">
        <v>9.6040449999999999E-2</v>
      </c>
      <c r="W7423">
        <v>-7.2951329999999995E-2</v>
      </c>
      <c r="X7423">
        <v>0.99270049999999999</v>
      </c>
      <c r="Y7423">
        <v>0.4645029</v>
      </c>
      <c r="Z7423">
        <v>-3.1081310000000001E-2</v>
      </c>
      <c r="AA7423">
        <v>0.88502599999999998</v>
      </c>
      <c r="AB7423">
        <v>21</v>
      </c>
      <c r="AC7423">
        <v>12.1710999999999</v>
      </c>
      <c r="AD7423">
        <v>-1.1209774621949999</v>
      </c>
      <c r="AE7423">
        <v>21.8721</v>
      </c>
      <c r="AF7423">
        <v>11.7039138989619</v>
      </c>
      <c r="AG7423">
        <v>-1.1209774621949999</v>
      </c>
      <c r="AH7423">
        <v>22.068919158128299</v>
      </c>
      <c r="AI7423">
        <v>92.569386387629706</v>
      </c>
      <c r="AJ7423">
        <v>62.061440370848899</v>
      </c>
      <c r="AK7423">
        <v>25.005507070104901</v>
      </c>
      <c r="AL7423">
        <v>94.1835197497455</v>
      </c>
      <c r="AM7423">
        <v>84.474023214932501</v>
      </c>
      <c r="AN7423">
        <v>0.99999997364260995</v>
      </c>
    </row>
    <row r="7424" spans="1:40" x14ac:dyDescent="0.25">
      <c r="A7424" t="str">
        <f>"20190303154709159"</f>
        <v>20190303154709159</v>
      </c>
      <c r="B7424" t="str">
        <f>"1551599229149218"</f>
        <v>1551599229149218</v>
      </c>
      <c r="C7424" t="s">
        <v>40</v>
      </c>
      <c r="D7424">
        <v>5.4453469999999999</v>
      </c>
      <c r="E7424">
        <v>0.64629019999999904</v>
      </c>
      <c r="F7424" t="s">
        <v>61</v>
      </c>
      <c r="G7424">
        <v>-178.88839999999999</v>
      </c>
      <c r="H7424">
        <v>7.9988249999999997E-2</v>
      </c>
      <c r="I7424">
        <v>126.5831</v>
      </c>
      <c r="J7424">
        <v>-187.93119999999999</v>
      </c>
      <c r="K7424">
        <v>1.121</v>
      </c>
      <c r="L7424">
        <v>110.4723</v>
      </c>
      <c r="M7424">
        <v>2.0738650000000001E-2</v>
      </c>
      <c r="N7424">
        <v>-1.3599979999999999E-2</v>
      </c>
      <c r="O7424">
        <v>0.99969240000000004</v>
      </c>
      <c r="P7424">
        <v>0.13473879999999999</v>
      </c>
      <c r="Q7424">
        <v>-8.5954920000000004E-2</v>
      </c>
      <c r="R7424">
        <v>0.98714599999999997</v>
      </c>
      <c r="S7424">
        <v>1.5546719999999901</v>
      </c>
      <c r="T7424">
        <v>-0.1787987</v>
      </c>
      <c r="U7424">
        <v>2.833939</v>
      </c>
      <c r="V7424">
        <v>0.1142015</v>
      </c>
      <c r="W7424">
        <v>-7.2540809999999997E-2</v>
      </c>
      <c r="X7424">
        <v>0.99080559999999995</v>
      </c>
      <c r="Y7424">
        <v>0.4620571</v>
      </c>
      <c r="Z7424">
        <v>-4.1988989999999997E-2</v>
      </c>
      <c r="AA7424">
        <v>0.88585559999999997</v>
      </c>
      <c r="AB7424">
        <v>21</v>
      </c>
      <c r="AC7424">
        <v>9.0427999999999997</v>
      </c>
      <c r="AD7424">
        <v>-1.04101175</v>
      </c>
      <c r="AE7424">
        <v>16.110799999999902</v>
      </c>
      <c r="AF7424">
        <v>8.6791518013348092</v>
      </c>
      <c r="AG7424">
        <v>-1.04101175</v>
      </c>
      <c r="AH7424">
        <v>16.243315553334099</v>
      </c>
      <c r="AI7424">
        <v>93.235234296708896</v>
      </c>
      <c r="AJ7424">
        <v>61.883454117827299</v>
      </c>
      <c r="AK7424">
        <v>18.446047859079101</v>
      </c>
      <c r="AL7424">
        <v>94.159936322861199</v>
      </c>
      <c r="AM7424">
        <v>83.425030431602806</v>
      </c>
      <c r="AN7424">
        <v>0.99999994435453099</v>
      </c>
    </row>
    <row r="7425" spans="1:40" x14ac:dyDescent="0.25">
      <c r="A7425" t="str">
        <f>"20190303154709182"</f>
        <v>20190303154709182</v>
      </c>
      <c r="B7425" t="str">
        <f>"1551599229179470"</f>
        <v>1551599229179470</v>
      </c>
      <c r="C7425" t="s">
        <v>40</v>
      </c>
      <c r="D7425">
        <v>5.4405070000000002</v>
      </c>
      <c r="E7425">
        <v>0.64332119999999904</v>
      </c>
      <c r="F7425" t="s">
        <v>61</v>
      </c>
      <c r="G7425">
        <v>-180.27170000000001</v>
      </c>
      <c r="H7425" s="1">
        <v>-3.9401090000000002E-6</v>
      </c>
      <c r="I7425">
        <v>124.2437</v>
      </c>
      <c r="J7425">
        <v>-187.92619999999999</v>
      </c>
      <c r="K7425">
        <v>1.121011</v>
      </c>
      <c r="L7425">
        <v>110.6906</v>
      </c>
      <c r="M7425">
        <v>2.104692E-2</v>
      </c>
      <c r="N7425">
        <v>-1.3597440000000001E-2</v>
      </c>
      <c r="O7425">
        <v>0.99968599999999996</v>
      </c>
      <c r="P7425">
        <v>0.14530770000000001</v>
      </c>
      <c r="Q7425">
        <v>-8.5465940000000004E-2</v>
      </c>
      <c r="R7425">
        <v>0.98568820000000001</v>
      </c>
      <c r="S7425">
        <v>1.56073</v>
      </c>
      <c r="T7425">
        <v>-0.2284216</v>
      </c>
      <c r="U7425">
        <v>2.8061370000000001</v>
      </c>
      <c r="V7425">
        <v>0.1244948</v>
      </c>
      <c r="W7425">
        <v>-7.2073830000000005E-2</v>
      </c>
      <c r="X7425">
        <v>0.98959909999999995</v>
      </c>
      <c r="Y7425">
        <v>0.46649849999999998</v>
      </c>
      <c r="Z7425">
        <v>-5.7820179999999999E-2</v>
      </c>
      <c r="AA7425">
        <v>0.88263019999999903</v>
      </c>
      <c r="AB7425">
        <v>21</v>
      </c>
      <c r="AC7425">
        <v>7.6544999999999801</v>
      </c>
      <c r="AD7425">
        <v>-1.1210149401089999</v>
      </c>
      <c r="AE7425">
        <v>13.553100000000001</v>
      </c>
      <c r="AF7425">
        <v>7.32950920868939</v>
      </c>
      <c r="AG7425">
        <v>-1.1210149401089999</v>
      </c>
      <c r="AH7425">
        <v>13.640463923449399</v>
      </c>
      <c r="AI7425">
        <v>94.140635419869</v>
      </c>
      <c r="AJ7425">
        <v>61.7492713295904</v>
      </c>
      <c r="AK7425">
        <v>15.5254834315436</v>
      </c>
      <c r="AL7425">
        <v>94.133109947533896</v>
      </c>
      <c r="AM7425">
        <v>82.829672378473305</v>
      </c>
      <c r="AN7425">
        <v>0.99999998545935898</v>
      </c>
    </row>
    <row r="7426" spans="1:40" x14ac:dyDescent="0.25">
      <c r="A7426" t="str">
        <f>"20190303154709203"</f>
        <v>20190303154709203</v>
      </c>
      <c r="B7426" t="str">
        <f>"1551599229198991"</f>
        <v>1551599229198991</v>
      </c>
      <c r="C7426" t="s">
        <v>40</v>
      </c>
      <c r="D7426">
        <v>5.4430239999999896</v>
      </c>
      <c r="E7426">
        <v>0.62235130000000005</v>
      </c>
      <c r="F7426" t="s">
        <v>61</v>
      </c>
      <c r="G7426">
        <v>-180.7824</v>
      </c>
      <c r="H7426" s="1">
        <v>-3.5608770000000001E-6</v>
      </c>
      <c r="I7426">
        <v>123.4174</v>
      </c>
      <c r="J7426">
        <v>-187.92150000000001</v>
      </c>
      <c r="K7426">
        <v>1.1210340000000001</v>
      </c>
      <c r="L7426">
        <v>110.8977</v>
      </c>
      <c r="M7426">
        <v>2.130255E-2</v>
      </c>
      <c r="N7426">
        <v>-1.3595019999999999E-2</v>
      </c>
      <c r="O7426">
        <v>0.99968060000000003</v>
      </c>
      <c r="P7426">
        <v>0.1562711</v>
      </c>
      <c r="Q7426">
        <v>-8.5450399999999996E-2</v>
      </c>
      <c r="R7426">
        <v>0.98401090000000002</v>
      </c>
      <c r="S7426">
        <v>1.5667879999999901</v>
      </c>
      <c r="T7426">
        <v>-0.24586140000000001</v>
      </c>
      <c r="U7426">
        <v>2.7912599999999999</v>
      </c>
      <c r="V7426">
        <v>0.1352421</v>
      </c>
      <c r="W7426">
        <v>-7.2078439999999994E-2</v>
      </c>
      <c r="X7426">
        <v>0.98818740000000005</v>
      </c>
      <c r="Y7426">
        <v>0.46953620000000001</v>
      </c>
      <c r="Z7426">
        <v>-6.34903E-2</v>
      </c>
      <c r="AA7426">
        <v>0.88062750000000001</v>
      </c>
      <c r="AB7426">
        <v>21</v>
      </c>
      <c r="AC7426">
        <v>7.1391000000000098</v>
      </c>
      <c r="AD7426">
        <v>-1.121037560877</v>
      </c>
      <c r="AE7426">
        <v>12.5197</v>
      </c>
      <c r="AF7426">
        <v>6.8294327034829498</v>
      </c>
      <c r="AG7426">
        <v>-1.121037560877</v>
      </c>
      <c r="AH7426">
        <v>12.5927623591</v>
      </c>
      <c r="AI7426">
        <v>94.474556922914999</v>
      </c>
      <c r="AJ7426">
        <v>61.527695254552</v>
      </c>
      <c r="AK7426">
        <v>14.3692567691257</v>
      </c>
      <c r="AL7426">
        <v>94.133374575811303</v>
      </c>
      <c r="AM7426">
        <v>82.206985344147</v>
      </c>
      <c r="AN7426">
        <v>1.000000032322</v>
      </c>
    </row>
    <row r="7427" spans="1:40" x14ac:dyDescent="0.25">
      <c r="A7427" t="str">
        <f>"20190303154709226"</f>
        <v>20190303154709226</v>
      </c>
      <c r="B7427" t="str">
        <f>"1551599229219487"</f>
        <v>1551599229219487</v>
      </c>
      <c r="C7427" t="s">
        <v>40</v>
      </c>
      <c r="D7427">
        <v>5.3869189999999998</v>
      </c>
      <c r="E7427">
        <v>0.62131550000000002</v>
      </c>
      <c r="F7427" t="s">
        <v>41</v>
      </c>
      <c r="G7427">
        <v>-183.73519999999999</v>
      </c>
      <c r="H7427" s="1">
        <v>-5.1547629999999998E-6</v>
      </c>
      <c r="I7427">
        <v>119.0583</v>
      </c>
      <c r="J7427">
        <v>-187.91659999999999</v>
      </c>
      <c r="K7427">
        <v>1.121048</v>
      </c>
      <c r="L7427">
        <v>111.11060000000001</v>
      </c>
      <c r="M7427">
        <v>2.151873E-2</v>
      </c>
      <c r="N7427">
        <v>-1.35926E-2</v>
      </c>
      <c r="O7427">
        <v>0.99967600000000001</v>
      </c>
      <c r="P7427">
        <v>0.167783399999999</v>
      </c>
      <c r="Q7427">
        <v>-8.7861060000000005E-2</v>
      </c>
      <c r="R7427">
        <v>0.98190080000000002</v>
      </c>
      <c r="S7427">
        <v>1.430374</v>
      </c>
      <c r="T7427">
        <v>-0.3830382</v>
      </c>
      <c r="U7427">
        <v>2.7883149999999999</v>
      </c>
      <c r="V7427">
        <v>0.14658850000000001</v>
      </c>
      <c r="W7427">
        <v>-7.4509300000000001E-2</v>
      </c>
      <c r="X7427">
        <v>0.98638740000000003</v>
      </c>
      <c r="Y7427">
        <v>0.43411630000000001</v>
      </c>
      <c r="Z7427">
        <v>-0.1084686</v>
      </c>
      <c r="AA7427">
        <v>0.89430279999999995</v>
      </c>
      <c r="AB7427">
        <v>21</v>
      </c>
      <c r="AC7427">
        <v>4.1813999999999902</v>
      </c>
      <c r="AD7427">
        <v>-1.121053154763</v>
      </c>
      <c r="AE7427">
        <v>7.9476999999999904</v>
      </c>
      <c r="AF7427">
        <v>3.94787214888966</v>
      </c>
      <c r="AG7427">
        <v>-1.121053154763</v>
      </c>
      <c r="AH7427">
        <v>7.9125457900093998</v>
      </c>
      <c r="AI7427">
        <v>97.2252229639723</v>
      </c>
      <c r="AJ7427">
        <v>63.483634208472502</v>
      </c>
      <c r="AK7427">
        <v>8.9135198187235893</v>
      </c>
      <c r="AL7427">
        <v>94.273028533804606</v>
      </c>
      <c r="AM7427">
        <v>81.547055410797299</v>
      </c>
      <c r="AN7427">
        <v>0.99999996349874898</v>
      </c>
    </row>
    <row r="7428" spans="1:40" x14ac:dyDescent="0.25">
      <c r="A7428" t="str">
        <f>"20190303154709248"</f>
        <v>20190303154709248</v>
      </c>
      <c r="B7428" t="str">
        <f>"1551599229239007"</f>
        <v>1551599229239007</v>
      </c>
      <c r="C7428" t="s">
        <v>40</v>
      </c>
      <c r="D7428">
        <v>5.3888259999999999</v>
      </c>
      <c r="E7428">
        <v>0.62107749999999995</v>
      </c>
      <c r="F7428" t="s">
        <v>41</v>
      </c>
      <c r="G7428">
        <v>-183.7011</v>
      </c>
      <c r="H7428" s="1">
        <v>-5.196287E-6</v>
      </c>
      <c r="I7428">
        <v>119.14100000000001</v>
      </c>
      <c r="J7428">
        <v>-187.9117</v>
      </c>
      <c r="K7428">
        <v>1.121076</v>
      </c>
      <c r="L7428">
        <v>111.3244</v>
      </c>
      <c r="M7428">
        <v>2.166821E-2</v>
      </c>
      <c r="N7428">
        <v>-1.359028E-2</v>
      </c>
      <c r="O7428">
        <v>0.99967280000000003</v>
      </c>
      <c r="P7428">
        <v>0.17906150000000001</v>
      </c>
      <c r="Q7428">
        <v>-8.942224E-2</v>
      </c>
      <c r="R7428">
        <v>0.97976560000000001</v>
      </c>
      <c r="S7428">
        <v>1.4551540000000001</v>
      </c>
      <c r="T7428">
        <v>-0.38698110000000002</v>
      </c>
      <c r="U7428">
        <v>2.7720340000000001</v>
      </c>
      <c r="V7428">
        <v>0.15777099999999999</v>
      </c>
      <c r="W7428">
        <v>-7.6083769999999995E-2</v>
      </c>
      <c r="X7428">
        <v>0.98454030000000003</v>
      </c>
      <c r="Y7428">
        <v>0.44230259999999999</v>
      </c>
      <c r="Z7428">
        <v>-0.1098457</v>
      </c>
      <c r="AA7428">
        <v>0.89011369999999901</v>
      </c>
      <c r="AB7428">
        <v>21</v>
      </c>
      <c r="AC7428">
        <v>4.2106000000000003</v>
      </c>
      <c r="AD7428">
        <v>-1.121081196287</v>
      </c>
      <c r="AE7428">
        <v>7.8166000000000002</v>
      </c>
      <c r="AF7428">
        <v>3.9768183129500199</v>
      </c>
      <c r="AG7428">
        <v>-1.121081196287</v>
      </c>
      <c r="AH7428">
        <v>7.7819355251700397</v>
      </c>
      <c r="AI7428">
        <v>97.310087741716401</v>
      </c>
      <c r="AJ7428">
        <v>62.931512375428497</v>
      </c>
      <c r="AK7428">
        <v>8.8108130987319502</v>
      </c>
      <c r="AL7428">
        <v>94.363495625506005</v>
      </c>
      <c r="AM7428">
        <v>80.895847040425394</v>
      </c>
      <c r="AN7428">
        <v>1.0000000154112501</v>
      </c>
    </row>
    <row r="7429" spans="1:40" x14ac:dyDescent="0.25">
      <c r="A7429" t="str">
        <f>"20190303154709270"</f>
        <v>20190303154709270</v>
      </c>
      <c r="B7429" t="str">
        <f>"1551599229259503"</f>
        <v>1551599229259503</v>
      </c>
      <c r="C7429" t="s">
        <v>40</v>
      </c>
      <c r="D7429">
        <v>5.3764390000000004</v>
      </c>
      <c r="E7429">
        <v>0.62009369999999997</v>
      </c>
      <c r="F7429" t="s">
        <v>41</v>
      </c>
      <c r="G7429">
        <v>-183.55459999999999</v>
      </c>
      <c r="H7429" s="1">
        <v>-5.33673199999999E-6</v>
      </c>
      <c r="I7429">
        <v>119.40770000000001</v>
      </c>
      <c r="J7429">
        <v>-187.90719999999999</v>
      </c>
      <c r="K7429">
        <v>1.1211180000000001</v>
      </c>
      <c r="L7429">
        <v>111.5264</v>
      </c>
      <c r="M7429">
        <v>2.1734690000000001E-2</v>
      </c>
      <c r="N7429">
        <v>-1.3588070000000001E-2</v>
      </c>
      <c r="O7429">
        <v>0.99967150000000005</v>
      </c>
      <c r="P7429">
        <v>0.19015689999999999</v>
      </c>
      <c r="Q7429">
        <v>-9.0832350000000006E-2</v>
      </c>
      <c r="R7429">
        <v>0.97754280000000005</v>
      </c>
      <c r="S7429">
        <v>1.485352</v>
      </c>
      <c r="T7429">
        <v>-0.38217719999999999</v>
      </c>
      <c r="U7429">
        <v>2.7555999999999998</v>
      </c>
      <c r="V7429">
        <v>0.16885649999999999</v>
      </c>
      <c r="W7429">
        <v>-7.750311E-2</v>
      </c>
      <c r="X7429">
        <v>0.98258880000000004</v>
      </c>
      <c r="Y7429">
        <v>0.4520632</v>
      </c>
      <c r="Z7429">
        <v>-0.10836949999999999</v>
      </c>
      <c r="AA7429">
        <v>0.88537840000000001</v>
      </c>
      <c r="AB7429">
        <v>21</v>
      </c>
      <c r="AC7429">
        <v>4.35259999999999</v>
      </c>
      <c r="AD7429">
        <v>-1.1211233367319999</v>
      </c>
      <c r="AE7429">
        <v>7.8813000000000004</v>
      </c>
      <c r="AF7429">
        <v>4.1164288036610799</v>
      </c>
      <c r="AG7429">
        <v>-1.1211233367319999</v>
      </c>
      <c r="AH7429">
        <v>7.8522913077673504</v>
      </c>
      <c r="AI7429">
        <v>97.207027623519195</v>
      </c>
      <c r="AJ7429">
        <v>62.334996681168697</v>
      </c>
      <c r="AK7429">
        <v>8.9364636413860303</v>
      </c>
      <c r="AL7429">
        <v>94.445058746352998</v>
      </c>
      <c r="AM7429">
        <v>80.249044818423897</v>
      </c>
      <c r="AN7429">
        <v>0.99999999976868104</v>
      </c>
    </row>
    <row r="7430" spans="1:40" x14ac:dyDescent="0.25">
      <c r="A7430" t="str">
        <f>"20190303154709293"</f>
        <v>20190303154709293</v>
      </c>
      <c r="B7430" t="str">
        <f>"1551599229289758"</f>
        <v>1551599229289758</v>
      </c>
      <c r="C7430" t="s">
        <v>40</v>
      </c>
      <c r="D7430">
        <v>5.3901879999999904</v>
      </c>
      <c r="E7430">
        <v>0.61901930000000005</v>
      </c>
      <c r="F7430" t="s">
        <v>41</v>
      </c>
      <c r="G7430">
        <v>-183.4973</v>
      </c>
      <c r="H7430" s="1">
        <v>-5.4016790000000004E-6</v>
      </c>
      <c r="I7430">
        <v>119.5355</v>
      </c>
      <c r="J7430">
        <v>-187.9023</v>
      </c>
      <c r="K7430">
        <v>1.1211880000000001</v>
      </c>
      <c r="L7430">
        <v>111.74930000000001</v>
      </c>
      <c r="M7430">
        <v>2.1703219999999999E-2</v>
      </c>
      <c r="N7430">
        <v>-1.3585699999999999E-2</v>
      </c>
      <c r="O7430">
        <v>0.99967220000000001</v>
      </c>
      <c r="P7430">
        <v>0.19975409999999999</v>
      </c>
      <c r="Q7430">
        <v>-9.0748590000000004E-2</v>
      </c>
      <c r="R7430">
        <v>0.97563460000000002</v>
      </c>
      <c r="S7430">
        <v>1.508591</v>
      </c>
      <c r="T7430">
        <v>-0.38352720000000001</v>
      </c>
      <c r="U7430">
        <v>2.7398220000000002</v>
      </c>
      <c r="V7430">
        <v>0.17853659999999999</v>
      </c>
      <c r="W7430">
        <v>-7.7416199999999893E-2</v>
      </c>
      <c r="X7430">
        <v>0.98088299999999995</v>
      </c>
      <c r="Y7430">
        <v>0.45994550000000001</v>
      </c>
      <c r="Z7430">
        <v>-0.1089151</v>
      </c>
      <c r="AA7430">
        <v>0.88124210000000003</v>
      </c>
      <c r="AB7430">
        <v>21</v>
      </c>
      <c r="AC7430">
        <v>4.4050000000000002</v>
      </c>
      <c r="AD7430">
        <v>-1.1211934016789999</v>
      </c>
      <c r="AE7430">
        <v>7.7861999999999902</v>
      </c>
      <c r="AF7430">
        <v>4.1694680747165096</v>
      </c>
      <c r="AG7430">
        <v>-1.1211934016789999</v>
      </c>
      <c r="AH7430">
        <v>7.7581146443148796</v>
      </c>
      <c r="AI7430">
        <v>97.254688954728394</v>
      </c>
      <c r="AJ7430">
        <v>61.744941675065803</v>
      </c>
      <c r="AK7430">
        <v>8.87861934674428</v>
      </c>
      <c r="AL7430">
        <v>94.4400640621772</v>
      </c>
      <c r="AM7430">
        <v>79.684171158484304</v>
      </c>
      <c r="AN7430">
        <v>1.0000000226254899</v>
      </c>
    </row>
    <row r="7431" spans="1:40" x14ac:dyDescent="0.25">
      <c r="A7431" t="str">
        <f>"20190303154709318"</f>
        <v>20190303154709318</v>
      </c>
      <c r="B7431" t="str">
        <f>"1551599229309279"</f>
        <v>1551599229309279</v>
      </c>
      <c r="C7431" t="s">
        <v>40</v>
      </c>
      <c r="D7431">
        <v>5.4319419999999896</v>
      </c>
      <c r="E7431">
        <v>0.61847369999999902</v>
      </c>
      <c r="F7431" t="s">
        <v>61</v>
      </c>
      <c r="G7431">
        <v>-183.41229999999999</v>
      </c>
      <c r="H7431" s="1">
        <v>-1.785734E-6</v>
      </c>
      <c r="I7431">
        <v>119.7662</v>
      </c>
      <c r="J7431">
        <v>-187.89760000000001</v>
      </c>
      <c r="K7431">
        <v>1.1212599999999999</v>
      </c>
      <c r="L7431">
        <v>111.9689</v>
      </c>
      <c r="M7431">
        <v>2.1560389999999999E-2</v>
      </c>
      <c r="N7431">
        <v>-1.358354E-2</v>
      </c>
      <c r="O7431">
        <v>0.99967530000000004</v>
      </c>
      <c r="P7431">
        <v>0.20816509999999999</v>
      </c>
      <c r="Q7431">
        <v>-8.9640220000000007E-2</v>
      </c>
      <c r="R7431">
        <v>0.97397739999999999</v>
      </c>
      <c r="S7431">
        <v>1.527191</v>
      </c>
      <c r="T7431">
        <v>-0.38135019999999997</v>
      </c>
      <c r="U7431">
        <v>2.726791</v>
      </c>
      <c r="V7431">
        <v>0.18713399999999999</v>
      </c>
      <c r="W7431">
        <v>-7.6298240000000003E-2</v>
      </c>
      <c r="X7431">
        <v>0.97936679999999998</v>
      </c>
      <c r="Y7431">
        <v>0.46645310000000001</v>
      </c>
      <c r="Z7431">
        <v>-0.1083298</v>
      </c>
      <c r="AA7431">
        <v>0.87788729999999904</v>
      </c>
      <c r="AB7431">
        <v>21</v>
      </c>
      <c r="AC7431">
        <v>4.48530000000002</v>
      </c>
      <c r="AD7431">
        <v>-1.1212617857339999</v>
      </c>
      <c r="AE7431">
        <v>7.7972999999999901</v>
      </c>
      <c r="AF7431">
        <v>4.2500931017291501</v>
      </c>
      <c r="AG7431">
        <v>-1.1212617857339999</v>
      </c>
      <c r="AH7431">
        <v>7.7714520909458598</v>
      </c>
      <c r="AI7431">
        <v>97.214482210306201</v>
      </c>
      <c r="AJ7431">
        <v>61.326398131106401</v>
      </c>
      <c r="AK7431">
        <v>8.9283809824278801</v>
      </c>
      <c r="AL7431">
        <v>94.375819995361596</v>
      </c>
      <c r="AM7431">
        <v>79.182513695844605</v>
      </c>
      <c r="AN7431">
        <v>0.99999994216266697</v>
      </c>
    </row>
    <row r="7432" spans="1:40" x14ac:dyDescent="0.25">
      <c r="A7432" t="str">
        <f>"20190303154709337"</f>
        <v>20190303154709337</v>
      </c>
      <c r="B7432" t="str">
        <f>"1551599229329775"</f>
        <v>1551599229329775</v>
      </c>
      <c r="C7432" t="s">
        <v>40</v>
      </c>
      <c r="D7432">
        <v>5.3665589999999996</v>
      </c>
      <c r="E7432">
        <v>0.60957689999999998</v>
      </c>
      <c r="F7432" t="s">
        <v>61</v>
      </c>
      <c r="G7432">
        <v>-183.23519999999999</v>
      </c>
      <c r="H7432" s="1">
        <v>-1.9468909999999999E-6</v>
      </c>
      <c r="I7432">
        <v>120.1534</v>
      </c>
      <c r="J7432">
        <v>-187.89359999999999</v>
      </c>
      <c r="K7432">
        <v>1.12131</v>
      </c>
      <c r="L7432">
        <v>112.1604</v>
      </c>
      <c r="M7432">
        <v>2.13572E-2</v>
      </c>
      <c r="N7432">
        <v>-1.358173E-2</v>
      </c>
      <c r="O7432">
        <v>0.9996796</v>
      </c>
      <c r="P7432">
        <v>0.21613109999999999</v>
      </c>
      <c r="Q7432">
        <v>-8.9503479999999996E-2</v>
      </c>
      <c r="R7432">
        <v>0.97225329999999999</v>
      </c>
      <c r="S7432">
        <v>1.546799</v>
      </c>
      <c r="T7432">
        <v>-0.3719922</v>
      </c>
      <c r="U7432">
        <v>2.7153170000000002</v>
      </c>
      <c r="V7432">
        <v>0.19534370000000001</v>
      </c>
      <c r="W7432">
        <v>-7.615798E-2</v>
      </c>
      <c r="X7432">
        <v>0.97777340000000001</v>
      </c>
      <c r="Y7432">
        <v>0.47315879999999999</v>
      </c>
      <c r="Z7432">
        <v>-0.10539999999999999</v>
      </c>
      <c r="AA7432">
        <v>0.87464940000000002</v>
      </c>
      <c r="AB7432">
        <v>21</v>
      </c>
      <c r="AC7432">
        <v>4.6584000000000003</v>
      </c>
      <c r="AD7432">
        <v>-1.121311946891</v>
      </c>
      <c r="AE7432">
        <v>7.9930000000000003</v>
      </c>
      <c r="AF7432">
        <v>4.4216571019706601</v>
      </c>
      <c r="AG7432">
        <v>-1.121311946891</v>
      </c>
      <c r="AH7432">
        <v>7.9735408763193103</v>
      </c>
      <c r="AI7432">
        <v>97.011306733805796</v>
      </c>
      <c r="AJ7432">
        <v>60.989825204393199</v>
      </c>
      <c r="AK7432">
        <v>9.1861714612771603</v>
      </c>
      <c r="AL7432">
        <v>94.367759939609897</v>
      </c>
      <c r="AM7432">
        <v>78.701955569278397</v>
      </c>
      <c r="AN7432">
        <v>1.00000001039746</v>
      </c>
    </row>
    <row r="7433" spans="1:40" x14ac:dyDescent="0.25">
      <c r="A7433" t="str">
        <f>"20190303154709360"</f>
        <v>20190303154709360</v>
      </c>
      <c r="B7433" t="str">
        <f>"1551599229349295"</f>
        <v>1551599229349295</v>
      </c>
      <c r="C7433" t="s">
        <v>40</v>
      </c>
      <c r="D7433">
        <v>5.1397309999999896</v>
      </c>
      <c r="E7433">
        <v>0.60957689999999998</v>
      </c>
      <c r="F7433" t="s">
        <v>61</v>
      </c>
      <c r="G7433">
        <v>-182.97040000000001</v>
      </c>
      <c r="H7433" s="1">
        <v>-2.2924190000000002E-6</v>
      </c>
      <c r="I7433">
        <v>121.0873</v>
      </c>
      <c r="J7433">
        <v>-187.88929999999999</v>
      </c>
      <c r="K7433">
        <v>1.121337</v>
      </c>
      <c r="L7433">
        <v>112.371</v>
      </c>
      <c r="M7433">
        <v>2.108032E-2</v>
      </c>
      <c r="N7433">
        <v>-1.357968E-2</v>
      </c>
      <c r="O7433">
        <v>0.99968559999999995</v>
      </c>
      <c r="P7433">
        <v>0.22427820000000001</v>
      </c>
      <c r="Q7433">
        <v>-9.1024880000000002E-2</v>
      </c>
      <c r="R7433">
        <v>0.97026480000000004</v>
      </c>
      <c r="S7433">
        <v>1.500427</v>
      </c>
      <c r="T7433">
        <v>-0.34173769999999998</v>
      </c>
      <c r="U7433">
        <v>2.720612</v>
      </c>
      <c r="V7433">
        <v>0.2038094</v>
      </c>
      <c r="W7433">
        <v>-7.768369E-2</v>
      </c>
      <c r="X7433">
        <v>0.97592369999999995</v>
      </c>
      <c r="Y7433">
        <v>0.46175310000000003</v>
      </c>
      <c r="Z7433">
        <v>-9.6444929999999998E-2</v>
      </c>
      <c r="AA7433">
        <v>0.88174959999999902</v>
      </c>
      <c r="AB7433">
        <v>21</v>
      </c>
      <c r="AC7433">
        <v>4.9188999999999696</v>
      </c>
      <c r="AD7433">
        <v>-1.121339292419</v>
      </c>
      <c r="AE7433">
        <v>8.7162999999999897</v>
      </c>
      <c r="AF7433">
        <v>4.6753588264660699</v>
      </c>
      <c r="AG7433">
        <v>-1.121339292419</v>
      </c>
      <c r="AH7433">
        <v>8.70874562670868</v>
      </c>
      <c r="AI7433">
        <v>96.472273500782805</v>
      </c>
      <c r="AJ7433">
        <v>61.770521632504099</v>
      </c>
      <c r="AK7433">
        <v>9.9477953515165698</v>
      </c>
      <c r="AL7433">
        <v>94.455436292194193</v>
      </c>
      <c r="AM7433">
        <v>78.204032537123894</v>
      </c>
      <c r="AN7433">
        <v>1.00000004772103</v>
      </c>
    </row>
    <row r="7434" spans="1:40" x14ac:dyDescent="0.25">
      <c r="A7434" t="str">
        <f>"20190303154709381"</f>
        <v>20190303154709381</v>
      </c>
      <c r="B7434" t="str">
        <f>"1551599229369791"</f>
        <v>1551599229369791</v>
      </c>
      <c r="C7434" t="s">
        <v>40</v>
      </c>
      <c r="D7434">
        <v>5.4384959999999998</v>
      </c>
      <c r="E7434">
        <v>0.60957689999999998</v>
      </c>
      <c r="F7434" t="s">
        <v>61</v>
      </c>
      <c r="G7434">
        <v>-182.94450000000001</v>
      </c>
      <c r="H7434" s="1">
        <v>-2.3208190000000002E-6</v>
      </c>
      <c r="I7434">
        <v>121.1604</v>
      </c>
      <c r="J7434">
        <v>-187.8854</v>
      </c>
      <c r="K7434">
        <v>1.121327</v>
      </c>
      <c r="L7434">
        <v>112.5722</v>
      </c>
      <c r="M7434">
        <v>2.0795009999999999E-2</v>
      </c>
      <c r="N7434">
        <v>-1.3577540000000001E-2</v>
      </c>
      <c r="O7434">
        <v>0.99969149999999996</v>
      </c>
      <c r="P7434">
        <v>0.2315112</v>
      </c>
      <c r="Q7434">
        <v>-9.3872170000000005E-2</v>
      </c>
      <c r="R7434">
        <v>0.96829259999999995</v>
      </c>
      <c r="S7434">
        <v>1.5231629999999901</v>
      </c>
      <c r="T7434">
        <v>-0.34541110000000003</v>
      </c>
      <c r="U7434">
        <v>2.707443</v>
      </c>
      <c r="V7434">
        <v>0.21136369999999999</v>
      </c>
      <c r="W7434">
        <v>-8.0548899999999896E-2</v>
      </c>
      <c r="X7434">
        <v>0.97408280000000003</v>
      </c>
      <c r="Y7434">
        <v>0.4693773</v>
      </c>
      <c r="Z7434">
        <v>-9.7635050000000001E-2</v>
      </c>
      <c r="AA7434">
        <v>0.87758320000000001</v>
      </c>
      <c r="AB7434">
        <v>21</v>
      </c>
      <c r="AC7434">
        <v>4.9408999999999903</v>
      </c>
      <c r="AD7434">
        <v>-1.1213293208190001</v>
      </c>
      <c r="AE7434">
        <v>8.5882000000000005</v>
      </c>
      <c r="AF7434">
        <v>4.7010115812882001</v>
      </c>
      <c r="AG7434">
        <v>-1.1213293208190001</v>
      </c>
      <c r="AH7434">
        <v>8.5792135763984696</v>
      </c>
      <c r="AI7434">
        <v>96.538876288045699</v>
      </c>
      <c r="AJ7434">
        <v>61.279300126746101</v>
      </c>
      <c r="AK7434">
        <v>9.8468164866922301</v>
      </c>
      <c r="AL7434">
        <v>94.620117119401797</v>
      </c>
      <c r="AM7434">
        <v>77.757325495381096</v>
      </c>
      <c r="AN7434">
        <v>1.00000002011237</v>
      </c>
    </row>
    <row r="7435" spans="1:40" x14ac:dyDescent="0.25">
      <c r="A7435" t="str">
        <f>"20190303154709405"</f>
        <v>20190303154709405</v>
      </c>
      <c r="B7435" t="str">
        <f>"1551599229399071"</f>
        <v>1551599229399071</v>
      </c>
      <c r="C7435" t="s">
        <v>40</v>
      </c>
      <c r="D7435">
        <v>5.269463</v>
      </c>
      <c r="E7435">
        <v>0.58656200000000003</v>
      </c>
      <c r="F7435" t="s">
        <v>61</v>
      </c>
      <c r="G7435">
        <v>-182.98390000000001</v>
      </c>
      <c r="H7435" s="1">
        <v>-2.3015030000000002E-6</v>
      </c>
      <c r="I7435">
        <v>121.13039999999999</v>
      </c>
      <c r="J7435">
        <v>-187.8811</v>
      </c>
      <c r="K7435">
        <v>1.1212879999999901</v>
      </c>
      <c r="L7435">
        <v>112.79259999999999</v>
      </c>
      <c r="M7435">
        <v>2.051207E-2</v>
      </c>
      <c r="N7435">
        <v>-1.3575E-2</v>
      </c>
      <c r="O7435">
        <v>0.99969739999999996</v>
      </c>
      <c r="P7435">
        <v>0.23845089999999999</v>
      </c>
      <c r="Q7435">
        <v>-9.5305639999999997E-2</v>
      </c>
      <c r="R7435">
        <v>0.96646679999999996</v>
      </c>
      <c r="S7435">
        <v>1.5434570000000001</v>
      </c>
      <c r="T7435">
        <v>-0.35310570000000002</v>
      </c>
      <c r="U7435">
        <v>2.6949770000000002</v>
      </c>
      <c r="V7435">
        <v>0.21861059999999999</v>
      </c>
      <c r="W7435">
        <v>-8.2017859999999998E-2</v>
      </c>
      <c r="X7435">
        <v>0.97235919999999998</v>
      </c>
      <c r="Y7435">
        <v>0.47620170000000001</v>
      </c>
      <c r="Z7435">
        <v>-0.1001166</v>
      </c>
      <c r="AA7435">
        <v>0.87361819999999901</v>
      </c>
      <c r="AB7435">
        <v>21</v>
      </c>
      <c r="AC7435">
        <v>4.89719999999999</v>
      </c>
      <c r="AD7435">
        <v>-1.12129030150299</v>
      </c>
      <c r="AE7435">
        <v>8.3377999999999997</v>
      </c>
      <c r="AF7435">
        <v>4.6624335345635002</v>
      </c>
      <c r="AG7435">
        <v>-1.12129030150299</v>
      </c>
      <c r="AH7435">
        <v>8.3245679489280597</v>
      </c>
      <c r="AI7435">
        <v>96.7026253643389</v>
      </c>
      <c r="AJ7435">
        <v>60.747634527097397</v>
      </c>
      <c r="AK7435">
        <v>9.6069771489676903</v>
      </c>
      <c r="AL7435">
        <v>94.7045620003057</v>
      </c>
      <c r="AM7435">
        <v>77.329163686587506</v>
      </c>
      <c r="AN7435">
        <v>0.99999996880798903</v>
      </c>
    </row>
    <row r="7436" spans="1:40" x14ac:dyDescent="0.25">
      <c r="A7436" t="str">
        <f>"20190303154709426"</f>
        <v>20190303154709426</v>
      </c>
      <c r="B7436" t="str">
        <f>"1551599229419568"</f>
        <v>1551599229419568</v>
      </c>
      <c r="C7436" t="s">
        <v>40</v>
      </c>
      <c r="D7436">
        <v>5.2646810000000004</v>
      </c>
      <c r="E7436">
        <v>0.583509099999999</v>
      </c>
      <c r="F7436" t="s">
        <v>61</v>
      </c>
      <c r="G7436">
        <v>-181.44030000000001</v>
      </c>
      <c r="H7436" s="1">
        <v>-4.1604260000000003E-6</v>
      </c>
      <c r="I7436">
        <v>125.51519999999999</v>
      </c>
      <c r="J7436">
        <v>-187.87719999999999</v>
      </c>
      <c r="K7436">
        <v>1.12124</v>
      </c>
      <c r="L7436">
        <v>112.99550000000001</v>
      </c>
      <c r="M7436">
        <v>2.0313290000000001E-2</v>
      </c>
      <c r="N7436">
        <v>-1.357273E-2</v>
      </c>
      <c r="O7436">
        <v>0.99970159999999997</v>
      </c>
      <c r="P7436">
        <v>0.24485409999999999</v>
      </c>
      <c r="Q7436">
        <v>-9.5148609999999995E-2</v>
      </c>
      <c r="R7436">
        <v>0.96487990000000001</v>
      </c>
      <c r="S7436">
        <v>1.3862460000000001</v>
      </c>
      <c r="T7436">
        <v>-0.2413361</v>
      </c>
      <c r="U7436">
        <v>2.7382970000000002</v>
      </c>
      <c r="V7436">
        <v>0.22522780000000001</v>
      </c>
      <c r="W7436">
        <v>-8.1907679999999997E-2</v>
      </c>
      <c r="X7436">
        <v>0.97085710000000003</v>
      </c>
      <c r="Y7436">
        <v>0.43223060000000002</v>
      </c>
      <c r="Z7436">
        <v>-6.5266249999999998E-2</v>
      </c>
      <c r="AA7436">
        <v>0.89939809999999998</v>
      </c>
      <c r="AB7436">
        <v>21</v>
      </c>
      <c r="AC7436">
        <v>6.4368999999999801</v>
      </c>
      <c r="AD7436">
        <v>-1.1212441604259999</v>
      </c>
      <c r="AE7436">
        <v>12.519699999999901</v>
      </c>
      <c r="AF7436">
        <v>6.1422666969497204</v>
      </c>
      <c r="AG7436">
        <v>-1.1212441604259999</v>
      </c>
      <c r="AH7436">
        <v>12.5681533164651</v>
      </c>
      <c r="AI7436">
        <v>94.582638230983207</v>
      </c>
      <c r="AJ7436">
        <v>63.954466738038199</v>
      </c>
      <c r="AK7436">
        <v>14.0336419517501</v>
      </c>
      <c r="AL7436">
        <v>94.698227836933597</v>
      </c>
      <c r="AM7436">
        <v>76.939067577389295</v>
      </c>
      <c r="AN7436">
        <v>0.99999996927811496</v>
      </c>
    </row>
    <row r="7437" spans="1:40" x14ac:dyDescent="0.25">
      <c r="A7437" t="str">
        <f>"20190303154709448"</f>
        <v>20190303154709448</v>
      </c>
      <c r="B7437" t="str">
        <f>"1551599229439087"</f>
        <v>1551599229439087</v>
      </c>
      <c r="C7437" t="s">
        <v>40</v>
      </c>
      <c r="D7437">
        <v>5.1441100000000004</v>
      </c>
      <c r="E7437">
        <v>0.58078680000000005</v>
      </c>
      <c r="F7437" t="s">
        <v>61</v>
      </c>
      <c r="G7437">
        <v>-181.2345</v>
      </c>
      <c r="H7437" s="1">
        <v>-4.3556599999999901E-6</v>
      </c>
      <c r="I7437">
        <v>126.1566</v>
      </c>
      <c r="J7437">
        <v>-187.87309999999999</v>
      </c>
      <c r="K7437">
        <v>1.1211799999999901</v>
      </c>
      <c r="L7437">
        <v>113.2038</v>
      </c>
      <c r="M7437">
        <v>2.0185390000000001E-2</v>
      </c>
      <c r="N7437">
        <v>-1.3570550000000001E-2</v>
      </c>
      <c r="O7437">
        <v>0.99970409999999998</v>
      </c>
      <c r="P7437">
        <v>0.2512028</v>
      </c>
      <c r="Q7437">
        <v>-9.5198599999999994E-2</v>
      </c>
      <c r="R7437">
        <v>0.96324160000000003</v>
      </c>
      <c r="S7437">
        <v>1.380814</v>
      </c>
      <c r="T7437">
        <v>-0.23307310000000001</v>
      </c>
      <c r="U7437">
        <v>2.7357939999999998</v>
      </c>
      <c r="V7437">
        <v>0.23172000000000001</v>
      </c>
      <c r="W7437">
        <v>-8.2013550000000005E-2</v>
      </c>
      <c r="X7437">
        <v>0.96931920000000005</v>
      </c>
      <c r="Y7437">
        <v>0.43133680000000002</v>
      </c>
      <c r="Z7437">
        <v>-6.2697890000000006E-2</v>
      </c>
      <c r="AA7437">
        <v>0.90000979999999997</v>
      </c>
      <c r="AB7437">
        <v>21</v>
      </c>
      <c r="AC7437">
        <v>6.6385999999999896</v>
      </c>
      <c r="AD7437">
        <v>-1.1211843556600001</v>
      </c>
      <c r="AE7437">
        <v>12.9527999999999</v>
      </c>
      <c r="AF7437">
        <v>6.3381563308604196</v>
      </c>
      <c r="AG7437">
        <v>-1.1211843556600001</v>
      </c>
      <c r="AH7437">
        <v>13.0069944658919</v>
      </c>
      <c r="AI7437">
        <v>94.430899668557799</v>
      </c>
      <c r="AJ7437">
        <v>64.020567235777307</v>
      </c>
      <c r="AK7437">
        <v>14.5124493132464</v>
      </c>
      <c r="AL7437">
        <v>94.7043138561326</v>
      </c>
      <c r="AM7437">
        <v>76.555506953548303</v>
      </c>
      <c r="AN7437">
        <v>1.00000004613612</v>
      </c>
    </row>
    <row r="7438" spans="1:40" x14ac:dyDescent="0.25">
      <c r="A7438" t="str">
        <f>"20190303154709471"</f>
        <v>20190303154709471</v>
      </c>
      <c r="B7438" t="str">
        <f>"1551599229459583"</f>
        <v>1551599229459583</v>
      </c>
      <c r="C7438" t="s">
        <v>40</v>
      </c>
      <c r="D7438">
        <v>5.3172769999999998</v>
      </c>
      <c r="E7438">
        <v>0.57883660000000003</v>
      </c>
      <c r="F7438" t="s">
        <v>61</v>
      </c>
      <c r="G7438">
        <v>-180.22139999999999</v>
      </c>
      <c r="H7438" s="1">
        <v>-5.0763110000000001E-6</v>
      </c>
      <c r="I7438">
        <v>128.38820000000001</v>
      </c>
      <c r="J7438">
        <v>-187.8691</v>
      </c>
      <c r="K7438">
        <v>1.1211100000000001</v>
      </c>
      <c r="L7438">
        <v>113.4045</v>
      </c>
      <c r="M7438">
        <v>2.0153480000000001E-2</v>
      </c>
      <c r="N7438">
        <v>-1.3568530000000001E-2</v>
      </c>
      <c r="O7438">
        <v>0.99970479999999995</v>
      </c>
      <c r="P7438">
        <v>0.25756079999999998</v>
      </c>
      <c r="Q7438">
        <v>-9.5561090000000001E-2</v>
      </c>
      <c r="R7438">
        <v>0.96152510000000002</v>
      </c>
      <c r="S7438">
        <v>1.3782650000000001</v>
      </c>
      <c r="T7438">
        <v>-0.20195379999999999</v>
      </c>
      <c r="U7438">
        <v>2.7350919999999999</v>
      </c>
      <c r="V7438">
        <v>0.2381297</v>
      </c>
      <c r="W7438">
        <v>-8.2435090000000003E-2</v>
      </c>
      <c r="X7438">
        <v>0.96772860000000005</v>
      </c>
      <c r="Y7438">
        <v>0.43107970000000001</v>
      </c>
      <c r="Z7438">
        <v>-5.2605249999999999E-2</v>
      </c>
      <c r="AA7438">
        <v>0.90077910000000005</v>
      </c>
      <c r="AB7438">
        <v>21</v>
      </c>
      <c r="AC7438">
        <v>7.6477000000000102</v>
      </c>
      <c r="AD7438">
        <v>-1.121115076311</v>
      </c>
      <c r="AE7438">
        <v>14.983700000000001</v>
      </c>
      <c r="AF7438">
        <v>7.3116711691870897</v>
      </c>
      <c r="AG7438">
        <v>-1.121115076311</v>
      </c>
      <c r="AH7438">
        <v>15.067876295905</v>
      </c>
      <c r="AI7438">
        <v>93.829639233215403</v>
      </c>
      <c r="AJ7438">
        <v>64.115068328384794</v>
      </c>
      <c r="AK7438">
        <v>16.785658472915198</v>
      </c>
      <c r="AL7438">
        <v>94.728548737531099</v>
      </c>
      <c r="AM7438">
        <v>76.175838307298207</v>
      </c>
      <c r="AN7438">
        <v>0.99999997067167801</v>
      </c>
    </row>
    <row r="7439" spans="1:40" x14ac:dyDescent="0.25">
      <c r="A7439" t="str">
        <f>"20190303154709497"</f>
        <v>20190303154709497</v>
      </c>
      <c r="B7439" t="str">
        <f>"1551599229489840"</f>
        <v>1551599229489840</v>
      </c>
      <c r="C7439" t="s">
        <v>40</v>
      </c>
      <c r="D7439">
        <v>5.2966519999999999</v>
      </c>
      <c r="E7439">
        <v>0.57740539999999996</v>
      </c>
      <c r="F7439" t="s">
        <v>61</v>
      </c>
      <c r="G7439">
        <v>-179.47460000000001</v>
      </c>
      <c r="H7439" s="1">
        <v>-5.2487229999999998E-6</v>
      </c>
      <c r="I7439">
        <v>130.0018</v>
      </c>
      <c r="J7439">
        <v>-187.864</v>
      </c>
      <c r="K7439">
        <v>1.121003</v>
      </c>
      <c r="L7439">
        <v>113.6506</v>
      </c>
      <c r="M7439">
        <v>2.0286559999999999E-2</v>
      </c>
      <c r="N7439">
        <v>-1.3566089999999999E-2</v>
      </c>
      <c r="O7439">
        <v>0.99970219999999999</v>
      </c>
      <c r="P7439">
        <v>0.26339679999999999</v>
      </c>
      <c r="Q7439">
        <v>-9.605002E-2</v>
      </c>
      <c r="R7439">
        <v>0.95989409999999997</v>
      </c>
      <c r="S7439">
        <v>1.3815770000000001</v>
      </c>
      <c r="T7439">
        <v>-0.1845157</v>
      </c>
      <c r="U7439">
        <v>2.7316280000000002</v>
      </c>
      <c r="V7439">
        <v>0.24385009999999999</v>
      </c>
      <c r="W7439">
        <v>-8.300138E-2</v>
      </c>
      <c r="X7439">
        <v>0.96625459999999996</v>
      </c>
      <c r="Y7439">
        <v>0.43242999999999998</v>
      </c>
      <c r="Z7439">
        <v>-4.6953290000000002E-2</v>
      </c>
      <c r="AA7439">
        <v>0.90044409999999897</v>
      </c>
      <c r="AB7439">
        <v>21</v>
      </c>
      <c r="AC7439">
        <v>8.3893999999999895</v>
      </c>
      <c r="AD7439">
        <v>-1.121008248723</v>
      </c>
      <c r="AE7439">
        <v>16.351199999999999</v>
      </c>
      <c r="AF7439">
        <v>8.0260700981925996</v>
      </c>
      <c r="AG7439">
        <v>-1.121008248723</v>
      </c>
      <c r="AH7439">
        <v>16.456810488829301</v>
      </c>
      <c r="AI7439">
        <v>93.503554654342395</v>
      </c>
      <c r="AJ7439">
        <v>64.001273193378196</v>
      </c>
      <c r="AK7439">
        <v>18.343965552193101</v>
      </c>
      <c r="AL7439">
        <v>94.761106076731096</v>
      </c>
      <c r="AM7439">
        <v>75.836223885345305</v>
      </c>
      <c r="AN7439">
        <v>1.0000000261865301</v>
      </c>
    </row>
    <row r="7440" spans="1:40" x14ac:dyDescent="0.25">
      <c r="A7440" t="str">
        <f>"20190303154709518"</f>
        <v>20190303154709518</v>
      </c>
      <c r="B7440" t="str">
        <f>"1551599229509360"</f>
        <v>1551599229509360</v>
      </c>
      <c r="C7440" t="s">
        <v>40</v>
      </c>
      <c r="D7440">
        <v>5.3408540000000002</v>
      </c>
      <c r="E7440">
        <v>0.57654119999999998</v>
      </c>
      <c r="F7440" t="s">
        <v>61</v>
      </c>
      <c r="G7440">
        <v>-179.88759999999999</v>
      </c>
      <c r="H7440" s="1">
        <v>-5.3098289999999997E-6</v>
      </c>
      <c r="I7440">
        <v>129.32230000000001</v>
      </c>
      <c r="J7440">
        <v>-187.85990000000001</v>
      </c>
      <c r="K7440">
        <v>1.1209009999999999</v>
      </c>
      <c r="L7440">
        <v>113.84220000000001</v>
      </c>
      <c r="M7440">
        <v>2.05744E-2</v>
      </c>
      <c r="N7440">
        <v>-1.356447E-2</v>
      </c>
      <c r="O7440">
        <v>0.99969629999999998</v>
      </c>
      <c r="P7440">
        <v>0.26897769999999999</v>
      </c>
      <c r="Q7440">
        <v>-9.4413410000000003E-2</v>
      </c>
      <c r="R7440">
        <v>0.95850780000000002</v>
      </c>
      <c r="S7440">
        <v>1.38707</v>
      </c>
      <c r="T7440">
        <v>-0.19493759999999999</v>
      </c>
      <c r="U7440">
        <v>2.7252200000000002</v>
      </c>
      <c r="V7440">
        <v>0.24916099999999999</v>
      </c>
      <c r="W7440">
        <v>-8.1444740000000002E-2</v>
      </c>
      <c r="X7440">
        <v>0.96503139999999998</v>
      </c>
      <c r="Y7440">
        <v>0.43437710000000002</v>
      </c>
      <c r="Z7440">
        <v>-5.0431400000000001E-2</v>
      </c>
      <c r="AA7440">
        <v>0.89931819999999896</v>
      </c>
      <c r="AB7440">
        <v>21</v>
      </c>
      <c r="AC7440">
        <v>7.9723000000000104</v>
      </c>
      <c r="AD7440">
        <v>-1.120906309829</v>
      </c>
      <c r="AE7440">
        <v>15.4801</v>
      </c>
      <c r="AF7440">
        <v>7.6205095025654899</v>
      </c>
      <c r="AG7440">
        <v>-1.120906309829</v>
      </c>
      <c r="AH7440">
        <v>15.5763144064292</v>
      </c>
      <c r="AI7440">
        <v>93.698502846711307</v>
      </c>
      <c r="AJ7440">
        <v>63.930408653246701</v>
      </c>
      <c r="AK7440">
        <v>17.376713340618799</v>
      </c>
      <c r="AL7440">
        <v>94.671614143101706</v>
      </c>
      <c r="AM7440">
        <v>75.522990772543494</v>
      </c>
      <c r="AN7440">
        <v>1.0000000262903099</v>
      </c>
    </row>
    <row r="7441" spans="1:40" x14ac:dyDescent="0.25">
      <c r="A7441" t="str">
        <f>"20190303154709541"</f>
        <v>20190303154709541</v>
      </c>
      <c r="B7441" t="str">
        <f>"1551599229529855"</f>
        <v>1551599229529855</v>
      </c>
      <c r="C7441" t="s">
        <v>40</v>
      </c>
      <c r="D7441">
        <v>5.3850360000000004</v>
      </c>
      <c r="E7441">
        <v>0.57577339999999999</v>
      </c>
      <c r="F7441" t="s">
        <v>61</v>
      </c>
      <c r="G7441">
        <v>-179.80369999999999</v>
      </c>
      <c r="H7441" s="1">
        <v>-5.3077470000000003E-6</v>
      </c>
      <c r="I7441">
        <v>129.53299999999999</v>
      </c>
      <c r="J7441">
        <v>-187.85499999999999</v>
      </c>
      <c r="K7441">
        <v>1.120752</v>
      </c>
      <c r="L7441">
        <v>114.05889999999999</v>
      </c>
      <c r="M7441">
        <v>2.1137670000000001E-2</v>
      </c>
      <c r="N7441">
        <v>-1.3563449999999999E-2</v>
      </c>
      <c r="O7441">
        <v>0.99968460000000003</v>
      </c>
      <c r="P7441">
        <v>0.27450419999999998</v>
      </c>
      <c r="Q7441">
        <v>-9.2365199999999995E-2</v>
      </c>
      <c r="R7441">
        <v>0.95713959999999998</v>
      </c>
      <c r="S7441">
        <v>1.3960269999999999</v>
      </c>
      <c r="T7441">
        <v>-0.19423599999999999</v>
      </c>
      <c r="U7441">
        <v>2.718979</v>
      </c>
      <c r="V7441">
        <v>0.2541428</v>
      </c>
      <c r="W7441">
        <v>-7.9511960000000007E-2</v>
      </c>
      <c r="X7441">
        <v>0.96389279999999999</v>
      </c>
      <c r="Y7441">
        <v>0.43705300000000002</v>
      </c>
      <c r="Z7441">
        <v>-5.0245810000000002E-2</v>
      </c>
      <c r="AA7441">
        <v>0.89803120000000003</v>
      </c>
      <c r="AB7441">
        <v>21</v>
      </c>
      <c r="AC7441">
        <v>8.0512999999999906</v>
      </c>
      <c r="AD7441">
        <v>-1.1207573077470001</v>
      </c>
      <c r="AE7441">
        <v>15.4740999999999</v>
      </c>
      <c r="AF7441">
        <v>7.6906357066168196</v>
      </c>
      <c r="AG7441">
        <v>-1.1207573077470001</v>
      </c>
      <c r="AH7441">
        <v>15.576540121938599</v>
      </c>
      <c r="AI7441">
        <v>93.691403129995905</v>
      </c>
      <c r="AJ7441">
        <v>63.722974269575097</v>
      </c>
      <c r="AK7441">
        <v>17.407773455704302</v>
      </c>
      <c r="AL7441">
        <v>94.560513639724803</v>
      </c>
      <c r="AM7441">
        <v>75.229378250121499</v>
      </c>
      <c r="AN7441">
        <v>1.00000002223336</v>
      </c>
    </row>
    <row r="7442" spans="1:40" x14ac:dyDescent="0.25">
      <c r="A7442" t="str">
        <f>"20190303154709564"</f>
        <v>20190303154709564</v>
      </c>
      <c r="B7442" t="str">
        <f>"1551599229559135"</f>
        <v>1551599229559135</v>
      </c>
      <c r="C7442" t="s">
        <v>40</v>
      </c>
      <c r="D7442">
        <v>5.4029119999999997</v>
      </c>
      <c r="E7442">
        <v>0.57446409999999903</v>
      </c>
      <c r="F7442" t="s">
        <v>61</v>
      </c>
      <c r="G7442">
        <v>-179.6643</v>
      </c>
      <c r="H7442" s="1">
        <v>-5.326593E-6</v>
      </c>
      <c r="I7442">
        <v>129.86600000000001</v>
      </c>
      <c r="J7442">
        <v>-187.85</v>
      </c>
      <c r="K7442">
        <v>1.1205560000000001</v>
      </c>
      <c r="L7442">
        <v>114.26090000000001</v>
      </c>
      <c r="M7442">
        <v>2.1956900000000001E-2</v>
      </c>
      <c r="N7442">
        <v>-1.3564120000000001E-2</v>
      </c>
      <c r="O7442">
        <v>0.99966690000000002</v>
      </c>
      <c r="P7442">
        <v>0.28145979999999998</v>
      </c>
      <c r="Q7442">
        <v>-9.0801489999999999E-2</v>
      </c>
      <c r="R7442">
        <v>0.95526730000000004</v>
      </c>
      <c r="S7442">
        <v>1.405594</v>
      </c>
      <c r="T7442">
        <v>-0.19233210000000001</v>
      </c>
      <c r="U7442">
        <v>2.7126459999999999</v>
      </c>
      <c r="V7442">
        <v>0.26031199999999999</v>
      </c>
      <c r="W7442">
        <v>-7.8100320000000001E-2</v>
      </c>
      <c r="X7442">
        <v>0.96236069999999996</v>
      </c>
      <c r="Y7442">
        <v>0.43967990000000001</v>
      </c>
      <c r="Z7442">
        <v>-4.9664279999999998E-2</v>
      </c>
      <c r="AA7442">
        <v>0.89678040000000003</v>
      </c>
      <c r="AB7442">
        <v>21</v>
      </c>
      <c r="AC7442">
        <v>8.18569999999999</v>
      </c>
      <c r="AD7442">
        <v>-1.1205613265929999</v>
      </c>
      <c r="AE7442">
        <v>15.6051</v>
      </c>
      <c r="AF7442">
        <v>7.8094761811926201</v>
      </c>
      <c r="AG7442">
        <v>-1.1205613265929999</v>
      </c>
      <c r="AH7442">
        <v>15.717529944545999</v>
      </c>
      <c r="AI7442">
        <v>93.653201361210705</v>
      </c>
      <c r="AJ7442">
        <v>63.578868667544697</v>
      </c>
      <c r="AK7442">
        <v>17.586481270253302</v>
      </c>
      <c r="AL7442">
        <v>94.479380135927997</v>
      </c>
      <c r="AM7442">
        <v>74.8640913294646</v>
      </c>
      <c r="AN7442">
        <v>1.0000000571162899</v>
      </c>
    </row>
    <row r="7443" spans="1:40" x14ac:dyDescent="0.25">
      <c r="A7443" t="str">
        <f>"20190303154709584"</f>
        <v>20190303154709584</v>
      </c>
      <c r="B7443" t="str">
        <f>"1551599229579632"</f>
        <v>1551599229579632</v>
      </c>
      <c r="C7443" t="s">
        <v>40</v>
      </c>
      <c r="D7443">
        <v>5.4181410000000003</v>
      </c>
      <c r="E7443">
        <v>0.57366130000000004</v>
      </c>
      <c r="F7443" t="s">
        <v>61</v>
      </c>
      <c r="G7443">
        <v>-179.7458</v>
      </c>
      <c r="H7443" s="1">
        <v>-5.33941799999999E-6</v>
      </c>
      <c r="I7443">
        <v>129.7534</v>
      </c>
      <c r="J7443">
        <v>-187.84450000000001</v>
      </c>
      <c r="K7443">
        <v>1.1203240000000001</v>
      </c>
      <c r="L7443">
        <v>114.4586</v>
      </c>
      <c r="M7443">
        <v>2.3069630000000001E-2</v>
      </c>
      <c r="N7443">
        <v>-1.356687E-2</v>
      </c>
      <c r="O7443">
        <v>0.99964180000000002</v>
      </c>
      <c r="P7443">
        <v>0.28945530000000003</v>
      </c>
      <c r="Q7443">
        <v>-8.9170570000000005E-2</v>
      </c>
      <c r="R7443">
        <v>0.95302900000000002</v>
      </c>
      <c r="S7443">
        <v>1.4149780000000001</v>
      </c>
      <c r="T7443">
        <v>-0.19564880000000001</v>
      </c>
      <c r="U7443">
        <v>2.704971</v>
      </c>
      <c r="V7443">
        <v>0.26724609999999999</v>
      </c>
      <c r="W7443">
        <v>-7.6649759999999997E-2</v>
      </c>
      <c r="X7443">
        <v>0.96057499999999996</v>
      </c>
      <c r="Y7443">
        <v>0.44213239999999998</v>
      </c>
      <c r="Z7443">
        <v>-5.0819940000000001E-2</v>
      </c>
      <c r="AA7443">
        <v>0.89550889999999905</v>
      </c>
      <c r="AB7443">
        <v>21</v>
      </c>
      <c r="AC7443">
        <v>8.0986999999999991</v>
      </c>
      <c r="AD7443">
        <v>-1.1203293394179901</v>
      </c>
      <c r="AE7443">
        <v>15.294799999999899</v>
      </c>
      <c r="AF7443">
        <v>7.7113519482779296</v>
      </c>
      <c r="AG7443">
        <v>-1.1203293394179901</v>
      </c>
      <c r="AH7443">
        <v>15.4129917752339</v>
      </c>
      <c r="AI7443">
        <v>93.719298473213001</v>
      </c>
      <c r="AJ7443">
        <v>63.420509227062901</v>
      </c>
      <c r="AK7443">
        <v>17.2707962225949</v>
      </c>
      <c r="AL7443">
        <v>94.396019520343302</v>
      </c>
      <c r="AM7443">
        <v>74.452650270224893</v>
      </c>
      <c r="AN7443">
        <v>0.99999999714913301</v>
      </c>
    </row>
    <row r="7444" spans="1:40" x14ac:dyDescent="0.25">
      <c r="A7444" t="str">
        <f>"20190303154709606"</f>
        <v>20190303154709606</v>
      </c>
      <c r="B7444" t="str">
        <f>"1551599229599152"</f>
        <v>1551599229599152</v>
      </c>
      <c r="C7444" t="s">
        <v>40</v>
      </c>
      <c r="D7444">
        <v>5.4000940000000002</v>
      </c>
      <c r="E7444">
        <v>0.57284209999999902</v>
      </c>
      <c r="F7444" t="s">
        <v>61</v>
      </c>
      <c r="G7444">
        <v>-179.64529999999999</v>
      </c>
      <c r="H7444" s="1">
        <v>-5.32357899999999E-6</v>
      </c>
      <c r="I7444">
        <v>129.89230000000001</v>
      </c>
      <c r="J7444">
        <v>-187.83789999999999</v>
      </c>
      <c r="K7444">
        <v>1.1200909999999999</v>
      </c>
      <c r="L7444">
        <v>114.6728</v>
      </c>
      <c r="M7444">
        <v>2.4599800000000002E-2</v>
      </c>
      <c r="N7444">
        <v>-1.357149E-2</v>
      </c>
      <c r="O7444">
        <v>0.99960519999999997</v>
      </c>
      <c r="P7444">
        <v>0.2966992</v>
      </c>
      <c r="Q7444">
        <v>-8.6996030000000002E-2</v>
      </c>
      <c r="R7444">
        <v>0.95100019999999996</v>
      </c>
      <c r="S7444">
        <v>1.431595</v>
      </c>
      <c r="T7444">
        <v>-0.19561220000000001</v>
      </c>
      <c r="U7444">
        <v>2.6947480000000001</v>
      </c>
      <c r="V7444">
        <v>0.27302959999999998</v>
      </c>
      <c r="W7444">
        <v>-7.4659219999999998E-2</v>
      </c>
      <c r="X7444">
        <v>0.95910419999999996</v>
      </c>
      <c r="Y7444">
        <v>0.4464632</v>
      </c>
      <c r="Z7444">
        <v>-5.0861299999999998E-2</v>
      </c>
      <c r="AA7444">
        <v>0.89335529999999996</v>
      </c>
      <c r="AB7444">
        <v>21</v>
      </c>
      <c r="AC7444">
        <v>8.1925999999999899</v>
      </c>
      <c r="AD7444">
        <v>-1.120096323579</v>
      </c>
      <c r="AE7444">
        <v>15.2195</v>
      </c>
      <c r="AF7444">
        <v>7.7830042150779999</v>
      </c>
      <c r="AG7444">
        <v>-1.120096323579</v>
      </c>
      <c r="AH7444">
        <v>15.3519773050576</v>
      </c>
      <c r="AI7444">
        <v>93.723323380849195</v>
      </c>
      <c r="AJ7444">
        <v>63.116322615178298</v>
      </c>
      <c r="AK7444">
        <v>17.248564507257399</v>
      </c>
      <c r="AL7444">
        <v>94.281642092439995</v>
      </c>
      <c r="AM7444">
        <v>74.109859025807296</v>
      </c>
      <c r="AN7444">
        <v>1.0000000140323999</v>
      </c>
    </row>
    <row r="7445" spans="1:40" x14ac:dyDescent="0.25">
      <c r="A7445" t="str">
        <f>"20190303154709628"</f>
        <v>20190303154709628</v>
      </c>
      <c r="B7445" t="str">
        <f>"1551599229619647"</f>
        <v>1551599229619647</v>
      </c>
      <c r="C7445" t="s">
        <v>40</v>
      </c>
      <c r="D7445">
        <v>5.5324099999999996</v>
      </c>
      <c r="E7445">
        <v>0.57267069999999998</v>
      </c>
      <c r="F7445" t="s">
        <v>61</v>
      </c>
      <c r="G7445">
        <v>-179.42699999999999</v>
      </c>
      <c r="H7445" s="1">
        <v>-5.3313619999999997E-6</v>
      </c>
      <c r="I7445">
        <v>130.30520000000001</v>
      </c>
      <c r="J7445">
        <v>-187.8312</v>
      </c>
      <c r="K7445">
        <v>1.1198999999999999</v>
      </c>
      <c r="L7445">
        <v>114.867</v>
      </c>
      <c r="M7445">
        <v>2.6291660000000001E-2</v>
      </c>
      <c r="N7445">
        <v>-1.357587E-2</v>
      </c>
      <c r="O7445">
        <v>0.99956210000000001</v>
      </c>
      <c r="P7445">
        <v>0.30379620000000002</v>
      </c>
      <c r="Q7445">
        <v>-8.5583370000000006E-2</v>
      </c>
      <c r="R7445">
        <v>0.94888530000000004</v>
      </c>
      <c r="S7445">
        <v>1.4452210000000001</v>
      </c>
      <c r="T7445">
        <v>-0.19246389999999999</v>
      </c>
      <c r="U7445">
        <v>2.6860810000000002</v>
      </c>
      <c r="V7445">
        <v>0.2785263</v>
      </c>
      <c r="W7445">
        <v>-7.3409230000000006E-2</v>
      </c>
      <c r="X7445">
        <v>0.957619</v>
      </c>
      <c r="Y7445">
        <v>0.44968639999999999</v>
      </c>
      <c r="Z7445">
        <v>-4.9882429999999998E-2</v>
      </c>
      <c r="AA7445">
        <v>0.89179249999999899</v>
      </c>
      <c r="AB7445">
        <v>21</v>
      </c>
      <c r="AC7445">
        <v>8.4041999999999693</v>
      </c>
      <c r="AD7445">
        <v>-1.119905331362</v>
      </c>
      <c r="AE7445">
        <v>15.4382</v>
      </c>
      <c r="AF7445">
        <v>7.9630367872065504</v>
      </c>
      <c r="AG7445">
        <v>-1.119905331362</v>
      </c>
      <c r="AH7445">
        <v>15.5905566651979</v>
      </c>
      <c r="AI7445">
        <v>93.660283745458997</v>
      </c>
      <c r="AJ7445">
        <v>62.943860574894401</v>
      </c>
      <c r="AK7445">
        <v>17.542223347009401</v>
      </c>
      <c r="AL7445">
        <v>94.2098259871171</v>
      </c>
      <c r="AM7445">
        <v>73.7827726218772</v>
      </c>
      <c r="AN7445">
        <v>0.99999998200094098</v>
      </c>
    </row>
    <row r="7446" spans="1:40" x14ac:dyDescent="0.25">
      <c r="A7446" t="str">
        <f>"20190303154709648"</f>
        <v>20190303154709648</v>
      </c>
      <c r="B7446" t="str">
        <f>"1551599229639168"</f>
        <v>1551599229639168</v>
      </c>
      <c r="C7446" t="s">
        <v>40</v>
      </c>
      <c r="D7446">
        <v>5.6110119999999997</v>
      </c>
      <c r="E7446">
        <v>0.576017</v>
      </c>
      <c r="F7446" t="s">
        <v>61</v>
      </c>
      <c r="G7446">
        <v>-178.95189999999999</v>
      </c>
      <c r="H7446" s="1">
        <v>-5.309048E-6</v>
      </c>
      <c r="I7446">
        <v>131.10040000000001</v>
      </c>
      <c r="J7446">
        <v>-187.82380000000001</v>
      </c>
      <c r="K7446">
        <v>1.119715</v>
      </c>
      <c r="L7446">
        <v>115.0642</v>
      </c>
      <c r="M7446">
        <v>2.8340400000000002E-2</v>
      </c>
      <c r="N7446">
        <v>-1.3580760000000001E-2</v>
      </c>
      <c r="O7446">
        <v>0.99950609999999995</v>
      </c>
      <c r="P7446">
        <v>0.31139929999999999</v>
      </c>
      <c r="Q7446">
        <v>-8.5526000000000005E-2</v>
      </c>
      <c r="R7446">
        <v>0.9464226</v>
      </c>
      <c r="S7446">
        <v>1.463867</v>
      </c>
      <c r="T7446">
        <v>-0.1846304</v>
      </c>
      <c r="U7446">
        <v>2.676285</v>
      </c>
      <c r="V7446">
        <v>0.28420139999999999</v>
      </c>
      <c r="W7446">
        <v>-7.3516880000000007E-2</v>
      </c>
      <c r="X7446">
        <v>0.95594190000000001</v>
      </c>
      <c r="Y7446">
        <v>0.4540727</v>
      </c>
      <c r="Z7446">
        <v>-4.7340189999999997E-2</v>
      </c>
      <c r="AA7446">
        <v>0.88970609999999895</v>
      </c>
      <c r="AB7446">
        <v>21</v>
      </c>
      <c r="AC7446">
        <v>8.8719000000000001</v>
      </c>
      <c r="AD7446">
        <v>-1.1197203090479999</v>
      </c>
      <c r="AE7446">
        <v>16.036200000000001</v>
      </c>
      <c r="AF7446">
        <v>8.3825303141888305</v>
      </c>
      <c r="AG7446">
        <v>-1.1197203090479999</v>
      </c>
      <c r="AH7446">
        <v>16.220663659433001</v>
      </c>
      <c r="AI7446">
        <v>93.509303961133796</v>
      </c>
      <c r="AJ7446">
        <v>62.670939692570499</v>
      </c>
      <c r="AK7446">
        <v>18.2929089428456</v>
      </c>
      <c r="AL7446">
        <v>94.216010336534197</v>
      </c>
      <c r="AM7446">
        <v>73.442793332970197</v>
      </c>
      <c r="AN7446">
        <v>1.00000004179125</v>
      </c>
    </row>
    <row r="7447" spans="1:40" x14ac:dyDescent="0.25">
      <c r="A7447" t="str">
        <f>"20190303154709672"</f>
        <v>20190303154709672</v>
      </c>
      <c r="B7447" t="str">
        <f>"1551599229669423"</f>
        <v>1551599229669423</v>
      </c>
      <c r="C7447" t="s">
        <v>40</v>
      </c>
      <c r="D7447">
        <v>5.6015230000000003</v>
      </c>
      <c r="E7447">
        <v>0.57841989999999999</v>
      </c>
      <c r="F7447" t="s">
        <v>61</v>
      </c>
      <c r="G7447">
        <v>-178.8664</v>
      </c>
      <c r="H7447" s="1">
        <v>-5.140018E-6</v>
      </c>
      <c r="I7447">
        <v>130.80860000000001</v>
      </c>
      <c r="J7447">
        <v>-187.8152</v>
      </c>
      <c r="K7447">
        <v>1.1195170000000001</v>
      </c>
      <c r="L7447">
        <v>115.27200000000001</v>
      </c>
      <c r="M7447">
        <v>3.0856890000000001E-2</v>
      </c>
      <c r="N7447">
        <v>-1.358789E-2</v>
      </c>
      <c r="O7447">
        <v>0.99943139999999997</v>
      </c>
      <c r="P7447">
        <v>0.31758449999999999</v>
      </c>
      <c r="Q7447">
        <v>-8.6392570000000002E-2</v>
      </c>
      <c r="R7447">
        <v>0.94428619999999996</v>
      </c>
      <c r="S7447">
        <v>1.510864</v>
      </c>
      <c r="T7447">
        <v>-0.18886600000000001</v>
      </c>
      <c r="U7447">
        <v>2.6556549999999999</v>
      </c>
      <c r="V7447">
        <v>0.28800579999999998</v>
      </c>
      <c r="W7447">
        <v>-7.4544559999999996E-2</v>
      </c>
      <c r="X7447">
        <v>0.95472290000000004</v>
      </c>
      <c r="Y7447">
        <v>0.46663199999999999</v>
      </c>
      <c r="Z7447">
        <v>-4.8684280000000003E-2</v>
      </c>
      <c r="AA7447">
        <v>0.88311059999999997</v>
      </c>
      <c r="AB7447">
        <v>21</v>
      </c>
      <c r="AC7447">
        <v>8.9488000000000003</v>
      </c>
      <c r="AD7447">
        <v>-1.119522140018</v>
      </c>
      <c r="AE7447">
        <v>15.5366</v>
      </c>
      <c r="AF7447">
        <v>8.4322071213713503</v>
      </c>
      <c r="AG7447">
        <v>-1.119522140018</v>
      </c>
      <c r="AH7447">
        <v>15.7439756086195</v>
      </c>
      <c r="AI7447">
        <v>93.586817041222204</v>
      </c>
      <c r="AJ7447">
        <v>61.827250894321203</v>
      </c>
      <c r="AK7447">
        <v>17.894921478578901</v>
      </c>
      <c r="AL7447">
        <v>94.275054157822296</v>
      </c>
      <c r="AM7447">
        <v>73.213312909731599</v>
      </c>
      <c r="AN7447">
        <v>1.0000000240218201</v>
      </c>
    </row>
    <row r="7448" spans="1:40" x14ac:dyDescent="0.25">
      <c r="A7448" t="str">
        <f>"20190303154709694"</f>
        <v>20190303154709694</v>
      </c>
      <c r="B7448" t="str">
        <f>"1551599229688943"</f>
        <v>1551599229688943</v>
      </c>
      <c r="C7448" t="s">
        <v>40</v>
      </c>
      <c r="D7448">
        <v>5.5785470000000004</v>
      </c>
      <c r="E7448">
        <v>0.57970959999999905</v>
      </c>
      <c r="F7448" t="s">
        <v>61</v>
      </c>
      <c r="G7448">
        <v>-179.3656</v>
      </c>
      <c r="H7448" s="1">
        <v>-5.0559719999999996E-6</v>
      </c>
      <c r="I7448">
        <v>129.68979999999999</v>
      </c>
      <c r="J7448">
        <v>-187.80520000000001</v>
      </c>
      <c r="K7448">
        <v>1.11931</v>
      </c>
      <c r="L7448">
        <v>115.4885</v>
      </c>
      <c r="M7448">
        <v>3.3834139999999999E-2</v>
      </c>
      <c r="N7448">
        <v>-1.3597949999999999E-2</v>
      </c>
      <c r="O7448">
        <v>0.99933490000000003</v>
      </c>
      <c r="P7448">
        <v>0.32737050000000001</v>
      </c>
      <c r="Q7448">
        <v>-8.6646340000000002E-2</v>
      </c>
      <c r="R7448">
        <v>0.94091499999999995</v>
      </c>
      <c r="S7448">
        <v>1.5461579999999999</v>
      </c>
      <c r="T7448">
        <v>-0.20485780000000001</v>
      </c>
      <c r="U7448">
        <v>2.6382750000000001</v>
      </c>
      <c r="V7448">
        <v>0.29501909999999998</v>
      </c>
      <c r="W7448">
        <v>-7.4994450000000004E-2</v>
      </c>
      <c r="X7448">
        <v>0.95254369999999999</v>
      </c>
      <c r="Y7448">
        <v>0.47516120000000001</v>
      </c>
      <c r="Z7448">
        <v>-5.3928980000000001E-2</v>
      </c>
      <c r="AA7448">
        <v>0.87824460000000004</v>
      </c>
      <c r="AB7448">
        <v>21</v>
      </c>
      <c r="AC7448">
        <v>8.4396000000000093</v>
      </c>
      <c r="AD7448">
        <v>-1.119315055972</v>
      </c>
      <c r="AE7448">
        <v>14.2012999999999</v>
      </c>
      <c r="AF7448">
        <v>7.91788389546078</v>
      </c>
      <c r="AG7448">
        <v>-1.119315055972</v>
      </c>
      <c r="AH7448">
        <v>14.4125744509259</v>
      </c>
      <c r="AI7448">
        <v>93.893947284956397</v>
      </c>
      <c r="AJ7448">
        <v>61.216780569894397</v>
      </c>
      <c r="AK7448">
        <v>16.4823558352562</v>
      </c>
      <c r="AL7448">
        <v>94.300903550094404</v>
      </c>
      <c r="AM7448">
        <v>72.791351338719195</v>
      </c>
      <c r="AN7448">
        <v>0.99999996865264995</v>
      </c>
    </row>
    <row r="7449" spans="1:40" x14ac:dyDescent="0.25">
      <c r="A7449" t="str">
        <f>"20190303154709718"</f>
        <v>20190303154709718</v>
      </c>
      <c r="B7449" t="str">
        <f>"1551599229709439"</f>
        <v>1551599229709439</v>
      </c>
      <c r="C7449" t="s">
        <v>40</v>
      </c>
      <c r="D7449">
        <v>5.6304679999999996</v>
      </c>
      <c r="E7449">
        <v>0.58077140000000005</v>
      </c>
      <c r="F7449" t="s">
        <v>61</v>
      </c>
      <c r="G7449">
        <v>-179.50890000000001</v>
      </c>
      <c r="H7449" s="1">
        <v>-5.0317889999999997E-6</v>
      </c>
      <c r="I7449">
        <v>129.20750000000001</v>
      </c>
      <c r="J7449">
        <v>-187.7946</v>
      </c>
      <c r="K7449">
        <v>1.119113</v>
      </c>
      <c r="L7449">
        <v>115.6978</v>
      </c>
      <c r="M7449">
        <v>3.7028360000000003E-2</v>
      </c>
      <c r="N7449">
        <v>-1.3609130000000001E-2</v>
      </c>
      <c r="O7449">
        <v>0.99922160000000004</v>
      </c>
      <c r="P7449">
        <v>0.33714559999999999</v>
      </c>
      <c r="Q7449">
        <v>-8.6158570000000004E-2</v>
      </c>
      <c r="R7449">
        <v>0.93750180000000005</v>
      </c>
      <c r="S7449">
        <v>1.5831299999999999</v>
      </c>
      <c r="T7449">
        <v>-0.21359</v>
      </c>
      <c r="U7449">
        <v>2.6178889999999999</v>
      </c>
      <c r="V7449">
        <v>0.30183739999999998</v>
      </c>
      <c r="W7449">
        <v>-7.4698870000000001E-2</v>
      </c>
      <c r="X7449">
        <v>0.95042839999999995</v>
      </c>
      <c r="Y7449">
        <v>0.48434300000000002</v>
      </c>
      <c r="Z7449">
        <v>-5.6825149999999998E-2</v>
      </c>
      <c r="AA7449">
        <v>0.8730308</v>
      </c>
      <c r="AB7449">
        <v>21</v>
      </c>
      <c r="AC7449">
        <v>8.2856999999999896</v>
      </c>
      <c r="AD7449">
        <v>-1.1191180317889999</v>
      </c>
      <c r="AE7449">
        <v>13.5097</v>
      </c>
      <c r="AF7449">
        <v>7.7411275226990597</v>
      </c>
      <c r="AG7449">
        <v>-1.1191180317889999</v>
      </c>
      <c r="AH7449">
        <v>13.7387599388426</v>
      </c>
      <c r="AI7449">
        <v>94.059306465613801</v>
      </c>
      <c r="AJ7449">
        <v>60.600841522208697</v>
      </c>
      <c r="AK7449">
        <v>15.8092063415249</v>
      </c>
      <c r="AL7449">
        <v>94.283920547635802</v>
      </c>
      <c r="AM7449">
        <v>72.381173785520204</v>
      </c>
      <c r="AN7449">
        <v>0.999999940372296</v>
      </c>
    </row>
    <row r="7450" spans="1:40" x14ac:dyDescent="0.25">
      <c r="A7450" t="str">
        <f>"20190303154709739"</f>
        <v>20190303154709739</v>
      </c>
      <c r="B7450" t="str">
        <f>"1551599229728960"</f>
        <v>1551599229728960</v>
      </c>
      <c r="C7450" t="s">
        <v>40</v>
      </c>
      <c r="D7450">
        <v>5.6026449999999999</v>
      </c>
      <c r="E7450">
        <v>0.58194849999999998</v>
      </c>
      <c r="F7450" t="s">
        <v>61</v>
      </c>
      <c r="G7450">
        <v>-179.5977</v>
      </c>
      <c r="H7450" s="1">
        <v>-4.9999939999999998E-6</v>
      </c>
      <c r="I7450">
        <v>128.85720000000001</v>
      </c>
      <c r="J7450">
        <v>-187.78360000000001</v>
      </c>
      <c r="K7450">
        <v>1.118943</v>
      </c>
      <c r="L7450">
        <v>115.8938</v>
      </c>
      <c r="M7450">
        <v>4.0291029999999999E-2</v>
      </c>
      <c r="N7450">
        <v>-1.361975E-2</v>
      </c>
      <c r="O7450">
        <v>0.99909510000000001</v>
      </c>
      <c r="P7450">
        <v>0.3469526</v>
      </c>
      <c r="Q7450">
        <v>-8.4297689999999995E-2</v>
      </c>
      <c r="R7450">
        <v>0.93408659999999999</v>
      </c>
      <c r="S7450">
        <v>1.618134</v>
      </c>
      <c r="T7450">
        <v>-0.2209245</v>
      </c>
      <c r="U7450">
        <v>2.5977939999999999</v>
      </c>
      <c r="V7450">
        <v>0.30865110000000001</v>
      </c>
      <c r="W7450">
        <v>-7.301684E-2</v>
      </c>
      <c r="X7450">
        <v>0.94836860000000001</v>
      </c>
      <c r="Y7450">
        <v>0.49288779999999999</v>
      </c>
      <c r="Z7450">
        <v>-5.9272600000000002E-2</v>
      </c>
      <c r="AA7450">
        <v>0.868071699999999</v>
      </c>
      <c r="AB7450">
        <v>21</v>
      </c>
      <c r="AC7450">
        <v>8.1859000000000002</v>
      </c>
      <c r="AD7450">
        <v>-1.118947999994</v>
      </c>
      <c r="AE7450">
        <v>12.9634</v>
      </c>
      <c r="AF7450">
        <v>7.6163259822183598</v>
      </c>
      <c r="AG7450">
        <v>-1.118947999994</v>
      </c>
      <c r="AH7450">
        <v>13.212344743335001</v>
      </c>
      <c r="AI7450">
        <v>94.196372140880499</v>
      </c>
      <c r="AJ7450">
        <v>60.038473926919799</v>
      </c>
      <c r="AK7450">
        <v>15.2913871087889</v>
      </c>
      <c r="AL7450">
        <v>94.187283202478497</v>
      </c>
      <c r="AM7450">
        <v>71.972273579367297</v>
      </c>
      <c r="AN7450">
        <v>0.99999998096037701</v>
      </c>
    </row>
    <row r="7451" spans="1:40" x14ac:dyDescent="0.25">
      <c r="A7451" t="str">
        <f>"20190303154709761"</f>
        <v>20190303154709761</v>
      </c>
      <c r="B7451" t="str">
        <f>"1551599229749455"</f>
        <v>1551599229749455</v>
      </c>
      <c r="C7451" t="s">
        <v>40</v>
      </c>
      <c r="D7451">
        <v>5.6347829999999997</v>
      </c>
      <c r="E7451">
        <v>0.58284009999999997</v>
      </c>
      <c r="F7451" t="s">
        <v>61</v>
      </c>
      <c r="G7451">
        <v>-179.1249</v>
      </c>
      <c r="H7451" s="1">
        <v>-4.8116730000000003E-6</v>
      </c>
      <c r="I7451">
        <v>129.38929999999999</v>
      </c>
      <c r="J7451">
        <v>-187.7714</v>
      </c>
      <c r="K7451">
        <v>1.1188070000000001</v>
      </c>
      <c r="L7451">
        <v>116.0946</v>
      </c>
      <c r="M7451">
        <v>4.3885639999999997E-2</v>
      </c>
      <c r="N7451">
        <v>-1.363047E-2</v>
      </c>
      <c r="O7451">
        <v>0.99894360000000004</v>
      </c>
      <c r="P7451">
        <v>0.35670649999999998</v>
      </c>
      <c r="Q7451">
        <v>-8.271589E-2</v>
      </c>
      <c r="R7451">
        <v>0.93054749999999997</v>
      </c>
      <c r="S7451">
        <v>1.6540680000000001</v>
      </c>
      <c r="T7451">
        <v>-0.21375230000000001</v>
      </c>
      <c r="U7451">
        <v>2.578033</v>
      </c>
      <c r="V7451">
        <v>0.31512180000000001</v>
      </c>
      <c r="W7451">
        <v>-7.1603979999999998E-2</v>
      </c>
      <c r="X7451">
        <v>0.94634620000000003</v>
      </c>
      <c r="Y7451">
        <v>0.50141639999999998</v>
      </c>
      <c r="Z7451">
        <v>-5.6943710000000002E-2</v>
      </c>
      <c r="AA7451">
        <v>0.86333019999999905</v>
      </c>
      <c r="AB7451">
        <v>21</v>
      </c>
      <c r="AC7451">
        <v>8.6464999999999996</v>
      </c>
      <c r="AD7451">
        <v>-1.1188118116729999</v>
      </c>
      <c r="AE7451">
        <v>13.294699999999899</v>
      </c>
      <c r="AF7451">
        <v>8.0147788844753691</v>
      </c>
      <c r="AG7451">
        <v>-1.1188118116729999</v>
      </c>
      <c r="AH7451">
        <v>13.593727084751899</v>
      </c>
      <c r="AI7451">
        <v>94.055376295379602</v>
      </c>
      <c r="AJ7451">
        <v>59.476656937084996</v>
      </c>
      <c r="AK7451">
        <v>15.8201718224452</v>
      </c>
      <c r="AL7451">
        <v>94.106119710604005</v>
      </c>
      <c r="AM7451">
        <v>71.582867550251393</v>
      </c>
      <c r="AN7451">
        <v>1.00000000452076</v>
      </c>
    </row>
    <row r="7452" spans="1:40" x14ac:dyDescent="0.25">
      <c r="A7452" t="str">
        <f>"20190303154709784"</f>
        <v>20190303154709784</v>
      </c>
      <c r="B7452" t="str">
        <f>"1551599229779712"</f>
        <v>1551599229779712</v>
      </c>
      <c r="C7452" t="s">
        <v>40</v>
      </c>
      <c r="D7452">
        <v>5.6074359999999999</v>
      </c>
      <c r="E7452">
        <v>0.58364139999999998</v>
      </c>
      <c r="F7452" t="s">
        <v>61</v>
      </c>
      <c r="G7452">
        <v>-179.065</v>
      </c>
      <c r="H7452" s="1">
        <v>-4.7478209999999996E-6</v>
      </c>
      <c r="I7452">
        <v>129.2894</v>
      </c>
      <c r="J7452">
        <v>-187.75729999999999</v>
      </c>
      <c r="K7452">
        <v>1.118671</v>
      </c>
      <c r="L7452">
        <v>116.3075</v>
      </c>
      <c r="M7452">
        <v>4.7969379999999999E-2</v>
      </c>
      <c r="N7452">
        <v>-1.364193E-2</v>
      </c>
      <c r="O7452">
        <v>0.99875559999999997</v>
      </c>
      <c r="P7452">
        <v>0.36678329999999998</v>
      </c>
      <c r="Q7452">
        <v>-8.2380969999999998E-2</v>
      </c>
      <c r="R7452">
        <v>0.92665169999999997</v>
      </c>
      <c r="S7452">
        <v>1.6876679999999999</v>
      </c>
      <c r="T7452">
        <v>-0.21687149999999999</v>
      </c>
      <c r="U7452">
        <v>2.557693</v>
      </c>
      <c r="V7452">
        <v>0.32148559999999998</v>
      </c>
      <c r="W7452">
        <v>-7.1425269999999999E-2</v>
      </c>
      <c r="X7452">
        <v>0.94421679999999997</v>
      </c>
      <c r="Y7452">
        <v>0.50888329999999904</v>
      </c>
      <c r="Z7452">
        <v>-5.8026399999999999E-2</v>
      </c>
      <c r="AA7452">
        <v>0.85887760000000002</v>
      </c>
      <c r="AB7452">
        <v>20</v>
      </c>
      <c r="AC7452">
        <v>8.6922999999999799</v>
      </c>
      <c r="AD7452">
        <v>-1.1186757478210001</v>
      </c>
      <c r="AE7452">
        <v>12.9818999999999</v>
      </c>
      <c r="AF7452">
        <v>8.0183894131427795</v>
      </c>
      <c r="AG7452">
        <v>-1.1186757478210001</v>
      </c>
      <c r="AH7452">
        <v>13.315685673681701</v>
      </c>
      <c r="AI7452">
        <v>94.116502450983802</v>
      </c>
      <c r="AJ7452">
        <v>58.944648504339597</v>
      </c>
      <c r="AK7452">
        <v>15.583757222501101</v>
      </c>
      <c r="AL7452">
        <v>94.0958542684685</v>
      </c>
      <c r="AM7452">
        <v>71.197390854143194</v>
      </c>
      <c r="AN7452">
        <v>0.99999996280208503</v>
      </c>
    </row>
    <row r="7453" spans="1:40" x14ac:dyDescent="0.25">
      <c r="A7453" t="str">
        <f>"20190303154709805"</f>
        <v>20190303154709805</v>
      </c>
      <c r="B7453" t="str">
        <f>"1551599229799232"</f>
        <v>1551599229799232</v>
      </c>
      <c r="C7453" t="s">
        <v>40</v>
      </c>
      <c r="D7453">
        <v>5.6131120000000001</v>
      </c>
      <c r="E7453">
        <v>0.58412019999999998</v>
      </c>
      <c r="F7453" t="s">
        <v>61</v>
      </c>
      <c r="G7453">
        <v>-179.19710000000001</v>
      </c>
      <c r="H7453" s="1">
        <v>-4.753474E-6</v>
      </c>
      <c r="I7453">
        <v>128.92179999999999</v>
      </c>
      <c r="J7453">
        <v>-187.7431</v>
      </c>
      <c r="K7453">
        <v>1.1185659999999999</v>
      </c>
      <c r="L7453">
        <v>116.50660000000001</v>
      </c>
      <c r="M7453">
        <v>5.1983950000000001E-2</v>
      </c>
      <c r="N7453">
        <v>-1.365237E-2</v>
      </c>
      <c r="O7453">
        <v>0.99855459999999996</v>
      </c>
      <c r="P7453">
        <v>0.37643799999999999</v>
      </c>
      <c r="Q7453">
        <v>-8.4453570000000006E-2</v>
      </c>
      <c r="R7453">
        <v>0.92258439999999997</v>
      </c>
      <c r="S7453">
        <v>1.7211000000000001</v>
      </c>
      <c r="T7453">
        <v>-0.22492000000000001</v>
      </c>
      <c r="U7453">
        <v>2.5362239999999998</v>
      </c>
      <c r="V7453">
        <v>0.32751550000000001</v>
      </c>
      <c r="W7453">
        <v>-7.3628310000000002E-2</v>
      </c>
      <c r="X7453">
        <v>0.9419727</v>
      </c>
      <c r="Y7453">
        <v>0.51643509999999904</v>
      </c>
      <c r="Z7453">
        <v>-6.0743159999999997E-2</v>
      </c>
      <c r="AA7453">
        <v>0.85416919999999996</v>
      </c>
      <c r="AB7453">
        <v>20</v>
      </c>
      <c r="AC7453">
        <v>8.5459999999999905</v>
      </c>
      <c r="AD7453">
        <v>-1.1185707534739999</v>
      </c>
      <c r="AE7453">
        <v>12.415199999999899</v>
      </c>
      <c r="AF7453">
        <v>7.8457791710009701</v>
      </c>
      <c r="AG7453">
        <v>-1.1185707534739999</v>
      </c>
      <c r="AH7453">
        <v>12.7723599329862</v>
      </c>
      <c r="AI7453">
        <v>94.267667508554993</v>
      </c>
      <c r="AJ7453">
        <v>58.438510834862001</v>
      </c>
      <c r="AK7453">
        <v>15.0313216181542</v>
      </c>
      <c r="AL7453">
        <v>94.222412123609004</v>
      </c>
      <c r="AM7453">
        <v>70.827893043171002</v>
      </c>
      <c r="AN7453">
        <v>1.00000004915949</v>
      </c>
    </row>
    <row r="7454" spans="1:40" x14ac:dyDescent="0.25">
      <c r="A7454" t="str">
        <f>"20190303154709827"</f>
        <v>20190303154709827</v>
      </c>
      <c r="B7454" t="str">
        <f>"1551599229819727"</f>
        <v>1551599229819727</v>
      </c>
      <c r="C7454" t="s">
        <v>40</v>
      </c>
      <c r="D7454">
        <v>5.6005330000000004</v>
      </c>
      <c r="E7454">
        <v>0.58443269999999903</v>
      </c>
      <c r="F7454" t="s">
        <v>61</v>
      </c>
      <c r="G7454">
        <v>-179.45240000000001</v>
      </c>
      <c r="H7454" s="1">
        <v>-4.7914600000000004E-6</v>
      </c>
      <c r="I7454">
        <v>128.41929999999999</v>
      </c>
      <c r="J7454">
        <v>-187.7277</v>
      </c>
      <c r="K7454">
        <v>1.118498</v>
      </c>
      <c r="L7454">
        <v>116.7072</v>
      </c>
      <c r="M7454">
        <v>5.6165449999999999E-2</v>
      </c>
      <c r="N7454">
        <v>-1.366147E-2</v>
      </c>
      <c r="O7454">
        <v>0.99832799999999999</v>
      </c>
      <c r="P7454">
        <v>0.38641920000000002</v>
      </c>
      <c r="Q7454">
        <v>-8.6512420000000007E-2</v>
      </c>
      <c r="R7454">
        <v>0.91825690000000004</v>
      </c>
      <c r="S7454">
        <v>1.7508239999999999</v>
      </c>
      <c r="T7454">
        <v>-0.23622099999999999</v>
      </c>
      <c r="U7454">
        <v>2.5157319999999999</v>
      </c>
      <c r="V7454">
        <v>0.33375680000000002</v>
      </c>
      <c r="W7454">
        <v>-7.5797459999999997E-2</v>
      </c>
      <c r="X7454">
        <v>0.93960690000000002</v>
      </c>
      <c r="Y7454">
        <v>0.52274719999999997</v>
      </c>
      <c r="Z7454">
        <v>-6.4554979999999998E-2</v>
      </c>
      <c r="AA7454">
        <v>0.85004009999999997</v>
      </c>
      <c r="AB7454">
        <v>20</v>
      </c>
      <c r="AC7454">
        <v>8.2752999999999801</v>
      </c>
      <c r="AD7454">
        <v>-1.1185027914599901</v>
      </c>
      <c r="AE7454">
        <v>11.7120999999999</v>
      </c>
      <c r="AF7454">
        <v>7.5583783561473403</v>
      </c>
      <c r="AG7454">
        <v>-1.1185027914599901</v>
      </c>
      <c r="AH7454">
        <v>12.0849221657974</v>
      </c>
      <c r="AI7454">
        <v>94.486794320617904</v>
      </c>
      <c r="AJ7454">
        <v>57.9765440922517</v>
      </c>
      <c r="AK7454">
        <v>14.297743724887599</v>
      </c>
      <c r="AL7454">
        <v>94.347043867831403</v>
      </c>
      <c r="AM7454">
        <v>70.444505261355701</v>
      </c>
      <c r="AN7454">
        <v>0.99999999150815</v>
      </c>
    </row>
    <row r="7455" spans="1:40" x14ac:dyDescent="0.25">
      <c r="A7455" t="str">
        <f>"20190303154709850"</f>
        <v>20190303154709850</v>
      </c>
      <c r="B7455" t="str">
        <f>"1551599229839247"</f>
        <v>1551599229839247</v>
      </c>
      <c r="C7455" t="s">
        <v>40</v>
      </c>
      <c r="D7455">
        <v>5.6303280000000004</v>
      </c>
      <c r="E7455">
        <v>0.58469179999999998</v>
      </c>
      <c r="F7455" t="s">
        <v>61</v>
      </c>
      <c r="G7455">
        <v>-179.70060000000001</v>
      </c>
      <c r="H7455" s="1">
        <v>-4.832734E-6</v>
      </c>
      <c r="I7455">
        <v>127.95480000000001</v>
      </c>
      <c r="J7455">
        <v>-187.71080000000001</v>
      </c>
      <c r="K7455">
        <v>1.1184510000000001</v>
      </c>
      <c r="L7455">
        <v>116.91419999999999</v>
      </c>
      <c r="M7455">
        <v>6.0586939999999999E-2</v>
      </c>
      <c r="N7455">
        <v>-1.3668909999999999E-2</v>
      </c>
      <c r="O7455">
        <v>0.99806930000000005</v>
      </c>
      <c r="P7455">
        <v>0.39743200000000001</v>
      </c>
      <c r="Q7455">
        <v>-8.8020000000000001E-2</v>
      </c>
      <c r="R7455">
        <v>0.9134004</v>
      </c>
      <c r="S7455">
        <v>1.7802579999999999</v>
      </c>
      <c r="T7455">
        <v>-0.2480648</v>
      </c>
      <c r="U7455">
        <v>2.4945219999999999</v>
      </c>
      <c r="V7455">
        <v>0.34086729999999998</v>
      </c>
      <c r="W7455">
        <v>-7.7406810000000006E-2</v>
      </c>
      <c r="X7455">
        <v>0.93691919999999995</v>
      </c>
      <c r="Y7455">
        <v>0.52885170000000004</v>
      </c>
      <c r="Z7455">
        <v>-6.856814E-2</v>
      </c>
      <c r="AA7455">
        <v>0.84593989999999997</v>
      </c>
      <c r="AB7455">
        <v>20</v>
      </c>
      <c r="AC7455">
        <v>8.0101999999999904</v>
      </c>
      <c r="AD7455">
        <v>-1.118455832734</v>
      </c>
      <c r="AE7455">
        <v>11.0406</v>
      </c>
      <c r="AF7455">
        <v>7.2775731747195902</v>
      </c>
      <c r="AG7455">
        <v>-1.118455832734</v>
      </c>
      <c r="AH7455">
        <v>11.428832034052499</v>
      </c>
      <c r="AI7455">
        <v>94.718932220054</v>
      </c>
      <c r="AJ7455">
        <v>57.512111099494298</v>
      </c>
      <c r="AK7455">
        <v>13.595301262780399</v>
      </c>
      <c r="AL7455">
        <v>94.439524719062902</v>
      </c>
      <c r="AM7455">
        <v>70.007743990238794</v>
      </c>
      <c r="AN7455">
        <v>0.99999995888615201</v>
      </c>
    </row>
    <row r="7456" spans="1:40" x14ac:dyDescent="0.25">
      <c r="A7456" t="str">
        <f>"20190303154709873"</f>
        <v>20190303154709873</v>
      </c>
      <c r="B7456" t="str">
        <f>"1551599229869503"</f>
        <v>1551599229869503</v>
      </c>
      <c r="C7456" t="s">
        <v>40</v>
      </c>
      <c r="D7456">
        <v>5.2313960000000002</v>
      </c>
      <c r="E7456">
        <v>0.58512529999999996</v>
      </c>
      <c r="F7456" t="s">
        <v>61</v>
      </c>
      <c r="G7456">
        <v>-179.86689999999999</v>
      </c>
      <c r="H7456" s="1">
        <v>-4.8523059999999999E-6</v>
      </c>
      <c r="I7456">
        <v>127.6127</v>
      </c>
      <c r="J7456">
        <v>-187.69300000000001</v>
      </c>
      <c r="K7456">
        <v>1.1184210000000001</v>
      </c>
      <c r="L7456">
        <v>117.1203</v>
      </c>
      <c r="M7456">
        <v>6.5072950000000004E-2</v>
      </c>
      <c r="N7456">
        <v>-1.3674830000000001E-2</v>
      </c>
      <c r="O7456">
        <v>0.99778679999999997</v>
      </c>
      <c r="P7456">
        <v>0.40868189999999999</v>
      </c>
      <c r="Q7456">
        <v>-8.9445499999999997E-2</v>
      </c>
      <c r="R7456">
        <v>0.90828339999999996</v>
      </c>
      <c r="S7456">
        <v>1.8118289999999999</v>
      </c>
      <c r="T7456">
        <v>-0.25834610000000002</v>
      </c>
      <c r="U7456">
        <v>2.4711910000000001</v>
      </c>
      <c r="V7456">
        <v>0.34820410000000002</v>
      </c>
      <c r="W7456">
        <v>-7.8924309999999998E-2</v>
      </c>
      <c r="X7456">
        <v>0.93409039999999999</v>
      </c>
      <c r="Y7456">
        <v>0.53569809999999995</v>
      </c>
      <c r="Z7456">
        <v>-7.208357E-2</v>
      </c>
      <c r="AA7456">
        <v>0.8413273</v>
      </c>
      <c r="AB7456">
        <v>20</v>
      </c>
      <c r="AC7456">
        <v>7.8260999999999896</v>
      </c>
      <c r="AD7456">
        <v>-1.11842585230599</v>
      </c>
      <c r="AE7456">
        <v>10.4924</v>
      </c>
      <c r="AF7456">
        <v>7.0750222038164097</v>
      </c>
      <c r="AG7456">
        <v>-1.11842585230599</v>
      </c>
      <c r="AH7456">
        <v>10.89989629646</v>
      </c>
      <c r="AI7456">
        <v>94.919180653869901</v>
      </c>
      <c r="AJ7456">
        <v>57.012769376184103</v>
      </c>
      <c r="AK7456">
        <v>13.042797048378301</v>
      </c>
      <c r="AL7456">
        <v>94.526737688985605</v>
      </c>
      <c r="AM7456">
        <v>69.555880497704806</v>
      </c>
      <c r="AN7456">
        <v>1.00000000866897</v>
      </c>
    </row>
    <row r="7457" spans="1:40" x14ac:dyDescent="0.25">
      <c r="A7457" t="str">
        <f>"20190303154709895"</f>
        <v>20190303154709895</v>
      </c>
      <c r="B7457" t="str">
        <f>"1551599229889023"</f>
        <v>1551599229889023</v>
      </c>
      <c r="C7457" t="s">
        <v>40</v>
      </c>
      <c r="D7457">
        <v>5.6030280000000001</v>
      </c>
      <c r="E7457">
        <v>0.58544609999999997</v>
      </c>
      <c r="F7457" t="s">
        <v>61</v>
      </c>
      <c r="G7457">
        <v>-179.8407</v>
      </c>
      <c r="H7457" s="1">
        <v>-4.8142810000000003E-6</v>
      </c>
      <c r="I7457">
        <v>127.532</v>
      </c>
      <c r="J7457">
        <v>-187.6737</v>
      </c>
      <c r="K7457">
        <v>1.1184080000000001</v>
      </c>
      <c r="L7457">
        <v>117.3309</v>
      </c>
      <c r="M7457">
        <v>6.9719589999999998E-2</v>
      </c>
      <c r="N7457">
        <v>-1.3680090000000001E-2</v>
      </c>
      <c r="O7457">
        <v>0.99747280000000005</v>
      </c>
      <c r="P7457">
        <v>0.42069780000000001</v>
      </c>
      <c r="Q7457">
        <v>-9.1923420000000006E-2</v>
      </c>
      <c r="R7457">
        <v>0.90253170000000005</v>
      </c>
      <c r="S7457">
        <v>1.845291</v>
      </c>
      <c r="T7457">
        <v>-0.26283089999999998</v>
      </c>
      <c r="U7457">
        <v>2.4467620000000001</v>
      </c>
      <c r="V7457">
        <v>0.35622559999999998</v>
      </c>
      <c r="W7457">
        <v>-8.1496650000000004E-2</v>
      </c>
      <c r="X7457">
        <v>0.93083919999999998</v>
      </c>
      <c r="Y7457">
        <v>0.54304439999999998</v>
      </c>
      <c r="Z7457">
        <v>-7.3686749999999995E-2</v>
      </c>
      <c r="AA7457">
        <v>0.8364646</v>
      </c>
      <c r="AB7457">
        <v>20</v>
      </c>
      <c r="AC7457">
        <v>7.8329999999999904</v>
      </c>
      <c r="AD7457">
        <v>-1.1184128142809999</v>
      </c>
      <c r="AE7457">
        <v>10.2011</v>
      </c>
      <c r="AF7457">
        <v>7.0493475462092796</v>
      </c>
      <c r="AG7457">
        <v>-1.1184128142809999</v>
      </c>
      <c r="AH7457">
        <v>10.6419653822363</v>
      </c>
      <c r="AI7457">
        <v>95.007223771583696</v>
      </c>
      <c r="AJ7457">
        <v>56.479098419084004</v>
      </c>
      <c r="AK7457">
        <v>12.8138821302176</v>
      </c>
      <c r="AL7457">
        <v>94.674598414136796</v>
      </c>
      <c r="AM7457">
        <v>69.058503836999407</v>
      </c>
      <c r="AN7457">
        <v>0.99999999915661097</v>
      </c>
    </row>
    <row r="7458" spans="1:40" x14ac:dyDescent="0.25">
      <c r="A7458" t="str">
        <f>"20190303154709918"</f>
        <v>20190303154709918</v>
      </c>
      <c r="B7458" t="str">
        <f>"1551599229909519"</f>
        <v>1551599229909519</v>
      </c>
      <c r="C7458" t="s">
        <v>40</v>
      </c>
      <c r="D7458">
        <v>5.5869929999999997</v>
      </c>
      <c r="E7458">
        <v>0.58552959999999998</v>
      </c>
      <c r="F7458" t="s">
        <v>61</v>
      </c>
      <c r="G7458">
        <v>-179.8271</v>
      </c>
      <c r="H7458" s="1">
        <v>-4.7796900000000003E-6</v>
      </c>
      <c r="I7458">
        <v>127.43300000000001</v>
      </c>
      <c r="J7458">
        <v>-187.65430000000001</v>
      </c>
      <c r="K7458">
        <v>1.118409</v>
      </c>
      <c r="L7458">
        <v>117.5318</v>
      </c>
      <c r="M7458">
        <v>7.4182609999999996E-2</v>
      </c>
      <c r="N7458">
        <v>-1.368426E-2</v>
      </c>
      <c r="O7458">
        <v>0.9971508</v>
      </c>
      <c r="P7458">
        <v>0.43234929999999999</v>
      </c>
      <c r="Q7458">
        <v>-9.3600829999999996E-2</v>
      </c>
      <c r="R7458">
        <v>0.89683500000000005</v>
      </c>
      <c r="S7458">
        <v>1.879974</v>
      </c>
      <c r="T7458">
        <v>-0.26796039999999999</v>
      </c>
      <c r="U7458">
        <v>2.4203640000000002</v>
      </c>
      <c r="V7458">
        <v>0.36409330000000001</v>
      </c>
      <c r="W7458">
        <v>-8.3260840000000003E-2</v>
      </c>
      <c r="X7458">
        <v>0.92763340000000005</v>
      </c>
      <c r="Y7458">
        <v>0.55106909999999998</v>
      </c>
      <c r="Z7458">
        <v>-7.5515490000000005E-2</v>
      </c>
      <c r="AA7458">
        <v>0.83103570000000004</v>
      </c>
      <c r="AB7458">
        <v>20</v>
      </c>
      <c r="AC7458">
        <v>7.8272000000000004</v>
      </c>
      <c r="AD7458">
        <v>-1.11841377969</v>
      </c>
      <c r="AE7458">
        <v>9.9011999999999798</v>
      </c>
      <c r="AF7458">
        <v>7.0159728832528696</v>
      </c>
      <c r="AG7458">
        <v>-1.11841377969</v>
      </c>
      <c r="AH7458">
        <v>10.3731580221801</v>
      </c>
      <c r="AI7458">
        <v>95.103463836433093</v>
      </c>
      <c r="AJ7458">
        <v>55.927213626372001</v>
      </c>
      <c r="AK7458">
        <v>12.572872871156401</v>
      </c>
      <c r="AL7458">
        <v>94.776023744231097</v>
      </c>
      <c r="AM7458">
        <v>68.570143063941103</v>
      </c>
      <c r="AN7458">
        <v>1.00000001168897</v>
      </c>
    </row>
    <row r="7459" spans="1:40" x14ac:dyDescent="0.25">
      <c r="A7459" t="str">
        <f>"20190303154709938"</f>
        <v>20190303154709938</v>
      </c>
      <c r="B7459" t="str">
        <f>"1551599229929040"</f>
        <v>1551599229929040</v>
      </c>
      <c r="C7459" t="s">
        <v>40</v>
      </c>
      <c r="D7459">
        <v>5.6541670000000002</v>
      </c>
      <c r="E7459">
        <v>0.58555199999999996</v>
      </c>
      <c r="F7459" t="s">
        <v>61</v>
      </c>
      <c r="G7459">
        <v>-179.9342</v>
      </c>
      <c r="H7459" s="1">
        <v>-4.7897540000000003E-6</v>
      </c>
      <c r="I7459">
        <v>127.20269999999999</v>
      </c>
      <c r="J7459">
        <v>-187.63560000000001</v>
      </c>
      <c r="K7459">
        <v>1.1184160000000001</v>
      </c>
      <c r="L7459">
        <v>117.7169</v>
      </c>
      <c r="M7459">
        <v>7.8309509999999999E-2</v>
      </c>
      <c r="N7459">
        <v>-1.36869E-2</v>
      </c>
      <c r="O7459">
        <v>0.99683509999999997</v>
      </c>
      <c r="P7459">
        <v>0.44256109999999999</v>
      </c>
      <c r="Q7459">
        <v>-9.3994209999999995E-2</v>
      </c>
      <c r="R7459">
        <v>0.891798599999999</v>
      </c>
      <c r="S7459">
        <v>1.9116059999999999</v>
      </c>
      <c r="T7459">
        <v>-0.27693459999999998</v>
      </c>
      <c r="U7459">
        <v>2.3946529999999999</v>
      </c>
      <c r="V7459">
        <v>0.37082979999999999</v>
      </c>
      <c r="W7459">
        <v>-8.3721970000000007E-2</v>
      </c>
      <c r="X7459">
        <v>0.92491939999999995</v>
      </c>
      <c r="Y7459">
        <v>0.55848719999999996</v>
      </c>
      <c r="Z7459">
        <v>-7.8630829999999999E-2</v>
      </c>
      <c r="AA7459">
        <v>0.82577800000000001</v>
      </c>
      <c r="AB7459">
        <v>20</v>
      </c>
      <c r="AC7459">
        <v>7.7013999999999996</v>
      </c>
      <c r="AD7459">
        <v>-1.1184207897539999</v>
      </c>
      <c r="AE7459">
        <v>9.4857999999999905</v>
      </c>
      <c r="AF7459">
        <v>6.8772254659269896</v>
      </c>
      <c r="AG7459">
        <v>-1.1184207897539999</v>
      </c>
      <c r="AH7459">
        <v>9.9762266130910007</v>
      </c>
      <c r="AI7459">
        <v>95.273567093342905</v>
      </c>
      <c r="AJ7459">
        <v>55.419119828653201</v>
      </c>
      <c r="AK7459">
        <v>12.168491796763201</v>
      </c>
      <c r="AL7459">
        <v>94.802537161935703</v>
      </c>
      <c r="AM7459">
        <v>68.152570311082698</v>
      </c>
      <c r="AN7459">
        <v>1.00000000266254</v>
      </c>
    </row>
    <row r="7460" spans="1:40" x14ac:dyDescent="0.25">
      <c r="A7460" t="str">
        <f>"20190303154709961"</f>
        <v>20190303154709961</v>
      </c>
      <c r="B7460" t="str">
        <f>"1551599229949536"</f>
        <v>1551599229949536</v>
      </c>
      <c r="C7460" t="s">
        <v>40</v>
      </c>
      <c r="D7460">
        <v>5.2912759999999999</v>
      </c>
      <c r="E7460">
        <v>0.58555849999999998</v>
      </c>
      <c r="F7460" t="s">
        <v>61</v>
      </c>
      <c r="G7460">
        <v>-179.9589</v>
      </c>
      <c r="H7460" s="1">
        <v>-4.7803599999999997E-6</v>
      </c>
      <c r="I7460">
        <v>127.1079</v>
      </c>
      <c r="J7460">
        <v>-187.614</v>
      </c>
      <c r="K7460">
        <v>1.1184339999999999</v>
      </c>
      <c r="L7460">
        <v>117.92149999999999</v>
      </c>
      <c r="M7460">
        <v>8.2872409999999994E-2</v>
      </c>
      <c r="N7460">
        <v>-1.368841E-2</v>
      </c>
      <c r="O7460">
        <v>0.99646619999999997</v>
      </c>
      <c r="P7460">
        <v>0.45177109999999898</v>
      </c>
      <c r="Q7460">
        <v>-9.491434E-2</v>
      </c>
      <c r="R7460">
        <v>0.88707049999999998</v>
      </c>
      <c r="S7460">
        <v>1.9389799999999999</v>
      </c>
      <c r="T7460">
        <v>-0.28249000000000002</v>
      </c>
      <c r="U7460">
        <v>2.3719790000000001</v>
      </c>
      <c r="V7460">
        <v>0.37616509999999997</v>
      </c>
      <c r="W7460">
        <v>-8.4686789999999998E-2</v>
      </c>
      <c r="X7460">
        <v>0.92267440000000001</v>
      </c>
      <c r="Y7460">
        <v>0.5641526</v>
      </c>
      <c r="Z7460">
        <v>-8.0624779999999993E-2</v>
      </c>
      <c r="AA7460">
        <v>0.82172469999999997</v>
      </c>
      <c r="AB7460">
        <v>20</v>
      </c>
      <c r="AC7460">
        <v>7.6551</v>
      </c>
      <c r="AD7460">
        <v>-1.11843878036</v>
      </c>
      <c r="AE7460">
        <v>9.1864000000000008</v>
      </c>
      <c r="AF7460">
        <v>6.8078362656278602</v>
      </c>
      <c r="AG7460">
        <v>-1.11843878036</v>
      </c>
      <c r="AH7460">
        <v>9.7043550199471191</v>
      </c>
      <c r="AI7460">
        <v>95.389894665632596</v>
      </c>
      <c r="AJ7460">
        <v>54.949425218934003</v>
      </c>
      <c r="AK7460">
        <v>11.9068067204512</v>
      </c>
      <c r="AL7460">
        <v>94.858014115005602</v>
      </c>
      <c r="AM7460">
        <v>67.819770466140298</v>
      </c>
      <c r="AN7460">
        <v>1.0000000416369299</v>
      </c>
    </row>
    <row r="7461" spans="1:40" x14ac:dyDescent="0.25">
      <c r="A7461" t="str">
        <f>"20190303154709975"</f>
        <v>20190303154709975</v>
      </c>
      <c r="B7461" t="str">
        <f>"1551599229969055"</f>
        <v>1551599229969055</v>
      </c>
      <c r="C7461" t="s">
        <v>40</v>
      </c>
      <c r="D7461">
        <v>5.646109</v>
      </c>
      <c r="E7461">
        <v>0.58980509999999997</v>
      </c>
      <c r="F7461" t="s">
        <v>61</v>
      </c>
      <c r="G7461">
        <v>-179.9931</v>
      </c>
      <c r="H7461" s="1">
        <v>-4.7601609999999997E-6</v>
      </c>
      <c r="I7461">
        <v>127.0485</v>
      </c>
      <c r="J7461">
        <v>-187.59970000000001</v>
      </c>
      <c r="K7461">
        <v>1.1184510000000001</v>
      </c>
      <c r="L7461">
        <v>118.0517</v>
      </c>
      <c r="M7461">
        <v>8.5779010000000003E-2</v>
      </c>
      <c r="N7461">
        <v>-1.3688550000000001E-2</v>
      </c>
      <c r="O7461">
        <v>0.9962202</v>
      </c>
      <c r="P7461">
        <v>0.45683970000000002</v>
      </c>
      <c r="Q7461">
        <v>-9.4801899999999995E-2</v>
      </c>
      <c r="R7461">
        <v>0.88448300000000002</v>
      </c>
      <c r="S7461">
        <v>1.9632419999999999</v>
      </c>
      <c r="T7461">
        <v>-0.2881225</v>
      </c>
      <c r="U7461">
        <v>2.3512270000000002</v>
      </c>
      <c r="V7461">
        <v>0.37875130000000001</v>
      </c>
      <c r="W7461">
        <v>-8.4588650000000001E-2</v>
      </c>
      <c r="X7461">
        <v>0.92162480000000002</v>
      </c>
      <c r="Y7461">
        <v>0.57018179999999996</v>
      </c>
      <c r="Z7461">
        <v>-8.2613759999999994E-2</v>
      </c>
      <c r="AA7461">
        <v>0.81735409999999997</v>
      </c>
      <c r="AB7461">
        <v>20</v>
      </c>
      <c r="AC7461">
        <v>7.60660000000001</v>
      </c>
      <c r="AD7461">
        <v>-1.1184557601609999</v>
      </c>
      <c r="AE7461">
        <v>8.9968000000000004</v>
      </c>
      <c r="AF7461">
        <v>6.7459522886671399</v>
      </c>
      <c r="AG7461">
        <v>-1.1184557601609999</v>
      </c>
      <c r="AH7461">
        <v>9.5302903932455791</v>
      </c>
      <c r="AI7461">
        <v>95.471618621869098</v>
      </c>
      <c r="AJ7461">
        <v>54.7074867899967</v>
      </c>
      <c r="AK7461">
        <v>11.7296739318703</v>
      </c>
      <c r="AL7461">
        <v>94.852370917441306</v>
      </c>
      <c r="AM7461">
        <v>67.659278527039703</v>
      </c>
      <c r="AN7461">
        <v>1.00000002946777</v>
      </c>
    </row>
    <row r="7462" spans="1:40" x14ac:dyDescent="0.25">
      <c r="A7462" t="str">
        <f>"20190303154709994"</f>
        <v>20190303154709994</v>
      </c>
      <c r="B7462" t="str">
        <f>"1551599229989552"</f>
        <v>1551599229989552</v>
      </c>
      <c r="C7462" t="s">
        <v>40</v>
      </c>
      <c r="D7462">
        <v>5.3274239999999997</v>
      </c>
      <c r="E7462">
        <v>0.58819650000000001</v>
      </c>
      <c r="F7462" t="s">
        <v>61</v>
      </c>
      <c r="G7462">
        <v>-171.4187</v>
      </c>
      <c r="H7462" s="1">
        <v>-3.197373E-6</v>
      </c>
      <c r="I7462">
        <v>136.85130000000001</v>
      </c>
      <c r="J7462">
        <v>-187.58019999999999</v>
      </c>
      <c r="K7462">
        <v>1.118474</v>
      </c>
      <c r="L7462">
        <v>118.2247</v>
      </c>
      <c r="M7462">
        <v>8.9639819999999995E-2</v>
      </c>
      <c r="N7462">
        <v>-1.3688469999999999E-2</v>
      </c>
      <c r="O7462">
        <v>0.99588019999999999</v>
      </c>
      <c r="P7462">
        <v>0.46475850000000002</v>
      </c>
      <c r="Q7462">
        <v>-9.5171690000000003E-2</v>
      </c>
      <c r="R7462">
        <v>0.88030789999999903</v>
      </c>
      <c r="S7462">
        <v>2.012054</v>
      </c>
      <c r="T7462">
        <v>-0.13907549999999999</v>
      </c>
      <c r="U7462">
        <v>2.3376459999999999</v>
      </c>
      <c r="V7462">
        <v>0.38344460000000002</v>
      </c>
      <c r="W7462">
        <v>-8.4992520000000002E-2</v>
      </c>
      <c r="X7462">
        <v>0.91964480000000004</v>
      </c>
      <c r="Y7462">
        <v>0.58122750000000001</v>
      </c>
      <c r="Z7462">
        <v>-3.293074E-2</v>
      </c>
      <c r="AA7462">
        <v>0.81307450000000003</v>
      </c>
      <c r="AB7462">
        <v>20</v>
      </c>
      <c r="AC7462">
        <v>16.161499999999901</v>
      </c>
      <c r="AD7462">
        <v>-1.1184771973730001</v>
      </c>
      <c r="AE7462">
        <v>18.6266</v>
      </c>
      <c r="AF7462">
        <v>14.3969686363374</v>
      </c>
      <c r="AG7462">
        <v>-1.1184771973730001</v>
      </c>
      <c r="AH7462">
        <v>19.9593917842232</v>
      </c>
      <c r="AI7462">
        <v>92.602196852153497</v>
      </c>
      <c r="AJ7462">
        <v>54.196598678767998</v>
      </c>
      <c r="AK7462">
        <v>24.635361120812501</v>
      </c>
      <c r="AL7462">
        <v>94.875594623627805</v>
      </c>
      <c r="AM7462">
        <v>67.366373053347999</v>
      </c>
      <c r="AN7462">
        <v>1.00000002394607</v>
      </c>
    </row>
    <row r="7463" spans="1:40" x14ac:dyDescent="0.25">
      <c r="A7463" t="str">
        <f>"20190303154710017"</f>
        <v>20190303154710017</v>
      </c>
      <c r="B7463" t="str">
        <f>"1551599230009071"</f>
        <v>1551599230009071</v>
      </c>
      <c r="C7463" t="s">
        <v>40</v>
      </c>
      <c r="D7463">
        <v>5.6580219999999999</v>
      </c>
      <c r="E7463">
        <v>0.58630850000000001</v>
      </c>
      <c r="F7463" t="s">
        <v>61</v>
      </c>
      <c r="G7463">
        <v>-174.05240000000001</v>
      </c>
      <c r="H7463" s="1">
        <v>-3.1966590000000002E-6</v>
      </c>
      <c r="I7463">
        <v>133.77170000000001</v>
      </c>
      <c r="J7463">
        <v>-187.5556</v>
      </c>
      <c r="K7463">
        <v>1.1184889999999901</v>
      </c>
      <c r="L7463">
        <v>118.4349</v>
      </c>
      <c r="M7463">
        <v>9.4334429999999997E-2</v>
      </c>
      <c r="N7463">
        <v>-1.368816E-2</v>
      </c>
      <c r="O7463">
        <v>0.99544639999999995</v>
      </c>
      <c r="P7463">
        <v>0.47245969999999998</v>
      </c>
      <c r="Q7463">
        <v>-9.6162259999999999E-2</v>
      </c>
      <c r="R7463">
        <v>0.87609049999999999</v>
      </c>
      <c r="S7463">
        <v>2.0211329999999998</v>
      </c>
      <c r="T7463">
        <v>-0.1671069</v>
      </c>
      <c r="U7463">
        <v>2.3228</v>
      </c>
      <c r="V7463">
        <v>0.38717420000000002</v>
      </c>
      <c r="W7463">
        <v>-8.6003120000000002E-2</v>
      </c>
      <c r="X7463">
        <v>0.91798679999999999</v>
      </c>
      <c r="Y7463">
        <v>0.58150329999999995</v>
      </c>
      <c r="Z7463">
        <v>-4.2396910000000003E-2</v>
      </c>
      <c r="AA7463">
        <v>0.81243849999999995</v>
      </c>
      <c r="AB7463">
        <v>20</v>
      </c>
      <c r="AC7463">
        <v>13.5031999999999</v>
      </c>
      <c r="AD7463">
        <v>-1.11849219665899</v>
      </c>
      <c r="AE7463">
        <v>15.3368</v>
      </c>
      <c r="AF7463">
        <v>11.9602143439347</v>
      </c>
      <c r="AG7463">
        <v>-1.11849219665899</v>
      </c>
      <c r="AH7463">
        <v>16.492915676109099</v>
      </c>
      <c r="AI7463">
        <v>93.142409812963606</v>
      </c>
      <c r="AJ7463">
        <v>54.0513979068607</v>
      </c>
      <c r="AK7463">
        <v>20.403774637211001</v>
      </c>
      <c r="AL7463">
        <v>94.933710255157607</v>
      </c>
      <c r="AM7463">
        <v>67.131711955360103</v>
      </c>
      <c r="AN7463">
        <v>1.0000000813848</v>
      </c>
    </row>
    <row r="7464" spans="1:40" x14ac:dyDescent="0.25">
      <c r="A7464" t="str">
        <f>"20190303154710031"</f>
        <v>20190303154710031</v>
      </c>
      <c r="B7464" t="str">
        <f>"1551599230029668"</f>
        <v>1551599230029668</v>
      </c>
      <c r="C7464" t="s">
        <v>40</v>
      </c>
      <c r="D7464">
        <v>5.648943</v>
      </c>
      <c r="E7464">
        <v>0.58509</v>
      </c>
      <c r="F7464" t="s">
        <v>61</v>
      </c>
      <c r="G7464">
        <v>-175.7859</v>
      </c>
      <c r="H7464" s="1">
        <v>-3.4319230000000001E-6</v>
      </c>
      <c r="I7464">
        <v>131.845</v>
      </c>
      <c r="J7464">
        <v>-187.5403</v>
      </c>
      <c r="K7464">
        <v>1.118498</v>
      </c>
      <c r="L7464">
        <v>118.5611</v>
      </c>
      <c r="M7464">
        <v>9.7157099999999996E-2</v>
      </c>
      <c r="N7464">
        <v>-1.3687889999999999E-2</v>
      </c>
      <c r="O7464">
        <v>0.99517489999999997</v>
      </c>
      <c r="P7464">
        <v>0.47573209999999999</v>
      </c>
      <c r="Q7464">
        <v>-9.7040360000000006E-2</v>
      </c>
      <c r="R7464">
        <v>0.87422089999999997</v>
      </c>
      <c r="S7464">
        <v>2.0273279999999998</v>
      </c>
      <c r="T7464">
        <v>-0.1926599</v>
      </c>
      <c r="U7464">
        <v>2.3098749999999999</v>
      </c>
      <c r="V7464">
        <v>0.38800849999999998</v>
      </c>
      <c r="W7464">
        <v>-8.6880399999999997E-2</v>
      </c>
      <c r="X7464">
        <v>0.91755169999999997</v>
      </c>
      <c r="Y7464">
        <v>0.58238129999999999</v>
      </c>
      <c r="Z7464">
        <v>-5.1051979999999997E-2</v>
      </c>
      <c r="AA7464">
        <v>0.81131109999999995</v>
      </c>
      <c r="AB7464">
        <v>20</v>
      </c>
      <c r="AC7464">
        <v>11.7544</v>
      </c>
      <c r="AD7464">
        <v>-1.118501431923</v>
      </c>
      <c r="AE7464">
        <v>13.283899999999999</v>
      </c>
      <c r="AF7464">
        <v>10.3668127640617</v>
      </c>
      <c r="AG7464">
        <v>-1.118501431923</v>
      </c>
      <c r="AH7464">
        <v>14.3062876223161</v>
      </c>
      <c r="AI7464">
        <v>93.622469941677494</v>
      </c>
      <c r="AJ7464">
        <v>54.071661242863499</v>
      </c>
      <c r="AK7464">
        <v>17.702873152987401</v>
      </c>
      <c r="AL7464">
        <v>94.984164146735097</v>
      </c>
      <c r="AM7464">
        <v>67.077775413104803</v>
      </c>
      <c r="AN7464">
        <v>0.99999996107464895</v>
      </c>
    </row>
    <row r="7465" spans="1:40" x14ac:dyDescent="0.25">
      <c r="A7465" t="str">
        <f>"20190303154710050"</f>
        <v>20190303154710050</v>
      </c>
      <c r="B7465" t="str">
        <f>"1551599230039429"</f>
        <v>1551599230039429</v>
      </c>
      <c r="C7465" t="s">
        <v>40</v>
      </c>
      <c r="D7465">
        <v>5.6827690000000004</v>
      </c>
      <c r="E7465">
        <v>0.5845397</v>
      </c>
      <c r="F7465" t="s">
        <v>61</v>
      </c>
      <c r="G7465">
        <v>-178.5848</v>
      </c>
      <c r="H7465">
        <v>7.9987730000000007E-2</v>
      </c>
      <c r="I7465">
        <v>128.7441</v>
      </c>
      <c r="J7465">
        <v>-187.52029999999999</v>
      </c>
      <c r="K7465">
        <v>1.118498</v>
      </c>
      <c r="L7465">
        <v>118.7221</v>
      </c>
      <c r="M7465">
        <v>0.1007628</v>
      </c>
      <c r="N7465">
        <v>-1.36875E-2</v>
      </c>
      <c r="O7465">
        <v>0.99481629999999999</v>
      </c>
      <c r="P7465">
        <v>0.47963790000000001</v>
      </c>
      <c r="Q7465">
        <v>-9.8146830000000004E-2</v>
      </c>
      <c r="R7465">
        <v>0.87196030000000002</v>
      </c>
      <c r="S7465">
        <v>2.02562</v>
      </c>
      <c r="T7465">
        <v>-0.2348963</v>
      </c>
      <c r="U7465">
        <v>2.3032530000000002</v>
      </c>
      <c r="V7465">
        <v>0.3887948</v>
      </c>
      <c r="W7465">
        <v>-8.7987300000000004E-2</v>
      </c>
      <c r="X7465">
        <v>0.91711330000000002</v>
      </c>
      <c r="Y7465">
        <v>0.57966249999999997</v>
      </c>
      <c r="Z7465">
        <v>-6.5292379999999997E-2</v>
      </c>
      <c r="AA7465">
        <v>0.81223659999999998</v>
      </c>
      <c r="AB7465">
        <v>20</v>
      </c>
      <c r="AC7465">
        <v>8.9354999999999905</v>
      </c>
      <c r="AD7465">
        <v>-1.03851027</v>
      </c>
      <c r="AE7465">
        <v>10.022</v>
      </c>
      <c r="AF7465">
        <v>7.8332142927077797</v>
      </c>
      <c r="AG7465">
        <v>-1.03851027</v>
      </c>
      <c r="AH7465">
        <v>10.806784598438</v>
      </c>
      <c r="AI7465">
        <v>94.449092789859904</v>
      </c>
      <c r="AJ7465">
        <v>54.063812174116499</v>
      </c>
      <c r="AK7465">
        <v>13.387469629971701</v>
      </c>
      <c r="AL7465">
        <v>95.0478285529027</v>
      </c>
      <c r="AM7465">
        <v>67.026298445029099</v>
      </c>
      <c r="AN7465">
        <v>0.99999998325260897</v>
      </c>
    </row>
    <row r="7466" spans="1:40" x14ac:dyDescent="0.25">
      <c r="A7466" t="str">
        <f>"20190303154710073"</f>
        <v>20190303154710073</v>
      </c>
      <c r="B7466" t="str">
        <f>"1551599230069685"</f>
        <v>1551599230069685</v>
      </c>
      <c r="C7466" t="s">
        <v>40</v>
      </c>
      <c r="D7466">
        <v>5.6098379999999999</v>
      </c>
      <c r="E7466">
        <v>0.53758930000000005</v>
      </c>
      <c r="F7466" t="s">
        <v>61</v>
      </c>
      <c r="G7466">
        <v>-178.9854</v>
      </c>
      <c r="H7466">
        <v>7.9987710000000004E-2</v>
      </c>
      <c r="I7466">
        <v>128.36490000000001</v>
      </c>
      <c r="J7466">
        <v>-187.49279999999999</v>
      </c>
      <c r="K7466">
        <v>1.1184909999999999</v>
      </c>
      <c r="L7466">
        <v>118.9359</v>
      </c>
      <c r="M7466">
        <v>0.105571</v>
      </c>
      <c r="N7466">
        <v>-1.368688E-2</v>
      </c>
      <c r="O7466">
        <v>0.99431760000000002</v>
      </c>
      <c r="P7466">
        <v>0.48374820000000002</v>
      </c>
      <c r="Q7466">
        <v>-0.1007782</v>
      </c>
      <c r="R7466">
        <v>0.86938570000000004</v>
      </c>
      <c r="S7466">
        <v>2.0315089999999998</v>
      </c>
      <c r="T7466">
        <v>-0.24718979999999999</v>
      </c>
      <c r="U7466">
        <v>2.2952119999999998</v>
      </c>
      <c r="V7466">
        <v>0.38870660000000001</v>
      </c>
      <c r="W7466">
        <v>-9.0617299999999998E-2</v>
      </c>
      <c r="X7466">
        <v>0.9168946</v>
      </c>
      <c r="Y7466">
        <v>0.57810600000000001</v>
      </c>
      <c r="Z7466">
        <v>-6.9535020000000003E-2</v>
      </c>
      <c r="AA7466">
        <v>0.81299350000000004</v>
      </c>
      <c r="AB7466">
        <v>20</v>
      </c>
      <c r="AC7466">
        <v>8.5073999999999899</v>
      </c>
      <c r="AD7466">
        <v>-1.03850329</v>
      </c>
      <c r="AE7466">
        <v>9.4290000000000003</v>
      </c>
      <c r="AF7466">
        <v>7.4147452962781397</v>
      </c>
      <c r="AG7466">
        <v>-1.03850329</v>
      </c>
      <c r="AH7466">
        <v>10.2062683676641</v>
      </c>
      <c r="AI7466">
        <v>94.706022412025902</v>
      </c>
      <c r="AJ7466">
        <v>54.001994168259898</v>
      </c>
      <c r="AK7466">
        <v>12.6579955318684</v>
      </c>
      <c r="AL7466">
        <v>95.199120830576106</v>
      </c>
      <c r="AM7466">
        <v>67.026059331471998</v>
      </c>
      <c r="AN7466">
        <v>1.0000000117259999</v>
      </c>
    </row>
    <row r="7467" spans="1:40" x14ac:dyDescent="0.25">
      <c r="A7467" t="str">
        <f>"20190303154710095"</f>
        <v>20190303154710095</v>
      </c>
      <c r="B7467" t="str">
        <f>"1551599230089205"</f>
        <v>1551599230089205</v>
      </c>
      <c r="C7467" t="s">
        <v>40</v>
      </c>
      <c r="D7467">
        <v>5.5978649999999996</v>
      </c>
      <c r="E7467">
        <v>0.53372730000000002</v>
      </c>
      <c r="F7467" t="s">
        <v>61</v>
      </c>
      <c r="G7467">
        <v>-181.90039999999999</v>
      </c>
      <c r="H7467" s="1">
        <v>-4.4741099999999999E-6</v>
      </c>
      <c r="I7467">
        <v>126.9697</v>
      </c>
      <c r="J7467">
        <v>-187.46709999999999</v>
      </c>
      <c r="K7467">
        <v>1.118466</v>
      </c>
      <c r="L7467">
        <v>119.12860000000001</v>
      </c>
      <c r="M7467">
        <v>0.1099296</v>
      </c>
      <c r="N7467">
        <v>-1.368638E-2</v>
      </c>
      <c r="O7467">
        <v>0.99384519999999998</v>
      </c>
      <c r="P7467">
        <v>0.48763269999999997</v>
      </c>
      <c r="Q7467">
        <v>-0.1036861</v>
      </c>
      <c r="R7467">
        <v>0.86687000000000003</v>
      </c>
      <c r="S7467">
        <v>1.71151699999999</v>
      </c>
      <c r="T7467">
        <v>-0.34230850000000002</v>
      </c>
      <c r="U7467">
        <v>2.4586939999999999</v>
      </c>
      <c r="V7467">
        <v>0.38880720000000002</v>
      </c>
      <c r="W7467">
        <v>-9.3534720000000002E-2</v>
      </c>
      <c r="X7467">
        <v>0.91655889999999995</v>
      </c>
      <c r="Y7467">
        <v>0.47423480000000001</v>
      </c>
      <c r="Z7467">
        <v>-0.10285999999999999</v>
      </c>
      <c r="AA7467">
        <v>0.87436899999999995</v>
      </c>
      <c r="AB7467">
        <v>20</v>
      </c>
      <c r="AC7467">
        <v>5.5666999999999902</v>
      </c>
      <c r="AD7467">
        <v>-1.11847047411</v>
      </c>
      <c r="AE7467">
        <v>7.8410999999999902</v>
      </c>
      <c r="AF7467">
        <v>4.6085602831891901</v>
      </c>
      <c r="AG7467">
        <v>-1.11847047411</v>
      </c>
      <c r="AH7467">
        <v>8.2933761543944406</v>
      </c>
      <c r="AI7467">
        <v>96.723269337158101</v>
      </c>
      <c r="AJ7467">
        <v>60.939435541356801</v>
      </c>
      <c r="AK7467">
        <v>9.5535277318654899</v>
      </c>
      <c r="AL7467">
        <v>95.366989917418906</v>
      </c>
      <c r="AM7467">
        <v>67.013188789881696</v>
      </c>
      <c r="AN7467">
        <v>0.99999999989326405</v>
      </c>
    </row>
    <row r="7468" spans="1:40" x14ac:dyDescent="0.25">
      <c r="A7468" t="str">
        <f>"20190303154710112"</f>
        <v>20190303154710112</v>
      </c>
      <c r="B7468" t="str">
        <f>"1551599230109701"</f>
        <v>1551599230109701</v>
      </c>
      <c r="C7468" t="s">
        <v>40</v>
      </c>
      <c r="D7468">
        <v>5.5915189999999999</v>
      </c>
      <c r="E7468">
        <v>0.53330489999999997</v>
      </c>
      <c r="F7468" t="s">
        <v>61</v>
      </c>
      <c r="G7468">
        <v>-181.82990000000001</v>
      </c>
      <c r="H7468" s="1">
        <v>-4.5762140000000003E-6</v>
      </c>
      <c r="I7468">
        <v>127.325</v>
      </c>
      <c r="J7468">
        <v>-187.44649999999999</v>
      </c>
      <c r="K7468">
        <v>1.1184510000000001</v>
      </c>
      <c r="L7468">
        <v>119.27889999999999</v>
      </c>
      <c r="M7468">
        <v>0.11335099999999999</v>
      </c>
      <c r="N7468">
        <v>-1.36861E-2</v>
      </c>
      <c r="O7468">
        <v>0.99346069999999997</v>
      </c>
      <c r="P7468">
        <v>0.49062230000000001</v>
      </c>
      <c r="Q7468">
        <v>-0.1049501</v>
      </c>
      <c r="R7468">
        <v>0.86502900000000005</v>
      </c>
      <c r="S7468">
        <v>1.6962279999999901</v>
      </c>
      <c r="T7468">
        <v>-0.33654679999999998</v>
      </c>
      <c r="U7468">
        <v>2.4662929999999998</v>
      </c>
      <c r="V7468">
        <v>0.38882329999999998</v>
      </c>
      <c r="W7468">
        <v>-9.4807169999999996E-2</v>
      </c>
      <c r="X7468">
        <v>0.91642129999999999</v>
      </c>
      <c r="Y7468">
        <v>0.46637289999999998</v>
      </c>
      <c r="Z7468">
        <v>-0.1010245</v>
      </c>
      <c r="AA7468">
        <v>0.87880049999999899</v>
      </c>
      <c r="AB7468">
        <v>20</v>
      </c>
      <c r="AC7468">
        <v>5.6165999999999698</v>
      </c>
      <c r="AD7468">
        <v>-1.118455576214</v>
      </c>
      <c r="AE7468">
        <v>8.0461000000000098</v>
      </c>
      <c r="AF7468">
        <v>4.60840310626293</v>
      </c>
      <c r="AG7468">
        <v>-1.118455576214</v>
      </c>
      <c r="AH7468">
        <v>8.5202453804527298</v>
      </c>
      <c r="AI7468">
        <v>96.5863843297535</v>
      </c>
      <c r="AJ7468">
        <v>61.592072585223001</v>
      </c>
      <c r="AK7468">
        <v>9.7510462725240004</v>
      </c>
      <c r="AL7468">
        <v>95.440221490860694</v>
      </c>
      <c r="AM7468">
        <v>67.009242988544401</v>
      </c>
      <c r="AN7468">
        <v>0.99999997859999401</v>
      </c>
    </row>
    <row r="7469" spans="1:40" x14ac:dyDescent="0.25">
      <c r="A7469" t="str">
        <f>"20190303154710130"</f>
        <v>20190303154710130</v>
      </c>
      <c r="B7469" t="str">
        <f>"1551599230119461"</f>
        <v>1551599230119461</v>
      </c>
      <c r="C7469" t="s">
        <v>40</v>
      </c>
      <c r="D7469">
        <v>5.590484</v>
      </c>
      <c r="E7469">
        <v>0.53292850000000003</v>
      </c>
      <c r="F7469" t="s">
        <v>61</v>
      </c>
      <c r="G7469">
        <v>-181.80179999999999</v>
      </c>
      <c r="H7469" s="1">
        <v>-4.6111809999999997E-6</v>
      </c>
      <c r="I7469">
        <v>127.44450000000001</v>
      </c>
      <c r="J7469">
        <v>-187.4246</v>
      </c>
      <c r="K7469">
        <v>1.1184369999999999</v>
      </c>
      <c r="L7469">
        <v>119.43380000000001</v>
      </c>
      <c r="M7469">
        <v>0.1168961</v>
      </c>
      <c r="N7469">
        <v>-1.3685859999999999E-2</v>
      </c>
      <c r="O7469">
        <v>0.99304990000000004</v>
      </c>
      <c r="P7469">
        <v>0.49358390000000002</v>
      </c>
      <c r="Q7469">
        <v>-0.106978</v>
      </c>
      <c r="R7469">
        <v>0.86309369999999996</v>
      </c>
      <c r="S7469">
        <v>1.701859</v>
      </c>
      <c r="T7469">
        <v>-0.33721380000000001</v>
      </c>
      <c r="U7469">
        <v>2.461929</v>
      </c>
      <c r="V7469">
        <v>0.38870830000000001</v>
      </c>
      <c r="W7469">
        <v>-9.6844239999999998E-2</v>
      </c>
      <c r="X7469">
        <v>0.91625710000000005</v>
      </c>
      <c r="Y7469">
        <v>0.46529229999999999</v>
      </c>
      <c r="Z7469">
        <v>-0.10132430000000001</v>
      </c>
      <c r="AA7469">
        <v>0.87933859999999997</v>
      </c>
      <c r="AB7469">
        <v>20</v>
      </c>
      <c r="AC7469">
        <v>5.6228000000000096</v>
      </c>
      <c r="AD7469">
        <v>-1.1184416111810001</v>
      </c>
      <c r="AE7469">
        <v>8.0106999999999999</v>
      </c>
      <c r="AF7469">
        <v>4.58782277819863</v>
      </c>
      <c r="AG7469">
        <v>-1.1184416111810001</v>
      </c>
      <c r="AH7469">
        <v>8.50208336762174</v>
      </c>
      <c r="AI7469">
        <v>96.603710612865697</v>
      </c>
      <c r="AJ7469">
        <v>61.648186212324198</v>
      </c>
      <c r="AK7469">
        <v>9.7254537720236804</v>
      </c>
      <c r="AL7469">
        <v>95.557476438596098</v>
      </c>
      <c r="AM7469">
        <v>67.011645327333696</v>
      </c>
      <c r="AN7469">
        <v>1.0000000113052301</v>
      </c>
    </row>
    <row r="7470" spans="1:40" x14ac:dyDescent="0.25">
      <c r="A7470" t="str">
        <f>"20190303154710150"</f>
        <v>20190303154710150</v>
      </c>
      <c r="B7470" t="str">
        <f>"1551599230138981"</f>
        <v>1551599230138981</v>
      </c>
      <c r="C7470" t="s">
        <v>40</v>
      </c>
      <c r="D7470">
        <v>5.6029619999999998</v>
      </c>
      <c r="E7470">
        <v>0.53264209999999901</v>
      </c>
      <c r="F7470" t="s">
        <v>61</v>
      </c>
      <c r="G7470">
        <v>-181.82810000000001</v>
      </c>
      <c r="H7470" s="1">
        <v>-4.61812599999999E-6</v>
      </c>
      <c r="I7470">
        <v>127.4854</v>
      </c>
      <c r="J7470">
        <v>-187.39680000000001</v>
      </c>
      <c r="K7470">
        <v>1.1184229999999999</v>
      </c>
      <c r="L7470">
        <v>119.6247</v>
      </c>
      <c r="M7470">
        <v>0.1212908</v>
      </c>
      <c r="N7470">
        <v>-1.368543E-2</v>
      </c>
      <c r="O7470">
        <v>0.99252269999999998</v>
      </c>
      <c r="P7470">
        <v>0.49756590000000001</v>
      </c>
      <c r="Q7470">
        <v>-0.10917490000000001</v>
      </c>
      <c r="R7470">
        <v>0.86052830000000002</v>
      </c>
      <c r="S7470">
        <v>1.707748</v>
      </c>
      <c r="T7470">
        <v>-0.34128950000000002</v>
      </c>
      <c r="U7470">
        <v>2.456909</v>
      </c>
      <c r="V7470">
        <v>0.3889029</v>
      </c>
      <c r="W7470">
        <v>-9.9054660000000003E-2</v>
      </c>
      <c r="X7470">
        <v>0.91593809999999998</v>
      </c>
      <c r="Y7470">
        <v>0.46355489999999999</v>
      </c>
      <c r="Z7470">
        <v>-0.10279199999999999</v>
      </c>
      <c r="AA7470">
        <v>0.88008560000000002</v>
      </c>
      <c r="AB7470">
        <v>20</v>
      </c>
      <c r="AC7470">
        <v>5.5686999999999998</v>
      </c>
      <c r="AD7470">
        <v>-1.118427618126</v>
      </c>
      <c r="AE7470">
        <v>7.8606999999999898</v>
      </c>
      <c r="AF7470">
        <v>4.5132242967067704</v>
      </c>
      <c r="AG7470">
        <v>-1.118427618126</v>
      </c>
      <c r="AH7470">
        <v>8.3653905118457406</v>
      </c>
      <c r="AI7470">
        <v>96.710835784065196</v>
      </c>
      <c r="AJ7470">
        <v>61.652628603466098</v>
      </c>
      <c r="AK7470">
        <v>9.57078013043086</v>
      </c>
      <c r="AL7470">
        <v>95.684736508845702</v>
      </c>
      <c r="AM7470">
        <v>66.994156914434498</v>
      </c>
      <c r="AN7470">
        <v>0.99999994716386598</v>
      </c>
    </row>
    <row r="7471" spans="1:40" x14ac:dyDescent="0.25">
      <c r="A7471" t="str">
        <f>"20190303154710164"</f>
        <v>20190303154710164</v>
      </c>
      <c r="B7471" t="str">
        <f>"1551599230159477"</f>
        <v>1551599230159477</v>
      </c>
      <c r="C7471" t="s">
        <v>40</v>
      </c>
      <c r="D7471">
        <v>5.5984850000000002</v>
      </c>
      <c r="E7471">
        <v>0.53244209999999903</v>
      </c>
      <c r="F7471" t="s">
        <v>61</v>
      </c>
      <c r="G7471">
        <v>-181.90020000000001</v>
      </c>
      <c r="H7471" s="1">
        <v>-4.6029779999999996E-6</v>
      </c>
      <c r="I7471">
        <v>127.4657</v>
      </c>
      <c r="J7471">
        <v>-187.3783</v>
      </c>
      <c r="K7471">
        <v>1.11842</v>
      </c>
      <c r="L7471">
        <v>119.7488</v>
      </c>
      <c r="M7471">
        <v>0.1241611</v>
      </c>
      <c r="N7471">
        <v>-1.3684979999999999E-2</v>
      </c>
      <c r="O7471">
        <v>0.99216769999999999</v>
      </c>
      <c r="P7471">
        <v>0.49965470000000001</v>
      </c>
      <c r="Q7471">
        <v>-0.1090329</v>
      </c>
      <c r="R7471">
        <v>0.85933530000000002</v>
      </c>
      <c r="S7471">
        <v>1.716888</v>
      </c>
      <c r="T7471">
        <v>-0.3493462</v>
      </c>
      <c r="U7471">
        <v>2.4491879999999999</v>
      </c>
      <c r="V7471">
        <v>0.38847690000000001</v>
      </c>
      <c r="W7471">
        <v>-9.8910540000000005E-2</v>
      </c>
      <c r="X7471">
        <v>0.91613449999999996</v>
      </c>
      <c r="Y7471">
        <v>0.46432479999999998</v>
      </c>
      <c r="Z7471">
        <v>-0.105603</v>
      </c>
      <c r="AA7471">
        <v>0.87934659999999998</v>
      </c>
      <c r="AB7471">
        <v>20</v>
      </c>
      <c r="AC7471">
        <v>5.47809999999998</v>
      </c>
      <c r="AD7471">
        <v>-1.1184246029780001</v>
      </c>
      <c r="AE7471">
        <v>7.7168999999999901</v>
      </c>
      <c r="AF7471">
        <v>4.41579951999974</v>
      </c>
      <c r="AG7471">
        <v>-1.1184246029780001</v>
      </c>
      <c r="AH7471">
        <v>8.2225632055563498</v>
      </c>
      <c r="AI7471">
        <v>96.8332891400417</v>
      </c>
      <c r="AJ7471">
        <v>61.762670528455303</v>
      </c>
      <c r="AK7471">
        <v>9.4000374819861996</v>
      </c>
      <c r="AL7471">
        <v>95.676437934888497</v>
      </c>
      <c r="AM7471">
        <v>67.021153922436099</v>
      </c>
      <c r="AN7471">
        <v>1.00000000942347</v>
      </c>
    </row>
    <row r="7472" spans="1:40" x14ac:dyDescent="0.25">
      <c r="A7472" t="str">
        <f>"20190303154710184"</f>
        <v>20190303154710184</v>
      </c>
      <c r="B7472" t="str">
        <f>"1551599230178997"</f>
        <v>1551599230178997</v>
      </c>
      <c r="C7472" t="s">
        <v>40</v>
      </c>
      <c r="D7472">
        <v>5.6006619999999998</v>
      </c>
      <c r="E7472">
        <v>0.53251939999999998</v>
      </c>
      <c r="F7472" t="s">
        <v>61</v>
      </c>
      <c r="G7472">
        <v>-181.81180000000001</v>
      </c>
      <c r="H7472" s="1">
        <v>-4.6653449999999998E-6</v>
      </c>
      <c r="I7472">
        <v>127.6585</v>
      </c>
      <c r="J7472">
        <v>-187.35140000000001</v>
      </c>
      <c r="K7472">
        <v>1.1184270000000001</v>
      </c>
      <c r="L7472">
        <v>119.925</v>
      </c>
      <c r="M7472">
        <v>0.12825400000000001</v>
      </c>
      <c r="N7472">
        <v>-1.3684089999999999E-2</v>
      </c>
      <c r="O7472">
        <v>0.9916469</v>
      </c>
      <c r="P7472">
        <v>0.50263210000000003</v>
      </c>
      <c r="Q7472">
        <v>-0.1092972</v>
      </c>
      <c r="R7472">
        <v>0.85756350000000003</v>
      </c>
      <c r="S7472">
        <v>1.7215419999999999</v>
      </c>
      <c r="T7472">
        <v>-0.34589589999999998</v>
      </c>
      <c r="U7472">
        <v>2.4462429999999999</v>
      </c>
      <c r="V7472">
        <v>0.3878779</v>
      </c>
      <c r="W7472">
        <v>-9.9168889999999996E-2</v>
      </c>
      <c r="X7472">
        <v>0.91636039999999996</v>
      </c>
      <c r="Y7472">
        <v>0.46236529999999998</v>
      </c>
      <c r="Z7472">
        <v>-0.104493</v>
      </c>
      <c r="AA7472">
        <v>0.88051089999999999</v>
      </c>
      <c r="AB7472">
        <v>20</v>
      </c>
      <c r="AC7472">
        <v>5.5396000000000001</v>
      </c>
      <c r="AD7472">
        <v>-1.1184316653449999</v>
      </c>
      <c r="AE7472">
        <v>7.7335000000000003</v>
      </c>
      <c r="AF7472">
        <v>4.4405158923865899</v>
      </c>
      <c r="AG7472">
        <v>-1.1184316653449999</v>
      </c>
      <c r="AH7472">
        <v>8.2659036464841993</v>
      </c>
      <c r="AI7472">
        <v>96.797349584415002</v>
      </c>
      <c r="AJ7472">
        <v>61.7549182185003</v>
      </c>
      <c r="AK7472">
        <v>9.4495626286905505</v>
      </c>
      <c r="AL7472">
        <v>95.691313155610899</v>
      </c>
      <c r="AM7472">
        <v>67.057985191387402</v>
      </c>
      <c r="AN7472">
        <v>1.00000005837019</v>
      </c>
    </row>
    <row r="7473" spans="1:40" x14ac:dyDescent="0.25">
      <c r="A7473" t="str">
        <f>"20190303154710206"</f>
        <v>20190303154710206</v>
      </c>
      <c r="B7473" t="str">
        <f>"1551599230199493"</f>
        <v>1551599230199493</v>
      </c>
      <c r="C7473" t="s">
        <v>40</v>
      </c>
      <c r="D7473">
        <v>5.5901319999999997</v>
      </c>
      <c r="E7473">
        <v>0.53257069999999995</v>
      </c>
      <c r="F7473" t="s">
        <v>61</v>
      </c>
      <c r="G7473">
        <v>-181.739</v>
      </c>
      <c r="H7473" s="1">
        <v>-4.7219999999999999E-6</v>
      </c>
      <c r="I7473">
        <v>127.83750000000001</v>
      </c>
      <c r="J7473">
        <v>-187.3203</v>
      </c>
      <c r="K7473">
        <v>1.118431</v>
      </c>
      <c r="L7473">
        <v>120.1223</v>
      </c>
      <c r="M7473">
        <v>0.13284779999999999</v>
      </c>
      <c r="N7473">
        <v>-1.368262E-2</v>
      </c>
      <c r="O7473">
        <v>0.99104199999999998</v>
      </c>
      <c r="P7473">
        <v>0.50632840000000001</v>
      </c>
      <c r="Q7473">
        <v>-0.1088963</v>
      </c>
      <c r="R7473">
        <v>0.85543740000000001</v>
      </c>
      <c r="S7473">
        <v>1.73066699999999</v>
      </c>
      <c r="T7473">
        <v>-0.34488449999999998</v>
      </c>
      <c r="U7473">
        <v>2.4399410000000001</v>
      </c>
      <c r="V7473">
        <v>0.38758369999999998</v>
      </c>
      <c r="W7473">
        <v>-9.8759819999999998E-2</v>
      </c>
      <c r="X7473">
        <v>0.91652900000000004</v>
      </c>
      <c r="Y7473">
        <v>0.46154580000000001</v>
      </c>
      <c r="Z7473">
        <v>-0.1042257</v>
      </c>
      <c r="AA7473">
        <v>0.88097239999999999</v>
      </c>
      <c r="AB7473">
        <v>20</v>
      </c>
      <c r="AC7473">
        <v>5.5812999999999899</v>
      </c>
      <c r="AD7473">
        <v>-1.1184357220000001</v>
      </c>
      <c r="AE7473">
        <v>7.7152000000000003</v>
      </c>
      <c r="AF7473">
        <v>4.4454506108266001</v>
      </c>
      <c r="AG7473">
        <v>-1.1184357220000001</v>
      </c>
      <c r="AH7473">
        <v>8.2741903777632793</v>
      </c>
      <c r="AI7473">
        <v>96.790466213589895</v>
      </c>
      <c r="AJ7473">
        <v>61.752322663698301</v>
      </c>
      <c r="AK7473">
        <v>9.4591308271434098</v>
      </c>
      <c r="AL7473">
        <v>95.667759781264394</v>
      </c>
      <c r="AM7473">
        <v>67.077368511560394</v>
      </c>
      <c r="AN7473">
        <v>1.00000001719656</v>
      </c>
    </row>
    <row r="7474" spans="1:40" x14ac:dyDescent="0.25">
      <c r="A7474" t="str">
        <f>"20190303154710228"</f>
        <v>20190303154710228</v>
      </c>
      <c r="B7474" t="str">
        <f>"1551599230219013"</f>
        <v>1551599230219013</v>
      </c>
      <c r="C7474" t="s">
        <v>40</v>
      </c>
      <c r="D7474">
        <v>5.2664099999999996</v>
      </c>
      <c r="E7474">
        <v>0.53261139999999996</v>
      </c>
      <c r="F7474" t="s">
        <v>61</v>
      </c>
      <c r="G7474">
        <v>-181.62090000000001</v>
      </c>
      <c r="H7474" s="1">
        <v>-4.8023569999999998E-6</v>
      </c>
      <c r="I7474">
        <v>128.08369999999999</v>
      </c>
      <c r="J7474">
        <v>-187.28970000000001</v>
      </c>
      <c r="K7474">
        <v>1.1184339999999999</v>
      </c>
      <c r="L7474">
        <v>120.3112</v>
      </c>
      <c r="M7474">
        <v>0.1372514</v>
      </c>
      <c r="N7474">
        <v>-1.3680970000000001E-2</v>
      </c>
      <c r="O7474">
        <v>0.99044169999999998</v>
      </c>
      <c r="P7474">
        <v>0.51003180000000004</v>
      </c>
      <c r="Q7474">
        <v>-0.10876280000000001</v>
      </c>
      <c r="R7474">
        <v>0.8532516</v>
      </c>
      <c r="S7474">
        <v>1.74150099999999</v>
      </c>
      <c r="T7474">
        <v>-0.34175169999999999</v>
      </c>
      <c r="U7474">
        <v>2.432693</v>
      </c>
      <c r="V7474">
        <v>0.38748379999999999</v>
      </c>
      <c r="W7474">
        <v>-9.8617549999999998E-2</v>
      </c>
      <c r="X7474">
        <v>0.91658660000000003</v>
      </c>
      <c r="Y7474">
        <v>0.46150999999999998</v>
      </c>
      <c r="Z7474">
        <v>-0.1032367</v>
      </c>
      <c r="AA7474">
        <v>0.88110769999999905</v>
      </c>
      <c r="AB7474">
        <v>20</v>
      </c>
      <c r="AC7474">
        <v>5.6688000000000001</v>
      </c>
      <c r="AD7474">
        <v>-1.118438802357</v>
      </c>
      <c r="AE7474">
        <v>7.7724999999999902</v>
      </c>
      <c r="AF7474">
        <v>4.4875990478142</v>
      </c>
      <c r="AG7474">
        <v>-1.118438802357</v>
      </c>
      <c r="AH7474">
        <v>8.3640013237483206</v>
      </c>
      <c r="AI7474">
        <v>96.720264953076807</v>
      </c>
      <c r="AJ7474">
        <v>61.784780573546897</v>
      </c>
      <c r="AK7474">
        <v>9.5575084991970698</v>
      </c>
      <c r="AL7474">
        <v>95.659568103507695</v>
      </c>
      <c r="AM7474">
        <v>67.0839578790399</v>
      </c>
      <c r="AN7474">
        <v>1.00000005586499</v>
      </c>
    </row>
    <row r="7475" spans="1:40" x14ac:dyDescent="0.25">
      <c r="A7475" t="str">
        <f>"20190303154710252"</f>
        <v>20190303154710252</v>
      </c>
      <c r="B7475" t="str">
        <f>"1551599230249269"</f>
        <v>1551599230249269</v>
      </c>
      <c r="C7475" t="s">
        <v>40</v>
      </c>
      <c r="D7475">
        <v>5.2250139999999998</v>
      </c>
      <c r="E7475">
        <v>0.53261139999999996</v>
      </c>
      <c r="F7475" t="s">
        <v>61</v>
      </c>
      <c r="G7475">
        <v>-181.53270000000001</v>
      </c>
      <c r="H7475" s="1">
        <v>-4.8646900000000003E-6</v>
      </c>
      <c r="I7475">
        <v>128.2764</v>
      </c>
      <c r="J7475">
        <v>-187.25579999999999</v>
      </c>
      <c r="K7475">
        <v>1.1184379999999901</v>
      </c>
      <c r="L7475">
        <v>120.51430000000001</v>
      </c>
      <c r="M7475">
        <v>0.14198440000000001</v>
      </c>
      <c r="N7475">
        <v>-1.3678859999999999E-2</v>
      </c>
      <c r="O7475">
        <v>0.98977440000000005</v>
      </c>
      <c r="P7475">
        <v>0.5139939</v>
      </c>
      <c r="Q7475">
        <v>-0.1095956</v>
      </c>
      <c r="R7475">
        <v>0.85076379999999996</v>
      </c>
      <c r="S7475">
        <v>1.75264</v>
      </c>
      <c r="T7475">
        <v>-0.34049740000000001</v>
      </c>
      <c r="U7475">
        <v>2.4249269999999998</v>
      </c>
      <c r="V7475">
        <v>0.38737759999999999</v>
      </c>
      <c r="W7475">
        <v>-9.9440500000000001E-2</v>
      </c>
      <c r="X7475">
        <v>0.91654250000000004</v>
      </c>
      <c r="Y7475">
        <v>0.46129809999999999</v>
      </c>
      <c r="Z7475">
        <v>-0.10288799999999999</v>
      </c>
      <c r="AA7475">
        <v>0.88125940000000003</v>
      </c>
      <c r="AB7475">
        <v>20</v>
      </c>
      <c r="AC7475">
        <v>5.7230999999999801</v>
      </c>
      <c r="AD7475">
        <v>-1.11844286468999</v>
      </c>
      <c r="AE7475">
        <v>7.7620999999999896</v>
      </c>
      <c r="AF7475">
        <v>4.5023504791570899</v>
      </c>
      <c r="AG7475">
        <v>-1.11844286468999</v>
      </c>
      <c r="AH7475">
        <v>8.3833564803909901</v>
      </c>
      <c r="AI7475">
        <v>96.703473076180202</v>
      </c>
      <c r="AJ7475">
        <v>61.761612618040999</v>
      </c>
      <c r="AK7475">
        <v>9.5813746485593398</v>
      </c>
      <c r="AL7475">
        <v>95.706952979332598</v>
      </c>
      <c r="AM7475">
        <v>67.088601604118395</v>
      </c>
      <c r="AN7475">
        <v>0.99999998616412999</v>
      </c>
    </row>
    <row r="7476" spans="1:40" x14ac:dyDescent="0.25">
      <c r="A7476" t="str">
        <f>"20190303154710273"</f>
        <v>20190303154710273</v>
      </c>
      <c r="B7476" t="str">
        <f>"1551599230268951"</f>
        <v>1551599230268951</v>
      </c>
      <c r="C7476" t="s">
        <v>40</v>
      </c>
      <c r="D7476">
        <v>5.5691790000000001</v>
      </c>
      <c r="E7476">
        <v>0.53298239999999997</v>
      </c>
      <c r="F7476" t="s">
        <v>61</v>
      </c>
      <c r="G7476">
        <v>-181.4948</v>
      </c>
      <c r="H7476" s="1">
        <v>-4.9036930000000002E-6</v>
      </c>
      <c r="I7476">
        <v>128.40620000000001</v>
      </c>
      <c r="J7476">
        <v>-187.22229999999999</v>
      </c>
      <c r="K7476">
        <v>1.118447</v>
      </c>
      <c r="L7476">
        <v>120.70910000000001</v>
      </c>
      <c r="M7476">
        <v>0.14651449999999999</v>
      </c>
      <c r="N7476">
        <v>-1.367646E-2</v>
      </c>
      <c r="O7476">
        <v>0.98911400000000005</v>
      </c>
      <c r="P7476">
        <v>0.51729139999999996</v>
      </c>
      <c r="Q7476">
        <v>-0.11041479999999999</v>
      </c>
      <c r="R7476">
        <v>0.84865669999999904</v>
      </c>
      <c r="S7476">
        <v>1.7639469999999999</v>
      </c>
      <c r="T7476">
        <v>-0.34245779999999998</v>
      </c>
      <c r="U7476">
        <v>2.4164430000000001</v>
      </c>
      <c r="V7476">
        <v>0.38675290000000001</v>
      </c>
      <c r="W7476">
        <v>-0.10024230000000001</v>
      </c>
      <c r="X7476">
        <v>0.91671899999999995</v>
      </c>
      <c r="Y7476">
        <v>0.46135890000000002</v>
      </c>
      <c r="Z7476">
        <v>-0.103635</v>
      </c>
      <c r="AA7476">
        <v>0.88113999999999904</v>
      </c>
      <c r="AB7476">
        <v>20</v>
      </c>
      <c r="AC7476">
        <v>5.7274999999999903</v>
      </c>
      <c r="AD7476">
        <v>-1.1184519036929901</v>
      </c>
      <c r="AE7476">
        <v>7.6970999999999998</v>
      </c>
      <c r="AF7476">
        <v>4.4769965401334204</v>
      </c>
      <c r="AG7476">
        <v>-1.1184519036929901</v>
      </c>
      <c r="AH7476">
        <v>8.3399237690815902</v>
      </c>
      <c r="AI7476">
        <v>96.738793914236496</v>
      </c>
      <c r="AJ7476">
        <v>61.772427473451103</v>
      </c>
      <c r="AK7476">
        <v>9.5314616484216792</v>
      </c>
      <c r="AL7476">
        <v>95.753123211970802</v>
      </c>
      <c r="AM7476">
        <v>67.125694305571798</v>
      </c>
      <c r="AN7476">
        <v>1.0000000246643399</v>
      </c>
    </row>
    <row r="7477" spans="1:40" x14ac:dyDescent="0.25">
      <c r="A7477" t="str">
        <f>"20190303154710295"</f>
        <v>20190303154710295</v>
      </c>
      <c r="B7477" t="str">
        <f>"1551599230289447"</f>
        <v>1551599230289447</v>
      </c>
      <c r="C7477" t="s">
        <v>40</v>
      </c>
      <c r="D7477">
        <v>5.2277009999999997</v>
      </c>
      <c r="E7477">
        <v>0.53298239999999997</v>
      </c>
      <c r="F7477" t="s">
        <v>61</v>
      </c>
      <c r="G7477">
        <v>-181.4358</v>
      </c>
      <c r="H7477" s="1">
        <v>-4.9505780000000003E-6</v>
      </c>
      <c r="I7477">
        <v>128.55510000000001</v>
      </c>
      <c r="J7477">
        <v>-187.18790000000001</v>
      </c>
      <c r="K7477">
        <v>1.1184719999999999</v>
      </c>
      <c r="L7477">
        <v>120.9041</v>
      </c>
      <c r="M7477">
        <v>0.15103259999999999</v>
      </c>
      <c r="N7477">
        <v>-1.3673680000000001E-2</v>
      </c>
      <c r="O7477">
        <v>0.98843419999999904</v>
      </c>
      <c r="P7477">
        <v>0.52018659999999906</v>
      </c>
      <c r="Q7477">
        <v>-0.11117920000000001</v>
      </c>
      <c r="R7477">
        <v>0.84678519999999902</v>
      </c>
      <c r="S7477">
        <v>1.7758480000000001</v>
      </c>
      <c r="T7477">
        <v>-0.34324569999999999</v>
      </c>
      <c r="U7477">
        <v>2.407883</v>
      </c>
      <c r="V7477">
        <v>0.38571080000000002</v>
      </c>
      <c r="W7477">
        <v>-0.1009819</v>
      </c>
      <c r="X7477">
        <v>0.91707680000000003</v>
      </c>
      <c r="Y7477">
        <v>0.46160839999999997</v>
      </c>
      <c r="Z7477">
        <v>-0.1039741</v>
      </c>
      <c r="AA7477">
        <v>0.88096939999999901</v>
      </c>
      <c r="AB7477">
        <v>20</v>
      </c>
      <c r="AC7477">
        <v>5.7521000000000102</v>
      </c>
      <c r="AD7477">
        <v>-1.1184769505779999</v>
      </c>
      <c r="AE7477">
        <v>7.6510000000000096</v>
      </c>
      <c r="AF7477">
        <v>4.4694224505497697</v>
      </c>
      <c r="AG7477">
        <v>-1.1184769505779999</v>
      </c>
      <c r="AH7477">
        <v>8.3184770768894705</v>
      </c>
      <c r="AI7477">
        <v>96.754836369327094</v>
      </c>
      <c r="AJ7477">
        <v>61.751370999915999</v>
      </c>
      <c r="AK7477">
        <v>9.5091423698032909</v>
      </c>
      <c r="AL7477">
        <v>95.795715372356497</v>
      </c>
      <c r="AM7477">
        <v>67.188999143032902</v>
      </c>
      <c r="AN7477">
        <v>1.0000000112312399</v>
      </c>
    </row>
    <row r="7478" spans="1:40" x14ac:dyDescent="0.25">
      <c r="A7478" t="str">
        <f>"20190303154710318"</f>
        <v>20190303154710318</v>
      </c>
      <c r="B7478" t="str">
        <f>"1551599230308968"</f>
        <v>1551599230308968</v>
      </c>
      <c r="C7478" t="s">
        <v>40</v>
      </c>
      <c r="D7478">
        <v>5.5663609999999997</v>
      </c>
      <c r="E7478">
        <v>0.53393970000000002</v>
      </c>
      <c r="F7478" t="s">
        <v>61</v>
      </c>
      <c r="G7478">
        <v>-181.41210000000001</v>
      </c>
      <c r="H7478" s="1">
        <v>-4.9861170000000003E-6</v>
      </c>
      <c r="I7478">
        <v>128.67930000000001</v>
      </c>
      <c r="J7478">
        <v>-187.15199999999999</v>
      </c>
      <c r="K7478">
        <v>1.1184879999999999</v>
      </c>
      <c r="L7478">
        <v>121.1026</v>
      </c>
      <c r="M7478">
        <v>0.155608</v>
      </c>
      <c r="N7478">
        <v>-1.3670420000000001E-2</v>
      </c>
      <c r="O7478">
        <v>0.9877243</v>
      </c>
      <c r="P7478">
        <v>0.52403169999999999</v>
      </c>
      <c r="Q7478">
        <v>-0.112163</v>
      </c>
      <c r="R7478">
        <v>0.8442809</v>
      </c>
      <c r="S7478">
        <v>1.783981</v>
      </c>
      <c r="T7478">
        <v>-0.34546660000000001</v>
      </c>
      <c r="U7478">
        <v>2.401535</v>
      </c>
      <c r="V7478">
        <v>0.38565440000000001</v>
      </c>
      <c r="W7478">
        <v>-0.10194880000000001</v>
      </c>
      <c r="X7478">
        <v>0.91699359999999996</v>
      </c>
      <c r="Y7478">
        <v>0.46049200000000001</v>
      </c>
      <c r="Z7478">
        <v>-0.10479479999999999</v>
      </c>
      <c r="AA7478">
        <v>0.88145629999999997</v>
      </c>
      <c r="AB7478">
        <v>20</v>
      </c>
      <c r="AC7478">
        <v>5.7398999999999996</v>
      </c>
      <c r="AD7478">
        <v>-1.1184929861170001</v>
      </c>
      <c r="AE7478">
        <v>7.5767000000000104</v>
      </c>
      <c r="AF7478">
        <v>4.4295318146360101</v>
      </c>
      <c r="AG7478">
        <v>-1.1184929861170001</v>
      </c>
      <c r="AH7478">
        <v>8.2632349512376209</v>
      </c>
      <c r="AI7478">
        <v>96.803138206977593</v>
      </c>
      <c r="AJ7478">
        <v>61.806333101639403</v>
      </c>
      <c r="AK7478">
        <v>9.4420776588746893</v>
      </c>
      <c r="AL7478">
        <v>95.851401723253502</v>
      </c>
      <c r="AM7478">
        <v>67.190135674391101</v>
      </c>
      <c r="AN7478">
        <v>1.0000000682508701</v>
      </c>
    </row>
    <row r="7479" spans="1:40" x14ac:dyDescent="0.25">
      <c r="A7479" t="str">
        <f>"20190303154710341"</f>
        <v>20190303154710341</v>
      </c>
      <c r="B7479" t="str">
        <f>"1551599230329463"</f>
        <v>1551599230329463</v>
      </c>
      <c r="C7479" t="s">
        <v>40</v>
      </c>
      <c r="D7479">
        <v>5.5619399999999999</v>
      </c>
      <c r="E7479">
        <v>0.53479679999999996</v>
      </c>
      <c r="F7479" t="s">
        <v>61</v>
      </c>
      <c r="G7479">
        <v>-181.27719999999999</v>
      </c>
      <c r="H7479" s="1">
        <v>-5.0606479999999999E-6</v>
      </c>
      <c r="I7479">
        <v>128.8939</v>
      </c>
      <c r="J7479">
        <v>-187.1157</v>
      </c>
      <c r="K7479">
        <v>1.118517</v>
      </c>
      <c r="L7479">
        <v>121.2987</v>
      </c>
      <c r="M7479">
        <v>0.16009760000000001</v>
      </c>
      <c r="N7479">
        <v>-1.3666650000000001E-2</v>
      </c>
      <c r="O7479">
        <v>0.98700659999999896</v>
      </c>
      <c r="P7479">
        <v>0.52864029999999995</v>
      </c>
      <c r="Q7479">
        <v>-0.1124925</v>
      </c>
      <c r="R7479">
        <v>0.84135899999999997</v>
      </c>
      <c r="S7479">
        <v>1.8016970000000001</v>
      </c>
      <c r="T7479">
        <v>-0.34302179999999999</v>
      </c>
      <c r="U7479">
        <v>2.3894500000000001</v>
      </c>
      <c r="V7479">
        <v>0.38650889999999999</v>
      </c>
      <c r="W7479">
        <v>-0.1022661</v>
      </c>
      <c r="X7479">
        <v>0.91659829999999998</v>
      </c>
      <c r="Y7479">
        <v>0.46282220000000002</v>
      </c>
      <c r="Z7479">
        <v>-0.10403560000000001</v>
      </c>
      <c r="AA7479">
        <v>0.88032509999999997</v>
      </c>
      <c r="AB7479">
        <v>20</v>
      </c>
      <c r="AC7479">
        <v>5.8385000000000096</v>
      </c>
      <c r="AD7479">
        <v>-1.118522060648</v>
      </c>
      <c r="AE7479">
        <v>7.5952000000000002</v>
      </c>
      <c r="AF7479">
        <v>4.4859363899789297</v>
      </c>
      <c r="AG7479">
        <v>-1.118522060648</v>
      </c>
      <c r="AH7479">
        <v>8.3186289474579702</v>
      </c>
      <c r="AI7479">
        <v>96.749468807925993</v>
      </c>
      <c r="AJ7479">
        <v>61.663616841932601</v>
      </c>
      <c r="AK7479">
        <v>9.5170533496760008</v>
      </c>
      <c r="AL7479">
        <v>95.869677804375598</v>
      </c>
      <c r="AM7479">
        <v>67.135940625011401</v>
      </c>
      <c r="AN7479">
        <v>0.99999996427565396</v>
      </c>
    </row>
    <row r="7480" spans="1:40" x14ac:dyDescent="0.25">
      <c r="A7480" t="str">
        <f>"20190303154710363"</f>
        <v>20190303154710363</v>
      </c>
      <c r="B7480" t="str">
        <f>"1551599230358898"</f>
        <v>1551599230358898</v>
      </c>
      <c r="C7480" t="s">
        <v>40</v>
      </c>
      <c r="D7480">
        <v>5.6281059999999998</v>
      </c>
      <c r="E7480">
        <v>0.56480969999999997</v>
      </c>
      <c r="F7480" t="s">
        <v>61</v>
      </c>
      <c r="G7480">
        <v>-181.0909</v>
      </c>
      <c r="H7480" s="1">
        <v>-5.174471E-6</v>
      </c>
      <c r="I7480">
        <v>129.16200000000001</v>
      </c>
      <c r="J7480">
        <v>-187.0779</v>
      </c>
      <c r="K7480">
        <v>1.1185609999999999</v>
      </c>
      <c r="L7480">
        <v>121.4971</v>
      </c>
      <c r="M7480">
        <v>0.16460439999999901</v>
      </c>
      <c r="N7480">
        <v>-1.3662290000000001E-2</v>
      </c>
      <c r="O7480">
        <v>0.98626510000000001</v>
      </c>
      <c r="P7480">
        <v>0.53376469999999998</v>
      </c>
      <c r="Q7480">
        <v>-0.1117509</v>
      </c>
      <c r="R7480">
        <v>0.83821659999999998</v>
      </c>
      <c r="S7480">
        <v>1.8208009999999999</v>
      </c>
      <c r="T7480">
        <v>-0.33803650000000002</v>
      </c>
      <c r="U7480">
        <v>2.3764500000000002</v>
      </c>
      <c r="V7480">
        <v>0.38790920000000001</v>
      </c>
      <c r="W7480">
        <v>-0.1015118</v>
      </c>
      <c r="X7480">
        <v>0.91609050000000003</v>
      </c>
      <c r="Y7480">
        <v>0.46567059999999999</v>
      </c>
      <c r="Z7480">
        <v>-0.10241550000000001</v>
      </c>
      <c r="AA7480">
        <v>0.87901189999999996</v>
      </c>
      <c r="AB7480">
        <v>20</v>
      </c>
      <c r="AC7480">
        <v>5.9869999999999903</v>
      </c>
      <c r="AD7480">
        <v>-1.118566174471</v>
      </c>
      <c r="AE7480">
        <v>7.6649000000000003</v>
      </c>
      <c r="AF7480">
        <v>4.5829086587750298</v>
      </c>
      <c r="AG7480">
        <v>-1.118566174471</v>
      </c>
      <c r="AH7480">
        <v>8.4343473477833104</v>
      </c>
      <c r="AI7480">
        <v>96.646651809977399</v>
      </c>
      <c r="AJ7480">
        <v>61.481998754481403</v>
      </c>
      <c r="AK7480">
        <v>9.6639772994562296</v>
      </c>
      <c r="AL7480">
        <v>95.8262333009082</v>
      </c>
      <c r="AM7480">
        <v>67.050265905016602</v>
      </c>
      <c r="AN7480">
        <v>0.99999999858706501</v>
      </c>
    </row>
    <row r="7481" spans="1:40" x14ac:dyDescent="0.25">
      <c r="A7481" t="str">
        <f>"20190303154710385"</f>
        <v>20190303154710385</v>
      </c>
      <c r="B7481" t="str">
        <f>"1551599230379394"</f>
        <v>1551599230379394</v>
      </c>
      <c r="C7481" t="s">
        <v>40</v>
      </c>
      <c r="D7481">
        <v>5.6997339999999896</v>
      </c>
      <c r="E7481">
        <v>0.58035899999999996</v>
      </c>
      <c r="F7481" t="s">
        <v>61</v>
      </c>
      <c r="G7481">
        <v>-177.8597</v>
      </c>
      <c r="H7481" s="1">
        <v>-4.7656149999999999E-6</v>
      </c>
      <c r="I7481">
        <v>131.63159999999999</v>
      </c>
      <c r="J7481">
        <v>-187.0412</v>
      </c>
      <c r="K7481">
        <v>1.1186020000000001</v>
      </c>
      <c r="L7481">
        <v>121.6855</v>
      </c>
      <c r="M7481">
        <v>0.1688462</v>
      </c>
      <c r="N7481">
        <v>-1.3657799999999999E-2</v>
      </c>
      <c r="O7481">
        <v>0.98554779999999997</v>
      </c>
      <c r="P7481">
        <v>0.539396599999999</v>
      </c>
      <c r="Q7481">
        <v>-0.1100098</v>
      </c>
      <c r="R7481">
        <v>0.83483479999999999</v>
      </c>
      <c r="S7481">
        <v>2.042389</v>
      </c>
      <c r="T7481">
        <v>-0.24783089999999999</v>
      </c>
      <c r="U7481">
        <v>2.245422</v>
      </c>
      <c r="V7481">
        <v>0.39011099999999999</v>
      </c>
      <c r="W7481">
        <v>-9.9765049999999994E-2</v>
      </c>
      <c r="X7481">
        <v>0.91534709999999997</v>
      </c>
      <c r="Y7481">
        <v>0.5362806</v>
      </c>
      <c r="Z7481">
        <v>-7.1466489999999994E-2</v>
      </c>
      <c r="AA7481">
        <v>0.84100869999999905</v>
      </c>
      <c r="AB7481">
        <v>20</v>
      </c>
      <c r="AC7481">
        <v>9.1814999999999998</v>
      </c>
      <c r="AD7481">
        <v>-1.1186067656150001</v>
      </c>
      <c r="AE7481">
        <v>9.94609999999998</v>
      </c>
      <c r="AF7481">
        <v>7.3201424179535497</v>
      </c>
      <c r="AG7481">
        <v>-1.1186067656150001</v>
      </c>
      <c r="AH7481">
        <v>11.276666377192401</v>
      </c>
      <c r="AI7481">
        <v>94.756248222252694</v>
      </c>
      <c r="AJ7481">
        <v>57.010759575448503</v>
      </c>
      <c r="AK7481">
        <v>13.4906994146969</v>
      </c>
      <c r="AL7481">
        <v>95.725641260307498</v>
      </c>
      <c r="AM7481">
        <v>66.916823338558999</v>
      </c>
      <c r="AN7481">
        <v>0.99999998550045599</v>
      </c>
    </row>
    <row r="7482" spans="1:40" x14ac:dyDescent="0.25">
      <c r="A7482" t="str">
        <f>"20190303154710407"</f>
        <v>20190303154710407</v>
      </c>
      <c r="B7482" t="str">
        <f>"1551599230398918"</f>
        <v>1551599230398918</v>
      </c>
      <c r="C7482" t="s">
        <v>40</v>
      </c>
      <c r="D7482">
        <v>5.7065739999999998</v>
      </c>
      <c r="E7482">
        <v>0.58862729999999996</v>
      </c>
      <c r="F7482" t="s">
        <v>61</v>
      </c>
      <c r="G7482">
        <v>-179.34119999999999</v>
      </c>
      <c r="H7482" s="1">
        <v>-4.9590600000000003E-6</v>
      </c>
      <c r="I7482">
        <v>129.3886</v>
      </c>
      <c r="J7482">
        <v>-187.00360000000001</v>
      </c>
      <c r="K7482">
        <v>1.118636</v>
      </c>
      <c r="L7482">
        <v>121.8747</v>
      </c>
      <c r="M7482">
        <v>0.17307539999999999</v>
      </c>
      <c r="N7482">
        <v>-1.365336E-2</v>
      </c>
      <c r="O7482">
        <v>0.98481390000000002</v>
      </c>
      <c r="P7482">
        <v>0.54516580000000003</v>
      </c>
      <c r="Q7482">
        <v>-0.108901</v>
      </c>
      <c r="R7482">
        <v>0.83122489999999905</v>
      </c>
      <c r="S7482">
        <v>2.1574399999999998</v>
      </c>
      <c r="T7482">
        <v>-0.31341729999999901</v>
      </c>
      <c r="U7482">
        <v>2.1583100000000002</v>
      </c>
      <c r="V7482">
        <v>0.39250479999999999</v>
      </c>
      <c r="W7482">
        <v>-9.8655859999999998E-2</v>
      </c>
      <c r="X7482">
        <v>0.91444360000000002</v>
      </c>
      <c r="Y7482">
        <v>0.57041330000000001</v>
      </c>
      <c r="Z7482">
        <v>-9.3547889999999995E-2</v>
      </c>
      <c r="AA7482">
        <v>0.81601319999999999</v>
      </c>
      <c r="AB7482">
        <v>20</v>
      </c>
      <c r="AC7482">
        <v>7.6624000000000096</v>
      </c>
      <c r="AD7482">
        <v>-1.1186409590599999</v>
      </c>
      <c r="AE7482">
        <v>7.5138999999999898</v>
      </c>
      <c r="AF7482">
        <v>6.1790129623599102</v>
      </c>
      <c r="AG7482">
        <v>-1.1186409590599999</v>
      </c>
      <c r="AH7482">
        <v>8.6329807360635602</v>
      </c>
      <c r="AI7482">
        <v>96.0149956641758</v>
      </c>
      <c r="AJ7482">
        <v>54.406995702622901</v>
      </c>
      <c r="AK7482">
        <v>10.675200943005301</v>
      </c>
      <c r="AL7482">
        <v>95.6617739105087</v>
      </c>
      <c r="AM7482">
        <v>66.769635536719505</v>
      </c>
      <c r="AN7482">
        <v>1.00000004715816</v>
      </c>
    </row>
    <row r="7483" spans="1:40" x14ac:dyDescent="0.25">
      <c r="A7483" t="str">
        <f>"20190303154710429"</f>
        <v>20190303154710429</v>
      </c>
      <c r="B7483" t="str">
        <f>"1551599230419410"</f>
        <v>1551599230419410</v>
      </c>
      <c r="C7483" t="s">
        <v>40</v>
      </c>
      <c r="D7483">
        <v>5.6706490000000001</v>
      </c>
      <c r="E7483">
        <v>0.59305839999999999</v>
      </c>
      <c r="F7483" t="s">
        <v>61</v>
      </c>
      <c r="G7483">
        <v>-179.51929999999999</v>
      </c>
      <c r="H7483" s="1">
        <v>-4.973865E-6</v>
      </c>
      <c r="I7483">
        <v>128.95359999999999</v>
      </c>
      <c r="J7483">
        <v>-186.96520000000001</v>
      </c>
      <c r="K7483">
        <v>1.1186640000000001</v>
      </c>
      <c r="L7483">
        <v>122.06359999999999</v>
      </c>
      <c r="M7483">
        <v>0.17727100000000001</v>
      </c>
      <c r="N7483">
        <v>-1.3649100000000001E-2</v>
      </c>
      <c r="O7483">
        <v>0.98406740000000004</v>
      </c>
      <c r="P7483">
        <v>0.55031149999999995</v>
      </c>
      <c r="Q7483">
        <v>-0.1093295</v>
      </c>
      <c r="R7483">
        <v>0.82777069999999997</v>
      </c>
      <c r="S7483">
        <v>2.226105</v>
      </c>
      <c r="T7483">
        <v>-0.33272639999999998</v>
      </c>
      <c r="U7483">
        <v>2.1055299999999999</v>
      </c>
      <c r="V7483">
        <v>0.39429049999999999</v>
      </c>
      <c r="W7483">
        <v>-9.9083779999999996E-2</v>
      </c>
      <c r="X7483">
        <v>0.91362869999999996</v>
      </c>
      <c r="Y7483">
        <v>0.58915479999999998</v>
      </c>
      <c r="Z7483">
        <v>-9.9945900000000004E-2</v>
      </c>
      <c r="AA7483">
        <v>0.8018151</v>
      </c>
      <c r="AB7483">
        <v>20</v>
      </c>
      <c r="AC7483">
        <v>7.4459000000000204</v>
      </c>
      <c r="AD7483">
        <v>-1.118668973865</v>
      </c>
      <c r="AE7483">
        <v>6.89</v>
      </c>
      <c r="AF7483">
        <v>6.0330775008707196</v>
      </c>
      <c r="AG7483">
        <v>-1.118668973865</v>
      </c>
      <c r="AH7483">
        <v>8.0035982266984895</v>
      </c>
      <c r="AI7483">
        <v>96.368591491540798</v>
      </c>
      <c r="AJ7483">
        <v>52.991172043803402</v>
      </c>
      <c r="AK7483">
        <v>10.084990281552599</v>
      </c>
      <c r="AL7483">
        <v>95.686412922425205</v>
      </c>
      <c r="AM7483">
        <v>66.656645242435602</v>
      </c>
      <c r="AN7483">
        <v>0.99999999765651404</v>
      </c>
    </row>
    <row r="7484" spans="1:40" x14ac:dyDescent="0.25">
      <c r="A7484" t="str">
        <f>"20190303154710451"</f>
        <v>20190303154710451</v>
      </c>
      <c r="B7484" t="str">
        <f>"1551599230449666"</f>
        <v>1551599230449666</v>
      </c>
      <c r="C7484" t="s">
        <v>40</v>
      </c>
      <c r="D7484">
        <v>5.6455209999999996</v>
      </c>
      <c r="E7484">
        <v>0.60156409999999905</v>
      </c>
      <c r="F7484" t="s">
        <v>61</v>
      </c>
      <c r="G7484">
        <v>-179.53370000000001</v>
      </c>
      <c r="H7484" s="1">
        <v>-4.956214E-6</v>
      </c>
      <c r="I7484">
        <v>128.8494</v>
      </c>
      <c r="J7484">
        <v>-186.92429999999999</v>
      </c>
      <c r="K7484">
        <v>1.1186670000000001</v>
      </c>
      <c r="L7484">
        <v>122.2608</v>
      </c>
      <c r="M7484">
        <v>0.1816256</v>
      </c>
      <c r="N7484">
        <v>-1.364488E-2</v>
      </c>
      <c r="O7484">
        <v>0.98327310000000001</v>
      </c>
      <c r="P7484">
        <v>0.55501230000000001</v>
      </c>
      <c r="Q7484">
        <v>-0.110179399999999</v>
      </c>
      <c r="R7484">
        <v>0.82451299999999905</v>
      </c>
      <c r="S7484">
        <v>2.2682190000000002</v>
      </c>
      <c r="T7484">
        <v>-0.34143770000000001</v>
      </c>
      <c r="U7484">
        <v>2.0711520000000001</v>
      </c>
      <c r="V7484">
        <v>0.3954628</v>
      </c>
      <c r="W7484">
        <v>-9.9932939999999998E-2</v>
      </c>
      <c r="X7484">
        <v>0.91302930000000004</v>
      </c>
      <c r="Y7484">
        <v>0.59938319999999901</v>
      </c>
      <c r="Z7484">
        <v>-0.10284989999999999</v>
      </c>
      <c r="AA7484">
        <v>0.79382719999999996</v>
      </c>
      <c r="AB7484">
        <v>20</v>
      </c>
      <c r="AC7484">
        <v>7.3905999999999699</v>
      </c>
      <c r="AD7484">
        <v>-1.118671956214</v>
      </c>
      <c r="AE7484">
        <v>6.5885999999999996</v>
      </c>
      <c r="AF7484">
        <v>5.9943627429500799</v>
      </c>
      <c r="AG7484">
        <v>-1.118671956214</v>
      </c>
      <c r="AH7484">
        <v>7.7228558667864302</v>
      </c>
      <c r="AI7484">
        <v>96.527827220997096</v>
      </c>
      <c r="AJ7484">
        <v>52.181931806970198</v>
      </c>
      <c r="AK7484">
        <v>9.8400362996711195</v>
      </c>
      <c r="AL7484">
        <v>95.735309105125594</v>
      </c>
      <c r="AM7484">
        <v>66.580988433725494</v>
      </c>
      <c r="AN7484">
        <v>0.99999996066968599</v>
      </c>
    </row>
    <row r="7485" spans="1:40" x14ac:dyDescent="0.25">
      <c r="A7485" t="str">
        <f>"20190303154710474"</f>
        <v>20190303154710474</v>
      </c>
      <c r="B7485" t="str">
        <f>"1551599230469187"</f>
        <v>1551599230469187</v>
      </c>
      <c r="C7485" t="s">
        <v>40</v>
      </c>
      <c r="D7485">
        <v>5.0338719999999997</v>
      </c>
      <c r="E7485">
        <v>0.60983949999999998</v>
      </c>
      <c r="F7485" t="s">
        <v>61</v>
      </c>
      <c r="G7485">
        <v>-178.58879999999999</v>
      </c>
      <c r="H7485" s="1">
        <v>-4.4650699999999901E-6</v>
      </c>
      <c r="I7485">
        <v>129.47229999999999</v>
      </c>
      <c r="J7485">
        <v>-186.88380000000001</v>
      </c>
      <c r="K7485">
        <v>1.1186750000000001</v>
      </c>
      <c r="L7485">
        <v>122.4517</v>
      </c>
      <c r="M7485">
        <v>0.18582979999999999</v>
      </c>
      <c r="N7485">
        <v>-1.364107E-2</v>
      </c>
      <c r="O7485">
        <v>0.98248729999999995</v>
      </c>
      <c r="P7485">
        <v>0.55917079999999997</v>
      </c>
      <c r="Q7485">
        <v>-0.110587</v>
      </c>
      <c r="R7485">
        <v>0.82164380000000004</v>
      </c>
      <c r="S7485">
        <v>2.338028</v>
      </c>
      <c r="T7485">
        <v>-0.31377759999999999</v>
      </c>
      <c r="U7485">
        <v>2.0227659999999998</v>
      </c>
      <c r="V7485">
        <v>0.39617970000000002</v>
      </c>
      <c r="W7485">
        <v>-0.10034120000000001</v>
      </c>
      <c r="X7485">
        <v>0.91267370000000003</v>
      </c>
      <c r="Y7485">
        <v>0.61781730000000001</v>
      </c>
      <c r="Z7485">
        <v>-9.3278609999999998E-2</v>
      </c>
      <c r="AA7485">
        <v>0.78076950000000001</v>
      </c>
      <c r="AB7485">
        <v>20</v>
      </c>
      <c r="AC7485">
        <v>8.2950000000000106</v>
      </c>
      <c r="AD7485">
        <v>-1.11867946507</v>
      </c>
      <c r="AE7485">
        <v>7.0205999999999804</v>
      </c>
      <c r="AF7485">
        <v>6.7739495975945703</v>
      </c>
      <c r="AG7485">
        <v>-1.11867946507</v>
      </c>
      <c r="AH7485">
        <v>8.3513949752607104</v>
      </c>
      <c r="AI7485">
        <v>95.939220985870904</v>
      </c>
      <c r="AJ7485">
        <v>50.9539404995624</v>
      </c>
      <c r="AK7485">
        <v>10.8112735109759</v>
      </c>
      <c r="AL7485">
        <v>95.758818640040104</v>
      </c>
      <c r="AM7485">
        <v>66.534966642571007</v>
      </c>
      <c r="AN7485">
        <v>0.99999999689060903</v>
      </c>
    </row>
    <row r="7486" spans="1:40" x14ac:dyDescent="0.25">
      <c r="A7486" t="str">
        <f>"20190303154710496"</f>
        <v>20190303154710496</v>
      </c>
      <c r="B7486" t="str">
        <f>"1551599230489700"</f>
        <v>1551599230489700</v>
      </c>
      <c r="C7486" t="s">
        <v>40</v>
      </c>
      <c r="D7486">
        <v>5.4726910000000002</v>
      </c>
      <c r="E7486">
        <v>0.61087460000000005</v>
      </c>
      <c r="F7486" t="s">
        <v>61</v>
      </c>
      <c r="G7486">
        <v>-176.54249999999999</v>
      </c>
      <c r="H7486" s="1">
        <v>-3.6117710000000001E-6</v>
      </c>
      <c r="I7486">
        <v>130.9589</v>
      </c>
      <c r="J7486">
        <v>-186.84219999999999</v>
      </c>
      <c r="K7486">
        <v>1.118682</v>
      </c>
      <c r="L7486">
        <v>122.6443</v>
      </c>
      <c r="M7486">
        <v>0.19006390000000001</v>
      </c>
      <c r="N7486">
        <v>-1.36375E-2</v>
      </c>
      <c r="O7486">
        <v>0.98167700000000002</v>
      </c>
      <c r="P7486">
        <v>0.56339689999999998</v>
      </c>
      <c r="Q7486">
        <v>-0.1107446</v>
      </c>
      <c r="R7486">
        <v>0.81873050000000003</v>
      </c>
      <c r="S7486">
        <v>2.4057010000000001</v>
      </c>
      <c r="T7486">
        <v>-0.260237</v>
      </c>
      <c r="U7486">
        <v>1.9790190000000001</v>
      </c>
      <c r="V7486">
        <v>0.39695079999999999</v>
      </c>
      <c r="W7486">
        <v>-0.1005052</v>
      </c>
      <c r="X7486">
        <v>0.91232060000000004</v>
      </c>
      <c r="Y7486">
        <v>0.63493820000000001</v>
      </c>
      <c r="Z7486">
        <v>-7.5004029999999999E-2</v>
      </c>
      <c r="AA7486">
        <v>0.76891339999999997</v>
      </c>
      <c r="AB7486">
        <v>20</v>
      </c>
      <c r="AC7486">
        <v>10.2997</v>
      </c>
      <c r="AD7486">
        <v>-1.118685611771</v>
      </c>
      <c r="AE7486">
        <v>8.3145999999999898</v>
      </c>
      <c r="AF7486">
        <v>8.4709640551521392</v>
      </c>
      <c r="AG7486">
        <v>-1.118685611771</v>
      </c>
      <c r="AH7486">
        <v>10.049020259932799</v>
      </c>
      <c r="AI7486">
        <v>94.865065260859296</v>
      </c>
      <c r="AJ7486">
        <v>49.870311275012803</v>
      </c>
      <c r="AK7486">
        <v>13.1905836757212</v>
      </c>
      <c r="AL7486">
        <v>95.768262553952297</v>
      </c>
      <c r="AM7486">
        <v>66.486136395920099</v>
      </c>
      <c r="AN7486">
        <v>1.00000005501601</v>
      </c>
    </row>
    <row r="7487" spans="1:40" x14ac:dyDescent="0.25">
      <c r="A7487" t="str">
        <f>"20190303154710519"</f>
        <v>20190303154710519</v>
      </c>
      <c r="B7487" t="str">
        <f>"1551599230509202"</f>
        <v>1551599230509202</v>
      </c>
      <c r="C7487" t="s">
        <v>40</v>
      </c>
      <c r="D7487">
        <v>5.0841799999999999</v>
      </c>
      <c r="E7487">
        <v>0.61588009999999904</v>
      </c>
      <c r="F7487" t="s">
        <v>61</v>
      </c>
      <c r="G7487">
        <v>-176.0797</v>
      </c>
      <c r="H7487" s="1">
        <v>-3.448827E-6</v>
      </c>
      <c r="I7487">
        <v>131.3613</v>
      </c>
      <c r="J7487">
        <v>-186.7989</v>
      </c>
      <c r="K7487">
        <v>1.1186830000000001</v>
      </c>
      <c r="L7487">
        <v>122.8402</v>
      </c>
      <c r="M7487">
        <v>0.1943752</v>
      </c>
      <c r="N7487">
        <v>-1.3634250000000001E-2</v>
      </c>
      <c r="O7487">
        <v>0.9808325</v>
      </c>
      <c r="P7487">
        <v>0.56777819999999901</v>
      </c>
      <c r="Q7487">
        <v>-0.1105751</v>
      </c>
      <c r="R7487">
        <v>0.81572119999999904</v>
      </c>
      <c r="S7487">
        <v>2.423187</v>
      </c>
      <c r="T7487">
        <v>-0.25187520000000002</v>
      </c>
      <c r="U7487">
        <v>1.9626619999999999</v>
      </c>
      <c r="V7487">
        <v>0.39782899999999999</v>
      </c>
      <c r="W7487">
        <v>-0.1003459</v>
      </c>
      <c r="X7487">
        <v>0.91195550000000003</v>
      </c>
      <c r="Y7487">
        <v>0.63756849999999998</v>
      </c>
      <c r="Z7487">
        <v>-7.2250690000000006E-2</v>
      </c>
      <c r="AA7487">
        <v>0.76699819999999996</v>
      </c>
      <c r="AB7487">
        <v>19</v>
      </c>
      <c r="AC7487">
        <v>10.719200000000001</v>
      </c>
      <c r="AD7487">
        <v>-1.1186864488269901</v>
      </c>
      <c r="AE7487">
        <v>8.5211000000000006</v>
      </c>
      <c r="AF7487">
        <v>8.7995437225175497</v>
      </c>
      <c r="AG7487">
        <v>-1.1186864488269901</v>
      </c>
      <c r="AH7487">
        <v>10.373058433871099</v>
      </c>
      <c r="AI7487">
        <v>94.701440771458195</v>
      </c>
      <c r="AJ7487">
        <v>49.691806890869799</v>
      </c>
      <c r="AK7487">
        <v>13.648581258423601</v>
      </c>
      <c r="AL7487">
        <v>95.759089142864596</v>
      </c>
      <c r="AM7487">
        <v>66.431375041299404</v>
      </c>
      <c r="AN7487">
        <v>1.0000000234340201</v>
      </c>
    </row>
    <row r="7488" spans="1:40" x14ac:dyDescent="0.25">
      <c r="A7488" t="str">
        <f>"20190303154710543"</f>
        <v>20190303154710543</v>
      </c>
      <c r="B7488" t="str">
        <f>"1551599230539459"</f>
        <v>1551599230539459</v>
      </c>
      <c r="C7488" t="s">
        <v>40</v>
      </c>
      <c r="D7488">
        <v>5.0432940000000004</v>
      </c>
      <c r="E7488">
        <v>0.62175939999999996</v>
      </c>
      <c r="F7488" t="s">
        <v>61</v>
      </c>
      <c r="G7488">
        <v>-174.13939999999999</v>
      </c>
      <c r="H7488" s="1">
        <v>-2.8438389999999998E-6</v>
      </c>
      <c r="I7488">
        <v>132.74029999999999</v>
      </c>
      <c r="J7488">
        <v>-186.75450000000001</v>
      </c>
      <c r="K7488">
        <v>1.1186879999999999</v>
      </c>
      <c r="L7488">
        <v>123.0371</v>
      </c>
      <c r="M7488">
        <v>0.19871620000000001</v>
      </c>
      <c r="N7488">
        <v>-1.3631280000000001E-2</v>
      </c>
      <c r="O7488">
        <v>0.97996229999999995</v>
      </c>
      <c r="P7488">
        <v>0.57188549999999905</v>
      </c>
      <c r="Q7488">
        <v>-0.11042630000000001</v>
      </c>
      <c r="R7488">
        <v>0.81286720000000001</v>
      </c>
      <c r="S7488">
        <v>2.4682010000000001</v>
      </c>
      <c r="T7488">
        <v>-0.21810779999999999</v>
      </c>
      <c r="U7488">
        <v>1.930191</v>
      </c>
      <c r="V7488">
        <v>0.39838699999999999</v>
      </c>
      <c r="W7488">
        <v>-0.10020519999999999</v>
      </c>
      <c r="X7488">
        <v>0.91172730000000002</v>
      </c>
      <c r="Y7488">
        <v>0.6478583</v>
      </c>
      <c r="Z7488">
        <v>-6.0810009999999998E-2</v>
      </c>
      <c r="AA7488">
        <v>0.7593299</v>
      </c>
      <c r="AB7488">
        <v>19</v>
      </c>
      <c r="AC7488">
        <v>12.6151</v>
      </c>
      <c r="AD7488">
        <v>-1.118690843839</v>
      </c>
      <c r="AE7488">
        <v>9.7031999999999901</v>
      </c>
      <c r="AF7488">
        <v>10.3838043510669</v>
      </c>
      <c r="AG7488">
        <v>-1.118690843839</v>
      </c>
      <c r="AH7488">
        <v>11.9576308425309</v>
      </c>
      <c r="AI7488">
        <v>94.040554388648005</v>
      </c>
      <c r="AJ7488">
        <v>49.029503847746298</v>
      </c>
      <c r="AK7488">
        <v>15.8763911948393</v>
      </c>
      <c r="AL7488">
        <v>95.750987058167098</v>
      </c>
      <c r="AM7488">
        <v>66.396668312969695</v>
      </c>
      <c r="AN7488">
        <v>0.99999997672066399</v>
      </c>
    </row>
    <row r="7489" spans="1:40" x14ac:dyDescent="0.25">
      <c r="A7489" t="str">
        <f>"20190303154710563"</f>
        <v>20190303154710563</v>
      </c>
      <c r="B7489" t="str">
        <f>"1551599230558979"</f>
        <v>1551599230558979</v>
      </c>
      <c r="C7489" t="s">
        <v>40</v>
      </c>
      <c r="D7489">
        <v>5.019279</v>
      </c>
      <c r="E7489">
        <v>0.62488509999999997</v>
      </c>
      <c r="F7489" t="s">
        <v>61</v>
      </c>
      <c r="G7489">
        <v>-171.1884</v>
      </c>
      <c r="H7489" s="1">
        <v>-2.1440269999999998E-6</v>
      </c>
      <c r="I7489">
        <v>134.7465</v>
      </c>
      <c r="J7489">
        <v>-186.71209999999999</v>
      </c>
      <c r="K7489">
        <v>1.11869</v>
      </c>
      <c r="L7489">
        <v>123.221</v>
      </c>
      <c r="M7489">
        <v>0.20278019999999999</v>
      </c>
      <c r="N7489">
        <v>-1.362873E-2</v>
      </c>
      <c r="O7489">
        <v>0.97912940000000004</v>
      </c>
      <c r="P7489">
        <v>0.57582469999999997</v>
      </c>
      <c r="Q7489">
        <v>-0.11049109999999999</v>
      </c>
      <c r="R7489">
        <v>0.81007259999999903</v>
      </c>
      <c r="S7489">
        <v>2.5182799999999999</v>
      </c>
      <c r="T7489">
        <v>-0.18098139999999999</v>
      </c>
      <c r="U7489">
        <v>1.894333</v>
      </c>
      <c r="V7489">
        <v>0.39903070000000002</v>
      </c>
      <c r="W7489">
        <v>-0.1002789</v>
      </c>
      <c r="X7489">
        <v>0.91143770000000002</v>
      </c>
      <c r="Y7489">
        <v>0.65945730000000002</v>
      </c>
      <c r="Z7489">
        <v>-4.8245509999999998E-2</v>
      </c>
      <c r="AA7489">
        <v>0.75019230000000003</v>
      </c>
      <c r="AB7489">
        <v>19</v>
      </c>
      <c r="AC7489">
        <v>15.5236999999999</v>
      </c>
      <c r="AD7489">
        <v>-1.1186921440269999</v>
      </c>
      <c r="AE7489">
        <v>11.5254999999999</v>
      </c>
      <c r="AF7489">
        <v>12.8208417737358</v>
      </c>
      <c r="AG7489">
        <v>-1.1186921440269999</v>
      </c>
      <c r="AH7489">
        <v>14.3860347902251</v>
      </c>
      <c r="AI7489">
        <v>93.322499044182194</v>
      </c>
      <c r="AJ7489">
        <v>48.2925578674203</v>
      </c>
      <c r="AK7489">
        <v>19.3024209073847</v>
      </c>
      <c r="AL7489">
        <v>95.755230889246505</v>
      </c>
      <c r="AM7489">
        <v>66.356023833844205</v>
      </c>
      <c r="AN7489">
        <v>1.00000001915449</v>
      </c>
    </row>
    <row r="7490" spans="1:40" x14ac:dyDescent="0.25">
      <c r="A7490" t="str">
        <f>"20190303154710586"</f>
        <v>20190303154710586</v>
      </c>
      <c r="B7490" t="str">
        <f>"1551599230579475"</f>
        <v>1551599230579475</v>
      </c>
      <c r="C7490" t="s">
        <v>40</v>
      </c>
      <c r="D7490">
        <v>5.0512240000000004</v>
      </c>
      <c r="E7490">
        <v>0.62728509999999904</v>
      </c>
      <c r="F7490" t="s">
        <v>41</v>
      </c>
      <c r="G7490">
        <v>-169.2347</v>
      </c>
      <c r="H7490" s="1">
        <v>-1.2303060000000001E-6</v>
      </c>
      <c r="I7490">
        <v>136.0376</v>
      </c>
      <c r="J7490">
        <v>-186.6671</v>
      </c>
      <c r="K7490">
        <v>1.118692</v>
      </c>
      <c r="L7490">
        <v>123.4127</v>
      </c>
      <c r="M7490">
        <v>0.2070263</v>
      </c>
      <c r="N7490">
        <v>-1.3626070000000001E-2</v>
      </c>
      <c r="O7490">
        <v>0.97824049999999996</v>
      </c>
      <c r="P7490">
        <v>0.58008660000000001</v>
      </c>
      <c r="Q7490">
        <v>-0.1110244</v>
      </c>
      <c r="R7490">
        <v>0.80695299999999903</v>
      </c>
      <c r="S7490">
        <v>2.5489959999999998</v>
      </c>
      <c r="T7490">
        <v>-0.16315569999999999</v>
      </c>
      <c r="U7490">
        <v>1.869232</v>
      </c>
      <c r="V7490">
        <v>0.39989170000000002</v>
      </c>
      <c r="W7490">
        <v>-0.10082389999999999</v>
      </c>
      <c r="X7490">
        <v>0.91100009999999998</v>
      </c>
      <c r="Y7490">
        <v>0.66555739999999997</v>
      </c>
      <c r="Z7490">
        <v>-4.226398E-2</v>
      </c>
      <c r="AA7490">
        <v>0.74514899999999995</v>
      </c>
      <c r="AB7490">
        <v>19</v>
      </c>
      <c r="AC7490">
        <v>17.432400000000001</v>
      </c>
      <c r="AD7490">
        <v>-1.118693230306</v>
      </c>
      <c r="AE7490">
        <v>12.624899999999901</v>
      </c>
      <c r="AF7490">
        <v>14.401829326985499</v>
      </c>
      <c r="AG7490">
        <v>-1.118693230306</v>
      </c>
      <c r="AH7490">
        <v>15.917636078954301</v>
      </c>
      <c r="AI7490">
        <v>92.983268305830293</v>
      </c>
      <c r="AJ7490">
        <v>47.862091335105099</v>
      </c>
      <c r="AK7490">
        <v>21.495006416588499</v>
      </c>
      <c r="AL7490">
        <v>95.786616227867896</v>
      </c>
      <c r="AM7490">
        <v>66.300494901829595</v>
      </c>
      <c r="AN7490">
        <v>1.00000000637005</v>
      </c>
    </row>
    <row r="7491" spans="1:40" x14ac:dyDescent="0.25">
      <c r="A7491" t="str">
        <f>"20190303154710607"</f>
        <v>20190303154710607</v>
      </c>
      <c r="B7491" t="str">
        <f>"1551599230598994"</f>
        <v>1551599230598994</v>
      </c>
      <c r="C7491" t="s">
        <v>40</v>
      </c>
      <c r="D7491">
        <v>5.3811150000000003</v>
      </c>
      <c r="E7491">
        <v>0.62685449999999998</v>
      </c>
      <c r="F7491" t="s">
        <v>41</v>
      </c>
      <c r="G7491">
        <v>-167.28440000000001</v>
      </c>
      <c r="H7491" s="1">
        <v>-1.6739500000000001E-6</v>
      </c>
      <c r="I7491">
        <v>137.30609999999999</v>
      </c>
      <c r="J7491">
        <v>-186.6241</v>
      </c>
      <c r="K7491">
        <v>1.118695</v>
      </c>
      <c r="L7491">
        <v>123.5924</v>
      </c>
      <c r="M7491">
        <v>0.21101139999999999</v>
      </c>
      <c r="N7491">
        <v>-1.3623639999999999E-2</v>
      </c>
      <c r="O7491">
        <v>0.9773887</v>
      </c>
      <c r="P7491">
        <v>0.58445139999999995</v>
      </c>
      <c r="Q7491">
        <v>-0.11116959999999999</v>
      </c>
      <c r="R7491">
        <v>0.80377730000000003</v>
      </c>
      <c r="S7491">
        <v>2.5753170000000001</v>
      </c>
      <c r="T7491">
        <v>-0.14863709999999999</v>
      </c>
      <c r="U7491">
        <v>1.845963</v>
      </c>
      <c r="V7491">
        <v>0.40111790000000003</v>
      </c>
      <c r="W7491">
        <v>-0.1009833</v>
      </c>
      <c r="X7491">
        <v>0.91044320000000001</v>
      </c>
      <c r="Y7491">
        <v>0.67074769999999995</v>
      </c>
      <c r="Z7491">
        <v>-3.7418559999999997E-2</v>
      </c>
      <c r="AA7491">
        <v>0.74074110000000004</v>
      </c>
      <c r="AB7491">
        <v>19</v>
      </c>
      <c r="AC7491">
        <v>19.339700000000001</v>
      </c>
      <c r="AD7491">
        <v>-1.1186966739499999</v>
      </c>
      <c r="AE7491">
        <v>13.7136999999999</v>
      </c>
      <c r="AF7491">
        <v>15.974575257440099</v>
      </c>
      <c r="AG7491">
        <v>-1.1186966739499999</v>
      </c>
      <c r="AH7491">
        <v>17.447288588457599</v>
      </c>
      <c r="AI7491">
        <v>92.707538572665698</v>
      </c>
      <c r="AJ7491">
        <v>47.523070209139902</v>
      </c>
      <c r="AK7491">
        <v>23.682196181791301</v>
      </c>
      <c r="AL7491">
        <v>95.795796014460606</v>
      </c>
      <c r="AM7491">
        <v>66.222942221071804</v>
      </c>
      <c r="AN7491">
        <v>1.0000000085027601</v>
      </c>
    </row>
    <row r="7492" spans="1:40" x14ac:dyDescent="0.25">
      <c r="A7492" t="str">
        <f>"20190303154710631"</f>
        <v>20190303154710631</v>
      </c>
      <c r="B7492" t="str">
        <f>"1551599230619491"</f>
        <v>1551599230619491</v>
      </c>
      <c r="C7492" t="s">
        <v>40</v>
      </c>
      <c r="D7492">
        <v>5.416099</v>
      </c>
      <c r="E7492">
        <v>0.62657249999999998</v>
      </c>
      <c r="F7492" t="s">
        <v>41</v>
      </c>
      <c r="G7492">
        <v>-164.68620000000001</v>
      </c>
      <c r="H7492" s="1">
        <v>-2.5697999999999999E-6</v>
      </c>
      <c r="I7492">
        <v>139.17959999999999</v>
      </c>
      <c r="J7492">
        <v>-186.57679999999999</v>
      </c>
      <c r="K7492">
        <v>1.118703</v>
      </c>
      <c r="L7492">
        <v>123.7867</v>
      </c>
      <c r="M7492">
        <v>0.21532560000000001</v>
      </c>
      <c r="N7492">
        <v>-1.3620989999999999E-2</v>
      </c>
      <c r="O7492">
        <v>0.97644730000000002</v>
      </c>
      <c r="P7492">
        <v>0.58931769999999895</v>
      </c>
      <c r="Q7492">
        <v>-0.1112406</v>
      </c>
      <c r="R7492">
        <v>0.80020639999999998</v>
      </c>
      <c r="S7492">
        <v>2.5834959999999998</v>
      </c>
      <c r="T7492">
        <v>-0.1317421</v>
      </c>
      <c r="U7492">
        <v>1.8356170000000001</v>
      </c>
      <c r="V7492">
        <v>0.40262120000000001</v>
      </c>
      <c r="W7492">
        <v>-0.10106999999999999</v>
      </c>
      <c r="X7492">
        <v>0.90976979999999996</v>
      </c>
      <c r="Y7492">
        <v>0.67072849999999995</v>
      </c>
      <c r="Z7492">
        <v>-3.1844129999999998E-2</v>
      </c>
      <c r="AA7492">
        <v>0.74101899999999998</v>
      </c>
      <c r="AB7492">
        <v>19</v>
      </c>
      <c r="AC7492">
        <v>21.8905999999999</v>
      </c>
      <c r="AD7492">
        <v>-1.1187055697999999</v>
      </c>
      <c r="AE7492">
        <v>15.3928999999999</v>
      </c>
      <c r="AF7492">
        <v>18.0306978412099</v>
      </c>
      <c r="AG7492">
        <v>-1.1187055697999999</v>
      </c>
      <c r="AH7492">
        <v>19.711347387270902</v>
      </c>
      <c r="AI7492">
        <v>92.397972309519801</v>
      </c>
      <c r="AJ7492">
        <v>47.549691021483497</v>
      </c>
      <c r="AK7492">
        <v>26.7375163882995</v>
      </c>
      <c r="AL7492">
        <v>95.800788966088703</v>
      </c>
      <c r="AM7492">
        <v>66.128078672682705</v>
      </c>
      <c r="AN7492">
        <v>1.0000000322907301</v>
      </c>
    </row>
    <row r="7493" spans="1:40" x14ac:dyDescent="0.25">
      <c r="A7493" t="str">
        <f>"20190303154710652"</f>
        <v>20190303154710652</v>
      </c>
      <c r="B7493" t="str">
        <f>"1551599230649747"</f>
        <v>1551599230649747</v>
      </c>
      <c r="C7493" t="s">
        <v>40</v>
      </c>
      <c r="D7493">
        <v>5.0483770000000003</v>
      </c>
      <c r="E7493">
        <v>0.62733399999999995</v>
      </c>
      <c r="F7493" t="s">
        <v>41</v>
      </c>
      <c r="G7493">
        <v>-161.64490000000001</v>
      </c>
      <c r="H7493" s="1">
        <v>-4.3797910000000004E-6</v>
      </c>
      <c r="I7493">
        <v>141.30860000000001</v>
      </c>
      <c r="J7493">
        <v>-186.5301</v>
      </c>
      <c r="K7493">
        <v>1.118716</v>
      </c>
      <c r="L7493">
        <v>123.9747</v>
      </c>
      <c r="M7493">
        <v>0.21949669999999999</v>
      </c>
      <c r="N7493">
        <v>-1.361831E-2</v>
      </c>
      <c r="O7493">
        <v>0.9755182</v>
      </c>
      <c r="P7493">
        <v>0.59400019999999998</v>
      </c>
      <c r="Q7493">
        <v>-0.1114253</v>
      </c>
      <c r="R7493">
        <v>0.7967109</v>
      </c>
      <c r="S7493">
        <v>2.5936279999999998</v>
      </c>
      <c r="T7493">
        <v>-0.1163777</v>
      </c>
      <c r="U7493">
        <v>1.822784</v>
      </c>
      <c r="V7493">
        <v>0.40407159999999998</v>
      </c>
      <c r="W7493">
        <v>-0.101268</v>
      </c>
      <c r="X7493">
        <v>0.90910449999999998</v>
      </c>
      <c r="Y7493">
        <v>0.67151459999999996</v>
      </c>
      <c r="Z7493">
        <v>-2.677421E-2</v>
      </c>
      <c r="AA7493">
        <v>0.74050749999999999</v>
      </c>
      <c r="AB7493">
        <v>19</v>
      </c>
      <c r="AC7493">
        <v>24.885200000000001</v>
      </c>
      <c r="AD7493">
        <v>-1.1187203797909999</v>
      </c>
      <c r="AE7493">
        <v>17.3339</v>
      </c>
      <c r="AF7493">
        <v>20.445309004274701</v>
      </c>
      <c r="AG7493">
        <v>-1.1187203797909999</v>
      </c>
      <c r="AH7493">
        <v>22.343424921683098</v>
      </c>
      <c r="AI7493">
        <v>92.115463062536406</v>
      </c>
      <c r="AJ7493">
        <v>47.539985854009402</v>
      </c>
      <c r="AK7493">
        <v>30.3066136808342</v>
      </c>
      <c r="AL7493">
        <v>95.812192056485699</v>
      </c>
      <c r="AM7493">
        <v>66.036187136455794</v>
      </c>
      <c r="AN7493">
        <v>1.0000000288354001</v>
      </c>
    </row>
    <row r="7494" spans="1:40" x14ac:dyDescent="0.25">
      <c r="A7494" t="str">
        <f>"20190303154710676"</f>
        <v>20190303154710676</v>
      </c>
      <c r="B7494" t="str">
        <f>"1551599230669270"</f>
        <v>1551599230669270</v>
      </c>
      <c r="C7494" t="s">
        <v>40</v>
      </c>
      <c r="D7494">
        <v>5.0740410000000002</v>
      </c>
      <c r="E7494">
        <v>0.62900290000000003</v>
      </c>
      <c r="F7494" t="s">
        <v>41</v>
      </c>
      <c r="G7494">
        <v>-156.99160000000001</v>
      </c>
      <c r="H7494" s="1">
        <v>-2.5481479999999998E-6</v>
      </c>
      <c r="I7494">
        <v>144.40889999999999</v>
      </c>
      <c r="J7494">
        <v>-186.48179999999999</v>
      </c>
      <c r="K7494">
        <v>1.1187290000000001</v>
      </c>
      <c r="L7494">
        <v>124.16549999999999</v>
      </c>
      <c r="M7494">
        <v>0.22372690000000001</v>
      </c>
      <c r="N7494">
        <v>-1.361543E-2</v>
      </c>
      <c r="O7494">
        <v>0.97455670000000005</v>
      </c>
      <c r="P7494">
        <v>0.59992309999999904</v>
      </c>
      <c r="Q7494">
        <v>-0.1106265</v>
      </c>
      <c r="R7494">
        <v>0.79237250000000004</v>
      </c>
      <c r="S7494">
        <v>2.6101230000000002</v>
      </c>
      <c r="T7494">
        <v>-9.8853469999999999E-2</v>
      </c>
      <c r="U7494">
        <v>1.805634</v>
      </c>
      <c r="V7494">
        <v>0.40687990000000002</v>
      </c>
      <c r="W7494">
        <v>-0.1004939</v>
      </c>
      <c r="X7494">
        <v>0.90793699999999999</v>
      </c>
      <c r="Y7494">
        <v>0.67391659999999998</v>
      </c>
      <c r="Z7494">
        <v>-2.095878E-2</v>
      </c>
      <c r="AA7494">
        <v>0.73851009999999995</v>
      </c>
      <c r="AB7494">
        <v>19</v>
      </c>
      <c r="AC7494">
        <v>29.490199999999898</v>
      </c>
      <c r="AD7494">
        <v>-1.118731548148</v>
      </c>
      <c r="AE7494">
        <v>20.243399999999902</v>
      </c>
      <c r="AF7494">
        <v>24.1894630331585</v>
      </c>
      <c r="AG7494">
        <v>-1.118731548148</v>
      </c>
      <c r="AH7494">
        <v>26.302805272740802</v>
      </c>
      <c r="AI7494">
        <v>91.793150491404006</v>
      </c>
      <c r="AJ7494">
        <v>47.396702752571102</v>
      </c>
      <c r="AK7494">
        <v>35.752192203067601</v>
      </c>
      <c r="AL7494">
        <v>95.767612503141095</v>
      </c>
      <c r="AM7494">
        <v>65.861097147218501</v>
      </c>
      <c r="AN7494">
        <v>0.99999993646510799</v>
      </c>
    </row>
    <row r="7495" spans="1:40" x14ac:dyDescent="0.25">
      <c r="A7495" t="str">
        <f>"20190303154710697"</f>
        <v>20190303154710697</v>
      </c>
      <c r="B7495" t="str">
        <f>"1551599230689762"</f>
        <v>1551599230689762</v>
      </c>
      <c r="C7495" t="s">
        <v>40</v>
      </c>
      <c r="D7495">
        <v>5.1131070000000003</v>
      </c>
      <c r="E7495">
        <v>0.63045340000000005</v>
      </c>
      <c r="F7495" t="s">
        <v>41</v>
      </c>
      <c r="G7495">
        <v>-154.11009999999999</v>
      </c>
      <c r="H7495" s="1">
        <v>-4.0135109999999999E-6</v>
      </c>
      <c r="I7495">
        <v>146.0214</v>
      </c>
      <c r="J7495">
        <v>-186.43539999999999</v>
      </c>
      <c r="K7495">
        <v>1.11873</v>
      </c>
      <c r="L7495">
        <v>124.3459</v>
      </c>
      <c r="M7495">
        <v>0.22771520000000001</v>
      </c>
      <c r="N7495">
        <v>-1.3612549999999999E-2</v>
      </c>
      <c r="O7495">
        <v>0.97363259999999996</v>
      </c>
      <c r="P7495">
        <v>0.6056414</v>
      </c>
      <c r="Q7495">
        <v>-0.11057409999999999</v>
      </c>
      <c r="R7495">
        <v>0.78801769999999904</v>
      </c>
      <c r="S7495">
        <v>2.6345209999999999</v>
      </c>
      <c r="T7495">
        <v>-9.1046210000000002E-2</v>
      </c>
      <c r="U7495">
        <v>1.778702</v>
      </c>
      <c r="V7495">
        <v>0.40972730000000002</v>
      </c>
      <c r="W7495">
        <v>-0.100466</v>
      </c>
      <c r="X7495">
        <v>0.90665879999999999</v>
      </c>
      <c r="Y7495">
        <v>0.67929419999999996</v>
      </c>
      <c r="Z7495">
        <v>-1.8397440000000001E-2</v>
      </c>
      <c r="AA7495">
        <v>0.73363540000000005</v>
      </c>
      <c r="AB7495">
        <v>19</v>
      </c>
      <c r="AC7495">
        <v>32.325299999999999</v>
      </c>
      <c r="AD7495">
        <v>-1.118734013511</v>
      </c>
      <c r="AE7495">
        <v>21.6755</v>
      </c>
      <c r="AF7495">
        <v>26.5176744513149</v>
      </c>
      <c r="AG7495">
        <v>-1.118734013511</v>
      </c>
      <c r="AH7495">
        <v>28.4440719545706</v>
      </c>
      <c r="AI7495">
        <v>91.647849645189396</v>
      </c>
      <c r="AJ7495">
        <v>47.007383120501302</v>
      </c>
      <c r="AK7495">
        <v>38.903776853355801</v>
      </c>
      <c r="AL7495">
        <v>95.766005286624306</v>
      </c>
      <c r="AM7495">
        <v>65.681359664748399</v>
      </c>
      <c r="AN7495">
        <v>1.00000002856936</v>
      </c>
    </row>
    <row r="7496" spans="1:40" x14ac:dyDescent="0.25">
      <c r="A7496" t="str">
        <f>"20190303154710710"</f>
        <v>20190303154710710</v>
      </c>
      <c r="B7496" t="str">
        <f>"1551599230699523"</f>
        <v>1551599230699523</v>
      </c>
      <c r="C7496" t="s">
        <v>40</v>
      </c>
      <c r="D7496">
        <v>5.402984</v>
      </c>
      <c r="E7496">
        <v>0.63023229999999997</v>
      </c>
      <c r="F7496" t="s">
        <v>41</v>
      </c>
      <c r="G7496">
        <v>-151.3185</v>
      </c>
      <c r="H7496" s="1">
        <v>-5.2286030000000001E-6</v>
      </c>
      <c r="I7496">
        <v>147.51580000000001</v>
      </c>
      <c r="J7496">
        <v>-186.40700000000001</v>
      </c>
      <c r="K7496">
        <v>1.1187400000000001</v>
      </c>
      <c r="L7496">
        <v>124.45480000000001</v>
      </c>
      <c r="M7496">
        <v>0.23011819999999999</v>
      </c>
      <c r="N7496">
        <v>-1.361076E-2</v>
      </c>
      <c r="O7496">
        <v>0.97306749999999997</v>
      </c>
      <c r="P7496">
        <v>0.60861779999999999</v>
      </c>
      <c r="Q7496">
        <v>-0.1101893</v>
      </c>
      <c r="R7496">
        <v>0.78577519999999901</v>
      </c>
      <c r="S7496">
        <v>2.6570130000000001</v>
      </c>
      <c r="T7496">
        <v>-8.4645509999999993E-2</v>
      </c>
      <c r="U7496">
        <v>1.753082</v>
      </c>
      <c r="V7496">
        <v>0.41090789999999999</v>
      </c>
      <c r="W7496">
        <v>-0.10008830000000001</v>
      </c>
      <c r="X7496">
        <v>0.90616609999999997</v>
      </c>
      <c r="Y7496">
        <v>0.68529030000000002</v>
      </c>
      <c r="Z7496">
        <v>-1.6294840000000001E-2</v>
      </c>
      <c r="AA7496">
        <v>0.7280877</v>
      </c>
      <c r="AB7496">
        <v>19</v>
      </c>
      <c r="AC7496">
        <v>35.088500000000003</v>
      </c>
      <c r="AD7496">
        <v>-1.118745228603</v>
      </c>
      <c r="AE7496">
        <v>23.061</v>
      </c>
      <c r="AF7496">
        <v>28.818935576136798</v>
      </c>
      <c r="AG7496">
        <v>-1.118745228603</v>
      </c>
      <c r="AH7496">
        <v>30.4955896284673</v>
      </c>
      <c r="AI7496">
        <v>91.527324942661906</v>
      </c>
      <c r="AJ7496">
        <v>46.619158653011503</v>
      </c>
      <c r="AK7496">
        <v>41.973368049466004</v>
      </c>
      <c r="AL7496">
        <v>95.744255288633397</v>
      </c>
      <c r="AM7496">
        <v>65.607723259932897</v>
      </c>
      <c r="AN7496">
        <v>0.99999998543425395</v>
      </c>
    </row>
    <row r="7497" spans="1:40" x14ac:dyDescent="0.25">
      <c r="A7497" t="str">
        <f>"20190303154710725"</f>
        <v>20190303154710725</v>
      </c>
      <c r="B7497" t="str">
        <f>"1551599230719043"</f>
        <v>1551599230719043</v>
      </c>
      <c r="C7497" t="s">
        <v>40</v>
      </c>
      <c r="D7497">
        <v>5.3785749999999997</v>
      </c>
      <c r="E7497">
        <v>0.62975439999999905</v>
      </c>
      <c r="F7497" t="s">
        <v>41</v>
      </c>
      <c r="G7497">
        <v>-148.52260000000001</v>
      </c>
      <c r="H7497" s="1">
        <v>-3.0904379999999999E-6</v>
      </c>
      <c r="I7497">
        <v>149.28270000000001</v>
      </c>
      <c r="J7497">
        <v>-186.3724</v>
      </c>
      <c r="K7497">
        <v>1.1187549999999999</v>
      </c>
      <c r="L7497">
        <v>124.5861</v>
      </c>
      <c r="M7497">
        <v>0.233013</v>
      </c>
      <c r="N7497">
        <v>-1.360859E-2</v>
      </c>
      <c r="O7497">
        <v>0.97237839999999998</v>
      </c>
      <c r="P7497">
        <v>0.61214089999999999</v>
      </c>
      <c r="Q7497">
        <v>-0.1099735</v>
      </c>
      <c r="R7497">
        <v>0.78306409999999904</v>
      </c>
      <c r="S7497">
        <v>2.6623079999999999</v>
      </c>
      <c r="T7497">
        <v>-7.8618880000000002E-2</v>
      </c>
      <c r="U7497">
        <v>1.744766</v>
      </c>
      <c r="V7497">
        <v>0.41227469999999999</v>
      </c>
      <c r="W7497">
        <v>-9.9880750000000004E-2</v>
      </c>
      <c r="X7497">
        <v>0.90556800000000004</v>
      </c>
      <c r="Y7497">
        <v>0.68540970000000001</v>
      </c>
      <c r="Z7497">
        <v>-1.4321209999999999E-2</v>
      </c>
      <c r="AA7497">
        <v>0.72801689999999997</v>
      </c>
      <c r="AB7497">
        <v>19</v>
      </c>
      <c r="AC7497">
        <v>37.849799999999902</v>
      </c>
      <c r="AD7497">
        <v>-1.1187580904379999</v>
      </c>
      <c r="AE7497">
        <v>24.6966</v>
      </c>
      <c r="AF7497">
        <v>31.033557819304299</v>
      </c>
      <c r="AG7497">
        <v>-1.1187580904379999</v>
      </c>
      <c r="AH7497">
        <v>32.8168670102325</v>
      </c>
      <c r="AI7497">
        <v>91.4189004062696</v>
      </c>
      <c r="AJ7497">
        <v>46.599825454895097</v>
      </c>
      <c r="AK7497">
        <v>45.1805277852784</v>
      </c>
      <c r="AL7497">
        <v>95.732303589996306</v>
      </c>
      <c r="AM7497">
        <v>65.521819651491896</v>
      </c>
      <c r="AN7497">
        <v>0.99999999755232605</v>
      </c>
    </row>
    <row r="7498" spans="1:40" x14ac:dyDescent="0.25">
      <c r="A7498" t="str">
        <f>"20190303154710744"</f>
        <v>20190303154710744</v>
      </c>
      <c r="B7498" t="str">
        <f>"1551599230739538"</f>
        <v>1551599230739538</v>
      </c>
      <c r="C7498" t="s">
        <v>40</v>
      </c>
      <c r="D7498">
        <v>5.1807600000000003</v>
      </c>
      <c r="E7498">
        <v>0.63080139999999996</v>
      </c>
      <c r="F7498" t="s">
        <v>41</v>
      </c>
      <c r="G7498">
        <v>-146.55199999999999</v>
      </c>
      <c r="H7498">
        <v>7.9985870000000001E-2</v>
      </c>
      <c r="I7498">
        <v>150.50200000000001</v>
      </c>
      <c r="J7498">
        <v>-186.33340000000001</v>
      </c>
      <c r="K7498">
        <v>1.118768</v>
      </c>
      <c r="L7498">
        <v>124.73220000000001</v>
      </c>
      <c r="M7498">
        <v>0.23622860000000001</v>
      </c>
      <c r="N7498">
        <v>-1.3606190000000001E-2</v>
      </c>
      <c r="O7498">
        <v>0.97160230000000003</v>
      </c>
      <c r="P7498">
        <v>0.61685679999999998</v>
      </c>
      <c r="Q7498">
        <v>-0.1090787</v>
      </c>
      <c r="R7498">
        <v>0.77948039999999996</v>
      </c>
      <c r="S7498">
        <v>2.6675110000000002</v>
      </c>
      <c r="T7498">
        <v>-6.9585439999999998E-2</v>
      </c>
      <c r="U7498">
        <v>1.7360690000000001</v>
      </c>
      <c r="V7498">
        <v>0.41471730000000001</v>
      </c>
      <c r="W7498">
        <v>-9.9005090000000004E-2</v>
      </c>
      <c r="X7498">
        <v>0.90454820000000002</v>
      </c>
      <c r="Y7498">
        <v>0.68535869999999999</v>
      </c>
      <c r="Z7498">
        <v>-1.1344140000000001E-2</v>
      </c>
      <c r="AA7498">
        <v>0.72811729999999997</v>
      </c>
      <c r="AB7498">
        <v>19</v>
      </c>
      <c r="AC7498">
        <v>39.781399999999898</v>
      </c>
      <c r="AD7498">
        <v>-1.03878213</v>
      </c>
      <c r="AE7498">
        <v>25.7698</v>
      </c>
      <c r="AF7498">
        <v>32.551514294893003</v>
      </c>
      <c r="AG7498">
        <v>-1.03878213</v>
      </c>
      <c r="AH7498">
        <v>34.422154382391298</v>
      </c>
      <c r="AI7498">
        <v>91.256085171020601</v>
      </c>
      <c r="AJ7498">
        <v>46.5999112103001</v>
      </c>
      <c r="AK7498">
        <v>47.387391398233902</v>
      </c>
      <c r="AL7498">
        <v>95.681882331162996</v>
      </c>
      <c r="AM7498">
        <v>65.369488895474504</v>
      </c>
      <c r="AN7498">
        <v>0.99999994644421697</v>
      </c>
    </row>
    <row r="7499" spans="1:40" x14ac:dyDescent="0.25">
      <c r="A7499" t="str">
        <f>"20190303154710764"</f>
        <v>20190303154710764</v>
      </c>
      <c r="B7499" t="str">
        <f>"1551599230759059"</f>
        <v>1551599230759059</v>
      </c>
      <c r="C7499" t="s">
        <v>40</v>
      </c>
      <c r="D7499">
        <v>5.7396649999999996</v>
      </c>
      <c r="E7499">
        <v>0.63075190000000003</v>
      </c>
      <c r="F7499" t="s">
        <v>41</v>
      </c>
      <c r="G7499">
        <v>-141.97669999999999</v>
      </c>
      <c r="H7499">
        <v>7.9986119999999994E-2</v>
      </c>
      <c r="I7499">
        <v>153.08019999999999</v>
      </c>
      <c r="J7499">
        <v>-186.28559999999999</v>
      </c>
      <c r="K7499">
        <v>1.1187819999999999</v>
      </c>
      <c r="L7499">
        <v>124.90860000000001</v>
      </c>
      <c r="M7499">
        <v>0.24010429999999999</v>
      </c>
      <c r="N7499">
        <v>-1.360331E-2</v>
      </c>
      <c r="O7499">
        <v>0.97065170000000001</v>
      </c>
      <c r="P7499">
        <v>0.62232290000000001</v>
      </c>
      <c r="Q7499">
        <v>-0.1088586</v>
      </c>
      <c r="R7499">
        <v>0.77515419999999902</v>
      </c>
      <c r="S7499">
        <v>2.684402</v>
      </c>
      <c r="T7499">
        <v>-6.2865499999999894E-2</v>
      </c>
      <c r="U7499">
        <v>1.71557599999999</v>
      </c>
      <c r="V7499">
        <v>0.4174582</v>
      </c>
      <c r="W7499">
        <v>-9.8808649999999998E-2</v>
      </c>
      <c r="X7499">
        <v>0.90330809999999995</v>
      </c>
      <c r="Y7499">
        <v>0.68850319999999898</v>
      </c>
      <c r="Z7499">
        <v>-9.1431870000000005E-3</v>
      </c>
      <c r="AA7499">
        <v>0.72517569999999998</v>
      </c>
      <c r="AB7499">
        <v>19</v>
      </c>
      <c r="AC7499">
        <v>44.308900000000001</v>
      </c>
      <c r="AD7499">
        <v>-1.0387958799999999</v>
      </c>
      <c r="AE7499">
        <v>28.171599999999899</v>
      </c>
      <c r="AF7499">
        <v>36.233561219932099</v>
      </c>
      <c r="AG7499">
        <v>-1.0387958799999999</v>
      </c>
      <c r="AH7499">
        <v>37.972223793077397</v>
      </c>
      <c r="AI7499">
        <v>91.133846361618296</v>
      </c>
      <c r="AJ7499">
        <v>46.342210773038801</v>
      </c>
      <c r="AK7499">
        <v>52.496093524665497</v>
      </c>
      <c r="AL7499">
        <v>95.670571321972204</v>
      </c>
      <c r="AM7499">
        <v>65.1962753923995</v>
      </c>
      <c r="AN7499">
        <v>1.0000000107938301</v>
      </c>
    </row>
    <row r="7500" spans="1:40" x14ac:dyDescent="0.25">
      <c r="A7500" t="str">
        <f>"20190303154710777"</f>
        <v>20190303154710777</v>
      </c>
      <c r="B7500" t="str">
        <f>"1551599230768819"</f>
        <v>1551599230768819</v>
      </c>
      <c r="C7500" t="s">
        <v>40</v>
      </c>
      <c r="D7500">
        <v>5.7607189999999999</v>
      </c>
      <c r="E7500">
        <v>0.6301795</v>
      </c>
      <c r="F7500" t="s">
        <v>41</v>
      </c>
      <c r="G7500">
        <v>-145.42519999999999</v>
      </c>
      <c r="H7500">
        <v>7.9985539999999994E-2</v>
      </c>
      <c r="I7500">
        <v>150.62440000000001</v>
      </c>
      <c r="J7500">
        <v>-186.25450000000001</v>
      </c>
      <c r="K7500">
        <v>1.1187879999999999</v>
      </c>
      <c r="L7500">
        <v>125.02209999999999</v>
      </c>
      <c r="M7500">
        <v>0.24259600000000001</v>
      </c>
      <c r="N7500">
        <v>-1.3601490000000001E-2</v>
      </c>
      <c r="O7500">
        <v>0.97003200000000001</v>
      </c>
      <c r="P7500">
        <v>0.62549679999999996</v>
      </c>
      <c r="Q7500">
        <v>-0.1089238</v>
      </c>
      <c r="R7500">
        <v>0.77258609999999905</v>
      </c>
      <c r="S7500">
        <v>2.6955719999999999</v>
      </c>
      <c r="T7500">
        <v>-6.8529489999999998E-2</v>
      </c>
      <c r="U7500">
        <v>1.696472</v>
      </c>
      <c r="V7500">
        <v>0.4188442</v>
      </c>
      <c r="W7500">
        <v>-9.8885990000000007E-2</v>
      </c>
      <c r="X7500">
        <v>0.90265779999999995</v>
      </c>
      <c r="Y7500">
        <v>0.69164619999999999</v>
      </c>
      <c r="Z7500">
        <v>-1.1097569999999999E-2</v>
      </c>
      <c r="AA7500">
        <v>0.72215119999999999</v>
      </c>
      <c r="AB7500">
        <v>19</v>
      </c>
      <c r="AC7500">
        <v>40.829300000000003</v>
      </c>
      <c r="AD7500">
        <v>-1.0388024600000001</v>
      </c>
      <c r="AE7500">
        <v>25.6023</v>
      </c>
      <c r="AF7500">
        <v>33.382292615348597</v>
      </c>
      <c r="AG7500">
        <v>-1.0388024600000001</v>
      </c>
      <c r="AH7500">
        <v>34.727155450103702</v>
      </c>
      <c r="AI7500">
        <v>91.235410478547706</v>
      </c>
      <c r="AJ7500">
        <v>46.131193317300998</v>
      </c>
      <c r="AK7500">
        <v>48.181240088475597</v>
      </c>
      <c r="AL7500">
        <v>95.675024428015405</v>
      </c>
      <c r="AM7500">
        <v>65.108126354049105</v>
      </c>
      <c r="AN7500">
        <v>1.0000000033963801</v>
      </c>
    </row>
    <row r="7501" spans="1:40" x14ac:dyDescent="0.25">
      <c r="A7501" t="str">
        <f>"20190303154710792"</f>
        <v>20190303154710792</v>
      </c>
      <c r="B7501" t="str">
        <f>"1551599230789315"</f>
        <v>1551599230789315</v>
      </c>
      <c r="C7501" t="s">
        <v>40</v>
      </c>
      <c r="D7501">
        <v>5.7825189999999997</v>
      </c>
      <c r="E7501">
        <v>0.62906479999999998</v>
      </c>
      <c r="F7501" t="s">
        <v>41</v>
      </c>
      <c r="G7501">
        <v>-147.21799999999999</v>
      </c>
      <c r="H7501" s="1">
        <v>-3.5608669999999998E-6</v>
      </c>
      <c r="I7501">
        <v>149.43209999999999</v>
      </c>
      <c r="J7501">
        <v>-186.22210000000001</v>
      </c>
      <c r="K7501">
        <v>1.118784</v>
      </c>
      <c r="L7501">
        <v>125.1388</v>
      </c>
      <c r="M7501">
        <v>0.2451555</v>
      </c>
      <c r="N7501">
        <v>-1.3599699999999999E-2</v>
      </c>
      <c r="O7501">
        <v>0.96938840000000004</v>
      </c>
      <c r="P7501">
        <v>0.62880269999999905</v>
      </c>
      <c r="Q7501">
        <v>-0.1092818</v>
      </c>
      <c r="R7501">
        <v>0.76984719999999995</v>
      </c>
      <c r="S7501">
        <v>2.6985320000000002</v>
      </c>
      <c r="T7501">
        <v>-7.7340359999999997E-2</v>
      </c>
      <c r="U7501">
        <v>1.687424</v>
      </c>
      <c r="V7501">
        <v>0.42033930000000003</v>
      </c>
      <c r="W7501">
        <v>-9.9258719999999995E-2</v>
      </c>
      <c r="X7501">
        <v>0.90192159999999999</v>
      </c>
      <c r="Y7501">
        <v>0.69179449999999998</v>
      </c>
      <c r="Z7501">
        <v>-1.41029E-2</v>
      </c>
      <c r="AA7501">
        <v>0.72195669999999901</v>
      </c>
      <c r="AB7501">
        <v>19</v>
      </c>
      <c r="AC7501">
        <v>39.004100000000001</v>
      </c>
      <c r="AD7501">
        <v>-1.1187875608669999</v>
      </c>
      <c r="AE7501">
        <v>24.293299999999899</v>
      </c>
      <c r="AF7501">
        <v>31.8385576484654</v>
      </c>
      <c r="AG7501">
        <v>-1.1187875608669999</v>
      </c>
      <c r="AH7501">
        <v>33.095155862878201</v>
      </c>
      <c r="AI7501">
        <v>91.395557760366501</v>
      </c>
      <c r="AJ7501">
        <v>46.1086504162732</v>
      </c>
      <c r="AK7501">
        <v>45.937291826240703</v>
      </c>
      <c r="AL7501">
        <v>95.696485908214299</v>
      </c>
      <c r="AM7501">
        <v>65.012193055035098</v>
      </c>
      <c r="AN7501">
        <v>0.99999999658354399</v>
      </c>
    </row>
    <row r="7502" spans="1:40" x14ac:dyDescent="0.25">
      <c r="A7502" t="str">
        <f>"20190303154710805"</f>
        <v>20190303154710805</v>
      </c>
      <c r="B7502" t="str">
        <f>"1551599230799075"</f>
        <v>1551599230799075</v>
      </c>
      <c r="C7502" t="s">
        <v>40</v>
      </c>
      <c r="D7502">
        <v>5.7618720000000003</v>
      </c>
      <c r="E7502">
        <v>0.6285309</v>
      </c>
      <c r="F7502" t="s">
        <v>41</v>
      </c>
      <c r="G7502">
        <v>-154.21100000000001</v>
      </c>
      <c r="H7502" s="1">
        <v>-3.811021E-6</v>
      </c>
      <c r="I7502">
        <v>145.07339999999999</v>
      </c>
      <c r="J7502">
        <v>-186.18989999999999</v>
      </c>
      <c r="K7502">
        <v>1.1187879999999999</v>
      </c>
      <c r="L7502">
        <v>125.2539</v>
      </c>
      <c r="M7502">
        <v>0.24768090000000001</v>
      </c>
      <c r="N7502">
        <v>-1.359758E-2</v>
      </c>
      <c r="O7502">
        <v>0.9687462</v>
      </c>
      <c r="P7502">
        <v>0.63201989999999997</v>
      </c>
      <c r="Q7502">
        <v>-0.1093469</v>
      </c>
      <c r="R7502">
        <v>0.76719879999999996</v>
      </c>
      <c r="S7502">
        <v>2.6977540000000002</v>
      </c>
      <c r="T7502">
        <v>-9.4286560000000005E-2</v>
      </c>
      <c r="U7502">
        <v>1.6800079999999999</v>
      </c>
      <c r="V7502">
        <v>0.4217648</v>
      </c>
      <c r="W7502">
        <v>-9.9338640000000006E-2</v>
      </c>
      <c r="X7502">
        <v>0.90124709999999997</v>
      </c>
      <c r="Y7502">
        <v>0.69114739999999997</v>
      </c>
      <c r="Z7502">
        <v>-1.986079E-2</v>
      </c>
      <c r="AA7502">
        <v>0.72244090000000005</v>
      </c>
      <c r="AB7502">
        <v>19</v>
      </c>
      <c r="AC7502">
        <v>31.9788999999999</v>
      </c>
      <c r="AD7502">
        <v>-1.118791811021</v>
      </c>
      <c r="AE7502">
        <v>19.819499999999898</v>
      </c>
      <c r="AF7502">
        <v>26.0499017916834</v>
      </c>
      <c r="AG7502">
        <v>-1.118791811021</v>
      </c>
      <c r="AH7502">
        <v>27.099172839514999</v>
      </c>
      <c r="AI7502">
        <v>91.704819453467096</v>
      </c>
      <c r="AJ7502">
        <v>46.130988534672902</v>
      </c>
      <c r="AK7502">
        <v>37.606040034263998</v>
      </c>
      <c r="AL7502">
        <v>95.701087576181806</v>
      </c>
      <c r="AM7502">
        <v>64.921388665884194</v>
      </c>
      <c r="AN7502">
        <v>1.0000000235872399</v>
      </c>
    </row>
    <row r="7503" spans="1:40" x14ac:dyDescent="0.25">
      <c r="A7503" t="str">
        <f>"20190303154710821"</f>
        <v>20190303154710821</v>
      </c>
      <c r="B7503" t="str">
        <f>"1551599230808835"</f>
        <v>1551599230808835</v>
      </c>
      <c r="C7503" t="s">
        <v>40</v>
      </c>
      <c r="D7503">
        <v>5.7929700000000004</v>
      </c>
      <c r="E7503">
        <v>0.62802599999999997</v>
      </c>
      <c r="F7503" t="s">
        <v>41</v>
      </c>
      <c r="G7503">
        <v>-156.43109999999999</v>
      </c>
      <c r="H7503" s="1">
        <v>-2.5896740000000001E-6</v>
      </c>
      <c r="I7503">
        <v>143.66120000000001</v>
      </c>
      <c r="J7503">
        <v>-186.15450000000001</v>
      </c>
      <c r="K7503">
        <v>1.11879</v>
      </c>
      <c r="L7503">
        <v>125.379</v>
      </c>
      <c r="M7503">
        <v>0.25042769999999998</v>
      </c>
      <c r="N7503">
        <v>-1.3594459999999999E-2</v>
      </c>
      <c r="O7503">
        <v>0.96803989999999995</v>
      </c>
      <c r="P7503">
        <v>0.63690089999999999</v>
      </c>
      <c r="Q7503">
        <v>-0.1095257</v>
      </c>
      <c r="R7503">
        <v>0.76312609999999903</v>
      </c>
      <c r="S7503">
        <v>2.7010350000000001</v>
      </c>
      <c r="T7503">
        <v>-0.101546</v>
      </c>
      <c r="U7503">
        <v>1.670731</v>
      </c>
      <c r="V7503">
        <v>0.42495569999999999</v>
      </c>
      <c r="W7503">
        <v>-9.9554580000000004E-2</v>
      </c>
      <c r="X7503">
        <v>0.8997231</v>
      </c>
      <c r="Y7503">
        <v>0.6912315</v>
      </c>
      <c r="Z7503">
        <v>-2.2361869999999999E-2</v>
      </c>
      <c r="AA7503">
        <v>0.72228729999999997</v>
      </c>
      <c r="AB7503">
        <v>19</v>
      </c>
      <c r="AC7503">
        <v>29.723400000000002</v>
      </c>
      <c r="AD7503">
        <v>-1.1187925896740001</v>
      </c>
      <c r="AE7503">
        <v>18.2822</v>
      </c>
      <c r="AF7503">
        <v>24.172455891867301</v>
      </c>
      <c r="AG7503">
        <v>-1.1187925896740001</v>
      </c>
      <c r="AH7503">
        <v>25.117965312148701</v>
      </c>
      <c r="AI7503">
        <v>91.838212649836095</v>
      </c>
      <c r="AJ7503">
        <v>46.098936765766801</v>
      </c>
      <c r="AK7503">
        <v>34.877951518477801</v>
      </c>
      <c r="AL7503">
        <v>95.713521460455993</v>
      </c>
      <c r="AM7503">
        <v>64.717776026181895</v>
      </c>
      <c r="AN7503">
        <v>1.00000005901753</v>
      </c>
    </row>
    <row r="7504" spans="1:40" x14ac:dyDescent="0.25">
      <c r="A7504" t="str">
        <f>"20190303154710842"</f>
        <v>20190303154710842</v>
      </c>
      <c r="B7504" t="str">
        <f>"1551599230839091"</f>
        <v>1551599230839091</v>
      </c>
      <c r="C7504" t="s">
        <v>40</v>
      </c>
      <c r="D7504">
        <v>5.8609090000000004</v>
      </c>
      <c r="E7504">
        <v>0.62657669999999999</v>
      </c>
      <c r="F7504" t="s">
        <v>41</v>
      </c>
      <c r="G7504">
        <v>-158.5754</v>
      </c>
      <c r="H7504" s="1">
        <v>-1.289758E-6</v>
      </c>
      <c r="I7504">
        <v>142.23310000000001</v>
      </c>
      <c r="J7504">
        <v>-186.1036</v>
      </c>
      <c r="K7504">
        <v>1.118784</v>
      </c>
      <c r="L7504">
        <v>125.5564</v>
      </c>
      <c r="M7504">
        <v>0.25433230000000001</v>
      </c>
      <c r="N7504">
        <v>-1.35625E-2</v>
      </c>
      <c r="O7504">
        <v>0.96702180000000004</v>
      </c>
      <c r="P7504">
        <v>0.64311099999999999</v>
      </c>
      <c r="Q7504">
        <v>-0.1090956</v>
      </c>
      <c r="R7504">
        <v>0.75796200000000002</v>
      </c>
      <c r="S7504">
        <v>2.7082980000000001</v>
      </c>
      <c r="T7504">
        <v>-0.10986650000000001</v>
      </c>
      <c r="U7504">
        <v>1.65509</v>
      </c>
      <c r="V7504">
        <v>0.42864829999999998</v>
      </c>
      <c r="W7504">
        <v>-9.919625E-2</v>
      </c>
      <c r="X7504">
        <v>0.89800939999999996</v>
      </c>
      <c r="Y7504">
        <v>0.6921448</v>
      </c>
      <c r="Z7504">
        <v>-2.527242E-2</v>
      </c>
      <c r="AA7504">
        <v>0.72131619999999996</v>
      </c>
      <c r="AB7504">
        <v>19</v>
      </c>
      <c r="AC7504">
        <v>27.528199999999998</v>
      </c>
      <c r="AD7504">
        <v>-1.118785289758</v>
      </c>
      <c r="AE7504">
        <v>16.6767</v>
      </c>
      <c r="AF7504">
        <v>22.353994275274999</v>
      </c>
      <c r="AG7504">
        <v>-1.118785289758</v>
      </c>
      <c r="AH7504">
        <v>23.102255883082101</v>
      </c>
      <c r="AI7504">
        <v>91.993226675560905</v>
      </c>
      <c r="AJ7504">
        <v>45.9430685599797</v>
      </c>
      <c r="AK7504">
        <v>32.1662395606171</v>
      </c>
      <c r="AL7504">
        <v>95.692888459154204</v>
      </c>
      <c r="AM7504">
        <v>64.483380406477593</v>
      </c>
      <c r="AN7504">
        <v>1.00000007179765</v>
      </c>
    </row>
    <row r="7505" spans="1:40" x14ac:dyDescent="0.25">
      <c r="A7505" t="str">
        <f>"20190303154710855"</f>
        <v>20190303154710855</v>
      </c>
      <c r="B7505" t="str">
        <f>"1551599230848850"</f>
        <v>1551599230848850</v>
      </c>
      <c r="C7505" t="s">
        <v>40</v>
      </c>
      <c r="D7505">
        <v>5.8289869999999997</v>
      </c>
      <c r="E7505">
        <v>0.6260715</v>
      </c>
      <c r="F7505" t="s">
        <v>41</v>
      </c>
      <c r="G7505">
        <v>-162.66579999999999</v>
      </c>
      <c r="H7505" s="1">
        <v>-3.4747759999999999E-6</v>
      </c>
      <c r="I7505">
        <v>139.7192</v>
      </c>
      <c r="J7505">
        <v>-186.07249999999999</v>
      </c>
      <c r="K7505">
        <v>1.118768</v>
      </c>
      <c r="L7505">
        <v>125.6634</v>
      </c>
      <c r="M7505">
        <v>0.25670379999999998</v>
      </c>
      <c r="N7505">
        <v>-1.349231E-2</v>
      </c>
      <c r="O7505">
        <v>0.96639600000000003</v>
      </c>
      <c r="P7505">
        <v>0.64668239999999999</v>
      </c>
      <c r="Q7505">
        <v>-0.10839989999999999</v>
      </c>
      <c r="R7505">
        <v>0.75501750000000001</v>
      </c>
      <c r="S7505">
        <v>2.7116549999999999</v>
      </c>
      <c r="T7505">
        <v>-0.129439</v>
      </c>
      <c r="U7505">
        <v>1.6385799999999999</v>
      </c>
      <c r="V7505">
        <v>0.43065740000000002</v>
      </c>
      <c r="W7505">
        <v>-9.8591769999999995E-2</v>
      </c>
      <c r="X7505">
        <v>0.89711419999999997</v>
      </c>
      <c r="Y7505">
        <v>0.69379290000000005</v>
      </c>
      <c r="Z7505">
        <v>-3.2049260000000003E-2</v>
      </c>
      <c r="AA7505">
        <v>0.71946109999999996</v>
      </c>
      <c r="AB7505">
        <v>19</v>
      </c>
      <c r="AC7505">
        <v>23.406700000000001</v>
      </c>
      <c r="AD7505">
        <v>-1.118771474776</v>
      </c>
      <c r="AE7505">
        <v>14.0558</v>
      </c>
      <c r="AF7505">
        <v>18.981821704287899</v>
      </c>
      <c r="AG7505">
        <v>-1.118771474776</v>
      </c>
      <c r="AH7505">
        <v>19.560995753116501</v>
      </c>
      <c r="AI7505">
        <v>92.3504056328307</v>
      </c>
      <c r="AJ7505">
        <v>45.860905699691997</v>
      </c>
      <c r="AK7505">
        <v>27.2799149500065</v>
      </c>
      <c r="AL7505">
        <v>95.658084041997</v>
      </c>
      <c r="AM7505">
        <v>64.356783795453396</v>
      </c>
      <c r="AN7505">
        <v>1.0000000105640601</v>
      </c>
    </row>
    <row r="7506" spans="1:40" x14ac:dyDescent="0.25">
      <c r="A7506" t="str">
        <f>"20190303154710869"</f>
        <v>20190303154710869</v>
      </c>
      <c r="B7506" t="str">
        <f>"1551599230859587"</f>
        <v>1551599230859587</v>
      </c>
      <c r="C7506" t="s">
        <v>40</v>
      </c>
      <c r="D7506">
        <v>5.871931</v>
      </c>
      <c r="E7506">
        <v>0.62554180000000004</v>
      </c>
      <c r="F7506" t="s">
        <v>41</v>
      </c>
      <c r="G7506">
        <v>-163.49340000000001</v>
      </c>
      <c r="H7506" s="1">
        <v>-3.1303310000000001E-6</v>
      </c>
      <c r="I7506">
        <v>139.19820000000001</v>
      </c>
      <c r="J7506">
        <v>-186.041</v>
      </c>
      <c r="K7506">
        <v>1.118743</v>
      </c>
      <c r="L7506">
        <v>125.77070000000001</v>
      </c>
      <c r="M7506">
        <v>0.2590828</v>
      </c>
      <c r="N7506">
        <v>-1.339745E-2</v>
      </c>
      <c r="O7506">
        <v>0.96576220000000002</v>
      </c>
      <c r="P7506">
        <v>0.65048289999999998</v>
      </c>
      <c r="Q7506">
        <v>-0.10812339999999999</v>
      </c>
      <c r="R7506">
        <v>0.7517855</v>
      </c>
      <c r="S7506">
        <v>2.7158199999999999</v>
      </c>
      <c r="T7506">
        <v>-0.13456650000000001</v>
      </c>
      <c r="U7506">
        <v>1.6279749999999999</v>
      </c>
      <c r="V7506">
        <v>0.43295800000000001</v>
      </c>
      <c r="W7506">
        <v>-9.8434709999999995E-2</v>
      </c>
      <c r="X7506">
        <v>0.89602349999999997</v>
      </c>
      <c r="Y7506">
        <v>0.69451529999999995</v>
      </c>
      <c r="Z7506">
        <v>-3.3930479999999999E-2</v>
      </c>
      <c r="AA7506">
        <v>0.71867740000000002</v>
      </c>
      <c r="AB7506">
        <v>19</v>
      </c>
      <c r="AC7506">
        <v>22.5475999999999</v>
      </c>
      <c r="AD7506">
        <v>-1.118746130331</v>
      </c>
      <c r="AE7506">
        <v>13.4275</v>
      </c>
      <c r="AF7506">
        <v>18.265233338919</v>
      </c>
      <c r="AG7506">
        <v>-1.118746130331</v>
      </c>
      <c r="AH7506">
        <v>18.777031035761102</v>
      </c>
      <c r="AI7506">
        <v>92.445492659867497</v>
      </c>
      <c r="AJ7506">
        <v>45.791581798430997</v>
      </c>
      <c r="AK7506">
        <v>26.2192150215681</v>
      </c>
      <c r="AL7506">
        <v>95.649040859005794</v>
      </c>
      <c r="AM7506">
        <v>64.210195354497202</v>
      </c>
      <c r="AN7506">
        <v>1.00000006722451</v>
      </c>
    </row>
    <row r="7507" spans="1:40" x14ac:dyDescent="0.25">
      <c r="A7507" t="str">
        <f>"20190303154710886"</f>
        <v>20190303154710886</v>
      </c>
      <c r="B7507" t="str">
        <f>"1551599230879110"</f>
        <v>1551599230879110</v>
      </c>
      <c r="C7507" t="s">
        <v>40</v>
      </c>
      <c r="D7507">
        <v>5.881259</v>
      </c>
      <c r="E7507">
        <v>0.62455919999999998</v>
      </c>
      <c r="F7507" t="s">
        <v>41</v>
      </c>
      <c r="G7507">
        <v>-164.37</v>
      </c>
      <c r="H7507" s="1">
        <v>-2.8137759999999998E-6</v>
      </c>
      <c r="I7507">
        <v>138.64699999999999</v>
      </c>
      <c r="J7507">
        <v>-185.99600000000001</v>
      </c>
      <c r="K7507">
        <v>1.118689</v>
      </c>
      <c r="L7507">
        <v>125.9226</v>
      </c>
      <c r="M7507">
        <v>0.262465</v>
      </c>
      <c r="N7507">
        <v>-1.321642E-2</v>
      </c>
      <c r="O7507">
        <v>0.96485100000000001</v>
      </c>
      <c r="P7507">
        <v>0.6575396</v>
      </c>
      <c r="Q7507">
        <v>-0.1063472</v>
      </c>
      <c r="R7507">
        <v>0.7458766</v>
      </c>
      <c r="S7507">
        <v>2.7204739999999998</v>
      </c>
      <c r="T7507">
        <v>-0.1404415</v>
      </c>
      <c r="U7507">
        <v>1.616425</v>
      </c>
      <c r="V7507">
        <v>0.43818679999999899</v>
      </c>
      <c r="W7507">
        <v>-9.689333E-2</v>
      </c>
      <c r="X7507">
        <v>0.89364650000000001</v>
      </c>
      <c r="Y7507">
        <v>0.69472029999999996</v>
      </c>
      <c r="Z7507">
        <v>-3.6150090000000003E-2</v>
      </c>
      <c r="AA7507">
        <v>0.71837099999999998</v>
      </c>
      <c r="AB7507">
        <v>19</v>
      </c>
      <c r="AC7507">
        <v>21.625999999999902</v>
      </c>
      <c r="AD7507">
        <v>-1.118691813776</v>
      </c>
      <c r="AE7507">
        <v>12.724399999999999</v>
      </c>
      <c r="AF7507">
        <v>17.4929175212316</v>
      </c>
      <c r="AG7507">
        <v>-1.118691813776</v>
      </c>
      <c r="AH7507">
        <v>17.9191676225939</v>
      </c>
      <c r="AI7507">
        <v>92.5578582920797</v>
      </c>
      <c r="AJ7507">
        <v>45.689627632626902</v>
      </c>
      <c r="AK7507">
        <v>25.066914510275101</v>
      </c>
      <c r="AL7507">
        <v>95.560302285046603</v>
      </c>
      <c r="AM7507">
        <v>63.879636929411099</v>
      </c>
      <c r="AN7507">
        <v>1.0000000280274799</v>
      </c>
    </row>
    <row r="7508" spans="1:40" x14ac:dyDescent="0.25">
      <c r="A7508" t="str">
        <f>"20190303154710901"</f>
        <v>20190303154710901</v>
      </c>
      <c r="B7508" t="str">
        <f>"1551599230889842"</f>
        <v>1551599230889842</v>
      </c>
      <c r="C7508" t="s">
        <v>40</v>
      </c>
      <c r="D7508">
        <v>5.8734869999999999</v>
      </c>
      <c r="E7508">
        <v>0.62409590000000004</v>
      </c>
      <c r="F7508" t="s">
        <v>41</v>
      </c>
      <c r="G7508">
        <v>-165.3563</v>
      </c>
      <c r="H7508" s="1">
        <v>-2.4642000000000001E-6</v>
      </c>
      <c r="I7508">
        <v>137.98929999999999</v>
      </c>
      <c r="J7508">
        <v>-185.96109999999999</v>
      </c>
      <c r="K7508">
        <v>1.1186449999999999</v>
      </c>
      <c r="L7508">
        <v>126.0395</v>
      </c>
      <c r="M7508">
        <v>0.26507789999999998</v>
      </c>
      <c r="N7508">
        <v>-1.304343E-2</v>
      </c>
      <c r="O7508">
        <v>0.96413870000000002</v>
      </c>
      <c r="P7508">
        <v>0.66213859999999902</v>
      </c>
      <c r="Q7508">
        <v>-0.10549550000000001</v>
      </c>
      <c r="R7508">
        <v>0.74191859999999998</v>
      </c>
      <c r="S7508">
        <v>2.728882</v>
      </c>
      <c r="T7508">
        <v>-0.1479077</v>
      </c>
      <c r="U7508">
        <v>1.5953980000000001</v>
      </c>
      <c r="V7508">
        <v>0.44125310000000001</v>
      </c>
      <c r="W7508">
        <v>-9.6242759999999997E-2</v>
      </c>
      <c r="X7508">
        <v>0.89220679999999997</v>
      </c>
      <c r="Y7508">
        <v>0.69775489999999996</v>
      </c>
      <c r="Z7508">
        <v>-3.8952290000000001E-2</v>
      </c>
      <c r="AA7508">
        <v>0.71527680000000005</v>
      </c>
      <c r="AB7508">
        <v>19</v>
      </c>
      <c r="AC7508">
        <v>20.604799999999901</v>
      </c>
      <c r="AD7508">
        <v>-1.1186474641999999</v>
      </c>
      <c r="AE7508">
        <v>11.9497999999999</v>
      </c>
      <c r="AF7508">
        <v>16.6629268892334</v>
      </c>
      <c r="AG7508">
        <v>-1.1186474641999999</v>
      </c>
      <c r="AH7508">
        <v>16.9472086830371</v>
      </c>
      <c r="AI7508">
        <v>92.694788434758706</v>
      </c>
      <c r="AJ7508">
        <v>45.4846085352223</v>
      </c>
      <c r="AK7508">
        <v>23.793116374521201</v>
      </c>
      <c r="AL7508">
        <v>95.522852662019503</v>
      </c>
      <c r="AM7508">
        <v>63.684671712390397</v>
      </c>
      <c r="AN7508">
        <v>0.99999997053913303</v>
      </c>
    </row>
    <row r="7509" spans="1:40" x14ac:dyDescent="0.25">
      <c r="A7509" t="str">
        <f>"20190303154710923"</f>
        <v>20190303154710923</v>
      </c>
      <c r="B7509" t="str">
        <f>"1551599230909363"</f>
        <v>1551599230909363</v>
      </c>
      <c r="C7509" t="s">
        <v>40</v>
      </c>
      <c r="D7509">
        <v>5.907826</v>
      </c>
      <c r="E7509">
        <v>0.62325069999999905</v>
      </c>
      <c r="F7509" t="s">
        <v>41</v>
      </c>
      <c r="G7509">
        <v>-165.84710000000001</v>
      </c>
      <c r="H7509" s="1">
        <v>-2.2905540000000001E-6</v>
      </c>
      <c r="I7509">
        <v>137.6602</v>
      </c>
      <c r="J7509">
        <v>-185.90969999999999</v>
      </c>
      <c r="K7509">
        <v>1.1185860000000001</v>
      </c>
      <c r="L7509">
        <v>126.2088</v>
      </c>
      <c r="M7509">
        <v>0.26889259999999998</v>
      </c>
      <c r="N7509">
        <v>-1.273286E-2</v>
      </c>
      <c r="O7509">
        <v>0.963086</v>
      </c>
      <c r="P7509">
        <v>0.6720294</v>
      </c>
      <c r="Q7509">
        <v>-0.1029625</v>
      </c>
      <c r="R7509">
        <v>0.73333159999999997</v>
      </c>
      <c r="S7509">
        <v>2.735611</v>
      </c>
      <c r="T7509">
        <v>-0.15214240000000001</v>
      </c>
      <c r="U7509">
        <v>1.5804750000000001</v>
      </c>
      <c r="V7509">
        <v>0.44956760000000001</v>
      </c>
      <c r="W7509">
        <v>-9.4098970000000004E-2</v>
      </c>
      <c r="X7509">
        <v>0.88827610000000001</v>
      </c>
      <c r="Y7509">
        <v>0.69854700000000003</v>
      </c>
      <c r="Z7509">
        <v>-4.0745669999999998E-2</v>
      </c>
      <c r="AA7509">
        <v>0.71440329999999996</v>
      </c>
      <c r="AB7509">
        <v>19</v>
      </c>
      <c r="AC7509">
        <v>20.0625999999999</v>
      </c>
      <c r="AD7509">
        <v>-1.1185882905539899</v>
      </c>
      <c r="AE7509">
        <v>11.4514</v>
      </c>
      <c r="AF7509">
        <v>16.206130552854599</v>
      </c>
      <c r="AG7509">
        <v>-1.1185882905539899</v>
      </c>
      <c r="AH7509">
        <v>16.386278029637499</v>
      </c>
      <c r="AI7509">
        <v>92.778715801398704</v>
      </c>
      <c r="AJ7509">
        <v>45.316686782237099</v>
      </c>
      <c r="AK7509">
        <v>23.0737949831516</v>
      </c>
      <c r="AL7509">
        <v>95.399462083557594</v>
      </c>
      <c r="AM7509">
        <v>63.1554599722338</v>
      </c>
      <c r="AN7509">
        <v>1.0000000364780099</v>
      </c>
    </row>
    <row r="7510" spans="1:40" x14ac:dyDescent="0.25">
      <c r="A7510" t="str">
        <f>"20190303154710944"</f>
        <v>20190303154710944</v>
      </c>
      <c r="B7510" t="str">
        <f>"1551599230939618"</f>
        <v>1551599230939618</v>
      </c>
      <c r="C7510" t="s">
        <v>40</v>
      </c>
      <c r="D7510">
        <v>5.8968569999999998</v>
      </c>
      <c r="E7510">
        <v>0.62186180000000002</v>
      </c>
      <c r="F7510" t="s">
        <v>41</v>
      </c>
      <c r="G7510">
        <v>-166.86490000000001</v>
      </c>
      <c r="H7510" s="1">
        <v>-1.9409450000000001E-6</v>
      </c>
      <c r="I7510">
        <v>136.9187</v>
      </c>
      <c r="J7510">
        <v>-185.8526</v>
      </c>
      <c r="K7510">
        <v>1.118509</v>
      </c>
      <c r="L7510">
        <v>126.3938</v>
      </c>
      <c r="M7510">
        <v>0.2731111</v>
      </c>
      <c r="N7510">
        <v>-1.2328459999999999E-2</v>
      </c>
      <c r="O7510">
        <v>0.96190350000000002</v>
      </c>
      <c r="P7510">
        <v>0.68432329999999997</v>
      </c>
      <c r="Q7510">
        <v>-9.8922079999999996E-2</v>
      </c>
      <c r="R7510">
        <v>0.72243760000000001</v>
      </c>
      <c r="S7510">
        <v>2.751099</v>
      </c>
      <c r="T7510">
        <v>-0.16158510000000001</v>
      </c>
      <c r="U7510">
        <v>1.5470889999999999</v>
      </c>
      <c r="V7510">
        <v>0.46049230000000002</v>
      </c>
      <c r="W7510">
        <v>-9.0569200000000002E-2</v>
      </c>
      <c r="X7510">
        <v>0.88303120000000002</v>
      </c>
      <c r="Y7510">
        <v>0.70355190000000001</v>
      </c>
      <c r="Z7510">
        <v>-4.4475599999999997E-2</v>
      </c>
      <c r="AA7510">
        <v>0.70925070000000001</v>
      </c>
      <c r="AB7510">
        <v>19</v>
      </c>
      <c r="AC7510">
        <v>18.987699999999901</v>
      </c>
      <c r="AD7510">
        <v>-1.118510940945</v>
      </c>
      <c r="AE7510">
        <v>10.524900000000001</v>
      </c>
      <c r="AF7510">
        <v>15.350290875340001</v>
      </c>
      <c r="AG7510">
        <v>-1.118510940945</v>
      </c>
      <c r="AH7510">
        <v>15.270318775071001</v>
      </c>
      <c r="AI7510">
        <v>92.957172659830803</v>
      </c>
      <c r="AJ7510">
        <v>44.8503604775198</v>
      </c>
      <c r="AK7510">
        <v>21.680985498239</v>
      </c>
      <c r="AL7510">
        <v>95.196353485127105</v>
      </c>
      <c r="AM7510">
        <v>62.458391156882797</v>
      </c>
      <c r="AN7510">
        <v>1.0000000192606799</v>
      </c>
    </row>
    <row r="7511" spans="1:40" x14ac:dyDescent="0.25">
      <c r="A7511" t="str">
        <f>"20190303154710966"</f>
        <v>20190303154710966</v>
      </c>
      <c r="B7511" t="str">
        <f>"1551599230959647"</f>
        <v>1551599230959647</v>
      </c>
      <c r="C7511" t="s">
        <v>40</v>
      </c>
      <c r="D7511">
        <v>5.941567</v>
      </c>
      <c r="E7511">
        <v>0.62090919999999905</v>
      </c>
      <c r="F7511" t="s">
        <v>41</v>
      </c>
      <c r="G7511">
        <v>-167.84389999999999</v>
      </c>
      <c r="H7511" s="1">
        <v>-1.7211459999999999E-6</v>
      </c>
      <c r="I7511">
        <v>136.20009999999999</v>
      </c>
      <c r="J7511">
        <v>-185.7953</v>
      </c>
      <c r="K7511">
        <v>1.1184430000000001</v>
      </c>
      <c r="L7511">
        <v>126.5772</v>
      </c>
      <c r="M7511">
        <v>0.2773313</v>
      </c>
      <c r="N7511">
        <v>-1.190665E-2</v>
      </c>
      <c r="O7511">
        <v>0.96070060000000002</v>
      </c>
      <c r="P7511">
        <v>0.69845550000000001</v>
      </c>
      <c r="Q7511">
        <v>-9.3168189999999998E-2</v>
      </c>
      <c r="R7511">
        <v>0.709563099999999</v>
      </c>
      <c r="S7511">
        <v>2.7678989999999999</v>
      </c>
      <c r="T7511">
        <v>-0.17191229999999999</v>
      </c>
      <c r="U7511">
        <v>1.5072019999999999</v>
      </c>
      <c r="V7511">
        <v>0.47378870000000001</v>
      </c>
      <c r="W7511">
        <v>-8.5373939999999995E-2</v>
      </c>
      <c r="X7511">
        <v>0.87649049999999995</v>
      </c>
      <c r="Y7511">
        <v>0.7099126</v>
      </c>
      <c r="Z7511">
        <v>-4.8584570000000001E-2</v>
      </c>
      <c r="AA7511">
        <v>0.70261200000000001</v>
      </c>
      <c r="AB7511">
        <v>19</v>
      </c>
      <c r="AC7511">
        <v>17.9514</v>
      </c>
      <c r="AD7511">
        <v>-1.118444721146</v>
      </c>
      <c r="AE7511">
        <v>9.62289999999998</v>
      </c>
      <c r="AF7511">
        <v>14.534396338915901</v>
      </c>
      <c r="AG7511">
        <v>-1.118444721146</v>
      </c>
      <c r="AH7511">
        <v>14.1814570026584</v>
      </c>
      <c r="AI7511">
        <v>93.152528731970904</v>
      </c>
      <c r="AJ7511">
        <v>44.295827430764803</v>
      </c>
      <c r="AK7511">
        <v>20.337485543921101</v>
      </c>
      <c r="AL7511">
        <v>94.897528124131199</v>
      </c>
      <c r="AM7511">
        <v>61.606472099167497</v>
      </c>
      <c r="AN7511">
        <v>1.00000001923453</v>
      </c>
    </row>
    <row r="7512" spans="1:40" x14ac:dyDescent="0.25">
      <c r="A7512" t="str">
        <f>"20190303154710979"</f>
        <v>20190303154710979</v>
      </c>
      <c r="B7512" t="str">
        <f>"1551599230969406"</f>
        <v>1551599230969406</v>
      </c>
      <c r="C7512" t="s">
        <v>40</v>
      </c>
      <c r="D7512">
        <v>5.49594</v>
      </c>
      <c r="E7512">
        <v>0.62090919999999905</v>
      </c>
      <c r="F7512" t="s">
        <v>41</v>
      </c>
      <c r="G7512">
        <v>-167.12029999999999</v>
      </c>
      <c r="H7512" s="1">
        <v>-1.962527E-6</v>
      </c>
      <c r="I7512">
        <v>136.3373</v>
      </c>
      <c r="J7512">
        <v>-185.75980000000001</v>
      </c>
      <c r="K7512">
        <v>1.118393</v>
      </c>
      <c r="L7512">
        <v>126.6892</v>
      </c>
      <c r="M7512">
        <v>0.27992699999999998</v>
      </c>
      <c r="N7512">
        <v>-1.1650870000000001E-2</v>
      </c>
      <c r="O7512">
        <v>0.95995059999999999</v>
      </c>
      <c r="P7512">
        <v>0.70556600000000003</v>
      </c>
      <c r="Q7512">
        <v>-9.0372809999999998E-2</v>
      </c>
      <c r="R7512">
        <v>0.70285799999999998</v>
      </c>
      <c r="S7512">
        <v>2.7910159999999999</v>
      </c>
      <c r="T7512">
        <v>-0.167154</v>
      </c>
      <c r="U7512">
        <v>1.4586790000000001</v>
      </c>
      <c r="V7512">
        <v>0.48013410000000001</v>
      </c>
      <c r="W7512">
        <v>-8.2901950000000002E-2</v>
      </c>
      <c r="X7512">
        <v>0.87326879999999996</v>
      </c>
      <c r="Y7512">
        <v>0.71997089999999997</v>
      </c>
      <c r="Z7512">
        <v>-4.7417500000000001E-2</v>
      </c>
      <c r="AA7512">
        <v>0.69238259999999996</v>
      </c>
      <c r="AB7512">
        <v>19</v>
      </c>
      <c r="AC7512">
        <v>18.639500000000002</v>
      </c>
      <c r="AD7512">
        <v>-1.118394962527</v>
      </c>
      <c r="AE7512">
        <v>9.6480999999999995</v>
      </c>
      <c r="AF7512">
        <v>15.1502488209101</v>
      </c>
      <c r="AG7512">
        <v>-1.118394962527</v>
      </c>
      <c r="AH7512">
        <v>14.4393820645308</v>
      </c>
      <c r="AI7512">
        <v>93.058828433573893</v>
      </c>
      <c r="AJ7512">
        <v>43.623780339044202</v>
      </c>
      <c r="AK7512">
        <v>20.958926523875</v>
      </c>
      <c r="AL7512">
        <v>94.755389856024394</v>
      </c>
      <c r="AM7512">
        <v>61.197454968755302</v>
      </c>
      <c r="AN7512">
        <v>0.99999994217502397</v>
      </c>
    </row>
    <row r="7513" spans="1:40" x14ac:dyDescent="0.25">
      <c r="A7513" t="str">
        <f>"20190303154710993"</f>
        <v>20190303154710993</v>
      </c>
      <c r="B7513" t="str">
        <f>"1551599230989902"</f>
        <v>1551599230989902</v>
      </c>
      <c r="C7513" t="s">
        <v>40</v>
      </c>
      <c r="D7513">
        <v>5.9185379999999999</v>
      </c>
      <c r="E7513">
        <v>0.61956619999999996</v>
      </c>
      <c r="F7513" t="s">
        <v>41</v>
      </c>
      <c r="G7513">
        <v>-166.04570000000001</v>
      </c>
      <c r="H7513" s="1">
        <v>-2.3583759999999999E-6</v>
      </c>
      <c r="I7513">
        <v>136.74860000000001</v>
      </c>
      <c r="J7513">
        <v>-185.7243</v>
      </c>
      <c r="K7513">
        <v>1.1183430000000001</v>
      </c>
      <c r="L7513">
        <v>126.8001</v>
      </c>
      <c r="M7513">
        <v>0.28251999999999999</v>
      </c>
      <c r="N7513">
        <v>-1.1406299999999999E-2</v>
      </c>
      <c r="O7513">
        <v>0.95919359999999998</v>
      </c>
      <c r="P7513">
        <v>0.71216550000000001</v>
      </c>
      <c r="Q7513">
        <v>-8.7916999999999995E-2</v>
      </c>
      <c r="R7513">
        <v>0.69648469999999996</v>
      </c>
      <c r="S7513">
        <v>2.8054809999999999</v>
      </c>
      <c r="T7513">
        <v>-0.1591572</v>
      </c>
      <c r="U7513">
        <v>1.4315340000000001</v>
      </c>
      <c r="V7513">
        <v>0.48591380000000001</v>
      </c>
      <c r="W7513">
        <v>-8.0760600000000002E-2</v>
      </c>
      <c r="X7513">
        <v>0.87026749999999997</v>
      </c>
      <c r="Y7513">
        <v>0.72495339999999997</v>
      </c>
      <c r="Z7513">
        <v>-4.4997509999999998E-2</v>
      </c>
      <c r="AA7513">
        <v>0.68732660000000001</v>
      </c>
      <c r="AB7513">
        <v>19</v>
      </c>
      <c r="AC7513">
        <v>19.6785999999999</v>
      </c>
      <c r="AD7513">
        <v>-1.1183453583759999</v>
      </c>
      <c r="AE7513">
        <v>9.9485000000000099</v>
      </c>
      <c r="AF7513">
        <v>16.02476172515</v>
      </c>
      <c r="AG7513">
        <v>-1.1183453583759999</v>
      </c>
      <c r="AH7513">
        <v>15.064368145665</v>
      </c>
      <c r="AI7513">
        <v>92.910877999711403</v>
      </c>
      <c r="AJ7513">
        <v>43.2306032611964</v>
      </c>
      <c r="AK7513">
        <v>22.022235860978299</v>
      </c>
      <c r="AL7513">
        <v>94.632286335311406</v>
      </c>
      <c r="AM7513">
        <v>60.823195890423399</v>
      </c>
      <c r="AN7513">
        <v>1.00000000854952</v>
      </c>
    </row>
    <row r="7514" spans="1:40" x14ac:dyDescent="0.25">
      <c r="A7514" t="str">
        <f>"20190303154711006"</f>
        <v>20190303154711006</v>
      </c>
      <c r="B7514" t="str">
        <f>"1551599230999663"</f>
        <v>1551599230999663</v>
      </c>
      <c r="C7514" t="s">
        <v>40</v>
      </c>
      <c r="D7514">
        <v>5.9629999999999903</v>
      </c>
      <c r="E7514">
        <v>0.6191063</v>
      </c>
      <c r="F7514" t="s">
        <v>41</v>
      </c>
      <c r="G7514">
        <v>-165.80770000000001</v>
      </c>
      <c r="H7514" s="1">
        <v>-2.4592850000000001E-6</v>
      </c>
      <c r="I7514">
        <v>136.81399999999999</v>
      </c>
      <c r="J7514">
        <v>-185.6874</v>
      </c>
      <c r="K7514">
        <v>1.118285</v>
      </c>
      <c r="L7514">
        <v>126.9141</v>
      </c>
      <c r="M7514">
        <v>0.28520679999999998</v>
      </c>
      <c r="N7514">
        <v>-1.116143E-2</v>
      </c>
      <c r="O7514">
        <v>0.95840099999999995</v>
      </c>
      <c r="P7514">
        <v>0.71871409999999902</v>
      </c>
      <c r="Q7514">
        <v>-8.6367239999999998E-2</v>
      </c>
      <c r="R7514">
        <v>0.6899208</v>
      </c>
      <c r="S7514">
        <v>2.810867</v>
      </c>
      <c r="T7514">
        <v>-0.15783449999999999</v>
      </c>
      <c r="U7514">
        <v>1.413284</v>
      </c>
      <c r="V7514">
        <v>0.4916256</v>
      </c>
      <c r="W7514">
        <v>-7.9534229999999997E-2</v>
      </c>
      <c r="X7514">
        <v>0.86716700000000002</v>
      </c>
      <c r="Y7514">
        <v>0.72711870000000001</v>
      </c>
      <c r="Z7514">
        <v>-4.4881530000000003E-2</v>
      </c>
      <c r="AA7514">
        <v>0.68504319999999996</v>
      </c>
      <c r="AB7514">
        <v>19</v>
      </c>
      <c r="AC7514">
        <v>19.8796999999999</v>
      </c>
      <c r="AD7514">
        <v>-1.1182874592850001</v>
      </c>
      <c r="AE7514">
        <v>9.8998999999999793</v>
      </c>
      <c r="AF7514">
        <v>16.189168096134502</v>
      </c>
      <c r="AG7514">
        <v>-1.1182874592850001</v>
      </c>
      <c r="AH7514">
        <v>15.1205051301494</v>
      </c>
      <c r="AI7514">
        <v>92.889955822791507</v>
      </c>
      <c r="AJ7514">
        <v>43.045137158874702</v>
      </c>
      <c r="AK7514">
        <v>22.180383357313001</v>
      </c>
      <c r="AL7514">
        <v>94.561793703129197</v>
      </c>
      <c r="AM7514">
        <v>60.449667787025199</v>
      </c>
      <c r="AN7514">
        <v>1.0000000151030199</v>
      </c>
    </row>
    <row r="7515" spans="1:40" x14ac:dyDescent="0.25">
      <c r="A7515" t="str">
        <f>"20190303154711022"</f>
        <v>20190303154711022</v>
      </c>
      <c r="B7515" t="str">
        <f>"1551599231009422"</f>
        <v>1551599231009422</v>
      </c>
      <c r="C7515" t="s">
        <v>40</v>
      </c>
      <c r="D7515">
        <v>5.9380639999999998</v>
      </c>
      <c r="E7515">
        <v>0.6186218</v>
      </c>
      <c r="F7515" t="s">
        <v>41</v>
      </c>
      <c r="G7515">
        <v>-165.64750000000001</v>
      </c>
      <c r="H7515" s="1">
        <v>-2.5404179999999999E-6</v>
      </c>
      <c r="I7515">
        <v>136.7835</v>
      </c>
      <c r="J7515">
        <v>-185.6473</v>
      </c>
      <c r="K7515">
        <v>1.118207</v>
      </c>
      <c r="L7515">
        <v>127.0372</v>
      </c>
      <c r="M7515">
        <v>0.288139799999999</v>
      </c>
      <c r="N7515">
        <v>-1.0905949999999999E-2</v>
      </c>
      <c r="O7515">
        <v>0.95752630000000005</v>
      </c>
      <c r="P7515">
        <v>0.72925369999999901</v>
      </c>
      <c r="Q7515">
        <v>-8.4522799999999995E-2</v>
      </c>
      <c r="R7515">
        <v>0.67900289999999996</v>
      </c>
      <c r="S7515">
        <v>2.8213810000000001</v>
      </c>
      <c r="T7515">
        <v>-0.15744129999999901</v>
      </c>
      <c r="U7515">
        <v>1.3894959999999901</v>
      </c>
      <c r="V7515">
        <v>0.50221000000000005</v>
      </c>
      <c r="W7515">
        <v>-7.8096349999999995E-2</v>
      </c>
      <c r="X7515">
        <v>0.86121199999999998</v>
      </c>
      <c r="Y7515">
        <v>0.73066500000000001</v>
      </c>
      <c r="Z7515">
        <v>-4.5077249999999999E-2</v>
      </c>
      <c r="AA7515">
        <v>0.68124640000000003</v>
      </c>
      <c r="AB7515">
        <v>19</v>
      </c>
      <c r="AC7515">
        <v>19.9998</v>
      </c>
      <c r="AD7515">
        <v>-1.1182095404179999</v>
      </c>
      <c r="AE7515">
        <v>9.7462999999999997</v>
      </c>
      <c r="AF7515">
        <v>16.3018280678026</v>
      </c>
      <c r="AG7515">
        <v>-1.1182095404179999</v>
      </c>
      <c r="AH7515">
        <v>15.057935595310999</v>
      </c>
      <c r="AI7515">
        <v>92.884559653291305</v>
      </c>
      <c r="AJ7515">
        <v>42.728540053412601</v>
      </c>
      <c r="AK7515">
        <v>22.220292872080101</v>
      </c>
      <c r="AL7515">
        <v>94.479152157276104</v>
      </c>
      <c r="AM7515">
        <v>59.751687659319899</v>
      </c>
      <c r="AN7515">
        <v>1.00000001646366</v>
      </c>
    </row>
    <row r="7516" spans="1:40" x14ac:dyDescent="0.25">
      <c r="A7516" t="str">
        <f>"20190303154711034"</f>
        <v>20190303154711034</v>
      </c>
      <c r="B7516" t="str">
        <f>"1551599231029918"</f>
        <v>1551599231029918</v>
      </c>
      <c r="C7516" t="s">
        <v>40</v>
      </c>
      <c r="D7516">
        <v>5.6652009999999997</v>
      </c>
      <c r="E7516">
        <v>0.6177762</v>
      </c>
      <c r="F7516" t="s">
        <v>41</v>
      </c>
      <c r="G7516">
        <v>-165.47280000000001</v>
      </c>
      <c r="H7516" s="1">
        <v>-2.6517049999999999E-6</v>
      </c>
      <c r="I7516">
        <v>136.6217</v>
      </c>
      <c r="J7516">
        <v>-185.60820000000001</v>
      </c>
      <c r="K7516">
        <v>1.118126</v>
      </c>
      <c r="L7516">
        <v>127.1553</v>
      </c>
      <c r="M7516">
        <v>0.29101059999999901</v>
      </c>
      <c r="N7516">
        <v>-1.0678780000000001E-2</v>
      </c>
      <c r="O7516">
        <v>0.95666019999999896</v>
      </c>
      <c r="P7516">
        <v>0.73561569999999898</v>
      </c>
      <c r="Q7516">
        <v>-8.3740850000000006E-2</v>
      </c>
      <c r="R7516">
        <v>0.67220309999999905</v>
      </c>
      <c r="S7516">
        <v>2.8395229999999998</v>
      </c>
      <c r="T7516">
        <v>-0.1573859</v>
      </c>
      <c r="U7516">
        <v>1.3489990000000001</v>
      </c>
      <c r="V7516">
        <v>0.50768550000000001</v>
      </c>
      <c r="W7516">
        <v>-7.764799E-2</v>
      </c>
      <c r="X7516">
        <v>0.85803619999999903</v>
      </c>
      <c r="Y7516">
        <v>0.73817409999999894</v>
      </c>
      <c r="Z7516">
        <v>-4.5427960000000003E-2</v>
      </c>
      <c r="AA7516">
        <v>0.67307899999999998</v>
      </c>
      <c r="AB7516">
        <v>19</v>
      </c>
      <c r="AC7516">
        <v>20.135400000000001</v>
      </c>
      <c r="AD7516">
        <v>-1.118128651705</v>
      </c>
      <c r="AE7516">
        <v>9.4664000000000001</v>
      </c>
      <c r="AF7516">
        <v>16.467267744110401</v>
      </c>
      <c r="AG7516">
        <v>-1.118128651705</v>
      </c>
      <c r="AH7516">
        <v>14.879017844265899</v>
      </c>
      <c r="AI7516">
        <v>92.884161177729297</v>
      </c>
      <c r="AJ7516">
        <v>42.0994246587411</v>
      </c>
      <c r="AK7516">
        <v>22.221752645729101</v>
      </c>
      <c r="AL7516">
        <v>94.453385076865999</v>
      </c>
      <c r="AM7516">
        <v>59.387915108001003</v>
      </c>
      <c r="AN7516">
        <v>0.99999994888586297</v>
      </c>
    </row>
    <row r="7517" spans="1:40" x14ac:dyDescent="0.25">
      <c r="A7517" t="str">
        <f>"20190303154711047"</f>
        <v>20190303154711047</v>
      </c>
      <c r="B7517" t="str">
        <f>"1551599231039678"</f>
        <v>1551599231039678</v>
      </c>
      <c r="C7517" t="s">
        <v>40</v>
      </c>
      <c r="D7517">
        <v>5.571307</v>
      </c>
      <c r="E7517">
        <v>0.61735709999999999</v>
      </c>
      <c r="F7517" t="s">
        <v>41</v>
      </c>
      <c r="G7517">
        <v>-165.7921</v>
      </c>
      <c r="H7517" s="1">
        <v>-2.5415230000000001E-6</v>
      </c>
      <c r="I7517">
        <v>136.39189999999999</v>
      </c>
      <c r="J7517">
        <v>-185.57409999999999</v>
      </c>
      <c r="K7517">
        <v>1.1180570000000001</v>
      </c>
      <c r="L7517">
        <v>127.2574</v>
      </c>
      <c r="M7517">
        <v>0.29351729999999998</v>
      </c>
      <c r="N7517">
        <v>-1.049132E-2</v>
      </c>
      <c r="O7517">
        <v>0.95589619999999997</v>
      </c>
      <c r="P7517">
        <v>0.74163129999999999</v>
      </c>
      <c r="Q7517">
        <v>-8.3293229999999996E-2</v>
      </c>
      <c r="R7517">
        <v>0.66561649999999895</v>
      </c>
      <c r="S7517">
        <v>2.8471980000000001</v>
      </c>
      <c r="T7517">
        <v>-0.1606542</v>
      </c>
      <c r="U7517">
        <v>1.327118</v>
      </c>
      <c r="V7517">
        <v>0.51311279999999904</v>
      </c>
      <c r="W7517">
        <v>-7.7494190000000004E-2</v>
      </c>
      <c r="X7517">
        <v>0.85481569999999996</v>
      </c>
      <c r="Y7517">
        <v>0.74128209999999894</v>
      </c>
      <c r="Z7517">
        <v>-4.6836900000000001E-2</v>
      </c>
      <c r="AA7517">
        <v>0.66955739999999997</v>
      </c>
      <c r="AB7517">
        <v>19</v>
      </c>
      <c r="AC7517">
        <v>19.781999999999901</v>
      </c>
      <c r="AD7517">
        <v>-1.1180595415229999</v>
      </c>
      <c r="AE7517">
        <v>9.1344999999999796</v>
      </c>
      <c r="AF7517">
        <v>16.186678478597798</v>
      </c>
      <c r="AG7517">
        <v>-1.1180595415229999</v>
      </c>
      <c r="AH7517">
        <v>14.5006130707437</v>
      </c>
      <c r="AI7517">
        <v>92.945145359483902</v>
      </c>
      <c r="AJ7517">
        <v>41.855134700994903</v>
      </c>
      <c r="AK7517">
        <v>21.760661679629901</v>
      </c>
      <c r="AL7517">
        <v>94.444546178742002</v>
      </c>
      <c r="AM7517">
        <v>59.025235543249501</v>
      </c>
      <c r="AN7517">
        <v>0.99999998798704204</v>
      </c>
    </row>
    <row r="7518" spans="1:40" x14ac:dyDescent="0.25">
      <c r="A7518" t="str">
        <f>"20190303154711061"</f>
        <v>20190303154711061</v>
      </c>
      <c r="B7518" t="str">
        <f>"1551599231049439"</f>
        <v>1551599231049439</v>
      </c>
      <c r="C7518" t="s">
        <v>40</v>
      </c>
      <c r="D7518">
        <v>5.6843810000000001</v>
      </c>
      <c r="E7518">
        <v>0.61696049999999902</v>
      </c>
      <c r="F7518" t="s">
        <v>41</v>
      </c>
      <c r="G7518">
        <v>-165.32259999999999</v>
      </c>
      <c r="H7518" s="1">
        <v>-2.7437760000000001E-6</v>
      </c>
      <c r="I7518">
        <v>136.50290000000001</v>
      </c>
      <c r="J7518">
        <v>-185.53450000000001</v>
      </c>
      <c r="K7518">
        <v>1.117972</v>
      </c>
      <c r="L7518">
        <v>127.3753</v>
      </c>
      <c r="M7518">
        <v>0.29644100000000001</v>
      </c>
      <c r="N7518">
        <v>-1.02849E-2</v>
      </c>
      <c r="O7518">
        <v>0.95499579999999995</v>
      </c>
      <c r="P7518">
        <v>0.74769240000000003</v>
      </c>
      <c r="Q7518">
        <v>-8.2437800000000006E-2</v>
      </c>
      <c r="R7518">
        <v>0.65890839999999995</v>
      </c>
      <c r="S7518">
        <v>2.8568570000000002</v>
      </c>
      <c r="T7518">
        <v>-0.15772329999999901</v>
      </c>
      <c r="U7518">
        <v>1.3042450000000001</v>
      </c>
      <c r="V7518">
        <v>0.51826679999999903</v>
      </c>
      <c r="W7518">
        <v>-7.6960150000000005E-2</v>
      </c>
      <c r="X7518">
        <v>0.85174919999999998</v>
      </c>
      <c r="Y7518">
        <v>0.74455000000000005</v>
      </c>
      <c r="Z7518">
        <v>-4.6105680000000003E-2</v>
      </c>
      <c r="AA7518">
        <v>0.66597269999999997</v>
      </c>
      <c r="AB7518">
        <v>20</v>
      </c>
      <c r="AC7518">
        <v>20.2119</v>
      </c>
      <c r="AD7518">
        <v>-1.1179747437759999</v>
      </c>
      <c r="AE7518">
        <v>9.1276000000000099</v>
      </c>
      <c r="AF7518">
        <v>16.5552914463367</v>
      </c>
      <c r="AG7518">
        <v>-1.1179747437759999</v>
      </c>
      <c r="AH7518">
        <v>14.671948401374999</v>
      </c>
      <c r="AI7518">
        <v>92.893198683682002</v>
      </c>
      <c r="AJ7518">
        <v>41.548620415488898</v>
      </c>
      <c r="AK7518">
        <v>22.149347897702999</v>
      </c>
      <c r="AL7518">
        <v>94.413856142833794</v>
      </c>
      <c r="AM7518">
        <v>58.680596205315297</v>
      </c>
      <c r="AN7518">
        <v>1.00000002018545</v>
      </c>
    </row>
    <row r="7519" spans="1:40" x14ac:dyDescent="0.25">
      <c r="A7519" t="str">
        <f>"20190303154711077"</f>
        <v>20190303154711077</v>
      </c>
      <c r="B7519" t="str">
        <f>"1551599231069466"</f>
        <v>1551599231069466</v>
      </c>
      <c r="C7519" t="s">
        <v>40</v>
      </c>
      <c r="D7519">
        <v>5.8668699999999996</v>
      </c>
      <c r="E7519">
        <v>0.61592400000000003</v>
      </c>
      <c r="F7519" t="s">
        <v>41</v>
      </c>
      <c r="G7519">
        <v>-165.03639999999999</v>
      </c>
      <c r="H7519" s="1">
        <v>-2.8735979999999998E-6</v>
      </c>
      <c r="I7519">
        <v>136.53370000000001</v>
      </c>
      <c r="J7519">
        <v>-185.489</v>
      </c>
      <c r="K7519">
        <v>1.117877</v>
      </c>
      <c r="L7519">
        <v>127.50830000000001</v>
      </c>
      <c r="M7519">
        <v>0.29981989999999997</v>
      </c>
      <c r="N7519">
        <v>-1.0075300000000001E-2</v>
      </c>
      <c r="O7519">
        <v>0.95394259999999997</v>
      </c>
      <c r="P7519">
        <v>0.75787869999999902</v>
      </c>
      <c r="Q7519">
        <v>-8.1770540000000003E-2</v>
      </c>
      <c r="R7519">
        <v>0.64725080000000002</v>
      </c>
      <c r="S7519">
        <v>2.8664700000000001</v>
      </c>
      <c r="T7519">
        <v>-0.1563388</v>
      </c>
      <c r="U7519">
        <v>1.280716</v>
      </c>
      <c r="V7519">
        <v>0.52845200000000003</v>
      </c>
      <c r="W7519">
        <v>-7.6703270000000004E-2</v>
      </c>
      <c r="X7519">
        <v>0.84549110000000005</v>
      </c>
      <c r="Y7519">
        <v>0.74758279999999999</v>
      </c>
      <c r="Z7519">
        <v>-4.5913429999999998E-2</v>
      </c>
      <c r="AA7519">
        <v>0.66257980000000005</v>
      </c>
      <c r="AB7519">
        <v>20</v>
      </c>
      <c r="AC7519">
        <v>20.4526</v>
      </c>
      <c r="AD7519">
        <v>-1.117879873598</v>
      </c>
      <c r="AE7519">
        <v>9.0253999999999994</v>
      </c>
      <c r="AF7519">
        <v>16.7635482828214</v>
      </c>
      <c r="AG7519">
        <v>-1.117879873598</v>
      </c>
      <c r="AH7519">
        <v>14.705787062107101</v>
      </c>
      <c r="AI7519">
        <v>92.869824279135003</v>
      </c>
      <c r="AJ7519">
        <v>41.258788999841599</v>
      </c>
      <c r="AK7519">
        <v>22.3277043056002</v>
      </c>
      <c r="AL7519">
        <v>94.399094219265606</v>
      </c>
      <c r="AM7519">
        <v>57.993639140626797</v>
      </c>
      <c r="AN7519">
        <v>1.0000000540559499</v>
      </c>
    </row>
    <row r="7520" spans="1:40" x14ac:dyDescent="0.25">
      <c r="A7520" t="str">
        <f>"20190303154711099"</f>
        <v>20190303154711099</v>
      </c>
      <c r="B7520" t="str">
        <f>"1551599231088986"</f>
        <v>1551599231088986</v>
      </c>
      <c r="C7520" t="s">
        <v>40</v>
      </c>
      <c r="D7520">
        <v>5.7417660000000001</v>
      </c>
      <c r="E7520">
        <v>0.61500540000000004</v>
      </c>
      <c r="F7520" t="s">
        <v>41</v>
      </c>
      <c r="G7520">
        <v>-164.65180000000001</v>
      </c>
      <c r="H7520" s="1">
        <v>-3.0622230000000001E-6</v>
      </c>
      <c r="I7520">
        <v>136.49529999999999</v>
      </c>
      <c r="J7520">
        <v>-185.42529999999999</v>
      </c>
      <c r="K7520">
        <v>1.1177410000000001</v>
      </c>
      <c r="L7520">
        <v>127.6918</v>
      </c>
      <c r="M7520">
        <v>0.30458400000000002</v>
      </c>
      <c r="N7520">
        <v>-9.811373E-3</v>
      </c>
      <c r="O7520">
        <v>0.95243500000000003</v>
      </c>
      <c r="P7520">
        <v>0.76801059999999999</v>
      </c>
      <c r="Q7520">
        <v>-8.0710050000000005E-2</v>
      </c>
      <c r="R7520">
        <v>0.63533119999999998</v>
      </c>
      <c r="S7520">
        <v>2.8806759999999998</v>
      </c>
      <c r="T7520">
        <v>-0.15454329999999999</v>
      </c>
      <c r="U7520">
        <v>1.242432</v>
      </c>
      <c r="V7520">
        <v>0.53748899999999999</v>
      </c>
      <c r="W7520">
        <v>-7.6130680000000006E-2</v>
      </c>
      <c r="X7520">
        <v>0.839827199999999</v>
      </c>
      <c r="Y7520">
        <v>0.75286580000000003</v>
      </c>
      <c r="Z7520">
        <v>-4.570279E-2</v>
      </c>
      <c r="AA7520">
        <v>0.65658530000000004</v>
      </c>
      <c r="AB7520">
        <v>20</v>
      </c>
      <c r="AC7520">
        <v>20.773499999999899</v>
      </c>
      <c r="AD7520">
        <v>-1.1177440622229999</v>
      </c>
      <c r="AE7520">
        <v>8.8034999999999801</v>
      </c>
      <c r="AF7520">
        <v>17.062947529619301</v>
      </c>
      <c r="AG7520">
        <v>-1.1177440622229999</v>
      </c>
      <c r="AH7520">
        <v>14.676723117810599</v>
      </c>
      <c r="AI7520">
        <v>92.843131947272795</v>
      </c>
      <c r="AJ7520">
        <v>40.700526684248203</v>
      </c>
      <c r="AK7520">
        <v>22.534412165930799</v>
      </c>
      <c r="AL7520">
        <v>94.3661911872845</v>
      </c>
      <c r="AM7520">
        <v>57.3807766756224</v>
      </c>
      <c r="AN7520">
        <v>1.0000000157090501</v>
      </c>
    </row>
    <row r="7521" spans="1:40" x14ac:dyDescent="0.25">
      <c r="A7521" t="str">
        <f>"20190303154711115"</f>
        <v>20190303154711115</v>
      </c>
      <c r="B7521" t="str">
        <f>"1551599231109481"</f>
        <v>1551599231109481</v>
      </c>
      <c r="C7521" t="s">
        <v>40</v>
      </c>
      <c r="D7521">
        <v>5.7510370000000002</v>
      </c>
      <c r="E7521">
        <v>0.6140736</v>
      </c>
      <c r="F7521" t="s">
        <v>41</v>
      </c>
      <c r="G7521">
        <v>-164.4999</v>
      </c>
      <c r="H7521" s="1">
        <v>-3.1535649999999999E-6</v>
      </c>
      <c r="I7521">
        <v>136.3852</v>
      </c>
      <c r="J7521">
        <v>-185.37799999999999</v>
      </c>
      <c r="K7521">
        <v>1.117645</v>
      </c>
      <c r="L7521">
        <v>127.8258</v>
      </c>
      <c r="M7521">
        <v>0.30817090000000003</v>
      </c>
      <c r="N7521">
        <v>-9.641541E-3</v>
      </c>
      <c r="O7521">
        <v>0.95128219999999997</v>
      </c>
      <c r="P7521">
        <v>0.77356819999999904</v>
      </c>
      <c r="Q7521">
        <v>-8.0280050000000006E-2</v>
      </c>
      <c r="R7521">
        <v>0.62860760000000004</v>
      </c>
      <c r="S7521">
        <v>2.8950040000000001</v>
      </c>
      <c r="T7521">
        <v>-0.1546381</v>
      </c>
      <c r="U7521">
        <v>1.202728</v>
      </c>
      <c r="V7521">
        <v>0.54166809999999999</v>
      </c>
      <c r="W7521">
        <v>-7.6014090000000006E-2</v>
      </c>
      <c r="X7521">
        <v>0.83714840000000001</v>
      </c>
      <c r="Y7521">
        <v>0.75916569999999906</v>
      </c>
      <c r="Z7521">
        <v>-4.6069209999999999E-2</v>
      </c>
      <c r="AA7521">
        <v>0.64926499999999998</v>
      </c>
      <c r="AB7521">
        <v>20</v>
      </c>
      <c r="AC7521">
        <v>20.8780999999999</v>
      </c>
      <c r="AD7521">
        <v>-1.117648153565</v>
      </c>
      <c r="AE7521">
        <v>8.5593999999999895</v>
      </c>
      <c r="AF7521">
        <v>17.181853846652601</v>
      </c>
      <c r="AG7521">
        <v>-1.117648153565</v>
      </c>
      <c r="AH7521">
        <v>14.5414296153225</v>
      </c>
      <c r="AI7521">
        <v>92.842555356880396</v>
      </c>
      <c r="AJ7521">
        <v>40.242067066198103</v>
      </c>
      <c r="AK7521">
        <v>22.5370453755651</v>
      </c>
      <c r="AL7521">
        <v>94.359491911155999</v>
      </c>
      <c r="AM7521">
        <v>57.095536633747699</v>
      </c>
      <c r="AN7521">
        <v>0.99999995802934805</v>
      </c>
    </row>
    <row r="7522" spans="1:40" x14ac:dyDescent="0.25">
      <c r="A7522" t="str">
        <f>"20190303154711130"</f>
        <v>20190303154711130</v>
      </c>
      <c r="B7522" t="str">
        <f>"1551599231119241"</f>
        <v>1551599231119241</v>
      </c>
      <c r="C7522" t="s">
        <v>40</v>
      </c>
      <c r="D7522">
        <v>5.7622589999999896</v>
      </c>
      <c r="E7522">
        <v>0.61358330000000005</v>
      </c>
      <c r="F7522" t="s">
        <v>41</v>
      </c>
      <c r="G7522">
        <v>-164.69220000000001</v>
      </c>
      <c r="H7522" s="1">
        <v>-3.0843179999999999E-6</v>
      </c>
      <c r="I7522">
        <v>136.26310000000001</v>
      </c>
      <c r="J7522">
        <v>-185.33109999999999</v>
      </c>
      <c r="K7522">
        <v>1.1175459999999999</v>
      </c>
      <c r="L7522">
        <v>127.95699999999999</v>
      </c>
      <c r="M7522">
        <v>0.31176379999999998</v>
      </c>
      <c r="N7522">
        <v>-9.4898499999999993E-3</v>
      </c>
      <c r="O7522">
        <v>0.95011219999999996</v>
      </c>
      <c r="P7522">
        <v>0.77870519999999999</v>
      </c>
      <c r="Q7522">
        <v>-8.0255339999999994E-2</v>
      </c>
      <c r="R7522">
        <v>0.62223569999999995</v>
      </c>
      <c r="S7522">
        <v>2.900528</v>
      </c>
      <c r="T7522">
        <v>-0.1567144</v>
      </c>
      <c r="U7522">
        <v>1.18306</v>
      </c>
      <c r="V7522">
        <v>0.54535369999999905</v>
      </c>
      <c r="W7522">
        <v>-7.6284690000000002E-2</v>
      </c>
      <c r="X7522">
        <v>0.83472749999999996</v>
      </c>
      <c r="Y7522">
        <v>0.76087019999999905</v>
      </c>
      <c r="Z7522">
        <v>-4.703599E-2</v>
      </c>
      <c r="AA7522">
        <v>0.64719720000000003</v>
      </c>
      <c r="AB7522">
        <v>20</v>
      </c>
      <c r="AC7522">
        <v>20.6388999999999</v>
      </c>
      <c r="AD7522">
        <v>-1.11754908431799</v>
      </c>
      <c r="AE7522">
        <v>8.3061000000000007</v>
      </c>
      <c r="AF7522">
        <v>16.977656977697698</v>
      </c>
      <c r="AG7522">
        <v>-1.11754908431799</v>
      </c>
      <c r="AH7522">
        <v>14.290774803273299</v>
      </c>
      <c r="AI7522">
        <v>92.882928757627695</v>
      </c>
      <c r="AJ7522">
        <v>40.088664167664099</v>
      </c>
      <c r="AK7522">
        <v>22.219720900274599</v>
      </c>
      <c r="AL7522">
        <v>94.375041089966103</v>
      </c>
      <c r="AM7522">
        <v>56.842153085356003</v>
      </c>
      <c r="AN7522">
        <v>1.00000000564416</v>
      </c>
    </row>
    <row r="7523" spans="1:40" x14ac:dyDescent="0.25">
      <c r="A7523" t="str">
        <f>"20190303154711145"</f>
        <v>20190303154711145</v>
      </c>
      <c r="B7523" t="str">
        <f>"1551599231139737"</f>
        <v>1551599231139737</v>
      </c>
      <c r="C7523" t="s">
        <v>40</v>
      </c>
      <c r="D7523">
        <v>5.7820769999999904</v>
      </c>
      <c r="E7523">
        <v>0.61254560000000002</v>
      </c>
      <c r="F7523" t="s">
        <v>41</v>
      </c>
      <c r="G7523">
        <v>-164.88220000000001</v>
      </c>
      <c r="H7523" s="1">
        <v>-3.0181470000000002E-6</v>
      </c>
      <c r="I7523">
        <v>136.12979999999999</v>
      </c>
      <c r="J7523">
        <v>-185.2877</v>
      </c>
      <c r="K7523">
        <v>1.117456</v>
      </c>
      <c r="L7523">
        <v>128.07689999999999</v>
      </c>
      <c r="M7523">
        <v>0.31511040000000001</v>
      </c>
      <c r="N7523">
        <v>-9.3624999999999993E-3</v>
      </c>
      <c r="O7523">
        <v>0.94900879999999999</v>
      </c>
      <c r="P7523">
        <v>0.78619629999999996</v>
      </c>
      <c r="Q7523">
        <v>-7.9980510000000005E-2</v>
      </c>
      <c r="R7523">
        <v>0.61277939999999997</v>
      </c>
      <c r="S7523">
        <v>2.9076080000000002</v>
      </c>
      <c r="T7523">
        <v>-0.15890290000000001</v>
      </c>
      <c r="U7523">
        <v>1.1620790000000001</v>
      </c>
      <c r="V7523">
        <v>0.55248580000000003</v>
      </c>
      <c r="W7523">
        <v>-7.6325210000000004E-2</v>
      </c>
      <c r="X7523">
        <v>0.83002039999999999</v>
      </c>
      <c r="Y7523">
        <v>0.76310800000000001</v>
      </c>
      <c r="Z7523">
        <v>-4.8010780000000003E-2</v>
      </c>
      <c r="AA7523">
        <v>0.64448519999999998</v>
      </c>
      <c r="AB7523">
        <v>20</v>
      </c>
      <c r="AC7523">
        <v>20.4054999999999</v>
      </c>
      <c r="AD7523">
        <v>-1.1174590181470001</v>
      </c>
      <c r="AE7523">
        <v>8.0528999999999904</v>
      </c>
      <c r="AF7523">
        <v>16.7846316424822</v>
      </c>
      <c r="AG7523">
        <v>-1.1174590181470001</v>
      </c>
      <c r="AH7523">
        <v>14.036453505747501</v>
      </c>
      <c r="AI7523">
        <v>92.923644374680407</v>
      </c>
      <c r="AJ7523">
        <v>39.904666883205202</v>
      </c>
      <c r="AK7523">
        <v>21.908779086249101</v>
      </c>
      <c r="AL7523">
        <v>94.377369612988204</v>
      </c>
      <c r="AM7523">
        <v>56.351105364380402</v>
      </c>
      <c r="AN7523">
        <v>0.99999998064967099</v>
      </c>
    </row>
    <row r="7524" spans="1:40" x14ac:dyDescent="0.25">
      <c r="A7524" t="str">
        <f>"20190303154711166"</f>
        <v>20190303154711166</v>
      </c>
      <c r="B7524" t="str">
        <f>"1551599231159764"</f>
        <v>1551599231159764</v>
      </c>
      <c r="C7524" t="s">
        <v>40</v>
      </c>
      <c r="D7524">
        <v>5.7546679999999997</v>
      </c>
      <c r="E7524">
        <v>0.61148449999999999</v>
      </c>
      <c r="F7524" t="s">
        <v>41</v>
      </c>
      <c r="G7524">
        <v>-165.20910000000001</v>
      </c>
      <c r="H7524" s="1">
        <v>-2.9080189999999998E-6</v>
      </c>
      <c r="I7524">
        <v>135.87950000000001</v>
      </c>
      <c r="J7524">
        <v>-185.21950000000001</v>
      </c>
      <c r="K7524">
        <v>1.1173109999999999</v>
      </c>
      <c r="L7524">
        <v>128.262</v>
      </c>
      <c r="M7524">
        <v>0.3204303</v>
      </c>
      <c r="N7524">
        <v>-9.1907729999999993E-3</v>
      </c>
      <c r="O7524">
        <v>0.9472275</v>
      </c>
      <c r="P7524">
        <v>0.79415100000000005</v>
      </c>
      <c r="Q7524">
        <v>-7.9603999999999994E-2</v>
      </c>
      <c r="R7524">
        <v>0.60248449999999998</v>
      </c>
      <c r="S7524">
        <v>2.916077</v>
      </c>
      <c r="T7524">
        <v>-0.16229199999999999</v>
      </c>
      <c r="U7524">
        <v>1.133194</v>
      </c>
      <c r="V7524">
        <v>0.55863529999999995</v>
      </c>
      <c r="W7524">
        <v>-7.6352970000000006E-2</v>
      </c>
      <c r="X7524">
        <v>0.82589159999999995</v>
      </c>
      <c r="Y7524">
        <v>0.76558760000000003</v>
      </c>
      <c r="Z7524">
        <v>-4.9500349999999999E-2</v>
      </c>
      <c r="AA7524">
        <v>0.64142449999999995</v>
      </c>
      <c r="AB7524">
        <v>20</v>
      </c>
      <c r="AC7524">
        <v>20.010400000000001</v>
      </c>
      <c r="AD7524">
        <v>-1.117313908019</v>
      </c>
      <c r="AE7524">
        <v>7.6174999999999997</v>
      </c>
      <c r="AF7524">
        <v>16.469373022298399</v>
      </c>
      <c r="AG7524">
        <v>-1.117313908019</v>
      </c>
      <c r="AH7524">
        <v>13.591009805898</v>
      </c>
      <c r="AI7524">
        <v>92.995301719488893</v>
      </c>
      <c r="AJ7524">
        <v>39.530448989618797</v>
      </c>
      <c r="AK7524">
        <v>21.382333494281699</v>
      </c>
      <c r="AL7524">
        <v>94.378964473885105</v>
      </c>
      <c r="AM7524">
        <v>55.925473740120097</v>
      </c>
      <c r="AN7524">
        <v>1.0000000546922301</v>
      </c>
    </row>
    <row r="7525" spans="1:40" x14ac:dyDescent="0.25">
      <c r="A7525" t="str">
        <f>"20190303154711180"</f>
        <v>20190303154711180</v>
      </c>
      <c r="B7525" t="str">
        <f>"1551599231169525"</f>
        <v>1551599231169525</v>
      </c>
      <c r="C7525" t="s">
        <v>40</v>
      </c>
      <c r="D7525">
        <v>5.7678029999999998</v>
      </c>
      <c r="E7525">
        <v>0.61095790000000005</v>
      </c>
      <c r="F7525" t="s">
        <v>41</v>
      </c>
      <c r="G7525">
        <v>-165.46619999999999</v>
      </c>
      <c r="H7525" s="1">
        <v>-2.8181659999999999E-6</v>
      </c>
      <c r="I7525">
        <v>135.70089999999999</v>
      </c>
      <c r="J7525">
        <v>-185.17679999999999</v>
      </c>
      <c r="K7525">
        <v>1.1172280000000001</v>
      </c>
      <c r="L7525">
        <v>128.37629999999999</v>
      </c>
      <c r="M7525">
        <v>0.32378439999999997</v>
      </c>
      <c r="N7525">
        <v>-9.0950730000000004E-3</v>
      </c>
      <c r="O7525">
        <v>0.94608720000000002</v>
      </c>
      <c r="P7525">
        <v>0.79815000000000003</v>
      </c>
      <c r="Q7525">
        <v>-7.9251390000000005E-2</v>
      </c>
      <c r="R7525">
        <v>0.59722350000000002</v>
      </c>
      <c r="S7525">
        <v>2.925262</v>
      </c>
      <c r="T7525">
        <v>-0.16546269999999999</v>
      </c>
      <c r="U7525">
        <v>1.1016239999999999</v>
      </c>
      <c r="V7525">
        <v>0.56118269999999904</v>
      </c>
      <c r="W7525">
        <v>-7.6223399999999997E-2</v>
      </c>
      <c r="X7525">
        <v>0.82417479999999999</v>
      </c>
      <c r="Y7525">
        <v>0.76995009999999997</v>
      </c>
      <c r="Z7525">
        <v>-5.0865540000000001E-2</v>
      </c>
      <c r="AA7525">
        <v>0.63607349999999996</v>
      </c>
      <c r="AB7525">
        <v>20</v>
      </c>
      <c r="AC7525">
        <v>19.710599999999999</v>
      </c>
      <c r="AD7525">
        <v>-1.117230818166</v>
      </c>
      <c r="AE7525">
        <v>7.3246000000000002</v>
      </c>
      <c r="AF7525">
        <v>16.231207512141001</v>
      </c>
      <c r="AG7525">
        <v>-1.117230818166</v>
      </c>
      <c r="AH7525">
        <v>13.274770889233301</v>
      </c>
      <c r="AI7525">
        <v>93.049936784656097</v>
      </c>
      <c r="AJ7525">
        <v>39.278181379362699</v>
      </c>
      <c r="AK7525">
        <v>20.9980914410067</v>
      </c>
      <c r="AL7525">
        <v>94.371518916387103</v>
      </c>
      <c r="AM7525">
        <v>55.7489525374721</v>
      </c>
      <c r="AN7525">
        <v>1.00000006522094</v>
      </c>
    </row>
    <row r="7526" spans="1:40" x14ac:dyDescent="0.25">
      <c r="A7526" t="str">
        <f>"20190303154711192"</f>
        <v>20190303154711192</v>
      </c>
      <c r="B7526" t="str">
        <f>"1551599231189046"</f>
        <v>1551599231189046</v>
      </c>
      <c r="C7526" t="s">
        <v>40</v>
      </c>
      <c r="D7526">
        <v>5.77569</v>
      </c>
      <c r="E7526">
        <v>0.60990149999999999</v>
      </c>
      <c r="F7526" t="s">
        <v>41</v>
      </c>
      <c r="G7526">
        <v>-165.5256</v>
      </c>
      <c r="H7526" s="1">
        <v>-2.7978569999999998E-6</v>
      </c>
      <c r="I7526">
        <v>135.65700000000001</v>
      </c>
      <c r="J7526">
        <v>-185.13339999999999</v>
      </c>
      <c r="K7526">
        <v>1.1171439999999999</v>
      </c>
      <c r="L7526">
        <v>128.4906</v>
      </c>
      <c r="M7526">
        <v>0.32721909999999998</v>
      </c>
      <c r="N7526">
        <v>-9.0104569999999995E-3</v>
      </c>
      <c r="O7526">
        <v>0.94490560000000001</v>
      </c>
      <c r="P7526">
        <v>0.80191859999999904</v>
      </c>
      <c r="Q7526">
        <v>-7.8684899999999905E-2</v>
      </c>
      <c r="R7526">
        <v>0.59222919999999901</v>
      </c>
      <c r="S7526">
        <v>2.929916</v>
      </c>
      <c r="T7526">
        <v>-0.16657469999999999</v>
      </c>
      <c r="U7526">
        <v>1.085526</v>
      </c>
      <c r="V7526">
        <v>0.56337289999999995</v>
      </c>
      <c r="W7526">
        <v>-7.5860979999999995E-2</v>
      </c>
      <c r="X7526">
        <v>0.82271269999999996</v>
      </c>
      <c r="Y7526">
        <v>0.77101090000000005</v>
      </c>
      <c r="Z7526">
        <v>-5.1415250000000003E-2</v>
      </c>
      <c r="AA7526">
        <v>0.63474299999999995</v>
      </c>
      <c r="AB7526">
        <v>20</v>
      </c>
      <c r="AC7526">
        <v>19.607800000000001</v>
      </c>
      <c r="AD7526">
        <v>-1.117146797857</v>
      </c>
      <c r="AE7526">
        <v>7.1664000000000003</v>
      </c>
      <c r="AF7526">
        <v>16.136983405507198</v>
      </c>
      <c r="AG7526">
        <v>-1.117146797857</v>
      </c>
      <c r="AH7526">
        <v>13.1504951639381</v>
      </c>
      <c r="AI7526">
        <v>93.071872651238905</v>
      </c>
      <c r="AJ7526">
        <v>39.177588370600297</v>
      </c>
      <c r="AK7526">
        <v>20.846720928106102</v>
      </c>
      <c r="AL7526">
        <v>94.350693550761406</v>
      </c>
      <c r="AM7526">
        <v>55.5976408920626</v>
      </c>
      <c r="AN7526">
        <v>1.0000000497411199</v>
      </c>
    </row>
    <row r="7527" spans="1:40" x14ac:dyDescent="0.25">
      <c r="A7527" t="str">
        <f>"20190303154711211"</f>
        <v>20190303154711211</v>
      </c>
      <c r="B7527" t="str">
        <f>"1551599231199780"</f>
        <v>1551599231199780</v>
      </c>
      <c r="C7527" t="s">
        <v>40</v>
      </c>
      <c r="D7527">
        <v>5.8752409999999999</v>
      </c>
      <c r="E7527">
        <v>0.60937509999999995</v>
      </c>
      <c r="F7527" t="s">
        <v>41</v>
      </c>
      <c r="G7527">
        <v>-165.7062</v>
      </c>
      <c r="H7527" s="1">
        <v>-2.7213460000000001E-6</v>
      </c>
      <c r="I7527">
        <v>135.60720000000001</v>
      </c>
      <c r="J7527">
        <v>-185.0761</v>
      </c>
      <c r="K7527">
        <v>1.117043</v>
      </c>
      <c r="L7527">
        <v>128.6396</v>
      </c>
      <c r="M7527">
        <v>0.33177689999999999</v>
      </c>
      <c r="N7527">
        <v>-8.909943E-3</v>
      </c>
      <c r="O7527">
        <v>0.94331580000000004</v>
      </c>
      <c r="P7527">
        <v>0.80748120000000001</v>
      </c>
      <c r="Q7527">
        <v>-7.8115820000000002E-2</v>
      </c>
      <c r="R7527">
        <v>0.58469819999999995</v>
      </c>
      <c r="S7527">
        <v>2.9314420000000001</v>
      </c>
      <c r="T7527">
        <v>-0.16857049999999901</v>
      </c>
      <c r="U7527">
        <v>1.0738369999999999</v>
      </c>
      <c r="V7527">
        <v>0.56712940000000001</v>
      </c>
      <c r="W7527">
        <v>-7.5567510000000004E-2</v>
      </c>
      <c r="X7527">
        <v>0.82015469999999902</v>
      </c>
      <c r="Y7527">
        <v>0.77023619999999904</v>
      </c>
      <c r="Z7527">
        <v>-5.2292119999999997E-2</v>
      </c>
      <c r="AA7527">
        <v>0.63561140000000005</v>
      </c>
      <c r="AB7527">
        <v>20</v>
      </c>
      <c r="AC7527">
        <v>19.369900000000001</v>
      </c>
      <c r="AD7527">
        <v>-1.1170457213459899</v>
      </c>
      <c r="AE7527">
        <v>6.9676</v>
      </c>
      <c r="AF7527">
        <v>15.9140154686963</v>
      </c>
      <c r="AG7527">
        <v>-1.1170457213459899</v>
      </c>
      <c r="AH7527">
        <v>12.961480824282001</v>
      </c>
      <c r="AI7527">
        <v>93.115245967033502</v>
      </c>
      <c r="AJ7527">
        <v>39.161766641757197</v>
      </c>
      <c r="AK7527">
        <v>20.5548939340419</v>
      </c>
      <c r="AL7527">
        <v>94.333830907952603</v>
      </c>
      <c r="AM7527">
        <v>55.336499795981297</v>
      </c>
      <c r="AN7527">
        <v>0.99999996842202399</v>
      </c>
    </row>
    <row r="7528" spans="1:40" x14ac:dyDescent="0.25">
      <c r="A7528" t="str">
        <f>"20190303154711233"</f>
        <v>20190303154711233</v>
      </c>
      <c r="B7528" t="str">
        <f>"1551599231229061"</f>
        <v>1551599231229061</v>
      </c>
      <c r="C7528" t="s">
        <v>40</v>
      </c>
      <c r="D7528">
        <v>5.6457110000000004</v>
      </c>
      <c r="E7528">
        <v>0.60761980000000004</v>
      </c>
      <c r="F7528" t="s">
        <v>41</v>
      </c>
      <c r="G7528">
        <v>-165.72659999999999</v>
      </c>
      <c r="H7528" s="1">
        <v>-2.7218069999999999E-6</v>
      </c>
      <c r="I7528">
        <v>135.55019999999999</v>
      </c>
      <c r="J7528">
        <v>-185.0017</v>
      </c>
      <c r="K7528">
        <v>1.1169150000000001</v>
      </c>
      <c r="L7528">
        <v>128.8295</v>
      </c>
      <c r="M7528">
        <v>0.33775559999999899</v>
      </c>
      <c r="N7528">
        <v>-8.8001039999999996E-3</v>
      </c>
      <c r="O7528">
        <v>0.94119269999999999</v>
      </c>
      <c r="P7528">
        <v>0.8137143</v>
      </c>
      <c r="Q7528">
        <v>-7.7604409999999999E-2</v>
      </c>
      <c r="R7528">
        <v>0.57606139999999995</v>
      </c>
      <c r="S7528">
        <v>2.938828</v>
      </c>
      <c r="T7528">
        <v>-0.16965839999999999</v>
      </c>
      <c r="U7528">
        <v>1.0495909999999999</v>
      </c>
      <c r="V7528">
        <v>0.57068099999999999</v>
      </c>
      <c r="W7528">
        <v>-7.5385640000000004E-2</v>
      </c>
      <c r="X7528">
        <v>0.81770430000000005</v>
      </c>
      <c r="Y7528">
        <v>0.77132349999999905</v>
      </c>
      <c r="Z7528">
        <v>-5.2888869999999998E-2</v>
      </c>
      <c r="AA7528">
        <v>0.63424190000000003</v>
      </c>
      <c r="AB7528">
        <v>20</v>
      </c>
      <c r="AC7528">
        <v>19.275099999999998</v>
      </c>
      <c r="AD7528">
        <v>-1.1169177218070001</v>
      </c>
      <c r="AE7528">
        <v>6.7206999999999901</v>
      </c>
      <c r="AF7528">
        <v>15.8248676946299</v>
      </c>
      <c r="AG7528">
        <v>-1.1169177218070001</v>
      </c>
      <c r="AH7528">
        <v>12.797929532157299</v>
      </c>
      <c r="AI7528">
        <v>93.141205110939694</v>
      </c>
      <c r="AJ7528">
        <v>38.963253998053098</v>
      </c>
      <c r="AK7528">
        <v>20.382859050189499</v>
      </c>
      <c r="AL7528">
        <v>94.323380317565196</v>
      </c>
      <c r="AM7528">
        <v>55.088568376844897</v>
      </c>
      <c r="AN7528">
        <v>1.0000000603588399</v>
      </c>
    </row>
    <row r="7529" spans="1:40" x14ac:dyDescent="0.25">
      <c r="A7529" t="str">
        <f>"20190303154711247"</f>
        <v>20190303154711247</v>
      </c>
      <c r="B7529" t="str">
        <f>"1551599231239797"</f>
        <v>1551599231239797</v>
      </c>
      <c r="C7529" t="s">
        <v>40</v>
      </c>
      <c r="D7529">
        <v>5.7652679999999998</v>
      </c>
      <c r="E7529">
        <v>0.60761980000000004</v>
      </c>
      <c r="F7529" t="s">
        <v>41</v>
      </c>
      <c r="G7529">
        <v>-165.9512</v>
      </c>
      <c r="H7529" s="1">
        <v>-2.6352269999999999E-6</v>
      </c>
      <c r="I7529">
        <v>135.49639999999999</v>
      </c>
      <c r="J7529">
        <v>-184.952</v>
      </c>
      <c r="K7529">
        <v>1.116819</v>
      </c>
      <c r="L7529">
        <v>128.95410000000001</v>
      </c>
      <c r="M7529">
        <v>0.34178029999999998</v>
      </c>
      <c r="N7529">
        <v>-8.7382980000000002E-3</v>
      </c>
      <c r="O7529">
        <v>0.93973930000000006</v>
      </c>
      <c r="P7529">
        <v>0.81718329999999995</v>
      </c>
      <c r="Q7529">
        <v>-7.767048E-2</v>
      </c>
      <c r="R7529">
        <v>0.57112079999999998</v>
      </c>
      <c r="S7529">
        <v>2.9415740000000001</v>
      </c>
      <c r="T7529">
        <v>-0.17246249999999999</v>
      </c>
      <c r="U7529">
        <v>1.029434</v>
      </c>
      <c r="V7529">
        <v>0.57211000000000001</v>
      </c>
      <c r="W7529">
        <v>-7.5651199999999905E-2</v>
      </c>
      <c r="X7529">
        <v>0.81668050000000003</v>
      </c>
      <c r="Y7529">
        <v>0.77259350000000004</v>
      </c>
      <c r="Z7529">
        <v>-5.4084239999999999E-2</v>
      </c>
      <c r="AA7529">
        <v>0.63259330000000003</v>
      </c>
      <c r="AB7529">
        <v>20</v>
      </c>
      <c r="AC7529">
        <v>19.000800000000002</v>
      </c>
      <c r="AD7529">
        <v>-1.116821635227</v>
      </c>
      <c r="AE7529">
        <v>6.5422999999999796</v>
      </c>
      <c r="AF7529">
        <v>15.572267888175899</v>
      </c>
      <c r="AG7529">
        <v>-1.116821635227</v>
      </c>
      <c r="AH7529">
        <v>12.603709433692</v>
      </c>
      <c r="AI7529">
        <v>93.190774119089198</v>
      </c>
      <c r="AJ7529">
        <v>38.985631991754197</v>
      </c>
      <c r="AK7529">
        <v>20.064802745976898</v>
      </c>
      <c r="AL7529">
        <v>94.338639630222701</v>
      </c>
      <c r="AM7529">
        <v>54.987566408980101</v>
      </c>
      <c r="AN7529">
        <v>0.99999999762084402</v>
      </c>
    </row>
    <row r="7530" spans="1:40" x14ac:dyDescent="0.25">
      <c r="A7530" t="str">
        <f>"20190303154711260"</f>
        <v>20190303154711260</v>
      </c>
      <c r="B7530" t="str">
        <f>"1551599231249557"</f>
        <v>1551599231249557</v>
      </c>
      <c r="C7530" t="s">
        <v>40</v>
      </c>
      <c r="D7530">
        <v>5.75143</v>
      </c>
      <c r="E7530">
        <v>0.55898239999999999</v>
      </c>
      <c r="F7530" t="s">
        <v>41</v>
      </c>
      <c r="G7530">
        <v>-165.89609999999999</v>
      </c>
      <c r="H7530" s="1">
        <v>-2.657162E-6</v>
      </c>
      <c r="I7530">
        <v>135.49350000000001</v>
      </c>
      <c r="J7530">
        <v>-184.9066</v>
      </c>
      <c r="K7530">
        <v>1.1167279999999999</v>
      </c>
      <c r="L7530">
        <v>129.0668</v>
      </c>
      <c r="M7530">
        <v>0.34547529999999999</v>
      </c>
      <c r="N7530">
        <v>-8.6874789999999997E-3</v>
      </c>
      <c r="O7530">
        <v>0.93838759999999999</v>
      </c>
      <c r="P7530">
        <v>0.82039889999999904</v>
      </c>
      <c r="Q7530">
        <v>-7.8176259999999997E-2</v>
      </c>
      <c r="R7530">
        <v>0.56642250000000005</v>
      </c>
      <c r="S7530">
        <v>2.9477540000000002</v>
      </c>
      <c r="T7530">
        <v>-0.17276050000000001</v>
      </c>
      <c r="U7530">
        <v>1.0115809999999901</v>
      </c>
      <c r="V7530">
        <v>0.573515</v>
      </c>
      <c r="W7530">
        <v>-7.6337100000000005E-2</v>
      </c>
      <c r="X7530">
        <v>0.81563059999999998</v>
      </c>
      <c r="Y7530">
        <v>0.77392359999999905</v>
      </c>
      <c r="Z7530">
        <v>-5.4306439999999997E-2</v>
      </c>
      <c r="AA7530">
        <v>0.63094619999999901</v>
      </c>
      <c r="AB7530">
        <v>20</v>
      </c>
      <c r="AC7530">
        <v>19.0105</v>
      </c>
      <c r="AD7530">
        <v>-1.1167306571619999</v>
      </c>
      <c r="AE7530">
        <v>6.4267000000000101</v>
      </c>
      <c r="AF7530">
        <v>15.5713199305772</v>
      </c>
      <c r="AG7530">
        <v>-1.1167306571619999</v>
      </c>
      <c r="AH7530">
        <v>12.5599738190104</v>
      </c>
      <c r="AI7530">
        <v>93.195006659888605</v>
      </c>
      <c r="AJ7530">
        <v>38.889975681045001</v>
      </c>
      <c r="AK7530">
        <v>20.036617331158102</v>
      </c>
      <c r="AL7530">
        <v>94.378052584658406</v>
      </c>
      <c r="AM7530">
        <v>54.886826132278799</v>
      </c>
      <c r="AN7530">
        <v>1.0000000418588799</v>
      </c>
    </row>
    <row r="7531" spans="1:40" x14ac:dyDescent="0.25">
      <c r="A7531" t="str">
        <f>"20190303154711273"</f>
        <v>20190303154711273</v>
      </c>
      <c r="B7531" t="str">
        <f>"1551599231269492"</f>
        <v>1551599231269492</v>
      </c>
      <c r="C7531" t="s">
        <v>40</v>
      </c>
      <c r="D7531">
        <v>5.7464069999999996</v>
      </c>
      <c r="E7531">
        <v>0.55819079999999999</v>
      </c>
      <c r="F7531" t="s">
        <v>61</v>
      </c>
      <c r="G7531">
        <v>-175.74959999999999</v>
      </c>
      <c r="H7531" s="1">
        <v>-4.0245000000000002E-6</v>
      </c>
      <c r="I7531">
        <v>133.4718</v>
      </c>
      <c r="J7531">
        <v>-184.86320000000001</v>
      </c>
      <c r="K7531">
        <v>1.116638</v>
      </c>
      <c r="L7531">
        <v>129.17240000000001</v>
      </c>
      <c r="M7531">
        <v>0.34903190000000001</v>
      </c>
      <c r="N7531">
        <v>-8.6403680000000007E-3</v>
      </c>
      <c r="O7531">
        <v>0.93707099999999999</v>
      </c>
      <c r="P7531">
        <v>0.8233492</v>
      </c>
      <c r="Q7531">
        <v>-7.9115199999999997E-2</v>
      </c>
      <c r="R7531">
        <v>0.56199370000000004</v>
      </c>
      <c r="S7531">
        <v>2.721298</v>
      </c>
      <c r="T7531">
        <v>-0.33187250000000001</v>
      </c>
      <c r="U7531">
        <v>1.3090820000000001</v>
      </c>
      <c r="V7531">
        <v>0.57470639999999995</v>
      </c>
      <c r="W7531">
        <v>-7.7448149999999993E-2</v>
      </c>
      <c r="X7531">
        <v>0.81468669999999899</v>
      </c>
      <c r="Y7531">
        <v>0.68724549999999995</v>
      </c>
      <c r="Z7531">
        <v>-0.1108353</v>
      </c>
      <c r="AA7531">
        <v>0.71792</v>
      </c>
      <c r="AB7531">
        <v>20</v>
      </c>
      <c r="AC7531">
        <v>9.1136000000000195</v>
      </c>
      <c r="AD7531">
        <v>-1.1166420244999999</v>
      </c>
      <c r="AE7531">
        <v>4.2993999999999897</v>
      </c>
      <c r="AF7531">
        <v>6.9543298236579298</v>
      </c>
      <c r="AG7531">
        <v>-1.1166420244999999</v>
      </c>
      <c r="AH7531">
        <v>7.1225877304450496</v>
      </c>
      <c r="AI7531">
        <v>96.400314356813894</v>
      </c>
      <c r="AJ7531">
        <v>45.684809641400797</v>
      </c>
      <c r="AK7531">
        <v>10.0170279367177</v>
      </c>
      <c r="AL7531">
        <v>94.441900094780294</v>
      </c>
      <c r="AM7531">
        <v>54.799617181971399</v>
      </c>
      <c r="AN7531">
        <v>1.00000004064813</v>
      </c>
    </row>
    <row r="7532" spans="1:40" x14ac:dyDescent="0.25">
      <c r="A7532" t="str">
        <f>"20190303154711289"</f>
        <v>20190303154711289</v>
      </c>
      <c r="B7532" t="str">
        <f>"1551599231279252"</f>
        <v>1551599231279252</v>
      </c>
      <c r="C7532" t="s">
        <v>40</v>
      </c>
      <c r="D7532">
        <v>5.9763609999999998</v>
      </c>
      <c r="E7532">
        <v>0.55724379999999996</v>
      </c>
      <c r="F7532" t="s">
        <v>61</v>
      </c>
      <c r="G7532">
        <v>-176.08150000000001</v>
      </c>
      <c r="H7532" s="1">
        <v>-4.2090400000000001E-6</v>
      </c>
      <c r="I7532">
        <v>133.36150000000001</v>
      </c>
      <c r="J7532">
        <v>-184.80879999999999</v>
      </c>
      <c r="K7532">
        <v>1.116511</v>
      </c>
      <c r="L7532">
        <v>129.30350000000001</v>
      </c>
      <c r="M7532">
        <v>0.35351539999999998</v>
      </c>
      <c r="N7532">
        <v>-8.5781929999999996E-3</v>
      </c>
      <c r="O7532">
        <v>0.93538929999999998</v>
      </c>
      <c r="P7532">
        <v>0.8273644</v>
      </c>
      <c r="Q7532">
        <v>-8.0226350000000002E-2</v>
      </c>
      <c r="R7532">
        <v>0.55590640000000002</v>
      </c>
      <c r="S7532">
        <v>2.7235870000000002</v>
      </c>
      <c r="T7532">
        <v>-0.34631840000000003</v>
      </c>
      <c r="U7532">
        <v>1.29921</v>
      </c>
      <c r="V7532">
        <v>0.57667809999999997</v>
      </c>
      <c r="W7532">
        <v>-7.8790289999999999E-2</v>
      </c>
      <c r="X7532">
        <v>0.81316330000000003</v>
      </c>
      <c r="Y7532">
        <v>0.68558140000000001</v>
      </c>
      <c r="Z7532">
        <v>-0.1160339</v>
      </c>
      <c r="AA7532">
        <v>0.71868929999999998</v>
      </c>
      <c r="AB7532">
        <v>20</v>
      </c>
      <c r="AC7532">
        <v>8.7272999999999801</v>
      </c>
      <c r="AD7532">
        <v>-1.1165152090399999</v>
      </c>
      <c r="AE7532">
        <v>4.0579999999999901</v>
      </c>
      <c r="AF7532">
        <v>6.6397514230274197</v>
      </c>
      <c r="AG7532">
        <v>-1.1165152090399999</v>
      </c>
      <c r="AH7532">
        <v>6.7899232868724004</v>
      </c>
      <c r="AI7532">
        <v>96.705336240256202</v>
      </c>
      <c r="AJ7532">
        <v>45.640660000437002</v>
      </c>
      <c r="AK7532">
        <v>9.5622154029923703</v>
      </c>
      <c r="AL7532">
        <v>94.519034749639104</v>
      </c>
      <c r="AM7532">
        <v>54.656545745504403</v>
      </c>
      <c r="AN7532">
        <v>1.00000004664239</v>
      </c>
    </row>
    <row r="7533" spans="1:40" x14ac:dyDescent="0.25">
      <c r="A7533" t="str">
        <f>"20190303154711303"</f>
        <v>20190303154711303</v>
      </c>
      <c r="B7533" t="str">
        <f>"1551599231299748"</f>
        <v>1551599231299748</v>
      </c>
      <c r="C7533" t="s">
        <v>40</v>
      </c>
      <c r="D7533">
        <v>5.521617</v>
      </c>
      <c r="E7533">
        <v>0.55611659999999996</v>
      </c>
      <c r="F7533" t="s">
        <v>61</v>
      </c>
      <c r="G7533">
        <v>-176.3905</v>
      </c>
      <c r="H7533" s="1">
        <v>-4.3848339999999996E-6</v>
      </c>
      <c r="I7533">
        <v>133.26929999999999</v>
      </c>
      <c r="J7533">
        <v>-184.7569</v>
      </c>
      <c r="K7533">
        <v>1.1163920000000001</v>
      </c>
      <c r="L7533">
        <v>129.42679999999999</v>
      </c>
      <c r="M7533">
        <v>0.35781629999999998</v>
      </c>
      <c r="N7533">
        <v>-8.5156260000000001E-3</v>
      </c>
      <c r="O7533">
        <v>0.9337531</v>
      </c>
      <c r="P7533">
        <v>0.83155020000000002</v>
      </c>
      <c r="Q7533">
        <v>-8.0770819999999993E-2</v>
      </c>
      <c r="R7533">
        <v>0.54954550000000002</v>
      </c>
      <c r="S7533">
        <v>2.7275239999999998</v>
      </c>
      <c r="T7533">
        <v>-0.36175079999999998</v>
      </c>
      <c r="U7533">
        <v>1.2849269999999999</v>
      </c>
      <c r="V7533">
        <v>0.57909180000000005</v>
      </c>
      <c r="W7533">
        <v>-7.9571489999999995E-2</v>
      </c>
      <c r="X7533">
        <v>0.81136989999999998</v>
      </c>
      <c r="Y7533">
        <v>0.6850986</v>
      </c>
      <c r="Z7533">
        <v>-0.1216295</v>
      </c>
      <c r="AA7533">
        <v>0.71822430000000004</v>
      </c>
      <c r="AB7533">
        <v>20</v>
      </c>
      <c r="AC7533">
        <v>8.3663999999999898</v>
      </c>
      <c r="AD7533">
        <v>-1.1163963848339999</v>
      </c>
      <c r="AE7533">
        <v>3.8424999999999998</v>
      </c>
      <c r="AF7533">
        <v>6.3441910112389497</v>
      </c>
      <c r="AG7533">
        <v>-1.1163963848339999</v>
      </c>
      <c r="AH7533">
        <v>6.4864423522191199</v>
      </c>
      <c r="AI7533">
        <v>97.014614642592406</v>
      </c>
      <c r="AJ7533">
        <v>45.635203837370803</v>
      </c>
      <c r="AK7533">
        <v>9.1416100804955303</v>
      </c>
      <c r="AL7533">
        <v>94.563935287351399</v>
      </c>
      <c r="AM7533">
        <v>54.483749705612297</v>
      </c>
      <c r="AN7533">
        <v>1.00000002473703</v>
      </c>
    </row>
    <row r="7534" spans="1:40" x14ac:dyDescent="0.25">
      <c r="A7534" t="str">
        <f>"20190303154711316"</f>
        <v>20190303154711316</v>
      </c>
      <c r="B7534" t="str">
        <f>"1551599231309508"</f>
        <v>1551599231309508</v>
      </c>
      <c r="C7534" t="s">
        <v>40</v>
      </c>
      <c r="D7534">
        <v>5.7781169999999999</v>
      </c>
      <c r="E7534">
        <v>0.55541549999999995</v>
      </c>
      <c r="F7534" t="s">
        <v>61</v>
      </c>
      <c r="G7534">
        <v>-175.46979999999999</v>
      </c>
      <c r="H7534" s="1">
        <v>-3.9385999999999999E-6</v>
      </c>
      <c r="I7534">
        <v>133.7484</v>
      </c>
      <c r="J7534">
        <v>-184.70570000000001</v>
      </c>
      <c r="K7534">
        <v>1.1162749999999999</v>
      </c>
      <c r="L7534">
        <v>129.5463</v>
      </c>
      <c r="M7534">
        <v>0.36208770000000001</v>
      </c>
      <c r="N7534">
        <v>-8.4521449999999995E-3</v>
      </c>
      <c r="O7534">
        <v>0.93210570000000004</v>
      </c>
      <c r="P7534">
        <v>0.83430490000000002</v>
      </c>
      <c r="Q7534">
        <v>-8.0068780000000006E-2</v>
      </c>
      <c r="R7534">
        <v>0.54545809999999995</v>
      </c>
      <c r="S7534">
        <v>2.7348020000000002</v>
      </c>
      <c r="T7534">
        <v>-0.32874920000000002</v>
      </c>
      <c r="U7534">
        <v>1.272583</v>
      </c>
      <c r="V7534">
        <v>0.57940800000000003</v>
      </c>
      <c r="W7534">
        <v>-7.9073589999999999E-2</v>
      </c>
      <c r="X7534">
        <v>0.81119280000000005</v>
      </c>
      <c r="Y7534">
        <v>0.68646169999999995</v>
      </c>
      <c r="Z7534">
        <v>-0.1101081</v>
      </c>
      <c r="AA7534">
        <v>0.71878129999999996</v>
      </c>
      <c r="AB7534">
        <v>20</v>
      </c>
      <c r="AC7534">
        <v>9.2359000000000098</v>
      </c>
      <c r="AD7534">
        <v>-1.1162789385999901</v>
      </c>
      <c r="AE7534">
        <v>4.2020999999999997</v>
      </c>
      <c r="AF7534">
        <v>7.0028073079732804</v>
      </c>
      <c r="AG7534">
        <v>-1.1162789385999901</v>
      </c>
      <c r="AH7534">
        <v>7.1744371851154103</v>
      </c>
      <c r="AI7534">
        <v>96.353332456931298</v>
      </c>
      <c r="AJ7534">
        <v>45.693589452656298</v>
      </c>
      <c r="AK7534">
        <v>10.087513954614</v>
      </c>
      <c r="AL7534">
        <v>94.535317607441399</v>
      </c>
      <c r="AM7534">
        <v>54.4630438013847</v>
      </c>
      <c r="AN7534">
        <v>1.0000000109356599</v>
      </c>
    </row>
    <row r="7535" spans="1:40" x14ac:dyDescent="0.25">
      <c r="A7535" t="str">
        <f>"20190303154711334"</f>
        <v>20190303154711334</v>
      </c>
      <c r="B7535" t="str">
        <f>"1551599231329028"</f>
        <v>1551599231329028</v>
      </c>
      <c r="C7535" t="s">
        <v>40</v>
      </c>
      <c r="D7535">
        <v>5.7535749999999997</v>
      </c>
      <c r="E7535">
        <v>0.55408679999999999</v>
      </c>
      <c r="F7535" t="s">
        <v>61</v>
      </c>
      <c r="G7535">
        <v>-175.65809999999999</v>
      </c>
      <c r="H7535" s="1">
        <v>-4.0574619999999999E-6</v>
      </c>
      <c r="I7535">
        <v>133.72319999999999</v>
      </c>
      <c r="J7535">
        <v>-184.64240000000001</v>
      </c>
      <c r="K7535">
        <v>1.1161350000000001</v>
      </c>
      <c r="L7535">
        <v>129.6918</v>
      </c>
      <c r="M7535">
        <v>0.36739919999999998</v>
      </c>
      <c r="N7535">
        <v>-8.3732589999999992E-3</v>
      </c>
      <c r="O7535">
        <v>0.93002569999999996</v>
      </c>
      <c r="P7535">
        <v>0.83779669999999895</v>
      </c>
      <c r="Q7535">
        <v>-7.8220970000000001E-2</v>
      </c>
      <c r="R7535">
        <v>0.54035010000000006</v>
      </c>
      <c r="S7535">
        <v>2.737244</v>
      </c>
      <c r="T7535">
        <v>-0.33771420000000002</v>
      </c>
      <c r="U7535">
        <v>1.2636719999999999</v>
      </c>
      <c r="V7535">
        <v>0.5798934</v>
      </c>
      <c r="W7535">
        <v>-7.7475589999999997E-2</v>
      </c>
      <c r="X7535">
        <v>0.81100019999999995</v>
      </c>
      <c r="Y7535">
        <v>0.68416160000000004</v>
      </c>
      <c r="Z7535">
        <v>-0.11334519999999999</v>
      </c>
      <c r="AA7535">
        <v>0.72046909999999997</v>
      </c>
      <c r="AB7535">
        <v>20</v>
      </c>
      <c r="AC7535">
        <v>8.9843000000000099</v>
      </c>
      <c r="AD7535">
        <v>-1.116139057462</v>
      </c>
      <c r="AE7535">
        <v>4.0313999999999899</v>
      </c>
      <c r="AF7535">
        <v>6.7875383163683498</v>
      </c>
      <c r="AG7535">
        <v>-1.116139057462</v>
      </c>
      <c r="AH7535">
        <v>6.96095013141273</v>
      </c>
      <c r="AI7535">
        <v>96.548915242466606</v>
      </c>
      <c r="AJ7535">
        <v>45.722642224168197</v>
      </c>
      <c r="AK7535">
        <v>9.7862796569368307</v>
      </c>
      <c r="AL7535">
        <v>94.443476883250696</v>
      </c>
      <c r="AM7535">
        <v>54.433911041590001</v>
      </c>
      <c r="AN7535">
        <v>1.0000000734047201</v>
      </c>
    </row>
    <row r="7536" spans="1:40" x14ac:dyDescent="0.25">
      <c r="A7536" t="str">
        <f>"20190303154711357"</f>
        <v>20190303154711357</v>
      </c>
      <c r="B7536" t="str">
        <f>"1551599231349524"</f>
        <v>1551599231349524</v>
      </c>
      <c r="C7536" t="s">
        <v>40</v>
      </c>
      <c r="D7536">
        <v>5.7356949999999998</v>
      </c>
      <c r="E7536">
        <v>0.5532009</v>
      </c>
      <c r="F7536" t="s">
        <v>61</v>
      </c>
      <c r="G7536">
        <v>-175.81020000000001</v>
      </c>
      <c r="H7536" s="1">
        <v>-4.1678549999999998E-6</v>
      </c>
      <c r="I7536">
        <v>133.7407</v>
      </c>
      <c r="J7536">
        <v>-184.5566</v>
      </c>
      <c r="K7536">
        <v>1.1159330000000001</v>
      </c>
      <c r="L7536">
        <v>129.8852</v>
      </c>
      <c r="M7536">
        <v>0.37464570000000003</v>
      </c>
      <c r="N7536">
        <v>-8.2678330000000005E-3</v>
      </c>
      <c r="O7536">
        <v>0.92713120000000004</v>
      </c>
      <c r="P7536">
        <v>0.84177999999999997</v>
      </c>
      <c r="Q7536">
        <v>-7.8515989999999994E-2</v>
      </c>
      <c r="R7536">
        <v>0.5340802</v>
      </c>
      <c r="S7536">
        <v>2.7387540000000001</v>
      </c>
      <c r="T7536">
        <v>-0.3460975</v>
      </c>
      <c r="U7536">
        <v>1.2555080000000001</v>
      </c>
      <c r="V7536">
        <v>0.5795574</v>
      </c>
      <c r="W7536">
        <v>-7.8095419999999999E-2</v>
      </c>
      <c r="X7536">
        <v>0.81118089999999998</v>
      </c>
      <c r="Y7536">
        <v>0.680087199999999</v>
      </c>
      <c r="Z7536">
        <v>-0.1163566</v>
      </c>
      <c r="AA7536">
        <v>0.72383869999999995</v>
      </c>
      <c r="AB7536">
        <v>21</v>
      </c>
      <c r="AC7536">
        <v>8.7463999999999906</v>
      </c>
      <c r="AD7536">
        <v>-1.1159371678550001</v>
      </c>
      <c r="AE7536">
        <v>3.8555000000000001</v>
      </c>
      <c r="AF7536">
        <v>6.5752199432037104</v>
      </c>
      <c r="AG7536">
        <v>-1.1159371678550001</v>
      </c>
      <c r="AH7536">
        <v>6.7594567981912101</v>
      </c>
      <c r="AI7536">
        <v>96.748982475815396</v>
      </c>
      <c r="AJ7536">
        <v>45.791569440920298</v>
      </c>
      <c r="AK7536">
        <v>9.49574058568985</v>
      </c>
      <c r="AL7536">
        <v>94.479098497752403</v>
      </c>
      <c r="AM7536">
        <v>54.455659343575903</v>
      </c>
      <c r="AN7536">
        <v>1.0000000635222701</v>
      </c>
    </row>
    <row r="7537" spans="1:40" x14ac:dyDescent="0.25">
      <c r="A7537" t="str">
        <f>"20190303154711377"</f>
        <v>20190303154711377</v>
      </c>
      <c r="B7537" t="str">
        <f>"1551599231369044"</f>
        <v>1551599231369044</v>
      </c>
      <c r="C7537" t="s">
        <v>40</v>
      </c>
      <c r="D7537">
        <v>5.7090809999999896</v>
      </c>
      <c r="E7537">
        <v>0.5526276</v>
      </c>
      <c r="F7537" t="s">
        <v>61</v>
      </c>
      <c r="G7537">
        <v>-175.89259999999999</v>
      </c>
      <c r="H7537" s="1">
        <v>-4.24764E-6</v>
      </c>
      <c r="I7537">
        <v>133.80269999999999</v>
      </c>
      <c r="J7537">
        <v>-184.4752</v>
      </c>
      <c r="K7537">
        <v>1.115739</v>
      </c>
      <c r="L7537">
        <v>130.06440000000001</v>
      </c>
      <c r="M7537">
        <v>0.38157869999999999</v>
      </c>
      <c r="N7537">
        <v>-8.1747529999999999E-3</v>
      </c>
      <c r="O7537">
        <v>0.92430020000000002</v>
      </c>
      <c r="P7537">
        <v>0.84541569999999899</v>
      </c>
      <c r="Q7537">
        <v>-8.1471399999999999E-2</v>
      </c>
      <c r="R7537">
        <v>0.52785890000000002</v>
      </c>
      <c r="S7537">
        <v>2.7437900000000002</v>
      </c>
      <c r="T7537">
        <v>-0.35340329999999998</v>
      </c>
      <c r="U7537">
        <v>1.240631</v>
      </c>
      <c r="V7537">
        <v>0.57913950000000003</v>
      </c>
      <c r="W7537">
        <v>-8.1358349999999996E-2</v>
      </c>
      <c r="X7537">
        <v>0.81115859999999995</v>
      </c>
      <c r="Y7537">
        <v>0.67808279999999999</v>
      </c>
      <c r="Z7537">
        <v>-0.119021</v>
      </c>
      <c r="AA7537">
        <v>0.72528459999999995</v>
      </c>
      <c r="AB7537">
        <v>21</v>
      </c>
      <c r="AC7537">
        <v>8.58260000000001</v>
      </c>
      <c r="AD7537">
        <v>-1.11574324764</v>
      </c>
      <c r="AE7537">
        <v>3.7382999999999802</v>
      </c>
      <c r="AF7537">
        <v>6.4155270333393704</v>
      </c>
      <c r="AG7537">
        <v>-1.11574324764</v>
      </c>
      <c r="AH7537">
        <v>6.6362052867120704</v>
      </c>
      <c r="AI7537">
        <v>96.892387678763299</v>
      </c>
      <c r="AJ7537">
        <v>45.968662823103799</v>
      </c>
      <c r="AK7537">
        <v>9.2974776535116099</v>
      </c>
      <c r="AL7537">
        <v>94.666647965445904</v>
      </c>
      <c r="AM7537">
        <v>54.474461246544998</v>
      </c>
      <c r="AN7537">
        <v>1.00000000796446</v>
      </c>
    </row>
    <row r="7538" spans="1:40" x14ac:dyDescent="0.25">
      <c r="A7538" t="str">
        <f>"20190303154711400"</f>
        <v>20190303154711400</v>
      </c>
      <c r="B7538" t="str">
        <f>"1551599231389540"</f>
        <v>1551599231389540</v>
      </c>
      <c r="C7538" t="s">
        <v>40</v>
      </c>
      <c r="D7538">
        <v>5.6963100000000004</v>
      </c>
      <c r="E7538">
        <v>0.55214200000000002</v>
      </c>
      <c r="F7538" t="s">
        <v>61</v>
      </c>
      <c r="G7538">
        <v>-176.1396</v>
      </c>
      <c r="H7538" s="1">
        <v>-4.4055219999999998E-6</v>
      </c>
      <c r="I7538">
        <v>133.7749</v>
      </c>
      <c r="J7538">
        <v>-184.38499999999999</v>
      </c>
      <c r="K7538">
        <v>1.115523</v>
      </c>
      <c r="L7538">
        <v>130.2585</v>
      </c>
      <c r="M7538">
        <v>0.38932509999999998</v>
      </c>
      <c r="N7538">
        <v>-8.0853419999999902E-3</v>
      </c>
      <c r="O7538">
        <v>0.92106489999999996</v>
      </c>
      <c r="P7538">
        <v>0.84983529999999996</v>
      </c>
      <c r="Q7538">
        <v>-8.4865850000000007E-2</v>
      </c>
      <c r="R7538">
        <v>0.52017100000000005</v>
      </c>
      <c r="S7538">
        <v>2.7490540000000001</v>
      </c>
      <c r="T7538">
        <v>-0.36796580000000001</v>
      </c>
      <c r="U7538">
        <v>1.223679</v>
      </c>
      <c r="V7538">
        <v>0.57930000000000004</v>
      </c>
      <c r="W7538">
        <v>-8.5102170000000005E-2</v>
      </c>
      <c r="X7538">
        <v>0.81065969999999998</v>
      </c>
      <c r="Y7538">
        <v>0.67558189999999996</v>
      </c>
      <c r="Z7538">
        <v>-0.124222</v>
      </c>
      <c r="AA7538">
        <v>0.72674479999999997</v>
      </c>
      <c r="AB7538">
        <v>21</v>
      </c>
      <c r="AC7538">
        <v>8.2453999999999894</v>
      </c>
      <c r="AD7538">
        <v>-1.1155274055219999</v>
      </c>
      <c r="AE7538">
        <v>3.5164</v>
      </c>
      <c r="AF7538">
        <v>6.13078235377428</v>
      </c>
      <c r="AG7538">
        <v>-1.1155274055219999</v>
      </c>
      <c r="AH7538">
        <v>6.35082985055395</v>
      </c>
      <c r="AI7538">
        <v>97.202505691904904</v>
      </c>
      <c r="AJ7538">
        <v>46.010004692997903</v>
      </c>
      <c r="AK7538">
        <v>8.8974116153242999</v>
      </c>
      <c r="AL7538">
        <v>94.881900022276497</v>
      </c>
      <c r="AM7538">
        <v>54.4502796312605</v>
      </c>
      <c r="AN7538">
        <v>1.0000000092713901</v>
      </c>
    </row>
    <row r="7539" spans="1:40" x14ac:dyDescent="0.25">
      <c r="A7539" t="str">
        <f>"20190303154711422"</f>
        <v>20190303154711422</v>
      </c>
      <c r="B7539" t="str">
        <f>"1551599231419796"</f>
        <v>1551599231419796</v>
      </c>
      <c r="C7539" t="s">
        <v>40</v>
      </c>
      <c r="D7539">
        <v>5.4575550000000002</v>
      </c>
      <c r="E7539">
        <v>0.55166389999999998</v>
      </c>
      <c r="F7539" t="s">
        <v>61</v>
      </c>
      <c r="G7539">
        <v>-176.39449999999999</v>
      </c>
      <c r="H7539" s="1">
        <v>-4.5667989999999998E-6</v>
      </c>
      <c r="I7539">
        <v>133.74160000000001</v>
      </c>
      <c r="J7539">
        <v>-184.29339999999999</v>
      </c>
      <c r="K7539">
        <v>1.1153010000000001</v>
      </c>
      <c r="L7539">
        <v>130.4504</v>
      </c>
      <c r="M7539">
        <v>0.39726610000000001</v>
      </c>
      <c r="N7539">
        <v>-8.0130740000000002E-3</v>
      </c>
      <c r="O7539">
        <v>0.9176685</v>
      </c>
      <c r="P7539">
        <v>0.85445280000000001</v>
      </c>
      <c r="Q7539">
        <v>-8.599424E-2</v>
      </c>
      <c r="R7539">
        <v>0.51236269999999995</v>
      </c>
      <c r="S7539">
        <v>2.7562709999999999</v>
      </c>
      <c r="T7539">
        <v>-0.38479259999999998</v>
      </c>
      <c r="U7539">
        <v>1.2014769999999999</v>
      </c>
      <c r="V7539">
        <v>0.57956490000000005</v>
      </c>
      <c r="W7539">
        <v>-8.6584430000000004E-2</v>
      </c>
      <c r="X7539">
        <v>0.81031330000000001</v>
      </c>
      <c r="Y7539">
        <v>0.67412229999999995</v>
      </c>
      <c r="Z7539">
        <v>-0.13023489999999999</v>
      </c>
      <c r="AA7539">
        <v>0.72704749999999996</v>
      </c>
      <c r="AB7539">
        <v>21</v>
      </c>
      <c r="AC7539">
        <v>7.8988999999999896</v>
      </c>
      <c r="AD7539">
        <v>-1.1153055667989999</v>
      </c>
      <c r="AE7539">
        <v>3.2911999999999999</v>
      </c>
      <c r="AF7539">
        <v>5.84203826687824</v>
      </c>
      <c r="AG7539">
        <v>-1.1153055667989999</v>
      </c>
      <c r="AH7539">
        <v>6.0555248581318502</v>
      </c>
      <c r="AI7539">
        <v>97.550561958127901</v>
      </c>
      <c r="AJ7539">
        <v>46.027989344607498</v>
      </c>
      <c r="AK7539">
        <v>8.48779705968842</v>
      </c>
      <c r="AL7539">
        <v>94.967142022774496</v>
      </c>
      <c r="AM7539">
        <v>54.426301493180098</v>
      </c>
      <c r="AN7539">
        <v>0.99999999049366195</v>
      </c>
    </row>
    <row r="7540" spans="1:40" x14ac:dyDescent="0.25">
      <c r="A7540" t="str">
        <f>"20190303154711446"</f>
        <v>20190303154711446</v>
      </c>
      <c r="B7540" t="str">
        <f>"1551599231439316"</f>
        <v>1551599231439316</v>
      </c>
      <c r="C7540" t="s">
        <v>40</v>
      </c>
      <c r="D7540">
        <v>5.6991759999999996</v>
      </c>
      <c r="E7540">
        <v>0.55132740000000002</v>
      </c>
      <c r="F7540" t="s">
        <v>61</v>
      </c>
      <c r="G7540">
        <v>-176.09440000000001</v>
      </c>
      <c r="H7540" s="1">
        <v>-4.4404330000000001E-6</v>
      </c>
      <c r="I7540">
        <v>133.94799999999901</v>
      </c>
      <c r="J7540">
        <v>-184.1952</v>
      </c>
      <c r="K7540">
        <v>1.1150659999999999</v>
      </c>
      <c r="L7540">
        <v>130.6507</v>
      </c>
      <c r="M7540">
        <v>0.4058621</v>
      </c>
      <c r="N7540">
        <v>-7.9541519999999904E-3</v>
      </c>
      <c r="O7540">
        <v>0.91389969999999998</v>
      </c>
      <c r="P7540">
        <v>0.85965429999999998</v>
      </c>
      <c r="Q7540">
        <v>-8.4069480000000002E-2</v>
      </c>
      <c r="R7540">
        <v>0.50391169999999996</v>
      </c>
      <c r="S7540">
        <v>2.765701</v>
      </c>
      <c r="T7540">
        <v>-0.37621719999999997</v>
      </c>
      <c r="U7540">
        <v>1.1798249999999999</v>
      </c>
      <c r="V7540">
        <v>0.58009980000000005</v>
      </c>
      <c r="W7540">
        <v>-8.5036589999999995E-2</v>
      </c>
      <c r="X7540">
        <v>0.81009449999999905</v>
      </c>
      <c r="Y7540">
        <v>0.67332829999999999</v>
      </c>
      <c r="Z7540">
        <v>-0.12724779999999999</v>
      </c>
      <c r="AA7540">
        <v>0.72831109999999999</v>
      </c>
      <c r="AB7540">
        <v>21</v>
      </c>
      <c r="AC7540">
        <v>8.1007999999999907</v>
      </c>
      <c r="AD7540">
        <v>-1.1150704404330001</v>
      </c>
      <c r="AE7540">
        <v>3.2972999999999701</v>
      </c>
      <c r="AF7540">
        <v>5.9682512454830796</v>
      </c>
      <c r="AG7540">
        <v>-1.1150704404330001</v>
      </c>
      <c r="AH7540">
        <v>6.2006212785176498</v>
      </c>
      <c r="AI7540">
        <v>97.382402905229299</v>
      </c>
      <c r="AJ7540">
        <v>46.093955440233799</v>
      </c>
      <c r="AK7540">
        <v>8.6781973505990102</v>
      </c>
      <c r="AL7540">
        <v>94.878128699302493</v>
      </c>
      <c r="AM7540">
        <v>54.393963659276601</v>
      </c>
      <c r="AN7540">
        <v>1.00000004926455</v>
      </c>
    </row>
    <row r="7541" spans="1:40" x14ac:dyDescent="0.25">
      <c r="A7541" t="str">
        <f>"20190303154711466"</f>
        <v>20190303154711466</v>
      </c>
      <c r="B7541" t="str">
        <f>"1551599231459812"</f>
        <v>1551599231459812</v>
      </c>
      <c r="C7541" t="s">
        <v>40</v>
      </c>
      <c r="D7541">
        <v>5.6494489999999997</v>
      </c>
      <c r="E7541">
        <v>0.55103150000000001</v>
      </c>
      <c r="F7541" t="s">
        <v>61</v>
      </c>
      <c r="G7541">
        <v>-175.93209999999999</v>
      </c>
      <c r="H7541" s="1">
        <v>-4.3825729999999997E-6</v>
      </c>
      <c r="I7541">
        <v>134.0873</v>
      </c>
      <c r="J7541">
        <v>-184.10679999999999</v>
      </c>
      <c r="K7541">
        <v>1.11487</v>
      </c>
      <c r="L7541">
        <v>130.82640000000001</v>
      </c>
      <c r="M7541">
        <v>0.41361350000000002</v>
      </c>
      <c r="N7541">
        <v>-7.9106750000000007E-3</v>
      </c>
      <c r="O7541">
        <v>0.91041819999999896</v>
      </c>
      <c r="P7541">
        <v>0.86458259999999898</v>
      </c>
      <c r="Q7541">
        <v>-8.159595E-2</v>
      </c>
      <c r="R7541">
        <v>0.49582169999999998</v>
      </c>
      <c r="S7541">
        <v>2.7763059999999999</v>
      </c>
      <c r="T7541">
        <v>-0.37465229999999999</v>
      </c>
      <c r="U7541">
        <v>1.1546780000000001</v>
      </c>
      <c r="V7541">
        <v>0.5810263</v>
      </c>
      <c r="W7541">
        <v>-8.288218E-2</v>
      </c>
      <c r="X7541">
        <v>0.80965359999999997</v>
      </c>
      <c r="Y7541">
        <v>0.67376320000000001</v>
      </c>
      <c r="Z7541">
        <v>-0.12674869999999999</v>
      </c>
      <c r="AA7541">
        <v>0.72799590000000003</v>
      </c>
      <c r="AB7541">
        <v>21</v>
      </c>
      <c r="AC7541">
        <v>8.1746999999999996</v>
      </c>
      <c r="AD7541">
        <v>-1.1148743825730001</v>
      </c>
      <c r="AE7541">
        <v>3.2608999999999901</v>
      </c>
      <c r="AF7541">
        <v>5.9975939742321902</v>
      </c>
      <c r="AG7541">
        <v>-1.1148743825730001</v>
      </c>
      <c r="AH7541">
        <v>6.2498596154158701</v>
      </c>
      <c r="AI7541">
        <v>97.334062223421796</v>
      </c>
      <c r="AJ7541">
        <v>46.179976960544003</v>
      </c>
      <c r="AK7541">
        <v>8.7335458767370096</v>
      </c>
      <c r="AL7541">
        <v>94.754253004857006</v>
      </c>
      <c r="AM7541">
        <v>54.335896450816897</v>
      </c>
      <c r="AN7541">
        <v>0.99999998452310102</v>
      </c>
    </row>
    <row r="7542" spans="1:40" x14ac:dyDescent="0.25">
      <c r="A7542" t="str">
        <f>"20190303154711489"</f>
        <v>20190303154711489</v>
      </c>
      <c r="B7542" t="str">
        <f>"1551599231479333"</f>
        <v>1551599231479333</v>
      </c>
      <c r="C7542" t="s">
        <v>40</v>
      </c>
      <c r="D7542">
        <v>5.6583379999999996</v>
      </c>
      <c r="E7542">
        <v>0.55081530000000001</v>
      </c>
      <c r="F7542" t="s">
        <v>61</v>
      </c>
      <c r="G7542">
        <v>-175.73349999999999</v>
      </c>
      <c r="H7542" s="1">
        <v>-4.2994470000000001E-6</v>
      </c>
      <c r="I7542">
        <v>134.2253</v>
      </c>
      <c r="J7542">
        <v>-184.0043</v>
      </c>
      <c r="K7542">
        <v>1.1146579999999999</v>
      </c>
      <c r="L7542">
        <v>131.0249</v>
      </c>
      <c r="M7542">
        <v>0.42262290000000002</v>
      </c>
      <c r="N7542">
        <v>-7.8711159999999992E-3</v>
      </c>
      <c r="O7542">
        <v>0.90627150000000001</v>
      </c>
      <c r="P7542">
        <v>0.86993220000000004</v>
      </c>
      <c r="Q7542">
        <v>-7.9519880000000001E-2</v>
      </c>
      <c r="R7542">
        <v>0.48671799999999998</v>
      </c>
      <c r="S7542">
        <v>2.7862550000000001</v>
      </c>
      <c r="T7542">
        <v>-0.37098039999999999</v>
      </c>
      <c r="U7542">
        <v>1.130981</v>
      </c>
      <c r="V7542">
        <v>0.58165599999999995</v>
      </c>
      <c r="W7542">
        <v>-8.114143E-2</v>
      </c>
      <c r="X7542">
        <v>0.80937780000000004</v>
      </c>
      <c r="Y7542">
        <v>0.67287059999999999</v>
      </c>
      <c r="Z7542">
        <v>-0.1254315</v>
      </c>
      <c r="AA7542">
        <v>0.72904880000000005</v>
      </c>
      <c r="AB7542">
        <v>21</v>
      </c>
      <c r="AC7542">
        <v>8.2707999999999995</v>
      </c>
      <c r="AD7542">
        <v>-1.1146622994469999</v>
      </c>
      <c r="AE7542">
        <v>3.2004000000000001</v>
      </c>
      <c r="AF7542">
        <v>6.0476782998929997</v>
      </c>
      <c r="AG7542">
        <v>-1.1146622994469999</v>
      </c>
      <c r="AH7542">
        <v>6.29658672435807</v>
      </c>
      <c r="AI7542">
        <v>97.275856971326903</v>
      </c>
      <c r="AJ7542">
        <v>46.1551493619193</v>
      </c>
      <c r="AK7542">
        <v>8.80135723841315</v>
      </c>
      <c r="AL7542">
        <v>94.654178040715294</v>
      </c>
      <c r="AM7542">
        <v>54.2972433449698</v>
      </c>
      <c r="AN7542">
        <v>1.0000000285656401</v>
      </c>
    </row>
    <row r="7543" spans="1:40" x14ac:dyDescent="0.25">
      <c r="A7543" t="str">
        <f>"20190303154711511"</f>
        <v>20190303154711511</v>
      </c>
      <c r="B7543" t="str">
        <f>"1551599231499828"</f>
        <v>1551599231499828</v>
      </c>
      <c r="C7543" t="s">
        <v>40</v>
      </c>
      <c r="D7543">
        <v>5.6400139999999999</v>
      </c>
      <c r="E7543">
        <v>0.550562</v>
      </c>
      <c r="F7543" t="s">
        <v>61</v>
      </c>
      <c r="G7543">
        <v>-175.5027</v>
      </c>
      <c r="H7543" s="1">
        <v>-4.1994879999999999E-6</v>
      </c>
      <c r="I7543">
        <v>134.3767</v>
      </c>
      <c r="J7543">
        <v>-183.90280000000001</v>
      </c>
      <c r="K7543">
        <v>1.114452</v>
      </c>
      <c r="L7543">
        <v>131.21629999999999</v>
      </c>
      <c r="M7543">
        <v>0.43157659999999998</v>
      </c>
      <c r="N7543">
        <v>-7.8444869999999903E-3</v>
      </c>
      <c r="O7543">
        <v>0.90204220000000002</v>
      </c>
      <c r="P7543">
        <v>0.87470389999999998</v>
      </c>
      <c r="Q7543">
        <v>-7.8545379999999998E-2</v>
      </c>
      <c r="R7543">
        <v>0.47825099999999998</v>
      </c>
      <c r="S7543">
        <v>2.7978670000000001</v>
      </c>
      <c r="T7543">
        <v>-0.3668344</v>
      </c>
      <c r="U7543">
        <v>1.103073</v>
      </c>
      <c r="V7543">
        <v>0.58155069999999998</v>
      </c>
      <c r="W7543">
        <v>-8.0471459999999995E-2</v>
      </c>
      <c r="X7543">
        <v>0.80952040000000003</v>
      </c>
      <c r="Y7543">
        <v>0.67310429999999999</v>
      </c>
      <c r="Z7543">
        <v>-0.1239666</v>
      </c>
      <c r="AA7543">
        <v>0.7290835</v>
      </c>
      <c r="AB7543">
        <v>21</v>
      </c>
      <c r="AC7543">
        <v>8.4001000000000001</v>
      </c>
      <c r="AD7543">
        <v>-1.114456199488</v>
      </c>
      <c r="AE7543">
        <v>3.1604000000000001</v>
      </c>
      <c r="AF7543">
        <v>6.1191290884692302</v>
      </c>
      <c r="AG7543">
        <v>-1.114456199488</v>
      </c>
      <c r="AH7543">
        <v>6.3779570237068501</v>
      </c>
      <c r="AI7543">
        <v>97.186425498536096</v>
      </c>
      <c r="AJ7543">
        <v>46.186486859744697</v>
      </c>
      <c r="AK7543">
        <v>8.9086524917172003</v>
      </c>
      <c r="AL7543">
        <v>94.615665428825096</v>
      </c>
      <c r="AM7543">
        <v>54.3069422000613</v>
      </c>
      <c r="AN7543">
        <v>1.00000007528058</v>
      </c>
    </row>
    <row r="7544" spans="1:40" x14ac:dyDescent="0.25">
      <c r="A7544" t="str">
        <f>"20190303154711535"</f>
        <v>20190303154711535</v>
      </c>
      <c r="B7544" t="str">
        <f>"1551599231529108"</f>
        <v>1551599231529108</v>
      </c>
      <c r="C7544" t="s">
        <v>40</v>
      </c>
      <c r="D7544">
        <v>5.5940699999999897</v>
      </c>
      <c r="E7544">
        <v>0.55047480000000004</v>
      </c>
      <c r="F7544" t="s">
        <v>61</v>
      </c>
      <c r="G7544">
        <v>-175.34360000000001</v>
      </c>
      <c r="H7544" s="1">
        <v>-4.1377880000000001E-6</v>
      </c>
      <c r="I7544">
        <v>134.5001</v>
      </c>
      <c r="J7544">
        <v>-183.7919</v>
      </c>
      <c r="K7544">
        <v>1.1142240000000001</v>
      </c>
      <c r="L7544">
        <v>131.41990000000001</v>
      </c>
      <c r="M7544">
        <v>0.44140770000000001</v>
      </c>
      <c r="N7544">
        <v>-7.8311739999999998E-3</v>
      </c>
      <c r="O7544">
        <v>0.89727250000000003</v>
      </c>
      <c r="P7544">
        <v>0.87978979999999996</v>
      </c>
      <c r="Q7544">
        <v>-7.8545000000000004E-2</v>
      </c>
      <c r="R7544">
        <v>0.4688292</v>
      </c>
      <c r="S7544">
        <v>2.8079070000000002</v>
      </c>
      <c r="T7544">
        <v>-0.36560330000000002</v>
      </c>
      <c r="U7544">
        <v>1.077286</v>
      </c>
      <c r="V7544">
        <v>0.58135459999999906</v>
      </c>
      <c r="W7544">
        <v>-8.079973E-2</v>
      </c>
      <c r="X7544">
        <v>0.80962849999999997</v>
      </c>
      <c r="Y7544">
        <v>0.67184540000000004</v>
      </c>
      <c r="Z7544">
        <v>-0.1234468</v>
      </c>
      <c r="AA7544">
        <v>0.73033190000000003</v>
      </c>
      <c r="AB7544">
        <v>21</v>
      </c>
      <c r="AC7544">
        <v>8.4482999999999802</v>
      </c>
      <c r="AD7544">
        <v>-1.1142281377879999</v>
      </c>
      <c r="AE7544">
        <v>3.0801999999999898</v>
      </c>
      <c r="AF7544">
        <v>6.1269243116668104</v>
      </c>
      <c r="AG7544">
        <v>-1.1142281377879999</v>
      </c>
      <c r="AH7544">
        <v>6.3949378730456203</v>
      </c>
      <c r="AI7544">
        <v>97.170798570520205</v>
      </c>
      <c r="AJ7544">
        <v>46.226151620719698</v>
      </c>
      <c r="AK7544">
        <v>8.9261378134132308</v>
      </c>
      <c r="AL7544">
        <v>94.6345355348884</v>
      </c>
      <c r="AM7544">
        <v>54.319722765158403</v>
      </c>
      <c r="AN7544">
        <v>1.0000000376607401</v>
      </c>
    </row>
    <row r="7545" spans="1:40" x14ac:dyDescent="0.25">
      <c r="A7545" t="str">
        <f>"20190303154711558"</f>
        <v>20190303154711558</v>
      </c>
      <c r="B7545" t="str">
        <f>"1551599231549605"</f>
        <v>1551599231549605</v>
      </c>
      <c r="C7545" t="s">
        <v>40</v>
      </c>
      <c r="D7545">
        <v>5.5314629999999996</v>
      </c>
      <c r="E7545">
        <v>0.55040009999999995</v>
      </c>
      <c r="F7545" t="s">
        <v>61</v>
      </c>
      <c r="G7545">
        <v>-175.1806</v>
      </c>
      <c r="H7545" s="1">
        <v>-4.0718900000000001E-6</v>
      </c>
      <c r="I7545">
        <v>134.61940000000001</v>
      </c>
      <c r="J7545">
        <v>-183.6865</v>
      </c>
      <c r="K7545">
        <v>1.1139950000000001</v>
      </c>
      <c r="L7545">
        <v>131.6078</v>
      </c>
      <c r="M7545">
        <v>0.4507814</v>
      </c>
      <c r="N7545">
        <v>-7.8329560000000003E-3</v>
      </c>
      <c r="O7545">
        <v>0.89260010000000001</v>
      </c>
      <c r="P7545">
        <v>0.88458689999999995</v>
      </c>
      <c r="Q7545">
        <v>-7.8437629999999994E-2</v>
      </c>
      <c r="R7545">
        <v>0.45973199999999997</v>
      </c>
      <c r="S7545">
        <v>2.8191380000000001</v>
      </c>
      <c r="T7545">
        <v>-0.36477229999999999</v>
      </c>
      <c r="U7545">
        <v>1.0474699999999999</v>
      </c>
      <c r="V7545">
        <v>0.58118879999999995</v>
      </c>
      <c r="W7545">
        <v>-8.1010159999999998E-2</v>
      </c>
      <c r="X7545">
        <v>0.80972639999999996</v>
      </c>
      <c r="Y7545">
        <v>0.67191480000000003</v>
      </c>
      <c r="Z7545">
        <v>-0.12310450000000001</v>
      </c>
      <c r="AA7545">
        <v>0.73032580000000002</v>
      </c>
      <c r="AB7545">
        <v>21</v>
      </c>
      <c r="AC7545">
        <v>8.5058999999999898</v>
      </c>
      <c r="AD7545">
        <v>-1.1139990718899999</v>
      </c>
      <c r="AE7545">
        <v>3.0116000000000098</v>
      </c>
      <c r="AF7545">
        <v>6.1413786106271999</v>
      </c>
      <c r="AG7545">
        <v>-1.1139990718899999</v>
      </c>
      <c r="AH7545">
        <v>6.4247306430361597</v>
      </c>
      <c r="AI7545">
        <v>97.144178892822495</v>
      </c>
      <c r="AJ7545">
        <v>46.291738319848101</v>
      </c>
      <c r="AK7545">
        <v>8.9573818165136192</v>
      </c>
      <c r="AL7545">
        <v>94.646632324153899</v>
      </c>
      <c r="AM7545">
        <v>54.330747072983101</v>
      </c>
      <c r="AN7545">
        <v>0.99999995506281103</v>
      </c>
    </row>
    <row r="7546" spans="1:40" x14ac:dyDescent="0.25">
      <c r="A7546" t="str">
        <f>"20190303154711579"</f>
        <v>20190303154711579</v>
      </c>
      <c r="B7546" t="str">
        <f>"1551599231569125"</f>
        <v>1551599231569125</v>
      </c>
      <c r="C7546" t="s">
        <v>40</v>
      </c>
      <c r="D7546">
        <v>5.5481309999999997</v>
      </c>
      <c r="E7546">
        <v>0.55029659999999903</v>
      </c>
      <c r="F7546" t="s">
        <v>61</v>
      </c>
      <c r="G7546">
        <v>-175.0257</v>
      </c>
      <c r="H7546" s="1">
        <v>-4.0069079999999999E-6</v>
      </c>
      <c r="I7546">
        <v>134.72669999999999</v>
      </c>
      <c r="J7546">
        <v>-183.57849999999999</v>
      </c>
      <c r="K7546">
        <v>1.1137570000000001</v>
      </c>
      <c r="L7546">
        <v>131.79519999999999</v>
      </c>
      <c r="M7546">
        <v>0.46041739999999998</v>
      </c>
      <c r="N7546">
        <v>-7.8461850000000003E-3</v>
      </c>
      <c r="O7546">
        <v>0.88766780000000001</v>
      </c>
      <c r="P7546">
        <v>0.88944080000000003</v>
      </c>
      <c r="Q7546">
        <v>-7.7810889999999994E-2</v>
      </c>
      <c r="R7546">
        <v>0.4503781</v>
      </c>
      <c r="S7546">
        <v>2.8295750000000002</v>
      </c>
      <c r="T7546">
        <v>-0.36395230000000001</v>
      </c>
      <c r="U7546">
        <v>1.018967</v>
      </c>
      <c r="V7546">
        <v>0.58097299999999996</v>
      </c>
      <c r="W7546">
        <v>-8.0714610000000006E-2</v>
      </c>
      <c r="X7546">
        <v>0.80991080000000004</v>
      </c>
      <c r="Y7546">
        <v>0.67136490000000004</v>
      </c>
      <c r="Z7546">
        <v>-0.12271219999999999</v>
      </c>
      <c r="AA7546">
        <v>0.73089729999999997</v>
      </c>
      <c r="AB7546">
        <v>21</v>
      </c>
      <c r="AC7546">
        <v>8.5527999999999906</v>
      </c>
      <c r="AD7546">
        <v>-1.113761006908</v>
      </c>
      <c r="AE7546">
        <v>2.9315000000000002</v>
      </c>
      <c r="AF7546">
        <v>6.1492100702249504</v>
      </c>
      <c r="AG7546">
        <v>-1.113761006908</v>
      </c>
      <c r="AH7546">
        <v>6.4424932354696196</v>
      </c>
      <c r="AI7546">
        <v>97.128179095112301</v>
      </c>
      <c r="AJ7546">
        <v>46.334279359169201</v>
      </c>
      <c r="AK7546">
        <v>8.9754647321092307</v>
      </c>
      <c r="AL7546">
        <v>94.629642760399804</v>
      </c>
      <c r="AM7546">
        <v>54.347005647864599</v>
      </c>
      <c r="AN7546">
        <v>0.999999989476546</v>
      </c>
    </row>
    <row r="7547" spans="1:40" x14ac:dyDescent="0.25">
      <c r="A7547" t="str">
        <f>"20190303154711603"</f>
        <v>20190303154711603</v>
      </c>
      <c r="B7547" t="str">
        <f>"1551599231599381"</f>
        <v>1551599231599381</v>
      </c>
      <c r="C7547" t="s">
        <v>40</v>
      </c>
      <c r="D7547">
        <v>5.5953359999999996</v>
      </c>
      <c r="E7547">
        <v>0.55048109999999995</v>
      </c>
      <c r="F7547" t="s">
        <v>61</v>
      </c>
      <c r="G7547">
        <v>-174.8383</v>
      </c>
      <c r="H7547" s="1">
        <v>-3.9511390000000002E-6</v>
      </c>
      <c r="I7547">
        <v>134.84139999999999</v>
      </c>
      <c r="J7547">
        <v>-183.46260000000001</v>
      </c>
      <c r="K7547">
        <v>1.113494</v>
      </c>
      <c r="L7547">
        <v>131.9905</v>
      </c>
      <c r="M7547">
        <v>0.4707847</v>
      </c>
      <c r="N7547">
        <v>-7.8703809999999992E-3</v>
      </c>
      <c r="O7547">
        <v>0.88221309999999997</v>
      </c>
      <c r="P7547">
        <v>0.89457059999999999</v>
      </c>
      <c r="Q7547">
        <v>-7.583674E-2</v>
      </c>
      <c r="R7547">
        <v>0.44044549999999999</v>
      </c>
      <c r="S7547">
        <v>2.8400270000000001</v>
      </c>
      <c r="T7547">
        <v>-0.36190299999999997</v>
      </c>
      <c r="U7547">
        <v>0.98982239999999999</v>
      </c>
      <c r="V7547">
        <v>0.58063409999999904</v>
      </c>
      <c r="W7547">
        <v>-7.9092499999999996E-2</v>
      </c>
      <c r="X7547">
        <v>0.81031379999999997</v>
      </c>
      <c r="Y7547">
        <v>0.67036629999999997</v>
      </c>
      <c r="Z7547">
        <v>-0.1218359</v>
      </c>
      <c r="AA7547">
        <v>0.73195969999999999</v>
      </c>
      <c r="AB7547">
        <v>21</v>
      </c>
      <c r="AC7547">
        <v>8.6242999999999999</v>
      </c>
      <c r="AD7547">
        <v>-1.113497951139</v>
      </c>
      <c r="AE7547">
        <v>2.85089999999999</v>
      </c>
      <c r="AF7547">
        <v>6.1737271287900501</v>
      </c>
      <c r="AG7547">
        <v>-1.113497951139</v>
      </c>
      <c r="AH7547">
        <v>6.4781415101935496</v>
      </c>
      <c r="AI7547">
        <v>97.092841285754304</v>
      </c>
      <c r="AJ7547">
        <v>46.378317713357298</v>
      </c>
      <c r="AK7547">
        <v>9.0178213429875491</v>
      </c>
      <c r="AL7547">
        <v>94.536404442291399</v>
      </c>
      <c r="AM7547">
        <v>54.376334176096996</v>
      </c>
      <c r="AN7547">
        <v>1.0000000180547499</v>
      </c>
    </row>
    <row r="7548" spans="1:40" x14ac:dyDescent="0.25">
      <c r="A7548" t="str">
        <f>"20190303154711623"</f>
        <v>20190303154711623</v>
      </c>
      <c r="B7548" t="str">
        <f>"1551599231619877"</f>
        <v>1551599231619877</v>
      </c>
      <c r="C7548" t="s">
        <v>40</v>
      </c>
      <c r="D7548">
        <v>5.5066059999999997</v>
      </c>
      <c r="E7548">
        <v>0.5796597</v>
      </c>
      <c r="F7548" t="s">
        <v>61</v>
      </c>
      <c r="G7548">
        <v>-174.52379999999999</v>
      </c>
      <c r="H7548" s="1">
        <v>-3.8677089999999999E-6</v>
      </c>
      <c r="I7548">
        <v>134.98910000000001</v>
      </c>
      <c r="J7548">
        <v>-183.35249999999999</v>
      </c>
      <c r="K7548">
        <v>1.113254</v>
      </c>
      <c r="L7548">
        <v>132.1703</v>
      </c>
      <c r="M7548">
        <v>0.48064050000000003</v>
      </c>
      <c r="N7548">
        <v>-7.9007030000000002E-3</v>
      </c>
      <c r="O7548">
        <v>0.87688219999999995</v>
      </c>
      <c r="P7548">
        <v>0.89940039999999999</v>
      </c>
      <c r="Q7548">
        <v>-7.327061E-2</v>
      </c>
      <c r="R7548">
        <v>0.43094149999999998</v>
      </c>
      <c r="S7548">
        <v>2.8523100000000001</v>
      </c>
      <c r="T7548">
        <v>-0.35531259999999998</v>
      </c>
      <c r="U7548">
        <v>0.95683289999999999</v>
      </c>
      <c r="V7548">
        <v>0.58032359999999905</v>
      </c>
      <c r="W7548">
        <v>-7.684734E-2</v>
      </c>
      <c r="X7548">
        <v>0.81075209999999998</v>
      </c>
      <c r="Y7548">
        <v>0.67096800000000001</v>
      </c>
      <c r="Z7548">
        <v>-0.1194057</v>
      </c>
      <c r="AA7548">
        <v>0.73180900000000004</v>
      </c>
      <c r="AB7548">
        <v>22</v>
      </c>
      <c r="AC7548">
        <v>8.8286999999999907</v>
      </c>
      <c r="AD7548">
        <v>-1.1132578677089999</v>
      </c>
      <c r="AE7548">
        <v>2.8188</v>
      </c>
      <c r="AF7548">
        <v>6.2962498735088896</v>
      </c>
      <c r="AG7548">
        <v>-1.1132578677089999</v>
      </c>
      <c r="AH7548">
        <v>6.6198763357259596</v>
      </c>
      <c r="AI7548">
        <v>96.947507066309996</v>
      </c>
      <c r="AJ7548">
        <v>46.435302756599299</v>
      </c>
      <c r="AK7548">
        <v>9.2035247731497503</v>
      </c>
      <c r="AL7548">
        <v>94.407373580561696</v>
      </c>
      <c r="AM7548">
        <v>54.405508646109901</v>
      </c>
      <c r="AN7548">
        <v>0.99999998101822196</v>
      </c>
    </row>
    <row r="7549" spans="1:40" x14ac:dyDescent="0.25">
      <c r="A7549" t="str">
        <f>"20190303154711646"</f>
        <v>20190303154711646</v>
      </c>
      <c r="B7549" t="str">
        <f>"1551599231639396"</f>
        <v>1551599231639396</v>
      </c>
      <c r="C7549" t="s">
        <v>40</v>
      </c>
      <c r="D7549">
        <v>5.4404320000000004</v>
      </c>
      <c r="E7549">
        <v>0.58305600000000002</v>
      </c>
      <c r="F7549" t="s">
        <v>41</v>
      </c>
      <c r="G7549">
        <v>-169.66499999999999</v>
      </c>
      <c r="H7549" s="1">
        <v>-1.2122940000000001E-6</v>
      </c>
      <c r="I7549">
        <v>135.48429999999999</v>
      </c>
      <c r="J7549">
        <v>-183.2337</v>
      </c>
      <c r="K7549">
        <v>1.113013</v>
      </c>
      <c r="L7549">
        <v>132.3588</v>
      </c>
      <c r="M7549">
        <v>0.49123440000000002</v>
      </c>
      <c r="N7549">
        <v>-7.9348919999999903E-3</v>
      </c>
      <c r="O7549">
        <v>0.87099130000000002</v>
      </c>
      <c r="P7549">
        <v>0.90450140000000001</v>
      </c>
      <c r="Q7549">
        <v>-7.1172680000000002E-2</v>
      </c>
      <c r="R7549">
        <v>0.42049009999999998</v>
      </c>
      <c r="S7549">
        <v>2.9712070000000002</v>
      </c>
      <c r="T7549">
        <v>-0.24165900000000001</v>
      </c>
      <c r="U7549">
        <v>0.719375599999999</v>
      </c>
      <c r="V7549">
        <v>0.5800303</v>
      </c>
      <c r="W7549">
        <v>-7.5051909999999999E-2</v>
      </c>
      <c r="X7549">
        <v>0.81113009999999997</v>
      </c>
      <c r="Y7549">
        <v>0.72743150000000001</v>
      </c>
      <c r="Z7549">
        <v>-8.0224429999999999E-2</v>
      </c>
      <c r="AA7549">
        <v>0.68147449999999998</v>
      </c>
      <c r="AB7549">
        <v>22</v>
      </c>
      <c r="AC7549">
        <v>13.5687</v>
      </c>
      <c r="AD7549">
        <v>-1.1130142122939899</v>
      </c>
      <c r="AE7549">
        <v>3.1254999999999802</v>
      </c>
      <c r="AF7549">
        <v>10.217901982903999</v>
      </c>
      <c r="AG7549">
        <v>-1.1130142122939899</v>
      </c>
      <c r="AH7549">
        <v>9.3283864235347291</v>
      </c>
      <c r="AI7549">
        <v>94.599287574452205</v>
      </c>
      <c r="AJ7549">
        <v>42.394372429533703</v>
      </c>
      <c r="AK7549">
        <v>13.8803139314566</v>
      </c>
      <c r="AL7549">
        <v>94.304204983962904</v>
      </c>
      <c r="AM7549">
        <v>54.431853741243998</v>
      </c>
      <c r="AN7549">
        <v>0.999999988619374</v>
      </c>
    </row>
    <row r="7550" spans="1:40" x14ac:dyDescent="0.25">
      <c r="A7550" t="str">
        <f>"20190303154711668"</f>
        <v>20190303154711668</v>
      </c>
      <c r="B7550" t="str">
        <f>"1551599231659896"</f>
        <v>1551599231659896</v>
      </c>
      <c r="C7550" t="s">
        <v>40</v>
      </c>
      <c r="D7550">
        <v>5.3970710000000004</v>
      </c>
      <c r="E7550">
        <v>0.58400129999999995</v>
      </c>
      <c r="F7550" t="s">
        <v>41</v>
      </c>
      <c r="G7550">
        <v>-169.20580000000001</v>
      </c>
      <c r="H7550" s="1">
        <v>-1.3963329999999999E-6</v>
      </c>
      <c r="I7550">
        <v>135.4554</v>
      </c>
      <c r="J7550">
        <v>-183.1131</v>
      </c>
      <c r="K7550">
        <v>1.112789</v>
      </c>
      <c r="L7550">
        <v>132.5445</v>
      </c>
      <c r="M7550">
        <v>0.50192709999999996</v>
      </c>
      <c r="N7550">
        <v>-7.9696860000000001E-3</v>
      </c>
      <c r="O7550">
        <v>0.86487320000000001</v>
      </c>
      <c r="P7550">
        <v>0.90936589999999995</v>
      </c>
      <c r="Q7550">
        <v>-7.0573609999999995E-2</v>
      </c>
      <c r="R7550">
        <v>0.40996719999999998</v>
      </c>
      <c r="S7550">
        <v>2.9911189999999999</v>
      </c>
      <c r="T7550">
        <v>-0.23732410000000001</v>
      </c>
      <c r="U7550">
        <v>0.66026309999999999</v>
      </c>
      <c r="V7550">
        <v>0.57946189999999997</v>
      </c>
      <c r="W7550">
        <v>-7.4714680000000006E-2</v>
      </c>
      <c r="X7550">
        <v>0.81156740000000005</v>
      </c>
      <c r="Y7550">
        <v>0.73294530000000002</v>
      </c>
      <c r="Z7550">
        <v>-7.8687190000000004E-2</v>
      </c>
      <c r="AA7550">
        <v>0.67572140000000003</v>
      </c>
      <c r="AB7550">
        <v>22</v>
      </c>
      <c r="AC7550">
        <v>13.9072999999999</v>
      </c>
      <c r="AD7550">
        <v>-1.1127903963329999</v>
      </c>
      <c r="AE7550">
        <v>2.9108999999999901</v>
      </c>
      <c r="AF7550">
        <v>10.502905885940899</v>
      </c>
      <c r="AG7550">
        <v>-1.1127903963329999</v>
      </c>
      <c r="AH7550">
        <v>9.4404076275137996</v>
      </c>
      <c r="AI7550">
        <v>94.505487265240703</v>
      </c>
      <c r="AJ7550">
        <v>41.950398041282199</v>
      </c>
      <c r="AK7550">
        <v>14.1658261562368</v>
      </c>
      <c r="AL7550">
        <v>94.284828629852001</v>
      </c>
      <c r="AM7550">
        <v>54.4730335891661</v>
      </c>
      <c r="AN7550">
        <v>1.0000000108509299</v>
      </c>
    </row>
    <row r="7551" spans="1:40" x14ac:dyDescent="0.25">
      <c r="A7551" t="str">
        <f>"20190303154711690"</f>
        <v>20190303154711690</v>
      </c>
      <c r="B7551" t="str">
        <f>"1551599231679412"</f>
        <v>1551599231679412</v>
      </c>
      <c r="C7551" t="s">
        <v>40</v>
      </c>
      <c r="D7551">
        <v>5.3467010000000004</v>
      </c>
      <c r="E7551">
        <v>0.58483640000000003</v>
      </c>
      <c r="F7551" t="s">
        <v>41</v>
      </c>
      <c r="G7551">
        <v>-168.76859999999999</v>
      </c>
      <c r="H7551" s="1">
        <v>-1.552094E-6</v>
      </c>
      <c r="I7551">
        <v>135.5009</v>
      </c>
      <c r="J7551">
        <v>-182.98650000000001</v>
      </c>
      <c r="K7551">
        <v>1.1125640000000001</v>
      </c>
      <c r="L7551">
        <v>132.73400000000001</v>
      </c>
      <c r="M7551">
        <v>0.51309349999999998</v>
      </c>
      <c r="N7551">
        <v>-8.0088420000000004E-3</v>
      </c>
      <c r="O7551">
        <v>0.85829539999999904</v>
      </c>
      <c r="P7551">
        <v>0.91431580000000001</v>
      </c>
      <c r="Q7551">
        <v>-7.1610939999999998E-2</v>
      </c>
      <c r="R7551">
        <v>0.39862120000000001</v>
      </c>
      <c r="S7551">
        <v>3.002014</v>
      </c>
      <c r="T7551">
        <v>-0.2328848</v>
      </c>
      <c r="U7551">
        <v>0.61869810000000003</v>
      </c>
      <c r="V7551">
        <v>0.57891569999999903</v>
      </c>
      <c r="W7551">
        <v>-7.6001440000000003E-2</v>
      </c>
      <c r="X7551">
        <v>0.8118377</v>
      </c>
      <c r="Y7551">
        <v>0.73376509999999995</v>
      </c>
      <c r="Z7551">
        <v>-7.7042139999999995E-2</v>
      </c>
      <c r="AA7551">
        <v>0.67502109999999904</v>
      </c>
      <c r="AB7551">
        <v>22</v>
      </c>
      <c r="AC7551">
        <v>14.2179</v>
      </c>
      <c r="AD7551">
        <v>-1.1125655520940001</v>
      </c>
      <c r="AE7551">
        <v>2.7668999999999899</v>
      </c>
      <c r="AF7551">
        <v>10.720576056392</v>
      </c>
      <c r="AG7551">
        <v>-1.1125655520940001</v>
      </c>
      <c r="AH7551">
        <v>9.6135216266396899</v>
      </c>
      <c r="AI7551">
        <v>94.418081104963505</v>
      </c>
      <c r="AJ7551">
        <v>41.883707903001103</v>
      </c>
      <c r="AK7551">
        <v>14.4425881044383</v>
      </c>
      <c r="AL7551">
        <v>94.358764707420605</v>
      </c>
      <c r="AM7551">
        <v>54.507602032947801</v>
      </c>
      <c r="AN7551">
        <v>1.00000002886492</v>
      </c>
    </row>
    <row r="7552" spans="1:40" x14ac:dyDescent="0.25">
      <c r="A7552" t="str">
        <f>"20190303154711712"</f>
        <v>20190303154711712</v>
      </c>
      <c r="B7552" t="str">
        <f>"1551599231709668"</f>
        <v>1551599231709668</v>
      </c>
      <c r="C7552" t="s">
        <v>40</v>
      </c>
      <c r="D7552">
        <v>5.3160819999999998</v>
      </c>
      <c r="E7552">
        <v>0.58490799999999998</v>
      </c>
      <c r="F7552" t="s">
        <v>41</v>
      </c>
      <c r="G7552">
        <v>-168.2587</v>
      </c>
      <c r="H7552" s="1">
        <v>-1.735633E-6</v>
      </c>
      <c r="I7552">
        <v>135.547</v>
      </c>
      <c r="J7552">
        <v>-182.8595</v>
      </c>
      <c r="K7552">
        <v>1.1123449999999999</v>
      </c>
      <c r="L7552">
        <v>132.91829999999999</v>
      </c>
      <c r="M7552">
        <v>0.52421209999999996</v>
      </c>
      <c r="N7552">
        <v>-8.0535840000000008E-3</v>
      </c>
      <c r="O7552">
        <v>0.85154959999999902</v>
      </c>
      <c r="P7552">
        <v>0.9194831</v>
      </c>
      <c r="Q7552">
        <v>-7.3513460000000003E-2</v>
      </c>
      <c r="R7552">
        <v>0.38619510000000001</v>
      </c>
      <c r="S7552">
        <v>3.0124659999999999</v>
      </c>
      <c r="T7552">
        <v>-0.2275681</v>
      </c>
      <c r="U7552">
        <v>0.57539370000000001</v>
      </c>
      <c r="V7552">
        <v>0.57915719999999904</v>
      </c>
      <c r="W7552">
        <v>-7.8160350000000003E-2</v>
      </c>
      <c r="X7552">
        <v>0.81146039999999997</v>
      </c>
      <c r="Y7552">
        <v>0.73492080000000004</v>
      </c>
      <c r="Z7552">
        <v>-7.5097689999999995E-2</v>
      </c>
      <c r="AA7552">
        <v>0.67398199999999997</v>
      </c>
      <c r="AB7552">
        <v>22</v>
      </c>
      <c r="AC7552">
        <v>14.6007999999999</v>
      </c>
      <c r="AD7552">
        <v>-1.1123467356329999</v>
      </c>
      <c r="AE7552">
        <v>2.6286999999999998</v>
      </c>
      <c r="AF7552">
        <v>10.9938631051229</v>
      </c>
      <c r="AG7552">
        <v>-1.1123467356329999</v>
      </c>
      <c r="AH7552">
        <v>9.8374021075383293</v>
      </c>
      <c r="AI7552">
        <v>94.311942496451294</v>
      </c>
      <c r="AJ7552">
        <v>41.822449903404397</v>
      </c>
      <c r="AK7552">
        <v>14.794486184381499</v>
      </c>
      <c r="AL7552">
        <v>94.482830216799599</v>
      </c>
      <c r="AM7552">
        <v>54.483711896800997</v>
      </c>
      <c r="AN7552">
        <v>1.0000000416960599</v>
      </c>
    </row>
    <row r="7553" spans="1:40" x14ac:dyDescent="0.25">
      <c r="A7553" t="str">
        <f>"20190303154711736"</f>
        <v>20190303154711736</v>
      </c>
      <c r="B7553" t="str">
        <f>"1551599231729188"</f>
        <v>1551599231729188</v>
      </c>
      <c r="C7553" t="s">
        <v>40</v>
      </c>
      <c r="D7553">
        <v>5.2377010000000004</v>
      </c>
      <c r="E7553">
        <v>0.58465979999999995</v>
      </c>
      <c r="F7553" t="s">
        <v>41</v>
      </c>
      <c r="G7553">
        <v>-168.1232</v>
      </c>
      <c r="H7553" s="1">
        <v>-1.79372E-6</v>
      </c>
      <c r="I7553">
        <v>135.52430000000001</v>
      </c>
      <c r="J7553">
        <v>-182.7244</v>
      </c>
      <c r="K7553">
        <v>1.1121239999999999</v>
      </c>
      <c r="L7553">
        <v>133.10839999999999</v>
      </c>
      <c r="M7553">
        <v>0.53594240000000004</v>
      </c>
      <c r="N7553">
        <v>-8.1096959999999996E-3</v>
      </c>
      <c r="O7553">
        <v>0.84421559999999995</v>
      </c>
      <c r="P7553">
        <v>0.92415619999999998</v>
      </c>
      <c r="Q7553">
        <v>-7.5022140000000001E-2</v>
      </c>
      <c r="R7553">
        <v>0.37457600000000002</v>
      </c>
      <c r="S7553">
        <v>3.0201419999999999</v>
      </c>
      <c r="T7553">
        <v>-0.22797020000000001</v>
      </c>
      <c r="U7553">
        <v>0.53410340000000001</v>
      </c>
      <c r="V7553">
        <v>0.57798609999999995</v>
      </c>
      <c r="W7553">
        <v>-7.9899300000000006E-2</v>
      </c>
      <c r="X7553">
        <v>0.81212569999999995</v>
      </c>
      <c r="Y7553">
        <v>0.73479319999999904</v>
      </c>
      <c r="Z7553">
        <v>-7.5137819999999994E-2</v>
      </c>
      <c r="AA7553">
        <v>0.67411659999999995</v>
      </c>
      <c r="AB7553">
        <v>22</v>
      </c>
      <c r="AC7553">
        <v>14.6012</v>
      </c>
      <c r="AD7553">
        <v>-1.11212579372</v>
      </c>
      <c r="AE7553">
        <v>2.4159000000000201</v>
      </c>
      <c r="AF7553">
        <v>10.970194048164601</v>
      </c>
      <c r="AG7553">
        <v>-1.11212579372</v>
      </c>
      <c r="AH7553">
        <v>9.8098728234449606</v>
      </c>
      <c r="AI7553">
        <v>94.321593737012194</v>
      </c>
      <c r="AJ7553">
        <v>41.804026467327802</v>
      </c>
      <c r="AK7553">
        <v>14.758576694505701</v>
      </c>
      <c r="AL7553">
        <v>94.582777562260802</v>
      </c>
      <c r="AM7553">
        <v>54.5607180116818</v>
      </c>
      <c r="AN7553">
        <v>0.99999999126709405</v>
      </c>
    </row>
    <row r="7554" spans="1:40" x14ac:dyDescent="0.25">
      <c r="A7554" t="str">
        <f>"20190303154711758"</f>
        <v>20190303154711758</v>
      </c>
      <c r="B7554" t="str">
        <f>"1551599231749684"</f>
        <v>1551599231749684</v>
      </c>
      <c r="C7554" t="s">
        <v>40</v>
      </c>
      <c r="D7554">
        <v>5.1712910000000001</v>
      </c>
      <c r="E7554">
        <v>0.58429279999999995</v>
      </c>
      <c r="F7554" t="s">
        <v>41</v>
      </c>
      <c r="G7554">
        <v>-168.0889</v>
      </c>
      <c r="H7554" s="1">
        <v>-1.808971E-6</v>
      </c>
      <c r="I7554">
        <v>135.5164</v>
      </c>
      <c r="J7554">
        <v>-182.5898</v>
      </c>
      <c r="K7554">
        <v>1.1119049999999999</v>
      </c>
      <c r="L7554">
        <v>133.29220000000001</v>
      </c>
      <c r="M7554">
        <v>0.54752500000000004</v>
      </c>
      <c r="N7554">
        <v>-8.1744060000000004E-3</v>
      </c>
      <c r="O7554">
        <v>0.83674930000000003</v>
      </c>
      <c r="P7554">
        <v>0.92855149999999997</v>
      </c>
      <c r="Q7554">
        <v>-7.6201630000000006E-2</v>
      </c>
      <c r="R7554">
        <v>0.36329800000000001</v>
      </c>
      <c r="S7554">
        <v>3.025757</v>
      </c>
      <c r="T7554">
        <v>-0.22992209999999999</v>
      </c>
      <c r="U7554">
        <v>0.49783329999999998</v>
      </c>
      <c r="V7554">
        <v>0.57653589999999999</v>
      </c>
      <c r="W7554">
        <v>-8.1296289999999993E-2</v>
      </c>
      <c r="X7554">
        <v>0.8130174</v>
      </c>
      <c r="Y7554">
        <v>0.73349330000000001</v>
      </c>
      <c r="Z7554">
        <v>-7.5670760000000004E-2</v>
      </c>
      <c r="AA7554">
        <v>0.67547139999999894</v>
      </c>
      <c r="AB7554">
        <v>22</v>
      </c>
      <c r="AC7554">
        <v>14.5009</v>
      </c>
      <c r="AD7554">
        <v>-1.111906808971</v>
      </c>
      <c r="AE7554">
        <v>2.22419999999999</v>
      </c>
      <c r="AF7554">
        <v>10.8538292462207</v>
      </c>
      <c r="AG7554">
        <v>-1.111906808971</v>
      </c>
      <c r="AH7554">
        <v>9.7450514521226008</v>
      </c>
      <c r="AI7554">
        <v>94.359082520208005</v>
      </c>
      <c r="AJ7554">
        <v>41.918908327635002</v>
      </c>
      <c r="AK7554">
        <v>14.629011376797401</v>
      </c>
      <c r="AL7554">
        <v>94.663080353957099</v>
      </c>
      <c r="AM7554">
        <v>54.658361885316999</v>
      </c>
      <c r="AN7554">
        <v>1.0000000117296599</v>
      </c>
    </row>
    <row r="7555" spans="1:40" x14ac:dyDescent="0.25">
      <c r="A7555" t="str">
        <f>"20190303154711779"</f>
        <v>20190303154711779</v>
      </c>
      <c r="B7555" t="str">
        <f>"1551599231769204"</f>
        <v>1551599231769204</v>
      </c>
      <c r="C7555" t="s">
        <v>40</v>
      </c>
      <c r="D7555">
        <v>5.1463839999999896</v>
      </c>
      <c r="E7555">
        <v>0.58395319999999995</v>
      </c>
      <c r="F7555" t="s">
        <v>41</v>
      </c>
      <c r="G7555">
        <v>-167.93389999999999</v>
      </c>
      <c r="H7555" s="1">
        <v>-1.8634739999999999E-6</v>
      </c>
      <c r="I7555">
        <v>135.53530000000001</v>
      </c>
      <c r="J7555">
        <v>-182.45490000000001</v>
      </c>
      <c r="K7555">
        <v>1.1116809999999999</v>
      </c>
      <c r="L7555">
        <v>133.47069999999999</v>
      </c>
      <c r="M7555">
        <v>0.55900569999999905</v>
      </c>
      <c r="N7555">
        <v>-8.2472429999999996E-3</v>
      </c>
      <c r="O7555">
        <v>0.82912280000000005</v>
      </c>
      <c r="P7555">
        <v>0.93318310000000004</v>
      </c>
      <c r="Q7555">
        <v>-7.6389550000000001E-2</v>
      </c>
      <c r="R7555">
        <v>0.351189799999999</v>
      </c>
      <c r="S7555">
        <v>3.0305019999999998</v>
      </c>
      <c r="T7555">
        <v>-0.22991780000000001</v>
      </c>
      <c r="U7555">
        <v>0.46382139999999999</v>
      </c>
      <c r="V7555">
        <v>0.57584609999999903</v>
      </c>
      <c r="W7555">
        <v>-8.1716419999999998E-2</v>
      </c>
      <c r="X7555">
        <v>0.81346399999999996</v>
      </c>
      <c r="Y7555">
        <v>0.73172899999999996</v>
      </c>
      <c r="Z7555">
        <v>-7.5482010000000002E-2</v>
      </c>
      <c r="AA7555">
        <v>0.67740319999999898</v>
      </c>
      <c r="AB7555">
        <v>22</v>
      </c>
      <c r="AC7555">
        <v>14.521000000000001</v>
      </c>
      <c r="AD7555">
        <v>-1.1116828634739999</v>
      </c>
      <c r="AE7555">
        <v>2.0646000000000102</v>
      </c>
      <c r="AF7555">
        <v>10.823758570452201</v>
      </c>
      <c r="AG7555">
        <v>-1.1116828634739999</v>
      </c>
      <c r="AH7555">
        <v>9.7733169420199708</v>
      </c>
      <c r="AI7555">
        <v>94.359230187569096</v>
      </c>
      <c r="AJ7555">
        <v>42.080470334588099</v>
      </c>
      <c r="AK7555">
        <v>14.625570499285001</v>
      </c>
      <c r="AL7555">
        <v>94.687232481725999</v>
      </c>
      <c r="AM7555">
        <v>54.705560602736902</v>
      </c>
      <c r="AN7555">
        <v>0.99999999173941301</v>
      </c>
    </row>
    <row r="7556" spans="1:40" x14ac:dyDescent="0.25">
      <c r="A7556" t="str">
        <f>"20190303154711802"</f>
        <v>20190303154711802</v>
      </c>
      <c r="B7556" t="str">
        <f>"1551599231789700"</f>
        <v>1551599231789700</v>
      </c>
      <c r="C7556" t="s">
        <v>40</v>
      </c>
      <c r="D7556">
        <v>5.1014860000000004</v>
      </c>
      <c r="E7556">
        <v>0.58379389999999998</v>
      </c>
      <c r="F7556" t="s">
        <v>41</v>
      </c>
      <c r="G7556">
        <v>-167.62379999999999</v>
      </c>
      <c r="H7556" s="1">
        <v>-1.9768260000000002E-6</v>
      </c>
      <c r="I7556">
        <v>135.55690000000001</v>
      </c>
      <c r="J7556">
        <v>-182.31549999999999</v>
      </c>
      <c r="K7556">
        <v>1.111456</v>
      </c>
      <c r="L7556">
        <v>133.64940000000001</v>
      </c>
      <c r="M7556">
        <v>0.5707544</v>
      </c>
      <c r="N7556">
        <v>-8.3291939999999998E-3</v>
      </c>
      <c r="O7556">
        <v>0.82107859999999999</v>
      </c>
      <c r="P7556">
        <v>0.9382142</v>
      </c>
      <c r="Q7556">
        <v>-7.5073790000000001E-2</v>
      </c>
      <c r="R7556">
        <v>0.33781359999999999</v>
      </c>
      <c r="S7556">
        <v>3.0354920000000001</v>
      </c>
      <c r="T7556">
        <v>-0.2275288</v>
      </c>
      <c r="U7556">
        <v>0.4269867</v>
      </c>
      <c r="V7556">
        <v>0.57596380000000003</v>
      </c>
      <c r="W7556">
        <v>-8.0654900000000002E-2</v>
      </c>
      <c r="X7556">
        <v>0.81348659999999995</v>
      </c>
      <c r="Y7556">
        <v>0.73035069999999902</v>
      </c>
      <c r="Z7556">
        <v>-7.4450929999999998E-2</v>
      </c>
      <c r="AA7556">
        <v>0.67900289999999996</v>
      </c>
      <c r="AB7556">
        <v>22</v>
      </c>
      <c r="AC7556">
        <v>14.6916999999999</v>
      </c>
      <c r="AD7556">
        <v>-1.111457976826</v>
      </c>
      <c r="AE7556">
        <v>1.90749999999999</v>
      </c>
      <c r="AF7556">
        <v>10.9132830815389</v>
      </c>
      <c r="AG7556">
        <v>-1.111457976826</v>
      </c>
      <c r="AH7556">
        <v>9.8962054958410199</v>
      </c>
      <c r="AI7556">
        <v>94.314487347768605</v>
      </c>
      <c r="AJ7556">
        <v>42.201857372083502</v>
      </c>
      <c r="AK7556">
        <v>14.773962558094199</v>
      </c>
      <c r="AL7556">
        <v>94.6262104823778</v>
      </c>
      <c r="AM7556">
        <v>54.700789037620297</v>
      </c>
      <c r="AN7556">
        <v>0.99999998009200397</v>
      </c>
    </row>
    <row r="7557" spans="1:40" x14ac:dyDescent="0.25">
      <c r="A7557" t="str">
        <f>"20190303154711824"</f>
        <v>20190303154711824</v>
      </c>
      <c r="B7557" t="str">
        <f>"1551599231819956"</f>
        <v>1551599231819956</v>
      </c>
      <c r="C7557" t="s">
        <v>40</v>
      </c>
      <c r="D7557">
        <v>5.0655359999999998</v>
      </c>
      <c r="E7557">
        <v>0.57823059999999904</v>
      </c>
      <c r="F7557" t="s">
        <v>41</v>
      </c>
      <c r="G7557">
        <v>-167.16239999999999</v>
      </c>
      <c r="H7557" s="1">
        <v>-2.151512E-6</v>
      </c>
      <c r="I7557">
        <v>135.56630000000001</v>
      </c>
      <c r="J7557">
        <v>-182.16659999999999</v>
      </c>
      <c r="K7557">
        <v>1.1112249999999999</v>
      </c>
      <c r="L7557">
        <v>133.8338</v>
      </c>
      <c r="M7557">
        <v>0.58315309999999998</v>
      </c>
      <c r="N7557">
        <v>-8.4245169999999994E-3</v>
      </c>
      <c r="O7557">
        <v>0.8123186</v>
      </c>
      <c r="P7557">
        <v>0.94333</v>
      </c>
      <c r="Q7557">
        <v>-7.4276179999999997E-2</v>
      </c>
      <c r="R7557">
        <v>0.32343719999999998</v>
      </c>
      <c r="S7557">
        <v>3.0411679999999999</v>
      </c>
      <c r="T7557">
        <v>-0.2230656</v>
      </c>
      <c r="U7557">
        <v>0.38470460000000001</v>
      </c>
      <c r="V7557">
        <v>0.5760691</v>
      </c>
      <c r="W7557">
        <v>-8.0113489999999996E-2</v>
      </c>
      <c r="X7557">
        <v>0.81346560000000001</v>
      </c>
      <c r="Y7557">
        <v>0.72960689999999995</v>
      </c>
      <c r="Z7557">
        <v>-7.2691320000000004E-2</v>
      </c>
      <c r="AA7557">
        <v>0.67999240000000005</v>
      </c>
      <c r="AB7557">
        <v>22</v>
      </c>
      <c r="AC7557">
        <v>15.0041999999999</v>
      </c>
      <c r="AD7557">
        <v>-1.11122715151199</v>
      </c>
      <c r="AE7557">
        <v>1.7325000000000099</v>
      </c>
      <c r="AF7557">
        <v>11.118093732379799</v>
      </c>
      <c r="AG7557">
        <v>-1.11122715151199</v>
      </c>
      <c r="AH7557">
        <v>10.1027630976537</v>
      </c>
      <c r="AI7557">
        <v>94.230491237291204</v>
      </c>
      <c r="AJ7557">
        <v>42.260721835897499</v>
      </c>
      <c r="AK7557">
        <v>15.0636202896765</v>
      </c>
      <c r="AL7557">
        <v>94.595089030108397</v>
      </c>
      <c r="AM7557">
        <v>54.695151639910399</v>
      </c>
      <c r="AN7557">
        <v>1.00000003081907</v>
      </c>
    </row>
    <row r="7558" spans="1:40" x14ac:dyDescent="0.25">
      <c r="A7558" t="str">
        <f>"20190303154711846"</f>
        <v>20190303154711846</v>
      </c>
      <c r="B7558" t="str">
        <f>"1551599231839476"</f>
        <v>1551599231839476</v>
      </c>
      <c r="C7558" t="s">
        <v>40</v>
      </c>
      <c r="D7558">
        <v>5.0304279999999997</v>
      </c>
      <c r="E7558">
        <v>0.57810600000000001</v>
      </c>
      <c r="F7558" t="s">
        <v>41</v>
      </c>
      <c r="G7558">
        <v>-152.62289999999999</v>
      </c>
      <c r="H7558" s="1">
        <v>-3.5143470000000002E-6</v>
      </c>
      <c r="I7558">
        <v>137.54560000000001</v>
      </c>
      <c r="J7558">
        <v>-182.02199999999999</v>
      </c>
      <c r="K7558">
        <v>1.1110150000000001</v>
      </c>
      <c r="L7558">
        <v>134.00729999999999</v>
      </c>
      <c r="M7558">
        <v>0.59502630000000001</v>
      </c>
      <c r="N7558">
        <v>-8.5170230000000003E-3</v>
      </c>
      <c r="O7558">
        <v>0.80366110000000002</v>
      </c>
      <c r="P7558">
        <v>0.94769919999999996</v>
      </c>
      <c r="Q7558">
        <v>-7.4257970000000006E-2</v>
      </c>
      <c r="R7558">
        <v>0.31040620000000002</v>
      </c>
      <c r="S7558">
        <v>3.0402529999999999</v>
      </c>
      <c r="T7558">
        <v>-0.11435289999999999</v>
      </c>
      <c r="U7558">
        <v>0.38197330000000002</v>
      </c>
      <c r="V7558">
        <v>0.57528950000000001</v>
      </c>
      <c r="W7558">
        <v>-8.0288639999999994E-2</v>
      </c>
      <c r="X7558">
        <v>0.81399980000000005</v>
      </c>
      <c r="Y7558">
        <v>0.72247899999999998</v>
      </c>
      <c r="Z7558">
        <v>-3.4787390000000001E-2</v>
      </c>
      <c r="AA7558">
        <v>0.69051719999999905</v>
      </c>
      <c r="AB7558">
        <v>22</v>
      </c>
      <c r="AC7558">
        <v>29.399100000000001</v>
      </c>
      <c r="AD7558">
        <v>-1.1110185143469999</v>
      </c>
      <c r="AE7558">
        <v>3.53830000000002</v>
      </c>
      <c r="AF7558">
        <v>21.492056428186402</v>
      </c>
      <c r="AG7558">
        <v>-1.1110185143469999</v>
      </c>
      <c r="AH7558">
        <v>20.3089792259759</v>
      </c>
      <c r="AI7558">
        <v>92.151759692429195</v>
      </c>
      <c r="AJ7558">
        <v>43.378814336548302</v>
      </c>
      <c r="AK7558">
        <v>29.590496596925998</v>
      </c>
      <c r="AL7558">
        <v>94.605157076986004</v>
      </c>
      <c r="AM7558">
        <v>54.749468717873299</v>
      </c>
      <c r="AN7558">
        <v>0.99999997446166899</v>
      </c>
    </row>
    <row r="7559" spans="1:40" x14ac:dyDescent="0.25">
      <c r="A7559" t="str">
        <f>"20190303154711861"</f>
        <v>20190303154711861</v>
      </c>
      <c r="B7559" t="str">
        <f>"1551599231849237"</f>
        <v>1551599231849237</v>
      </c>
      <c r="C7559" t="s">
        <v>40</v>
      </c>
      <c r="D7559">
        <v>4.9967220000000001</v>
      </c>
      <c r="E7559">
        <v>0.57765529999999998</v>
      </c>
      <c r="F7559" t="s">
        <v>41</v>
      </c>
      <c r="G7559">
        <v>-155.54990000000001</v>
      </c>
      <c r="H7559" s="1">
        <v>-2.360475E-6</v>
      </c>
      <c r="I7559">
        <v>136.9717</v>
      </c>
      <c r="J7559">
        <v>-181.9194</v>
      </c>
      <c r="K7559">
        <v>1.110868</v>
      </c>
      <c r="L7559">
        <v>134.1276</v>
      </c>
      <c r="M7559">
        <v>0.60335209999999995</v>
      </c>
      <c r="N7559">
        <v>-8.5803359999999992E-3</v>
      </c>
      <c r="O7559">
        <v>0.79742880000000005</v>
      </c>
      <c r="P7559">
        <v>0.95074650000000005</v>
      </c>
      <c r="Q7559">
        <v>-7.4401090000000003E-2</v>
      </c>
      <c r="R7559">
        <v>0.3009078</v>
      </c>
      <c r="S7559">
        <v>3.0438999999999998</v>
      </c>
      <c r="T7559">
        <v>-0.12775029999999901</v>
      </c>
      <c r="U7559">
        <v>0.34086609999999901</v>
      </c>
      <c r="V7559">
        <v>0.57493139999999998</v>
      </c>
      <c r="W7559">
        <v>-8.0562099999999998E-2</v>
      </c>
      <c r="X7559">
        <v>0.81422569999999905</v>
      </c>
      <c r="Y7559">
        <v>0.72438169999999902</v>
      </c>
      <c r="Z7559">
        <v>-3.9413080000000003E-2</v>
      </c>
      <c r="AA7559">
        <v>0.68827159999999998</v>
      </c>
      <c r="AB7559">
        <v>23</v>
      </c>
      <c r="AC7559">
        <v>26.369499999999899</v>
      </c>
      <c r="AD7559">
        <v>-1.1108703604750001</v>
      </c>
      <c r="AE7559">
        <v>2.8440999999999899</v>
      </c>
      <c r="AF7559">
        <v>19.278694970136399</v>
      </c>
      <c r="AG7559">
        <v>-1.1108703604750001</v>
      </c>
      <c r="AH7559">
        <v>18.1468941907447</v>
      </c>
      <c r="AI7559">
        <v>92.4025874732597</v>
      </c>
      <c r="AJ7559">
        <v>43.2678255255992</v>
      </c>
      <c r="AK7559">
        <v>26.499280772870598</v>
      </c>
      <c r="AL7559">
        <v>94.620876313364406</v>
      </c>
      <c r="AM7559">
        <v>54.773773305870598</v>
      </c>
      <c r="AN7559">
        <v>0.99999992860142695</v>
      </c>
    </row>
    <row r="7560" spans="1:40" x14ac:dyDescent="0.25">
      <c r="A7560" t="str">
        <f>"20190303154711873"</f>
        <v>20190303154711873</v>
      </c>
      <c r="B7560" t="str">
        <f>"1551599231869733"</f>
        <v>1551599231869733</v>
      </c>
      <c r="C7560" t="s">
        <v>40</v>
      </c>
      <c r="D7560">
        <v>5.0173949999999996</v>
      </c>
      <c r="E7560">
        <v>0.57745459999999904</v>
      </c>
      <c r="F7560" t="s">
        <v>41</v>
      </c>
      <c r="G7560">
        <v>-156.8304</v>
      </c>
      <c r="H7560" s="1">
        <v>-1.8570589999999999E-6</v>
      </c>
      <c r="I7560">
        <v>136.71279999999999</v>
      </c>
      <c r="J7560">
        <v>-181.8349</v>
      </c>
      <c r="K7560">
        <v>1.1107579999999999</v>
      </c>
      <c r="L7560">
        <v>134.22380000000001</v>
      </c>
      <c r="M7560">
        <v>0.61013519999999999</v>
      </c>
      <c r="N7560">
        <v>-8.6315799999999998E-3</v>
      </c>
      <c r="O7560">
        <v>0.79225029999999996</v>
      </c>
      <c r="P7560">
        <v>0.95306310000000005</v>
      </c>
      <c r="Q7560">
        <v>-7.4572600000000003E-2</v>
      </c>
      <c r="R7560">
        <v>0.29344409999999999</v>
      </c>
      <c r="S7560">
        <v>3.045547</v>
      </c>
      <c r="T7560">
        <v>-0.1348482</v>
      </c>
      <c r="U7560">
        <v>0.31382749999999998</v>
      </c>
      <c r="V7560">
        <v>0.57433279999999998</v>
      </c>
      <c r="W7560">
        <v>-8.0822870000000005E-2</v>
      </c>
      <c r="X7560">
        <v>0.81462230000000002</v>
      </c>
      <c r="Y7560">
        <v>0.72446679999999997</v>
      </c>
      <c r="Z7560">
        <v>-4.1821650000000002E-2</v>
      </c>
      <c r="AA7560">
        <v>0.68803979999999998</v>
      </c>
      <c r="AB7560">
        <v>23</v>
      </c>
      <c r="AC7560">
        <v>25.0045</v>
      </c>
      <c r="AD7560">
        <v>-1.1107598570589901</v>
      </c>
      <c r="AE7560">
        <v>2.4889999999999701</v>
      </c>
      <c r="AF7560">
        <v>18.2562050894817</v>
      </c>
      <c r="AG7560">
        <v>-1.1107598570589901</v>
      </c>
      <c r="AH7560">
        <v>17.195079403189499</v>
      </c>
      <c r="AI7560">
        <v>92.535990585126299</v>
      </c>
      <c r="AJ7560">
        <v>43.285538105606697</v>
      </c>
      <c r="AK7560">
        <v>25.103656455012</v>
      </c>
      <c r="AL7560">
        <v>94.635865900556297</v>
      </c>
      <c r="AM7560">
        <v>54.815032123346697</v>
      </c>
      <c r="AN7560">
        <v>0.999999996564083</v>
      </c>
    </row>
    <row r="7561" spans="1:40" x14ac:dyDescent="0.25">
      <c r="A7561" t="str">
        <f>"20190303154711892"</f>
        <v>20190303154711892</v>
      </c>
      <c r="B7561" t="str">
        <f>"1551599231889253"</f>
        <v>1551599231889253</v>
      </c>
      <c r="C7561" t="s">
        <v>40</v>
      </c>
      <c r="D7561">
        <v>4.9909569999999999</v>
      </c>
      <c r="E7561">
        <v>0.57654340000000004</v>
      </c>
      <c r="F7561" t="s">
        <v>41</v>
      </c>
      <c r="G7561">
        <v>-158.61859999999999</v>
      </c>
      <c r="H7561" s="1">
        <v>-1.300222E-6</v>
      </c>
      <c r="I7561">
        <v>136.44380000000001</v>
      </c>
      <c r="J7561">
        <v>-181.71029999999999</v>
      </c>
      <c r="K7561">
        <v>1.110603</v>
      </c>
      <c r="L7561">
        <v>134.36330000000001</v>
      </c>
      <c r="M7561">
        <v>0.62004110000000001</v>
      </c>
      <c r="N7561">
        <v>-8.7076669999999901E-3</v>
      </c>
      <c r="O7561">
        <v>0.78452100000000002</v>
      </c>
      <c r="P7561">
        <v>0.95623360000000002</v>
      </c>
      <c r="Q7561">
        <v>-7.4634839999999994E-2</v>
      </c>
      <c r="R7561">
        <v>0.28292580000000001</v>
      </c>
      <c r="S7561">
        <v>3.0466310000000001</v>
      </c>
      <c r="T7561">
        <v>-0.1457627</v>
      </c>
      <c r="U7561">
        <v>0.29133609999999999</v>
      </c>
      <c r="V7561">
        <v>0.57303930000000003</v>
      </c>
      <c r="W7561">
        <v>-8.0999459999999995E-2</v>
      </c>
      <c r="X7561">
        <v>0.815515199999999</v>
      </c>
      <c r="Y7561">
        <v>0.72066889999999995</v>
      </c>
      <c r="Z7561">
        <v>-4.5377590000000002E-2</v>
      </c>
      <c r="AA7561">
        <v>0.69179279999999999</v>
      </c>
      <c r="AB7561">
        <v>23</v>
      </c>
      <c r="AC7561">
        <v>23.091699999999999</v>
      </c>
      <c r="AD7561">
        <v>-1.1106043002220001</v>
      </c>
      <c r="AE7561">
        <v>2.0804999999999998</v>
      </c>
      <c r="AF7561">
        <v>16.788045250083101</v>
      </c>
      <c r="AG7561">
        <v>-1.1106043002220001</v>
      </c>
      <c r="AH7561">
        <v>15.9140883070136</v>
      </c>
      <c r="AI7561">
        <v>92.748732623884095</v>
      </c>
      <c r="AJ7561">
        <v>43.469147948688402</v>
      </c>
      <c r="AK7561">
        <v>23.1588020388348</v>
      </c>
      <c r="AL7561">
        <v>94.646017044304401</v>
      </c>
      <c r="AM7561">
        <v>54.905379515801798</v>
      </c>
      <c r="AN7561">
        <v>0.99999999664790995</v>
      </c>
    </row>
    <row r="7562" spans="1:40" x14ac:dyDescent="0.25">
      <c r="A7562" t="str">
        <f>"20190303154711914"</f>
        <v>20190303154711914</v>
      </c>
      <c r="B7562" t="str">
        <f>"1551599231909748"</f>
        <v>1551599231909748</v>
      </c>
      <c r="C7562" t="s">
        <v>40</v>
      </c>
      <c r="D7562">
        <v>4.958094</v>
      </c>
      <c r="E7562">
        <v>0.57560210000000001</v>
      </c>
      <c r="F7562" t="s">
        <v>41</v>
      </c>
      <c r="G7562">
        <v>-159.99090000000001</v>
      </c>
      <c r="H7562" s="1">
        <v>-5.3089299999999997E-6</v>
      </c>
      <c r="I7562">
        <v>136.2501</v>
      </c>
      <c r="J7562">
        <v>-181.5504</v>
      </c>
      <c r="K7562">
        <v>1.110412</v>
      </c>
      <c r="L7562">
        <v>134.53700000000001</v>
      </c>
      <c r="M7562">
        <v>0.63257810000000003</v>
      </c>
      <c r="N7562">
        <v>-8.8121029999999999E-3</v>
      </c>
      <c r="O7562">
        <v>0.77444650000000004</v>
      </c>
      <c r="P7562">
        <v>0.96031679999999997</v>
      </c>
      <c r="Q7562">
        <v>-7.3611889999999999E-2</v>
      </c>
      <c r="R7562">
        <v>0.26902209999999899</v>
      </c>
      <c r="S7562">
        <v>3.0468440000000001</v>
      </c>
      <c r="T7562">
        <v>-0.15579870000000001</v>
      </c>
      <c r="U7562">
        <v>0.26469419999999999</v>
      </c>
      <c r="V7562">
        <v>0.57180509999999996</v>
      </c>
      <c r="W7562">
        <v>-8.0126080000000002E-2</v>
      </c>
      <c r="X7562">
        <v>0.81646719999999995</v>
      </c>
      <c r="Y7562">
        <v>0.71533009999999997</v>
      </c>
      <c r="Z7562">
        <v>-4.8518510000000001E-2</v>
      </c>
      <c r="AA7562">
        <v>0.69710030000000001</v>
      </c>
      <c r="AB7562">
        <v>23</v>
      </c>
      <c r="AC7562">
        <v>21.5594999999999</v>
      </c>
      <c r="AD7562">
        <v>-1.11041730893</v>
      </c>
      <c r="AE7562">
        <v>1.7130999999999901</v>
      </c>
      <c r="AF7562">
        <v>15.5725645116101</v>
      </c>
      <c r="AG7562">
        <v>-1.11041730893</v>
      </c>
      <c r="AH7562">
        <v>14.926005834465601</v>
      </c>
      <c r="AI7562">
        <v>92.946887880952204</v>
      </c>
      <c r="AJ7562">
        <v>43.785532081493997</v>
      </c>
      <c r="AK7562">
        <v>21.599153738948502</v>
      </c>
      <c r="AL7562">
        <v>94.595812968049501</v>
      </c>
      <c r="AM7562">
        <v>54.994885972825401</v>
      </c>
      <c r="AN7562">
        <v>0.99999997487900705</v>
      </c>
    </row>
    <row r="7563" spans="1:40" x14ac:dyDescent="0.25">
      <c r="A7563" t="str">
        <f>"20190303154711930"</f>
        <v>20190303154711930</v>
      </c>
      <c r="B7563" t="str">
        <f>"1551599231919509"</f>
        <v>1551599231919509</v>
      </c>
      <c r="C7563" t="s">
        <v>40</v>
      </c>
      <c r="D7563">
        <v>4.9111690000000001</v>
      </c>
      <c r="E7563">
        <v>0.57491840000000005</v>
      </c>
      <c r="F7563" t="s">
        <v>41</v>
      </c>
      <c r="G7563">
        <v>-160.3639</v>
      </c>
      <c r="H7563" s="1">
        <v>-5.1558599999999998E-6</v>
      </c>
      <c r="I7563">
        <v>136.11930000000001</v>
      </c>
      <c r="J7563">
        <v>-181.4383</v>
      </c>
      <c r="K7563">
        <v>1.110282</v>
      </c>
      <c r="L7563">
        <v>134.65530000000001</v>
      </c>
      <c r="M7563">
        <v>0.64124369999999997</v>
      </c>
      <c r="N7563">
        <v>-8.8906219999999904E-3</v>
      </c>
      <c r="O7563">
        <v>0.76728580000000002</v>
      </c>
      <c r="P7563">
        <v>0.96309080000000002</v>
      </c>
      <c r="Q7563">
        <v>-7.2883429999999999E-2</v>
      </c>
      <c r="R7563">
        <v>0.25912230000000003</v>
      </c>
      <c r="S7563">
        <v>3.047974</v>
      </c>
      <c r="T7563">
        <v>-0.15974859999999999</v>
      </c>
      <c r="U7563">
        <v>0.22763059999999999</v>
      </c>
      <c r="V7563">
        <v>0.57106679999999999</v>
      </c>
      <c r="W7563">
        <v>-7.9503019999999994E-2</v>
      </c>
      <c r="X7563">
        <v>0.81704469999999996</v>
      </c>
      <c r="Y7563">
        <v>0.71584879999999995</v>
      </c>
      <c r="Z7563">
        <v>-4.978428E-2</v>
      </c>
      <c r="AA7563">
        <v>0.69647829999999999</v>
      </c>
      <c r="AB7563">
        <v>23</v>
      </c>
      <c r="AC7563">
        <v>21.074400000000001</v>
      </c>
      <c r="AD7563">
        <v>-1.11028715586</v>
      </c>
      <c r="AE7563">
        <v>1.46399999999999</v>
      </c>
      <c r="AF7563">
        <v>15.189949839149101</v>
      </c>
      <c r="AG7563">
        <v>-1.11028715586</v>
      </c>
      <c r="AH7563">
        <v>14.597388744272401</v>
      </c>
      <c r="AI7563">
        <v>93.016849998144707</v>
      </c>
      <c r="AJ7563">
        <v>43.860362356353903</v>
      </c>
      <c r="AK7563">
        <v>21.0962335936001</v>
      </c>
      <c r="AL7563">
        <v>94.559999748579799</v>
      </c>
      <c r="AM7563">
        <v>55.048686546783998</v>
      </c>
      <c r="AN7563">
        <v>1.0000000310247199</v>
      </c>
    </row>
    <row r="7564" spans="1:40" x14ac:dyDescent="0.25">
      <c r="A7564" t="str">
        <f>"20190303154711943"</f>
        <v>20190303154711943</v>
      </c>
      <c r="B7564" t="str">
        <f>"1551599231939029"</f>
        <v>1551599231939029</v>
      </c>
      <c r="C7564" t="s">
        <v>40</v>
      </c>
      <c r="D7564">
        <v>4.9544589999999999</v>
      </c>
      <c r="E7564">
        <v>0.57365999999999995</v>
      </c>
      <c r="F7564" t="s">
        <v>41</v>
      </c>
      <c r="G7564">
        <v>-160.74709999999999</v>
      </c>
      <c r="H7564" s="1">
        <v>-4.9919509999999999E-6</v>
      </c>
      <c r="I7564">
        <v>136.02199999999999</v>
      </c>
      <c r="J7564">
        <v>-181.33500000000001</v>
      </c>
      <c r="K7564">
        <v>1.11016</v>
      </c>
      <c r="L7564">
        <v>134.76220000000001</v>
      </c>
      <c r="M7564">
        <v>0.64914700000000003</v>
      </c>
      <c r="N7564">
        <v>-8.9647679999999997E-3</v>
      </c>
      <c r="O7564">
        <v>0.76061020000000001</v>
      </c>
      <c r="P7564">
        <v>0.96554419999999996</v>
      </c>
      <c r="Q7564">
        <v>-7.1626679999999998E-2</v>
      </c>
      <c r="R7564">
        <v>0.25018810000000002</v>
      </c>
      <c r="S7564">
        <v>3.0484010000000001</v>
      </c>
      <c r="T7564">
        <v>-0.163576799999999</v>
      </c>
      <c r="U7564">
        <v>0.20135500000000001</v>
      </c>
      <c r="V7564">
        <v>0.57026369999999904</v>
      </c>
      <c r="W7564">
        <v>-7.8338210000000005E-2</v>
      </c>
      <c r="X7564">
        <v>0.81771780000000005</v>
      </c>
      <c r="Y7564">
        <v>0.71453859999999902</v>
      </c>
      <c r="Z7564">
        <v>-5.0937179999999999E-2</v>
      </c>
      <c r="AA7564">
        <v>0.69773909999999995</v>
      </c>
      <c r="AB7564">
        <v>23</v>
      </c>
      <c r="AC7564">
        <v>20.587900000000001</v>
      </c>
      <c r="AD7564">
        <v>-1.1101649919509999</v>
      </c>
      <c r="AE7564">
        <v>1.25980000000001</v>
      </c>
      <c r="AF7564">
        <v>14.7992957217018</v>
      </c>
      <c r="AG7564">
        <v>-1.1101649919509999</v>
      </c>
      <c r="AH7564">
        <v>14.2819923542475</v>
      </c>
      <c r="AI7564">
        <v>93.089737299759406</v>
      </c>
      <c r="AJ7564">
        <v>43.980919481711403</v>
      </c>
      <c r="AK7564">
        <v>20.5967697898122</v>
      </c>
      <c r="AL7564">
        <v>94.493052456831506</v>
      </c>
      <c r="AM7564">
        <v>55.108679575082</v>
      </c>
      <c r="AN7564">
        <v>0.99999998156026604</v>
      </c>
    </row>
    <row r="7565" spans="1:40" x14ac:dyDescent="0.25">
      <c r="A7565" t="str">
        <f>"20190303154711958"</f>
        <v>20190303154711958</v>
      </c>
      <c r="B7565" t="str">
        <f>"1551599231949766"</f>
        <v>1551599231949766</v>
      </c>
      <c r="C7565" t="s">
        <v>40</v>
      </c>
      <c r="D7565">
        <v>4.9810600000000003</v>
      </c>
      <c r="E7565">
        <v>0.57325209999999904</v>
      </c>
      <c r="F7565" t="s">
        <v>41</v>
      </c>
      <c r="G7565">
        <v>-161.20699999999999</v>
      </c>
      <c r="H7565" s="1">
        <v>-4.7840159999999999E-6</v>
      </c>
      <c r="I7565">
        <v>135.96870000000001</v>
      </c>
      <c r="J7565">
        <v>-181.22219999999999</v>
      </c>
      <c r="K7565">
        <v>1.110033</v>
      </c>
      <c r="L7565">
        <v>134.8759</v>
      </c>
      <c r="M7565">
        <v>0.65767109999999995</v>
      </c>
      <c r="N7565">
        <v>-9.0483249999999994E-3</v>
      </c>
      <c r="O7565">
        <v>0.7532508</v>
      </c>
      <c r="P7565">
        <v>0.96795140000000002</v>
      </c>
      <c r="Q7565">
        <v>-7.0302020000000007E-2</v>
      </c>
      <c r="R7565">
        <v>0.24109720000000001</v>
      </c>
      <c r="S7565">
        <v>3.047256</v>
      </c>
      <c r="T7565">
        <v>-0.1680722</v>
      </c>
      <c r="U7565">
        <v>0.18266299999999999</v>
      </c>
      <c r="V7565">
        <v>0.56882630000000001</v>
      </c>
      <c r="W7565">
        <v>-7.7094850000000006E-2</v>
      </c>
      <c r="X7565">
        <v>0.81883640000000002</v>
      </c>
      <c r="Y7565">
        <v>0.71081930000000004</v>
      </c>
      <c r="Z7565">
        <v>-5.2218000000000001E-2</v>
      </c>
      <c r="AA7565">
        <v>0.70143369999999905</v>
      </c>
      <c r="AB7565">
        <v>23</v>
      </c>
      <c r="AC7565">
        <v>20.0152</v>
      </c>
      <c r="AD7565">
        <v>-1.1100377840160001</v>
      </c>
      <c r="AE7565">
        <v>1.09280000000001</v>
      </c>
      <c r="AF7565">
        <v>14.314453534988299</v>
      </c>
      <c r="AG7565">
        <v>-1.1100377840160001</v>
      </c>
      <c r="AH7565">
        <v>13.9443818412193</v>
      </c>
      <c r="AI7565">
        <v>93.179346210852898</v>
      </c>
      <c r="AJ7565">
        <v>44.249709555289698</v>
      </c>
      <c r="AK7565">
        <v>20.014533440003301</v>
      </c>
      <c r="AL7565">
        <v>94.421596915253005</v>
      </c>
      <c r="AM7565">
        <v>55.2132045414888</v>
      </c>
      <c r="AN7565">
        <v>1.00000001271658</v>
      </c>
    </row>
    <row r="7566" spans="1:40" x14ac:dyDescent="0.25">
      <c r="A7566" t="str">
        <f>"20190303154711981"</f>
        <v>20190303154711981</v>
      </c>
      <c r="B7566" t="str">
        <f>"1551599231969285"</f>
        <v>1551599231969285</v>
      </c>
      <c r="C7566" t="s">
        <v>40</v>
      </c>
      <c r="D7566">
        <v>4.9240349999999999</v>
      </c>
      <c r="E7566">
        <v>0.57287589999999999</v>
      </c>
      <c r="F7566" t="s">
        <v>41</v>
      </c>
      <c r="G7566">
        <v>-160.8578</v>
      </c>
      <c r="H7566" s="1">
        <v>-4.9567969999999998E-6</v>
      </c>
      <c r="I7566">
        <v>135.92529999999999</v>
      </c>
      <c r="J7566">
        <v>-181.0548</v>
      </c>
      <c r="K7566">
        <v>1.1098300000000001</v>
      </c>
      <c r="L7566">
        <v>135.0401</v>
      </c>
      <c r="M7566">
        <v>0.67013690000000004</v>
      </c>
      <c r="N7566">
        <v>-9.1719290000000005E-3</v>
      </c>
      <c r="O7566">
        <v>0.74218090000000003</v>
      </c>
      <c r="P7566">
        <v>0.97137960000000001</v>
      </c>
      <c r="Q7566">
        <v>-6.9534960000000007E-2</v>
      </c>
      <c r="R7566">
        <v>0.22712740000000001</v>
      </c>
      <c r="S7566">
        <v>3.0481569999999998</v>
      </c>
      <c r="T7566">
        <v>-0.16615070000000001</v>
      </c>
      <c r="U7566">
        <v>0.15707399999999999</v>
      </c>
      <c r="V7566">
        <v>0.56699639999999996</v>
      </c>
      <c r="W7566">
        <v>-7.6453480000000004E-2</v>
      </c>
      <c r="X7566">
        <v>0.82016460000000002</v>
      </c>
      <c r="Y7566">
        <v>0.70502849999999995</v>
      </c>
      <c r="Z7566">
        <v>-5.1148529999999998E-2</v>
      </c>
      <c r="AA7566">
        <v>0.70733210000000002</v>
      </c>
      <c r="AB7566">
        <v>23</v>
      </c>
      <c r="AC7566">
        <v>20.196999999999999</v>
      </c>
      <c r="AD7566">
        <v>-1.1098349567969901</v>
      </c>
      <c r="AE7566">
        <v>0.88519999999999699</v>
      </c>
      <c r="AF7566">
        <v>14.353967977401499</v>
      </c>
      <c r="AG7566">
        <v>-1.1098349567969901</v>
      </c>
      <c r="AH7566">
        <v>14.1496860732668</v>
      </c>
      <c r="AI7566">
        <v>93.151708136767098</v>
      </c>
      <c r="AJ7566">
        <v>44.589375785758897</v>
      </c>
      <c r="AK7566">
        <v>20.186177109586598</v>
      </c>
      <c r="AL7566">
        <v>94.384740343750906</v>
      </c>
      <c r="AM7566">
        <v>55.343109534211102</v>
      </c>
      <c r="AN7566">
        <v>1.00000001165511</v>
      </c>
    </row>
    <row r="7567" spans="1:40" x14ac:dyDescent="0.25">
      <c r="A7567" t="str">
        <f>"20190303154712003"</f>
        <v>20190303154712003</v>
      </c>
      <c r="B7567" t="str">
        <f>"1551599231999541"</f>
        <v>1551599231999541</v>
      </c>
      <c r="C7567" t="s">
        <v>40</v>
      </c>
      <c r="D7567">
        <v>4.9918139999999998</v>
      </c>
      <c r="E7567">
        <v>0.56001409999999996</v>
      </c>
      <c r="F7567" t="s">
        <v>41</v>
      </c>
      <c r="G7567">
        <v>-160.49430000000001</v>
      </c>
      <c r="H7567" s="1">
        <v>-5.14675999999999E-6</v>
      </c>
      <c r="I7567">
        <v>135.8229</v>
      </c>
      <c r="J7567">
        <v>-180.8836</v>
      </c>
      <c r="K7567">
        <v>1.109623</v>
      </c>
      <c r="L7567">
        <v>135.20160000000001</v>
      </c>
      <c r="M7567">
        <v>0.68264399999999903</v>
      </c>
      <c r="N7567">
        <v>-9.3008469999999992E-3</v>
      </c>
      <c r="O7567">
        <v>0.73069200000000001</v>
      </c>
      <c r="P7567">
        <v>0.97445700000000002</v>
      </c>
      <c r="Q7567">
        <v>-6.9506009999999993E-2</v>
      </c>
      <c r="R7567">
        <v>0.21354799999999999</v>
      </c>
      <c r="S7567">
        <v>3.0494690000000002</v>
      </c>
      <c r="T7567">
        <v>-0.16460759999999999</v>
      </c>
      <c r="U7567">
        <v>0.1161041</v>
      </c>
      <c r="V7567">
        <v>0.56448069999999995</v>
      </c>
      <c r="W7567">
        <v>-7.6525399999999993E-2</v>
      </c>
      <c r="X7567">
        <v>0.82189140000000005</v>
      </c>
      <c r="Y7567">
        <v>0.70254159999999999</v>
      </c>
      <c r="Z7567">
        <v>-5.0310069999999998E-2</v>
      </c>
      <c r="AA7567">
        <v>0.70986210000000005</v>
      </c>
      <c r="AB7567">
        <v>23</v>
      </c>
      <c r="AC7567">
        <v>20.389299999999899</v>
      </c>
      <c r="AD7567">
        <v>-1.10962814676</v>
      </c>
      <c r="AE7567">
        <v>0.62129999999998997</v>
      </c>
      <c r="AF7567">
        <v>14.432092006261501</v>
      </c>
      <c r="AG7567">
        <v>-1.10962814676</v>
      </c>
      <c r="AH7567">
        <v>14.3308278327628</v>
      </c>
      <c r="AI7567">
        <v>93.1228353503666</v>
      </c>
      <c r="AJ7567">
        <v>44.798282447745898</v>
      </c>
      <c r="AK7567">
        <v>20.368828652467201</v>
      </c>
      <c r="AL7567">
        <v>94.388873059047597</v>
      </c>
      <c r="AM7567">
        <v>55.5184510459408</v>
      </c>
      <c r="AN7567">
        <v>1.0000000354558001</v>
      </c>
    </row>
    <row r="7568" spans="1:40" x14ac:dyDescent="0.25">
      <c r="A7568" t="str">
        <f>"20190303154712025"</f>
        <v>20190303154712025</v>
      </c>
      <c r="B7568" t="str">
        <f>"1551599232020036"</f>
        <v>1551599232020036</v>
      </c>
      <c r="C7568" t="s">
        <v>40</v>
      </c>
      <c r="D7568">
        <v>4.9336779999999996</v>
      </c>
      <c r="E7568">
        <v>0.55883309999999997</v>
      </c>
      <c r="F7568" t="s">
        <v>41</v>
      </c>
      <c r="G7568">
        <v>-166.47720000000001</v>
      </c>
      <c r="H7568" s="1">
        <v>-2.29265E-6</v>
      </c>
      <c r="I7568">
        <v>136.0247</v>
      </c>
      <c r="J7568">
        <v>-180.70590000000001</v>
      </c>
      <c r="K7568">
        <v>1.109421</v>
      </c>
      <c r="L7568">
        <v>135.36340000000001</v>
      </c>
      <c r="M7568">
        <v>0.69538610000000001</v>
      </c>
      <c r="N7568">
        <v>-9.4394379999999996E-3</v>
      </c>
      <c r="O7568">
        <v>0.7185743</v>
      </c>
      <c r="P7568">
        <v>0.9773792</v>
      </c>
      <c r="Q7568">
        <v>-6.9461480000000006E-2</v>
      </c>
      <c r="R7568">
        <v>0.19976269999999999</v>
      </c>
      <c r="S7568">
        <v>3.0241389999999999</v>
      </c>
      <c r="T7568">
        <v>-0.23292789999999999</v>
      </c>
      <c r="U7568">
        <v>0.17279050000000001</v>
      </c>
      <c r="V7568">
        <v>0.56160459999999901</v>
      </c>
      <c r="W7568">
        <v>-7.6562060000000001E-2</v>
      </c>
      <c r="X7568">
        <v>0.82385589999999997</v>
      </c>
      <c r="Y7568">
        <v>0.67435970000000001</v>
      </c>
      <c r="Z7568">
        <v>-7.1674500000000002E-2</v>
      </c>
      <c r="AA7568">
        <v>0.73491619999999902</v>
      </c>
      <c r="AB7568">
        <v>23</v>
      </c>
      <c r="AC7568">
        <v>14.2287</v>
      </c>
      <c r="AD7568">
        <v>-1.1094232926500001</v>
      </c>
      <c r="AE7568">
        <v>0.66129999999998201</v>
      </c>
      <c r="AF7568">
        <v>9.7060742005108196</v>
      </c>
      <c r="AG7568">
        <v>-1.1094232926500001</v>
      </c>
      <c r="AH7568">
        <v>10.307566387221501</v>
      </c>
      <c r="AI7568">
        <v>94.480497505980594</v>
      </c>
      <c r="AJ7568">
        <v>46.721455572149502</v>
      </c>
      <c r="AK7568">
        <v>14.2015710840412</v>
      </c>
      <c r="AL7568">
        <v>94.390979815240698</v>
      </c>
      <c r="AM7568">
        <v>55.718598827343598</v>
      </c>
      <c r="AN7568">
        <v>1.0000000098687001</v>
      </c>
    </row>
    <row r="7569" spans="1:40" x14ac:dyDescent="0.25">
      <c r="A7569" t="str">
        <f>"20190303154712041"</f>
        <v>20190303154712041</v>
      </c>
      <c r="B7569" t="str">
        <f>"1551599232029797"</f>
        <v>1551599232029797</v>
      </c>
      <c r="C7569" t="s">
        <v>40</v>
      </c>
      <c r="D7569">
        <v>4.9400309999999896</v>
      </c>
      <c r="E7569">
        <v>0.55795459999999997</v>
      </c>
      <c r="F7569" t="s">
        <v>41</v>
      </c>
      <c r="G7569">
        <v>-166.4357</v>
      </c>
      <c r="H7569" s="1">
        <v>-2.3098860000000001E-6</v>
      </c>
      <c r="I7569">
        <v>136.01990000000001</v>
      </c>
      <c r="J7569">
        <v>-180.58150000000001</v>
      </c>
      <c r="K7569">
        <v>1.1092850000000001</v>
      </c>
      <c r="L7569">
        <v>135.47370000000001</v>
      </c>
      <c r="M7569">
        <v>0.70414569999999999</v>
      </c>
      <c r="N7569">
        <v>-9.5353529999999999E-3</v>
      </c>
      <c r="O7569">
        <v>0.70999159999999994</v>
      </c>
      <c r="P7569">
        <v>0.97934279999999996</v>
      </c>
      <c r="Q7569">
        <v>-6.9481189999999998E-2</v>
      </c>
      <c r="R7569">
        <v>0.18989590000000001</v>
      </c>
      <c r="S7569">
        <v>3.0242770000000001</v>
      </c>
      <c r="T7569">
        <v>-0.23511960000000001</v>
      </c>
      <c r="U7569">
        <v>0.13912959999999999</v>
      </c>
      <c r="V7569">
        <v>0.55978490000000003</v>
      </c>
      <c r="W7569">
        <v>-7.66318E-2</v>
      </c>
      <c r="X7569">
        <v>0.82508689999999996</v>
      </c>
      <c r="Y7569">
        <v>0.67343430000000004</v>
      </c>
      <c r="Z7569">
        <v>-7.2054179999999995E-2</v>
      </c>
      <c r="AA7569">
        <v>0.73572709999999997</v>
      </c>
      <c r="AB7569">
        <v>23</v>
      </c>
      <c r="AC7569">
        <v>14.145799999999999</v>
      </c>
      <c r="AD7569">
        <v>-1.1092873098860001</v>
      </c>
      <c r="AE7569">
        <v>0.54619999999999802</v>
      </c>
      <c r="AF7569">
        <v>9.6002849950709894</v>
      </c>
      <c r="AG7569">
        <v>-1.1092873098860001</v>
      </c>
      <c r="AH7569">
        <v>10.2858138390209</v>
      </c>
      <c r="AI7569">
        <v>94.507925767139</v>
      </c>
      <c r="AJ7569">
        <v>46.974362190742198</v>
      </c>
      <c r="AK7569">
        <v>14.113608916696499</v>
      </c>
      <c r="AL7569">
        <v>94.394987529011004</v>
      </c>
      <c r="AM7569">
        <v>55.844846375902598</v>
      </c>
      <c r="AN7569">
        <v>0.99999997979542998</v>
      </c>
    </row>
    <row r="7570" spans="1:40" x14ac:dyDescent="0.25">
      <c r="A7570" t="str">
        <f>"20190303154712054"</f>
        <v>20190303154712054</v>
      </c>
      <c r="B7570" t="str">
        <f>"1551599232049316"</f>
        <v>1551599232049316</v>
      </c>
      <c r="C7570" t="s">
        <v>40</v>
      </c>
      <c r="D7570">
        <v>4.9462890000000002</v>
      </c>
      <c r="E7570">
        <v>0.55698259999999999</v>
      </c>
      <c r="F7570" t="s">
        <v>41</v>
      </c>
      <c r="G7570">
        <v>-166.62710000000001</v>
      </c>
      <c r="H7570" s="1">
        <v>-2.2400440000000001E-6</v>
      </c>
      <c r="I7570">
        <v>136.00620000000001</v>
      </c>
      <c r="J7570">
        <v>-180.4734</v>
      </c>
      <c r="K7570">
        <v>1.1091819999999999</v>
      </c>
      <c r="L7570">
        <v>135.56630000000001</v>
      </c>
      <c r="M7570">
        <v>0.71163900000000002</v>
      </c>
      <c r="N7570">
        <v>-9.6185869999999996E-3</v>
      </c>
      <c r="O7570">
        <v>0.70247950000000003</v>
      </c>
      <c r="P7570">
        <v>0.9809639</v>
      </c>
      <c r="Q7570">
        <v>-6.9150699999999996E-2</v>
      </c>
      <c r="R7570">
        <v>0.18146090000000001</v>
      </c>
      <c r="S7570">
        <v>3.0238489999999998</v>
      </c>
      <c r="T7570">
        <v>-0.24037729999999999</v>
      </c>
      <c r="U7570">
        <v>0.115387</v>
      </c>
      <c r="V7570">
        <v>0.55813829999999998</v>
      </c>
      <c r="W7570">
        <v>-7.6328110000000005E-2</v>
      </c>
      <c r="X7570">
        <v>0.82622980000000001</v>
      </c>
      <c r="Y7570">
        <v>0.67122550000000003</v>
      </c>
      <c r="Z7570">
        <v>-7.3381719999999998E-2</v>
      </c>
      <c r="AA7570">
        <v>0.73761209999999999</v>
      </c>
      <c r="AB7570">
        <v>23</v>
      </c>
      <c r="AC7570">
        <v>13.8462999999999</v>
      </c>
      <c r="AD7570">
        <v>-1.109184240044</v>
      </c>
      <c r="AE7570">
        <v>0.43989999999999402</v>
      </c>
      <c r="AF7570">
        <v>9.3541610391215606</v>
      </c>
      <c r="AG7570">
        <v>-1.109184240044</v>
      </c>
      <c r="AH7570">
        <v>10.098321039536099</v>
      </c>
      <c r="AI7570">
        <v>94.606927766460799</v>
      </c>
      <c r="AJ7570">
        <v>47.1907973492916</v>
      </c>
      <c r="AK7570">
        <v>13.809659888705401</v>
      </c>
      <c r="AL7570">
        <v>94.377536117810294</v>
      </c>
      <c r="AM7570">
        <v>55.960018069116401</v>
      </c>
      <c r="AN7570">
        <v>1.0000000123555499</v>
      </c>
    </row>
    <row r="7571" spans="1:40" x14ac:dyDescent="0.25">
      <c r="A7571" t="str">
        <f>"20190303154712070"</f>
        <v>20190303154712070</v>
      </c>
      <c r="B7571" t="str">
        <f>"1551599232059076"</f>
        <v>1551599232059076</v>
      </c>
      <c r="C7571" t="s">
        <v>40</v>
      </c>
      <c r="D7571">
        <v>4.9902519999999999</v>
      </c>
      <c r="E7571">
        <v>0.5564346</v>
      </c>
      <c r="F7571" t="s">
        <v>41</v>
      </c>
      <c r="G7571">
        <v>-166.67670000000001</v>
      </c>
      <c r="H7571" s="1">
        <v>-2.2203550000000002E-6</v>
      </c>
      <c r="I7571">
        <v>136.0086</v>
      </c>
      <c r="J7571">
        <v>-180.3416</v>
      </c>
      <c r="K7571">
        <v>1.109049</v>
      </c>
      <c r="L7571">
        <v>135.67699999999999</v>
      </c>
      <c r="M7571">
        <v>0.72064209999999995</v>
      </c>
      <c r="N7571">
        <v>-9.7192130000000009E-3</v>
      </c>
      <c r="O7571">
        <v>0.6932391</v>
      </c>
      <c r="P7571">
        <v>0.98254779999999997</v>
      </c>
      <c r="Q7571">
        <v>-6.8782869999999996E-2</v>
      </c>
      <c r="R7571">
        <v>0.17282649999999999</v>
      </c>
      <c r="S7571">
        <v>3.0231629999999998</v>
      </c>
      <c r="T7571">
        <v>-0.24304680000000001</v>
      </c>
      <c r="U7571">
        <v>9.6908569999999999E-2</v>
      </c>
      <c r="V7571">
        <v>0.55475079999999999</v>
      </c>
      <c r="W7571">
        <v>-7.5938420000000006E-2</v>
      </c>
      <c r="X7571">
        <v>0.8285439</v>
      </c>
      <c r="Y7571">
        <v>0.66611909999999996</v>
      </c>
      <c r="Z7571">
        <v>-7.3637590000000003E-2</v>
      </c>
      <c r="AA7571">
        <v>0.74220140000000001</v>
      </c>
      <c r="AB7571">
        <v>23</v>
      </c>
      <c r="AC7571">
        <v>13.6648999999999</v>
      </c>
      <c r="AD7571">
        <v>-1.109051220355</v>
      </c>
      <c r="AE7571">
        <v>0.33159999999998002</v>
      </c>
      <c r="AF7571">
        <v>9.1741197345891301</v>
      </c>
      <c r="AG7571">
        <v>-1.109051220355</v>
      </c>
      <c r="AH7571">
        <v>10.011946300861201</v>
      </c>
      <c r="AI7571">
        <v>94.669031325373695</v>
      </c>
      <c r="AJ7571">
        <v>47.500431693353299</v>
      </c>
      <c r="AK7571">
        <v>13.6247398597285</v>
      </c>
      <c r="AL7571">
        <v>94.355143396542005</v>
      </c>
      <c r="AM7571">
        <v>56.195750115756503</v>
      </c>
      <c r="AN7571">
        <v>1.0000000439799701</v>
      </c>
    </row>
    <row r="7572" spans="1:40" x14ac:dyDescent="0.25">
      <c r="A7572" t="str">
        <f>"20190303154712093"</f>
        <v>20190303154712093</v>
      </c>
      <c r="B7572" t="str">
        <f>"1551599232089333"</f>
        <v>1551599232089333</v>
      </c>
      <c r="C7572" t="s">
        <v>40</v>
      </c>
      <c r="D7572">
        <v>5.1369290000000003</v>
      </c>
      <c r="E7572">
        <v>0.549421099999999</v>
      </c>
      <c r="F7572" t="s">
        <v>41</v>
      </c>
      <c r="G7572">
        <v>-166.59280000000001</v>
      </c>
      <c r="H7572" s="1">
        <v>-2.2506320000000001E-6</v>
      </c>
      <c r="I7572">
        <v>136.01580000000001</v>
      </c>
      <c r="J7572">
        <v>-180.1601</v>
      </c>
      <c r="K7572">
        <v>1.108878</v>
      </c>
      <c r="L7572">
        <v>135.82480000000001</v>
      </c>
      <c r="M7572">
        <v>0.73280239999999996</v>
      </c>
      <c r="N7572">
        <v>-9.8595309999999995E-3</v>
      </c>
      <c r="O7572">
        <v>0.68037009999999998</v>
      </c>
      <c r="P7572">
        <v>0.98464759999999996</v>
      </c>
      <c r="Q7572">
        <v>-7.0151770000000002E-2</v>
      </c>
      <c r="R7572">
        <v>0.1598377</v>
      </c>
      <c r="S7572">
        <v>3.0231170000000001</v>
      </c>
      <c r="T7572">
        <v>-0.24385989999999999</v>
      </c>
      <c r="U7572">
        <v>7.4493409999999996E-2</v>
      </c>
      <c r="V7572">
        <v>0.55088809999999999</v>
      </c>
      <c r="W7572">
        <v>-7.7290449999999997E-2</v>
      </c>
      <c r="X7572">
        <v>0.83099249999999902</v>
      </c>
      <c r="Y7572">
        <v>0.65844069999999899</v>
      </c>
      <c r="Z7572">
        <v>-7.2978570000000006E-2</v>
      </c>
      <c r="AA7572">
        <v>0.74908609999999998</v>
      </c>
      <c r="AB7572">
        <v>23</v>
      </c>
      <c r="AC7572">
        <v>13.5672999999999</v>
      </c>
      <c r="AD7572">
        <v>-1.1088802506319999</v>
      </c>
      <c r="AE7572">
        <v>0.191000000000002</v>
      </c>
      <c r="AF7572">
        <v>9.0309461105266102</v>
      </c>
      <c r="AG7572">
        <v>-1.1088802506319999</v>
      </c>
      <c r="AH7572">
        <v>10.0057638984702</v>
      </c>
      <c r="AI7572">
        <v>94.703106174161604</v>
      </c>
      <c r="AJ7572">
        <v>47.931399532166701</v>
      </c>
      <c r="AK7572">
        <v>13.524160389961599</v>
      </c>
      <c r="AL7572">
        <v>94.432837460460206</v>
      </c>
      <c r="AM7572">
        <v>56.458492186288602</v>
      </c>
      <c r="AN7572">
        <v>1.0000000237195299</v>
      </c>
    </row>
    <row r="7573" spans="1:40" x14ac:dyDescent="0.25">
      <c r="A7573" t="str">
        <f>"20190303154712108"</f>
        <v>20190303154712108</v>
      </c>
      <c r="B7573" t="str">
        <f>"1551599232099093"</f>
        <v>1551599232099093</v>
      </c>
      <c r="C7573" t="s">
        <v>40</v>
      </c>
      <c r="D7573">
        <v>5.022653</v>
      </c>
      <c r="E7573">
        <v>0.54919619999999902</v>
      </c>
      <c r="F7573" t="s">
        <v>41</v>
      </c>
      <c r="G7573">
        <v>-168.3348</v>
      </c>
      <c r="H7573" s="1">
        <v>-1.5395630000000001E-6</v>
      </c>
      <c r="I7573">
        <v>136.17410000000001</v>
      </c>
      <c r="J7573">
        <v>-180.02379999999999</v>
      </c>
      <c r="K7573">
        <v>1.108752</v>
      </c>
      <c r="L7573">
        <v>135.93219999999999</v>
      </c>
      <c r="M7573">
        <v>0.74175360000000001</v>
      </c>
      <c r="N7573">
        <v>-9.9677050000000003E-3</v>
      </c>
      <c r="O7573">
        <v>0.67059849999999999</v>
      </c>
      <c r="P7573">
        <v>0.98617790000000005</v>
      </c>
      <c r="Q7573">
        <v>-7.1277339999999995E-2</v>
      </c>
      <c r="R7573">
        <v>0.14957500000000001</v>
      </c>
      <c r="S7573">
        <v>3.0122070000000001</v>
      </c>
      <c r="T7573">
        <v>-0.28245930000000002</v>
      </c>
      <c r="U7573">
        <v>8.8973999999999998E-2</v>
      </c>
      <c r="V7573">
        <v>0.54842429999999998</v>
      </c>
      <c r="W7573">
        <v>-7.8407850000000001E-2</v>
      </c>
      <c r="X7573">
        <v>0.83251609999999998</v>
      </c>
      <c r="Y7573">
        <v>0.64347619999999905</v>
      </c>
      <c r="Z7573">
        <v>-8.4054859999999995E-2</v>
      </c>
      <c r="AA7573">
        <v>0.76083710000000004</v>
      </c>
      <c r="AB7573">
        <v>23</v>
      </c>
      <c r="AC7573">
        <v>11.688999999999901</v>
      </c>
      <c r="AD7573">
        <v>-1.1087535395629999</v>
      </c>
      <c r="AE7573">
        <v>0.24190000000001499</v>
      </c>
      <c r="AF7573">
        <v>7.59130329672473</v>
      </c>
      <c r="AG7573">
        <v>-1.1087535395629999</v>
      </c>
      <c r="AH7573">
        <v>8.7542822002858092</v>
      </c>
      <c r="AI7573">
        <v>95.465821584913996</v>
      </c>
      <c r="AJ7573">
        <v>49.069703370724199</v>
      </c>
      <c r="AK7573">
        <v>11.640218082003299</v>
      </c>
      <c r="AL7573">
        <v>94.497054626444495</v>
      </c>
      <c r="AM7573">
        <v>56.624898551406297</v>
      </c>
      <c r="AN7573">
        <v>1.00000003026566</v>
      </c>
    </row>
    <row r="7574" spans="1:40" x14ac:dyDescent="0.25">
      <c r="A7574" t="str">
        <f>"20190303154712126"</f>
        <v>20190303154712126</v>
      </c>
      <c r="B7574" t="str">
        <f>"1551599232119588"</f>
        <v>1551599232119588</v>
      </c>
      <c r="C7574" t="s">
        <v>40</v>
      </c>
      <c r="D7574">
        <v>5.0581459999999998</v>
      </c>
      <c r="E7574">
        <v>0.548014</v>
      </c>
      <c r="F7574" t="s">
        <v>41</v>
      </c>
      <c r="G7574">
        <v>-168.26490000000001</v>
      </c>
      <c r="H7574" s="1">
        <v>-1.569264E-6</v>
      </c>
      <c r="I7574">
        <v>136.1634</v>
      </c>
      <c r="J7574">
        <v>-179.87209999999999</v>
      </c>
      <c r="K7574">
        <v>1.108611</v>
      </c>
      <c r="L7574">
        <v>136.04830000000001</v>
      </c>
      <c r="M7574">
        <v>0.75152839999999999</v>
      </c>
      <c r="N7574">
        <v>-1.009087E-2</v>
      </c>
      <c r="O7574">
        <v>0.65962359999999998</v>
      </c>
      <c r="P7574">
        <v>0.98715889999999995</v>
      </c>
      <c r="Q7574">
        <v>-7.3768070000000005E-2</v>
      </c>
      <c r="R7574">
        <v>0.1416888</v>
      </c>
      <c r="S7574">
        <v>3.0125120000000001</v>
      </c>
      <c r="T7574">
        <v>-0.28405150000000001</v>
      </c>
      <c r="U7574">
        <v>5.9219359999999999E-2</v>
      </c>
      <c r="V7574">
        <v>0.54262319999999997</v>
      </c>
      <c r="W7574">
        <v>-8.0774579999999999E-2</v>
      </c>
      <c r="X7574">
        <v>0.83608349999999898</v>
      </c>
      <c r="Y7574">
        <v>0.63976099999999902</v>
      </c>
      <c r="Z7574">
        <v>-8.3749710000000005E-2</v>
      </c>
      <c r="AA7574">
        <v>0.76399729999999999</v>
      </c>
      <c r="AB7574">
        <v>23</v>
      </c>
      <c r="AC7574">
        <v>11.607199999999899</v>
      </c>
      <c r="AD7574">
        <v>-1.1086125692640001</v>
      </c>
      <c r="AE7574">
        <v>0.11509999999998401</v>
      </c>
      <c r="AF7574">
        <v>7.5018399997800902</v>
      </c>
      <c r="AG7574">
        <v>-1.1086125692640001</v>
      </c>
      <c r="AH7574">
        <v>8.7199724563068806</v>
      </c>
      <c r="AI7574">
        <v>95.505005476929398</v>
      </c>
      <c r="AJ7574">
        <v>49.294409474625901</v>
      </c>
      <c r="AK7574">
        <v>11.5561474916938</v>
      </c>
      <c r="AL7574">
        <v>94.633089789010299</v>
      </c>
      <c r="AM7574">
        <v>57.016187575117797</v>
      </c>
      <c r="AN7574">
        <v>1.00000004446233</v>
      </c>
    </row>
    <row r="7575" spans="1:40" x14ac:dyDescent="0.25">
      <c r="A7575" t="str">
        <f>"20190303154712148"</f>
        <v>20190303154712148</v>
      </c>
      <c r="B7575" t="str">
        <f>"1551599232139108"</f>
        <v>1551599232139108</v>
      </c>
      <c r="C7575" t="s">
        <v>40</v>
      </c>
      <c r="D7575">
        <v>5.0940539999999999</v>
      </c>
      <c r="E7575">
        <v>0.54754599999999998</v>
      </c>
      <c r="F7575" t="s">
        <v>41</v>
      </c>
      <c r="G7575">
        <v>-168.3997</v>
      </c>
      <c r="H7575" s="1">
        <v>-1.5031719999999999E-6</v>
      </c>
      <c r="I7575">
        <v>136.21729999999999</v>
      </c>
      <c r="J7575">
        <v>-179.67609999999999</v>
      </c>
      <c r="K7575">
        <v>1.1084480000000001</v>
      </c>
      <c r="L7575">
        <v>136.19280000000001</v>
      </c>
      <c r="M7575">
        <v>0.76386730000000003</v>
      </c>
      <c r="N7575">
        <v>-1.025504E-2</v>
      </c>
      <c r="O7575">
        <v>0.64529190000000003</v>
      </c>
      <c r="P7575">
        <v>0.98853489999999999</v>
      </c>
      <c r="Q7575">
        <v>-7.4388990000000002E-2</v>
      </c>
      <c r="R7575">
        <v>0.13139629999999999</v>
      </c>
      <c r="S7575">
        <v>3.0109409999999999</v>
      </c>
      <c r="T7575">
        <v>-0.2909544</v>
      </c>
      <c r="U7575">
        <v>4.4342039999999999E-2</v>
      </c>
      <c r="V7575">
        <v>0.53543549999999995</v>
      </c>
      <c r="W7575">
        <v>-8.1224519999999995E-2</v>
      </c>
      <c r="X7575">
        <v>0.84066129999999994</v>
      </c>
      <c r="Y7575">
        <v>0.62882320000000003</v>
      </c>
      <c r="Z7575">
        <v>-8.4453710000000001E-2</v>
      </c>
      <c r="AA7575">
        <v>0.77294819999999997</v>
      </c>
      <c r="AB7575">
        <v>23</v>
      </c>
      <c r="AC7575">
        <v>11.276399999999899</v>
      </c>
      <c r="AD7575">
        <v>-1.1084495031720001</v>
      </c>
      <c r="AE7575">
        <v>2.4499999999988999E-2</v>
      </c>
      <c r="AF7575">
        <v>7.1887748764112303</v>
      </c>
      <c r="AG7575">
        <v>-1.1084495031720001</v>
      </c>
      <c r="AH7575">
        <v>8.5473478195815407</v>
      </c>
      <c r="AI7575">
        <v>95.667915504924494</v>
      </c>
      <c r="AJ7575">
        <v>49.934376681799399</v>
      </c>
      <c r="AK7575">
        <v>11.223381810920801</v>
      </c>
      <c r="AL7575">
        <v>94.658954602901801</v>
      </c>
      <c r="AM7575">
        <v>57.506051335540697</v>
      </c>
      <c r="AN7575">
        <v>1.0000000093135799</v>
      </c>
    </row>
    <row r="7576" spans="1:40" x14ac:dyDescent="0.25">
      <c r="A7576" t="str">
        <f>"20190303154712174"</f>
        <v>20190303154712174</v>
      </c>
      <c r="B7576" t="str">
        <f>"1551599232169364"</f>
        <v>1551599232169364</v>
      </c>
      <c r="C7576" t="s">
        <v>40</v>
      </c>
      <c r="D7576">
        <v>5.196383</v>
      </c>
      <c r="E7576">
        <v>0.54638589999999998</v>
      </c>
      <c r="F7576" t="s">
        <v>41</v>
      </c>
      <c r="G7576">
        <v>-168.21270000000001</v>
      </c>
      <c r="H7576" s="1">
        <v>-1.564767E-6</v>
      </c>
      <c r="I7576">
        <v>136.25559999999999</v>
      </c>
      <c r="J7576">
        <v>-179.45750000000001</v>
      </c>
      <c r="K7576">
        <v>1.10829</v>
      </c>
      <c r="L7576">
        <v>136.34710000000001</v>
      </c>
      <c r="M7576">
        <v>0.777232699999999</v>
      </c>
      <c r="N7576">
        <v>-1.044633E-2</v>
      </c>
      <c r="O7576">
        <v>0.62912659999999998</v>
      </c>
      <c r="P7576">
        <v>0.99024109999999999</v>
      </c>
      <c r="Q7576">
        <v>-7.2588719999999995E-2</v>
      </c>
      <c r="R7576">
        <v>0.1189708</v>
      </c>
      <c r="S7576">
        <v>3.0107119999999998</v>
      </c>
      <c r="T7576">
        <v>-0.2911205</v>
      </c>
      <c r="U7576">
        <v>1.6494749999999999E-2</v>
      </c>
      <c r="V7576">
        <v>0.52845779999999998</v>
      </c>
      <c r="W7576">
        <v>-7.923906E-2</v>
      </c>
      <c r="X7576">
        <v>0.84525360000000005</v>
      </c>
      <c r="Y7576">
        <v>0.61976699999999996</v>
      </c>
      <c r="Z7576">
        <v>-8.3022440000000003E-2</v>
      </c>
      <c r="AA7576">
        <v>0.78038200000000002</v>
      </c>
      <c r="AB7576">
        <v>23</v>
      </c>
      <c r="AC7576">
        <v>11.2447999999999</v>
      </c>
      <c r="AD7576">
        <v>-1.108291564767</v>
      </c>
      <c r="AE7576">
        <v>-9.15000000000247E-2</v>
      </c>
      <c r="AF7576">
        <v>7.0771651719944</v>
      </c>
      <c r="AG7576">
        <v>-1.108291564767</v>
      </c>
      <c r="AH7576">
        <v>8.5992062193301706</v>
      </c>
      <c r="AI7576">
        <v>95.683046405893293</v>
      </c>
      <c r="AJ7576">
        <v>50.545546295673297</v>
      </c>
      <c r="AK7576">
        <v>11.1920027102744</v>
      </c>
      <c r="AL7576">
        <v>94.544827951094206</v>
      </c>
      <c r="AM7576">
        <v>57.986121413935102</v>
      </c>
      <c r="AN7576">
        <v>1.0000000616617399</v>
      </c>
    </row>
    <row r="7577" spans="1:40" x14ac:dyDescent="0.25">
      <c r="A7577" t="str">
        <f>"20190303154712193"</f>
        <v>20190303154712193</v>
      </c>
      <c r="B7577" t="str">
        <f>"1551599232189861"</f>
        <v>1551599232189861</v>
      </c>
      <c r="C7577" t="s">
        <v>40</v>
      </c>
      <c r="D7577">
        <v>5.1641779999999997</v>
      </c>
      <c r="E7577">
        <v>0.54594209999999999</v>
      </c>
      <c r="F7577" t="s">
        <v>41</v>
      </c>
      <c r="G7577">
        <v>-167.84710000000001</v>
      </c>
      <c r="H7577" s="1">
        <v>-1.6933660000000001E-6</v>
      </c>
      <c r="I7577">
        <v>136.30000000000001</v>
      </c>
      <c r="J7577">
        <v>-179.2791</v>
      </c>
      <c r="K7577">
        <v>1.1081749999999999</v>
      </c>
      <c r="L7577">
        <v>136.46789999999999</v>
      </c>
      <c r="M7577">
        <v>0.78782129999999995</v>
      </c>
      <c r="N7577">
        <v>-1.0614409999999999E-2</v>
      </c>
      <c r="O7577">
        <v>0.61581249999999998</v>
      </c>
      <c r="P7577">
        <v>0.9913999</v>
      </c>
      <c r="Q7577">
        <v>-7.0412680000000005E-2</v>
      </c>
      <c r="R7577">
        <v>0.11031100000000001</v>
      </c>
      <c r="S7577">
        <v>3.0099490000000002</v>
      </c>
      <c r="T7577">
        <v>-0.28732000000000002</v>
      </c>
      <c r="U7577">
        <v>-1.222229E-2</v>
      </c>
      <c r="V7577">
        <v>0.52159820000000001</v>
      </c>
      <c r="W7577">
        <v>-7.683914E-2</v>
      </c>
      <c r="X7577">
        <v>0.84972409999999998</v>
      </c>
      <c r="Y7577">
        <v>0.61409340000000001</v>
      </c>
      <c r="Z7577">
        <v>-8.0783389999999997E-2</v>
      </c>
      <c r="AA7577">
        <v>0.78508809999999996</v>
      </c>
      <c r="AB7577">
        <v>23</v>
      </c>
      <c r="AC7577">
        <v>11.431999999999899</v>
      </c>
      <c r="AD7577">
        <v>-1.108176693366</v>
      </c>
      <c r="AE7577">
        <v>-0.16789999999997399</v>
      </c>
      <c r="AF7577">
        <v>7.1058901527448199</v>
      </c>
      <c r="AG7577">
        <v>-1.108176693366</v>
      </c>
      <c r="AH7577">
        <v>8.8206128624041291</v>
      </c>
      <c r="AI7577">
        <v>95.587835523057606</v>
      </c>
      <c r="AJ7577">
        <v>51.145063907781498</v>
      </c>
      <c r="AK7577">
        <v>11.380902500021801</v>
      </c>
      <c r="AL7577">
        <v>94.406902318220901</v>
      </c>
      <c r="AM7577">
        <v>58.456558683862802</v>
      </c>
      <c r="AN7577">
        <v>0.99999999089999403</v>
      </c>
    </row>
    <row r="7578" spans="1:40" x14ac:dyDescent="0.25">
      <c r="A7578" t="str">
        <f>"20190303154712216"</f>
        <v>20190303154712216</v>
      </c>
      <c r="B7578" t="str">
        <f>"1551599232209381"</f>
        <v>1551599232209381</v>
      </c>
      <c r="C7578" t="s">
        <v>40</v>
      </c>
      <c r="D7578">
        <v>5.3263989999999897</v>
      </c>
      <c r="E7578">
        <v>0.54559869999999899</v>
      </c>
      <c r="F7578" t="s">
        <v>41</v>
      </c>
      <c r="G7578">
        <v>-167.42160000000001</v>
      </c>
      <c r="H7578" s="1">
        <v>-1.8486369999999999E-6</v>
      </c>
      <c r="I7578">
        <v>136.3305</v>
      </c>
      <c r="J7578">
        <v>-179.07220000000001</v>
      </c>
      <c r="K7578">
        <v>1.10806</v>
      </c>
      <c r="L7578">
        <v>136.60249999999999</v>
      </c>
      <c r="M7578">
        <v>0.79975240000000003</v>
      </c>
      <c r="N7578">
        <v>-1.083639E-2</v>
      </c>
      <c r="O7578">
        <v>0.60023219999999899</v>
      </c>
      <c r="P7578">
        <v>0.99252269999999998</v>
      </c>
      <c r="Q7578">
        <v>-6.9952169999999994E-2</v>
      </c>
      <c r="R7578">
        <v>0.1000284</v>
      </c>
      <c r="S7578">
        <v>3.0099179999999999</v>
      </c>
      <c r="T7578">
        <v>-0.28129979999999999</v>
      </c>
      <c r="U7578">
        <v>-3.4866330000000001E-2</v>
      </c>
      <c r="V7578">
        <v>0.51373329999999995</v>
      </c>
      <c r="W7578">
        <v>-7.6074450000000002E-2</v>
      </c>
      <c r="X7578">
        <v>0.85457059999999996</v>
      </c>
      <c r="Y7578">
        <v>0.60482230000000003</v>
      </c>
      <c r="Z7578">
        <v>-7.753931E-2</v>
      </c>
      <c r="AA7578">
        <v>0.79257659999999996</v>
      </c>
      <c r="AB7578">
        <v>23</v>
      </c>
      <c r="AC7578">
        <v>11.650599999999899</v>
      </c>
      <c r="AD7578">
        <v>-1.108061848637</v>
      </c>
      <c r="AE7578">
        <v>-0.27199999999999103</v>
      </c>
      <c r="AF7578">
        <v>7.1464137402467403</v>
      </c>
      <c r="AG7578">
        <v>-1.108061848637</v>
      </c>
      <c r="AH7578">
        <v>9.0728460784890501</v>
      </c>
      <c r="AI7578">
        <v>95.480262954082605</v>
      </c>
      <c r="AJ7578">
        <v>51.773536744537203</v>
      </c>
      <c r="AK7578">
        <v>11.602394854991999</v>
      </c>
      <c r="AL7578">
        <v>94.362959847141099</v>
      </c>
      <c r="AM7578">
        <v>58.9874163700458</v>
      </c>
      <c r="AN7578">
        <v>1.0000000679280201</v>
      </c>
    </row>
    <row r="7579" spans="1:40" x14ac:dyDescent="0.25">
      <c r="A7579" t="str">
        <f>"20190303154712237"</f>
        <v>20190303154712237</v>
      </c>
      <c r="B7579" t="str">
        <f>"1551599232228901"</f>
        <v>1551599232228901</v>
      </c>
      <c r="C7579" t="s">
        <v>40</v>
      </c>
      <c r="D7579">
        <v>5.3395409999999996</v>
      </c>
      <c r="E7579">
        <v>0.54532559999999997</v>
      </c>
      <c r="F7579" t="s">
        <v>41</v>
      </c>
      <c r="G7579">
        <v>-167.01390000000001</v>
      </c>
      <c r="H7579" s="1">
        <v>-2.0004329999999998E-6</v>
      </c>
      <c r="I7579">
        <v>136.34829999999999</v>
      </c>
      <c r="J7579">
        <v>-178.86969999999999</v>
      </c>
      <c r="K7579">
        <v>1.1079680000000001</v>
      </c>
      <c r="L7579">
        <v>136.7285</v>
      </c>
      <c r="M7579">
        <v>0.81104659999999995</v>
      </c>
      <c r="N7579">
        <v>-1.109278E-2</v>
      </c>
      <c r="O7579">
        <v>0.58487639999999996</v>
      </c>
      <c r="P7579">
        <v>0.99339770000000005</v>
      </c>
      <c r="Q7579">
        <v>-7.0789050000000006E-2</v>
      </c>
      <c r="R7579">
        <v>9.0277739999999995E-2</v>
      </c>
      <c r="S7579">
        <v>3.009506</v>
      </c>
      <c r="T7579">
        <v>-0.27655200000000002</v>
      </c>
      <c r="U7579">
        <v>-6.3430790000000001E-2</v>
      </c>
      <c r="V7579">
        <v>0.50574989999999997</v>
      </c>
      <c r="W7579">
        <v>-7.6536460000000001E-2</v>
      </c>
      <c r="X7579">
        <v>0.85927830000000005</v>
      </c>
      <c r="Y7579">
        <v>0.5974235</v>
      </c>
      <c r="Z7579">
        <v>-7.4813879999999999E-2</v>
      </c>
      <c r="AA7579">
        <v>0.79842849999999999</v>
      </c>
      <c r="AB7579">
        <v>23</v>
      </c>
      <c r="AC7579">
        <v>11.855799999999901</v>
      </c>
      <c r="AD7579">
        <v>-1.107970000433</v>
      </c>
      <c r="AE7579">
        <v>-0.38020000000000198</v>
      </c>
      <c r="AF7579">
        <v>7.1803371232162503</v>
      </c>
      <c r="AG7579">
        <v>-1.107970000433</v>
      </c>
      <c r="AH7579">
        <v>9.3125652081971495</v>
      </c>
      <c r="AI7579">
        <v>95.382561026840904</v>
      </c>
      <c r="AJ7579">
        <v>52.3664287444116</v>
      </c>
      <c r="AK7579">
        <v>11.811380507028799</v>
      </c>
      <c r="AL7579">
        <v>94.389508796822895</v>
      </c>
      <c r="AM7579">
        <v>59.519988393574103</v>
      </c>
      <c r="AN7579">
        <v>0.99999999395511496</v>
      </c>
    </row>
    <row r="7580" spans="1:40" x14ac:dyDescent="0.25">
      <c r="A7580" t="str">
        <f>"20190303154712260"</f>
        <v>20190303154712260</v>
      </c>
      <c r="B7580" t="str">
        <f>"1551599232249397"</f>
        <v>1551599232249397</v>
      </c>
      <c r="C7580" t="s">
        <v>40</v>
      </c>
      <c r="D7580">
        <v>5.4482670000000004</v>
      </c>
      <c r="E7580">
        <v>0.54505539999999997</v>
      </c>
      <c r="F7580" t="s">
        <v>41</v>
      </c>
      <c r="G7580">
        <v>-166.74080000000001</v>
      </c>
      <c r="H7580" s="1">
        <v>-2.1015039999999998E-6</v>
      </c>
      <c r="I7580">
        <v>136.36259999999999</v>
      </c>
      <c r="J7580">
        <v>-178.66079999999999</v>
      </c>
      <c r="K7580">
        <v>1.107907</v>
      </c>
      <c r="L7580">
        <v>136.85299999999901</v>
      </c>
      <c r="M7580">
        <v>0.82231339999999997</v>
      </c>
      <c r="N7580">
        <v>-1.1411599999999999E-2</v>
      </c>
      <c r="O7580">
        <v>0.56892049999999905</v>
      </c>
      <c r="P7580">
        <v>0.99371849999999995</v>
      </c>
      <c r="Q7580">
        <v>-7.3706240000000006E-2</v>
      </c>
      <c r="R7580">
        <v>8.4207560000000001E-2</v>
      </c>
      <c r="S7580">
        <v>3.008591</v>
      </c>
      <c r="T7580">
        <v>-0.27483370000000001</v>
      </c>
      <c r="U7580">
        <v>-9.0744019999999995E-2</v>
      </c>
      <c r="V7580">
        <v>0.4939694</v>
      </c>
      <c r="W7580">
        <v>-7.8851519999999994E-2</v>
      </c>
      <c r="X7580">
        <v>0.86589640000000001</v>
      </c>
      <c r="Y7580">
        <v>0.58916239999999998</v>
      </c>
      <c r="Z7580">
        <v>-7.2866319999999998E-2</v>
      </c>
      <c r="AA7580">
        <v>0.80472239999999995</v>
      </c>
      <c r="AB7580">
        <v>24</v>
      </c>
      <c r="AC7580">
        <v>11.9199999999999</v>
      </c>
      <c r="AD7580">
        <v>-1.1079091015039999</v>
      </c>
      <c r="AE7580">
        <v>-0.49039999999999401</v>
      </c>
      <c r="AF7580">
        <v>7.1238247607552898</v>
      </c>
      <c r="AG7580">
        <v>-1.1079091015039999</v>
      </c>
      <c r="AH7580">
        <v>9.4421652350556595</v>
      </c>
      <c r="AI7580">
        <v>95.351153047085901</v>
      </c>
      <c r="AJ7580">
        <v>52.966563793999399</v>
      </c>
      <c r="AK7580">
        <v>11.879849583443301</v>
      </c>
      <c r="AL7580">
        <v>94.522554343586194</v>
      </c>
      <c r="AM7580">
        <v>60.296464690765802</v>
      </c>
      <c r="AN7580">
        <v>0.99999995293781396</v>
      </c>
    </row>
    <row r="7581" spans="1:40" x14ac:dyDescent="0.25">
      <c r="A7581" t="str">
        <f>"20190303154712294"</f>
        <v>20190303154712294</v>
      </c>
      <c r="B7581" t="str">
        <f>"1551599232289413"</f>
        <v>1551599232289413</v>
      </c>
      <c r="C7581" t="s">
        <v>40</v>
      </c>
      <c r="D7581">
        <v>5.4348429999999999</v>
      </c>
      <c r="E7581">
        <v>0.54393910000000001</v>
      </c>
      <c r="F7581" t="s">
        <v>41</v>
      </c>
      <c r="G7581">
        <v>-166.9058</v>
      </c>
      <c r="H7581" s="1">
        <v>-2.019042E-6</v>
      </c>
      <c r="I7581">
        <v>136.43450000000001</v>
      </c>
      <c r="J7581">
        <v>-178.33670000000001</v>
      </c>
      <c r="K7581">
        <v>1.1079699999999999</v>
      </c>
      <c r="L7581">
        <v>137.03440000000001</v>
      </c>
      <c r="M7581">
        <v>0.83897630000000001</v>
      </c>
      <c r="N7581">
        <v>-1.20895E-2</v>
      </c>
      <c r="O7581">
        <v>0.54403359999999901</v>
      </c>
      <c r="P7581">
        <v>0.99476419999999999</v>
      </c>
      <c r="Q7581">
        <v>-7.8213480000000002E-2</v>
      </c>
      <c r="R7581">
        <v>6.5777929999999998E-2</v>
      </c>
      <c r="S7581">
        <v>3.007034</v>
      </c>
      <c r="T7581">
        <v>-0.28341260000000001</v>
      </c>
      <c r="U7581">
        <v>-0.10704039999999999</v>
      </c>
      <c r="V7581">
        <v>0.48374810000000001</v>
      </c>
      <c r="W7581">
        <v>-8.2453929999999995E-2</v>
      </c>
      <c r="X7581">
        <v>0.87131460000000005</v>
      </c>
      <c r="Y7581">
        <v>0.56912039999999997</v>
      </c>
      <c r="Z7581">
        <v>-7.2393680000000002E-2</v>
      </c>
      <c r="AA7581">
        <v>0.81906109999999999</v>
      </c>
      <c r="AB7581">
        <v>24</v>
      </c>
      <c r="AC7581">
        <v>11.430899999999999</v>
      </c>
      <c r="AD7581">
        <v>-1.1079720190419999</v>
      </c>
      <c r="AE7581">
        <v>-0.599899999999991</v>
      </c>
      <c r="AF7581">
        <v>6.6601864533504003</v>
      </c>
      <c r="AG7581">
        <v>-1.1079720190419999</v>
      </c>
      <c r="AH7581">
        <v>9.1785699381067296</v>
      </c>
      <c r="AI7581">
        <v>95.580172409003495</v>
      </c>
      <c r="AJ7581">
        <v>54.0344774662262</v>
      </c>
      <c r="AK7581">
        <v>11.3943771965425</v>
      </c>
      <c r="AL7581">
        <v>94.7296317218116</v>
      </c>
      <c r="AM7581">
        <v>60.961255225415201</v>
      </c>
      <c r="AN7581">
        <v>1.0000000034995999</v>
      </c>
    </row>
    <row r="7582" spans="1:40" x14ac:dyDescent="0.25">
      <c r="A7582" t="str">
        <f>"20190303154712315"</f>
        <v>20190303154712315</v>
      </c>
      <c r="B7582" t="str">
        <f>"1551599232309909"</f>
        <v>1551599232309909</v>
      </c>
      <c r="C7582" t="s">
        <v>40</v>
      </c>
      <c r="D7582">
        <v>5.418158</v>
      </c>
      <c r="E7582">
        <v>0.54331049999999903</v>
      </c>
      <c r="F7582" t="s">
        <v>41</v>
      </c>
      <c r="G7582">
        <v>-167.0676</v>
      </c>
      <c r="H7582" s="1">
        <v>-1.9511050000000002E-6</v>
      </c>
      <c r="I7582">
        <v>136.4562</v>
      </c>
      <c r="J7582">
        <v>-178.12520000000001</v>
      </c>
      <c r="K7582">
        <v>1.10806</v>
      </c>
      <c r="L7582">
        <v>137.1463</v>
      </c>
      <c r="M7582">
        <v>0.84935309999999897</v>
      </c>
      <c r="N7582">
        <v>-1.2608599999999999E-2</v>
      </c>
      <c r="O7582">
        <v>0.52767430000000004</v>
      </c>
      <c r="P7582">
        <v>0.99537299999999995</v>
      </c>
      <c r="Q7582">
        <v>-7.9481750000000004E-2</v>
      </c>
      <c r="R7582">
        <v>5.3994350000000003E-2</v>
      </c>
      <c r="S7582">
        <v>3.0027620000000002</v>
      </c>
      <c r="T7582">
        <v>-0.29523110000000002</v>
      </c>
      <c r="U7582">
        <v>-0.15406800000000001</v>
      </c>
      <c r="V7582">
        <v>0.47710459999999899</v>
      </c>
      <c r="W7582">
        <v>-8.3017010000000002E-2</v>
      </c>
      <c r="X7582">
        <v>0.87491679999999905</v>
      </c>
      <c r="Y7582">
        <v>0.56574959999999996</v>
      </c>
      <c r="Z7582">
        <v>-7.4209150000000002E-2</v>
      </c>
      <c r="AA7582">
        <v>0.82123099999999905</v>
      </c>
      <c r="AB7582">
        <v>23</v>
      </c>
      <c r="AC7582">
        <v>11.057600000000001</v>
      </c>
      <c r="AD7582">
        <v>-1.1080619511049901</v>
      </c>
      <c r="AE7582">
        <v>-0.69010000000000105</v>
      </c>
      <c r="AF7582">
        <v>6.3578649691025797</v>
      </c>
      <c r="AG7582">
        <v>-1.1080619511049901</v>
      </c>
      <c r="AH7582">
        <v>8.9389633049048491</v>
      </c>
      <c r="AI7582">
        <v>95.768110103652901</v>
      </c>
      <c r="AJ7582">
        <v>54.577543635845899</v>
      </c>
      <c r="AK7582">
        <v>11.0252126156035</v>
      </c>
      <c r="AL7582">
        <v>94.762004764010697</v>
      </c>
      <c r="AM7582">
        <v>61.395735780739898</v>
      </c>
      <c r="AN7582">
        <v>1.0000000151063699</v>
      </c>
    </row>
    <row r="7583" spans="1:40" x14ac:dyDescent="0.25">
      <c r="A7583" t="str">
        <f>"20190303154712338"</f>
        <v>20190303154712338</v>
      </c>
      <c r="B7583" t="str">
        <f>"1551599232329429"</f>
        <v>1551599232329429</v>
      </c>
      <c r="C7583" t="s">
        <v>40</v>
      </c>
      <c r="D7583">
        <v>5.49986</v>
      </c>
      <c r="E7583">
        <v>0.54309659999999904</v>
      </c>
      <c r="F7583" t="s">
        <v>41</v>
      </c>
      <c r="G7583">
        <v>-166.9272</v>
      </c>
      <c r="H7583" s="1">
        <v>-2.004999E-6</v>
      </c>
      <c r="I7583">
        <v>136.4564</v>
      </c>
      <c r="J7583">
        <v>-177.9119</v>
      </c>
      <c r="K7583">
        <v>1.108141</v>
      </c>
      <c r="L7583">
        <v>137.25380000000001</v>
      </c>
      <c r="M7583">
        <v>0.85943210000000003</v>
      </c>
      <c r="N7583">
        <v>-1.312817E-2</v>
      </c>
      <c r="O7583">
        <v>0.51108129999999996</v>
      </c>
      <c r="P7583">
        <v>0.99597190000000002</v>
      </c>
      <c r="Q7583">
        <v>-7.9336459999999998E-2</v>
      </c>
      <c r="R7583">
        <v>4.1784559999999998E-2</v>
      </c>
      <c r="S7583">
        <v>3.0002900000000001</v>
      </c>
      <c r="T7583">
        <v>-0.29688350000000002</v>
      </c>
      <c r="U7583">
        <v>-0.18484500000000001</v>
      </c>
      <c r="V7583">
        <v>0.47087010000000001</v>
      </c>
      <c r="W7583">
        <v>-8.2176029999999997E-2</v>
      </c>
      <c r="X7583">
        <v>0.87836689999999995</v>
      </c>
      <c r="Y7583">
        <v>0.55823800000000001</v>
      </c>
      <c r="Z7583">
        <v>-7.2979260000000004E-2</v>
      </c>
      <c r="AA7583">
        <v>0.82646500000000001</v>
      </c>
      <c r="AB7583">
        <v>23</v>
      </c>
      <c r="AC7583">
        <v>10.9847</v>
      </c>
      <c r="AD7583">
        <v>-1.108143004999</v>
      </c>
      <c r="AE7583">
        <v>-0.79740000000000999</v>
      </c>
      <c r="AF7583">
        <v>6.2367904588678504</v>
      </c>
      <c r="AG7583">
        <v>-1.108143004999</v>
      </c>
      <c r="AH7583">
        <v>8.9433081819837295</v>
      </c>
      <c r="AI7583">
        <v>95.803296506536995</v>
      </c>
      <c r="AJ7583">
        <v>55.109256453744301</v>
      </c>
      <c r="AK7583">
        <v>10.959393112088399</v>
      </c>
      <c r="AL7583">
        <v>94.713655111827507</v>
      </c>
      <c r="AM7583">
        <v>61.805375670756597</v>
      </c>
      <c r="AN7583">
        <v>0.99999998099808995</v>
      </c>
    </row>
    <row r="7584" spans="1:40" x14ac:dyDescent="0.25">
      <c r="A7584" t="str">
        <f>"20190303154712362"</f>
        <v>20190303154712362</v>
      </c>
      <c r="B7584" t="str">
        <f>"1551599232348948"</f>
        <v>1551599232348948</v>
      </c>
      <c r="C7584" t="s">
        <v>40</v>
      </c>
      <c r="D7584">
        <v>5.5148950000000001</v>
      </c>
      <c r="E7584">
        <v>0.54302819999999996</v>
      </c>
      <c r="F7584" t="s">
        <v>41</v>
      </c>
      <c r="G7584">
        <v>-166.73089999999999</v>
      </c>
      <c r="H7584" s="1">
        <v>-2.0903830000000001E-6</v>
      </c>
      <c r="I7584">
        <v>136.43350000000001</v>
      </c>
      <c r="J7584">
        <v>-177.6841</v>
      </c>
      <c r="K7584">
        <v>1.1081890000000001</v>
      </c>
      <c r="L7584">
        <v>137.363</v>
      </c>
      <c r="M7584">
        <v>0.86975619999999998</v>
      </c>
      <c r="N7584">
        <v>-1.363808E-2</v>
      </c>
      <c r="O7584">
        <v>0.49329319999999999</v>
      </c>
      <c r="P7584">
        <v>0.99637200000000004</v>
      </c>
      <c r="Q7584">
        <v>-8.0393870000000006E-2</v>
      </c>
      <c r="R7584">
        <v>2.7922530000000001E-2</v>
      </c>
      <c r="S7584">
        <v>2.9977109999999998</v>
      </c>
      <c r="T7584">
        <v>-0.29710049999999999</v>
      </c>
      <c r="U7584">
        <v>-0.2199402</v>
      </c>
      <c r="V7584">
        <v>0.46496290000000001</v>
      </c>
      <c r="W7584">
        <v>-8.2572569999999998E-2</v>
      </c>
      <c r="X7584">
        <v>0.88147109999999995</v>
      </c>
      <c r="Y7584">
        <v>0.55096880000000004</v>
      </c>
      <c r="Z7584">
        <v>-7.1291030000000005E-2</v>
      </c>
      <c r="AA7584">
        <v>0.83147519999999997</v>
      </c>
      <c r="AB7584">
        <v>23</v>
      </c>
      <c r="AC7584">
        <v>10.953200000000001</v>
      </c>
      <c r="AD7584">
        <v>-1.1081910903829999</v>
      </c>
      <c r="AE7584">
        <v>-0.92949999999999</v>
      </c>
      <c r="AF7584">
        <v>6.1496548926961099</v>
      </c>
      <c r="AG7584">
        <v>-1.1081910903829999</v>
      </c>
      <c r="AH7584">
        <v>8.9776986533587699</v>
      </c>
      <c r="AI7584">
        <v>95.814803302242694</v>
      </c>
      <c r="AJ7584">
        <v>55.5891549700385</v>
      </c>
      <c r="AK7584">
        <v>10.9382547009376</v>
      </c>
      <c r="AL7584">
        <v>94.736452502885996</v>
      </c>
      <c r="AM7584">
        <v>62.189019545111101</v>
      </c>
      <c r="AN7584">
        <v>1.0000000139140099</v>
      </c>
    </row>
    <row r="7585" spans="1:40" x14ac:dyDescent="0.25">
      <c r="A7585" t="str">
        <f>"20190303154712384"</f>
        <v>20190303154712384</v>
      </c>
      <c r="B7585" t="str">
        <f>"1551599232379205"</f>
        <v>1551599232379205</v>
      </c>
      <c r="C7585" t="s">
        <v>40</v>
      </c>
      <c r="D7585">
        <v>5.4385620000000001</v>
      </c>
      <c r="E7585">
        <v>0.54287980000000002</v>
      </c>
      <c r="F7585" t="s">
        <v>41</v>
      </c>
      <c r="G7585">
        <v>-166.66589999999999</v>
      </c>
      <c r="H7585" s="1">
        <v>-2.1265939999999999E-6</v>
      </c>
      <c r="I7585">
        <v>136.4025</v>
      </c>
      <c r="J7585">
        <v>-177.46619999999999</v>
      </c>
      <c r="K7585">
        <v>1.1082099999999999</v>
      </c>
      <c r="L7585">
        <v>137.4616</v>
      </c>
      <c r="M7585">
        <v>0.87918180000000001</v>
      </c>
      <c r="N7585">
        <v>-1.406816E-2</v>
      </c>
      <c r="O7585">
        <v>0.47627890000000001</v>
      </c>
      <c r="P7585">
        <v>0.99649410000000005</v>
      </c>
      <c r="Q7585">
        <v>-8.199497E-2</v>
      </c>
      <c r="R7585">
        <v>1.6639919999999999E-2</v>
      </c>
      <c r="S7585">
        <v>2.9939420000000001</v>
      </c>
      <c r="T7585">
        <v>-0.3011259</v>
      </c>
      <c r="U7585">
        <v>-0.26101679999999999</v>
      </c>
      <c r="V7585">
        <v>0.45769270000000001</v>
      </c>
      <c r="W7585">
        <v>-8.3530610000000005E-2</v>
      </c>
      <c r="X7585">
        <v>0.88517800000000002</v>
      </c>
      <c r="Y7585">
        <v>0.54613389999999995</v>
      </c>
      <c r="Z7585">
        <v>-7.0755410000000005E-2</v>
      </c>
      <c r="AA7585">
        <v>0.83470440000000001</v>
      </c>
      <c r="AB7585">
        <v>23</v>
      </c>
      <c r="AC7585">
        <v>10.800299999999901</v>
      </c>
      <c r="AD7585">
        <v>-1.1082121265939999</v>
      </c>
      <c r="AE7585">
        <v>-1.0590999999999999</v>
      </c>
      <c r="AF7585">
        <v>6.0129913741076404</v>
      </c>
      <c r="AG7585">
        <v>-1.1082121265939999</v>
      </c>
      <c r="AH7585">
        <v>8.8990861592005395</v>
      </c>
      <c r="AI7585">
        <v>95.891187645988097</v>
      </c>
      <c r="AJ7585">
        <v>55.953641296214002</v>
      </c>
      <c r="AK7585">
        <v>10.7971261848464</v>
      </c>
      <c r="AL7585">
        <v>94.791534364921503</v>
      </c>
      <c r="AM7585">
        <v>62.658192688146798</v>
      </c>
      <c r="AN7585">
        <v>1.00000003106213</v>
      </c>
    </row>
    <row r="7586" spans="1:40" x14ac:dyDescent="0.25">
      <c r="A7586" t="str">
        <f>"20190303154712406"</f>
        <v>20190303154712406</v>
      </c>
      <c r="B7586" t="str">
        <f>"1551599232399701"</f>
        <v>1551599232399701</v>
      </c>
      <c r="C7586" t="s">
        <v>40</v>
      </c>
      <c r="D7586">
        <v>5.3121660000000004</v>
      </c>
      <c r="E7586">
        <v>0.54284080000000001</v>
      </c>
      <c r="F7586" t="s">
        <v>41</v>
      </c>
      <c r="G7586">
        <v>-166.57679999999999</v>
      </c>
      <c r="H7586" s="1">
        <v>-2.1705630000000001E-6</v>
      </c>
      <c r="I7586">
        <v>136.392</v>
      </c>
      <c r="J7586">
        <v>-177.24250000000001</v>
      </c>
      <c r="K7586">
        <v>1.1082399999999999</v>
      </c>
      <c r="L7586">
        <v>137.5574</v>
      </c>
      <c r="M7586">
        <v>0.88841219999999999</v>
      </c>
      <c r="N7586">
        <v>-1.445869E-2</v>
      </c>
      <c r="O7586">
        <v>0.45881889999999997</v>
      </c>
      <c r="P7586">
        <v>0.99646120000000005</v>
      </c>
      <c r="Q7586">
        <v>-8.3810770000000007E-2</v>
      </c>
      <c r="R7586">
        <v>6.4342050000000001E-3</v>
      </c>
      <c r="S7586">
        <v>2.9904169999999999</v>
      </c>
      <c r="T7586">
        <v>-0.30433549999999998</v>
      </c>
      <c r="U7586">
        <v>-0.29373169999999998</v>
      </c>
      <c r="V7586">
        <v>0.44915660000000002</v>
      </c>
      <c r="W7586">
        <v>-8.4670190000000006E-2</v>
      </c>
      <c r="X7586">
        <v>0.88943209999999995</v>
      </c>
      <c r="Y7586">
        <v>0.53875010000000001</v>
      </c>
      <c r="Z7586">
        <v>-6.9782540000000004E-2</v>
      </c>
      <c r="AA7586">
        <v>0.83957059999999994</v>
      </c>
      <c r="AB7586">
        <v>23</v>
      </c>
      <c r="AC7586">
        <v>10.665699999999999</v>
      </c>
      <c r="AD7586">
        <v>-1.1082421705629999</v>
      </c>
      <c r="AE7586">
        <v>-1.1654</v>
      </c>
      <c r="AF7586">
        <v>5.8670030741700998</v>
      </c>
      <c r="AG7586">
        <v>-1.1082421705629999</v>
      </c>
      <c r="AH7586">
        <v>8.8473695205966294</v>
      </c>
      <c r="AI7586">
        <v>95.959770791046196</v>
      </c>
      <c r="AJ7586">
        <v>56.4502370041779</v>
      </c>
      <c r="AK7586">
        <v>10.6736063827985</v>
      </c>
      <c r="AL7586">
        <v>94.8570594071995</v>
      </c>
      <c r="AM7586">
        <v>63.206563678388299</v>
      </c>
      <c r="AN7586">
        <v>1.0000000764543</v>
      </c>
    </row>
    <row r="7587" spans="1:40" x14ac:dyDescent="0.25">
      <c r="A7587" t="str">
        <f>"20190303154712428"</f>
        <v>20190303154712428</v>
      </c>
      <c r="B7587" t="str">
        <f>"1551599232419221"</f>
        <v>1551599232419221</v>
      </c>
      <c r="C7587" t="s">
        <v>40</v>
      </c>
      <c r="D7587">
        <v>5.4038519999999997</v>
      </c>
      <c r="E7587">
        <v>0.50535859999999899</v>
      </c>
      <c r="F7587" t="s">
        <v>41</v>
      </c>
      <c r="G7587">
        <v>-166.5454</v>
      </c>
      <c r="H7587" s="1">
        <v>-2.1845259999999999E-6</v>
      </c>
      <c r="I7587">
        <v>136.39699999999999</v>
      </c>
      <c r="J7587">
        <v>-177.02969999999999</v>
      </c>
      <c r="K7587">
        <v>1.108285</v>
      </c>
      <c r="L7587">
        <v>137.6438</v>
      </c>
      <c r="M7587">
        <v>0.89679619999999904</v>
      </c>
      <c r="N7587">
        <v>-1.4786519999999999E-2</v>
      </c>
      <c r="O7587">
        <v>0.4421968</v>
      </c>
      <c r="P7587">
        <v>0.99634279999999997</v>
      </c>
      <c r="Q7587">
        <v>-8.5381869999999999E-2</v>
      </c>
      <c r="R7587">
        <v>-3.3040230000000001E-3</v>
      </c>
      <c r="S7587">
        <v>2.9867249999999999</v>
      </c>
      <c r="T7587">
        <v>-0.30943039999999999</v>
      </c>
      <c r="U7587">
        <v>-0.32400509999999999</v>
      </c>
      <c r="V7587">
        <v>0.44119570000000002</v>
      </c>
      <c r="W7587">
        <v>-8.5613590000000003E-2</v>
      </c>
      <c r="X7587">
        <v>0.89331779999999905</v>
      </c>
      <c r="Y7587">
        <v>0.53154590000000002</v>
      </c>
      <c r="Z7587">
        <v>-6.9281759999999998E-2</v>
      </c>
      <c r="AA7587">
        <v>0.84419140000000004</v>
      </c>
      <c r="AB7587">
        <v>23</v>
      </c>
      <c r="AC7587">
        <v>10.4842999999999</v>
      </c>
      <c r="AD7587">
        <v>-1.1082871845260001</v>
      </c>
      <c r="AE7587">
        <v>-1.2467999999999699</v>
      </c>
      <c r="AF7587">
        <v>5.6921586642434798</v>
      </c>
      <c r="AG7587">
        <v>-1.1082871845260001</v>
      </c>
      <c r="AH7587">
        <v>8.7554439981149592</v>
      </c>
      <c r="AI7587">
        <v>96.057908282320597</v>
      </c>
      <c r="AJ7587">
        <v>56.970980036703502</v>
      </c>
      <c r="AK7587">
        <v>10.501750822907301</v>
      </c>
      <c r="AL7587">
        <v>94.911309550099404</v>
      </c>
      <c r="AM7587">
        <v>63.715953756175303</v>
      </c>
      <c r="AN7587">
        <v>1.000000012144</v>
      </c>
    </row>
    <row r="7588" spans="1:40" x14ac:dyDescent="0.25">
      <c r="A7588" t="str">
        <f>"20190303154712450"</f>
        <v>20190303154712450</v>
      </c>
      <c r="B7588" t="str">
        <f>"1551599232439717"</f>
        <v>1551599232439717</v>
      </c>
      <c r="C7588" t="s">
        <v>40</v>
      </c>
      <c r="D7588">
        <v>5.3378699999999997</v>
      </c>
      <c r="E7588">
        <v>0.4955466</v>
      </c>
      <c r="F7588" t="s">
        <v>41</v>
      </c>
      <c r="G7588">
        <v>-164.64429999999999</v>
      </c>
      <c r="H7588" s="1">
        <v>-2.9010100000000001E-6</v>
      </c>
      <c r="I7588">
        <v>137.42400000000001</v>
      </c>
      <c r="J7588">
        <v>-176.80520000000001</v>
      </c>
      <c r="K7588">
        <v>1.108349</v>
      </c>
      <c r="L7588">
        <v>137.72989999999999</v>
      </c>
      <c r="M7588">
        <v>0.90522769999999997</v>
      </c>
      <c r="N7588">
        <v>-1.50882E-2</v>
      </c>
      <c r="O7588">
        <v>0.42465910000000001</v>
      </c>
      <c r="P7588">
        <v>0.9959865</v>
      </c>
      <c r="Q7588">
        <v>-8.826196E-2</v>
      </c>
      <c r="R7588">
        <v>-1.487076E-2</v>
      </c>
      <c r="S7588">
        <v>2.98793</v>
      </c>
      <c r="T7588">
        <v>-0.26737129999999998</v>
      </c>
      <c r="U7588">
        <v>-5.3024290000000002E-2</v>
      </c>
      <c r="V7588">
        <v>0.4340099</v>
      </c>
      <c r="W7588">
        <v>-8.7887530000000005E-2</v>
      </c>
      <c r="X7588">
        <v>0.89661100000000005</v>
      </c>
      <c r="Y7588">
        <v>0.437581</v>
      </c>
      <c r="Z7588">
        <v>-5.3310450000000002E-2</v>
      </c>
      <c r="AA7588">
        <v>0.89759730000000004</v>
      </c>
      <c r="AB7588">
        <v>23</v>
      </c>
      <c r="AC7588">
        <v>12.1609</v>
      </c>
      <c r="AD7588">
        <v>-1.10835190101</v>
      </c>
      <c r="AE7588">
        <v>-0.30589999999997902</v>
      </c>
      <c r="AF7588">
        <v>5.3969628037567396</v>
      </c>
      <c r="AG7588">
        <v>-1.10835190101</v>
      </c>
      <c r="AH7588">
        <v>10.7901448721778</v>
      </c>
      <c r="AI7588">
        <v>95.248923566186605</v>
      </c>
      <c r="AJ7588">
        <v>63.426919088375001</v>
      </c>
      <c r="AK7588">
        <v>12.115398375793999</v>
      </c>
      <c r="AL7588">
        <v>95.042089592738705</v>
      </c>
      <c r="AM7588">
        <v>64.170420111574998</v>
      </c>
      <c r="AN7588">
        <v>1.0000000482742499</v>
      </c>
    </row>
    <row r="7589" spans="1:40" x14ac:dyDescent="0.25">
      <c r="A7589" t="str">
        <f>"20190303154712472"</f>
        <v>20190303154712472</v>
      </c>
      <c r="B7589" t="str">
        <f>"1551599232468997"</f>
        <v>1551599232468997</v>
      </c>
      <c r="C7589" t="s">
        <v>40</v>
      </c>
      <c r="D7589">
        <v>5.3602410000000003</v>
      </c>
      <c r="E7589">
        <v>0.49043209999999998</v>
      </c>
      <c r="F7589" t="s">
        <v>41</v>
      </c>
      <c r="G7589">
        <v>-165.67359999999999</v>
      </c>
      <c r="H7589" s="1">
        <v>-2.3667830000000001E-6</v>
      </c>
      <c r="I7589">
        <v>137.69290000000001</v>
      </c>
      <c r="J7589">
        <v>-176.57910000000001</v>
      </c>
      <c r="K7589">
        <v>1.10843799999999</v>
      </c>
      <c r="L7589">
        <v>137.8117</v>
      </c>
      <c r="M7589">
        <v>0.91330900000000004</v>
      </c>
      <c r="N7589">
        <v>-1.535104E-2</v>
      </c>
      <c r="O7589">
        <v>0.40697800000000001</v>
      </c>
      <c r="P7589">
        <v>0.99544089999999996</v>
      </c>
      <c r="Q7589">
        <v>-9.1517660000000001E-2</v>
      </c>
      <c r="R7589">
        <v>-2.6867970000000001E-2</v>
      </c>
      <c r="S7589">
        <v>2.9855649999999998</v>
      </c>
      <c r="T7589">
        <v>-0.29726560000000002</v>
      </c>
      <c r="U7589">
        <v>-9.9334720000000005E-3</v>
      </c>
      <c r="V7589">
        <v>0.4271895</v>
      </c>
      <c r="W7589">
        <v>-9.0561539999999996E-2</v>
      </c>
      <c r="X7589">
        <v>0.89961530000000001</v>
      </c>
      <c r="Y7589">
        <v>0.4064065</v>
      </c>
      <c r="Z7589">
        <v>-5.6447869999999997E-2</v>
      </c>
      <c r="AA7589">
        <v>0.91194699999999995</v>
      </c>
      <c r="AB7589">
        <v>23</v>
      </c>
      <c r="AC7589">
        <v>10.9055</v>
      </c>
      <c r="AD7589">
        <v>-1.1084403667829901</v>
      </c>
      <c r="AE7589">
        <v>-0.11879999999999299</v>
      </c>
      <c r="AF7589">
        <v>4.5008435963885303</v>
      </c>
      <c r="AG7589">
        <v>-1.1084403667829901</v>
      </c>
      <c r="AH7589">
        <v>9.8115608731886397</v>
      </c>
      <c r="AI7589">
        <v>95.862828592998596</v>
      </c>
      <c r="AJ7589">
        <v>65.357722405112696</v>
      </c>
      <c r="AK7589">
        <v>10.8514035909716</v>
      </c>
      <c r="AL7589">
        <v>95.195913020515306</v>
      </c>
      <c r="AM7589">
        <v>64.598921652691701</v>
      </c>
      <c r="AN7589">
        <v>0.99999997471575497</v>
      </c>
    </row>
    <row r="7590" spans="1:40" x14ac:dyDescent="0.25">
      <c r="A7590" t="str">
        <f>"20190303154712495"</f>
        <v>20190303154712495</v>
      </c>
      <c r="B7590" t="str">
        <f>"1551599232489493"</f>
        <v>1551599232489493</v>
      </c>
      <c r="C7590" t="s">
        <v>40</v>
      </c>
      <c r="D7590">
        <v>5.3711019999999996</v>
      </c>
      <c r="E7590">
        <v>0.48857729999999999</v>
      </c>
      <c r="F7590" t="s">
        <v>41</v>
      </c>
      <c r="G7590">
        <v>-166.20599999999999</v>
      </c>
      <c r="H7590" s="1">
        <v>-2.0973210000000002E-6</v>
      </c>
      <c r="I7590">
        <v>137.79320000000001</v>
      </c>
      <c r="J7590">
        <v>-176.34889999999999</v>
      </c>
      <c r="K7590">
        <v>1.108544</v>
      </c>
      <c r="L7590">
        <v>137.88990000000001</v>
      </c>
      <c r="M7590">
        <v>0.92111600000000005</v>
      </c>
      <c r="N7590">
        <v>-1.5580480000000001E-2</v>
      </c>
      <c r="O7590">
        <v>0.3889764</v>
      </c>
      <c r="P7590">
        <v>0.99471189999999998</v>
      </c>
      <c r="Q7590">
        <v>-9.4800280000000001E-2</v>
      </c>
      <c r="R7590">
        <v>-3.9511900000000003E-2</v>
      </c>
      <c r="S7590">
        <v>2.9842680000000001</v>
      </c>
      <c r="T7590">
        <v>-0.31889070000000003</v>
      </c>
      <c r="U7590">
        <v>-5.3253170000000004E-3</v>
      </c>
      <c r="V7590">
        <v>0.42077969999999998</v>
      </c>
      <c r="W7590">
        <v>-9.3293650000000006E-2</v>
      </c>
      <c r="X7590">
        <v>0.90235290000000001</v>
      </c>
      <c r="Y7590">
        <v>0.3866308</v>
      </c>
      <c r="Z7590">
        <v>-5.8049280000000002E-2</v>
      </c>
      <c r="AA7590">
        <v>0.92040580000000005</v>
      </c>
      <c r="AB7590">
        <v>23</v>
      </c>
      <c r="AC7590">
        <v>10.1428999999999</v>
      </c>
      <c r="AD7590">
        <v>-1.108546097321</v>
      </c>
      <c r="AE7590">
        <v>-9.6699999999998398E-2</v>
      </c>
      <c r="AF7590">
        <v>3.9872867691116398</v>
      </c>
      <c r="AG7590">
        <v>-1.108546097321</v>
      </c>
      <c r="AH7590">
        <v>9.1964617183969395</v>
      </c>
      <c r="AI7590">
        <v>96.310875842470907</v>
      </c>
      <c r="AJ7590">
        <v>66.5600132437459</v>
      </c>
      <c r="AK7590">
        <v>10.0847527667741</v>
      </c>
      <c r="AL7590">
        <v>95.353116915281504</v>
      </c>
      <c r="AM7590">
        <v>64.999706243218796</v>
      </c>
      <c r="AN7590">
        <v>1.0000000086004099</v>
      </c>
    </row>
    <row r="7591" spans="1:40" x14ac:dyDescent="0.25">
      <c r="A7591" t="str">
        <f>"20190303154712517"</f>
        <v>20190303154712517</v>
      </c>
      <c r="B7591" t="str">
        <f>"1551599232509013"</f>
        <v>1551599232509013</v>
      </c>
      <c r="C7591" t="s">
        <v>40</v>
      </c>
      <c r="D7591">
        <v>5.3847509999999996</v>
      </c>
      <c r="E7591">
        <v>0.48734870000000002</v>
      </c>
      <c r="F7591" t="s">
        <v>41</v>
      </c>
      <c r="G7591">
        <v>-166.35990000000001</v>
      </c>
      <c r="H7591" s="1">
        <v>-2.0242820000000002E-6</v>
      </c>
      <c r="I7591">
        <v>137.79470000000001</v>
      </c>
      <c r="J7591">
        <v>-176.12530000000001</v>
      </c>
      <c r="K7591">
        <v>1.1086510000000001</v>
      </c>
      <c r="L7591">
        <v>137.96119999999999</v>
      </c>
      <c r="M7591">
        <v>0.92829980000000001</v>
      </c>
      <c r="N7591">
        <v>-1.5770380000000001E-2</v>
      </c>
      <c r="O7591">
        <v>0.3714982</v>
      </c>
      <c r="P7591">
        <v>0.99398880000000001</v>
      </c>
      <c r="Q7591">
        <v>-9.7307009999999999E-2</v>
      </c>
      <c r="R7591">
        <v>-5.018131E-2</v>
      </c>
      <c r="S7591">
        <v>2.9832610000000002</v>
      </c>
      <c r="T7591">
        <v>-0.331074599999999</v>
      </c>
      <c r="U7591">
        <v>-2.842712E-2</v>
      </c>
      <c r="V7591">
        <v>0.41327419999999998</v>
      </c>
      <c r="W7591">
        <v>-9.5247380000000006E-2</v>
      </c>
      <c r="X7591">
        <v>0.90561159999999996</v>
      </c>
      <c r="Y7591">
        <v>0.37614969999999998</v>
      </c>
      <c r="Z7591">
        <v>-5.8188650000000001E-2</v>
      </c>
      <c r="AA7591">
        <v>0.92472989999999999</v>
      </c>
      <c r="AB7591">
        <v>23</v>
      </c>
      <c r="AC7591">
        <v>9.7653999999999996</v>
      </c>
      <c r="AD7591">
        <v>-1.1086530242820001</v>
      </c>
      <c r="AE7591">
        <v>-0.16649999999998499</v>
      </c>
      <c r="AF7591">
        <v>3.7347384512807902</v>
      </c>
      <c r="AG7591">
        <v>-1.1086530242820001</v>
      </c>
      <c r="AH7591">
        <v>8.8899366207979096</v>
      </c>
      <c r="AI7591">
        <v>96.558771043252804</v>
      </c>
      <c r="AJ7591">
        <v>67.212307246761</v>
      </c>
      <c r="AK7591">
        <v>9.7060989047880906</v>
      </c>
      <c r="AL7591">
        <v>95.465558212878506</v>
      </c>
      <c r="AM7591">
        <v>65.470501499221797</v>
      </c>
      <c r="AN7591">
        <v>0.99999999891853197</v>
      </c>
    </row>
    <row r="7592" spans="1:40" x14ac:dyDescent="0.25">
      <c r="A7592" t="str">
        <f>"20190303154712540"</f>
        <v>20190303154712540</v>
      </c>
      <c r="B7592" t="str">
        <f>"1551599232529509"</f>
        <v>1551599232529509</v>
      </c>
      <c r="C7592" t="s">
        <v>40</v>
      </c>
      <c r="D7592">
        <v>5.418622</v>
      </c>
      <c r="E7592">
        <v>0.48661019999999999</v>
      </c>
      <c r="F7592" t="s">
        <v>41</v>
      </c>
      <c r="G7592">
        <v>-166.42339999999999</v>
      </c>
      <c r="H7592" s="1">
        <v>-1.9940170000000001E-6</v>
      </c>
      <c r="I7592">
        <v>137.7961</v>
      </c>
      <c r="J7592">
        <v>-175.89150000000001</v>
      </c>
      <c r="K7592">
        <v>1.1087670000000001</v>
      </c>
      <c r="L7592">
        <v>138.03100000000001</v>
      </c>
      <c r="M7592">
        <v>0.93540219999999996</v>
      </c>
      <c r="N7592">
        <v>-1.5939109999999999E-2</v>
      </c>
      <c r="O7592">
        <v>0.35322599999999998</v>
      </c>
      <c r="P7592">
        <v>0.99325799999999997</v>
      </c>
      <c r="Q7592">
        <v>-9.8802459999999995E-2</v>
      </c>
      <c r="R7592">
        <v>-6.063822E-2</v>
      </c>
      <c r="S7592">
        <v>2.982224</v>
      </c>
      <c r="T7592">
        <v>-0.34078429999999998</v>
      </c>
      <c r="U7592">
        <v>-5.0735469999999998E-2</v>
      </c>
      <c r="V7592">
        <v>0.40498200000000001</v>
      </c>
      <c r="W7592">
        <v>-9.6184409999999998E-2</v>
      </c>
      <c r="X7592">
        <v>0.90925149999999999</v>
      </c>
      <c r="Y7592">
        <v>0.36480610000000002</v>
      </c>
      <c r="Z7592">
        <v>-5.7577059999999999E-2</v>
      </c>
      <c r="AA7592">
        <v>0.92930159999999995</v>
      </c>
      <c r="AB7592">
        <v>23</v>
      </c>
      <c r="AC7592">
        <v>9.4681000000000193</v>
      </c>
      <c r="AD7592">
        <v>-1.108768994017</v>
      </c>
      <c r="AE7592">
        <v>-0.23490000000000999</v>
      </c>
      <c r="AF7592">
        <v>3.5163650884890099</v>
      </c>
      <c r="AG7592">
        <v>-1.108768994017</v>
      </c>
      <c r="AH7592">
        <v>8.6559906071265402</v>
      </c>
      <c r="AI7592">
        <v>96.767877815973193</v>
      </c>
      <c r="AJ7592">
        <v>67.891296484195905</v>
      </c>
      <c r="AK7592">
        <v>9.4085262134034995</v>
      </c>
      <c r="AL7592">
        <v>95.519493288814402</v>
      </c>
      <c r="AM7592">
        <v>65.991736090833101</v>
      </c>
      <c r="AN7592">
        <v>1.0000000756516401</v>
      </c>
    </row>
    <row r="7593" spans="1:40" x14ac:dyDescent="0.25">
      <c r="A7593" t="str">
        <f>"20190303154712565"</f>
        <v>20190303154712565</v>
      </c>
      <c r="B7593" t="str">
        <f>"1551599232559765"</f>
        <v>1551599232559765</v>
      </c>
      <c r="C7593" t="s">
        <v>40</v>
      </c>
      <c r="D7593">
        <v>5.4328289999999999</v>
      </c>
      <c r="E7593">
        <v>0.4853884</v>
      </c>
      <c r="F7593" t="s">
        <v>41</v>
      </c>
      <c r="G7593">
        <v>-166.3313</v>
      </c>
      <c r="H7593" s="1">
        <v>-2.0392899999999998E-6</v>
      </c>
      <c r="I7593">
        <v>137.78649999999999</v>
      </c>
      <c r="J7593">
        <v>-175.6354</v>
      </c>
      <c r="K7593">
        <v>1.1088750000000001</v>
      </c>
      <c r="L7593">
        <v>138.10140000000001</v>
      </c>
      <c r="M7593">
        <v>0.94270960000000004</v>
      </c>
      <c r="N7593">
        <v>-1.609145E-2</v>
      </c>
      <c r="O7593">
        <v>0.33322619999999997</v>
      </c>
      <c r="P7593">
        <v>0.99254589999999998</v>
      </c>
      <c r="Q7593">
        <v>-9.9233440000000006E-2</v>
      </c>
      <c r="R7593">
        <v>-7.0748510000000001E-2</v>
      </c>
      <c r="S7593">
        <v>2.9813079999999998</v>
      </c>
      <c r="T7593">
        <v>-0.34576479999999998</v>
      </c>
      <c r="U7593">
        <v>-7.6248170000000004E-2</v>
      </c>
      <c r="V7593">
        <v>0.39487499999999998</v>
      </c>
      <c r="W7593">
        <v>-9.6013269999999998E-2</v>
      </c>
      <c r="X7593">
        <v>0.91370410000000002</v>
      </c>
      <c r="Y7593">
        <v>0.3529815</v>
      </c>
      <c r="Z7593">
        <v>-5.5813389999999997E-2</v>
      </c>
      <c r="AA7593">
        <v>0.93396409999999996</v>
      </c>
      <c r="AB7593">
        <v>23</v>
      </c>
      <c r="AC7593">
        <v>9.3041</v>
      </c>
      <c r="AD7593">
        <v>-1.10887703928999</v>
      </c>
      <c r="AE7593">
        <v>-0.314900000000022</v>
      </c>
      <c r="AF7593">
        <v>3.35013730264011</v>
      </c>
      <c r="AG7593">
        <v>-1.10887703928999</v>
      </c>
      <c r="AH7593">
        <v>8.54600295415473</v>
      </c>
      <c r="AI7593">
        <v>96.888142773378206</v>
      </c>
      <c r="AJ7593">
        <v>68.594215347111501</v>
      </c>
      <c r="AK7593">
        <v>9.2459285486762592</v>
      </c>
      <c r="AL7593">
        <v>95.509642525682807</v>
      </c>
      <c r="AM7593">
        <v>66.627474100235801</v>
      </c>
      <c r="AN7593">
        <v>0.99999999799895101</v>
      </c>
    </row>
    <row r="7594" spans="1:40" x14ac:dyDescent="0.25">
      <c r="A7594" t="str">
        <f>"20190303154712590"</f>
        <v>20190303154712590</v>
      </c>
      <c r="B7594" t="str">
        <f>"1551599232579285"</f>
        <v>1551599232579285</v>
      </c>
      <c r="C7594" t="s">
        <v>40</v>
      </c>
      <c r="D7594">
        <v>5.4203060000000001</v>
      </c>
      <c r="E7594">
        <v>0.48483130000000002</v>
      </c>
      <c r="F7594" t="s">
        <v>41</v>
      </c>
      <c r="G7594">
        <v>-166.08410000000001</v>
      </c>
      <c r="H7594" s="1">
        <v>-2.155371E-6</v>
      </c>
      <c r="I7594">
        <v>137.79069999999999</v>
      </c>
      <c r="J7594">
        <v>-175.38839999999999</v>
      </c>
      <c r="K7594">
        <v>1.1089830000000001</v>
      </c>
      <c r="L7594">
        <v>138.16380000000001</v>
      </c>
      <c r="M7594">
        <v>0.94930349999999997</v>
      </c>
      <c r="N7594">
        <v>-1.6213060000000001E-2</v>
      </c>
      <c r="O7594">
        <v>0.31394300000000003</v>
      </c>
      <c r="P7594">
        <v>0.99199000000000004</v>
      </c>
      <c r="Q7594">
        <v>-9.8983920000000003E-2</v>
      </c>
      <c r="R7594">
        <v>-7.8476290000000004E-2</v>
      </c>
      <c r="S7594">
        <v>2.9810180000000002</v>
      </c>
      <c r="T7594">
        <v>-0.34608820000000001</v>
      </c>
      <c r="U7594">
        <v>-9.6954349999999995E-2</v>
      </c>
      <c r="V7594">
        <v>0.3833994</v>
      </c>
      <c r="W7594">
        <v>-9.5161709999999997E-2</v>
      </c>
      <c r="X7594">
        <v>0.91866709999999996</v>
      </c>
      <c r="Y7594">
        <v>0.34056760000000003</v>
      </c>
      <c r="Z7594">
        <v>-5.3226719999999998E-2</v>
      </c>
      <c r="AA7594">
        <v>0.9387122</v>
      </c>
      <c r="AB7594">
        <v>23</v>
      </c>
      <c r="AC7594">
        <v>9.30429999999998</v>
      </c>
      <c r="AD7594">
        <v>-1.108985155371</v>
      </c>
      <c r="AE7594">
        <v>-0.37310000000002203</v>
      </c>
      <c r="AF7594">
        <v>3.22982468392977</v>
      </c>
      <c r="AG7594">
        <v>-1.108985155371</v>
      </c>
      <c r="AH7594">
        <v>8.5947133200450807</v>
      </c>
      <c r="AI7594">
        <v>96.887056401372504</v>
      </c>
      <c r="AJ7594">
        <v>69.404180437541598</v>
      </c>
      <c r="AK7594">
        <v>9.2482816034934707</v>
      </c>
      <c r="AL7594">
        <v>95.460627029083994</v>
      </c>
      <c r="AM7594">
        <v>67.347118152443898</v>
      </c>
      <c r="AN7594">
        <v>1.00000004579644</v>
      </c>
    </row>
    <row r="7595" spans="1:40" x14ac:dyDescent="0.25">
      <c r="A7595" t="str">
        <f>"20190303154712610"</f>
        <v>20190303154712610</v>
      </c>
      <c r="B7595" t="str">
        <f>"1551599232599781"</f>
        <v>1551599232599781</v>
      </c>
      <c r="C7595" t="s">
        <v>40</v>
      </c>
      <c r="D7595">
        <v>5.4226760000000001</v>
      </c>
      <c r="E7595">
        <v>0.4843692</v>
      </c>
      <c r="F7595" t="s">
        <v>41</v>
      </c>
      <c r="G7595">
        <v>-165.8083</v>
      </c>
      <c r="H7595" s="1">
        <v>-2.285546E-6</v>
      </c>
      <c r="I7595">
        <v>137.79169999999999</v>
      </c>
      <c r="J7595">
        <v>-175.16929999999999</v>
      </c>
      <c r="K7595">
        <v>1.1090660000000001</v>
      </c>
      <c r="L7595">
        <v>138.2149</v>
      </c>
      <c r="M7595">
        <v>0.9547911</v>
      </c>
      <c r="N7595">
        <v>-1.6303479999999999E-2</v>
      </c>
      <c r="O7595">
        <v>0.29683029999999999</v>
      </c>
      <c r="P7595">
        <v>0.99186649999999998</v>
      </c>
      <c r="Q7595">
        <v>-9.7018960000000001E-2</v>
      </c>
      <c r="R7595">
        <v>-8.2391510000000001E-2</v>
      </c>
      <c r="S7595">
        <v>2.9806210000000002</v>
      </c>
      <c r="T7595">
        <v>-0.34503590000000001</v>
      </c>
      <c r="U7595">
        <v>-0.11576839999999999</v>
      </c>
      <c r="V7595">
        <v>0.37063649999999998</v>
      </c>
      <c r="W7595">
        <v>-9.2596689999999995E-2</v>
      </c>
      <c r="X7595">
        <v>0.92415060000000004</v>
      </c>
      <c r="Y7595">
        <v>0.32977679999999998</v>
      </c>
      <c r="Z7595">
        <v>-5.0730740000000003E-2</v>
      </c>
      <c r="AA7595">
        <v>0.9426949</v>
      </c>
      <c r="AB7595">
        <v>23</v>
      </c>
      <c r="AC7595">
        <v>9.36099999999999</v>
      </c>
      <c r="AD7595">
        <v>-1.1090682855459999</v>
      </c>
      <c r="AE7595">
        <v>-0.42320000000000801</v>
      </c>
      <c r="AF7595">
        <v>3.1391449062957602</v>
      </c>
      <c r="AG7595">
        <v>-1.1090682855459999</v>
      </c>
      <c r="AH7595">
        <v>8.6915974764857094</v>
      </c>
      <c r="AI7595">
        <v>96.843599723969206</v>
      </c>
      <c r="AJ7595">
        <v>70.141797065509394</v>
      </c>
      <c r="AK7595">
        <v>9.3074233758854703</v>
      </c>
      <c r="AL7595">
        <v>95.313010765781797</v>
      </c>
      <c r="AM7595">
        <v>68.146431532830405</v>
      </c>
      <c r="AN7595">
        <v>0.99999994680578097</v>
      </c>
    </row>
    <row r="7596" spans="1:40" x14ac:dyDescent="0.25">
      <c r="A7596" t="str">
        <f>"20190303154712631"</f>
        <v>20190303154712631</v>
      </c>
      <c r="B7596" t="str">
        <f>"1551599232619301"</f>
        <v>1551599232619301</v>
      </c>
      <c r="C7596" t="s">
        <v>40</v>
      </c>
      <c r="D7596">
        <v>5.4233609999999999</v>
      </c>
      <c r="E7596">
        <v>0.48394369999999998</v>
      </c>
      <c r="F7596" t="s">
        <v>41</v>
      </c>
      <c r="G7596">
        <v>-165.41489999999999</v>
      </c>
      <c r="H7596" s="1">
        <v>-2.4683499999999998E-6</v>
      </c>
      <c r="I7596">
        <v>137.80969999999999</v>
      </c>
      <c r="J7596">
        <v>-174.95349999999999</v>
      </c>
      <c r="K7596">
        <v>1.1091420000000001</v>
      </c>
      <c r="L7596">
        <v>138.2612</v>
      </c>
      <c r="M7596">
        <v>0.9598662</v>
      </c>
      <c r="N7596">
        <v>-1.6377429999999998E-2</v>
      </c>
      <c r="O7596">
        <v>0.2799799</v>
      </c>
      <c r="P7596">
        <v>0.99179360000000005</v>
      </c>
      <c r="Q7596">
        <v>-9.5340889999999998E-2</v>
      </c>
      <c r="R7596">
        <v>-8.5179519999999995E-2</v>
      </c>
      <c r="S7596">
        <v>2.9811709999999998</v>
      </c>
      <c r="T7596">
        <v>-0.33895710000000001</v>
      </c>
      <c r="U7596">
        <v>-0.1238403</v>
      </c>
      <c r="V7596">
        <v>0.35706779999999999</v>
      </c>
      <c r="W7596">
        <v>-9.0314619999999998E-2</v>
      </c>
      <c r="X7596">
        <v>0.92970200000000003</v>
      </c>
      <c r="Y7596">
        <v>0.31600590000000001</v>
      </c>
      <c r="Z7596">
        <v>-4.7325840000000001E-2</v>
      </c>
      <c r="AA7596">
        <v>0.94757619999999998</v>
      </c>
      <c r="AB7596">
        <v>23</v>
      </c>
      <c r="AC7596">
        <v>9.5386000000000006</v>
      </c>
      <c r="AD7596">
        <v>-1.10914446835</v>
      </c>
      <c r="AE7596">
        <v>-0.45150000000001</v>
      </c>
      <c r="AF7596">
        <v>3.0630888276814199</v>
      </c>
      <c r="AG7596">
        <v>-1.10914446835</v>
      </c>
      <c r="AH7596">
        <v>8.9103722882265597</v>
      </c>
      <c r="AI7596">
        <v>96.713760207806502</v>
      </c>
      <c r="AJ7596">
        <v>71.028739057750798</v>
      </c>
      <c r="AK7596">
        <v>9.4872255656084192</v>
      </c>
      <c r="AL7596">
        <v>95.181707322716804</v>
      </c>
      <c r="AM7596">
        <v>68.989868258249501</v>
      </c>
      <c r="AN7596">
        <v>0.99999997659329198</v>
      </c>
    </row>
    <row r="7597" spans="1:40" x14ac:dyDescent="0.25">
      <c r="A7597" t="str">
        <f>"20190303154712651"</f>
        <v>20190303154712651</v>
      </c>
      <c r="B7597" t="str">
        <f>"1551599232639798"</f>
        <v>1551599232639798</v>
      </c>
      <c r="C7597" t="s">
        <v>40</v>
      </c>
      <c r="D7597">
        <v>5.4448049999999997</v>
      </c>
      <c r="E7597">
        <v>0.48357800000000001</v>
      </c>
      <c r="F7597" t="s">
        <v>41</v>
      </c>
      <c r="G7597">
        <v>-165.03919999999999</v>
      </c>
      <c r="H7597" s="1">
        <v>-2.6417940000000001E-6</v>
      </c>
      <c r="I7597">
        <v>137.833</v>
      </c>
      <c r="J7597">
        <v>-174.74780000000001</v>
      </c>
      <c r="K7597">
        <v>1.1092169999999999</v>
      </c>
      <c r="L7597">
        <v>138.30170000000001</v>
      </c>
      <c r="M7597">
        <v>0.96439739999999996</v>
      </c>
      <c r="N7597">
        <v>-1.6433739999999999E-2</v>
      </c>
      <c r="O7597">
        <v>0.26394659999999998</v>
      </c>
      <c r="P7597">
        <v>0.99169439999999998</v>
      </c>
      <c r="Q7597">
        <v>-9.4296340000000006E-2</v>
      </c>
      <c r="R7597">
        <v>-8.7467169999999997E-2</v>
      </c>
      <c r="S7597">
        <v>2.9816889999999998</v>
      </c>
      <c r="T7597">
        <v>-0.33357239999999999</v>
      </c>
      <c r="U7597">
        <v>-0.12876889999999999</v>
      </c>
      <c r="V7597">
        <v>0.343784599999999</v>
      </c>
      <c r="W7597">
        <v>-8.8696319999999995E-2</v>
      </c>
      <c r="X7597">
        <v>0.93485030000000002</v>
      </c>
      <c r="Y7597">
        <v>0.30202210000000002</v>
      </c>
      <c r="Z7597">
        <v>-4.4166980000000002E-2</v>
      </c>
      <c r="AA7597">
        <v>0.95227720000000005</v>
      </c>
      <c r="AB7597">
        <v>23</v>
      </c>
      <c r="AC7597">
        <v>9.7086000000000094</v>
      </c>
      <c r="AD7597">
        <v>-1.1092196417939999</v>
      </c>
      <c r="AE7597">
        <v>-0.468700000000012</v>
      </c>
      <c r="AF7597">
        <v>2.97621263794974</v>
      </c>
      <c r="AG7597">
        <v>-1.1092196417939999</v>
      </c>
      <c r="AH7597">
        <v>9.1216919208085603</v>
      </c>
      <c r="AI7597">
        <v>96.594377309836702</v>
      </c>
      <c r="AJ7597">
        <v>71.929604929887205</v>
      </c>
      <c r="AK7597">
        <v>9.6588546618208095</v>
      </c>
      <c r="AL7597">
        <v>95.088611848380097</v>
      </c>
      <c r="AM7597">
        <v>69.809357557341997</v>
      </c>
      <c r="AN7597">
        <v>0.99999998589439598</v>
      </c>
    </row>
    <row r="7598" spans="1:40" x14ac:dyDescent="0.25">
      <c r="A7598" t="str">
        <f>"20190303154712674"</f>
        <v>20190303154712674</v>
      </c>
      <c r="B7598" t="str">
        <f>"1551599232669334"</f>
        <v>1551599232669334</v>
      </c>
      <c r="C7598" t="s">
        <v>40</v>
      </c>
      <c r="D7598">
        <v>5.4408820000000002</v>
      </c>
      <c r="E7598">
        <v>0.4834927</v>
      </c>
      <c r="F7598" t="s">
        <v>41</v>
      </c>
      <c r="G7598">
        <v>-164.7073</v>
      </c>
      <c r="H7598" s="1">
        <v>-2.7947269999999998E-6</v>
      </c>
      <c r="I7598">
        <v>137.8554</v>
      </c>
      <c r="J7598">
        <v>-174.51410000000001</v>
      </c>
      <c r="K7598">
        <v>1.109305</v>
      </c>
      <c r="L7598">
        <v>138.3434</v>
      </c>
      <c r="M7598">
        <v>0.96918210000000005</v>
      </c>
      <c r="N7598">
        <v>-1.647964E-2</v>
      </c>
      <c r="O7598">
        <v>0.24579390000000001</v>
      </c>
      <c r="P7598">
        <v>0.99118980000000001</v>
      </c>
      <c r="Q7598">
        <v>-9.7227709999999995E-2</v>
      </c>
      <c r="R7598">
        <v>-8.9943640000000005E-2</v>
      </c>
      <c r="S7598">
        <v>2.9821170000000001</v>
      </c>
      <c r="T7598">
        <v>-0.32944830000000003</v>
      </c>
      <c r="U7598">
        <v>-0.13255310000000001</v>
      </c>
      <c r="V7598">
        <v>0.32842450000000001</v>
      </c>
      <c r="W7598">
        <v>-9.0983839999999996E-2</v>
      </c>
      <c r="X7598">
        <v>0.94013789999999997</v>
      </c>
      <c r="Y7598">
        <v>0.28557149999999998</v>
      </c>
      <c r="Z7598">
        <v>-4.090067E-2</v>
      </c>
      <c r="AA7598">
        <v>0.95748420000000001</v>
      </c>
      <c r="AB7598">
        <v>23</v>
      </c>
      <c r="AC7598">
        <v>9.8068000000000097</v>
      </c>
      <c r="AD7598">
        <v>-1.109307794727</v>
      </c>
      <c r="AE7598">
        <v>-0.48799999999999899</v>
      </c>
      <c r="AF7598">
        <v>2.84745983908455</v>
      </c>
      <c r="AG7598">
        <v>-1.109307794727</v>
      </c>
      <c r="AH7598">
        <v>9.2676127110979607</v>
      </c>
      <c r="AI7598">
        <v>96.5273052613652</v>
      </c>
      <c r="AJ7598">
        <v>72.920504527369204</v>
      </c>
      <c r="AK7598">
        <v>9.7584443781550494</v>
      </c>
      <c r="AL7598">
        <v>95.2202092468074</v>
      </c>
      <c r="AM7598">
        <v>70.743826926369493</v>
      </c>
      <c r="AN7598">
        <v>0.99999999117890204</v>
      </c>
    </row>
    <row r="7599" spans="1:40" x14ac:dyDescent="0.25">
      <c r="A7599" t="str">
        <f>"20190303154712696"</f>
        <v>20190303154712696</v>
      </c>
      <c r="B7599" t="str">
        <f>"1551599232689831"</f>
        <v>1551599232689831</v>
      </c>
      <c r="C7599" t="s">
        <v>40</v>
      </c>
      <c r="D7599">
        <v>5.4668109999999999</v>
      </c>
      <c r="E7599">
        <v>0.48347059999999997</v>
      </c>
      <c r="F7599" t="s">
        <v>41</v>
      </c>
      <c r="G7599">
        <v>-164.75110000000001</v>
      </c>
      <c r="H7599" s="1">
        <v>-2.7683440000000002E-6</v>
      </c>
      <c r="I7599">
        <v>137.88730000000001</v>
      </c>
      <c r="J7599">
        <v>-174.27850000000001</v>
      </c>
      <c r="K7599">
        <v>1.1094269999999999</v>
      </c>
      <c r="L7599">
        <v>138.3811</v>
      </c>
      <c r="M7599">
        <v>0.97361569999999997</v>
      </c>
      <c r="N7599">
        <v>-1.6505329999999999E-2</v>
      </c>
      <c r="O7599">
        <v>0.2275962</v>
      </c>
      <c r="P7599">
        <v>0.99051369999999905</v>
      </c>
      <c r="Q7599">
        <v>-0.1010659</v>
      </c>
      <c r="R7599">
        <v>-9.3103060000000001E-2</v>
      </c>
      <c r="S7599">
        <v>2.9807890000000001</v>
      </c>
      <c r="T7599">
        <v>-0.33868789999999999</v>
      </c>
      <c r="U7599">
        <v>-0.13925170000000001</v>
      </c>
      <c r="V7599">
        <v>0.31363829999999998</v>
      </c>
      <c r="W7599">
        <v>-9.4204109999999994E-2</v>
      </c>
      <c r="X7599">
        <v>0.94485799999999998</v>
      </c>
      <c r="Y7599">
        <v>0.26978089999999999</v>
      </c>
      <c r="Z7599">
        <v>-3.9366569999999997E-2</v>
      </c>
      <c r="AA7599">
        <v>0.96211670000000005</v>
      </c>
      <c r="AB7599">
        <v>23</v>
      </c>
      <c r="AC7599">
        <v>9.5274000000000001</v>
      </c>
      <c r="AD7599">
        <v>-1.109429768344</v>
      </c>
      <c r="AE7599">
        <v>-0.49379999999999302</v>
      </c>
      <c r="AF7599">
        <v>2.6141798224309598</v>
      </c>
      <c r="AG7599">
        <v>-1.109429768344</v>
      </c>
      <c r="AH7599">
        <v>9.0426010639950505</v>
      </c>
      <c r="AI7599">
        <v>96.722027285362103</v>
      </c>
      <c r="AJ7599">
        <v>73.875629694695405</v>
      </c>
      <c r="AK7599">
        <v>9.4780485627294304</v>
      </c>
      <c r="AL7599">
        <v>95.405513136175401</v>
      </c>
      <c r="AM7599">
        <v>71.636813449927502</v>
      </c>
      <c r="AN7599">
        <v>1.00000001886589</v>
      </c>
    </row>
    <row r="7600" spans="1:40" x14ac:dyDescent="0.25">
      <c r="A7600" t="str">
        <f>"20190303154712719"</f>
        <v>20190303154712719</v>
      </c>
      <c r="B7600" t="str">
        <f>"1551599232709350"</f>
        <v>1551599232709350</v>
      </c>
      <c r="C7600" t="s">
        <v>40</v>
      </c>
      <c r="D7600">
        <v>5.4575100000000001</v>
      </c>
      <c r="E7600">
        <v>0.48341479999999998</v>
      </c>
      <c r="F7600" t="s">
        <v>41</v>
      </c>
      <c r="G7600">
        <v>-164.87469999999999</v>
      </c>
      <c r="H7600" s="1">
        <v>-2.7055490000000001E-6</v>
      </c>
      <c r="I7600">
        <v>137.91200000000001</v>
      </c>
      <c r="J7600">
        <v>-174.0489</v>
      </c>
      <c r="K7600">
        <v>1.1095919999999999</v>
      </c>
      <c r="L7600">
        <v>138.41370000000001</v>
      </c>
      <c r="M7600">
        <v>0.97755420000000004</v>
      </c>
      <c r="N7600">
        <v>-1.650927E-2</v>
      </c>
      <c r="O7600">
        <v>0.210036</v>
      </c>
      <c r="P7600">
        <v>0.98991090000000004</v>
      </c>
      <c r="Q7600">
        <v>-0.1042759</v>
      </c>
      <c r="R7600">
        <v>-9.5931219999999998E-2</v>
      </c>
      <c r="S7600">
        <v>2.978882</v>
      </c>
      <c r="T7600">
        <v>-0.35144009999999998</v>
      </c>
      <c r="U7600">
        <v>-0.1486053</v>
      </c>
      <c r="V7600">
        <v>0.2992071</v>
      </c>
      <c r="W7600">
        <v>-9.6812280000000001E-2</v>
      </c>
      <c r="X7600">
        <v>0.9492642</v>
      </c>
      <c r="Y7600">
        <v>0.255436</v>
      </c>
      <c r="Z7600">
        <v>-3.8225639999999998E-2</v>
      </c>
      <c r="AA7600">
        <v>0.96606999999999998</v>
      </c>
      <c r="AB7600">
        <v>23</v>
      </c>
      <c r="AC7600">
        <v>9.1742000000000097</v>
      </c>
      <c r="AD7600">
        <v>-1.1095947055490001</v>
      </c>
      <c r="AE7600">
        <v>-0.50169999999999904</v>
      </c>
      <c r="AF7600">
        <v>2.3829267324806498</v>
      </c>
      <c r="AG7600">
        <v>-1.1095947055490001</v>
      </c>
      <c r="AH7600">
        <v>8.7366898148880807</v>
      </c>
      <c r="AI7600">
        <v>96.985528942519807</v>
      </c>
      <c r="AJ7600">
        <v>74.743702327989297</v>
      </c>
      <c r="AK7600">
        <v>9.1235568253024102</v>
      </c>
      <c r="AL7600">
        <v>95.555636606344393</v>
      </c>
      <c r="AM7600">
        <v>72.505202092098898</v>
      </c>
      <c r="AN7600">
        <v>1.0000000138254199</v>
      </c>
    </row>
    <row r="7601" spans="1:40" x14ac:dyDescent="0.25">
      <c r="A7601" t="str">
        <f>"20190303154712740"</f>
        <v>20190303154712740</v>
      </c>
      <c r="B7601" t="str">
        <f>"1551599232729846"</f>
        <v>1551599232729846</v>
      </c>
      <c r="C7601" t="s">
        <v>40</v>
      </c>
      <c r="D7601">
        <v>5.5136979999999998</v>
      </c>
      <c r="E7601">
        <v>0.48347820000000002</v>
      </c>
      <c r="F7601" t="s">
        <v>41</v>
      </c>
      <c r="G7601">
        <v>-164.87639999999999</v>
      </c>
      <c r="H7601" s="1">
        <v>-2.7012940000000001E-6</v>
      </c>
      <c r="I7601">
        <v>137.9315</v>
      </c>
      <c r="J7601">
        <v>-173.81790000000001</v>
      </c>
      <c r="K7601">
        <v>1.1098129999999999</v>
      </c>
      <c r="L7601">
        <v>138.4426</v>
      </c>
      <c r="M7601">
        <v>0.98113689999999998</v>
      </c>
      <c r="N7601">
        <v>-1.6491309999999999E-2</v>
      </c>
      <c r="O7601">
        <v>0.19260910000000001</v>
      </c>
      <c r="P7601">
        <v>0.98914279999999999</v>
      </c>
      <c r="Q7601">
        <v>-0.1072137</v>
      </c>
      <c r="R7601">
        <v>-0.10050439999999999</v>
      </c>
      <c r="S7601">
        <v>2.9774630000000002</v>
      </c>
      <c r="T7601">
        <v>-0.36018260000000002</v>
      </c>
      <c r="U7601">
        <v>-0.15653989999999901</v>
      </c>
      <c r="V7601">
        <v>0.28661779999999998</v>
      </c>
      <c r="W7601">
        <v>-9.9205260000000003E-2</v>
      </c>
      <c r="X7601">
        <v>0.95289480000000004</v>
      </c>
      <c r="Y7601">
        <v>0.24085989999999999</v>
      </c>
      <c r="Z7601">
        <v>-3.644447E-2</v>
      </c>
      <c r="AA7601">
        <v>0.96987540000000005</v>
      </c>
      <c r="AB7601">
        <v>23</v>
      </c>
      <c r="AC7601">
        <v>8.9415000000000102</v>
      </c>
      <c r="AD7601">
        <v>-1.109815701294</v>
      </c>
      <c r="AE7601">
        <v>-0.511099999999999</v>
      </c>
      <c r="AF7601">
        <v>2.1903421248751198</v>
      </c>
      <c r="AG7601">
        <v>-1.109815701294</v>
      </c>
      <c r="AH7601">
        <v>8.5443703683457795</v>
      </c>
      <c r="AI7601">
        <v>97.171281238171701</v>
      </c>
      <c r="AJ7601">
        <v>75.621890335475996</v>
      </c>
      <c r="AK7601">
        <v>8.8901942895702</v>
      </c>
      <c r="AL7601">
        <v>95.693407815268401</v>
      </c>
      <c r="AM7601">
        <v>73.259427458498607</v>
      </c>
      <c r="AN7601">
        <v>0.99999997337777302</v>
      </c>
    </row>
    <row r="7602" spans="1:40" x14ac:dyDescent="0.25">
      <c r="A7602" t="str">
        <f>"20190303154712766"</f>
        <v>20190303154712766</v>
      </c>
      <c r="B7602" t="str">
        <f>"1551599232759126"</f>
        <v>1551599232759126</v>
      </c>
      <c r="C7602" t="s">
        <v>40</v>
      </c>
      <c r="D7602">
        <v>5.4723410000000001</v>
      </c>
      <c r="E7602">
        <v>0.48359000000000002</v>
      </c>
      <c r="F7602" t="s">
        <v>41</v>
      </c>
      <c r="G7602">
        <v>-164.84909999999999</v>
      </c>
      <c r="H7602" s="1">
        <v>-2.7147500000000001E-6</v>
      </c>
      <c r="I7602">
        <v>137.92840000000001</v>
      </c>
      <c r="J7602">
        <v>-173.56290000000001</v>
      </c>
      <c r="K7602">
        <v>1.1101399999999999</v>
      </c>
      <c r="L7602">
        <v>138.46969999999999</v>
      </c>
      <c r="M7602">
        <v>0.9846395</v>
      </c>
      <c r="N7602">
        <v>-1.6439249999999999E-2</v>
      </c>
      <c r="O7602">
        <v>0.1738247</v>
      </c>
      <c r="P7602">
        <v>0.98829840000000002</v>
      </c>
      <c r="Q7602">
        <v>-0.1104826</v>
      </c>
      <c r="R7602">
        <v>-0.1051665</v>
      </c>
      <c r="S7602">
        <v>2.9756930000000001</v>
      </c>
      <c r="T7602">
        <v>-0.36821809999999999</v>
      </c>
      <c r="U7602">
        <v>-0.1706085</v>
      </c>
      <c r="V7602">
        <v>0.27283099999999999</v>
      </c>
      <c r="W7602">
        <v>-0.1018725</v>
      </c>
      <c r="X7602">
        <v>0.95665319999999998</v>
      </c>
      <c r="Y7602">
        <v>0.2269853</v>
      </c>
      <c r="Z7602">
        <v>-3.4355570000000002E-2</v>
      </c>
      <c r="AA7602">
        <v>0.97329209999999999</v>
      </c>
      <c r="AB7602">
        <v>23</v>
      </c>
      <c r="AC7602">
        <v>8.7138000000000098</v>
      </c>
      <c r="AD7602">
        <v>-1.11014271474999</v>
      </c>
      <c r="AE7602">
        <v>-0.54129999999997802</v>
      </c>
      <c r="AF7602">
        <v>2.0153503551213201</v>
      </c>
      <c r="AG7602">
        <v>-1.11014271474999</v>
      </c>
      <c r="AH7602">
        <v>8.3519675058571199</v>
      </c>
      <c r="AI7602">
        <v>97.3624716070413</v>
      </c>
      <c r="AJ7602">
        <v>76.433726139886105</v>
      </c>
      <c r="AK7602">
        <v>8.6631065513413503</v>
      </c>
      <c r="AL7602">
        <v>95.847007265424594</v>
      </c>
      <c r="AM7602">
        <v>74.082209927129597</v>
      </c>
      <c r="AN7602">
        <v>1.0000000529437401</v>
      </c>
    </row>
    <row r="7603" spans="1:40" x14ac:dyDescent="0.25">
      <c r="A7603" t="str">
        <f>"20190303154712791"</f>
        <v>20190303154712791</v>
      </c>
      <c r="B7603" t="str">
        <f>"1551599232779158"</f>
        <v>1551599232779158</v>
      </c>
      <c r="C7603" t="s">
        <v>40</v>
      </c>
      <c r="D7603">
        <v>5.4739959999999996</v>
      </c>
      <c r="E7603">
        <v>0.48373119999999997</v>
      </c>
      <c r="F7603" t="s">
        <v>42</v>
      </c>
      <c r="G7603">
        <v>-172.66550000000001</v>
      </c>
      <c r="H7603">
        <v>0.99616470000000001</v>
      </c>
      <c r="I7603">
        <v>138.41380000000001</v>
      </c>
      <c r="J7603">
        <v>-173.2996</v>
      </c>
      <c r="K7603">
        <v>1.110555</v>
      </c>
      <c r="L7603">
        <v>138.4933</v>
      </c>
      <c r="M7603">
        <v>0.98778359999999998</v>
      </c>
      <c r="N7603">
        <v>-1.6356079999999999E-2</v>
      </c>
      <c r="O7603">
        <v>0.154971</v>
      </c>
      <c r="P7603">
        <v>0.98781319999999995</v>
      </c>
      <c r="Q7603">
        <v>-0.1124792</v>
      </c>
      <c r="R7603">
        <v>-0.107581</v>
      </c>
      <c r="S7603">
        <v>2.973541</v>
      </c>
      <c r="T7603">
        <v>-0.37775959999999997</v>
      </c>
      <c r="U7603">
        <v>-0.1855164</v>
      </c>
      <c r="V7603">
        <v>0.25689279999999998</v>
      </c>
      <c r="W7603">
        <v>-0.103206199999999</v>
      </c>
      <c r="X7603">
        <v>0.96091340000000003</v>
      </c>
      <c r="Y7603">
        <v>0.21333630000000001</v>
      </c>
      <c r="Z7603">
        <v>-3.2263819999999999E-2</v>
      </c>
      <c r="AA7603">
        <v>0.97644600000000004</v>
      </c>
      <c r="AB7603">
        <v>23</v>
      </c>
      <c r="AC7603">
        <v>0.63409999999998901</v>
      </c>
      <c r="AD7603">
        <v>-0.1143903</v>
      </c>
      <c r="AE7603">
        <v>-7.9499999999995893E-2</v>
      </c>
      <c r="AF7603">
        <v>0.17133018289125301</v>
      </c>
      <c r="AG7603">
        <v>-0.1143903</v>
      </c>
      <c r="AH7603">
        <v>0.59505026997456401</v>
      </c>
      <c r="AI7603">
        <v>100.46634690589499</v>
      </c>
      <c r="AJ7603">
        <v>73.937537911033004</v>
      </c>
      <c r="AK7603">
        <v>0.62970151349702297</v>
      </c>
      <c r="AL7603">
        <v>95.923827908565897</v>
      </c>
      <c r="AM7603">
        <v>75.032447901241497</v>
      </c>
      <c r="AN7603">
        <v>0.99999999635491998</v>
      </c>
    </row>
    <row r="7604" spans="1:40" x14ac:dyDescent="0.25">
      <c r="A7604" t="str">
        <f>"20190303154712818"</f>
        <v>20190303154712818</v>
      </c>
      <c r="B7604" t="str">
        <f>"1551599232810387"</f>
        <v>1551599232810387</v>
      </c>
      <c r="C7604" t="s">
        <v>40</v>
      </c>
      <c r="D7604">
        <v>5.5636850000000004</v>
      </c>
      <c r="E7604">
        <v>0.48395480000000002</v>
      </c>
      <c r="F7604" t="s">
        <v>42</v>
      </c>
      <c r="G7604">
        <v>-172.4606</v>
      </c>
      <c r="H7604">
        <v>1.0021690000000001</v>
      </c>
      <c r="I7604">
        <v>138.43860000000001</v>
      </c>
      <c r="J7604">
        <v>-173.02070000000001</v>
      </c>
      <c r="K7604">
        <v>1.1110279999999999</v>
      </c>
      <c r="L7604">
        <v>138.51390000000001</v>
      </c>
      <c r="M7604">
        <v>0.99063020000000002</v>
      </c>
      <c r="N7604">
        <v>-1.6249280000000001E-2</v>
      </c>
      <c r="O7604">
        <v>0.13560139999999901</v>
      </c>
      <c r="P7604">
        <v>0.98767859999999996</v>
      </c>
      <c r="Q7604">
        <v>-0.1134462</v>
      </c>
      <c r="R7604">
        <v>-0.1078008</v>
      </c>
      <c r="S7604">
        <v>2.9721829999999998</v>
      </c>
      <c r="T7604">
        <v>-0.38372699999999998</v>
      </c>
      <c r="U7604">
        <v>-0.1938629</v>
      </c>
      <c r="V7604">
        <v>0.23835980000000001</v>
      </c>
      <c r="W7604">
        <v>-0.10346610000000001</v>
      </c>
      <c r="X7604">
        <v>0.96564970000000006</v>
      </c>
      <c r="Y7604">
        <v>0.1971251</v>
      </c>
      <c r="Z7604">
        <v>-2.9468930000000001E-2</v>
      </c>
      <c r="AA7604">
        <v>0.97993529999999995</v>
      </c>
      <c r="AB7604">
        <v>23</v>
      </c>
      <c r="AC7604">
        <v>0.56010000000000504</v>
      </c>
      <c r="AD7604">
        <v>-0.108859</v>
      </c>
      <c r="AE7604">
        <v>-7.5299999999998493E-2</v>
      </c>
      <c r="AF7604">
        <v>0.145178026151359</v>
      </c>
      <c r="AG7604">
        <v>-0.108859</v>
      </c>
      <c r="AH7604">
        <v>0.52522527388699602</v>
      </c>
      <c r="AI7604">
        <v>101.297286082658</v>
      </c>
      <c r="AJ7604">
        <v>74.548617280004805</v>
      </c>
      <c r="AK7604">
        <v>0.55568743866302694</v>
      </c>
      <c r="AL7604">
        <v>95.938799294938704</v>
      </c>
      <c r="AM7604">
        <v>76.134352755191898</v>
      </c>
      <c r="AN7604">
        <v>0.99999998560766901</v>
      </c>
    </row>
    <row r="7605" spans="1:40" x14ac:dyDescent="0.25">
      <c r="A7605" t="str">
        <f>"20190303154712837"</f>
        <v>20190303154712837</v>
      </c>
      <c r="B7605" t="str">
        <f>"1551599232829907"</f>
        <v>1551599232829907</v>
      </c>
      <c r="C7605" t="s">
        <v>40</v>
      </c>
      <c r="D7605">
        <v>5.5235779999999997</v>
      </c>
      <c r="E7605">
        <v>0.48417490000000002</v>
      </c>
      <c r="F7605" t="s">
        <v>42</v>
      </c>
      <c r="G7605">
        <v>-172.2534</v>
      </c>
      <c r="H7605">
        <v>1.0117080000000001</v>
      </c>
      <c r="I7605">
        <v>138.4632</v>
      </c>
      <c r="J7605">
        <v>-172.81370000000001</v>
      </c>
      <c r="K7605">
        <v>1.111413</v>
      </c>
      <c r="L7605">
        <v>138.52610000000001</v>
      </c>
      <c r="M7605">
        <v>0.99242660000000005</v>
      </c>
      <c r="N7605">
        <v>-1.615749E-2</v>
      </c>
      <c r="O7605">
        <v>0.1217722</v>
      </c>
      <c r="P7605">
        <v>0.98808799999999997</v>
      </c>
      <c r="Q7605">
        <v>-0.1134908</v>
      </c>
      <c r="R7605">
        <v>-0.103933399999999</v>
      </c>
      <c r="S7605">
        <v>2.9718629999999999</v>
      </c>
      <c r="T7605">
        <v>-0.38454759999999999</v>
      </c>
      <c r="U7605">
        <v>-0.196106</v>
      </c>
      <c r="V7605">
        <v>0.22120110000000001</v>
      </c>
      <c r="W7605">
        <v>-0.1029201</v>
      </c>
      <c r="X7605">
        <v>0.96978220000000004</v>
      </c>
      <c r="Y7605">
        <v>0.1843795</v>
      </c>
      <c r="Z7605">
        <v>-2.706573E-2</v>
      </c>
      <c r="AA7605">
        <v>0.98248239999999998</v>
      </c>
      <c r="AB7605">
        <v>23</v>
      </c>
      <c r="AC7605">
        <v>0.56030000000001201</v>
      </c>
      <c r="AD7605">
        <v>-9.9704999999999905E-2</v>
      </c>
      <c r="AE7605">
        <v>-6.2900000000013195E-2</v>
      </c>
      <c r="AF7605">
        <v>0.126707277508085</v>
      </c>
      <c r="AG7605">
        <v>-9.9704999999999905E-2</v>
      </c>
      <c r="AH7605">
        <v>0.53183719191967505</v>
      </c>
      <c r="AI7605">
        <v>100.335368568278</v>
      </c>
      <c r="AJ7605">
        <v>76.599410096214996</v>
      </c>
      <c r="AK7605">
        <v>0.55573970517456805</v>
      </c>
      <c r="AL7605">
        <v>95.907347837250995</v>
      </c>
      <c r="AM7605">
        <v>77.151020121702302</v>
      </c>
      <c r="AN7605">
        <v>0.99999999453102995</v>
      </c>
    </row>
    <row r="7606" spans="1:40" x14ac:dyDescent="0.25">
      <c r="A7606" t="str">
        <f>"20190303154712857"</f>
        <v>20190303154712857</v>
      </c>
      <c r="B7606" t="str">
        <f>"1551599232849428"</f>
        <v>1551599232849428</v>
      </c>
      <c r="C7606" t="s">
        <v>40</v>
      </c>
      <c r="D7606">
        <v>5.5677089999999998</v>
      </c>
      <c r="E7606">
        <v>0.48431950000000001</v>
      </c>
      <c r="F7606" t="s">
        <v>42</v>
      </c>
      <c r="G7606">
        <v>-172.04900000000001</v>
      </c>
      <c r="H7606">
        <v>1.012597</v>
      </c>
      <c r="I7606">
        <v>138.47810000000001</v>
      </c>
      <c r="J7606">
        <v>-172.6123</v>
      </c>
      <c r="K7606">
        <v>1.11185</v>
      </c>
      <c r="L7606">
        <v>138.53579999999999</v>
      </c>
      <c r="M7606">
        <v>0.99392349999999996</v>
      </c>
      <c r="N7606">
        <v>-1.6051590000000001E-2</v>
      </c>
      <c r="O7606">
        <v>0.1088963</v>
      </c>
      <c r="P7606">
        <v>0.98862930000000004</v>
      </c>
      <c r="Q7606">
        <v>-0.1117277</v>
      </c>
      <c r="R7606">
        <v>-0.1006432</v>
      </c>
      <c r="S7606">
        <v>2.9725039999999998</v>
      </c>
      <c r="T7606">
        <v>-0.38361410000000001</v>
      </c>
      <c r="U7606">
        <v>-0.18615719999999999</v>
      </c>
      <c r="V7606">
        <v>0.20556679999999999</v>
      </c>
      <c r="W7606">
        <v>-0.10063</v>
      </c>
      <c r="X7606">
        <v>0.97345570000000003</v>
      </c>
      <c r="Y7606">
        <v>0.16857139999999901</v>
      </c>
      <c r="Z7606">
        <v>-2.441434E-2</v>
      </c>
      <c r="AA7606">
        <v>0.98538700000000001</v>
      </c>
      <c r="AB7606">
        <v>22</v>
      </c>
      <c r="AC7606">
        <v>0.56329999999999802</v>
      </c>
      <c r="AD7606">
        <v>-9.9252999999999994E-2</v>
      </c>
      <c r="AE7606">
        <v>-5.7699999999982703E-2</v>
      </c>
      <c r="AF7606">
        <v>0.11516758195802</v>
      </c>
      <c r="AG7606">
        <v>-9.9252999999999994E-2</v>
      </c>
      <c r="AH7606">
        <v>0.53716149185440398</v>
      </c>
      <c r="AI7606">
        <v>100.24100586957</v>
      </c>
      <c r="AJ7606">
        <v>77.898966334675507</v>
      </c>
      <c r="AK7606">
        <v>0.55826266064846697</v>
      </c>
      <c r="AL7606">
        <v>95.775449514650305</v>
      </c>
      <c r="AM7606">
        <v>78.075909676863105</v>
      </c>
      <c r="AN7606">
        <v>1.0000000530123601</v>
      </c>
    </row>
    <row r="7607" spans="1:40" x14ac:dyDescent="0.25">
      <c r="A7607" t="str">
        <f>"20190303154712882"</f>
        <v>20190303154712882</v>
      </c>
      <c r="B7607" t="str">
        <f>"1551599232869454"</f>
        <v>1551599232869454</v>
      </c>
      <c r="C7607" t="s">
        <v>40</v>
      </c>
      <c r="D7607">
        <v>5.5900319999999999</v>
      </c>
      <c r="E7607">
        <v>0.49386409999999997</v>
      </c>
      <c r="F7607" t="s">
        <v>42</v>
      </c>
      <c r="G7607">
        <v>-171.8442</v>
      </c>
      <c r="H7607">
        <v>1.014195</v>
      </c>
      <c r="I7607">
        <v>138.4898</v>
      </c>
      <c r="J7607">
        <v>-172.3623</v>
      </c>
      <c r="K7607">
        <v>1.1124559999999999</v>
      </c>
      <c r="L7607">
        <v>138.54519999999999</v>
      </c>
      <c r="M7607">
        <v>0.99547180000000002</v>
      </c>
      <c r="N7607">
        <v>-1.5897339999999999E-2</v>
      </c>
      <c r="O7607">
        <v>9.3718460000000003E-2</v>
      </c>
      <c r="P7607">
        <v>0.98881330000000001</v>
      </c>
      <c r="Q7607">
        <v>-0.1121963</v>
      </c>
      <c r="R7607">
        <v>-9.8286139999999994E-2</v>
      </c>
      <c r="S7607">
        <v>2.9737550000000001</v>
      </c>
      <c r="T7607">
        <v>-0.37779639999999998</v>
      </c>
      <c r="U7607">
        <v>-0.1775513</v>
      </c>
      <c r="V7607">
        <v>0.18852279999999999</v>
      </c>
      <c r="W7607">
        <v>-0.100546</v>
      </c>
      <c r="X7607">
        <v>0.9769082</v>
      </c>
      <c r="Y7607">
        <v>0.15096399999999999</v>
      </c>
      <c r="Z7607">
        <v>-2.110855E-2</v>
      </c>
      <c r="AA7607">
        <v>0.98831389999999997</v>
      </c>
      <c r="AB7607">
        <v>22</v>
      </c>
      <c r="AC7607">
        <v>0.518100000000004</v>
      </c>
      <c r="AD7607">
        <v>-9.8260999999999696E-2</v>
      </c>
      <c r="AE7607">
        <v>-5.5399999999991602E-2</v>
      </c>
      <c r="AF7607">
        <v>0.100155939817772</v>
      </c>
      <c r="AG7607">
        <v>-9.8260999999999696E-2</v>
      </c>
      <c r="AH7607">
        <v>0.49309071341493099</v>
      </c>
      <c r="AI7607">
        <v>101.05009962736401</v>
      </c>
      <c r="AJ7607">
        <v>78.5183558497761</v>
      </c>
      <c r="AK7607">
        <v>0.51266449853469098</v>
      </c>
      <c r="AL7607">
        <v>95.770612513027402</v>
      </c>
      <c r="AM7607">
        <v>79.077384356391505</v>
      </c>
      <c r="AN7607">
        <v>0.99999998773153997</v>
      </c>
    </row>
    <row r="7608" spans="1:40" x14ac:dyDescent="0.25">
      <c r="A7608" t="str">
        <f>"20190303154712904"</f>
        <v>20190303154712904</v>
      </c>
      <c r="B7608" t="str">
        <f>"1551599232899710"</f>
        <v>1551599232899710</v>
      </c>
      <c r="C7608" t="s">
        <v>40</v>
      </c>
      <c r="D7608">
        <v>5.6798549999999999</v>
      </c>
      <c r="E7608">
        <v>0.49047540000000001</v>
      </c>
      <c r="F7608" t="s">
        <v>42</v>
      </c>
      <c r="G7608">
        <v>-171.43680000000001</v>
      </c>
      <c r="H7608">
        <v>1.005347</v>
      </c>
      <c r="I7608">
        <v>138.4684</v>
      </c>
      <c r="J7608">
        <v>-172.12899999999999</v>
      </c>
      <c r="K7608">
        <v>1.1130549999999999</v>
      </c>
      <c r="L7608">
        <v>138.5513</v>
      </c>
      <c r="M7608">
        <v>0.99662850000000003</v>
      </c>
      <c r="N7608">
        <v>-1.573488E-2</v>
      </c>
      <c r="O7608">
        <v>8.0524269999999995E-2</v>
      </c>
      <c r="P7608">
        <v>0.98920350000000001</v>
      </c>
      <c r="Q7608">
        <v>-0.11375300000000001</v>
      </c>
      <c r="R7608">
        <v>-9.2395920000000006E-2</v>
      </c>
      <c r="S7608">
        <v>2.9704899999999999</v>
      </c>
      <c r="T7608">
        <v>-0.34353909999999999</v>
      </c>
      <c r="U7608">
        <v>-0.24615480000000001</v>
      </c>
      <c r="V7608">
        <v>0.1698691</v>
      </c>
      <c r="W7608">
        <v>-0.10157380000000001</v>
      </c>
      <c r="X7608">
        <v>0.98021789999999998</v>
      </c>
      <c r="Y7608">
        <v>0.16096289999999999</v>
      </c>
      <c r="Z7608">
        <v>-1.8539320000000001E-2</v>
      </c>
      <c r="AA7608">
        <v>0.98678630000000001</v>
      </c>
      <c r="AB7608">
        <v>22</v>
      </c>
      <c r="AC7608">
        <v>0.69220000000001303</v>
      </c>
      <c r="AD7608">
        <v>-0.107707999999999</v>
      </c>
      <c r="AE7608">
        <v>-8.2899999999995005E-2</v>
      </c>
      <c r="AF7608">
        <v>0.13515051712763601</v>
      </c>
      <c r="AG7608">
        <v>-0.107707999999999</v>
      </c>
      <c r="AH7608">
        <v>0.66734595858491896</v>
      </c>
      <c r="AI7608">
        <v>98.988919779323993</v>
      </c>
      <c r="AJ7608">
        <v>78.551334831946093</v>
      </c>
      <c r="AK7608">
        <v>0.689360068457328</v>
      </c>
      <c r="AL7608">
        <v>95.829804440380897</v>
      </c>
      <c r="AM7608">
        <v>80.168441265176597</v>
      </c>
      <c r="AN7608">
        <v>0.99999993973082801</v>
      </c>
    </row>
    <row r="7609" spans="1:40" x14ac:dyDescent="0.25">
      <c r="A7609" t="str">
        <f>"20190303154712925"</f>
        <v>20190303154712925</v>
      </c>
      <c r="B7609" t="str">
        <f>"1551599232920206"</f>
        <v>1551599232920206</v>
      </c>
      <c r="C7609" t="s">
        <v>40</v>
      </c>
      <c r="D7609">
        <v>5.6833450000000001</v>
      </c>
      <c r="E7609">
        <v>0.49140400000000001</v>
      </c>
      <c r="F7609" t="s">
        <v>42</v>
      </c>
      <c r="G7609">
        <v>-171.2424</v>
      </c>
      <c r="H7609">
        <v>0.99050340000000003</v>
      </c>
      <c r="I7609">
        <v>138.49109999999999</v>
      </c>
      <c r="J7609">
        <v>-171.92439999999999</v>
      </c>
      <c r="K7609">
        <v>1.11355</v>
      </c>
      <c r="L7609">
        <v>138.55500000000001</v>
      </c>
      <c r="M7609">
        <v>0.99745790000000001</v>
      </c>
      <c r="N7609">
        <v>-1.5597059999999999E-2</v>
      </c>
      <c r="O7609">
        <v>6.9530010000000003E-2</v>
      </c>
      <c r="P7609">
        <v>0.98969810000000003</v>
      </c>
      <c r="Q7609">
        <v>-0.1153293</v>
      </c>
      <c r="R7609">
        <v>-8.4835880000000002E-2</v>
      </c>
      <c r="S7609">
        <v>2.966812</v>
      </c>
      <c r="T7609">
        <v>-0.40974559999999999</v>
      </c>
      <c r="U7609">
        <v>-0.20140079999999999</v>
      </c>
      <c r="V7609">
        <v>0.15165809999999999</v>
      </c>
      <c r="W7609">
        <v>-0.1027092</v>
      </c>
      <c r="X7609">
        <v>0.98308220000000002</v>
      </c>
      <c r="Y7609">
        <v>0.1350037</v>
      </c>
      <c r="Z7609">
        <v>-1.8795329999999999E-2</v>
      </c>
      <c r="AA7609">
        <v>0.99066679999999996</v>
      </c>
      <c r="AB7609">
        <v>22</v>
      </c>
      <c r="AC7609">
        <v>0.68199999999998795</v>
      </c>
      <c r="AD7609">
        <v>-0.12304660000000001</v>
      </c>
      <c r="AE7609">
        <v>-6.3900000000017998E-2</v>
      </c>
      <c r="AF7609">
        <v>0.107695416423426</v>
      </c>
      <c r="AG7609">
        <v>-0.12304660000000001</v>
      </c>
      <c r="AH7609">
        <v>0.65477708517389899</v>
      </c>
      <c r="AI7609">
        <v>100.505034031075</v>
      </c>
      <c r="AJ7609">
        <v>80.659819029345499</v>
      </c>
      <c r="AK7609">
        <v>0.67488650879907397</v>
      </c>
      <c r="AL7609">
        <v>95.895199832389693</v>
      </c>
      <c r="AM7609">
        <v>81.230229488889904</v>
      </c>
      <c r="AN7609">
        <v>0.99999998550854496</v>
      </c>
    </row>
    <row r="7610" spans="1:40" x14ac:dyDescent="0.25">
      <c r="A7610" t="str">
        <f>"20190303154712948"</f>
        <v>20190303154712948</v>
      </c>
      <c r="B7610" t="str">
        <f>"1551599232939727"</f>
        <v>1551599232939727</v>
      </c>
      <c r="C7610" t="s">
        <v>40</v>
      </c>
      <c r="D7610">
        <v>5.6094629999999999</v>
      </c>
      <c r="E7610">
        <v>0.50059560000000003</v>
      </c>
      <c r="F7610" t="s">
        <v>42</v>
      </c>
      <c r="G7610">
        <v>-171.03960000000001</v>
      </c>
      <c r="H7610">
        <v>0.9904596</v>
      </c>
      <c r="I7610">
        <v>138.49950000000001</v>
      </c>
      <c r="J7610">
        <v>-171.68520000000001</v>
      </c>
      <c r="K7610">
        <v>1.1140859999999999</v>
      </c>
      <c r="L7610">
        <v>138.5573</v>
      </c>
      <c r="M7610">
        <v>0.99822670000000002</v>
      </c>
      <c r="N7610">
        <v>-1.5442910000000001E-2</v>
      </c>
      <c r="O7610">
        <v>5.7489350000000002E-2</v>
      </c>
      <c r="P7610">
        <v>0.98984260000000002</v>
      </c>
      <c r="Q7610">
        <v>-0.1172629</v>
      </c>
      <c r="R7610">
        <v>-8.0382029999999993E-2</v>
      </c>
      <c r="S7610">
        <v>2.9671479999999999</v>
      </c>
      <c r="T7610">
        <v>-0.41287679999999999</v>
      </c>
      <c r="U7610">
        <v>-0.18620300000000001</v>
      </c>
      <c r="V7610">
        <v>0.13547139999999999</v>
      </c>
      <c r="W7610">
        <v>-0.104292</v>
      </c>
      <c r="X7610">
        <v>0.98527690000000001</v>
      </c>
      <c r="Y7610">
        <v>0.11821230000000001</v>
      </c>
      <c r="Z7610">
        <v>-1.6166420000000001E-2</v>
      </c>
      <c r="AA7610">
        <v>0.99285670000000004</v>
      </c>
      <c r="AB7610">
        <v>22</v>
      </c>
      <c r="AC7610">
        <v>0.64560000000000095</v>
      </c>
      <c r="AD7610">
        <v>-0.1236264</v>
      </c>
      <c r="AE7610">
        <v>-5.7799999999986001E-2</v>
      </c>
      <c r="AF7610">
        <v>9.1495587567428996E-2</v>
      </c>
      <c r="AG7610">
        <v>-0.1236264</v>
      </c>
      <c r="AH7610">
        <v>0.61870212341257402</v>
      </c>
      <c r="AI7610">
        <v>101.18128856266</v>
      </c>
      <c r="AJ7610">
        <v>81.587891582145801</v>
      </c>
      <c r="AK7610">
        <v>0.63753215357070203</v>
      </c>
      <c r="AL7610">
        <v>95.986377521739698</v>
      </c>
      <c r="AM7610">
        <v>82.171161698183298</v>
      </c>
      <c r="AN7610">
        <v>0.99999994557778304</v>
      </c>
    </row>
    <row r="7611" spans="1:40" x14ac:dyDescent="0.25">
      <c r="A7611" t="str">
        <f>"20190303154712974"</f>
        <v>20190303154712974</v>
      </c>
      <c r="B7611" t="str">
        <f>"1551599232969515"</f>
        <v>1551599232969515</v>
      </c>
      <c r="C7611" t="s">
        <v>40</v>
      </c>
      <c r="D7611">
        <v>5.6829450000000001</v>
      </c>
      <c r="E7611">
        <v>0.49990479999999998</v>
      </c>
      <c r="F7611" t="s">
        <v>42</v>
      </c>
      <c r="G7611">
        <v>-170.82679999999999</v>
      </c>
      <c r="H7611">
        <v>1.008704</v>
      </c>
      <c r="I7611">
        <v>138.48609999999999</v>
      </c>
      <c r="J7611">
        <v>-171.42400000000001</v>
      </c>
      <c r="K7611">
        <v>1.1146670000000001</v>
      </c>
      <c r="L7611">
        <v>138.55760000000001</v>
      </c>
      <c r="M7611">
        <v>0.99885109999999999</v>
      </c>
      <c r="N7611">
        <v>-1.5271760000000001E-2</v>
      </c>
      <c r="O7611">
        <v>4.5425350000000003E-2</v>
      </c>
      <c r="P7611">
        <v>0.98950660000000001</v>
      </c>
      <c r="Q7611">
        <v>-0.12190769999999999</v>
      </c>
      <c r="R7611">
        <v>-7.7557260000000003E-2</v>
      </c>
      <c r="S7611">
        <v>2.9676670000000001</v>
      </c>
      <c r="T7611">
        <v>-0.36415769999999997</v>
      </c>
      <c r="U7611">
        <v>-0.24597169999999999</v>
      </c>
      <c r="V7611">
        <v>0.1208229</v>
      </c>
      <c r="W7611">
        <v>-0.1086666</v>
      </c>
      <c r="X7611">
        <v>0.98670829999999998</v>
      </c>
      <c r="Y7611">
        <v>0.12646940000000001</v>
      </c>
      <c r="Z7611">
        <v>-1.3543639999999999E-2</v>
      </c>
      <c r="AA7611">
        <v>0.99187800000000004</v>
      </c>
      <c r="AB7611">
        <v>22</v>
      </c>
      <c r="AC7611">
        <v>0.59720000000001505</v>
      </c>
      <c r="AD7611">
        <v>-0.105963</v>
      </c>
      <c r="AE7611">
        <v>-7.1500000000014496E-2</v>
      </c>
      <c r="AF7611">
        <v>9.5590459695087407E-2</v>
      </c>
      <c r="AG7611">
        <v>-0.105963</v>
      </c>
      <c r="AH7611">
        <v>0.57547378415193795</v>
      </c>
      <c r="AI7611">
        <v>100.29512432228501</v>
      </c>
      <c r="AJ7611">
        <v>80.568857645958005</v>
      </c>
      <c r="AK7611">
        <v>0.59290451980050696</v>
      </c>
      <c r="AL7611">
        <v>96.238457012331807</v>
      </c>
      <c r="AM7611">
        <v>83.018858179531506</v>
      </c>
      <c r="AN7611">
        <v>0.99999993620442795</v>
      </c>
    </row>
    <row r="7612" spans="1:40" x14ac:dyDescent="0.25">
      <c r="A7612" t="str">
        <f>"20190303154713000"</f>
        <v>20190303154713000</v>
      </c>
      <c r="B7612" t="str">
        <f>"1551599232989034"</f>
        <v>1551599232989034</v>
      </c>
      <c r="C7612" t="s">
        <v>40</v>
      </c>
      <c r="D7612">
        <v>5.6950940000000001</v>
      </c>
      <c r="E7612">
        <v>0.50009289999999995</v>
      </c>
      <c r="F7612" t="s">
        <v>42</v>
      </c>
      <c r="G7612">
        <v>-170.61199999999999</v>
      </c>
      <c r="H7612">
        <v>1.0343469999999999</v>
      </c>
      <c r="I7612">
        <v>138.49449999999999</v>
      </c>
      <c r="J7612">
        <v>-171.14850000000001</v>
      </c>
      <c r="K7612">
        <v>1.115335</v>
      </c>
      <c r="L7612">
        <v>138.55609999999999</v>
      </c>
      <c r="M7612">
        <v>0.99930890000000006</v>
      </c>
      <c r="N7612">
        <v>-1.508175E-2</v>
      </c>
      <c r="O7612">
        <v>3.3973660000000003E-2</v>
      </c>
      <c r="P7612">
        <v>0.98886110000000005</v>
      </c>
      <c r="Q7612">
        <v>-0.12922890000000001</v>
      </c>
      <c r="R7612">
        <v>-7.3846159999999994E-2</v>
      </c>
      <c r="S7612">
        <v>2.977417</v>
      </c>
      <c r="T7612">
        <v>-0.2943807</v>
      </c>
      <c r="U7612">
        <v>-0.23129269999999999</v>
      </c>
      <c r="V7612">
        <v>0.1058799</v>
      </c>
      <c r="W7612">
        <v>-0.115758399999999</v>
      </c>
      <c r="X7612">
        <v>0.98761810000000005</v>
      </c>
      <c r="Y7612">
        <v>0.1105428</v>
      </c>
      <c r="Z7612">
        <v>-9.1164950000000005E-3</v>
      </c>
      <c r="AA7612">
        <v>0.99382950000000003</v>
      </c>
      <c r="AB7612">
        <v>22</v>
      </c>
      <c r="AC7612">
        <v>0.53650000000001796</v>
      </c>
      <c r="AD7612">
        <v>-8.0988000000000004E-2</v>
      </c>
      <c r="AE7612">
        <v>-6.1599999999998503E-2</v>
      </c>
      <c r="AF7612">
        <v>7.8038196520849798E-2</v>
      </c>
      <c r="AG7612">
        <v>-8.0988000000000004E-2</v>
      </c>
      <c r="AH7612">
        <v>0.52234891935979</v>
      </c>
      <c r="AI7612">
        <v>98.718049530296895</v>
      </c>
      <c r="AJ7612">
        <v>81.502936883581995</v>
      </c>
      <c r="AK7612">
        <v>0.53431957648636397</v>
      </c>
      <c r="AL7612">
        <v>96.647370081124194</v>
      </c>
      <c r="AM7612">
        <v>83.880844335450504</v>
      </c>
      <c r="AN7612">
        <v>1.0000000359210801</v>
      </c>
    </row>
    <row r="7613" spans="1:40" x14ac:dyDescent="0.25">
      <c r="A7613" t="str">
        <f>"20190303154713031"</f>
        <v>20190303154713031</v>
      </c>
      <c r="B7613" t="str">
        <f>"1551599233019289"</f>
        <v>1551599233019289</v>
      </c>
      <c r="C7613" t="s">
        <v>40</v>
      </c>
      <c r="D7613">
        <v>5.9444749999999997</v>
      </c>
      <c r="E7613">
        <v>0.50883100000000003</v>
      </c>
      <c r="F7613" t="s">
        <v>42</v>
      </c>
      <c r="G7613">
        <v>-170.40889999999999</v>
      </c>
      <c r="H7613">
        <v>1.036653</v>
      </c>
      <c r="I7613">
        <v>138.5008</v>
      </c>
      <c r="J7613">
        <v>-170.83529999999999</v>
      </c>
      <c r="K7613">
        <v>1.116282</v>
      </c>
      <c r="L7613">
        <v>138.55240000000001</v>
      </c>
      <c r="M7613">
        <v>0.99962600000000001</v>
      </c>
      <c r="N7613">
        <v>-1.486349E-2</v>
      </c>
      <c r="O7613">
        <v>2.2957350000000001E-2</v>
      </c>
      <c r="P7613">
        <v>0.9889426</v>
      </c>
      <c r="Q7613">
        <v>-0.1362583</v>
      </c>
      <c r="R7613">
        <v>-5.8535190000000001E-2</v>
      </c>
      <c r="S7613">
        <v>2.9758909999999998</v>
      </c>
      <c r="T7613">
        <v>-0.31625750000000002</v>
      </c>
      <c r="U7613">
        <v>-0.2218628</v>
      </c>
      <c r="V7613">
        <v>7.9895350000000004E-2</v>
      </c>
      <c r="W7613">
        <v>-0.1224465</v>
      </c>
      <c r="X7613">
        <v>0.98925410000000003</v>
      </c>
      <c r="Y7613">
        <v>9.6511609999999998E-2</v>
      </c>
      <c r="Z7613">
        <v>-7.9174550000000003E-3</v>
      </c>
      <c r="AA7613">
        <v>0.99530039999999997</v>
      </c>
      <c r="AB7613">
        <v>22</v>
      </c>
      <c r="AC7613">
        <v>0.426400000000001</v>
      </c>
      <c r="AD7613">
        <v>-7.9628999999999894E-2</v>
      </c>
      <c r="AE7613">
        <v>-5.1600000000007598E-2</v>
      </c>
      <c r="AF7613">
        <v>5.9337009919390303E-2</v>
      </c>
      <c r="AG7613">
        <v>-7.9628999999999894E-2</v>
      </c>
      <c r="AH7613">
        <v>0.410977100056166</v>
      </c>
      <c r="AI7613">
        <v>100.85564258641</v>
      </c>
      <c r="AJ7613">
        <v>81.784389112204494</v>
      </c>
      <c r="AK7613">
        <v>0.42280472461616297</v>
      </c>
      <c r="AL7613">
        <v>97.033317861675798</v>
      </c>
      <c r="AM7613">
        <v>85.3826299866613</v>
      </c>
      <c r="AN7613">
        <v>1.00000004334034</v>
      </c>
    </row>
    <row r="7614" spans="1:40" x14ac:dyDescent="0.25">
      <c r="A7614" t="str">
        <f>"20190303154713059"</f>
        <v>20190303154713059</v>
      </c>
      <c r="B7614" t="str">
        <f>"1551599233049546"</f>
        <v>1551599233049546</v>
      </c>
      <c r="C7614" t="s">
        <v>40</v>
      </c>
      <c r="D7614">
        <v>5.7069419999999997</v>
      </c>
      <c r="E7614">
        <v>0.50213229999999998</v>
      </c>
      <c r="F7614" t="s">
        <v>42</v>
      </c>
      <c r="G7614">
        <v>-170.01920000000001</v>
      </c>
      <c r="H7614">
        <v>1.008842</v>
      </c>
      <c r="I7614">
        <v>138.4846</v>
      </c>
      <c r="J7614">
        <v>-170.55770000000001</v>
      </c>
      <c r="K7614">
        <v>1.1172200000000001</v>
      </c>
      <c r="L7614">
        <v>138.54830000000001</v>
      </c>
      <c r="M7614">
        <v>0.99978420000000001</v>
      </c>
      <c r="N7614">
        <v>-1.468853E-2</v>
      </c>
      <c r="O7614">
        <v>1.4691539999999999E-2</v>
      </c>
      <c r="P7614">
        <v>0.98941480000000004</v>
      </c>
      <c r="Q7614">
        <v>-0.13339429999999999</v>
      </c>
      <c r="R7614">
        <v>-5.7133990000000003E-2</v>
      </c>
      <c r="S7614">
        <v>2.9652250000000002</v>
      </c>
      <c r="T7614">
        <v>-0.39024310000000001</v>
      </c>
      <c r="U7614">
        <v>-0.2458649</v>
      </c>
      <c r="V7614">
        <v>7.0626389999999997E-2</v>
      </c>
      <c r="W7614">
        <v>-0.1194812</v>
      </c>
      <c r="X7614">
        <v>0.99032120000000001</v>
      </c>
      <c r="Y7614">
        <v>9.6249260000000003E-2</v>
      </c>
      <c r="Z7614">
        <v>-8.7147370000000002E-3</v>
      </c>
      <c r="AA7614">
        <v>0.99531910000000001</v>
      </c>
      <c r="AB7614">
        <v>22</v>
      </c>
      <c r="AC7614">
        <v>0.53849999999999898</v>
      </c>
      <c r="AD7614">
        <v>-0.108378</v>
      </c>
      <c r="AE7614">
        <v>-6.37000000000114E-2</v>
      </c>
      <c r="AF7614">
        <v>6.8854877646788396E-2</v>
      </c>
      <c r="AG7614">
        <v>-0.108378</v>
      </c>
      <c r="AH7614">
        <v>0.51685932866857898</v>
      </c>
      <c r="AI7614">
        <v>101.74171463793201</v>
      </c>
      <c r="AJ7614">
        <v>82.411859045726302</v>
      </c>
      <c r="AK7614">
        <v>0.53256957356902102</v>
      </c>
      <c r="AL7614">
        <v>96.862162377745193</v>
      </c>
      <c r="AM7614">
        <v>85.920763368325296</v>
      </c>
      <c r="AN7614">
        <v>0.99999996164365501</v>
      </c>
    </row>
    <row r="7615" spans="1:40" x14ac:dyDescent="0.25">
      <c r="A7615" t="str">
        <f>"20190303154713084"</f>
        <v>20190303154713084</v>
      </c>
      <c r="B7615" t="str">
        <f>"1551599233079334"</f>
        <v>1551599233079334</v>
      </c>
      <c r="C7615" t="s">
        <v>40</v>
      </c>
      <c r="D7615">
        <v>5.7229169999999998</v>
      </c>
      <c r="E7615">
        <v>0.49920120000000001</v>
      </c>
      <c r="F7615" t="s">
        <v>42</v>
      </c>
      <c r="G7615">
        <v>-169.8126</v>
      </c>
      <c r="H7615">
        <v>1.0208390000000001</v>
      </c>
      <c r="I7615">
        <v>138.5008</v>
      </c>
      <c r="J7615">
        <v>-170.3098</v>
      </c>
      <c r="K7615">
        <v>1.1180000000000001</v>
      </c>
      <c r="L7615">
        <v>138.54419999999999</v>
      </c>
      <c r="M7615">
        <v>0.99985740000000001</v>
      </c>
      <c r="N7615">
        <v>-1.454889E-2</v>
      </c>
      <c r="O7615">
        <v>8.5816989999999999E-3</v>
      </c>
      <c r="P7615">
        <v>0.99015649999999999</v>
      </c>
      <c r="Q7615">
        <v>-0.1289458</v>
      </c>
      <c r="R7615">
        <v>-5.4436409999999998E-2</v>
      </c>
      <c r="S7615">
        <v>2.969452</v>
      </c>
      <c r="T7615">
        <v>-0.38393549999999999</v>
      </c>
      <c r="U7615">
        <v>-0.18840029999999999</v>
      </c>
      <c r="V7615">
        <v>6.2137730000000002E-2</v>
      </c>
      <c r="W7615">
        <v>-0.11496679999999999</v>
      </c>
      <c r="X7615">
        <v>0.99142399999999997</v>
      </c>
      <c r="Y7615">
        <v>7.1168529999999994E-2</v>
      </c>
      <c r="Z7615">
        <v>-6.0775660000000004E-3</v>
      </c>
      <c r="AA7615">
        <v>0.99744580000000005</v>
      </c>
      <c r="AB7615">
        <v>22</v>
      </c>
      <c r="AC7615">
        <v>0.49719999999999198</v>
      </c>
      <c r="AD7615">
        <v>-9.7160999999999803E-2</v>
      </c>
      <c r="AE7615">
        <v>-4.3399999999991203E-2</v>
      </c>
      <c r="AF7615">
        <v>4.5925165913505102E-2</v>
      </c>
      <c r="AG7615">
        <v>-9.7160999999999803E-2</v>
      </c>
      <c r="AH7615">
        <v>0.47866825977357202</v>
      </c>
      <c r="AI7615">
        <v>101.423050852868</v>
      </c>
      <c r="AJ7615">
        <v>84.519610375231593</v>
      </c>
      <c r="AK7615">
        <v>0.490584023078456</v>
      </c>
      <c r="AL7615">
        <v>96.601710093601099</v>
      </c>
      <c r="AM7615">
        <v>86.413664701074694</v>
      </c>
      <c r="AN7615">
        <v>1.00000000518389</v>
      </c>
    </row>
    <row r="7616" spans="1:40" x14ac:dyDescent="0.25">
      <c r="A7616" t="str">
        <f>"20190303154713104"</f>
        <v>20190303154713104</v>
      </c>
      <c r="B7616" t="str">
        <f>"1551599233099830"</f>
        <v>1551599233099830</v>
      </c>
      <c r="C7616" t="s">
        <v>40</v>
      </c>
      <c r="D7616">
        <v>5.752491</v>
      </c>
      <c r="E7616">
        <v>0.49889050000000001</v>
      </c>
      <c r="F7616" t="s">
        <v>42</v>
      </c>
      <c r="G7616">
        <v>-169.417</v>
      </c>
      <c r="H7616">
        <v>1.0111709999999901</v>
      </c>
      <c r="I7616">
        <v>138.49709999999999</v>
      </c>
      <c r="J7616">
        <v>-170.09899999999999</v>
      </c>
      <c r="K7616">
        <v>1.1186130000000001</v>
      </c>
      <c r="L7616">
        <v>138.54069999999999</v>
      </c>
      <c r="M7616">
        <v>0.99988600000000005</v>
      </c>
      <c r="N7616">
        <v>-1.4437449999999999E-2</v>
      </c>
      <c r="O7616">
        <v>4.4168940000000002E-3</v>
      </c>
      <c r="P7616">
        <v>0.99078319999999998</v>
      </c>
      <c r="Q7616">
        <v>-0.126137</v>
      </c>
      <c r="R7616">
        <v>-4.9377329999999997E-2</v>
      </c>
      <c r="S7616">
        <v>2.9748540000000001</v>
      </c>
      <c r="T7616">
        <v>-0.35593320000000001</v>
      </c>
      <c r="U7616">
        <v>-0.156723</v>
      </c>
      <c r="V7616">
        <v>5.3136219999999998E-2</v>
      </c>
      <c r="W7616">
        <v>-0.11211740000000001</v>
      </c>
      <c r="X7616">
        <v>0.99227330000000002</v>
      </c>
      <c r="Y7616">
        <v>5.6544869999999997E-2</v>
      </c>
      <c r="Z7616">
        <v>-4.2412159999999999E-3</v>
      </c>
      <c r="AA7616">
        <v>0.99839100000000003</v>
      </c>
      <c r="AB7616">
        <v>22</v>
      </c>
      <c r="AC7616">
        <v>0.68200000000001604</v>
      </c>
      <c r="AD7616">
        <v>-0.107442</v>
      </c>
      <c r="AE7616">
        <v>-4.35999999999978E-2</v>
      </c>
      <c r="AF7616">
        <v>4.5487855165343802E-2</v>
      </c>
      <c r="AG7616">
        <v>-0.107442</v>
      </c>
      <c r="AH7616">
        <v>0.66535471051696204</v>
      </c>
      <c r="AI7616">
        <v>99.151982376774797</v>
      </c>
      <c r="AJ7616">
        <v>86.088983948380303</v>
      </c>
      <c r="AK7616">
        <v>0.67550708296704998</v>
      </c>
      <c r="AL7616">
        <v>96.437388610489194</v>
      </c>
      <c r="AM7616">
        <v>86.934739629528707</v>
      </c>
      <c r="AN7616">
        <v>1.0000000355757599</v>
      </c>
    </row>
    <row r="7617" spans="1:40" x14ac:dyDescent="0.25">
      <c r="A7617" t="str">
        <f>"20190303154713127"</f>
        <v>20190303154713127</v>
      </c>
      <c r="B7617" t="str">
        <f>"1551599233119350"</f>
        <v>1551599233119350</v>
      </c>
      <c r="C7617" t="s">
        <v>40</v>
      </c>
      <c r="D7617">
        <v>5.7493970000000001</v>
      </c>
      <c r="E7617">
        <v>0.49841659999999999</v>
      </c>
      <c r="F7617" t="s">
        <v>42</v>
      </c>
      <c r="G7617">
        <v>-169.215</v>
      </c>
      <c r="H7617">
        <v>1.0159670000000001</v>
      </c>
      <c r="I7617">
        <v>138.4992</v>
      </c>
      <c r="J7617">
        <v>-169.8707</v>
      </c>
      <c r="K7617">
        <v>1.119159</v>
      </c>
      <c r="L7617">
        <v>138.5368</v>
      </c>
      <c r="M7617">
        <v>0.99989709999999998</v>
      </c>
      <c r="N7617">
        <v>-1.4326709999999999E-2</v>
      </c>
      <c r="O7617">
        <v>8.1330110000000003E-4</v>
      </c>
      <c r="P7617">
        <v>0.99119009999999996</v>
      </c>
      <c r="Q7617">
        <v>-0.1247767</v>
      </c>
      <c r="R7617">
        <v>-4.4420250000000001E-2</v>
      </c>
      <c r="S7617">
        <v>2.9769739999999998</v>
      </c>
      <c r="T7617">
        <v>-0.34560180000000001</v>
      </c>
      <c r="U7617">
        <v>-0.1390381</v>
      </c>
      <c r="V7617">
        <v>4.4760210000000002E-2</v>
      </c>
      <c r="W7617">
        <v>-0.1107534</v>
      </c>
      <c r="X7617">
        <v>0.99283949999999999</v>
      </c>
      <c r="Y7617">
        <v>4.710694E-2</v>
      </c>
      <c r="Z7617">
        <v>-3.145091E-3</v>
      </c>
      <c r="AA7617">
        <v>0.99888489999999996</v>
      </c>
      <c r="AB7617">
        <v>22</v>
      </c>
      <c r="AC7617">
        <v>0.65569999999999595</v>
      </c>
      <c r="AD7617">
        <v>-0.10319199999999901</v>
      </c>
      <c r="AE7617">
        <v>-3.7599999999997601E-2</v>
      </c>
      <c r="AF7617">
        <v>3.7214632300098298E-2</v>
      </c>
      <c r="AG7617">
        <v>-0.10319199999999901</v>
      </c>
      <c r="AH7617">
        <v>0.63987310186355895</v>
      </c>
      <c r="AI7617">
        <v>99.145989608992593</v>
      </c>
      <c r="AJ7617">
        <v>86.671461708274094</v>
      </c>
      <c r="AK7617">
        <v>0.64920805926122305</v>
      </c>
      <c r="AL7617">
        <v>96.358747381170502</v>
      </c>
      <c r="AM7617">
        <v>87.418680703556902</v>
      </c>
      <c r="AN7617">
        <v>1.00000003238552</v>
      </c>
    </row>
    <row r="7618" spans="1:40" x14ac:dyDescent="0.25">
      <c r="A7618" t="str">
        <f>"20190303154713150"</f>
        <v>20190303154713150</v>
      </c>
      <c r="B7618" t="str">
        <f>"1551599233139846"</f>
        <v>1551599233139846</v>
      </c>
      <c r="C7618" t="s">
        <v>40</v>
      </c>
      <c r="D7618">
        <v>5.779344</v>
      </c>
      <c r="E7618">
        <v>0.49849529999999997</v>
      </c>
      <c r="F7618" t="s">
        <v>42</v>
      </c>
      <c r="G7618">
        <v>-169.01259999999999</v>
      </c>
      <c r="H7618">
        <v>1.0225310000000001</v>
      </c>
      <c r="I7618">
        <v>138.50210000000001</v>
      </c>
      <c r="J7618">
        <v>-169.64099999999999</v>
      </c>
      <c r="K7618">
        <v>1.1196410000000001</v>
      </c>
      <c r="L7618">
        <v>138.53309999999999</v>
      </c>
      <c r="M7618">
        <v>0.99989680000000003</v>
      </c>
      <c r="N7618">
        <v>-1.422722E-2</v>
      </c>
      <c r="O7618">
        <v>-1.972849E-3</v>
      </c>
      <c r="P7618">
        <v>0.99143990000000004</v>
      </c>
      <c r="Q7618">
        <v>-0.1244178</v>
      </c>
      <c r="R7618">
        <v>-3.9589029999999997E-2</v>
      </c>
      <c r="S7618">
        <v>2.979034</v>
      </c>
      <c r="T7618">
        <v>-0.33547690000000002</v>
      </c>
      <c r="U7618">
        <v>-0.1204529</v>
      </c>
      <c r="V7618">
        <v>3.7295809999999999E-2</v>
      </c>
      <c r="W7618">
        <v>-0.110413</v>
      </c>
      <c r="X7618">
        <v>0.99318580000000001</v>
      </c>
      <c r="Y7618">
        <v>3.8166980000000003E-2</v>
      </c>
      <c r="Z7618">
        <v>-2.2206029999999998E-3</v>
      </c>
      <c r="AA7618">
        <v>0.99926890000000002</v>
      </c>
      <c r="AB7618">
        <v>22</v>
      </c>
      <c r="AC7618">
        <v>0.62839999999999896</v>
      </c>
      <c r="AD7618">
        <v>-9.7110000000000002E-2</v>
      </c>
      <c r="AE7618">
        <v>-3.09999999999774E-2</v>
      </c>
      <c r="AF7618">
        <v>2.9067592982428801E-2</v>
      </c>
      <c r="AG7618">
        <v>-9.7110000000000002E-2</v>
      </c>
      <c r="AH7618">
        <v>0.61383639945752</v>
      </c>
      <c r="AI7618">
        <v>98.979890792187405</v>
      </c>
      <c r="AJ7618">
        <v>87.288842427467799</v>
      </c>
      <c r="AK7618">
        <v>0.62214982308183997</v>
      </c>
      <c r="AL7618">
        <v>96.339123617408106</v>
      </c>
      <c r="AM7618">
        <v>87.849456845259994</v>
      </c>
      <c r="AN7618">
        <v>1.00000002066709</v>
      </c>
    </row>
    <row r="7619" spans="1:40" x14ac:dyDescent="0.25">
      <c r="A7619" t="str">
        <f>"20190303154713172"</f>
        <v>20190303154713172</v>
      </c>
      <c r="B7619" t="str">
        <f>"1551599233159365"</f>
        <v>1551599233159365</v>
      </c>
      <c r="C7619" t="s">
        <v>40</v>
      </c>
      <c r="D7619">
        <v>5.7464170000000001</v>
      </c>
      <c r="E7619">
        <v>0.49879869999999998</v>
      </c>
      <c r="F7619" t="s">
        <v>42</v>
      </c>
      <c r="G7619">
        <v>-168.8116</v>
      </c>
      <c r="H7619">
        <v>1.0269649999999999</v>
      </c>
      <c r="I7619">
        <v>138.5033</v>
      </c>
      <c r="J7619">
        <v>-169.4247</v>
      </c>
      <c r="K7619">
        <v>1.1200570000000001</v>
      </c>
      <c r="L7619">
        <v>138.52979999999999</v>
      </c>
      <c r="M7619">
        <v>0.99989249999999996</v>
      </c>
      <c r="N7619">
        <v>-1.41447E-2</v>
      </c>
      <c r="O7619">
        <v>-3.8853049999999999E-3</v>
      </c>
      <c r="P7619">
        <v>0.99152580000000001</v>
      </c>
      <c r="Q7619">
        <v>-0.12496019999999899</v>
      </c>
      <c r="R7619">
        <v>-3.5525130000000002E-2</v>
      </c>
      <c r="S7619">
        <v>2.9798580000000001</v>
      </c>
      <c r="T7619">
        <v>-0.33299840000000003</v>
      </c>
      <c r="U7619">
        <v>-0.1065063</v>
      </c>
      <c r="V7619">
        <v>3.1446269999999998E-2</v>
      </c>
      <c r="W7619">
        <v>-0.11098520000000001</v>
      </c>
      <c r="X7619">
        <v>0.9933244</v>
      </c>
      <c r="Y7619">
        <v>3.1632489999999999E-2</v>
      </c>
      <c r="Z7619">
        <v>-1.6081050000000001E-3</v>
      </c>
      <c r="AA7619">
        <v>0.9994982</v>
      </c>
      <c r="AB7619">
        <v>22</v>
      </c>
      <c r="AC7619">
        <v>0.61310000000000198</v>
      </c>
      <c r="AD7619">
        <v>-9.3092000000000105E-2</v>
      </c>
      <c r="AE7619">
        <v>-2.6499999999998601E-2</v>
      </c>
      <c r="AF7619">
        <v>2.3574977543678401E-2</v>
      </c>
      <c r="AG7619">
        <v>-9.3092000000000105E-2</v>
      </c>
      <c r="AH7619">
        <v>0.59940492761106401</v>
      </c>
      <c r="AI7619">
        <v>98.821216999991407</v>
      </c>
      <c r="AJ7619">
        <v>87.7476813931181</v>
      </c>
      <c r="AK7619">
        <v>0.60704873550202698</v>
      </c>
      <c r="AL7619">
        <v>96.372111308283294</v>
      </c>
      <c r="AM7619">
        <v>88.186758514139399</v>
      </c>
      <c r="AN7619">
        <v>0.99999997307565602</v>
      </c>
    </row>
    <row r="7620" spans="1:40" x14ac:dyDescent="0.25">
      <c r="A7620" t="str">
        <f>"20190303154713200"</f>
        <v>20190303154713200</v>
      </c>
      <c r="B7620" t="str">
        <f>"1551599233189929"</f>
        <v>1551599233189929</v>
      </c>
      <c r="C7620" t="s">
        <v>40</v>
      </c>
      <c r="D7620">
        <v>5.7805939999999998</v>
      </c>
      <c r="E7620">
        <v>0.49936269999999999</v>
      </c>
      <c r="F7620" t="s">
        <v>42</v>
      </c>
      <c r="G7620">
        <v>-168.61259999999999</v>
      </c>
      <c r="H7620">
        <v>1.028535</v>
      </c>
      <c r="I7620">
        <v>138.5034</v>
      </c>
      <c r="J7620">
        <v>-169.14750000000001</v>
      </c>
      <c r="K7620">
        <v>1.1205719999999999</v>
      </c>
      <c r="L7620">
        <v>138.52600000000001</v>
      </c>
      <c r="M7620">
        <v>0.99988639999999995</v>
      </c>
      <c r="N7620">
        <v>-1.40541E-2</v>
      </c>
      <c r="O7620">
        <v>-5.4458709999999997E-3</v>
      </c>
      <c r="P7620">
        <v>0.991421</v>
      </c>
      <c r="Q7620">
        <v>-0.12691359999999999</v>
      </c>
      <c r="R7620">
        <v>-3.1268270000000001E-2</v>
      </c>
      <c r="S7620">
        <v>2.9798279999999999</v>
      </c>
      <c r="T7620">
        <v>-0.33582529999999999</v>
      </c>
      <c r="U7620">
        <v>-9.6801760000000001E-2</v>
      </c>
      <c r="V7620">
        <v>2.578167E-2</v>
      </c>
      <c r="W7620">
        <v>-0.1129851</v>
      </c>
      <c r="X7620">
        <v>0.99326210000000004</v>
      </c>
      <c r="Y7620">
        <v>2.6859729999999998E-2</v>
      </c>
      <c r="Z7620">
        <v>-1.16252E-3</v>
      </c>
      <c r="AA7620">
        <v>0.99963860000000004</v>
      </c>
      <c r="AB7620">
        <v>22</v>
      </c>
      <c r="AC7620">
        <v>0.53490000000002103</v>
      </c>
      <c r="AD7620">
        <v>-9.2036999999999897E-2</v>
      </c>
      <c r="AE7620">
        <v>-2.2600000000011201E-2</v>
      </c>
      <c r="AF7620">
        <v>1.9121284707450701E-2</v>
      </c>
      <c r="AG7620">
        <v>-9.2036999999999897E-2</v>
      </c>
      <c r="AH7620">
        <v>0.51965758889644598</v>
      </c>
      <c r="AI7620">
        <v>100.036898433254</v>
      </c>
      <c r="AJ7620">
        <v>87.892699169155605</v>
      </c>
      <c r="AK7620">
        <v>0.52809132031830597</v>
      </c>
      <c r="AL7620">
        <v>96.487422545623204</v>
      </c>
      <c r="AM7620">
        <v>88.513132367569796</v>
      </c>
      <c r="AN7620">
        <v>0.99999996331320296</v>
      </c>
    </row>
    <row r="7621" spans="1:40" x14ac:dyDescent="0.25">
      <c r="A7621" t="str">
        <f>"20190303154713226"</f>
        <v>20190303154713226</v>
      </c>
      <c r="B7621" t="str">
        <f>"1551599233219209"</f>
        <v>1551599233219209</v>
      </c>
      <c r="C7621" t="s">
        <v>40</v>
      </c>
      <c r="D7621">
        <v>5.8389049999999996</v>
      </c>
      <c r="E7621">
        <v>0.49984620000000002</v>
      </c>
      <c r="F7621" t="s">
        <v>42</v>
      </c>
      <c r="G7621">
        <v>-168.41120000000001</v>
      </c>
      <c r="H7621">
        <v>1.035666</v>
      </c>
      <c r="I7621">
        <v>138.50409999999999</v>
      </c>
      <c r="J7621">
        <v>-168.89920000000001</v>
      </c>
      <c r="K7621">
        <v>1.1209910000000001</v>
      </c>
      <c r="L7621">
        <v>138.52340000000001</v>
      </c>
      <c r="M7621">
        <v>0.99988429999999995</v>
      </c>
      <c r="N7621">
        <v>-1.3988840000000001E-2</v>
      </c>
      <c r="O7621">
        <v>-5.9855669999999998E-3</v>
      </c>
      <c r="P7621">
        <v>0.99118070000000003</v>
      </c>
      <c r="Q7621">
        <v>-0.12969629999999999</v>
      </c>
      <c r="R7621">
        <v>-2.720057E-2</v>
      </c>
      <c r="S7621">
        <v>2.979187</v>
      </c>
      <c r="T7621">
        <v>-0.34360970000000002</v>
      </c>
      <c r="U7621">
        <v>-8.8455199999999998E-2</v>
      </c>
      <c r="V7621">
        <v>2.130137E-2</v>
      </c>
      <c r="W7621">
        <v>-0.1158097</v>
      </c>
      <c r="X7621">
        <v>0.99304300000000001</v>
      </c>
      <c r="Y7621">
        <v>2.3549500000000001E-2</v>
      </c>
      <c r="Z7621">
        <v>-9.1421839999999998E-4</v>
      </c>
      <c r="AA7621">
        <v>0.99972220000000001</v>
      </c>
      <c r="AB7621">
        <v>22</v>
      </c>
      <c r="AC7621">
        <v>0.48799999999999899</v>
      </c>
      <c r="AD7621">
        <v>-8.5325000000000095E-2</v>
      </c>
      <c r="AE7621">
        <v>-1.9300000000015399E-2</v>
      </c>
      <c r="AF7621">
        <v>1.58932930825137E-2</v>
      </c>
      <c r="AG7621">
        <v>-8.5325000000000095E-2</v>
      </c>
      <c r="AH7621">
        <v>0.473649357866538</v>
      </c>
      <c r="AI7621">
        <v>100.206331270568</v>
      </c>
      <c r="AJ7621">
        <v>88.078162536183001</v>
      </c>
      <c r="AK7621">
        <v>0.48153573761185198</v>
      </c>
      <c r="AL7621">
        <v>96.650329380345298</v>
      </c>
      <c r="AM7621">
        <v>88.771159498376505</v>
      </c>
      <c r="AN7621">
        <v>1.00000001741348</v>
      </c>
    </row>
    <row r="7622" spans="1:40" x14ac:dyDescent="0.25">
      <c r="A7622" t="str">
        <f>"20190303154713246"</f>
        <v>20190303154713246</v>
      </c>
      <c r="B7622" t="str">
        <f>"1551599233239707"</f>
        <v>1551599233239707</v>
      </c>
      <c r="C7622" t="s">
        <v>40</v>
      </c>
      <c r="D7622">
        <v>5.7776820000000004</v>
      </c>
      <c r="E7622">
        <v>0.50031289999999995</v>
      </c>
      <c r="F7622" t="s">
        <v>42</v>
      </c>
      <c r="G7622">
        <v>-168.0258</v>
      </c>
      <c r="H7622">
        <v>1.017658</v>
      </c>
      <c r="I7622">
        <v>138.49979999999999</v>
      </c>
      <c r="J7622">
        <v>-168.69059999999999</v>
      </c>
      <c r="K7622">
        <v>1.1212979999999999</v>
      </c>
      <c r="L7622">
        <v>138.52189999999999</v>
      </c>
      <c r="M7622">
        <v>0.99988509999999997</v>
      </c>
      <c r="N7622">
        <v>-1.3942970000000001E-2</v>
      </c>
      <c r="O7622">
        <v>-5.9605229999999997E-3</v>
      </c>
      <c r="P7622">
        <v>0.99099530000000002</v>
      </c>
      <c r="Q7622">
        <v>-0.1319031</v>
      </c>
      <c r="R7622">
        <v>-2.3021030000000001E-2</v>
      </c>
      <c r="S7622">
        <v>2.9783629999999999</v>
      </c>
      <c r="T7622">
        <v>-0.3524408</v>
      </c>
      <c r="U7622">
        <v>-8.0139160000000001E-2</v>
      </c>
      <c r="V7622">
        <v>1.7238799999999999E-2</v>
      </c>
      <c r="W7622">
        <v>-0.1180529</v>
      </c>
      <c r="X7622">
        <v>0.99285760000000001</v>
      </c>
      <c r="Y7622">
        <v>2.0807989999999998E-2</v>
      </c>
      <c r="Z7622">
        <v>-7.5241190000000001E-4</v>
      </c>
      <c r="AA7622">
        <v>0.99978319999999998</v>
      </c>
      <c r="AB7622">
        <v>22</v>
      </c>
      <c r="AC7622">
        <v>0.66479999999998496</v>
      </c>
      <c r="AD7622">
        <v>-0.103639999999999</v>
      </c>
      <c r="AE7622">
        <v>-2.20999999999946E-2</v>
      </c>
      <c r="AF7622">
        <v>1.7706800598752299E-2</v>
      </c>
      <c r="AG7622">
        <v>-0.103639999999999</v>
      </c>
      <c r="AH7622">
        <v>0.64916033228556103</v>
      </c>
      <c r="AI7622">
        <v>99.067540083135796</v>
      </c>
      <c r="AJ7622">
        <v>88.437560952667795</v>
      </c>
      <c r="AK7622">
        <v>0.65761988823372997</v>
      </c>
      <c r="AL7622">
        <v>96.779743612840704</v>
      </c>
      <c r="AM7622">
        <v>89.005284093409102</v>
      </c>
      <c r="AN7622">
        <v>0.99999993865080306</v>
      </c>
    </row>
    <row r="7623" spans="1:40" x14ac:dyDescent="0.25">
      <c r="A7623" t="str">
        <f>"20190303154713277"</f>
        <v>20190303154713277</v>
      </c>
      <c r="B7623" t="str">
        <f>"1551599233269493"</f>
        <v>1551599233269493</v>
      </c>
      <c r="C7623" t="s">
        <v>40</v>
      </c>
      <c r="D7623">
        <v>5.7828030000000004</v>
      </c>
      <c r="E7623">
        <v>0.50096739999999995</v>
      </c>
      <c r="F7623" t="s">
        <v>42</v>
      </c>
      <c r="G7623">
        <v>-167.8295</v>
      </c>
      <c r="H7623">
        <v>1.017123</v>
      </c>
      <c r="I7623">
        <v>138.50110000000001</v>
      </c>
      <c r="J7623">
        <v>-168.39169999999999</v>
      </c>
      <c r="K7623">
        <v>1.12159599999999</v>
      </c>
      <c r="L7623">
        <v>138.5205</v>
      </c>
      <c r="M7623">
        <v>0.99988940000000004</v>
      </c>
      <c r="N7623">
        <v>-1.3886580000000001E-2</v>
      </c>
      <c r="O7623">
        <v>-5.3555719999999899E-3</v>
      </c>
      <c r="P7623">
        <v>0.99136489999999999</v>
      </c>
      <c r="Q7623">
        <v>-0.13053719999999999</v>
      </c>
      <c r="R7623">
        <v>-1.250073E-2</v>
      </c>
      <c r="S7623">
        <v>2.977646</v>
      </c>
      <c r="T7623">
        <v>-0.36028830000000001</v>
      </c>
      <c r="U7623">
        <v>-7.1365360000000003E-2</v>
      </c>
      <c r="V7623">
        <v>7.3995399999999996E-3</v>
      </c>
      <c r="W7623">
        <v>-0.1167441</v>
      </c>
      <c r="X7623">
        <v>0.99313439999999997</v>
      </c>
      <c r="Y7623">
        <v>1.8485519999999998E-2</v>
      </c>
      <c r="Z7623">
        <v>-6.7159879999999998E-4</v>
      </c>
      <c r="AA7623">
        <v>0.99982890000000002</v>
      </c>
      <c r="AB7623">
        <v>22</v>
      </c>
      <c r="AC7623">
        <v>0.56219999999999004</v>
      </c>
      <c r="AD7623">
        <v>-0.104472999999999</v>
      </c>
      <c r="AE7623">
        <v>-1.93999999999903E-2</v>
      </c>
      <c r="AF7623">
        <v>1.58421141185816E-2</v>
      </c>
      <c r="AG7623">
        <v>-0.104472999999999</v>
      </c>
      <c r="AH7623">
        <v>0.54354815891360198</v>
      </c>
      <c r="AI7623">
        <v>100.875378098547</v>
      </c>
      <c r="AJ7623">
        <v>88.330544635480607</v>
      </c>
      <c r="AK7623">
        <v>0.55372392161357198</v>
      </c>
      <c r="AL7623">
        <v>96.704232729213302</v>
      </c>
      <c r="AM7623">
        <v>89.573114608172602</v>
      </c>
      <c r="AN7623">
        <v>0.99999993727018799</v>
      </c>
    </row>
    <row r="7624" spans="1:40" x14ac:dyDescent="0.25">
      <c r="A7624" t="str">
        <f>"20190303154713305"</f>
        <v>20190303154713305</v>
      </c>
      <c r="B7624" t="str">
        <f>"1551599233299749"</f>
        <v>1551599233299749</v>
      </c>
      <c r="C7624" t="s">
        <v>40</v>
      </c>
      <c r="D7624">
        <v>5.7958489999999996</v>
      </c>
      <c r="E7624">
        <v>0.50175729999999996</v>
      </c>
      <c r="F7624" t="s">
        <v>42</v>
      </c>
      <c r="G7624">
        <v>-167.6267</v>
      </c>
      <c r="H7624">
        <v>1.029987</v>
      </c>
      <c r="I7624">
        <v>138.50890000000001</v>
      </c>
      <c r="J7624">
        <v>-168.11779999999999</v>
      </c>
      <c r="K7624">
        <v>1.1217269999999999</v>
      </c>
      <c r="L7624">
        <v>138.51990000000001</v>
      </c>
      <c r="M7624">
        <v>0.99989470000000003</v>
      </c>
      <c r="N7624">
        <v>-1.3841910000000001E-2</v>
      </c>
      <c r="O7624">
        <v>-4.3639339999999999E-3</v>
      </c>
      <c r="P7624">
        <v>0.99182950000000003</v>
      </c>
      <c r="Q7624">
        <v>-0.12746740000000001</v>
      </c>
      <c r="R7624">
        <v>-5.1442620000000001E-3</v>
      </c>
      <c r="S7624">
        <v>2.9786069999999998</v>
      </c>
      <c r="T7624">
        <v>-0.35671779999999997</v>
      </c>
      <c r="U7624">
        <v>-4.4937129999999999E-2</v>
      </c>
      <c r="V7624">
        <v>1.0522590000000001E-3</v>
      </c>
      <c r="W7624">
        <v>-0.1137243</v>
      </c>
      <c r="X7624">
        <v>0.99351179999999994</v>
      </c>
      <c r="Y7624">
        <v>1.0660269999999999E-2</v>
      </c>
      <c r="Z7624">
        <v>-2.4959439999999998E-4</v>
      </c>
      <c r="AA7624">
        <v>0.99994309999999997</v>
      </c>
      <c r="AB7624">
        <v>22</v>
      </c>
      <c r="AC7624">
        <v>0.49109999999998799</v>
      </c>
      <c r="AD7624">
        <v>-9.1740000000000099E-2</v>
      </c>
      <c r="AE7624">
        <v>-1.09999999999956E-2</v>
      </c>
      <c r="AF7624">
        <v>8.5580680365266205E-3</v>
      </c>
      <c r="AG7624">
        <v>-9.1740000000000099E-2</v>
      </c>
      <c r="AH7624">
        <v>0.47459025918234898</v>
      </c>
      <c r="AI7624">
        <v>100.93880708785299</v>
      </c>
      <c r="AJ7624">
        <v>88.966923505764399</v>
      </c>
      <c r="AK7624">
        <v>0.48345153039295202</v>
      </c>
      <c r="AL7624">
        <v>96.530050034796503</v>
      </c>
      <c r="AM7624">
        <v>89.939316294873294</v>
      </c>
      <c r="AN7624">
        <v>1.00000001019936</v>
      </c>
    </row>
    <row r="7625" spans="1:40" x14ac:dyDescent="0.25">
      <c r="A7625" t="str">
        <f>"20190303154713328"</f>
        <v>20190303154713328</v>
      </c>
      <c r="B7625" t="str">
        <f>"1551599233320245"</f>
        <v>1551599233320245</v>
      </c>
      <c r="C7625" t="s">
        <v>40</v>
      </c>
      <c r="D7625">
        <v>5.9469849999999997</v>
      </c>
      <c r="E7625">
        <v>0.50198259999999995</v>
      </c>
      <c r="F7625" t="s">
        <v>42</v>
      </c>
      <c r="G7625">
        <v>-167.24010000000001</v>
      </c>
      <c r="H7625">
        <v>1.0194890000000001</v>
      </c>
      <c r="I7625">
        <v>138.5112</v>
      </c>
      <c r="J7625">
        <v>-167.89179999999999</v>
      </c>
      <c r="K7625">
        <v>1.1217459999999999</v>
      </c>
      <c r="L7625">
        <v>138.52000000000001</v>
      </c>
      <c r="M7625">
        <v>0.99989899999999998</v>
      </c>
      <c r="N7625">
        <v>-1.3811159999999999E-2</v>
      </c>
      <c r="O7625">
        <v>-3.3605610000000002E-3</v>
      </c>
      <c r="P7625">
        <v>0.99166220000000005</v>
      </c>
      <c r="Q7625">
        <v>-0.1288492</v>
      </c>
      <c r="R7625">
        <v>1.920883E-3</v>
      </c>
      <c r="S7625">
        <v>2.979965</v>
      </c>
      <c r="T7625">
        <v>-0.34714250000000002</v>
      </c>
      <c r="U7625">
        <v>-2.9296880000000001E-2</v>
      </c>
      <c r="V7625">
        <v>-5.0073929999999997E-3</v>
      </c>
      <c r="W7625">
        <v>-0.11515209999999999</v>
      </c>
      <c r="X7625">
        <v>0.99333519999999997</v>
      </c>
      <c r="Y7625">
        <v>6.4389470000000004E-3</v>
      </c>
      <c r="Z7625" s="1">
        <v>-7.4534619999999896E-5</v>
      </c>
      <c r="AA7625">
        <v>0.99997930000000002</v>
      </c>
      <c r="AB7625">
        <v>22</v>
      </c>
      <c r="AC7625">
        <v>0.65169999999997597</v>
      </c>
      <c r="AD7625">
        <v>-0.102257</v>
      </c>
      <c r="AE7625">
        <v>-8.8000000000079091E-3</v>
      </c>
      <c r="AF7625">
        <v>6.4508713934140101E-3</v>
      </c>
      <c r="AG7625">
        <v>-0.102257</v>
      </c>
      <c r="AH7625">
        <v>0.63606864600091695</v>
      </c>
      <c r="AI7625">
        <v>99.132496707234694</v>
      </c>
      <c r="AJ7625">
        <v>89.418938449440702</v>
      </c>
      <c r="AK7625">
        <v>0.644268135341314</v>
      </c>
      <c r="AL7625">
        <v>96.612398351576402</v>
      </c>
      <c r="AM7625">
        <v>90.288825016052002</v>
      </c>
      <c r="AN7625">
        <v>0.99999994983905105</v>
      </c>
    </row>
    <row r="7626" spans="1:40" x14ac:dyDescent="0.25">
      <c r="A7626" t="str">
        <f>"20190303154713351"</f>
        <v>20190303154713351</v>
      </c>
      <c r="B7626" t="str">
        <f>"1551599233339765"</f>
        <v>1551599233339765</v>
      </c>
      <c r="C7626" t="s">
        <v>40</v>
      </c>
      <c r="D7626">
        <v>5.7902420000000001</v>
      </c>
      <c r="E7626">
        <v>0.50239259999999997</v>
      </c>
      <c r="F7626" t="s">
        <v>42</v>
      </c>
      <c r="G7626">
        <v>-167.04349999999999</v>
      </c>
      <c r="H7626">
        <v>1.021658</v>
      </c>
      <c r="I7626">
        <v>138.51730000000001</v>
      </c>
      <c r="J7626">
        <v>-167.66200000000001</v>
      </c>
      <c r="K7626">
        <v>1.1217200000000001</v>
      </c>
      <c r="L7626">
        <v>138.5204</v>
      </c>
      <c r="M7626">
        <v>0.99990250000000003</v>
      </c>
      <c r="N7626">
        <v>-1.3784909999999999E-2</v>
      </c>
      <c r="O7626">
        <v>-2.3013790000000001E-3</v>
      </c>
      <c r="P7626">
        <v>0.99103859999999999</v>
      </c>
      <c r="Q7626">
        <v>-0.13336970000000001</v>
      </c>
      <c r="R7626">
        <v>7.440678E-3</v>
      </c>
      <c r="S7626">
        <v>2.9795530000000001</v>
      </c>
      <c r="T7626">
        <v>-0.35151850000000001</v>
      </c>
      <c r="U7626">
        <v>-9.7961430000000002E-3</v>
      </c>
      <c r="V7626">
        <v>-9.4702060000000001E-3</v>
      </c>
      <c r="W7626">
        <v>-0.119716</v>
      </c>
      <c r="X7626">
        <v>0.99276299999999995</v>
      </c>
      <c r="Y7626">
        <v>9.9094440000000003E-4</v>
      </c>
      <c r="Z7626">
        <v>1.7383230000000001E-4</v>
      </c>
      <c r="AA7626">
        <v>0.99999950000000004</v>
      </c>
      <c r="AB7626">
        <v>22</v>
      </c>
      <c r="AC7626">
        <v>0.61850000000001104</v>
      </c>
      <c r="AD7626">
        <v>-0.100062</v>
      </c>
      <c r="AE7626">
        <v>-3.0999999999892199E-3</v>
      </c>
      <c r="AF7626">
        <v>1.63369567393316E-3</v>
      </c>
      <c r="AG7626">
        <v>-0.100062</v>
      </c>
      <c r="AH7626">
        <v>0.60273043165654006</v>
      </c>
      <c r="AI7626">
        <v>99.4259286788689</v>
      </c>
      <c r="AJ7626">
        <v>89.844700660558303</v>
      </c>
      <c r="AK7626">
        <v>0.61098203414702301</v>
      </c>
      <c r="AL7626">
        <v>96.875712492385404</v>
      </c>
      <c r="AM7626">
        <v>90.546541699665198</v>
      </c>
      <c r="AN7626">
        <v>0.99999998981334104</v>
      </c>
    </row>
    <row r="7627" spans="1:40" x14ac:dyDescent="0.25">
      <c r="A7627" t="str">
        <f>"20190303154713372"</f>
        <v>20190303154713372</v>
      </c>
      <c r="B7627" t="str">
        <f>"1551599233369552"</f>
        <v>1551599233369552</v>
      </c>
      <c r="C7627" t="s">
        <v>40</v>
      </c>
      <c r="D7627">
        <v>5.8541850000000002</v>
      </c>
      <c r="E7627">
        <v>0.51380130000000002</v>
      </c>
      <c r="F7627" t="s">
        <v>42</v>
      </c>
      <c r="G7627">
        <v>-166.84809999999999</v>
      </c>
      <c r="H7627">
        <v>1.02173799999999</v>
      </c>
      <c r="I7627">
        <v>138.5213</v>
      </c>
      <c r="J7627">
        <v>-167.46170000000001</v>
      </c>
      <c r="K7627">
        <v>1.1217010000000001</v>
      </c>
      <c r="L7627">
        <v>138.52099999999999</v>
      </c>
      <c r="M7627">
        <v>0.99990449999999997</v>
      </c>
      <c r="N7627">
        <v>-1.376513E-2</v>
      </c>
      <c r="O7627">
        <v>-1.383689E-3</v>
      </c>
      <c r="P7627">
        <v>0.99041409999999996</v>
      </c>
      <c r="Q7627">
        <v>-0.137544</v>
      </c>
      <c r="R7627">
        <v>1.2713840000000001E-2</v>
      </c>
      <c r="S7627">
        <v>2.977875</v>
      </c>
      <c r="T7627">
        <v>-0.36588009999999999</v>
      </c>
      <c r="U7627">
        <v>3.3569339999999998E-3</v>
      </c>
      <c r="V7627">
        <v>-1.383272E-2</v>
      </c>
      <c r="W7627">
        <v>-0.12392640000000001</v>
      </c>
      <c r="X7627">
        <v>0.99219500000000005</v>
      </c>
      <c r="Y7627">
        <v>-2.4821330000000001E-3</v>
      </c>
      <c r="Z7627">
        <v>3.1945690000000001E-4</v>
      </c>
      <c r="AA7627">
        <v>0.99999680000000002</v>
      </c>
      <c r="AB7627">
        <v>22</v>
      </c>
      <c r="AC7627">
        <v>0.61360000000001902</v>
      </c>
      <c r="AD7627">
        <v>-9.9963000000000204E-2</v>
      </c>
      <c r="AE7627">
        <v>2.9999999998153699E-4</v>
      </c>
      <c r="AF7627">
        <v>-1.11940215928216E-3</v>
      </c>
      <c r="AG7627">
        <v>-9.9963000000000204E-2</v>
      </c>
      <c r="AH7627">
        <v>0.59773486425334299</v>
      </c>
      <c r="AI7627">
        <v>99.494061484976598</v>
      </c>
      <c r="AJ7627">
        <v>90.107299988943197</v>
      </c>
      <c r="AK7627">
        <v>0.606036981028515</v>
      </c>
      <c r="AL7627">
        <v>97.118760918816605</v>
      </c>
      <c r="AM7627">
        <v>90.798739292579498</v>
      </c>
      <c r="AN7627">
        <v>1.0000000073922699</v>
      </c>
    </row>
    <row r="7628" spans="1:40" x14ac:dyDescent="0.25">
      <c r="A7628" t="str">
        <f>"20190303154713402"</f>
        <v>20190303154713402</v>
      </c>
      <c r="B7628" t="str">
        <f>"1551599233399808"</f>
        <v>1551599233399808</v>
      </c>
      <c r="C7628" t="s">
        <v>40</v>
      </c>
      <c r="D7628">
        <v>5.8639739999999998</v>
      </c>
      <c r="E7628">
        <v>0.51479569999999997</v>
      </c>
      <c r="F7628" t="s">
        <v>42</v>
      </c>
      <c r="G7628">
        <v>-166.65559999999999</v>
      </c>
      <c r="H7628">
        <v>1.0177039999999999</v>
      </c>
      <c r="I7628">
        <v>138.50149999999999</v>
      </c>
      <c r="J7628">
        <v>-167.17320000000001</v>
      </c>
      <c r="K7628">
        <v>1.12169599999999</v>
      </c>
      <c r="L7628">
        <v>138.5223</v>
      </c>
      <c r="M7628">
        <v>0.99990570000000001</v>
      </c>
      <c r="N7628">
        <v>-1.3740260000000001E-2</v>
      </c>
      <c r="O7628" s="1">
        <v>-7.9784209999999995E-5</v>
      </c>
      <c r="P7628">
        <v>0.99065340000000002</v>
      </c>
      <c r="Q7628">
        <v>-0.13504479999999999</v>
      </c>
      <c r="R7628">
        <v>1.9206999999999998E-2</v>
      </c>
      <c r="S7628">
        <v>2.976639</v>
      </c>
      <c r="T7628">
        <v>-0.38409549999999998</v>
      </c>
      <c r="U7628">
        <v>-7.1731569999999995E-2</v>
      </c>
      <c r="V7628">
        <v>-1.9053529999999999E-2</v>
      </c>
      <c r="W7628">
        <v>-0.12145690000000001</v>
      </c>
      <c r="X7628">
        <v>0.99241380000000001</v>
      </c>
      <c r="Y7628">
        <v>2.3793600000000002E-2</v>
      </c>
      <c r="Z7628">
        <v>-1.683651E-3</v>
      </c>
      <c r="AA7628">
        <v>0.99971540000000003</v>
      </c>
      <c r="AB7628">
        <v>22</v>
      </c>
      <c r="AC7628">
        <v>0.51760000000001505</v>
      </c>
      <c r="AD7628">
        <v>-0.103991999999999</v>
      </c>
      <c r="AE7628">
        <v>-2.0800000000008301E-2</v>
      </c>
      <c r="AF7628">
        <v>1.99545222714828E-2</v>
      </c>
      <c r="AG7628">
        <v>-0.103991999999999</v>
      </c>
      <c r="AH7628">
        <v>0.49755013300243101</v>
      </c>
      <c r="AI7628">
        <v>101.796119197203</v>
      </c>
      <c r="AJ7628">
        <v>87.703352012469793</v>
      </c>
      <c r="AK7628">
        <v>0.50869308416157899</v>
      </c>
      <c r="AL7628">
        <v>96.976191992786895</v>
      </c>
      <c r="AM7628">
        <v>91.099896785472097</v>
      </c>
      <c r="AN7628">
        <v>0.99999998299675497</v>
      </c>
    </row>
    <row r="7629" spans="1:40" x14ac:dyDescent="0.25">
      <c r="A7629" t="str">
        <f>"20190303154713426"</f>
        <v>20190303154713426</v>
      </c>
      <c r="B7629" t="str">
        <f>"1551599233419328"</f>
        <v>1551599233419328</v>
      </c>
      <c r="C7629" t="s">
        <v>40</v>
      </c>
      <c r="D7629">
        <v>5.8897890000000004</v>
      </c>
      <c r="E7629">
        <v>0.51521439999999996</v>
      </c>
      <c r="F7629" t="s">
        <v>42</v>
      </c>
      <c r="G7629">
        <v>-166.2706</v>
      </c>
      <c r="H7629">
        <v>1.009036</v>
      </c>
      <c r="I7629">
        <v>138.50409999999999</v>
      </c>
      <c r="J7629">
        <v>-166.94299999999899</v>
      </c>
      <c r="K7629">
        <v>1.1217159999999999</v>
      </c>
      <c r="L7629">
        <v>138.52359999999999</v>
      </c>
      <c r="M7629">
        <v>0.9999055</v>
      </c>
      <c r="N7629">
        <v>-1.372379E-2</v>
      </c>
      <c r="O7629">
        <v>9.5653739999999995E-4</v>
      </c>
      <c r="P7629">
        <v>0.99160139999999997</v>
      </c>
      <c r="Q7629">
        <v>-0.12691749999999999</v>
      </c>
      <c r="R7629">
        <v>2.4872869999999998E-2</v>
      </c>
      <c r="S7629">
        <v>2.97879</v>
      </c>
      <c r="T7629">
        <v>-0.37179899999999999</v>
      </c>
      <c r="U7629">
        <v>-6.0104369999999997E-2</v>
      </c>
      <c r="V7629">
        <v>-2.3716600000000001E-2</v>
      </c>
      <c r="W7629">
        <v>-0.1133403</v>
      </c>
      <c r="X7629">
        <v>0.99327310000000002</v>
      </c>
      <c r="Y7629">
        <v>2.0943429999999999E-2</v>
      </c>
      <c r="Z7629">
        <v>-1.552035E-3</v>
      </c>
      <c r="AA7629">
        <v>0.99977950000000004</v>
      </c>
      <c r="AB7629">
        <v>22</v>
      </c>
      <c r="AC7629">
        <v>0.67239999999998101</v>
      </c>
      <c r="AD7629">
        <v>-0.112679999999999</v>
      </c>
      <c r="AE7629">
        <v>-1.9499999999993599E-2</v>
      </c>
      <c r="AF7629">
        <v>1.9593453374354902E-2</v>
      </c>
      <c r="AG7629">
        <v>-0.112679999999999</v>
      </c>
      <c r="AH7629">
        <v>0.65402958089248497</v>
      </c>
      <c r="AI7629">
        <v>99.770985187383303</v>
      </c>
      <c r="AJ7629">
        <v>88.284043180248503</v>
      </c>
      <c r="AK7629">
        <v>0.66395434970902401</v>
      </c>
      <c r="AL7629">
        <v>96.507905498144098</v>
      </c>
      <c r="AM7629">
        <v>91.367804014833993</v>
      </c>
      <c r="AN7629">
        <v>0.99999997595162904</v>
      </c>
    </row>
    <row r="7630" spans="1:40" x14ac:dyDescent="0.25">
      <c r="A7630" t="str">
        <f>"20190303154713448"</f>
        <v>20190303154713448</v>
      </c>
      <c r="B7630" t="str">
        <f>"1551599233439824"</f>
        <v>1551599233439824</v>
      </c>
      <c r="C7630" t="s">
        <v>40</v>
      </c>
      <c r="D7630">
        <v>5.9054279999999997</v>
      </c>
      <c r="E7630">
        <v>0.51531329999999997</v>
      </c>
      <c r="F7630" t="s">
        <v>42</v>
      </c>
      <c r="G7630">
        <v>-166.07079999999999</v>
      </c>
      <c r="H7630">
        <v>1.0202500000000001</v>
      </c>
      <c r="I7630">
        <v>138.50989999999999</v>
      </c>
      <c r="J7630">
        <v>-166.71870000000001</v>
      </c>
      <c r="K7630">
        <v>1.1217299999999999</v>
      </c>
      <c r="L7630">
        <v>138.52520000000001</v>
      </c>
      <c r="M7630">
        <v>0.99990409999999996</v>
      </c>
      <c r="N7630">
        <v>-1.3709900000000001E-2</v>
      </c>
      <c r="O7630">
        <v>1.9712750000000002E-3</v>
      </c>
      <c r="P7630">
        <v>0.99251999999999996</v>
      </c>
      <c r="Q7630">
        <v>-0.1185358</v>
      </c>
      <c r="R7630">
        <v>2.9212499999999999E-2</v>
      </c>
      <c r="S7630">
        <v>2.9821469999999999</v>
      </c>
      <c r="T7630">
        <v>-0.34706530000000002</v>
      </c>
      <c r="U7630">
        <v>-4.6356199999999903E-2</v>
      </c>
      <c r="V7630">
        <v>-2.7071109999999999E-2</v>
      </c>
      <c r="W7630">
        <v>-0.1049644</v>
      </c>
      <c r="X7630">
        <v>0.99410750000000003</v>
      </c>
      <c r="Y7630">
        <v>1.7372390000000001E-2</v>
      </c>
      <c r="Z7630">
        <v>-1.328685E-3</v>
      </c>
      <c r="AA7630">
        <v>0.99984819999999996</v>
      </c>
      <c r="AB7630">
        <v>22</v>
      </c>
      <c r="AC7630">
        <v>0.64790000000002101</v>
      </c>
      <c r="AD7630">
        <v>-0.101479999999999</v>
      </c>
      <c r="AE7630">
        <v>-1.53000000000247E-2</v>
      </c>
      <c r="AF7630">
        <v>1.6180548408490099E-2</v>
      </c>
      <c r="AG7630">
        <v>-0.101479999999999</v>
      </c>
      <c r="AH7630">
        <v>0.63236365024107299</v>
      </c>
      <c r="AI7630">
        <v>99.114005641457695</v>
      </c>
      <c r="AJ7630">
        <v>88.534269183320902</v>
      </c>
      <c r="AK7630">
        <v>0.64065886920654802</v>
      </c>
      <c r="AL7630">
        <v>96.025115218771504</v>
      </c>
      <c r="AM7630">
        <v>91.559868645556193</v>
      </c>
      <c r="AN7630">
        <v>1.0000000459101199</v>
      </c>
    </row>
    <row r="7631" spans="1:40" x14ac:dyDescent="0.25">
      <c r="A7631" t="str">
        <f>"20190303154713469"</f>
        <v>20190303154713469</v>
      </c>
      <c r="B7631" t="str">
        <f>"1551599233459345"</f>
        <v>1551599233459345</v>
      </c>
      <c r="C7631" t="s">
        <v>40</v>
      </c>
      <c r="D7631">
        <v>5.8301030000000003</v>
      </c>
      <c r="E7631">
        <v>0.512142599999999</v>
      </c>
      <c r="F7631" t="s">
        <v>42</v>
      </c>
      <c r="G7631">
        <v>-165.87180000000001</v>
      </c>
      <c r="H7631">
        <v>1.030627</v>
      </c>
      <c r="I7631">
        <v>138.5154</v>
      </c>
      <c r="J7631">
        <v>-166.51830000000001</v>
      </c>
      <c r="K7631">
        <v>1.1217239999999999</v>
      </c>
      <c r="L7631">
        <v>138.52680000000001</v>
      </c>
      <c r="M7631">
        <v>0.99990210000000002</v>
      </c>
      <c r="N7631">
        <v>-1.369897E-2</v>
      </c>
      <c r="O7631">
        <v>2.896601E-3</v>
      </c>
      <c r="P7631">
        <v>0.99308399999999997</v>
      </c>
      <c r="Q7631">
        <v>-0.11313579999999999</v>
      </c>
      <c r="R7631">
        <v>3.1376939999999999E-2</v>
      </c>
      <c r="S7631">
        <v>2.9852750000000001</v>
      </c>
      <c r="T7631">
        <v>-0.32118570000000002</v>
      </c>
      <c r="U7631">
        <v>-3.4164430000000003E-2</v>
      </c>
      <c r="V7631">
        <v>-2.8329779999999999E-2</v>
      </c>
      <c r="W7631">
        <v>-9.9568340000000005E-2</v>
      </c>
      <c r="X7631">
        <v>0.99462740000000005</v>
      </c>
      <c r="Y7631">
        <v>1.4234810000000001E-2</v>
      </c>
      <c r="Z7631">
        <v>-1.132517E-3</v>
      </c>
      <c r="AA7631">
        <v>0.99989799999999995</v>
      </c>
      <c r="AB7631">
        <v>22</v>
      </c>
      <c r="AC7631">
        <v>0.64650000000000296</v>
      </c>
      <c r="AD7631">
        <v>-9.10969999999999E-2</v>
      </c>
      <c r="AE7631">
        <v>-1.14000000000089E-2</v>
      </c>
      <c r="AF7631">
        <v>1.30144577542563E-2</v>
      </c>
      <c r="AG7631">
        <v>-9.10969999999999E-2</v>
      </c>
      <c r="AH7631">
        <v>0.63388240520469596</v>
      </c>
      <c r="AI7631">
        <v>98.176440419285697</v>
      </c>
      <c r="AJ7631">
        <v>88.823805888531595</v>
      </c>
      <c r="AK7631">
        <v>0.64052708229061495</v>
      </c>
      <c r="AL7631">
        <v>95.714313851403205</v>
      </c>
      <c r="AM7631">
        <v>91.631503512805494</v>
      </c>
      <c r="AN7631">
        <v>1.00000004779798</v>
      </c>
    </row>
    <row r="7632" spans="1:40" x14ac:dyDescent="0.25">
      <c r="A7632" t="str">
        <f>"20190303154713489"</f>
        <v>20190303154713489</v>
      </c>
      <c r="B7632" t="str">
        <f>"1551599233479841"</f>
        <v>1551599233479841</v>
      </c>
      <c r="C7632" t="s">
        <v>40</v>
      </c>
      <c r="D7632">
        <v>5.893834</v>
      </c>
      <c r="E7632">
        <v>0.51002349999999996</v>
      </c>
      <c r="F7632" t="s">
        <v>42</v>
      </c>
      <c r="G7632">
        <v>-165.67509999999999</v>
      </c>
      <c r="H7632">
        <v>1.0347360000000001</v>
      </c>
      <c r="I7632">
        <v>138.52600000000001</v>
      </c>
      <c r="J7632">
        <v>-166.3262</v>
      </c>
      <c r="K7632">
        <v>1.121699</v>
      </c>
      <c r="L7632">
        <v>138.52850000000001</v>
      </c>
      <c r="M7632">
        <v>0.99989899999999998</v>
      </c>
      <c r="N7632">
        <v>-1.368963E-2</v>
      </c>
      <c r="O7632">
        <v>3.8101110000000001E-3</v>
      </c>
      <c r="P7632">
        <v>0.99288900000000002</v>
      </c>
      <c r="Q7632">
        <v>-0.114637</v>
      </c>
      <c r="R7632">
        <v>3.2089180000000002E-2</v>
      </c>
      <c r="S7632">
        <v>2.9858859999999998</v>
      </c>
      <c r="T7632">
        <v>-0.30815879999999901</v>
      </c>
      <c r="U7632">
        <v>-2.426147E-3</v>
      </c>
      <c r="V7632">
        <v>-2.8135759999999999E-2</v>
      </c>
      <c r="W7632">
        <v>-0.1010798</v>
      </c>
      <c r="X7632">
        <v>0.99448040000000004</v>
      </c>
      <c r="Y7632">
        <v>4.5802020000000002E-3</v>
      </c>
      <c r="Z7632">
        <v>-6.0730949999999995E-4</v>
      </c>
      <c r="AA7632">
        <v>0.99998929999999997</v>
      </c>
      <c r="AB7632">
        <v>22</v>
      </c>
      <c r="AC7632">
        <v>0.651100000000013</v>
      </c>
      <c r="AD7632">
        <v>-8.6962999999999901E-2</v>
      </c>
      <c r="AE7632">
        <v>-2.4999999999977202E-3</v>
      </c>
      <c r="AF7632">
        <v>4.8936799933729002E-3</v>
      </c>
      <c r="AG7632">
        <v>-8.6962999999999901E-2</v>
      </c>
      <c r="AH7632">
        <v>0.63967467635933195</v>
      </c>
      <c r="AI7632">
        <v>97.741606054037305</v>
      </c>
      <c r="AJ7632">
        <v>89.561680725482105</v>
      </c>
      <c r="AK7632">
        <v>0.64557741832277105</v>
      </c>
      <c r="AL7632">
        <v>95.801353505348203</v>
      </c>
      <c r="AM7632">
        <v>91.620575320096293</v>
      </c>
      <c r="AN7632">
        <v>1.00000000647148</v>
      </c>
    </row>
    <row r="7633" spans="1:40" x14ac:dyDescent="0.25">
      <c r="A7633" t="str">
        <f>"20190303154713520"</f>
        <v>20190303154713520</v>
      </c>
      <c r="B7633" t="str">
        <f>"1551599233510097"</f>
        <v>1551599233510097</v>
      </c>
      <c r="C7633" t="s">
        <v>40</v>
      </c>
      <c r="D7633">
        <v>5.9409919999999996</v>
      </c>
      <c r="E7633">
        <v>0.50842849999999995</v>
      </c>
      <c r="F7633" t="s">
        <v>42</v>
      </c>
      <c r="G7633">
        <v>-165.48259999999999</v>
      </c>
      <c r="H7633">
        <v>1.032667</v>
      </c>
      <c r="I7633">
        <v>138.53319999999999</v>
      </c>
      <c r="J7633">
        <v>-166.02430000000001</v>
      </c>
      <c r="K7633">
        <v>1.1216699999999999</v>
      </c>
      <c r="L7633">
        <v>138.5316</v>
      </c>
      <c r="M7633">
        <v>0.99989249999999996</v>
      </c>
      <c r="N7633">
        <v>-1.367695E-2</v>
      </c>
      <c r="O7633">
        <v>5.3090439999999997E-3</v>
      </c>
      <c r="P7633">
        <v>0.99262450000000002</v>
      </c>
      <c r="Q7633">
        <v>-0.1168672</v>
      </c>
      <c r="R7633">
        <v>3.2230750000000002E-2</v>
      </c>
      <c r="S7633">
        <v>2.9845730000000001</v>
      </c>
      <c r="T7633">
        <v>-0.31505139999999998</v>
      </c>
      <c r="U7633">
        <v>1.670837E-2</v>
      </c>
      <c r="V7633">
        <v>-2.6787999999999999E-2</v>
      </c>
      <c r="W7633">
        <v>-0.1033229</v>
      </c>
      <c r="X7633">
        <v>0.99428709999999998</v>
      </c>
      <c r="Y7633">
        <v>-3.0902689999999999E-4</v>
      </c>
      <c r="Z7633">
        <v>-4.680366E-4</v>
      </c>
      <c r="AA7633">
        <v>0.99999979999999999</v>
      </c>
      <c r="AB7633">
        <v>22</v>
      </c>
      <c r="AC7633">
        <v>0.54170000000002005</v>
      </c>
      <c r="AD7633">
        <v>-8.9003000000000096E-2</v>
      </c>
      <c r="AE7633">
        <v>1.59999999999627E-3</v>
      </c>
      <c r="AF7633">
        <v>1.24265453244086E-3</v>
      </c>
      <c r="AG7633">
        <v>-8.9003000000000096E-2</v>
      </c>
      <c r="AH7633">
        <v>0.52746187869012695</v>
      </c>
      <c r="AI7633">
        <v>99.577742842292096</v>
      </c>
      <c r="AJ7633">
        <v>89.865016352360399</v>
      </c>
      <c r="AK7633">
        <v>0.53491972451070202</v>
      </c>
      <c r="AL7633">
        <v>95.930550076419706</v>
      </c>
      <c r="AM7633">
        <v>91.543284771815394</v>
      </c>
      <c r="AN7633">
        <v>1.0000000279173999</v>
      </c>
    </row>
    <row r="7634" spans="1:40" x14ac:dyDescent="0.25">
      <c r="A7634" t="str">
        <f>"20190303154713547"</f>
        <v>20190303154713547</v>
      </c>
      <c r="B7634" t="str">
        <f>"1551599233539376"</f>
        <v>1551599233539376</v>
      </c>
      <c r="C7634" t="s">
        <v>40</v>
      </c>
      <c r="D7634">
        <v>5.8181190000000003</v>
      </c>
      <c r="E7634">
        <v>0.50801220000000002</v>
      </c>
      <c r="F7634" t="s">
        <v>42</v>
      </c>
      <c r="G7634">
        <v>-165.27610000000001</v>
      </c>
      <c r="H7634">
        <v>1.039938</v>
      </c>
      <c r="I7634">
        <v>138.53890000000001</v>
      </c>
      <c r="J7634">
        <v>-165.7748</v>
      </c>
      <c r="K7634">
        <v>1.1216360000000001</v>
      </c>
      <c r="L7634">
        <v>138.53450000000001</v>
      </c>
      <c r="M7634">
        <v>0.99988469999999996</v>
      </c>
      <c r="N7634">
        <v>-1.366816E-2</v>
      </c>
      <c r="O7634">
        <v>6.6163630000000001E-3</v>
      </c>
      <c r="P7634">
        <v>0.99195120000000003</v>
      </c>
      <c r="Q7634">
        <v>-0.12313109999999999</v>
      </c>
      <c r="R7634">
        <v>2.952364E-2</v>
      </c>
      <c r="S7634">
        <v>2.9829409999999998</v>
      </c>
      <c r="T7634">
        <v>-0.32599990000000001</v>
      </c>
      <c r="U7634">
        <v>2.9785160000000001E-2</v>
      </c>
      <c r="V7634">
        <v>-2.2773729999999999E-2</v>
      </c>
      <c r="W7634">
        <v>-0.10959770000000001</v>
      </c>
      <c r="X7634">
        <v>0.99371509999999996</v>
      </c>
      <c r="Y7634">
        <v>-3.3753250000000002E-3</v>
      </c>
      <c r="Z7634">
        <v>-4.2367840000000001E-4</v>
      </c>
      <c r="AA7634">
        <v>0.99999420000000006</v>
      </c>
      <c r="AB7634">
        <v>22</v>
      </c>
      <c r="AC7634">
        <v>0.49869999999998499</v>
      </c>
      <c r="AD7634">
        <v>-8.1698000000000007E-2</v>
      </c>
      <c r="AE7634">
        <v>4.4000000000039502E-3</v>
      </c>
      <c r="AF7634">
        <v>-1.07126717287689E-3</v>
      </c>
      <c r="AG7634">
        <v>-8.1698000000000007E-2</v>
      </c>
      <c r="AH7634">
        <v>0.48568458965582101</v>
      </c>
      <c r="AI7634">
        <v>99.548428568038304</v>
      </c>
      <c r="AJ7634">
        <v>90.126376231626296</v>
      </c>
      <c r="AK7634">
        <v>0.492509118135389</v>
      </c>
      <c r="AL7634">
        <v>96.292125268977799</v>
      </c>
      <c r="AM7634">
        <v>91.312861443438095</v>
      </c>
      <c r="AN7634">
        <v>0.99999999929570604</v>
      </c>
    </row>
    <row r="7635" spans="1:40" x14ac:dyDescent="0.25">
      <c r="A7635" t="str">
        <f>"20190303154713705"</f>
        <v>20190303154713705</v>
      </c>
      <c r="B7635" t="str">
        <f>"1551599233699440"</f>
        <v>1551599233699440</v>
      </c>
      <c r="C7635" t="s">
        <v>40</v>
      </c>
      <c r="D7635">
        <v>5.7567570000000003</v>
      </c>
      <c r="E7635">
        <v>0.51373679999999999</v>
      </c>
      <c r="F7635" t="s">
        <v>41</v>
      </c>
      <c r="G7635">
        <v>-139.78100000000001</v>
      </c>
      <c r="H7635" s="1">
        <v>-3.2669929999999998E-7</v>
      </c>
      <c r="I7635">
        <v>138.61609999999999</v>
      </c>
      <c r="J7635">
        <v>-164.24469999999999</v>
      </c>
      <c r="K7635">
        <v>1.1214120000000001</v>
      </c>
      <c r="L7635">
        <v>138.5599</v>
      </c>
      <c r="M7635">
        <v>0.99980040000000003</v>
      </c>
      <c r="N7635">
        <v>-1.3627469999999999E-2</v>
      </c>
      <c r="O7635">
        <v>1.460785E-2</v>
      </c>
      <c r="P7635">
        <v>0.99180760000000001</v>
      </c>
      <c r="Q7635">
        <v>-0.1228327</v>
      </c>
      <c r="R7635">
        <v>3.5070110000000002E-2</v>
      </c>
      <c r="S7635">
        <v>3.0080110000000002</v>
      </c>
      <c r="T7635">
        <v>-0.13665429999999901</v>
      </c>
      <c r="U7635">
        <v>7.3699949999999998E-3</v>
      </c>
      <c r="V7635">
        <v>-2.0446789999999999E-2</v>
      </c>
      <c r="W7635">
        <v>-0.1093244</v>
      </c>
      <c r="X7635">
        <v>0.99379580000000001</v>
      </c>
      <c r="Y7635">
        <v>1.213565E-2</v>
      </c>
      <c r="Z7635">
        <v>-8.2252929999999903E-4</v>
      </c>
      <c r="AA7635">
        <v>0.99992599999999998</v>
      </c>
      <c r="AB7635">
        <v>21</v>
      </c>
      <c r="AC7635">
        <v>24.4636999999999</v>
      </c>
      <c r="AD7635">
        <v>-1.1214123266992999</v>
      </c>
      <c r="AE7635">
        <v>5.61999999999898E-2</v>
      </c>
      <c r="AF7635">
        <v>0.30056967481434999</v>
      </c>
      <c r="AG7635">
        <v>-1.1214123266992999</v>
      </c>
      <c r="AH7635">
        <v>24.410616709341198</v>
      </c>
      <c r="AI7635">
        <v>92.630092934408296</v>
      </c>
      <c r="AJ7635">
        <v>89.2945486064568</v>
      </c>
      <c r="AK7635">
        <v>24.438210160857999</v>
      </c>
      <c r="AL7635">
        <v>96.276371704496697</v>
      </c>
      <c r="AM7635">
        <v>91.178662165709099</v>
      </c>
      <c r="AN7635">
        <v>0.99999999387715199</v>
      </c>
    </row>
    <row r="7636" spans="1:40" x14ac:dyDescent="0.25">
      <c r="A7636" t="str">
        <f>"20190303154713730"</f>
        <v>20190303154713730</v>
      </c>
      <c r="B7636" t="str">
        <f>"1551599233719937"</f>
        <v>1551599233719937</v>
      </c>
      <c r="C7636" t="s">
        <v>40</v>
      </c>
      <c r="D7636">
        <v>5.7085990000000004</v>
      </c>
      <c r="E7636">
        <v>0.51398710000000003</v>
      </c>
      <c r="F7636" t="s">
        <v>41</v>
      </c>
      <c r="G7636">
        <v>-136.6431</v>
      </c>
      <c r="H7636" s="1">
        <v>-1.6073489999999999E-6</v>
      </c>
      <c r="I7636">
        <v>138.5737</v>
      </c>
      <c r="J7636">
        <v>-164.0068</v>
      </c>
      <c r="K7636">
        <v>1.1212879999999901</v>
      </c>
      <c r="L7636">
        <v>138.56440000000001</v>
      </c>
      <c r="M7636">
        <v>0.99978929999999999</v>
      </c>
      <c r="N7636">
        <v>-1.3621909999999999E-2</v>
      </c>
      <c r="O7636">
        <v>1.536414E-2</v>
      </c>
      <c r="P7636">
        <v>0.9924212</v>
      </c>
      <c r="Q7636">
        <v>-0.11742569999999999</v>
      </c>
      <c r="R7636">
        <v>3.6217569999999998E-2</v>
      </c>
      <c r="S7636">
        <v>3.0095670000000001</v>
      </c>
      <c r="T7636">
        <v>-0.1222742</v>
      </c>
      <c r="U7636">
        <v>1.5106200000000001E-3</v>
      </c>
      <c r="V7636">
        <v>-2.087789E-2</v>
      </c>
      <c r="W7636">
        <v>-0.1039075</v>
      </c>
      <c r="X7636">
        <v>0.99436780000000002</v>
      </c>
      <c r="Y7636">
        <v>1.4841729999999999E-2</v>
      </c>
      <c r="Z7636">
        <v>-8.1721880000000004E-4</v>
      </c>
      <c r="AA7636">
        <v>0.99988949999999999</v>
      </c>
      <c r="AB7636">
        <v>21</v>
      </c>
      <c r="AC7636">
        <v>27.363699999999898</v>
      </c>
      <c r="AD7636">
        <v>-1.12128960734899</v>
      </c>
      <c r="AE7636">
        <v>9.2999999999960892E-3</v>
      </c>
      <c r="AF7636">
        <v>0.41047053679774698</v>
      </c>
      <c r="AG7636">
        <v>-1.12128960734899</v>
      </c>
      <c r="AH7636">
        <v>27.314747238193199</v>
      </c>
      <c r="AI7636">
        <v>92.350447162677597</v>
      </c>
      <c r="AJ7636">
        <v>89.139056309660901</v>
      </c>
      <c r="AK7636">
        <v>27.340833804613801</v>
      </c>
      <c r="AL7636">
        <v>95.964226690516298</v>
      </c>
      <c r="AM7636">
        <v>91.202813737108002</v>
      </c>
      <c r="AN7636">
        <v>0.99999998826197001</v>
      </c>
    </row>
    <row r="7637" spans="1:40" x14ac:dyDescent="0.25">
      <c r="A7637" t="str">
        <f>"20190303154713751"</f>
        <v>20190303154713751</v>
      </c>
      <c r="B7637" t="str">
        <f>"1551599233739457"</f>
        <v>1551599233739457</v>
      </c>
      <c r="C7637" t="s">
        <v>40</v>
      </c>
      <c r="D7637">
        <v>5.7602580000000003</v>
      </c>
      <c r="E7637">
        <v>0.51130089999999995</v>
      </c>
      <c r="F7637" t="s">
        <v>41</v>
      </c>
      <c r="G7637">
        <v>-139.09799999999899</v>
      </c>
      <c r="H7637" s="1">
        <v>-5.6700609999999897E-7</v>
      </c>
      <c r="I7637">
        <v>138.5865</v>
      </c>
      <c r="J7637">
        <v>-163.80930000000001</v>
      </c>
      <c r="K7637">
        <v>1.1211690000000001</v>
      </c>
      <c r="L7637">
        <v>138.56799999999899</v>
      </c>
      <c r="M7637">
        <v>0.99978239999999996</v>
      </c>
      <c r="N7637">
        <v>-1.3617819999999999E-2</v>
      </c>
      <c r="O7637">
        <v>1.5809009999999998E-2</v>
      </c>
      <c r="P7637">
        <v>0.99295109999999998</v>
      </c>
      <c r="Q7637">
        <v>-0.11277280000000001</v>
      </c>
      <c r="R7637">
        <v>3.6481689999999997E-2</v>
      </c>
      <c r="S7637">
        <v>3.0067900000000001</v>
      </c>
      <c r="T7637">
        <v>-0.135352799999999</v>
      </c>
      <c r="U7637">
        <v>2.6702879999999998E-3</v>
      </c>
      <c r="V7637">
        <v>-2.0727539999999999E-2</v>
      </c>
      <c r="W7637">
        <v>-9.9245E-2</v>
      </c>
      <c r="X7637">
        <v>0.99484709999999998</v>
      </c>
      <c r="Y7637">
        <v>1.489505E-2</v>
      </c>
      <c r="Z7637">
        <v>-9.3262170000000004E-4</v>
      </c>
      <c r="AA7637">
        <v>0.99988860000000002</v>
      </c>
      <c r="AB7637">
        <v>21</v>
      </c>
      <c r="AC7637">
        <v>24.711300000000001</v>
      </c>
      <c r="AD7637">
        <v>-1.1211695670060999</v>
      </c>
      <c r="AE7637">
        <v>1.8500000000017201E-2</v>
      </c>
      <c r="AF7637">
        <v>0.37143508722773899</v>
      </c>
      <c r="AG7637">
        <v>-1.1211695670060999</v>
      </c>
      <c r="AH7637">
        <v>24.657745740605201</v>
      </c>
      <c r="AI7637">
        <v>92.603108895043903</v>
      </c>
      <c r="AJ7637">
        <v>89.136983014997995</v>
      </c>
      <c r="AK7637">
        <v>24.686016491737501</v>
      </c>
      <c r="AL7637">
        <v>95.695696023234007</v>
      </c>
      <c r="AM7637">
        <v>91.193579157416707</v>
      </c>
      <c r="AN7637">
        <v>0.99999997665893003</v>
      </c>
    </row>
    <row r="7638" spans="1:40" x14ac:dyDescent="0.25">
      <c r="A7638" t="str">
        <f>"20190303154713777"</f>
        <v>20190303154713777</v>
      </c>
      <c r="B7638" t="str">
        <f>"1551599233769713"</f>
        <v>1551599233769713</v>
      </c>
      <c r="C7638" t="s">
        <v>40</v>
      </c>
      <c r="D7638">
        <v>5.8088839999999999</v>
      </c>
      <c r="E7638">
        <v>0.50913169999999996</v>
      </c>
      <c r="F7638" t="s">
        <v>41</v>
      </c>
      <c r="G7638">
        <v>-142.01480000000001</v>
      </c>
      <c r="H7638" s="1">
        <v>-3.5623289999999999E-6</v>
      </c>
      <c r="I7638">
        <v>138.7457</v>
      </c>
      <c r="J7638">
        <v>-163.5635</v>
      </c>
      <c r="K7638">
        <v>1.12101299999999</v>
      </c>
      <c r="L7638">
        <v>138.57239999999999</v>
      </c>
      <c r="M7638">
        <v>0.99977760000000004</v>
      </c>
      <c r="N7638">
        <v>-1.361308E-2</v>
      </c>
      <c r="O7638">
        <v>1.610932E-2</v>
      </c>
      <c r="P7638">
        <v>0.99308589999999997</v>
      </c>
      <c r="Q7638">
        <v>-0.1119628</v>
      </c>
      <c r="R7638">
        <v>3.528593E-2</v>
      </c>
      <c r="S7638">
        <v>3.002853</v>
      </c>
      <c r="T7638">
        <v>-0.15447569999999999</v>
      </c>
      <c r="U7638">
        <v>2.4490359999999999E-2</v>
      </c>
      <c r="V7638">
        <v>-1.9269890000000001E-2</v>
      </c>
      <c r="W7638">
        <v>-9.8429959999999997E-2</v>
      </c>
      <c r="X7638">
        <v>0.99495739999999999</v>
      </c>
      <c r="Y7638">
        <v>7.9311239999999995E-3</v>
      </c>
      <c r="Z7638">
        <v>-8.6679520000000003E-4</v>
      </c>
      <c r="AA7638">
        <v>0.99996819999999997</v>
      </c>
      <c r="AB7638">
        <v>21</v>
      </c>
      <c r="AC7638">
        <v>21.5487</v>
      </c>
      <c r="AD7638">
        <v>-1.1210165623289901</v>
      </c>
      <c r="AE7638">
        <v>0.173300000000011</v>
      </c>
      <c r="AF7638">
        <v>0.17342024891194899</v>
      </c>
      <c r="AG7638">
        <v>-1.1210165623289901</v>
      </c>
      <c r="AH7638">
        <v>21.4905383684928</v>
      </c>
      <c r="AI7638">
        <v>92.985931288560195</v>
      </c>
      <c r="AJ7638">
        <v>89.537655478674196</v>
      </c>
      <c r="AK7638">
        <v>21.5204552015846</v>
      </c>
      <c r="AL7638">
        <v>95.648767718683303</v>
      </c>
      <c r="AM7638">
        <v>91.109540319761095</v>
      </c>
      <c r="AN7638">
        <v>1.00000000675048</v>
      </c>
    </row>
    <row r="7639" spans="1:40" x14ac:dyDescent="0.25">
      <c r="A7639" t="str">
        <f>"20190303154713798"</f>
        <v>20190303154713798</v>
      </c>
      <c r="B7639" t="str">
        <f>"1551599233789233"</f>
        <v>1551599233789233</v>
      </c>
      <c r="C7639" t="s">
        <v>40</v>
      </c>
      <c r="D7639">
        <v>5.7537979999999997</v>
      </c>
      <c r="E7639">
        <v>0.5075693</v>
      </c>
      <c r="F7639" t="s">
        <v>41</v>
      </c>
      <c r="G7639">
        <v>-144.86170000000001</v>
      </c>
      <c r="H7639" s="1">
        <v>-2.3303509999999999E-6</v>
      </c>
      <c r="I7639">
        <v>138.80600000000001</v>
      </c>
      <c r="J7639">
        <v>-163.35749999999999</v>
      </c>
      <c r="K7639">
        <v>1.120887</v>
      </c>
      <c r="L7639">
        <v>138.57589999999999</v>
      </c>
      <c r="M7639">
        <v>0.99977720000000003</v>
      </c>
      <c r="N7639">
        <v>-1.3609329999999999E-2</v>
      </c>
      <c r="O7639">
        <v>1.6144490000000001E-2</v>
      </c>
      <c r="P7639">
        <v>0.99301950000000005</v>
      </c>
      <c r="Q7639">
        <v>-0.1133755</v>
      </c>
      <c r="R7639">
        <v>3.2529549999999997E-2</v>
      </c>
      <c r="S7639">
        <v>2.9992830000000001</v>
      </c>
      <c r="T7639">
        <v>-0.17978079999999999</v>
      </c>
      <c r="U7639">
        <v>3.7475590000000003E-2</v>
      </c>
      <c r="V7639">
        <v>-1.6508189999999999E-2</v>
      </c>
      <c r="W7639">
        <v>-9.9842570000000005E-2</v>
      </c>
      <c r="X7639">
        <v>0.99486629999999998</v>
      </c>
      <c r="Y7639">
        <v>3.627187E-3</v>
      </c>
      <c r="Z7639">
        <v>-8.8050110000000004E-4</v>
      </c>
      <c r="AA7639">
        <v>0.99999300000000002</v>
      </c>
      <c r="AB7639">
        <v>21</v>
      </c>
      <c r="AC7639">
        <v>18.4957999999999</v>
      </c>
      <c r="AD7639">
        <v>-1.1208893303509999</v>
      </c>
      <c r="AE7639">
        <v>0.23010000000002101</v>
      </c>
      <c r="AF7639">
        <v>6.8312016428216604E-2</v>
      </c>
      <c r="AG7639">
        <v>-1.1208893303509999</v>
      </c>
      <c r="AH7639">
        <v>18.4294298501773</v>
      </c>
      <c r="AI7639">
        <v>93.4804535473925</v>
      </c>
      <c r="AJ7639">
        <v>89.787623798569399</v>
      </c>
      <c r="AK7639">
        <v>18.463611348408801</v>
      </c>
      <c r="AL7639">
        <v>95.730104993033393</v>
      </c>
      <c r="AM7639">
        <v>90.950643135290704</v>
      </c>
      <c r="AN7639">
        <v>1.00000000699848</v>
      </c>
    </row>
    <row r="7640" spans="1:40" x14ac:dyDescent="0.25">
      <c r="A7640" t="str">
        <f>"20190303154713857"</f>
        <v>20190303154713857</v>
      </c>
      <c r="B7640" t="str">
        <f>"1551599233849744"</f>
        <v>1551599233849744</v>
      </c>
      <c r="C7640" t="s">
        <v>40</v>
      </c>
      <c r="D7640">
        <v>5.7418250000000004</v>
      </c>
      <c r="E7640">
        <v>0.50461099999999903</v>
      </c>
      <c r="F7640" t="s">
        <v>41</v>
      </c>
      <c r="G7640">
        <v>-146.44290000000001</v>
      </c>
      <c r="H7640" s="1">
        <v>-1.6518480000000001E-6</v>
      </c>
      <c r="I7640">
        <v>138.80699999999999</v>
      </c>
      <c r="J7640">
        <v>-162.804</v>
      </c>
      <c r="K7640">
        <v>1.1206050000000001</v>
      </c>
      <c r="L7640">
        <v>138.58439999999999</v>
      </c>
      <c r="M7640">
        <v>0.99978800000000001</v>
      </c>
      <c r="N7640">
        <v>-1.360049E-2</v>
      </c>
      <c r="O7640">
        <v>1.545757E-2</v>
      </c>
      <c r="P7640">
        <v>0.99244560000000004</v>
      </c>
      <c r="Q7640">
        <v>-0.11943819999999999</v>
      </c>
      <c r="R7640">
        <v>2.8041690000000001E-2</v>
      </c>
      <c r="S7640">
        <v>2.9970699999999999</v>
      </c>
      <c r="T7640">
        <v>-0.1986079</v>
      </c>
      <c r="U7640">
        <v>4.0954589999999999E-2</v>
      </c>
      <c r="V7640">
        <v>-1.2776529999999999E-2</v>
      </c>
      <c r="W7640">
        <v>-0.10591540000000001</v>
      </c>
      <c r="X7640">
        <v>0.99429299999999998</v>
      </c>
      <c r="Y7640">
        <v>1.76951E-3</v>
      </c>
      <c r="Z7640">
        <v>-8.8365959999999995E-4</v>
      </c>
      <c r="AA7640">
        <v>0.99999800000000005</v>
      </c>
      <c r="AB7640">
        <v>21</v>
      </c>
      <c r="AC7640">
        <v>16.361099999999901</v>
      </c>
      <c r="AD7640">
        <v>-1.12060665184799</v>
      </c>
      <c r="AE7640">
        <v>0.222600000000028</v>
      </c>
      <c r="AF7640">
        <v>3.0211148301815E-2</v>
      </c>
      <c r="AG7640">
        <v>-1.12060665184799</v>
      </c>
      <c r="AH7640">
        <v>16.286198836491501</v>
      </c>
      <c r="AI7640">
        <v>93.936147597279003</v>
      </c>
      <c r="AJ7640">
        <v>89.893715573299204</v>
      </c>
      <c r="AK7640">
        <v>16.3247341333139</v>
      </c>
      <c r="AL7640">
        <v>96.079909584307302</v>
      </c>
      <c r="AM7640">
        <v>90.736202465978394</v>
      </c>
      <c r="AN7640">
        <v>0.99999994076249799</v>
      </c>
    </row>
    <row r="7641" spans="1:40" x14ac:dyDescent="0.25">
      <c r="A7641" t="str">
        <f>"20190303154713886"</f>
        <v>20190303154713886</v>
      </c>
      <c r="B7641" t="str">
        <f>"1551599233880000"</f>
        <v>1551599233880000</v>
      </c>
      <c r="C7641" t="s">
        <v>40</v>
      </c>
      <c r="D7641">
        <v>5.7277420000000001</v>
      </c>
      <c r="E7641">
        <v>0.50384399999999996</v>
      </c>
      <c r="F7641" t="s">
        <v>41</v>
      </c>
      <c r="G7641">
        <v>-148.7585</v>
      </c>
      <c r="H7641" s="1">
        <v>-6.5569799999999997E-7</v>
      </c>
      <c r="I7641">
        <v>138.82249999999999</v>
      </c>
      <c r="J7641">
        <v>-162.52979999999999</v>
      </c>
      <c r="K7641">
        <v>1.12053799999999</v>
      </c>
      <c r="L7641">
        <v>138.58799999999999</v>
      </c>
      <c r="M7641">
        <v>0.99979689999999999</v>
      </c>
      <c r="N7641">
        <v>-1.359642E-2</v>
      </c>
      <c r="O7641">
        <v>1.488678E-2</v>
      </c>
      <c r="P7641">
        <v>0.99244589999999999</v>
      </c>
      <c r="Q7641">
        <v>-0.1193642</v>
      </c>
      <c r="R7641">
        <v>2.83465E-2</v>
      </c>
      <c r="S7641">
        <v>2.9926759999999999</v>
      </c>
      <c r="T7641">
        <v>-0.2387677</v>
      </c>
      <c r="U7641">
        <v>5.0750730000000001E-2</v>
      </c>
      <c r="V7641">
        <v>-1.366465E-2</v>
      </c>
      <c r="W7641">
        <v>-0.105842699999999</v>
      </c>
      <c r="X7641">
        <v>0.99428899999999998</v>
      </c>
      <c r="Y7641">
        <v>-2.0927319999999999E-3</v>
      </c>
      <c r="Z7641">
        <v>-8.8594110000000004E-4</v>
      </c>
      <c r="AA7641">
        <v>0.99999740000000004</v>
      </c>
      <c r="AB7641">
        <v>21</v>
      </c>
      <c r="AC7641">
        <v>13.771299999999901</v>
      </c>
      <c r="AD7641">
        <v>-1.1205386556979899</v>
      </c>
      <c r="AE7641">
        <v>0.23449999999999699</v>
      </c>
      <c r="AF7641">
        <v>-2.925116963267E-2</v>
      </c>
      <c r="AG7641">
        <v>-1.1205386556979899</v>
      </c>
      <c r="AH7641">
        <v>13.6827021486232</v>
      </c>
      <c r="AI7641">
        <v>94.681753328371201</v>
      </c>
      <c r="AJ7641">
        <v>90.122487940931606</v>
      </c>
      <c r="AK7641">
        <v>13.728539638205399</v>
      </c>
      <c r="AL7641">
        <v>96.075720226874097</v>
      </c>
      <c r="AM7641">
        <v>90.787374181603894</v>
      </c>
      <c r="AN7641">
        <v>1.00000000766195</v>
      </c>
    </row>
    <row r="7642" spans="1:40" x14ac:dyDescent="0.25">
      <c r="A7642" t="str">
        <f>"20190303154713911"</f>
        <v>20190303154713911</v>
      </c>
      <c r="B7642" t="str">
        <f>"1551599233899521"</f>
        <v>1551599233899521</v>
      </c>
      <c r="C7642" t="s">
        <v>40</v>
      </c>
      <c r="D7642">
        <v>5.7422199999999997</v>
      </c>
      <c r="E7642">
        <v>0.50307199999999996</v>
      </c>
      <c r="F7642" t="s">
        <v>41</v>
      </c>
      <c r="G7642">
        <v>-148.75550000000001</v>
      </c>
      <c r="H7642" s="1">
        <v>-6.5164500000000001E-7</v>
      </c>
      <c r="I7642">
        <v>138.85249999999999</v>
      </c>
      <c r="J7642">
        <v>-162.2944</v>
      </c>
      <c r="K7642">
        <v>1.12053</v>
      </c>
      <c r="L7642">
        <v>138.5909</v>
      </c>
      <c r="M7642">
        <v>0.9998049</v>
      </c>
      <c r="N7642">
        <v>-1.359289E-2</v>
      </c>
      <c r="O7642">
        <v>1.434496E-2</v>
      </c>
      <c r="P7642">
        <v>0.99256140000000004</v>
      </c>
      <c r="Q7642">
        <v>-0.11813369999999999</v>
      </c>
      <c r="R7642">
        <v>2.9433500000000001E-2</v>
      </c>
      <c r="S7642">
        <v>2.9919280000000001</v>
      </c>
      <c r="T7642">
        <v>-0.24339259999999999</v>
      </c>
      <c r="U7642">
        <v>5.7464599999999998E-2</v>
      </c>
      <c r="V7642">
        <v>-1.529237E-2</v>
      </c>
      <c r="W7642">
        <v>-0.10461189999999999</v>
      </c>
      <c r="X7642">
        <v>0.99439560000000005</v>
      </c>
      <c r="Y7642">
        <v>-4.871462E-3</v>
      </c>
      <c r="Z7642">
        <v>-7.3915479999999995E-4</v>
      </c>
      <c r="AA7642">
        <v>0.99998779999999998</v>
      </c>
      <c r="AB7642">
        <v>21</v>
      </c>
      <c r="AC7642">
        <v>13.5388999999999</v>
      </c>
      <c r="AD7642">
        <v>-1.120530651645</v>
      </c>
      <c r="AE7642">
        <v>0.26159999999998701</v>
      </c>
      <c r="AF7642">
        <v>-6.6882229507459895E-2</v>
      </c>
      <c r="AG7642">
        <v>-1.120530651645</v>
      </c>
      <c r="AH7642">
        <v>13.449169316990901</v>
      </c>
      <c r="AI7642">
        <v>94.762595357551007</v>
      </c>
      <c r="AJ7642">
        <v>90.284927477367305</v>
      </c>
      <c r="AK7642">
        <v>13.4959333686481</v>
      </c>
      <c r="AL7642">
        <v>96.004806578493003</v>
      </c>
      <c r="AM7642">
        <v>90.881056992510096</v>
      </c>
      <c r="AN7642">
        <v>1.0000000577505901</v>
      </c>
    </row>
    <row r="7643" spans="1:40" x14ac:dyDescent="0.25">
      <c r="A7643" t="str">
        <f>"20190303154713931"</f>
        <v>20190303154713931</v>
      </c>
      <c r="B7643" t="str">
        <f>"1551599233920017"</f>
        <v>1551599233920017</v>
      </c>
      <c r="C7643" t="s">
        <v>40</v>
      </c>
      <c r="D7643">
        <v>5.7704319999999996</v>
      </c>
      <c r="E7643">
        <v>0.50239339999999999</v>
      </c>
      <c r="F7643" t="s">
        <v>41</v>
      </c>
      <c r="G7643">
        <v>-148.58349999999999</v>
      </c>
      <c r="H7643" s="1">
        <v>-7.1776080000000003E-7</v>
      </c>
      <c r="I7643">
        <v>138.89580000000001</v>
      </c>
      <c r="J7643">
        <v>-162.102</v>
      </c>
      <c r="K7643">
        <v>1.12053799999999</v>
      </c>
      <c r="L7643">
        <v>138.5932</v>
      </c>
      <c r="M7643">
        <v>0.99981140000000002</v>
      </c>
      <c r="N7643">
        <v>-1.3590100000000001E-2</v>
      </c>
      <c r="O7643">
        <v>1.3892130000000001E-2</v>
      </c>
      <c r="P7643">
        <v>0.99267360000000004</v>
      </c>
      <c r="Q7643">
        <v>-0.1166683</v>
      </c>
      <c r="R7643">
        <v>3.1428680000000001E-2</v>
      </c>
      <c r="S7643">
        <v>2.991409</v>
      </c>
      <c r="T7643">
        <v>-0.2444742</v>
      </c>
      <c r="U7643">
        <v>6.6528320000000002E-2</v>
      </c>
      <c r="V7643">
        <v>-1.7732729999999999E-2</v>
      </c>
      <c r="W7643">
        <v>-0.1031454</v>
      </c>
      <c r="X7643">
        <v>0.99450819999999995</v>
      </c>
      <c r="Y7643">
        <v>-8.341902E-3</v>
      </c>
      <c r="Z7643">
        <v>-5.4764220000000005E-4</v>
      </c>
      <c r="AA7643">
        <v>0.99996510000000005</v>
      </c>
      <c r="AB7643">
        <v>21</v>
      </c>
      <c r="AC7643">
        <v>13.5185</v>
      </c>
      <c r="AD7643">
        <v>-1.1205387177607899</v>
      </c>
      <c r="AE7643">
        <v>0.30260000000001203</v>
      </c>
      <c r="AF7643">
        <v>-0.113970083489806</v>
      </c>
      <c r="AG7643">
        <v>-1.1205387177607899</v>
      </c>
      <c r="AH7643">
        <v>13.4291786213376</v>
      </c>
      <c r="AI7643">
        <v>94.769574192946294</v>
      </c>
      <c r="AJ7643">
        <v>90.486243290914601</v>
      </c>
      <c r="AK7643">
        <v>13.4763286781572</v>
      </c>
      <c r="AL7643">
        <v>95.920325662479399</v>
      </c>
      <c r="AM7643">
        <v>91.021512879061007</v>
      </c>
      <c r="AN7643">
        <v>0.99999999156082597</v>
      </c>
    </row>
    <row r="7644" spans="1:40" x14ac:dyDescent="0.25">
      <c r="A7644" t="str">
        <f>"20190303154713957"</f>
        <v>20190303154713957</v>
      </c>
      <c r="B7644" t="str">
        <f>"1551599233949298"</f>
        <v>1551599233949298</v>
      </c>
      <c r="C7644" t="s">
        <v>40</v>
      </c>
      <c r="D7644">
        <v>5.3221109999999996</v>
      </c>
      <c r="E7644">
        <v>0.50140340000000005</v>
      </c>
      <c r="F7644" t="s">
        <v>41</v>
      </c>
      <c r="G7644">
        <v>-148.33930000000001</v>
      </c>
      <c r="H7644" s="1">
        <v>-8.1281079999999997E-7</v>
      </c>
      <c r="I7644">
        <v>138.95050000000001</v>
      </c>
      <c r="J7644">
        <v>-161.8664</v>
      </c>
      <c r="K7644">
        <v>1.120566</v>
      </c>
      <c r="L7644">
        <v>138.5958</v>
      </c>
      <c r="M7644">
        <v>0.99981869999999995</v>
      </c>
      <c r="N7644">
        <v>-1.3586839999999999E-2</v>
      </c>
      <c r="O7644">
        <v>1.334755E-2</v>
      </c>
      <c r="P7644">
        <v>0.99274130000000005</v>
      </c>
      <c r="Q7644">
        <v>-0.115578399999999</v>
      </c>
      <c r="R7644">
        <v>3.3265870000000003E-2</v>
      </c>
      <c r="S7644">
        <v>2.9910580000000002</v>
      </c>
      <c r="T7644">
        <v>-0.24352789999999999</v>
      </c>
      <c r="U7644">
        <v>7.7667239999999999E-2</v>
      </c>
      <c r="V7644">
        <v>-2.0103670000000001E-2</v>
      </c>
      <c r="W7644">
        <v>-0.10205649999999999</v>
      </c>
      <c r="X7644">
        <v>0.9945754</v>
      </c>
      <c r="Y7644">
        <v>-1.2593139999999999E-2</v>
      </c>
      <c r="Z7644">
        <v>-3.0614010000000003E-4</v>
      </c>
      <c r="AA7644">
        <v>0.9999207</v>
      </c>
      <c r="AB7644">
        <v>21</v>
      </c>
      <c r="AC7644">
        <v>13.5270999999999</v>
      </c>
      <c r="AD7644">
        <v>-1.1205668128108</v>
      </c>
      <c r="AE7644">
        <v>0.35470000000000801</v>
      </c>
      <c r="AF7644">
        <v>-0.172912351401322</v>
      </c>
      <c r="AG7644">
        <v>-1.1205668128108</v>
      </c>
      <c r="AH7644">
        <v>13.4384748407396</v>
      </c>
      <c r="AI7644">
        <v>94.766187092962795</v>
      </c>
      <c r="AJ7644">
        <v>90.737181964057001</v>
      </c>
      <c r="AK7644">
        <v>13.486221661697201</v>
      </c>
      <c r="AL7644">
        <v>95.857605489726097</v>
      </c>
      <c r="AM7644">
        <v>91.157980187123997</v>
      </c>
      <c r="AN7644">
        <v>0.999999956512438</v>
      </c>
    </row>
    <row r="7645" spans="1:40" x14ac:dyDescent="0.25">
      <c r="A7645" t="str">
        <f>"20190303154713978"</f>
        <v>20190303154713978</v>
      </c>
      <c r="B7645" t="str">
        <f>"1551599233969793"</f>
        <v>1551599233969793</v>
      </c>
      <c r="C7645" t="s">
        <v>40</v>
      </c>
      <c r="D7645">
        <v>5.7284300000000004</v>
      </c>
      <c r="E7645">
        <v>0.50080499999999994</v>
      </c>
      <c r="F7645" t="s">
        <v>41</v>
      </c>
      <c r="G7645">
        <v>-148.17160000000001</v>
      </c>
      <c r="H7645" s="1">
        <v>-8.7375919999999896E-7</v>
      </c>
      <c r="I7645">
        <v>139.01249999999999</v>
      </c>
      <c r="J7645">
        <v>-161.66130000000001</v>
      </c>
      <c r="K7645">
        <v>1.120608</v>
      </c>
      <c r="L7645">
        <v>138.59799999999899</v>
      </c>
      <c r="M7645">
        <v>0.99982459999999995</v>
      </c>
      <c r="N7645">
        <v>-1.358403E-2</v>
      </c>
      <c r="O7645">
        <v>1.2899610000000001E-2</v>
      </c>
      <c r="P7645">
        <v>0.99262419999999996</v>
      </c>
      <c r="Q7645">
        <v>-0.1163003</v>
      </c>
      <c r="R7645">
        <v>3.4235689999999999E-2</v>
      </c>
      <c r="S7645">
        <v>2.990402</v>
      </c>
      <c r="T7645">
        <v>-0.24468790000000001</v>
      </c>
      <c r="U7645">
        <v>9.1003420000000002E-2</v>
      </c>
      <c r="V7645">
        <v>-2.151341E-2</v>
      </c>
      <c r="W7645">
        <v>-0.10278279999999999</v>
      </c>
      <c r="X7645">
        <v>0.99447110000000005</v>
      </c>
      <c r="Y7645">
        <v>-1.7482230000000001E-2</v>
      </c>
      <c r="Z7645" s="1">
        <v>-4.5578689999999997E-5</v>
      </c>
      <c r="AA7645">
        <v>0.99984720000000005</v>
      </c>
      <c r="AB7645">
        <v>21</v>
      </c>
      <c r="AC7645">
        <v>13.489699999999999</v>
      </c>
      <c r="AD7645">
        <v>-1.1206088737591999</v>
      </c>
      <c r="AE7645">
        <v>0.41450000000000298</v>
      </c>
      <c r="AF7645">
        <v>-0.23879128134178901</v>
      </c>
      <c r="AG7645">
        <v>-1.1206088737591999</v>
      </c>
      <c r="AH7645">
        <v>13.401529871925099</v>
      </c>
      <c r="AI7645">
        <v>94.779082879629797</v>
      </c>
      <c r="AJ7645">
        <v>91.020800242986894</v>
      </c>
      <c r="AK7645">
        <v>13.4504196377695</v>
      </c>
      <c r="AL7645">
        <v>95.899439449992499</v>
      </c>
      <c r="AM7645">
        <v>91.239287260509002</v>
      </c>
      <c r="AN7645">
        <v>0.99999994976043705</v>
      </c>
    </row>
    <row r="7646" spans="1:40" x14ac:dyDescent="0.25">
      <c r="A7646" t="str">
        <f>"20190303154714003"</f>
        <v>20190303154714003</v>
      </c>
      <c r="B7646" t="str">
        <f>"1551599234000049"</f>
        <v>1551599234000049</v>
      </c>
      <c r="C7646" t="s">
        <v>40</v>
      </c>
      <c r="D7646">
        <v>5.7891919999999999</v>
      </c>
      <c r="E7646">
        <v>0.50010909999999997</v>
      </c>
      <c r="F7646" t="s">
        <v>41</v>
      </c>
      <c r="G7646">
        <v>-148.26939999999999</v>
      </c>
      <c r="H7646" s="1">
        <v>-8.2701350000000004E-7</v>
      </c>
      <c r="I7646">
        <v>139.0395</v>
      </c>
      <c r="J7646">
        <v>-161.43049999999999</v>
      </c>
      <c r="K7646">
        <v>1.120662</v>
      </c>
      <c r="L7646">
        <v>138.60040000000001</v>
      </c>
      <c r="M7646">
        <v>0.99983049999999996</v>
      </c>
      <c r="N7646">
        <v>-1.358094E-2</v>
      </c>
      <c r="O7646">
        <v>1.244148E-2</v>
      </c>
      <c r="P7646">
        <v>0.99265340000000002</v>
      </c>
      <c r="Q7646">
        <v>-0.1158392</v>
      </c>
      <c r="R7646">
        <v>3.4935479999999998E-2</v>
      </c>
      <c r="S7646">
        <v>2.989563</v>
      </c>
      <c r="T7646">
        <v>-0.25016189999999999</v>
      </c>
      <c r="U7646">
        <v>9.8571779999999998E-2</v>
      </c>
      <c r="V7646">
        <v>-2.265824E-2</v>
      </c>
      <c r="W7646">
        <v>-0.10232570000000001</v>
      </c>
      <c r="X7646">
        <v>0.99449290000000001</v>
      </c>
      <c r="Y7646">
        <v>-2.0463039999999998E-2</v>
      </c>
      <c r="Z7646">
        <v>1.2349330000000001E-4</v>
      </c>
      <c r="AA7646">
        <v>0.99979059999999997</v>
      </c>
      <c r="AB7646">
        <v>21</v>
      </c>
      <c r="AC7646">
        <v>13.161099999999999</v>
      </c>
      <c r="AD7646">
        <v>-1.1206628270135</v>
      </c>
      <c r="AE7646">
        <v>0.43909999999999599</v>
      </c>
      <c r="AF7646">
        <v>-0.27332781557317398</v>
      </c>
      <c r="AG7646">
        <v>-1.1206628270135</v>
      </c>
      <c r="AH7646">
        <v>13.070880204164601</v>
      </c>
      <c r="AI7646">
        <v>94.899339297514402</v>
      </c>
      <c r="AJ7646">
        <v>91.197949024062595</v>
      </c>
      <c r="AK7646">
        <v>13.121680630858201</v>
      </c>
      <c r="AL7646">
        <v>95.873110216280693</v>
      </c>
      <c r="AM7646">
        <v>91.305184741489398</v>
      </c>
      <c r="AN7646">
        <v>1.00000003643539</v>
      </c>
    </row>
    <row r="7647" spans="1:40" x14ac:dyDescent="0.25">
      <c r="A7647" t="str">
        <f>"20190303154714038"</f>
        <v>20190303154714038</v>
      </c>
      <c r="B7647" t="str">
        <f>"1551599234029329"</f>
        <v>1551599234029329</v>
      </c>
      <c r="C7647" t="s">
        <v>40</v>
      </c>
      <c r="D7647">
        <v>5.8119839999999998</v>
      </c>
      <c r="E7647">
        <v>0.49958920000000001</v>
      </c>
      <c r="F7647" t="s">
        <v>41</v>
      </c>
      <c r="G7647">
        <v>-148.2362</v>
      </c>
      <c r="H7647" s="1">
        <v>-8.3614290000000001E-7</v>
      </c>
      <c r="I7647">
        <v>139.0684</v>
      </c>
      <c r="J7647">
        <v>-161.10509999999999</v>
      </c>
      <c r="K7647">
        <v>1.1207180000000001</v>
      </c>
      <c r="L7647">
        <v>138.6037</v>
      </c>
      <c r="M7647">
        <v>0.99983719999999998</v>
      </c>
      <c r="N7647">
        <v>-1.357678E-2</v>
      </c>
      <c r="O7647">
        <v>1.189016E-2</v>
      </c>
      <c r="P7647">
        <v>0.99223320000000004</v>
      </c>
      <c r="Q7647">
        <v>-0.1183316</v>
      </c>
      <c r="R7647">
        <v>3.8354659999999999E-2</v>
      </c>
      <c r="S7647">
        <v>2.9888309999999998</v>
      </c>
      <c r="T7647">
        <v>-0.25385639999999998</v>
      </c>
      <c r="U7647">
        <v>0.1060181</v>
      </c>
      <c r="V7647">
        <v>-2.661643E-2</v>
      </c>
      <c r="W7647">
        <v>-0.10482809999999999</v>
      </c>
      <c r="X7647">
        <v>0.99413410000000002</v>
      </c>
      <c r="Y7647">
        <v>-2.3494959999999999E-2</v>
      </c>
      <c r="Z7647">
        <v>3.0901520000000001E-4</v>
      </c>
      <c r="AA7647">
        <v>0.9997239</v>
      </c>
      <c r="AB7647">
        <v>21</v>
      </c>
      <c r="AC7647">
        <v>12.868899999999901</v>
      </c>
      <c r="AD7647">
        <v>-1.1207188361428999</v>
      </c>
      <c r="AE7647">
        <v>0.46469999999999301</v>
      </c>
      <c r="AF7647">
        <v>-0.30929705004652802</v>
      </c>
      <c r="AG7647">
        <v>-1.1207188361428999</v>
      </c>
      <c r="AH7647">
        <v>12.776740665308701</v>
      </c>
      <c r="AI7647">
        <v>95.0114399392086</v>
      </c>
      <c r="AJ7647">
        <v>91.3867351284092</v>
      </c>
      <c r="AK7647">
        <v>12.829527559633901</v>
      </c>
      <c r="AL7647">
        <v>96.017262838930407</v>
      </c>
      <c r="AM7647">
        <v>91.533641061144806</v>
      </c>
      <c r="AN7647">
        <v>0.99999998683918201</v>
      </c>
    </row>
    <row r="7648" spans="1:40" x14ac:dyDescent="0.25">
      <c r="A7648" t="str">
        <f>"20190303154714068"</f>
        <v>20190303154714068</v>
      </c>
      <c r="B7648" t="str">
        <f>"1551599234059584"</f>
        <v>1551599234059584</v>
      </c>
      <c r="C7648" t="s">
        <v>40</v>
      </c>
      <c r="D7648">
        <v>5.7445659999999998</v>
      </c>
      <c r="E7648">
        <v>0.49929849999999998</v>
      </c>
      <c r="F7648" t="s">
        <v>41</v>
      </c>
      <c r="G7648">
        <v>-148.5643</v>
      </c>
      <c r="H7648" s="1">
        <v>-6.8835079999999998E-7</v>
      </c>
      <c r="I7648">
        <v>139.10820000000001</v>
      </c>
      <c r="J7648">
        <v>-160.8246</v>
      </c>
      <c r="K7648">
        <v>1.1207560000000001</v>
      </c>
      <c r="L7648">
        <v>138.60650000000001</v>
      </c>
      <c r="M7648">
        <v>0.99984189999999995</v>
      </c>
      <c r="N7648">
        <v>-1.3573190000000001E-2</v>
      </c>
      <c r="O7648">
        <v>1.1492560000000001E-2</v>
      </c>
      <c r="P7648">
        <v>0.99195239999999996</v>
      </c>
      <c r="Q7648">
        <v>-0.1199108</v>
      </c>
      <c r="R7648">
        <v>4.0647849999999999E-2</v>
      </c>
      <c r="S7648">
        <v>2.9869840000000001</v>
      </c>
      <c r="T7648">
        <v>-0.26693430000000001</v>
      </c>
      <c r="U7648">
        <v>0.12016300000000001</v>
      </c>
      <c r="V7648">
        <v>-2.9295370000000001E-2</v>
      </c>
      <c r="W7648">
        <v>-0.10641639999999999</v>
      </c>
      <c r="X7648">
        <v>0.99389000000000005</v>
      </c>
      <c r="Y7648">
        <v>-2.8611040000000001E-2</v>
      </c>
      <c r="Z7648">
        <v>6.012449E-4</v>
      </c>
      <c r="AA7648">
        <v>0.99959050000000005</v>
      </c>
      <c r="AB7648">
        <v>21</v>
      </c>
      <c r="AC7648">
        <v>12.260300000000001</v>
      </c>
      <c r="AD7648">
        <v>-1.12075668835079</v>
      </c>
      <c r="AE7648">
        <v>0.50169999999999904</v>
      </c>
      <c r="AF7648">
        <v>-0.357767000820082</v>
      </c>
      <c r="AG7648">
        <v>-1.12075668835079</v>
      </c>
      <c r="AH7648">
        <v>12.1637807172013</v>
      </c>
      <c r="AI7648">
        <v>95.262040417193205</v>
      </c>
      <c r="AJ7648">
        <v>91.684725471712198</v>
      </c>
      <c r="AK7648">
        <v>12.2205423004675</v>
      </c>
      <c r="AL7648">
        <v>96.108777557005993</v>
      </c>
      <c r="AM7648">
        <v>91.688330919820601</v>
      </c>
      <c r="AN7648">
        <v>1.00000000049619</v>
      </c>
    </row>
    <row r="7649" spans="1:40" x14ac:dyDescent="0.25">
      <c r="A7649" t="str">
        <f>"20190303154714092"</f>
        <v>20190303154714092</v>
      </c>
      <c r="B7649" t="str">
        <f>"1551599234089841"</f>
        <v>1551599234089841</v>
      </c>
      <c r="C7649" t="s">
        <v>40</v>
      </c>
      <c r="D7649">
        <v>5.4282890000000004</v>
      </c>
      <c r="E7649">
        <v>0.49915019999999999</v>
      </c>
      <c r="F7649" t="s">
        <v>41</v>
      </c>
      <c r="G7649">
        <v>-148.57089999999999</v>
      </c>
      <c r="H7649" s="1">
        <v>-6.8039569999999899E-7</v>
      </c>
      <c r="I7649">
        <v>139.137</v>
      </c>
      <c r="J7649">
        <v>-160.5941</v>
      </c>
      <c r="K7649">
        <v>1.120784</v>
      </c>
      <c r="L7649">
        <v>138.6088</v>
      </c>
      <c r="M7649">
        <v>0.99984499999999998</v>
      </c>
      <c r="N7649">
        <v>-1.357002E-2</v>
      </c>
      <c r="O7649">
        <v>1.12354E-2</v>
      </c>
      <c r="P7649">
        <v>0.99191810000000002</v>
      </c>
      <c r="Q7649">
        <v>-0.11939089999999999</v>
      </c>
      <c r="R7649">
        <v>4.2949679999999997E-2</v>
      </c>
      <c r="S7649">
        <v>2.9860229999999999</v>
      </c>
      <c r="T7649">
        <v>-0.2731093</v>
      </c>
      <c r="U7649">
        <v>0.12928770000000001</v>
      </c>
      <c r="V7649">
        <v>-3.1840100000000003E-2</v>
      </c>
      <c r="W7649">
        <v>-0.1059022</v>
      </c>
      <c r="X7649">
        <v>0.99386669999999999</v>
      </c>
      <c r="Y7649">
        <v>-3.1909630000000001E-2</v>
      </c>
      <c r="Z7649">
        <v>7.9990710000000002E-4</v>
      </c>
      <c r="AA7649">
        <v>0.9994904</v>
      </c>
      <c r="AB7649">
        <v>21</v>
      </c>
      <c r="AC7649">
        <v>12.023199999999999</v>
      </c>
      <c r="AD7649">
        <v>-1.12078468039569</v>
      </c>
      <c r="AE7649">
        <v>0.528199999999998</v>
      </c>
      <c r="AF7649">
        <v>-0.38968902744607697</v>
      </c>
      <c r="AG7649">
        <v>-1.12078468039569</v>
      </c>
      <c r="AH7649">
        <v>11.924951540329801</v>
      </c>
      <c r="AI7649">
        <v>95.366410356543298</v>
      </c>
      <c r="AJ7649">
        <v>91.871671669796697</v>
      </c>
      <c r="AK7649">
        <v>11.983842667405799</v>
      </c>
      <c r="AL7649">
        <v>96.0791483806141</v>
      </c>
      <c r="AM7649">
        <v>91.834933812497198</v>
      </c>
      <c r="AN7649">
        <v>1.00000004265086</v>
      </c>
    </row>
    <row r="7650" spans="1:40" x14ac:dyDescent="0.25">
      <c r="A7650" t="str">
        <f>"20190303154714112"</f>
        <v>20190303154714112</v>
      </c>
      <c r="B7650" t="str">
        <f>"1551599234109362"</f>
        <v>1551599234109362</v>
      </c>
      <c r="C7650" t="s">
        <v>40</v>
      </c>
      <c r="D7650">
        <v>5.6888589999999999</v>
      </c>
      <c r="E7650">
        <v>0.49900879999999997</v>
      </c>
      <c r="F7650" t="s">
        <v>41</v>
      </c>
      <c r="G7650">
        <v>-148.2929</v>
      </c>
      <c r="H7650" s="1">
        <v>-7.9291199999999997E-7</v>
      </c>
      <c r="I7650">
        <v>139.17509999999999</v>
      </c>
      <c r="J7650">
        <v>-160.41200000000001</v>
      </c>
      <c r="K7650">
        <v>1.120811</v>
      </c>
      <c r="L7650">
        <v>138.61060000000001</v>
      </c>
      <c r="M7650">
        <v>0.99984660000000003</v>
      </c>
      <c r="N7650">
        <v>-1.3567539999999999E-2</v>
      </c>
      <c r="O7650">
        <v>1.108284E-2</v>
      </c>
      <c r="P7650">
        <v>0.99202679999999999</v>
      </c>
      <c r="Q7650">
        <v>-0.11816500000000001</v>
      </c>
      <c r="R7650">
        <v>4.3818540000000003E-2</v>
      </c>
      <c r="S7650">
        <v>2.9857640000000001</v>
      </c>
      <c r="T7650">
        <v>-0.27203640000000001</v>
      </c>
      <c r="U7650">
        <v>0.13746639999999999</v>
      </c>
      <c r="V7650">
        <v>-3.2848589999999997E-2</v>
      </c>
      <c r="W7650">
        <v>-0.1046801</v>
      </c>
      <c r="X7650">
        <v>0.99396329999999999</v>
      </c>
      <c r="Y7650">
        <v>-3.4784830000000003E-2</v>
      </c>
      <c r="Z7650">
        <v>9.6017260000000001E-4</v>
      </c>
      <c r="AA7650">
        <v>0.99939440000000002</v>
      </c>
      <c r="AB7650">
        <v>21</v>
      </c>
      <c r="AC7650">
        <v>12.1191</v>
      </c>
      <c r="AD7650">
        <v>-1.1208117929120001</v>
      </c>
      <c r="AE7650">
        <v>0.56449999999998102</v>
      </c>
      <c r="AF7650">
        <v>-0.42649892302034997</v>
      </c>
      <c r="AG7650">
        <v>-1.1208117929120001</v>
      </c>
      <c r="AH7650">
        <v>12.022009292683601</v>
      </c>
      <c r="AI7650">
        <v>95.322959374333905</v>
      </c>
      <c r="AJ7650">
        <v>92.031802136692406</v>
      </c>
      <c r="AK7650">
        <v>12.081673221861299</v>
      </c>
      <c r="AL7650">
        <v>96.008736086781397</v>
      </c>
      <c r="AM7650">
        <v>91.892827259149499</v>
      </c>
      <c r="AN7650">
        <v>0.99999999747394397</v>
      </c>
    </row>
    <row r="7651" spans="1:40" x14ac:dyDescent="0.25">
      <c r="A7651" t="str">
        <f>"20190303154714148"</f>
        <v>20190303154714148</v>
      </c>
      <c r="B7651" t="str">
        <f>"1551599234139617"</f>
        <v>1551599234139617</v>
      </c>
      <c r="C7651" t="s">
        <v>40</v>
      </c>
      <c r="D7651">
        <v>5.6675930000000001</v>
      </c>
      <c r="E7651">
        <v>0.49894110000000003</v>
      </c>
      <c r="F7651" t="s">
        <v>41</v>
      </c>
      <c r="G7651">
        <v>-148.0027</v>
      </c>
      <c r="H7651" s="1">
        <v>-9.1329630000000003E-7</v>
      </c>
      <c r="I7651">
        <v>139.19820000000001</v>
      </c>
      <c r="J7651">
        <v>-160.0787</v>
      </c>
      <c r="K7651">
        <v>1.1208670000000001</v>
      </c>
      <c r="L7651">
        <v>138.614</v>
      </c>
      <c r="M7651">
        <v>0.99984830000000002</v>
      </c>
      <c r="N7651">
        <v>-1.3563250000000001E-2</v>
      </c>
      <c r="O7651">
        <v>1.0940699999999999E-2</v>
      </c>
      <c r="P7651">
        <v>0.99164549999999996</v>
      </c>
      <c r="Q7651">
        <v>-0.1223659</v>
      </c>
      <c r="R7651">
        <v>4.0817760000000002E-2</v>
      </c>
      <c r="S7651">
        <v>2.9857330000000002</v>
      </c>
      <c r="T7651">
        <v>-0.26967099999999999</v>
      </c>
      <c r="U7651">
        <v>0.14140320000000001</v>
      </c>
      <c r="V7651">
        <v>-2.9973030000000001E-2</v>
      </c>
      <c r="W7651">
        <v>-0.1088972</v>
      </c>
      <c r="X7651">
        <v>0.99360099999999996</v>
      </c>
      <c r="Y7651">
        <v>-3.623701E-2</v>
      </c>
      <c r="Z7651">
        <v>1.041239E-3</v>
      </c>
      <c r="AA7651">
        <v>0.99934270000000003</v>
      </c>
      <c r="AB7651">
        <v>21</v>
      </c>
      <c r="AC7651">
        <v>12.075999999999899</v>
      </c>
      <c r="AD7651">
        <v>-1.1208679132963</v>
      </c>
      <c r="AE7651">
        <v>0.58420000000000905</v>
      </c>
      <c r="AF7651">
        <v>-0.44818087124092398</v>
      </c>
      <c r="AG7651">
        <v>-1.1208679132963</v>
      </c>
      <c r="AH7651">
        <v>11.978711844736999</v>
      </c>
      <c r="AI7651">
        <v>95.341979513876495</v>
      </c>
      <c r="AJ7651">
        <v>92.142709536927697</v>
      </c>
      <c r="AK7651">
        <v>12.039383224719099</v>
      </c>
      <c r="AL7651">
        <v>96.251748114803206</v>
      </c>
      <c r="AM7651">
        <v>91.727864086842203</v>
      </c>
      <c r="AN7651">
        <v>0.99999996494810905</v>
      </c>
    </row>
    <row r="7652" spans="1:40" x14ac:dyDescent="0.25">
      <c r="A7652" t="str">
        <f>"20190303154714176"</f>
        <v>20190303154714176</v>
      </c>
      <c r="B7652" t="str">
        <f>"1551599234169873"</f>
        <v>1551599234169873</v>
      </c>
      <c r="C7652" t="s">
        <v>40</v>
      </c>
      <c r="D7652">
        <v>5.5986050000000001</v>
      </c>
      <c r="E7652">
        <v>0.50295859999999903</v>
      </c>
      <c r="F7652" t="s">
        <v>41</v>
      </c>
      <c r="G7652">
        <v>-148.24979999999999</v>
      </c>
      <c r="H7652" s="1">
        <v>-8.175934E-7</v>
      </c>
      <c r="I7652">
        <v>139.14019999999999</v>
      </c>
      <c r="J7652">
        <v>-159.8124</v>
      </c>
      <c r="K7652">
        <v>1.120914</v>
      </c>
      <c r="L7652">
        <v>138.61680000000001</v>
      </c>
      <c r="M7652">
        <v>0.99984810000000002</v>
      </c>
      <c r="N7652">
        <v>-1.3559979999999999E-2</v>
      </c>
      <c r="O7652">
        <v>1.096112E-2</v>
      </c>
      <c r="P7652">
        <v>0.99115730000000002</v>
      </c>
      <c r="Q7652">
        <v>-0.1270365</v>
      </c>
      <c r="R7652">
        <v>3.8327760000000002E-2</v>
      </c>
      <c r="S7652">
        <v>2.9849239999999999</v>
      </c>
      <c r="T7652">
        <v>-0.28283970000000003</v>
      </c>
      <c r="U7652">
        <v>0.1327972</v>
      </c>
      <c r="V7652">
        <v>-2.7450220000000001E-2</v>
      </c>
      <c r="W7652">
        <v>-0.1135823</v>
      </c>
      <c r="X7652">
        <v>0.99314930000000001</v>
      </c>
      <c r="Y7652">
        <v>-3.3356770000000001E-2</v>
      </c>
      <c r="Z7652">
        <v>9.154988E-4</v>
      </c>
      <c r="AA7652">
        <v>0.99944310000000003</v>
      </c>
      <c r="AB7652">
        <v>21</v>
      </c>
      <c r="AC7652">
        <v>11.5626</v>
      </c>
      <c r="AD7652">
        <v>-1.1209148175933901</v>
      </c>
      <c r="AE7652">
        <v>0.52339999999998099</v>
      </c>
      <c r="AF7652">
        <v>-0.392932647375068</v>
      </c>
      <c r="AG7652">
        <v>-1.1209148175933901</v>
      </c>
      <c r="AH7652">
        <v>11.460160778202599</v>
      </c>
      <c r="AI7652">
        <v>95.583053639207293</v>
      </c>
      <c r="AJ7652">
        <v>91.963721699315499</v>
      </c>
      <c r="AK7652">
        <v>11.5215507270474</v>
      </c>
      <c r="AL7652">
        <v>96.521861087082598</v>
      </c>
      <c r="AM7652">
        <v>91.583227647128098</v>
      </c>
      <c r="AN7652">
        <v>0.999999992770914</v>
      </c>
    </row>
    <row r="7653" spans="1:40" x14ac:dyDescent="0.25">
      <c r="A7653" t="str">
        <f>"20190303154714250"</f>
        <v>20190303154714250</v>
      </c>
      <c r="B7653" t="str">
        <f>"1551599234240145"</f>
        <v>1551599234240145</v>
      </c>
      <c r="C7653" t="s">
        <v>40</v>
      </c>
      <c r="D7653">
        <v>5.5198809999999998</v>
      </c>
      <c r="E7653">
        <v>0.50001030000000002</v>
      </c>
      <c r="F7653" t="s">
        <v>42</v>
      </c>
      <c r="G7653">
        <v>-159.04900000000001</v>
      </c>
      <c r="H7653">
        <v>1.023879</v>
      </c>
      <c r="I7653">
        <v>138.64019999999999</v>
      </c>
      <c r="J7653">
        <v>-159.1318</v>
      </c>
      <c r="K7653">
        <v>1.1210869999999999</v>
      </c>
      <c r="L7653">
        <v>138.6251</v>
      </c>
      <c r="M7653">
        <v>0.99983949999999999</v>
      </c>
      <c r="N7653">
        <v>-1.3552420000000001E-2</v>
      </c>
      <c r="O7653">
        <v>1.171633E-2</v>
      </c>
      <c r="P7653">
        <v>0.99090339999999999</v>
      </c>
      <c r="Q7653">
        <v>-0.1294235</v>
      </c>
      <c r="R7653">
        <v>3.687704E-2</v>
      </c>
      <c r="S7653">
        <v>2.9747620000000001</v>
      </c>
      <c r="T7653">
        <v>-0.37818859999999999</v>
      </c>
      <c r="U7653">
        <v>9.1400149999999999E-2</v>
      </c>
      <c r="V7653">
        <v>-2.5199320000000001E-2</v>
      </c>
      <c r="W7653">
        <v>-0.1159916</v>
      </c>
      <c r="X7653">
        <v>0.99293050000000005</v>
      </c>
      <c r="Y7653">
        <v>-1.8903550000000002E-2</v>
      </c>
      <c r="Z7653" s="1">
        <v>3.0966479999999998E-7</v>
      </c>
      <c r="AA7653">
        <v>0.99982130000000002</v>
      </c>
      <c r="AB7653">
        <v>21</v>
      </c>
      <c r="AC7653">
        <v>8.27999999999917E-2</v>
      </c>
      <c r="AD7653">
        <v>-9.72080000000001E-2</v>
      </c>
      <c r="AE7653">
        <v>1.5099999999989599E-2</v>
      </c>
      <c r="AF7653">
        <v>-6.0536228661922202E-3</v>
      </c>
      <c r="AG7653">
        <v>-9.72080000000001E-2</v>
      </c>
      <c r="AH7653">
        <v>3.5549940101654999E-2</v>
      </c>
      <c r="AI7653">
        <v>159.646436494656</v>
      </c>
      <c r="AJ7653">
        <v>99.663917265377407</v>
      </c>
      <c r="AK7653">
        <v>0.10368143447617501</v>
      </c>
      <c r="AL7653">
        <v>96.660822195523394</v>
      </c>
      <c r="AM7653">
        <v>91.453782339103299</v>
      </c>
      <c r="AN7653">
        <v>1.00000001741463</v>
      </c>
    </row>
    <row r="7654" spans="1:40" x14ac:dyDescent="0.25">
      <c r="A7654" t="str">
        <f>"20190303154714271"</f>
        <v>20190303154714271</v>
      </c>
      <c r="B7654" t="str">
        <f>"1551599234259665"</f>
        <v>1551599234259665</v>
      </c>
      <c r="C7654" t="s">
        <v>40</v>
      </c>
      <c r="D7654">
        <v>5.6540150000000002</v>
      </c>
      <c r="E7654">
        <v>0.51731300000000002</v>
      </c>
      <c r="F7654" t="s">
        <v>42</v>
      </c>
      <c r="G7654">
        <v>-158.30070000000001</v>
      </c>
      <c r="H7654">
        <v>1.0312779999999999</v>
      </c>
      <c r="I7654">
        <v>138.65629999999999</v>
      </c>
      <c r="J7654">
        <v>-158.93610000000001</v>
      </c>
      <c r="K7654">
        <v>1.12114</v>
      </c>
      <c r="L7654">
        <v>138.62780000000001</v>
      </c>
      <c r="M7654">
        <v>0.99983500000000003</v>
      </c>
      <c r="N7654">
        <v>-1.355043E-2</v>
      </c>
      <c r="O7654">
        <v>1.2107400000000001E-2</v>
      </c>
      <c r="P7654">
        <v>0.99105209999999999</v>
      </c>
      <c r="Q7654">
        <v>-0.12797239999999999</v>
      </c>
      <c r="R7654">
        <v>3.793581E-2</v>
      </c>
      <c r="S7654">
        <v>2.981293</v>
      </c>
      <c r="T7654">
        <v>-0.32218180000000002</v>
      </c>
      <c r="U7654">
        <v>0.11210630000000001</v>
      </c>
      <c r="V7654">
        <v>-2.5855650000000001E-2</v>
      </c>
      <c r="W7654">
        <v>-0.114543699999999</v>
      </c>
      <c r="X7654">
        <v>0.99308169999999996</v>
      </c>
      <c r="Y7654">
        <v>-2.5361760000000001E-2</v>
      </c>
      <c r="Z7654">
        <v>3.9793860000000001E-4</v>
      </c>
      <c r="AA7654">
        <v>0.99967830000000002</v>
      </c>
      <c r="AB7654">
        <v>21</v>
      </c>
      <c r="AC7654">
        <v>0.63540000000000396</v>
      </c>
      <c r="AD7654">
        <v>-8.9861999999999803E-2</v>
      </c>
      <c r="AE7654">
        <v>2.8499999999979701E-2</v>
      </c>
      <c r="AF7654">
        <v>-2.0397015937955999E-2</v>
      </c>
      <c r="AG7654">
        <v>-8.9861999999999803E-2</v>
      </c>
      <c r="AH7654">
        <v>0.62325759200431796</v>
      </c>
      <c r="AI7654">
        <v>98.200101366633305</v>
      </c>
      <c r="AJ7654">
        <v>91.874419164450799</v>
      </c>
      <c r="AK7654">
        <v>0.63003273192286902</v>
      </c>
      <c r="AL7654">
        <v>96.5773069505927</v>
      </c>
      <c r="AM7654">
        <v>91.491402998570095</v>
      </c>
      <c r="AN7654">
        <v>1.00000001836075</v>
      </c>
    </row>
    <row r="7655" spans="1:40" x14ac:dyDescent="0.25">
      <c r="A7655" t="str">
        <f>"20190303154714305"</f>
        <v>20190303154714305</v>
      </c>
      <c r="B7655" t="str">
        <f>"1551599234299684"</f>
        <v>1551599234299684</v>
      </c>
      <c r="C7655" t="s">
        <v>40</v>
      </c>
      <c r="D7655">
        <v>5.5102289999999998</v>
      </c>
      <c r="E7655">
        <v>0.51611119999999999</v>
      </c>
      <c r="F7655" t="s">
        <v>42</v>
      </c>
      <c r="G7655">
        <v>-158.1251</v>
      </c>
      <c r="H7655">
        <v>1.027336</v>
      </c>
      <c r="I7655">
        <v>138.62129999999999</v>
      </c>
      <c r="J7655">
        <v>-158.63030000000001</v>
      </c>
      <c r="K7655">
        <v>1.1212070000000001</v>
      </c>
      <c r="L7655">
        <v>138.63229999999999</v>
      </c>
      <c r="M7655">
        <v>0.9998262</v>
      </c>
      <c r="N7655">
        <v>-1.3547129999999999E-2</v>
      </c>
      <c r="O7655">
        <v>1.281154E-2</v>
      </c>
      <c r="P7655">
        <v>0.99099210000000004</v>
      </c>
      <c r="Q7655">
        <v>-0.1269787</v>
      </c>
      <c r="R7655">
        <v>4.2560050000000002E-2</v>
      </c>
      <c r="S7655">
        <v>2.9834139999999998</v>
      </c>
      <c r="T7655">
        <v>-0.34523179999999998</v>
      </c>
      <c r="U7655">
        <v>-2.3269649999999999E-2</v>
      </c>
      <c r="V7655">
        <v>-2.9770250000000002E-2</v>
      </c>
      <c r="W7655">
        <v>-0.1135591</v>
      </c>
      <c r="X7655">
        <v>0.99308510000000005</v>
      </c>
      <c r="Y7655">
        <v>2.039237E-2</v>
      </c>
      <c r="Z7655">
        <v>-2.6190749999999998E-3</v>
      </c>
      <c r="AA7655">
        <v>0.99978860000000003</v>
      </c>
      <c r="AB7655">
        <v>21</v>
      </c>
      <c r="AC7655">
        <v>0.50520000000000198</v>
      </c>
      <c r="AD7655">
        <v>-9.3870999999999996E-2</v>
      </c>
      <c r="AE7655">
        <v>-1.09999999999956E-2</v>
      </c>
      <c r="AF7655">
        <v>1.6889252267215101E-2</v>
      </c>
      <c r="AG7655">
        <v>-9.3870999999999996E-2</v>
      </c>
      <c r="AH7655">
        <v>0.48817136276214101</v>
      </c>
      <c r="AI7655">
        <v>100.87825634154601</v>
      </c>
      <c r="AJ7655">
        <v>88.018529689940905</v>
      </c>
      <c r="AK7655">
        <v>0.49740153890412497</v>
      </c>
      <c r="AL7655">
        <v>96.5205232756893</v>
      </c>
      <c r="AM7655">
        <v>91.717072392211804</v>
      </c>
      <c r="AN7655">
        <v>0.99999997640994098</v>
      </c>
    </row>
    <row r="7656" spans="1:40" x14ac:dyDescent="0.25">
      <c r="A7656" t="str">
        <f>"20190303154714333"</f>
        <v>20190303154714333</v>
      </c>
      <c r="B7656" t="str">
        <f>"1551599234329937"</f>
        <v>1551599234329937</v>
      </c>
      <c r="C7656" t="s">
        <v>40</v>
      </c>
      <c r="D7656">
        <v>5.3590900000000001</v>
      </c>
      <c r="E7656">
        <v>0.5191981</v>
      </c>
      <c r="F7656" t="s">
        <v>42</v>
      </c>
      <c r="G7656">
        <v>-157.76759999999999</v>
      </c>
      <c r="H7656">
        <v>1.007444</v>
      </c>
      <c r="I7656">
        <v>138.6319</v>
      </c>
      <c r="J7656">
        <v>-158.3656</v>
      </c>
      <c r="K7656">
        <v>1.121213</v>
      </c>
      <c r="L7656">
        <v>138.63650000000001</v>
      </c>
      <c r="M7656">
        <v>0.99981779999999998</v>
      </c>
      <c r="N7656">
        <v>-1.3544230000000001E-2</v>
      </c>
      <c r="O7656">
        <v>1.3458100000000001E-2</v>
      </c>
      <c r="P7656">
        <v>0.99081149999999996</v>
      </c>
      <c r="Q7656">
        <v>-0.12737019999999999</v>
      </c>
      <c r="R7656">
        <v>4.549193E-2</v>
      </c>
      <c r="S7656">
        <v>2.9769899999999998</v>
      </c>
      <c r="T7656">
        <v>-0.39270349999999998</v>
      </c>
      <c r="U7656">
        <v>-1.0681149999999999E-3</v>
      </c>
      <c r="V7656">
        <v>-3.2064420000000003E-2</v>
      </c>
      <c r="W7656">
        <v>-0.1139564</v>
      </c>
      <c r="X7656">
        <v>0.99296819999999997</v>
      </c>
      <c r="Y7656">
        <v>1.359426E-2</v>
      </c>
      <c r="Z7656">
        <v>-2.5712830000000002E-3</v>
      </c>
      <c r="AA7656">
        <v>0.99990429999999997</v>
      </c>
      <c r="AB7656">
        <v>21</v>
      </c>
      <c r="AC7656">
        <v>0.59800000000001297</v>
      </c>
      <c r="AD7656">
        <v>-0.113769</v>
      </c>
      <c r="AE7656">
        <v>-4.6000000000105904E-3</v>
      </c>
      <c r="AF7656">
        <v>1.22064803138759E-2</v>
      </c>
      <c r="AG7656">
        <v>-0.113769</v>
      </c>
      <c r="AH7656">
        <v>0.57700076034746794</v>
      </c>
      <c r="AI7656">
        <v>101.15167301440501</v>
      </c>
      <c r="AJ7656">
        <v>88.788085652271704</v>
      </c>
      <c r="AK7656">
        <v>0.58823656887702003</v>
      </c>
      <c r="AL7656">
        <v>96.543435356821107</v>
      </c>
      <c r="AM7656">
        <v>91.849523256630505</v>
      </c>
      <c r="AN7656">
        <v>1.0000000171710599</v>
      </c>
    </row>
    <row r="7657" spans="1:40" x14ac:dyDescent="0.25">
      <c r="A7657" t="str">
        <f>"20190303154714362"</f>
        <v>20190303154714362</v>
      </c>
      <c r="B7657" t="str">
        <f>"1551599234349458"</f>
        <v>1551599234349458</v>
      </c>
      <c r="C7657" t="s">
        <v>40</v>
      </c>
      <c r="D7657">
        <v>5.3575879999999998</v>
      </c>
      <c r="E7657">
        <v>0.52126640000000002</v>
      </c>
      <c r="F7657" t="s">
        <v>42</v>
      </c>
      <c r="G7657">
        <v>-157.5761</v>
      </c>
      <c r="H7657">
        <v>1.0243910000000001</v>
      </c>
      <c r="I7657">
        <v>138.63220000000001</v>
      </c>
      <c r="J7657">
        <v>-158.11109999999999</v>
      </c>
      <c r="K7657">
        <v>1.1211949999999999</v>
      </c>
      <c r="L7657">
        <v>138.64060000000001</v>
      </c>
      <c r="M7657">
        <v>0.99980939999999996</v>
      </c>
      <c r="N7657">
        <v>-1.354137E-2</v>
      </c>
      <c r="O7657">
        <v>1.4064729999999999E-2</v>
      </c>
      <c r="P7657">
        <v>0.99085129999999999</v>
      </c>
      <c r="Q7657">
        <v>-0.1259567</v>
      </c>
      <c r="R7657">
        <v>4.8466719999999998E-2</v>
      </c>
      <c r="S7657">
        <v>2.9815520000000002</v>
      </c>
      <c r="T7657">
        <v>-0.36567460000000002</v>
      </c>
      <c r="U7657">
        <v>-1.6052250000000001E-2</v>
      </c>
      <c r="V7657">
        <v>-3.444585E-2</v>
      </c>
      <c r="W7657">
        <v>-0.11254400000000001</v>
      </c>
      <c r="X7657">
        <v>0.99304950000000003</v>
      </c>
      <c r="Y7657">
        <v>1.9205750000000001E-2</v>
      </c>
      <c r="Z7657">
        <v>-2.832598E-3</v>
      </c>
      <c r="AA7657">
        <v>0.99981149999999996</v>
      </c>
      <c r="AB7657">
        <v>21</v>
      </c>
      <c r="AC7657">
        <v>0.53499999999999603</v>
      </c>
      <c r="AD7657">
        <v>-9.6804000000000098E-2</v>
      </c>
      <c r="AE7657">
        <v>-8.3999999999946305E-3</v>
      </c>
      <c r="AF7657">
        <v>1.5419770152737501E-2</v>
      </c>
      <c r="AG7657">
        <v>-9.6804000000000098E-2</v>
      </c>
      <c r="AH7657">
        <v>0.51787776364817195</v>
      </c>
      <c r="AI7657">
        <v>100.583209419724</v>
      </c>
      <c r="AJ7657">
        <v>88.294526493653706</v>
      </c>
      <c r="AK7657">
        <v>0.52707320346304398</v>
      </c>
      <c r="AL7657">
        <v>96.461986975841697</v>
      </c>
      <c r="AM7657">
        <v>91.986618856705803</v>
      </c>
      <c r="AN7657">
        <v>0.99999998898423603</v>
      </c>
    </row>
    <row r="7658" spans="1:40" x14ac:dyDescent="0.25">
      <c r="A7658" t="str">
        <f>"20190303154714382"</f>
        <v>20190303154714382</v>
      </c>
      <c r="B7658" t="str">
        <f>"1551599234369953"</f>
        <v>1551599234369953</v>
      </c>
      <c r="C7658" t="s">
        <v>40</v>
      </c>
      <c r="D7658">
        <v>5.3266929999999997</v>
      </c>
      <c r="E7658">
        <v>0.52296509999999996</v>
      </c>
      <c r="F7658" t="s">
        <v>42</v>
      </c>
      <c r="G7658">
        <v>-157.2131</v>
      </c>
      <c r="H7658">
        <v>1.0186440000000001</v>
      </c>
      <c r="I7658">
        <v>138.6336</v>
      </c>
      <c r="J7658">
        <v>-157.92500000000001</v>
      </c>
      <c r="K7658">
        <v>1.1211739999999999</v>
      </c>
      <c r="L7658">
        <v>138.6438</v>
      </c>
      <c r="M7658">
        <v>0.99980349999999996</v>
      </c>
      <c r="N7658">
        <v>-1.353933E-2</v>
      </c>
      <c r="O7658">
        <v>1.447755E-2</v>
      </c>
      <c r="P7658">
        <v>0.99110050000000005</v>
      </c>
      <c r="Q7658">
        <v>-0.123101</v>
      </c>
      <c r="R7658">
        <v>5.0654980000000002E-2</v>
      </c>
      <c r="S7658">
        <v>2.985474</v>
      </c>
      <c r="T7658">
        <v>-0.34097060000000001</v>
      </c>
      <c r="U7658">
        <v>-2.3162840000000001E-2</v>
      </c>
      <c r="V7658">
        <v>-3.6229839999999999E-2</v>
      </c>
      <c r="W7658">
        <v>-0.10968559999999999</v>
      </c>
      <c r="X7658">
        <v>0.99330580000000002</v>
      </c>
      <c r="Y7658">
        <v>2.20027E-2</v>
      </c>
      <c r="Z7658">
        <v>-2.8544859999999998E-3</v>
      </c>
      <c r="AA7658">
        <v>0.99975380000000003</v>
      </c>
      <c r="AB7658">
        <v>20</v>
      </c>
      <c r="AC7658">
        <v>0.71190000000001397</v>
      </c>
      <c r="AD7658">
        <v>-0.102529999999999</v>
      </c>
      <c r="AE7658">
        <v>-1.0199999999997499E-2</v>
      </c>
      <c r="AF7658">
        <v>2.0089813537846599E-2</v>
      </c>
      <c r="AG7658">
        <v>-0.102529999999999</v>
      </c>
      <c r="AH7658">
        <v>0.69721851003053803</v>
      </c>
      <c r="AI7658">
        <v>98.362292873126194</v>
      </c>
      <c r="AJ7658">
        <v>88.349522984630397</v>
      </c>
      <c r="AK7658">
        <v>0.70500329945127804</v>
      </c>
      <c r="AL7658">
        <v>96.297192286204705</v>
      </c>
      <c r="AM7658">
        <v>92.088880519399297</v>
      </c>
      <c r="AN7658">
        <v>0.99999997223371195</v>
      </c>
    </row>
    <row r="7659" spans="1:40" x14ac:dyDescent="0.25">
      <c r="A7659" t="str">
        <f>"20190303154714402"</f>
        <v>20190303154714402</v>
      </c>
      <c r="B7659" t="str">
        <f>"1551599234399739"</f>
        <v>1551599234399739</v>
      </c>
      <c r="C7659" t="s">
        <v>40</v>
      </c>
      <c r="D7659">
        <v>5.4441230000000003</v>
      </c>
      <c r="E7659">
        <v>0.52403500000000003</v>
      </c>
      <c r="F7659" t="s">
        <v>42</v>
      </c>
      <c r="G7659">
        <v>-157.0274</v>
      </c>
      <c r="H7659">
        <v>1.0250699999999999</v>
      </c>
      <c r="I7659">
        <v>138.63460000000001</v>
      </c>
      <c r="J7659">
        <v>-157.74019999999999</v>
      </c>
      <c r="K7659">
        <v>1.1211450000000001</v>
      </c>
      <c r="L7659">
        <v>138.64689999999999</v>
      </c>
      <c r="M7659">
        <v>0.99979810000000002</v>
      </c>
      <c r="N7659">
        <v>-1.353731E-2</v>
      </c>
      <c r="O7659">
        <v>1.4857510000000001E-2</v>
      </c>
      <c r="P7659">
        <v>0.99133990000000005</v>
      </c>
      <c r="Q7659">
        <v>-0.120772</v>
      </c>
      <c r="R7659">
        <v>5.1568900000000001E-2</v>
      </c>
      <c r="S7659">
        <v>2.9887079999999999</v>
      </c>
      <c r="T7659">
        <v>-0.32010519999999998</v>
      </c>
      <c r="U7659">
        <v>-2.9861450000000001E-2</v>
      </c>
      <c r="V7659">
        <v>-3.6770209999999998E-2</v>
      </c>
      <c r="W7659">
        <v>-0.1073534</v>
      </c>
      <c r="X7659">
        <v>0.9935408</v>
      </c>
      <c r="Y7659">
        <v>2.462437E-2</v>
      </c>
      <c r="Z7659">
        <v>-2.8682069999999998E-3</v>
      </c>
      <c r="AA7659">
        <v>0.99969269999999999</v>
      </c>
      <c r="AB7659">
        <v>20</v>
      </c>
      <c r="AC7659">
        <v>0.712799999999987</v>
      </c>
      <c r="AD7659">
        <v>-9.6074999999999897E-2</v>
      </c>
      <c r="AE7659">
        <v>-1.22999999999819E-2</v>
      </c>
      <c r="AF7659">
        <v>2.24817382323882E-2</v>
      </c>
      <c r="AG7659">
        <v>-9.6074999999999897E-2</v>
      </c>
      <c r="AH7659">
        <v>0.69982847999688602</v>
      </c>
      <c r="AI7659">
        <v>97.812928985619806</v>
      </c>
      <c r="AJ7659">
        <v>88.160026461311404</v>
      </c>
      <c r="AK7659">
        <v>0.70675012245750701</v>
      </c>
      <c r="AL7659">
        <v>96.162772648204694</v>
      </c>
      <c r="AM7659">
        <v>92.119507080405995</v>
      </c>
      <c r="AN7659">
        <v>1.0000000610498201</v>
      </c>
    </row>
    <row r="7660" spans="1:40" x14ac:dyDescent="0.25">
      <c r="A7660" t="str">
        <f>"20190303154714438"</f>
        <v>20190303154714438</v>
      </c>
      <c r="B7660" t="str">
        <f>"1551599234429019"</f>
        <v>1551599234429019</v>
      </c>
      <c r="C7660" t="s">
        <v>40</v>
      </c>
      <c r="D7660">
        <v>5.2796050000000001</v>
      </c>
      <c r="E7660">
        <v>0.52468459999999995</v>
      </c>
      <c r="F7660" t="s">
        <v>42</v>
      </c>
      <c r="G7660">
        <v>-156.8434</v>
      </c>
      <c r="H7660">
        <v>1.0284819999999999</v>
      </c>
      <c r="I7660">
        <v>138.6361</v>
      </c>
      <c r="J7660">
        <v>-157.40719999999999</v>
      </c>
      <c r="K7660">
        <v>1.121097</v>
      </c>
      <c r="L7660">
        <v>138.65260000000001</v>
      </c>
      <c r="M7660">
        <v>0.99978869999999997</v>
      </c>
      <c r="N7660">
        <v>-1.35338E-2</v>
      </c>
      <c r="O7660">
        <v>1.5475900000000001E-2</v>
      </c>
      <c r="P7660">
        <v>0.99112020000000001</v>
      </c>
      <c r="Q7660">
        <v>-0.12328840000000001</v>
      </c>
      <c r="R7660">
        <v>4.980971E-2</v>
      </c>
      <c r="S7660">
        <v>2.990402</v>
      </c>
      <c r="T7660">
        <v>-0.30905850000000001</v>
      </c>
      <c r="U7660">
        <v>-3.5598749999999998E-2</v>
      </c>
      <c r="V7660">
        <v>-3.4407899999999998E-2</v>
      </c>
      <c r="W7660">
        <v>-0.1098722</v>
      </c>
      <c r="X7660">
        <v>0.99334999999999996</v>
      </c>
      <c r="Y7660">
        <v>2.7152389999999998E-2</v>
      </c>
      <c r="Z7660">
        <v>-2.969785E-3</v>
      </c>
      <c r="AA7660">
        <v>0.99962689999999998</v>
      </c>
      <c r="AB7660">
        <v>20</v>
      </c>
      <c r="AC7660">
        <v>0.56379999999998598</v>
      </c>
      <c r="AD7660">
        <v>-9.26150000000001E-2</v>
      </c>
      <c r="AE7660">
        <v>-1.6500000000007699E-2</v>
      </c>
      <c r="AF7660">
        <v>2.4561913788234E-2</v>
      </c>
      <c r="AG7660">
        <v>-9.26150000000001E-2</v>
      </c>
      <c r="AH7660">
        <v>0.54868386547343095</v>
      </c>
      <c r="AI7660">
        <v>99.571512510949404</v>
      </c>
      <c r="AJ7660">
        <v>87.436857214389804</v>
      </c>
      <c r="AK7660">
        <v>0.55698726203101501</v>
      </c>
      <c r="AL7660">
        <v>96.307948430832695</v>
      </c>
      <c r="AM7660">
        <v>91.983832057403703</v>
      </c>
      <c r="AN7660">
        <v>1.0000000132076201</v>
      </c>
    </row>
    <row r="7661" spans="1:40" x14ac:dyDescent="0.25">
      <c r="A7661" t="str">
        <f>"20190303154714469"</f>
        <v>20190303154714469</v>
      </c>
      <c r="B7661" t="str">
        <f>"1551599234459275"</f>
        <v>1551599234459275</v>
      </c>
      <c r="C7661" t="s">
        <v>40</v>
      </c>
      <c r="D7661">
        <v>5.400353</v>
      </c>
      <c r="E7661">
        <v>0.525088</v>
      </c>
      <c r="F7661" t="s">
        <v>42</v>
      </c>
      <c r="G7661">
        <v>-156.6533</v>
      </c>
      <c r="H7661">
        <v>1.042262</v>
      </c>
      <c r="I7661">
        <v>138.64099999999999</v>
      </c>
      <c r="J7661">
        <v>-157.14349999999999</v>
      </c>
      <c r="K7661">
        <v>1.12107</v>
      </c>
      <c r="L7661">
        <v>138.65729999999999</v>
      </c>
      <c r="M7661">
        <v>0.99978149999999999</v>
      </c>
      <c r="N7661">
        <v>-1.353098E-2</v>
      </c>
      <c r="O7661">
        <v>1.593344E-2</v>
      </c>
      <c r="P7661">
        <v>0.99081560000000002</v>
      </c>
      <c r="Q7661">
        <v>-0.12605279999999999</v>
      </c>
      <c r="R7661">
        <v>4.8943859999999999E-2</v>
      </c>
      <c r="S7661">
        <v>2.990265</v>
      </c>
      <c r="T7661">
        <v>-0.31278040000000001</v>
      </c>
      <c r="U7661">
        <v>-4.6035769999999997E-2</v>
      </c>
      <c r="V7661">
        <v>-3.3095909999999999E-2</v>
      </c>
      <c r="W7661">
        <v>-0.1126414</v>
      </c>
      <c r="X7661">
        <v>0.99308439999999998</v>
      </c>
      <c r="Y7661">
        <v>3.1067069999999999E-2</v>
      </c>
      <c r="Z7661">
        <v>-3.278053E-3</v>
      </c>
      <c r="AA7661">
        <v>0.99951190000000001</v>
      </c>
      <c r="AB7661">
        <v>20</v>
      </c>
      <c r="AC7661">
        <v>0.49019999999998698</v>
      </c>
      <c r="AD7661">
        <v>-7.8807999999999906E-2</v>
      </c>
      <c r="AE7661">
        <v>-1.6300000000001001E-2</v>
      </c>
      <c r="AF7661">
        <v>2.3502443588655698E-2</v>
      </c>
      <c r="AG7661">
        <v>-7.8807999999999906E-2</v>
      </c>
      <c r="AH7661">
        <v>0.47754890547267398</v>
      </c>
      <c r="AI7661">
        <v>99.359709613761595</v>
      </c>
      <c r="AJ7661">
        <v>87.182476601880495</v>
      </c>
      <c r="AK7661">
        <v>0.48457819063262297</v>
      </c>
      <c r="AL7661">
        <v>96.467603064555803</v>
      </c>
      <c r="AM7661">
        <v>91.908754588700404</v>
      </c>
      <c r="AN7661">
        <v>1.0000000248880201</v>
      </c>
    </row>
    <row r="7662" spans="1:40" x14ac:dyDescent="0.25">
      <c r="A7662" t="str">
        <f>"20190303154714490"</f>
        <v>20190303154714490</v>
      </c>
      <c r="B7662" t="str">
        <f>"1551599234479771"</f>
        <v>1551599234479771</v>
      </c>
      <c r="C7662" t="s">
        <v>40</v>
      </c>
      <c r="D7662">
        <v>5.2379810000000004</v>
      </c>
      <c r="E7662">
        <v>0.52570749999999999</v>
      </c>
      <c r="F7662" t="s">
        <v>42</v>
      </c>
      <c r="G7662">
        <v>-156.29660000000001</v>
      </c>
      <c r="H7662">
        <v>1.030983</v>
      </c>
      <c r="I7662">
        <v>138.64250000000001</v>
      </c>
      <c r="J7662">
        <v>-156.93520000000001</v>
      </c>
      <c r="K7662">
        <v>1.1210639999999901</v>
      </c>
      <c r="L7662">
        <v>138.6611</v>
      </c>
      <c r="M7662">
        <v>0.99977579999999999</v>
      </c>
      <c r="N7662">
        <v>-1.3528739999999999E-2</v>
      </c>
      <c r="O7662">
        <v>1.6291839999999998E-2</v>
      </c>
      <c r="P7662">
        <v>0.99087700000000001</v>
      </c>
      <c r="Q7662">
        <v>-0.12588730000000001</v>
      </c>
      <c r="R7662">
        <v>4.8116440000000003E-2</v>
      </c>
      <c r="S7662">
        <v>2.9898829999999998</v>
      </c>
      <c r="T7662">
        <v>-0.31817459999999997</v>
      </c>
      <c r="U7662">
        <v>-5.181885E-2</v>
      </c>
      <c r="V7662">
        <v>-3.1913589999999999E-2</v>
      </c>
      <c r="W7662">
        <v>-0.1124763</v>
      </c>
      <c r="X7662">
        <v>0.99314179999999996</v>
      </c>
      <c r="Y7662">
        <v>3.333506E-2</v>
      </c>
      <c r="Z7662">
        <v>-3.5036820000000002E-3</v>
      </c>
      <c r="AA7662">
        <v>0.9994381</v>
      </c>
      <c r="AB7662">
        <v>20</v>
      </c>
      <c r="AC7662">
        <v>0.63859999999999595</v>
      </c>
      <c r="AD7662">
        <v>-9.00809999999998E-2</v>
      </c>
      <c r="AE7662">
        <v>-1.8599999999992099E-2</v>
      </c>
      <c r="AF7662">
        <v>2.8437091165120498E-2</v>
      </c>
      <c r="AG7662">
        <v>-9.00809999999998E-2</v>
      </c>
      <c r="AH7662">
        <v>0.62577115728941501</v>
      </c>
      <c r="AI7662">
        <v>98.183237470688894</v>
      </c>
      <c r="AJ7662">
        <v>87.398082181386997</v>
      </c>
      <c r="AK7662">
        <v>0.63286080302880698</v>
      </c>
      <c r="AL7662">
        <v>96.458083095847101</v>
      </c>
      <c r="AM7662">
        <v>91.840507605299095</v>
      </c>
      <c r="AN7662">
        <v>1.0000000150977999</v>
      </c>
    </row>
    <row r="7663" spans="1:40" x14ac:dyDescent="0.25">
      <c r="A7663" t="str">
        <f>"20190303154714512"</f>
        <v>20190303154714512</v>
      </c>
      <c r="B7663" t="str">
        <f>"1551599234509052"</f>
        <v>1551599234509052</v>
      </c>
      <c r="C7663" t="s">
        <v>40</v>
      </c>
      <c r="D7663">
        <v>5.2179609999999998</v>
      </c>
      <c r="E7663">
        <v>0.52651199999999998</v>
      </c>
      <c r="F7663" t="s">
        <v>42</v>
      </c>
      <c r="G7663">
        <v>-156.11320000000001</v>
      </c>
      <c r="H7663">
        <v>1.03501</v>
      </c>
      <c r="I7663">
        <v>138.6448</v>
      </c>
      <c r="J7663">
        <v>-156.73410000000001</v>
      </c>
      <c r="K7663">
        <v>1.1210599999999999</v>
      </c>
      <c r="L7663">
        <v>138.66480000000001</v>
      </c>
      <c r="M7663">
        <v>0.99977009999999999</v>
      </c>
      <c r="N7663">
        <v>-1.3526639999999999E-2</v>
      </c>
      <c r="O7663">
        <v>1.664289E-2</v>
      </c>
      <c r="P7663">
        <v>0.99099389999999998</v>
      </c>
      <c r="Q7663">
        <v>-0.12544240000000001</v>
      </c>
      <c r="R7663">
        <v>4.685566E-2</v>
      </c>
      <c r="S7663">
        <v>2.990707</v>
      </c>
      <c r="T7663">
        <v>-0.3131622</v>
      </c>
      <c r="U7663">
        <v>-5.9127810000000003E-2</v>
      </c>
      <c r="V7663">
        <v>-3.0304950000000001E-2</v>
      </c>
      <c r="W7663">
        <v>-0.1120309</v>
      </c>
      <c r="X7663">
        <v>0.99324250000000003</v>
      </c>
      <c r="Y7663">
        <v>3.6113060000000002E-2</v>
      </c>
      <c r="Z7663">
        <v>-3.6436480000000002E-3</v>
      </c>
      <c r="AA7663">
        <v>0.99934109999999998</v>
      </c>
      <c r="AB7663">
        <v>20</v>
      </c>
      <c r="AC7663">
        <v>0.620900000000006</v>
      </c>
      <c r="AD7663">
        <v>-8.6049999999999904E-2</v>
      </c>
      <c r="AE7663">
        <v>-2.0000000000010201E-2</v>
      </c>
      <c r="AF7663">
        <v>2.97607239670288E-2</v>
      </c>
      <c r="AG7663">
        <v>-8.6049999999999904E-2</v>
      </c>
      <c r="AH7663">
        <v>0.608800027446464</v>
      </c>
      <c r="AI7663">
        <v>98.0356303632596</v>
      </c>
      <c r="AJ7663">
        <v>87.201367465324196</v>
      </c>
      <c r="AK7663">
        <v>0.61557109793252696</v>
      </c>
      <c r="AL7663">
        <v>96.432401409850002</v>
      </c>
      <c r="AM7663">
        <v>91.747616749432694</v>
      </c>
      <c r="AN7663">
        <v>0.99999998817778102</v>
      </c>
    </row>
    <row r="7664" spans="1:40" x14ac:dyDescent="0.25">
      <c r="A7664" t="str">
        <f>"20190303154714536"</f>
        <v>20190303154714536</v>
      </c>
      <c r="B7664" t="str">
        <f>"1551599234529547"</f>
        <v>1551599234529547</v>
      </c>
      <c r="C7664" t="s">
        <v>40</v>
      </c>
      <c r="D7664">
        <v>5.373761</v>
      </c>
      <c r="E7664">
        <v>0.52644630000000003</v>
      </c>
      <c r="F7664" t="s">
        <v>42</v>
      </c>
      <c r="G7664">
        <v>-155.93020000000001</v>
      </c>
      <c r="H7664">
        <v>1.0387660000000001</v>
      </c>
      <c r="I7664">
        <v>138.64599999999999</v>
      </c>
      <c r="J7664">
        <v>-156.51990000000001</v>
      </c>
      <c r="K7664">
        <v>1.1210690000000001</v>
      </c>
      <c r="L7664">
        <v>138.66890000000001</v>
      </c>
      <c r="M7664">
        <v>0.99976370000000003</v>
      </c>
      <c r="N7664">
        <v>-1.352449E-2</v>
      </c>
      <c r="O7664">
        <v>1.7023610000000002E-2</v>
      </c>
      <c r="P7664">
        <v>0.99117169999999999</v>
      </c>
      <c r="Q7664">
        <v>-0.12446110000000001</v>
      </c>
      <c r="R7664">
        <v>4.5699669999999998E-2</v>
      </c>
      <c r="S7664">
        <v>2.9917449999999999</v>
      </c>
      <c r="T7664">
        <v>-0.3064173</v>
      </c>
      <c r="U7664">
        <v>-6.9152829999999998E-2</v>
      </c>
      <c r="V7664">
        <v>-2.8769329999999999E-2</v>
      </c>
      <c r="W7664">
        <v>-0.1110486</v>
      </c>
      <c r="X7664">
        <v>0.99339849999999996</v>
      </c>
      <c r="Y7664">
        <v>3.9822690000000001E-2</v>
      </c>
      <c r="Z7664">
        <v>-3.813009E-3</v>
      </c>
      <c r="AA7664">
        <v>0.99919950000000002</v>
      </c>
      <c r="AB7664">
        <v>20</v>
      </c>
      <c r="AC7664">
        <v>0.58969999999999301</v>
      </c>
      <c r="AD7664">
        <v>-8.2303000000000001E-2</v>
      </c>
      <c r="AE7664">
        <v>-2.2899999999992801E-2</v>
      </c>
      <c r="AF7664">
        <v>3.2308036962269901E-2</v>
      </c>
      <c r="AG7664">
        <v>-8.2303000000000001E-2</v>
      </c>
      <c r="AH7664">
        <v>0.57798301228141802</v>
      </c>
      <c r="AI7664">
        <v>98.091794996802193</v>
      </c>
      <c r="AJ7664">
        <v>86.800615679754998</v>
      </c>
      <c r="AK7664">
        <v>0.58470672610057794</v>
      </c>
      <c r="AL7664">
        <v>96.375766136318603</v>
      </c>
      <c r="AM7664">
        <v>91.658851495276394</v>
      </c>
      <c r="AN7664">
        <v>1.0000000228564201</v>
      </c>
    </row>
    <row r="7665" spans="1:40" x14ac:dyDescent="0.25">
      <c r="A7665" t="str">
        <f>"20190303154714574"</f>
        <v>20190303154714574</v>
      </c>
      <c r="B7665" t="str">
        <f>"1551599234569563"</f>
        <v>1551599234569563</v>
      </c>
      <c r="C7665" t="s">
        <v>40</v>
      </c>
      <c r="D7665">
        <v>5.2651899999999996</v>
      </c>
      <c r="E7665">
        <v>0.52608480000000002</v>
      </c>
      <c r="F7665" t="s">
        <v>42</v>
      </c>
      <c r="G7665">
        <v>-155.74700000000001</v>
      </c>
      <c r="H7665">
        <v>1.0423750000000001</v>
      </c>
      <c r="I7665">
        <v>138.65010000000001</v>
      </c>
      <c r="J7665">
        <v>-156.18780000000001</v>
      </c>
      <c r="K7665">
        <v>1.1210830000000001</v>
      </c>
      <c r="L7665">
        <v>138.67529999999999</v>
      </c>
      <c r="M7665">
        <v>0.99975340000000001</v>
      </c>
      <c r="N7665">
        <v>-1.3500379999999999E-2</v>
      </c>
      <c r="O7665">
        <v>1.7629880000000001E-2</v>
      </c>
      <c r="P7665">
        <v>0.99168080000000003</v>
      </c>
      <c r="Q7665">
        <v>-0.1216888</v>
      </c>
      <c r="R7665">
        <v>4.1968279999999997E-2</v>
      </c>
      <c r="S7665">
        <v>2.9917910000000001</v>
      </c>
      <c r="T7665">
        <v>-0.30469099999999999</v>
      </c>
      <c r="U7665">
        <v>-7.2189329999999996E-2</v>
      </c>
      <c r="V7665">
        <v>-2.4429030000000001E-2</v>
      </c>
      <c r="W7665">
        <v>-0.1082926</v>
      </c>
      <c r="X7665">
        <v>0.99381889999999995</v>
      </c>
      <c r="Y7665">
        <v>4.1433369999999997E-2</v>
      </c>
      <c r="Z7665">
        <v>-3.937795E-3</v>
      </c>
      <c r="AA7665">
        <v>0.99913350000000001</v>
      </c>
      <c r="AB7665">
        <v>20</v>
      </c>
      <c r="AC7665">
        <v>0.44079999999999497</v>
      </c>
      <c r="AD7665">
        <v>-7.8708E-2</v>
      </c>
      <c r="AE7665">
        <v>-2.5199999999983898E-2</v>
      </c>
      <c r="AF7665">
        <v>3.19526262497156E-2</v>
      </c>
      <c r="AG7665">
        <v>-7.8708E-2</v>
      </c>
      <c r="AH7665">
        <v>0.42672631501449998</v>
      </c>
      <c r="AI7665">
        <v>100.42199441558</v>
      </c>
      <c r="AJ7665">
        <v>85.717769249271996</v>
      </c>
      <c r="AK7665">
        <v>0.43509914676325001</v>
      </c>
      <c r="AL7665">
        <v>96.216900562456402</v>
      </c>
      <c r="AM7665">
        <v>91.408102132049507</v>
      </c>
      <c r="AN7665">
        <v>1.0000000353593499</v>
      </c>
    </row>
    <row r="7666" spans="1:40" x14ac:dyDescent="0.25">
      <c r="A7666" t="str">
        <f>"20190303154714604"</f>
        <v>20190303154714604</v>
      </c>
      <c r="B7666" t="str">
        <f>"1551599234599819"</f>
        <v>1551599234599819</v>
      </c>
      <c r="C7666" t="s">
        <v>40</v>
      </c>
      <c r="D7666">
        <v>5.251792</v>
      </c>
      <c r="E7666">
        <v>0.50165130000000002</v>
      </c>
      <c r="F7666" t="s">
        <v>42</v>
      </c>
      <c r="G7666">
        <v>-155.3871</v>
      </c>
      <c r="H7666">
        <v>1.0409919999999999</v>
      </c>
      <c r="I7666">
        <v>138.65369999999999</v>
      </c>
      <c r="J7666">
        <v>-155.9111</v>
      </c>
      <c r="K7666">
        <v>1.1210659999999999</v>
      </c>
      <c r="L7666">
        <v>138.6808</v>
      </c>
      <c r="M7666">
        <v>0.99974549999999995</v>
      </c>
      <c r="N7666">
        <v>-1.339895E-2</v>
      </c>
      <c r="O7666">
        <v>1.8146590000000001E-2</v>
      </c>
      <c r="P7666">
        <v>0.99197329999999995</v>
      </c>
      <c r="Q7666">
        <v>-0.1202153</v>
      </c>
      <c r="R7666">
        <v>3.9206690000000002E-2</v>
      </c>
      <c r="S7666">
        <v>2.9918520000000002</v>
      </c>
      <c r="T7666">
        <v>-0.29926439999999999</v>
      </c>
      <c r="U7666">
        <v>-8.0627439999999995E-2</v>
      </c>
      <c r="V7666">
        <v>-2.1148489999999999E-2</v>
      </c>
      <c r="W7666">
        <v>-0.1069155</v>
      </c>
      <c r="X7666">
        <v>0.99404320000000002</v>
      </c>
      <c r="Y7666">
        <v>4.4755290000000003E-2</v>
      </c>
      <c r="Z7666">
        <v>-4.1008820000000001E-3</v>
      </c>
      <c r="AA7666">
        <v>0.99898960000000003</v>
      </c>
      <c r="AB7666">
        <v>20</v>
      </c>
      <c r="AC7666">
        <v>0.52400000000000002</v>
      </c>
      <c r="AD7666">
        <v>-8.0073999999999895E-2</v>
      </c>
      <c r="AE7666">
        <v>-2.7100000000018502E-2</v>
      </c>
      <c r="AF7666">
        <v>3.5772089613574302E-2</v>
      </c>
      <c r="AG7666">
        <v>-8.0073999999999895E-2</v>
      </c>
      <c r="AH7666">
        <v>0.51150908664553596</v>
      </c>
      <c r="AI7666">
        <v>98.875804958665796</v>
      </c>
      <c r="AJ7666">
        <v>85.999566399726206</v>
      </c>
      <c r="AK7666">
        <v>0.51897305671130201</v>
      </c>
      <c r="AL7666">
        <v>96.137537760464795</v>
      </c>
      <c r="AM7666">
        <v>91.218796574937898</v>
      </c>
      <c r="AN7666">
        <v>1.00000003311788</v>
      </c>
    </row>
    <row r="7667" spans="1:40" x14ac:dyDescent="0.25">
      <c r="A7667" t="str">
        <f>"20190303154714640"</f>
        <v>20190303154714640</v>
      </c>
      <c r="B7667" t="str">
        <f>"1551599234629099"</f>
        <v>1551599234629099</v>
      </c>
      <c r="C7667" t="s">
        <v>40</v>
      </c>
      <c r="D7667">
        <v>5.2886939999999996</v>
      </c>
      <c r="E7667">
        <v>0.50112219999999996</v>
      </c>
      <c r="F7667" t="s">
        <v>41</v>
      </c>
      <c r="G7667">
        <v>-143.66</v>
      </c>
      <c r="H7667" s="1">
        <v>-2.7908169999999999E-6</v>
      </c>
      <c r="I7667">
        <v>139.1164</v>
      </c>
      <c r="J7667">
        <v>-155.58590000000001</v>
      </c>
      <c r="K7667">
        <v>1.1210439999999999</v>
      </c>
      <c r="L7667">
        <v>138.6874</v>
      </c>
      <c r="M7667">
        <v>0.99973769999999995</v>
      </c>
      <c r="N7667">
        <v>-1.314716E-2</v>
      </c>
      <c r="O7667">
        <v>1.8753760000000001E-2</v>
      </c>
      <c r="P7667">
        <v>0.99294689999999997</v>
      </c>
      <c r="Q7667">
        <v>-0.11429690000000001</v>
      </c>
      <c r="R7667">
        <v>3.1506609999999997E-2</v>
      </c>
      <c r="S7667">
        <v>2.9869690000000002</v>
      </c>
      <c r="T7667">
        <v>-0.27333020000000002</v>
      </c>
      <c r="U7667">
        <v>0.1062164</v>
      </c>
      <c r="V7667">
        <v>-1.283023E-2</v>
      </c>
      <c r="W7667">
        <v>-0.1012333</v>
      </c>
      <c r="X7667">
        <v>0.99478</v>
      </c>
      <c r="Y7667">
        <v>-1.676501E-2</v>
      </c>
      <c r="Z7667">
        <v>-5.8996329999999998E-4</v>
      </c>
      <c r="AA7667">
        <v>0.99985930000000001</v>
      </c>
      <c r="AB7667">
        <v>20</v>
      </c>
      <c r="AC7667">
        <v>11.9259</v>
      </c>
      <c r="AD7667">
        <v>-1.1210467908169901</v>
      </c>
      <c r="AE7667">
        <v>0.42900000000000199</v>
      </c>
      <c r="AF7667">
        <v>-0.20345430604002299</v>
      </c>
      <c r="AG7667">
        <v>-1.1210467908169901</v>
      </c>
      <c r="AH7667">
        <v>11.827473551930099</v>
      </c>
      <c r="AI7667">
        <v>95.413710276653504</v>
      </c>
      <c r="AJ7667">
        <v>90.985495627954407</v>
      </c>
      <c r="AK7667">
        <v>11.882224967717599</v>
      </c>
      <c r="AL7667">
        <v>95.810193662119701</v>
      </c>
      <c r="AM7667">
        <v>90.738934509848605</v>
      </c>
      <c r="AN7667">
        <v>1.00000002211537</v>
      </c>
    </row>
    <row r="7668" spans="1:40" x14ac:dyDescent="0.25">
      <c r="A7668" t="str">
        <f>"20190303154714672"</f>
        <v>20190303154714672</v>
      </c>
      <c r="B7668" t="str">
        <f>"1551599234659356"</f>
        <v>1551599234659356</v>
      </c>
      <c r="C7668" t="s">
        <v>40</v>
      </c>
      <c r="D7668">
        <v>5.2791579999999998</v>
      </c>
      <c r="E7668">
        <v>0.50057229999999997</v>
      </c>
      <c r="F7668" t="s">
        <v>41</v>
      </c>
      <c r="G7668">
        <v>-143.0359</v>
      </c>
      <c r="H7668" s="1">
        <v>-3.069737E-6</v>
      </c>
      <c r="I7668">
        <v>139.05330000000001</v>
      </c>
      <c r="J7668">
        <v>-155.30070000000001</v>
      </c>
      <c r="K7668">
        <v>1.1209789999999999</v>
      </c>
      <c r="L7668">
        <v>138.6934</v>
      </c>
      <c r="M7668">
        <v>0.9997317</v>
      </c>
      <c r="N7668">
        <v>-1.2820389999999999E-2</v>
      </c>
      <c r="O7668">
        <v>1.929987E-2</v>
      </c>
      <c r="P7668">
        <v>0.99308320000000005</v>
      </c>
      <c r="Q7668">
        <v>-0.11380270000000001</v>
      </c>
      <c r="R7668">
        <v>2.889831E-2</v>
      </c>
      <c r="S7668">
        <v>2.9878230000000001</v>
      </c>
      <c r="T7668">
        <v>-0.26689059999999998</v>
      </c>
      <c r="U7668">
        <v>8.7127689999999994E-2</v>
      </c>
      <c r="V7668">
        <v>-9.6787739999999994E-3</v>
      </c>
      <c r="W7668">
        <v>-0.1010614</v>
      </c>
      <c r="X7668">
        <v>0.99483310000000003</v>
      </c>
      <c r="Y7668">
        <v>-9.8612679999999994E-3</v>
      </c>
      <c r="Z7668">
        <v>-9.7015600000000001E-4</v>
      </c>
      <c r="AA7668">
        <v>0.99995089999999998</v>
      </c>
      <c r="AB7668">
        <v>20</v>
      </c>
      <c r="AC7668">
        <v>12.264799999999999</v>
      </c>
      <c r="AD7668">
        <v>-1.1209820697370001</v>
      </c>
      <c r="AE7668">
        <v>0.35990000000000999</v>
      </c>
      <c r="AF7668">
        <v>-0.12208550843027501</v>
      </c>
      <c r="AG7668">
        <v>-1.1209820697370001</v>
      </c>
      <c r="AH7668">
        <v>12.167902800495201</v>
      </c>
      <c r="AI7668">
        <v>95.263318771306501</v>
      </c>
      <c r="AJ7668">
        <v>90.574852525948799</v>
      </c>
      <c r="AK7668">
        <v>12.220039453059901</v>
      </c>
      <c r="AL7668">
        <v>95.800293926500302</v>
      </c>
      <c r="AM7668">
        <v>90.557415515346094</v>
      </c>
      <c r="AN7668">
        <v>0.99999999104585602</v>
      </c>
    </row>
    <row r="7669" spans="1:40" x14ac:dyDescent="0.25">
      <c r="A7669" t="str">
        <f>"20190303154714693"</f>
        <v>20190303154714693</v>
      </c>
      <c r="B7669" t="str">
        <f>"1551599234689612"</f>
        <v>1551599234689612</v>
      </c>
      <c r="C7669" t="s">
        <v>40</v>
      </c>
      <c r="D7669">
        <v>5.3429609999999998</v>
      </c>
      <c r="E7669">
        <v>0.49534319999999998</v>
      </c>
      <c r="F7669" t="s">
        <v>41</v>
      </c>
      <c r="G7669">
        <v>-143.22559999999999</v>
      </c>
      <c r="H7669" s="1">
        <v>-2.992464E-6</v>
      </c>
      <c r="I7669">
        <v>139.0301</v>
      </c>
      <c r="J7669">
        <v>-155.0992</v>
      </c>
      <c r="K7669">
        <v>1.1209100000000001</v>
      </c>
      <c r="L7669">
        <v>138.6977</v>
      </c>
      <c r="M7669">
        <v>0.99972810000000001</v>
      </c>
      <c r="N7669">
        <v>-1.250129E-2</v>
      </c>
      <c r="O7669">
        <v>1.9688089999999998E-2</v>
      </c>
      <c r="P7669">
        <v>0.99318300000000004</v>
      </c>
      <c r="Q7669">
        <v>-0.1135954</v>
      </c>
      <c r="R7669">
        <v>2.614582E-2</v>
      </c>
      <c r="S7669">
        <v>2.9866790000000001</v>
      </c>
      <c r="T7669">
        <v>-0.27726580000000001</v>
      </c>
      <c r="U7669">
        <v>8.329773E-2</v>
      </c>
      <c r="V7669">
        <v>-6.5392540000000004E-3</v>
      </c>
      <c r="W7669">
        <v>-0.1011695</v>
      </c>
      <c r="X7669">
        <v>0.9948477</v>
      </c>
      <c r="Y7669">
        <v>-8.2147839999999993E-3</v>
      </c>
      <c r="Z7669">
        <v>-1.14568E-3</v>
      </c>
      <c r="AA7669">
        <v>0.99996560000000001</v>
      </c>
      <c r="AB7669">
        <v>20</v>
      </c>
      <c r="AC7669">
        <v>11.8736</v>
      </c>
      <c r="AD7669">
        <v>-1.120912992464</v>
      </c>
      <c r="AE7669">
        <v>0.33240000000000602</v>
      </c>
      <c r="AF7669">
        <v>-9.7678966446263393E-2</v>
      </c>
      <c r="AG7669">
        <v>-1.120912992464</v>
      </c>
      <c r="AH7669">
        <v>11.7730032631073</v>
      </c>
      <c r="AI7669">
        <v>95.438576504904404</v>
      </c>
      <c r="AJ7669">
        <v>90.475364185806001</v>
      </c>
      <c r="AK7669">
        <v>11.8266475786799</v>
      </c>
      <c r="AL7669">
        <v>95.806519526729701</v>
      </c>
      <c r="AM7669">
        <v>90.376606649935695</v>
      </c>
      <c r="AN7669">
        <v>0.99999998788420796</v>
      </c>
    </row>
    <row r="7670" spans="1:40" x14ac:dyDescent="0.25">
      <c r="A7670" t="str">
        <f>"20190303154714714"</f>
        <v>20190303154714714</v>
      </c>
      <c r="B7670" t="str">
        <f>"1551599234709132"</f>
        <v>1551599234709132</v>
      </c>
      <c r="C7670" t="s">
        <v>40</v>
      </c>
      <c r="D7670">
        <v>5.3159199999999904</v>
      </c>
      <c r="E7670">
        <v>0.49569879999999999</v>
      </c>
      <c r="F7670" t="s">
        <v>42</v>
      </c>
      <c r="G7670">
        <v>-154.3064</v>
      </c>
      <c r="H7670">
        <v>1.0289349999999999</v>
      </c>
      <c r="I7670">
        <v>138.72839999999999</v>
      </c>
      <c r="J7670">
        <v>-154.8999</v>
      </c>
      <c r="K7670">
        <v>1.120841</v>
      </c>
      <c r="L7670">
        <v>138.7021</v>
      </c>
      <c r="M7670">
        <v>0.99972519999999998</v>
      </c>
      <c r="N7670">
        <v>-1.213325E-2</v>
      </c>
      <c r="O7670">
        <v>2.0065960000000001E-2</v>
      </c>
      <c r="P7670">
        <v>0.99319329999999995</v>
      </c>
      <c r="Q7670">
        <v>-0.1138647</v>
      </c>
      <c r="R7670">
        <v>2.4539040000000002E-2</v>
      </c>
      <c r="S7670">
        <v>2.978043</v>
      </c>
      <c r="T7670">
        <v>-0.34551320000000002</v>
      </c>
      <c r="U7670">
        <v>0.11541750000000001</v>
      </c>
      <c r="V7670">
        <v>-4.5579330000000001E-3</v>
      </c>
      <c r="W7670">
        <v>-0.1018042</v>
      </c>
      <c r="X7670">
        <v>0.99479399999999996</v>
      </c>
      <c r="Y7670">
        <v>-1.8636659999999999E-2</v>
      </c>
      <c r="Z7670">
        <v>-8.8575410000000002E-4</v>
      </c>
      <c r="AA7670">
        <v>0.99982599999999999</v>
      </c>
      <c r="AB7670">
        <v>20</v>
      </c>
      <c r="AC7670">
        <v>0.59350000000000502</v>
      </c>
      <c r="AD7670">
        <v>-9.1906000000000002E-2</v>
      </c>
      <c r="AE7670">
        <v>2.6299999999992E-2</v>
      </c>
      <c r="AF7670">
        <v>-1.40484623090951E-2</v>
      </c>
      <c r="AG7670">
        <v>-9.1906000000000002E-2</v>
      </c>
      <c r="AH7670">
        <v>0.58002657432002003</v>
      </c>
      <c r="AI7670">
        <v>99.001143860806906</v>
      </c>
      <c r="AJ7670">
        <v>91.387454117778006</v>
      </c>
      <c r="AK7670">
        <v>0.58743076106607495</v>
      </c>
      <c r="AL7670">
        <v>95.843073903713304</v>
      </c>
      <c r="AM7670">
        <v>90.262515150678695</v>
      </c>
      <c r="AN7670">
        <v>0.99999998616343599</v>
      </c>
    </row>
    <row r="7671" spans="1:40" x14ac:dyDescent="0.25">
      <c r="A7671" t="str">
        <f>"20190303154714738"</f>
        <v>20190303154714738</v>
      </c>
      <c r="B7671" t="str">
        <f>"1551599234729628"</f>
        <v>1551599234729628</v>
      </c>
      <c r="C7671" t="s">
        <v>40</v>
      </c>
      <c r="D7671">
        <v>5.2901170000000004</v>
      </c>
      <c r="E7671">
        <v>0.49553589999999997</v>
      </c>
      <c r="F7671" t="s">
        <v>42</v>
      </c>
      <c r="G7671">
        <v>-154.12180000000001</v>
      </c>
      <c r="H7671">
        <v>1.0326029999999999</v>
      </c>
      <c r="I7671">
        <v>138.7302</v>
      </c>
      <c r="J7671">
        <v>-154.69110000000001</v>
      </c>
      <c r="K7671">
        <v>1.12077</v>
      </c>
      <c r="L7671">
        <v>138.70670000000001</v>
      </c>
      <c r="M7671">
        <v>0.99972240000000001</v>
      </c>
      <c r="N7671">
        <v>-1.1709519999999999E-2</v>
      </c>
      <c r="O7671">
        <v>2.0445669999999999E-2</v>
      </c>
      <c r="P7671">
        <v>0.99336480000000005</v>
      </c>
      <c r="Q7671">
        <v>-0.1125931</v>
      </c>
      <c r="R7671">
        <v>2.3440229999999999E-2</v>
      </c>
      <c r="S7671">
        <v>2.9791560000000001</v>
      </c>
      <c r="T7671">
        <v>-0.33789089999999999</v>
      </c>
      <c r="U7671">
        <v>0.1079865</v>
      </c>
      <c r="V7671">
        <v>-3.0801079999999998E-3</v>
      </c>
      <c r="W7671">
        <v>-0.10095170000000001</v>
      </c>
      <c r="X7671">
        <v>0.99488659999999995</v>
      </c>
      <c r="Y7671">
        <v>-1.5776040000000002E-2</v>
      </c>
      <c r="Z7671">
        <v>-1.0875080000000001E-3</v>
      </c>
      <c r="AA7671">
        <v>0.99987490000000001</v>
      </c>
      <c r="AB7671">
        <v>20</v>
      </c>
      <c r="AC7671">
        <v>0.56929999999999803</v>
      </c>
      <c r="AD7671">
        <v>-8.8166999999999801E-2</v>
      </c>
      <c r="AE7671">
        <v>2.3499999999984301E-2</v>
      </c>
      <c r="AF7671">
        <v>-1.1577364728737299E-2</v>
      </c>
      <c r="AG7671">
        <v>-8.8166999999999801E-2</v>
      </c>
      <c r="AH7671">
        <v>0.55634065972782099</v>
      </c>
      <c r="AI7671">
        <v>99.0032361836424</v>
      </c>
      <c r="AJ7671">
        <v>91.192144413462401</v>
      </c>
      <c r="AK7671">
        <v>0.56340250703156203</v>
      </c>
      <c r="AL7671">
        <v>95.793975985802405</v>
      </c>
      <c r="AM7671">
        <v>90.177383658612598</v>
      </c>
      <c r="AN7671">
        <v>1.00000003982887</v>
      </c>
    </row>
    <row r="7672" spans="1:40" x14ac:dyDescent="0.25">
      <c r="A7672" t="str">
        <f>"20190303154714761"</f>
        <v>20190303154714761</v>
      </c>
      <c r="B7672" t="str">
        <f>"1551599234759885"</f>
        <v>1551599234759885</v>
      </c>
      <c r="C7672" t="s">
        <v>40</v>
      </c>
      <c r="D7672">
        <v>5.3942480000000002</v>
      </c>
      <c r="E7672">
        <v>0.49470069999999999</v>
      </c>
      <c r="F7672" t="s">
        <v>42</v>
      </c>
      <c r="G7672">
        <v>-153.9357</v>
      </c>
      <c r="H7672">
        <v>1.036905</v>
      </c>
      <c r="I7672">
        <v>138.73349999999999</v>
      </c>
      <c r="J7672">
        <v>-154.47720000000001</v>
      </c>
      <c r="K7672">
        <v>1.1206989999999999</v>
      </c>
      <c r="L7672">
        <v>138.7115</v>
      </c>
      <c r="M7672">
        <v>0.9997201</v>
      </c>
      <c r="N7672">
        <v>-1.126363E-2</v>
      </c>
      <c r="O7672">
        <v>2.080589E-2</v>
      </c>
      <c r="P7672">
        <v>0.99354569999999998</v>
      </c>
      <c r="Q7672">
        <v>-0.1111371</v>
      </c>
      <c r="R7672">
        <v>2.271248E-2</v>
      </c>
      <c r="S7672">
        <v>2.9800110000000002</v>
      </c>
      <c r="T7672">
        <v>-0.33093050000000002</v>
      </c>
      <c r="U7672">
        <v>0.10600279999999999</v>
      </c>
      <c r="V7672">
        <v>-1.9939379999999998E-3</v>
      </c>
      <c r="W7672">
        <v>-9.9937040000000005E-2</v>
      </c>
      <c r="X7672">
        <v>0.99499179999999998</v>
      </c>
      <c r="Y7672">
        <v>-1.4750340000000001E-2</v>
      </c>
      <c r="Z7672">
        <v>-1.1690559999999999E-3</v>
      </c>
      <c r="AA7672">
        <v>0.99989050000000002</v>
      </c>
      <c r="AB7672">
        <v>20</v>
      </c>
      <c r="AC7672">
        <v>0.54150000000001297</v>
      </c>
      <c r="AD7672">
        <v>-8.3793999999999896E-2</v>
      </c>
      <c r="AE7672">
        <v>2.1999999999991301E-2</v>
      </c>
      <c r="AF7672">
        <v>-1.04776511077584E-2</v>
      </c>
      <c r="AG7672">
        <v>-8.3793999999999896E-2</v>
      </c>
      <c r="AH7672">
        <v>0.52918955468370499</v>
      </c>
      <c r="AI7672">
        <v>98.9960063147781</v>
      </c>
      <c r="AJ7672">
        <v>91.134275525369802</v>
      </c>
      <c r="AK7672">
        <v>0.53588506267209401</v>
      </c>
      <c r="AL7672">
        <v>95.735544772491295</v>
      </c>
      <c r="AM7672">
        <v>90.114819116177102</v>
      </c>
      <c r="AN7672">
        <v>1.00000003490997</v>
      </c>
    </row>
    <row r="7673" spans="1:40" x14ac:dyDescent="0.25">
      <c r="A7673" t="str">
        <f>"20190303154714779"</f>
        <v>20190303154714779</v>
      </c>
      <c r="B7673" t="str">
        <f>"1551599234769644"</f>
        <v>1551599234769644</v>
      </c>
      <c r="C7673" t="s">
        <v>40</v>
      </c>
      <c r="D7673">
        <v>5.3906109999999998</v>
      </c>
      <c r="E7673">
        <v>0.49391289999999999</v>
      </c>
      <c r="F7673" t="s">
        <v>42</v>
      </c>
      <c r="G7673">
        <v>-153.57910000000001</v>
      </c>
      <c r="H7673">
        <v>1.0215209999999999</v>
      </c>
      <c r="I7673">
        <v>138.74469999999999</v>
      </c>
      <c r="J7673">
        <v>-154.3116</v>
      </c>
      <c r="K7673">
        <v>1.1206370000000001</v>
      </c>
      <c r="L7673">
        <v>138.71520000000001</v>
      </c>
      <c r="M7673">
        <v>0.99971860000000001</v>
      </c>
      <c r="N7673">
        <v>-1.09359E-2</v>
      </c>
      <c r="O7673">
        <v>2.105015E-2</v>
      </c>
      <c r="P7673">
        <v>0.99353080000000005</v>
      </c>
      <c r="Q7673">
        <v>-0.1113507</v>
      </c>
      <c r="R7673">
        <v>2.231141E-2</v>
      </c>
      <c r="S7673">
        <v>2.9801479999999998</v>
      </c>
      <c r="T7673">
        <v>-0.32914939999999998</v>
      </c>
      <c r="U7673">
        <v>0.1104126</v>
      </c>
      <c r="V7673">
        <v>-1.354781E-3</v>
      </c>
      <c r="W7673">
        <v>-0.1004767</v>
      </c>
      <c r="X7673">
        <v>0.99493849999999995</v>
      </c>
      <c r="Y7673">
        <v>-1.5975840000000002E-2</v>
      </c>
      <c r="Z7673">
        <v>-1.120256E-3</v>
      </c>
      <c r="AA7673">
        <v>0.99987170000000003</v>
      </c>
      <c r="AB7673">
        <v>21</v>
      </c>
      <c r="AC7673">
        <v>0.73249999999998705</v>
      </c>
      <c r="AD7673">
        <v>-9.9116000000000204E-2</v>
      </c>
      <c r="AE7673">
        <v>2.94999999999845E-2</v>
      </c>
      <c r="AF7673">
        <v>-1.38206682029497E-2</v>
      </c>
      <c r="AG7673">
        <v>-9.9116000000000204E-2</v>
      </c>
      <c r="AH7673">
        <v>0.71980096329162602</v>
      </c>
      <c r="AI7673">
        <v>97.838849577249704</v>
      </c>
      <c r="AJ7673">
        <v>91.099982784954406</v>
      </c>
      <c r="AK7673">
        <v>0.72672444508295497</v>
      </c>
      <c r="AL7673">
        <v>95.766621572592896</v>
      </c>
      <c r="AM7673">
        <v>90.078018073970796</v>
      </c>
      <c r="AN7673">
        <v>1.00000001072834</v>
      </c>
    </row>
    <row r="7674" spans="1:40" x14ac:dyDescent="0.25">
      <c r="A7674" t="str">
        <f>"20190303154714805"</f>
        <v>20190303154714805</v>
      </c>
      <c r="B7674" t="str">
        <f>"1551599234799900"</f>
        <v>1551599234799900</v>
      </c>
      <c r="C7674" t="s">
        <v>40</v>
      </c>
      <c r="D7674">
        <v>5.448512</v>
      </c>
      <c r="E7674">
        <v>0.49238490000000001</v>
      </c>
      <c r="F7674" t="s">
        <v>42</v>
      </c>
      <c r="G7674">
        <v>-153.5675</v>
      </c>
      <c r="H7674">
        <v>1.0369809999999999</v>
      </c>
      <c r="I7674">
        <v>138.744</v>
      </c>
      <c r="J7674">
        <v>-154.08109999999999</v>
      </c>
      <c r="K7674">
        <v>1.1205590000000001</v>
      </c>
      <c r="L7674">
        <v>138.72049999999999</v>
      </c>
      <c r="M7674">
        <v>0.99971699999999997</v>
      </c>
      <c r="N7674">
        <v>-1.051828E-2</v>
      </c>
      <c r="O7674">
        <v>2.1341300000000001E-2</v>
      </c>
      <c r="P7674">
        <v>0.99350340000000004</v>
      </c>
      <c r="Q7674">
        <v>-0.1115013</v>
      </c>
      <c r="R7674">
        <v>2.2773560000000002E-2</v>
      </c>
      <c r="S7674">
        <v>2.9794010000000002</v>
      </c>
      <c r="T7674">
        <v>-0.334987799999999</v>
      </c>
      <c r="U7674">
        <v>0.1154785</v>
      </c>
      <c r="V7674">
        <v>-1.5363969999999999E-3</v>
      </c>
      <c r="W7674">
        <v>-0.1010429</v>
      </c>
      <c r="X7674">
        <v>0.99488089999999996</v>
      </c>
      <c r="Y7674">
        <v>-1.738522E-2</v>
      </c>
      <c r="Z7674">
        <v>-1.1012000000000001E-3</v>
      </c>
      <c r="AA7674">
        <v>0.99984819999999996</v>
      </c>
      <c r="AB7674">
        <v>21</v>
      </c>
      <c r="AC7674">
        <v>0.51359999999999595</v>
      </c>
      <c r="AD7674">
        <v>-8.3578000000000097E-2</v>
      </c>
      <c r="AE7674">
        <v>2.3500000000012702E-2</v>
      </c>
      <c r="AF7674">
        <v>-1.2210480246522401E-2</v>
      </c>
      <c r="AG7674">
        <v>-8.3578000000000097E-2</v>
      </c>
      <c r="AH7674">
        <v>0.50075186949444195</v>
      </c>
      <c r="AI7674">
        <v>99.472844374949901</v>
      </c>
      <c r="AJ7674">
        <v>91.396840261557799</v>
      </c>
      <c r="AK7674">
        <v>0.50782557311938203</v>
      </c>
      <c r="AL7674">
        <v>95.799228351681506</v>
      </c>
      <c r="AM7674">
        <v>90.088481941685004</v>
      </c>
      <c r="AN7674">
        <v>1.0000000166704801</v>
      </c>
    </row>
    <row r="7675" spans="1:40" x14ac:dyDescent="0.25">
      <c r="A7675" t="str">
        <f>"20190303154714834"</f>
        <v>20190303154714834</v>
      </c>
      <c r="B7675" t="str">
        <f>"1551599234829181"</f>
        <v>1551599234829181</v>
      </c>
      <c r="C7675" t="s">
        <v>40</v>
      </c>
      <c r="D7675">
        <v>5.4763890000000002</v>
      </c>
      <c r="E7675">
        <v>0.4911875</v>
      </c>
      <c r="F7675" t="s">
        <v>42</v>
      </c>
      <c r="G7675">
        <v>-153.21129999999999</v>
      </c>
      <c r="H7675">
        <v>1.016945</v>
      </c>
      <c r="I7675">
        <v>138.75799999999899</v>
      </c>
      <c r="J7675">
        <v>-153.81319999999999</v>
      </c>
      <c r="K7675">
        <v>1.1204730000000001</v>
      </c>
      <c r="L7675">
        <v>138.72649999999999</v>
      </c>
      <c r="M7675">
        <v>0.99971679999999996</v>
      </c>
      <c r="N7675">
        <v>-1.0086639999999999E-2</v>
      </c>
      <c r="O7675">
        <v>2.1560909999999999E-2</v>
      </c>
      <c r="P7675">
        <v>0.99375970000000002</v>
      </c>
      <c r="Q7675">
        <v>-0.10910739999999899</v>
      </c>
      <c r="R7675">
        <v>2.3184400000000001E-2</v>
      </c>
      <c r="S7675">
        <v>2.9768520000000001</v>
      </c>
      <c r="T7675">
        <v>-0.35463509999999998</v>
      </c>
      <c r="U7675">
        <v>0.12872310000000001</v>
      </c>
      <c r="V7675">
        <v>-1.73836E-3</v>
      </c>
      <c r="W7675">
        <v>-9.9075640000000006E-2</v>
      </c>
      <c r="X7675">
        <v>0.99507840000000003</v>
      </c>
      <c r="Y7675">
        <v>-2.161099E-2</v>
      </c>
      <c r="Z7675">
        <v>-9.4957250000000004E-4</v>
      </c>
      <c r="AA7675">
        <v>0.99976600000000004</v>
      </c>
      <c r="AB7675">
        <v>21</v>
      </c>
      <c r="AC7675">
        <v>0.60189999999999999</v>
      </c>
      <c r="AD7675">
        <v>-0.103528</v>
      </c>
      <c r="AE7675">
        <v>3.1499999999993998E-2</v>
      </c>
      <c r="AF7675">
        <v>-1.7983911478332198E-2</v>
      </c>
      <c r="AG7675">
        <v>-0.103528</v>
      </c>
      <c r="AH7675">
        <v>0.58517435615315205</v>
      </c>
      <c r="AI7675">
        <v>100.028211709323</v>
      </c>
      <c r="AJ7675">
        <v>91.760292463113899</v>
      </c>
      <c r="AK7675">
        <v>0.59453384677015397</v>
      </c>
      <c r="AL7675">
        <v>95.685944139661899</v>
      </c>
      <c r="AM7675">
        <v>90.100093208687895</v>
      </c>
      <c r="AN7675">
        <v>1.0000000132417199</v>
      </c>
    </row>
    <row r="7676" spans="1:40" x14ac:dyDescent="0.25">
      <c r="A7676" t="str">
        <f>"20190303154714864"</f>
        <v>20190303154714864</v>
      </c>
      <c r="B7676" t="str">
        <f>"1551599234859436"</f>
        <v>1551599234859436</v>
      </c>
      <c r="C7676" t="s">
        <v>40</v>
      </c>
      <c r="D7676">
        <v>5.5510109999999999</v>
      </c>
      <c r="E7676">
        <v>0.48294389999999998</v>
      </c>
      <c r="F7676" t="s">
        <v>42</v>
      </c>
      <c r="G7676">
        <v>-153.02029999999999</v>
      </c>
      <c r="H7676">
        <v>1.0254719999999999</v>
      </c>
      <c r="I7676">
        <v>138.76349999999999</v>
      </c>
      <c r="J7676">
        <v>-153.5325</v>
      </c>
      <c r="K7676">
        <v>1.1203730000000001</v>
      </c>
      <c r="L7676">
        <v>138.73269999999999</v>
      </c>
      <c r="M7676">
        <v>0.99971840000000001</v>
      </c>
      <c r="N7676">
        <v>-9.6880400000000002E-3</v>
      </c>
      <c r="O7676">
        <v>2.165974E-2</v>
      </c>
      <c r="P7676">
        <v>0.99390889999999998</v>
      </c>
      <c r="Q7676">
        <v>-0.10781780000000001</v>
      </c>
      <c r="R7676">
        <v>2.2819430000000002E-2</v>
      </c>
      <c r="S7676">
        <v>2.9764249999999999</v>
      </c>
      <c r="T7676">
        <v>-0.35671310000000001</v>
      </c>
      <c r="U7676">
        <v>0.139267</v>
      </c>
      <c r="V7676">
        <v>-1.2896069999999999E-3</v>
      </c>
      <c r="W7676">
        <v>-9.8181169999999998E-2</v>
      </c>
      <c r="X7676">
        <v>0.99516769999999999</v>
      </c>
      <c r="Y7676">
        <v>-2.5028180000000001E-2</v>
      </c>
      <c r="Z7676">
        <v>-7.6023849999999995E-4</v>
      </c>
      <c r="AA7676">
        <v>0.99968650000000003</v>
      </c>
      <c r="AB7676">
        <v>21</v>
      </c>
      <c r="AC7676">
        <v>0.51220000000000698</v>
      </c>
      <c r="AD7676">
        <v>-9.4901000000000096E-2</v>
      </c>
      <c r="AE7676">
        <v>3.07999999999992E-2</v>
      </c>
      <c r="AF7676">
        <v>-1.9046635408166899E-2</v>
      </c>
      <c r="AG7676">
        <v>-9.4901000000000096E-2</v>
      </c>
      <c r="AH7676">
        <v>0.49578833200662598</v>
      </c>
      <c r="AI7676">
        <v>100.82836086034099</v>
      </c>
      <c r="AJ7676">
        <v>92.200042566886694</v>
      </c>
      <c r="AK7676">
        <v>0.50514853684365302</v>
      </c>
      <c r="AL7676">
        <v>95.634443881800607</v>
      </c>
      <c r="AM7676">
        <v>90.074247784539693</v>
      </c>
      <c r="AN7676">
        <v>0.99999997817603603</v>
      </c>
    </row>
    <row r="7677" spans="1:40" x14ac:dyDescent="0.25">
      <c r="A7677" t="str">
        <f>"20190303154714891"</f>
        <v>20190303154714891</v>
      </c>
      <c r="B7677" t="str">
        <f>"1551599234879932"</f>
        <v>1551599234879932</v>
      </c>
      <c r="C7677" t="s">
        <v>40</v>
      </c>
      <c r="D7677">
        <v>5.5478239999999897</v>
      </c>
      <c r="E7677">
        <v>0.482825</v>
      </c>
      <c r="F7677" t="s">
        <v>42</v>
      </c>
      <c r="G7677">
        <v>-152.65819999999999</v>
      </c>
      <c r="H7677">
        <v>1.0017430000000001</v>
      </c>
      <c r="I7677">
        <v>138.79239999999999</v>
      </c>
      <c r="J7677">
        <v>-153.2687</v>
      </c>
      <c r="K7677">
        <v>1.120285</v>
      </c>
      <c r="L7677">
        <v>138.73840000000001</v>
      </c>
      <c r="M7677">
        <v>0.99972329999999998</v>
      </c>
      <c r="N7677">
        <v>-9.3719960000000005E-3</v>
      </c>
      <c r="O7677">
        <v>2.1580370000000001E-2</v>
      </c>
      <c r="P7677">
        <v>0.99411539999999998</v>
      </c>
      <c r="Q7677">
        <v>-0.1059156</v>
      </c>
      <c r="R7677">
        <v>2.2735640000000001E-2</v>
      </c>
      <c r="S7677">
        <v>2.9700009999999999</v>
      </c>
      <c r="T7677">
        <v>-0.4030416</v>
      </c>
      <c r="U7677">
        <v>0.20307919999999999</v>
      </c>
      <c r="V7677">
        <v>-1.298352E-3</v>
      </c>
      <c r="W7677">
        <v>-9.6591419999999997E-2</v>
      </c>
      <c r="X7677">
        <v>0.99532319999999996</v>
      </c>
      <c r="Y7677">
        <v>-4.6388470000000001E-2</v>
      </c>
      <c r="Z7677">
        <v>6.383669E-4</v>
      </c>
      <c r="AA7677">
        <v>0.99892320000000001</v>
      </c>
      <c r="AB7677">
        <v>21</v>
      </c>
      <c r="AC7677">
        <v>0.61050000000000104</v>
      </c>
      <c r="AD7677">
        <v>-0.118541999999999</v>
      </c>
      <c r="AE7677">
        <v>5.3999999999973597E-2</v>
      </c>
      <c r="AF7677">
        <v>-3.9340306378785897E-2</v>
      </c>
      <c r="AG7677">
        <v>-0.118541999999999</v>
      </c>
      <c r="AH7677">
        <v>0.58947104786601201</v>
      </c>
      <c r="AI7677">
        <v>101.34587984579601</v>
      </c>
      <c r="AJ7677">
        <v>93.818161981730995</v>
      </c>
      <c r="AK7677">
        <v>0.60255786588694604</v>
      </c>
      <c r="AL7677">
        <v>95.542923139887804</v>
      </c>
      <c r="AM7677">
        <v>90.074739589842196</v>
      </c>
      <c r="AN7677">
        <v>0.99999993029688306</v>
      </c>
    </row>
    <row r="7678" spans="1:40" x14ac:dyDescent="0.25">
      <c r="A7678" t="str">
        <f>"20190303154714917"</f>
        <v>20190303154714917</v>
      </c>
      <c r="B7678" t="str">
        <f>"1551599234909212"</f>
        <v>1551599234909212</v>
      </c>
      <c r="C7678" t="s">
        <v>40</v>
      </c>
      <c r="D7678">
        <v>5.5544339999999996</v>
      </c>
      <c r="E7678">
        <v>0.48291580000000001</v>
      </c>
      <c r="F7678" t="s">
        <v>42</v>
      </c>
      <c r="G7678">
        <v>-152.4648</v>
      </c>
      <c r="H7678">
        <v>1.0123899999999999</v>
      </c>
      <c r="I7678">
        <v>138.79349999999999</v>
      </c>
      <c r="J7678">
        <v>-153.0342</v>
      </c>
      <c r="K7678">
        <v>1.1202080000000001</v>
      </c>
      <c r="L7678">
        <v>138.7433</v>
      </c>
      <c r="M7678">
        <v>0.9997298</v>
      </c>
      <c r="N7678">
        <v>-9.1299169999999995E-3</v>
      </c>
      <c r="O7678">
        <v>2.1375249999999998E-2</v>
      </c>
      <c r="P7678">
        <v>0.99417120000000003</v>
      </c>
      <c r="Q7678">
        <v>-0.1054047</v>
      </c>
      <c r="R7678">
        <v>2.2659599999999998E-2</v>
      </c>
      <c r="S7678">
        <v>2.970612</v>
      </c>
      <c r="T7678">
        <v>-0.39871869999999998</v>
      </c>
      <c r="U7678">
        <v>0.2037506</v>
      </c>
      <c r="V7678">
        <v>-1.442196E-3</v>
      </c>
      <c r="W7678">
        <v>-9.6320719999999999E-2</v>
      </c>
      <c r="X7678">
        <v>0.99534929999999999</v>
      </c>
      <c r="Y7678">
        <v>-4.6805560000000003E-2</v>
      </c>
      <c r="Z7678">
        <v>6.8039520000000005E-4</v>
      </c>
      <c r="AA7678">
        <v>0.99890380000000001</v>
      </c>
      <c r="AB7678">
        <v>21</v>
      </c>
      <c r="AC7678">
        <v>0.56940000000000102</v>
      </c>
      <c r="AD7678">
        <v>-0.107818</v>
      </c>
      <c r="AE7678">
        <v>5.0199999999989503E-2</v>
      </c>
      <c r="AF7678">
        <v>-3.6710845474313497E-2</v>
      </c>
      <c r="AG7678">
        <v>-0.107818</v>
      </c>
      <c r="AH7678">
        <v>0.55074829632629096</v>
      </c>
      <c r="AI7678">
        <v>101.052584134648</v>
      </c>
      <c r="AJ7678">
        <v>93.813483683260799</v>
      </c>
      <c r="AK7678">
        <v>0.56240207432561196</v>
      </c>
      <c r="AL7678">
        <v>95.527340154362193</v>
      </c>
      <c r="AM7678">
        <v>90.0830177769801</v>
      </c>
      <c r="AN7678">
        <v>0.99999999502055503</v>
      </c>
    </row>
    <row r="7679" spans="1:40" x14ac:dyDescent="0.25">
      <c r="A7679" t="str">
        <f>"20190303154714938"</f>
        <v>20190303154714938</v>
      </c>
      <c r="B7679" t="str">
        <f>"1551599234929707"</f>
        <v>1551599234929707</v>
      </c>
      <c r="C7679" t="s">
        <v>40</v>
      </c>
      <c r="D7679">
        <v>5.5542369999999996</v>
      </c>
      <c r="E7679">
        <v>0.48311229999999999</v>
      </c>
      <c r="F7679" t="s">
        <v>42</v>
      </c>
      <c r="G7679">
        <v>-152.27340000000001</v>
      </c>
      <c r="H7679">
        <v>1.0165390000000001</v>
      </c>
      <c r="I7679">
        <v>138.79499999999999</v>
      </c>
      <c r="J7679">
        <v>-152.82759999999999</v>
      </c>
      <c r="K7679">
        <v>1.1201299999999901</v>
      </c>
      <c r="L7679">
        <v>138.7474</v>
      </c>
      <c r="M7679">
        <v>0.99973840000000003</v>
      </c>
      <c r="N7679">
        <v>-8.9453139999999993E-3</v>
      </c>
      <c r="O7679">
        <v>2.1055839999999999E-2</v>
      </c>
      <c r="P7679">
        <v>0.99430289999999999</v>
      </c>
      <c r="Q7679">
        <v>-0.10436230000000001</v>
      </c>
      <c r="R7679">
        <v>2.169722E-2</v>
      </c>
      <c r="S7679">
        <v>2.970062</v>
      </c>
      <c r="T7679">
        <v>-0.4047366</v>
      </c>
      <c r="U7679">
        <v>0.20252990000000001</v>
      </c>
      <c r="V7679">
        <v>-8.1244300000000004E-4</v>
      </c>
      <c r="W7679">
        <v>-9.5461199999999996E-2</v>
      </c>
      <c r="X7679">
        <v>0.99543280000000001</v>
      </c>
      <c r="Y7679">
        <v>-4.6720270000000001E-2</v>
      </c>
      <c r="Z7679">
        <v>7.1048270000000004E-4</v>
      </c>
      <c r="AA7679">
        <v>0.99890769999999995</v>
      </c>
      <c r="AB7679">
        <v>21</v>
      </c>
      <c r="AC7679">
        <v>0.55419999999998004</v>
      </c>
      <c r="AD7679">
        <v>-0.103591</v>
      </c>
      <c r="AE7679">
        <v>4.7599999999988499E-2</v>
      </c>
      <c r="AF7679">
        <v>-3.47157804141877E-2</v>
      </c>
      <c r="AG7679">
        <v>-0.103591</v>
      </c>
      <c r="AH7679">
        <v>0.536472836217046</v>
      </c>
      <c r="AI7679">
        <v>100.906837695219</v>
      </c>
      <c r="AJ7679">
        <v>93.702514072193495</v>
      </c>
      <c r="AK7679">
        <v>0.54748459767333002</v>
      </c>
      <c r="AL7679">
        <v>95.477865378586898</v>
      </c>
      <c r="AM7679">
        <v>90.046763121185904</v>
      </c>
      <c r="AN7679">
        <v>0.99999998004245305</v>
      </c>
    </row>
    <row r="7680" spans="1:40" x14ac:dyDescent="0.25">
      <c r="A7680" t="str">
        <f>"20190303154714961"</f>
        <v>20190303154714961</v>
      </c>
      <c r="B7680" t="str">
        <f>"1551599234949228"</f>
        <v>1551599234949228</v>
      </c>
      <c r="C7680" t="s">
        <v>40</v>
      </c>
      <c r="D7680">
        <v>5.6026499999999997</v>
      </c>
      <c r="E7680">
        <v>0.48277599999999998</v>
      </c>
      <c r="F7680" t="s">
        <v>42</v>
      </c>
      <c r="G7680">
        <v>-152.08250000000001</v>
      </c>
      <c r="H7680">
        <v>1.018815</v>
      </c>
      <c r="I7680">
        <v>138.797</v>
      </c>
      <c r="J7680">
        <v>-152.60990000000001</v>
      </c>
      <c r="K7680">
        <v>1.1200330000000001</v>
      </c>
      <c r="L7680">
        <v>138.7516</v>
      </c>
      <c r="M7680">
        <v>0.99975009999999997</v>
      </c>
      <c r="N7680">
        <v>-8.7756699999999993E-3</v>
      </c>
      <c r="O7680">
        <v>2.0566310000000001E-2</v>
      </c>
      <c r="P7680">
        <v>0.99439920000000004</v>
      </c>
      <c r="Q7680">
        <v>-0.1036924</v>
      </c>
      <c r="R7680">
        <v>2.0449200000000001E-2</v>
      </c>
      <c r="S7680">
        <v>2.9704739999999998</v>
      </c>
      <c r="T7680">
        <v>-0.40395769999999998</v>
      </c>
      <c r="U7680">
        <v>0.19799800000000001</v>
      </c>
      <c r="V7680" s="1">
        <v>-7.1847520000000001E-5</v>
      </c>
      <c r="W7680">
        <v>-9.4959950000000001E-2</v>
      </c>
      <c r="X7680">
        <v>0.99548110000000001</v>
      </c>
      <c r="Y7680">
        <v>-4.569107E-2</v>
      </c>
      <c r="Z7680">
        <v>6.9006089999999905E-4</v>
      </c>
      <c r="AA7680">
        <v>0.99895540000000005</v>
      </c>
      <c r="AB7680">
        <v>21</v>
      </c>
      <c r="AC7680">
        <v>0.52739999999999998</v>
      </c>
      <c r="AD7680">
        <v>-0.101218</v>
      </c>
      <c r="AE7680">
        <v>4.5400000000000697E-2</v>
      </c>
      <c r="AF7680">
        <v>-3.33248869409477E-2</v>
      </c>
      <c r="AG7680">
        <v>-0.101218</v>
      </c>
      <c r="AH7680">
        <v>0.50959058199535101</v>
      </c>
      <c r="AI7680">
        <v>101.21088456421001</v>
      </c>
      <c r="AJ7680">
        <v>93.741553615389606</v>
      </c>
      <c r="AK7680">
        <v>0.52061328533950002</v>
      </c>
      <c r="AL7680">
        <v>95.449014647003395</v>
      </c>
      <c r="AM7680">
        <v>90.004135246422393</v>
      </c>
      <c r="AN7680">
        <v>1.0000000088616301</v>
      </c>
    </row>
    <row r="7681" spans="1:40" x14ac:dyDescent="0.25">
      <c r="A7681" t="str">
        <f>"20190303154714984"</f>
        <v>20190303154714984</v>
      </c>
      <c r="B7681" t="str">
        <f>"1551599234979484"</f>
        <v>1551599234979484</v>
      </c>
      <c r="C7681" t="s">
        <v>40</v>
      </c>
      <c r="D7681">
        <v>5.6145769999999997</v>
      </c>
      <c r="E7681">
        <v>0.48245090000000002</v>
      </c>
      <c r="F7681" t="s">
        <v>42</v>
      </c>
      <c r="G7681">
        <v>-151.8904</v>
      </c>
      <c r="H7681">
        <v>1.0217160000000001</v>
      </c>
      <c r="I7681">
        <v>138.79910000000001</v>
      </c>
      <c r="J7681">
        <v>-152.39779999999999</v>
      </c>
      <c r="K7681">
        <v>1.1199220000000001</v>
      </c>
      <c r="L7681">
        <v>138.75530000000001</v>
      </c>
      <c r="M7681">
        <v>0.9997644</v>
      </c>
      <c r="N7681">
        <v>-8.6351280000000006E-3</v>
      </c>
      <c r="O7681">
        <v>1.9921149999999999E-2</v>
      </c>
      <c r="P7681">
        <v>0.9944906</v>
      </c>
      <c r="Q7681">
        <v>-0.10322720000000001</v>
      </c>
      <c r="R7681">
        <v>1.8248500000000001E-2</v>
      </c>
      <c r="S7681">
        <v>2.9705349999999999</v>
      </c>
      <c r="T7681">
        <v>-0.4059294</v>
      </c>
      <c r="U7681">
        <v>0.1965942</v>
      </c>
      <c r="V7681">
        <v>1.4641999999999999E-3</v>
      </c>
      <c r="W7681">
        <v>-9.4635960000000005E-2</v>
      </c>
      <c r="X7681">
        <v>0.99551089999999998</v>
      </c>
      <c r="Y7681">
        <v>-4.5855800000000002E-2</v>
      </c>
      <c r="Z7681">
        <v>7.7942270000000001E-4</v>
      </c>
      <c r="AA7681">
        <v>0.99894769999999999</v>
      </c>
      <c r="AB7681">
        <v>21</v>
      </c>
      <c r="AC7681">
        <v>0.50739999999998897</v>
      </c>
      <c r="AD7681">
        <v>-9.8205999999999793E-2</v>
      </c>
      <c r="AE7681">
        <v>4.3800000000004502E-2</v>
      </c>
      <c r="AF7681">
        <v>-3.2475389879940898E-2</v>
      </c>
      <c r="AG7681">
        <v>-9.8205999999999793E-2</v>
      </c>
      <c r="AH7681">
        <v>0.48995365956622899</v>
      </c>
      <c r="AI7681">
        <v>101.30996038296099</v>
      </c>
      <c r="AJ7681">
        <v>93.792164785006094</v>
      </c>
      <c r="AK7681">
        <v>0.50075309076050101</v>
      </c>
      <c r="AL7681">
        <v>95.430367292887993</v>
      </c>
      <c r="AM7681">
        <v>89.915729280443401</v>
      </c>
      <c r="AN7681">
        <v>1.0000000304127801</v>
      </c>
    </row>
    <row r="7682" spans="1:40" x14ac:dyDescent="0.25">
      <c r="A7682" t="str">
        <f>"20190303154715006"</f>
        <v>20190303154715006</v>
      </c>
      <c r="B7682" t="str">
        <f>"1551599234999979"</f>
        <v>1551599234999979</v>
      </c>
      <c r="C7682" t="s">
        <v>40</v>
      </c>
      <c r="D7682">
        <v>5.586684</v>
      </c>
      <c r="E7682">
        <v>0.48184660000000001</v>
      </c>
      <c r="F7682" t="s">
        <v>42</v>
      </c>
      <c r="G7682">
        <v>-151.5205</v>
      </c>
      <c r="H7682">
        <v>0.99908790000000003</v>
      </c>
      <c r="I7682">
        <v>138.81190000000001</v>
      </c>
      <c r="J7682">
        <v>-152.1746</v>
      </c>
      <c r="K7682">
        <v>1.1197979999999901</v>
      </c>
      <c r="L7682">
        <v>138.75880000000001</v>
      </c>
      <c r="M7682">
        <v>0.9997817</v>
      </c>
      <c r="N7682">
        <v>-8.5136139999999992E-3</v>
      </c>
      <c r="O7682">
        <v>1.908464E-2</v>
      </c>
      <c r="P7682">
        <v>0.99451849999999997</v>
      </c>
      <c r="Q7682">
        <v>-0.1033704</v>
      </c>
      <c r="R7682">
        <v>1.5737890000000001E-2</v>
      </c>
      <c r="S7682">
        <v>2.970612</v>
      </c>
      <c r="T7682">
        <v>-0.40917959999999998</v>
      </c>
      <c r="U7682">
        <v>0.19238279999999999</v>
      </c>
      <c r="V7682">
        <v>3.1174050000000002E-3</v>
      </c>
      <c r="W7682">
        <v>-9.4903039999999994E-2</v>
      </c>
      <c r="X7682">
        <v>0.99548159999999997</v>
      </c>
      <c r="Y7682">
        <v>-4.5275080000000002E-2</v>
      </c>
      <c r="Z7682">
        <v>8.4262569999999997E-4</v>
      </c>
      <c r="AA7682">
        <v>0.99897420000000003</v>
      </c>
      <c r="AB7682">
        <v>21</v>
      </c>
      <c r="AC7682">
        <v>0.65409999999999902</v>
      </c>
      <c r="AD7682">
        <v>-0.120710099999999</v>
      </c>
      <c r="AE7682">
        <v>5.3100000000000501E-2</v>
      </c>
      <c r="AF7682">
        <v>-3.9277713465160402E-2</v>
      </c>
      <c r="AG7682">
        <v>-0.120710099999999</v>
      </c>
      <c r="AH7682">
        <v>0.63355881551619997</v>
      </c>
      <c r="AI7682">
        <v>100.766924017658</v>
      </c>
      <c r="AJ7682">
        <v>93.547532831229901</v>
      </c>
      <c r="AK7682">
        <v>0.64615047762526001</v>
      </c>
      <c r="AL7682">
        <v>95.445739415192904</v>
      </c>
      <c r="AM7682">
        <v>89.820575723681301</v>
      </c>
      <c r="AN7682">
        <v>0.99999996057686602</v>
      </c>
    </row>
    <row r="7683" spans="1:40" x14ac:dyDescent="0.25">
      <c r="A7683" t="str">
        <f>"20190303154715031"</f>
        <v>20190303154715031</v>
      </c>
      <c r="B7683" t="str">
        <f>"1551599235020476"</f>
        <v>1551599235020476</v>
      </c>
      <c r="C7683" t="s">
        <v>40</v>
      </c>
      <c r="D7683">
        <v>5.6060480000000004</v>
      </c>
      <c r="E7683">
        <v>0.48187259999999998</v>
      </c>
      <c r="F7683" t="s">
        <v>42</v>
      </c>
      <c r="G7683">
        <v>-151.32660000000001</v>
      </c>
      <c r="H7683">
        <v>1.002818</v>
      </c>
      <c r="I7683">
        <v>138.81290000000001</v>
      </c>
      <c r="J7683">
        <v>-151.94970000000001</v>
      </c>
      <c r="K7683">
        <v>1.119705</v>
      </c>
      <c r="L7683">
        <v>138.7621</v>
      </c>
      <c r="M7683">
        <v>0.99980049999999998</v>
      </c>
      <c r="N7683">
        <v>-8.4150960000000004E-3</v>
      </c>
      <c r="O7683">
        <v>1.8110080000000001E-2</v>
      </c>
      <c r="P7683">
        <v>0.99456290000000003</v>
      </c>
      <c r="Q7683">
        <v>-0.1033314</v>
      </c>
      <c r="R7683">
        <v>1.29211E-2</v>
      </c>
      <c r="S7683">
        <v>2.9709319999999999</v>
      </c>
      <c r="T7683">
        <v>-0.4098523</v>
      </c>
      <c r="U7683">
        <v>0.18974299999999999</v>
      </c>
      <c r="V7683">
        <v>4.9443050000000004E-3</v>
      </c>
      <c r="W7683">
        <v>-9.4965720000000003E-2</v>
      </c>
      <c r="X7683">
        <v>0.99546829999999997</v>
      </c>
      <c r="Y7683">
        <v>-4.534879E-2</v>
      </c>
      <c r="Z7683">
        <v>9.7008689999999998E-4</v>
      </c>
      <c r="AA7683">
        <v>0.99897069999999999</v>
      </c>
      <c r="AB7683">
        <v>21</v>
      </c>
      <c r="AC7683">
        <v>0.62309999999999299</v>
      </c>
      <c r="AD7683">
        <v>-0.11688699999999901</v>
      </c>
      <c r="AE7683">
        <v>5.0800000000009497E-2</v>
      </c>
      <c r="AF7683">
        <v>-3.8172464560525997E-2</v>
      </c>
      <c r="AG7683">
        <v>-0.11688699999999901</v>
      </c>
      <c r="AH7683">
        <v>0.60284393852468898</v>
      </c>
      <c r="AI7683">
        <v>100.951671670237</v>
      </c>
      <c r="AJ7683">
        <v>93.623168278536198</v>
      </c>
      <c r="AK7683">
        <v>0.61525646850365001</v>
      </c>
      <c r="AL7683">
        <v>95.449346600408404</v>
      </c>
      <c r="AM7683">
        <v>89.715424911408704</v>
      </c>
      <c r="AN7683">
        <v>1.0000000352159699</v>
      </c>
    </row>
    <row r="7684" spans="1:40" x14ac:dyDescent="0.25">
      <c r="A7684" t="str">
        <f>"20190303154715064"</f>
        <v>20190303154715064</v>
      </c>
      <c r="B7684" t="str">
        <f>"1551599235059516"</f>
        <v>1551599235059516</v>
      </c>
      <c r="C7684" t="s">
        <v>40</v>
      </c>
      <c r="D7684">
        <v>5.5775699999999997</v>
      </c>
      <c r="E7684">
        <v>0.48229880000000003</v>
      </c>
      <c r="F7684" t="s">
        <v>42</v>
      </c>
      <c r="G7684">
        <v>-151.13210000000001</v>
      </c>
      <c r="H7684">
        <v>1.0063799999999901</v>
      </c>
      <c r="I7684">
        <v>138.8117</v>
      </c>
      <c r="J7684">
        <v>-151.62119999999999</v>
      </c>
      <c r="K7684">
        <v>1.119588</v>
      </c>
      <c r="L7684">
        <v>138.7662</v>
      </c>
      <c r="M7684">
        <v>0.99982979999999999</v>
      </c>
      <c r="N7684">
        <v>-8.3069800000000003E-3</v>
      </c>
      <c r="O7684">
        <v>1.6469810000000001E-2</v>
      </c>
      <c r="P7684">
        <v>0.9945117</v>
      </c>
      <c r="Q7684">
        <v>-0.1040983</v>
      </c>
      <c r="R7684">
        <v>1.0480410000000001E-2</v>
      </c>
      <c r="S7684">
        <v>2.9712679999999998</v>
      </c>
      <c r="T7684">
        <v>-0.41180090000000003</v>
      </c>
      <c r="U7684">
        <v>0.18099979999999999</v>
      </c>
      <c r="V7684">
        <v>5.7281040000000004E-3</v>
      </c>
      <c r="W7684">
        <v>-9.5843520000000001E-2</v>
      </c>
      <c r="X7684">
        <v>0.99537989999999998</v>
      </c>
      <c r="Y7684">
        <v>-4.4049520000000002E-2</v>
      </c>
      <c r="Z7684">
        <v>1.086037E-3</v>
      </c>
      <c r="AA7684">
        <v>0.99902869999999999</v>
      </c>
      <c r="AB7684">
        <v>21</v>
      </c>
      <c r="AC7684">
        <v>0.489099999999979</v>
      </c>
      <c r="AD7684">
        <v>-0.113208</v>
      </c>
      <c r="AE7684">
        <v>4.5500000000004003E-2</v>
      </c>
      <c r="AF7684">
        <v>-3.55499334590531E-2</v>
      </c>
      <c r="AG7684">
        <v>-0.113208</v>
      </c>
      <c r="AH7684">
        <v>0.46508034822174898</v>
      </c>
      <c r="AI7684">
        <v>103.64234892378801</v>
      </c>
      <c r="AJ7684">
        <v>94.3710898774426</v>
      </c>
      <c r="AK7684">
        <v>0.47997872800261299</v>
      </c>
      <c r="AL7684">
        <v>95.499871668674601</v>
      </c>
      <c r="AM7684">
        <v>89.670284118672498</v>
      </c>
      <c r="AN7684">
        <v>0.99999996841271699</v>
      </c>
    </row>
    <row r="7685" spans="1:40" x14ac:dyDescent="0.25">
      <c r="A7685" t="str">
        <f>"20190303154715096"</f>
        <v>20190303154715096</v>
      </c>
      <c r="B7685" t="str">
        <f>"1551599235089772"</f>
        <v>1551599235089772</v>
      </c>
      <c r="C7685" t="s">
        <v>40</v>
      </c>
      <c r="D7685">
        <v>5.7020799999999996</v>
      </c>
      <c r="E7685">
        <v>0.5116174</v>
      </c>
      <c r="F7685" t="s">
        <v>42</v>
      </c>
      <c r="G7685">
        <v>-150.74860000000001</v>
      </c>
      <c r="H7685">
        <v>0.99768659999999998</v>
      </c>
      <c r="I7685">
        <v>138.816</v>
      </c>
      <c r="J7685">
        <v>-151.3066</v>
      </c>
      <c r="K7685">
        <v>1.119502</v>
      </c>
      <c r="L7685">
        <v>138.76929999999999</v>
      </c>
      <c r="M7685">
        <v>0.99985860000000004</v>
      </c>
      <c r="N7685">
        <v>-8.2313939999999995E-3</v>
      </c>
      <c r="O7685">
        <v>1.467394E-2</v>
      </c>
      <c r="P7685">
        <v>0.99448320000000001</v>
      </c>
      <c r="Q7685">
        <v>-0.104489899999999</v>
      </c>
      <c r="R7685">
        <v>9.2537220000000007E-3</v>
      </c>
      <c r="S7685">
        <v>2.9713129999999999</v>
      </c>
      <c r="T7685">
        <v>-0.41509889999999999</v>
      </c>
      <c r="U7685">
        <v>0.1700287</v>
      </c>
      <c r="V7685">
        <v>5.150048E-3</v>
      </c>
      <c r="W7685">
        <v>-9.6310469999999995E-2</v>
      </c>
      <c r="X7685">
        <v>0.99533799999999995</v>
      </c>
      <c r="Y7685">
        <v>-4.216665E-2</v>
      </c>
      <c r="Z7685">
        <v>1.185363E-3</v>
      </c>
      <c r="AA7685">
        <v>0.9991099</v>
      </c>
      <c r="AB7685">
        <v>22</v>
      </c>
      <c r="AC7685">
        <v>0.55799999999999195</v>
      </c>
      <c r="AD7685">
        <v>-0.1218154</v>
      </c>
      <c r="AE7685">
        <v>4.67000000000155E-2</v>
      </c>
      <c r="AF7685">
        <v>-3.6766601205023501E-2</v>
      </c>
      <c r="AG7685">
        <v>-0.1218154</v>
      </c>
      <c r="AH7685">
        <v>0.53338208975429202</v>
      </c>
      <c r="AI7685">
        <v>102.835295812437</v>
      </c>
      <c r="AJ7685">
        <v>93.943222210668296</v>
      </c>
      <c r="AK7685">
        <v>0.548349549386142</v>
      </c>
      <c r="AL7685">
        <v>95.526750202048305</v>
      </c>
      <c r="AM7685">
        <v>89.703544543190006</v>
      </c>
      <c r="AN7685">
        <v>0.99999998193501105</v>
      </c>
    </row>
    <row r="7686" spans="1:40" x14ac:dyDescent="0.25">
      <c r="A7686" t="str">
        <f>"20190303154715117"</f>
        <v>20190303154715117</v>
      </c>
      <c r="B7686" t="str">
        <f>"1551599235109293"</f>
        <v>1551599235109293</v>
      </c>
      <c r="C7686" t="s">
        <v>40</v>
      </c>
      <c r="D7686">
        <v>5.677962</v>
      </c>
      <c r="E7686">
        <v>0.51799340000000005</v>
      </c>
      <c r="F7686" t="s">
        <v>42</v>
      </c>
      <c r="G7686">
        <v>-150.53790000000001</v>
      </c>
      <c r="H7686">
        <v>1.0319400000000001</v>
      </c>
      <c r="I7686">
        <v>138.75229999999999</v>
      </c>
      <c r="J7686">
        <v>-151.10130000000001</v>
      </c>
      <c r="K7686">
        <v>1.119456</v>
      </c>
      <c r="L7686">
        <v>138.77099999999999</v>
      </c>
      <c r="M7686">
        <v>0.9998764</v>
      </c>
      <c r="N7686">
        <v>-8.19154699999999E-3</v>
      </c>
      <c r="O7686">
        <v>1.342082E-2</v>
      </c>
      <c r="P7686">
        <v>0.99462969999999895</v>
      </c>
      <c r="Q7686">
        <v>-0.1030924</v>
      </c>
      <c r="R7686">
        <v>9.1519370000000006E-3</v>
      </c>
      <c r="S7686">
        <v>2.9815520000000002</v>
      </c>
      <c r="T7686">
        <v>-0.33969429999999901</v>
      </c>
      <c r="U7686">
        <v>-6.5551760000000001E-2</v>
      </c>
      <c r="V7686">
        <v>4.0006099999999999E-3</v>
      </c>
      <c r="W7686">
        <v>-9.4949699999999998E-2</v>
      </c>
      <c r="X7686">
        <v>0.99547399999999997</v>
      </c>
      <c r="Y7686">
        <v>3.507851E-2</v>
      </c>
      <c r="Z7686">
        <v>-3.550166E-3</v>
      </c>
      <c r="AA7686">
        <v>0.99937830000000005</v>
      </c>
      <c r="AB7686">
        <v>22</v>
      </c>
      <c r="AC7686">
        <v>0.56340000000000101</v>
      </c>
      <c r="AD7686">
        <v>-8.7516000000000094E-2</v>
      </c>
      <c r="AE7686">
        <v>-1.8700000000023899E-2</v>
      </c>
      <c r="AF7686">
        <v>2.5641825788351599E-2</v>
      </c>
      <c r="AG7686">
        <v>-8.7516000000000094E-2</v>
      </c>
      <c r="AH7686">
        <v>0.54984559450760095</v>
      </c>
      <c r="AI7686">
        <v>99.033949431693301</v>
      </c>
      <c r="AJ7686">
        <v>87.329969073163497</v>
      </c>
      <c r="AK7686">
        <v>0.55735691552646704</v>
      </c>
      <c r="AL7686">
        <v>95.448424925441401</v>
      </c>
      <c r="AM7686">
        <v>89.769741013350895</v>
      </c>
      <c r="AN7686">
        <v>0.99999996754322995</v>
      </c>
    </row>
    <row r="7687" spans="1:40" x14ac:dyDescent="0.25">
      <c r="A7687" t="str">
        <f>"20190303154715140"</f>
        <v>20190303154715140</v>
      </c>
      <c r="B7687" t="str">
        <f>"1551599235129788"</f>
        <v>1551599235129788</v>
      </c>
      <c r="C7687" t="s">
        <v>40</v>
      </c>
      <c r="D7687">
        <v>5.6716639999999998</v>
      </c>
      <c r="E7687">
        <v>0.51994010000000002</v>
      </c>
      <c r="F7687" t="s">
        <v>42</v>
      </c>
      <c r="G7687">
        <v>-150.33920000000001</v>
      </c>
      <c r="H7687">
        <v>1.0388269999999999</v>
      </c>
      <c r="I7687">
        <v>138.74109999999999</v>
      </c>
      <c r="J7687">
        <v>-150.87780000000001</v>
      </c>
      <c r="K7687">
        <v>1.119402</v>
      </c>
      <c r="L7687">
        <v>138.7724</v>
      </c>
      <c r="M7687">
        <v>0.99989490000000003</v>
      </c>
      <c r="N7687">
        <v>-8.1557750000000005E-3</v>
      </c>
      <c r="O7687">
        <v>1.19825E-2</v>
      </c>
      <c r="P7687">
        <v>0.99463330000000005</v>
      </c>
      <c r="Q7687">
        <v>-0.1031161</v>
      </c>
      <c r="R7687">
        <v>8.4660669999999903E-3</v>
      </c>
      <c r="S7687">
        <v>2.9845280000000001</v>
      </c>
      <c r="T7687">
        <v>-0.3158222</v>
      </c>
      <c r="U7687">
        <v>-0.1162415</v>
      </c>
      <c r="V7687">
        <v>3.2440120000000001E-3</v>
      </c>
      <c r="W7687">
        <v>-9.500778E-2</v>
      </c>
      <c r="X7687">
        <v>0.9954712</v>
      </c>
      <c r="Y7687">
        <v>5.0529060000000001E-2</v>
      </c>
      <c r="Z7687">
        <v>-4.0383900000000002E-3</v>
      </c>
      <c r="AA7687">
        <v>0.9987144</v>
      </c>
      <c r="AB7687">
        <v>22</v>
      </c>
      <c r="AC7687">
        <v>0.53860000000000197</v>
      </c>
      <c r="AD7687">
        <v>-8.0574999999999994E-2</v>
      </c>
      <c r="AE7687">
        <v>-3.1300000000015801E-2</v>
      </c>
      <c r="AF7687">
        <v>3.6928059029043302E-2</v>
      </c>
      <c r="AG7687">
        <v>-8.0574999999999994E-2</v>
      </c>
      <c r="AH7687">
        <v>0.52644389412156301</v>
      </c>
      <c r="AI7687">
        <v>98.6808843223168</v>
      </c>
      <c r="AJ7687">
        <v>85.987489143461602</v>
      </c>
      <c r="AK7687">
        <v>0.53385315005769896</v>
      </c>
      <c r="AL7687">
        <v>95.451767839832499</v>
      </c>
      <c r="AM7687">
        <v>89.813286875254306</v>
      </c>
      <c r="AN7687">
        <v>0.99999995595191105</v>
      </c>
    </row>
    <row r="7688" spans="1:40" x14ac:dyDescent="0.25">
      <c r="A7688" t="str">
        <f>"20190303154715163"</f>
        <v>20190303154715163</v>
      </c>
      <c r="B7688" t="str">
        <f>"1551599235159068"</f>
        <v>1551599235159068</v>
      </c>
      <c r="C7688" t="s">
        <v>40</v>
      </c>
      <c r="D7688">
        <v>5.6727339999999904</v>
      </c>
      <c r="E7688">
        <v>0.52113909999999997</v>
      </c>
      <c r="F7688" t="s">
        <v>42</v>
      </c>
      <c r="G7688">
        <v>-150.14080000000001</v>
      </c>
      <c r="H7688">
        <v>1.0440670000000001</v>
      </c>
      <c r="I7688">
        <v>138.73939999999999</v>
      </c>
      <c r="J7688">
        <v>-150.65309999999999</v>
      </c>
      <c r="K7688">
        <v>1.119337</v>
      </c>
      <c r="L7688">
        <v>138.77340000000001</v>
      </c>
      <c r="M7688">
        <v>0.99991240000000003</v>
      </c>
      <c r="N7688">
        <v>-8.1269689999999995E-3</v>
      </c>
      <c r="O7688">
        <v>1.0450600000000001E-2</v>
      </c>
      <c r="P7688">
        <v>0.99454600000000004</v>
      </c>
      <c r="Q7688">
        <v>-0.10402550000000001</v>
      </c>
      <c r="R7688">
        <v>7.5477159999999899E-3</v>
      </c>
      <c r="S7688">
        <v>2.985703</v>
      </c>
      <c r="T7688">
        <v>-0.30524119999999999</v>
      </c>
      <c r="U7688">
        <v>-0.133606</v>
      </c>
      <c r="V7688">
        <v>2.622372E-3</v>
      </c>
      <c r="W7688">
        <v>-9.5945630000000004E-2</v>
      </c>
      <c r="X7688">
        <v>0.99538309999999997</v>
      </c>
      <c r="Y7688">
        <v>5.4787990000000002E-2</v>
      </c>
      <c r="Z7688">
        <v>-3.9957760000000004E-3</v>
      </c>
      <c r="AA7688">
        <v>0.99848999999999999</v>
      </c>
      <c r="AB7688">
        <v>22</v>
      </c>
      <c r="AC7688">
        <v>0.51229999999998199</v>
      </c>
      <c r="AD7688">
        <v>-7.5269999999999906E-2</v>
      </c>
      <c r="AE7688">
        <v>-3.4000000000020202E-2</v>
      </c>
      <c r="AF7688">
        <v>3.8524182181222603E-2</v>
      </c>
      <c r="AG7688">
        <v>-7.5269999999999906E-2</v>
      </c>
      <c r="AH7688">
        <v>0.50114582605898705</v>
      </c>
      <c r="AI7688">
        <v>98.516979495475695</v>
      </c>
      <c r="AJ7688">
        <v>85.604192540711907</v>
      </c>
      <c r="AK7688">
        <v>0.50822910629860296</v>
      </c>
      <c r="AL7688">
        <v>95.505749173288606</v>
      </c>
      <c r="AM7688">
        <v>89.84905259061</v>
      </c>
      <c r="AN7688">
        <v>0.999999978258306</v>
      </c>
    </row>
    <row r="7689" spans="1:40" x14ac:dyDescent="0.25">
      <c r="A7689" t="str">
        <f>"20190303154715184"</f>
        <v>20190303154715184</v>
      </c>
      <c r="B7689" t="str">
        <f>"1551599235180072"</f>
        <v>1551599235180072</v>
      </c>
      <c r="C7689" t="s">
        <v>40</v>
      </c>
      <c r="D7689">
        <v>5.6991750000000003</v>
      </c>
      <c r="E7689">
        <v>0.52169079999999901</v>
      </c>
      <c r="F7689" t="s">
        <v>42</v>
      </c>
      <c r="G7689">
        <v>-149.7551</v>
      </c>
      <c r="H7689">
        <v>1.0277400000000001</v>
      </c>
      <c r="I7689">
        <v>138.7295</v>
      </c>
      <c r="J7689">
        <v>-150.43680000000001</v>
      </c>
      <c r="K7689">
        <v>1.1192740000000001</v>
      </c>
      <c r="L7689">
        <v>138.774</v>
      </c>
      <c r="M7689">
        <v>0.99992749999999997</v>
      </c>
      <c r="N7689">
        <v>-8.1043209999999994E-3</v>
      </c>
      <c r="O7689">
        <v>8.9054189999999995E-3</v>
      </c>
      <c r="P7689">
        <v>0.99454180000000003</v>
      </c>
      <c r="Q7689">
        <v>-0.1041168</v>
      </c>
      <c r="R7689">
        <v>6.823679E-3</v>
      </c>
      <c r="S7689">
        <v>2.985703</v>
      </c>
      <c r="T7689">
        <v>-0.3045484</v>
      </c>
      <c r="U7689">
        <v>-0.14590449999999999</v>
      </c>
      <c r="V7689">
        <v>1.7966359999999999E-3</v>
      </c>
      <c r="W7689">
        <v>-9.605785E-2</v>
      </c>
      <c r="X7689">
        <v>0.99537410000000004</v>
      </c>
      <c r="Y7689">
        <v>5.7342990000000003E-2</v>
      </c>
      <c r="Z7689">
        <v>-3.9819870000000002E-3</v>
      </c>
      <c r="AA7689">
        <v>0.99834659999999997</v>
      </c>
      <c r="AB7689">
        <v>22</v>
      </c>
      <c r="AC7689">
        <v>0.68170000000000597</v>
      </c>
      <c r="AD7689">
        <v>-9.1534000000000004E-2</v>
      </c>
      <c r="AE7689">
        <v>-4.4499999999999297E-2</v>
      </c>
      <c r="AF7689">
        <v>4.96774113900985E-2</v>
      </c>
      <c r="AG7689">
        <v>-9.1534000000000004E-2</v>
      </c>
      <c r="AH7689">
        <v>0.66926155926993403</v>
      </c>
      <c r="AI7689">
        <v>97.766841579107407</v>
      </c>
      <c r="AJ7689">
        <v>85.754879726112094</v>
      </c>
      <c r="AK7689">
        <v>0.67731628732435301</v>
      </c>
      <c r="AL7689">
        <v>95.512208794337496</v>
      </c>
      <c r="AM7689">
        <v>89.896582050577805</v>
      </c>
      <c r="AN7689">
        <v>0.99999996869917396</v>
      </c>
    </row>
    <row r="7690" spans="1:40" x14ac:dyDescent="0.25">
      <c r="A7690" t="str">
        <f>"20190303154715208"</f>
        <v>20190303154715208</v>
      </c>
      <c r="B7690" t="str">
        <f>"1551599235199592"</f>
        <v>1551599235199592</v>
      </c>
      <c r="C7690" t="s">
        <v>40</v>
      </c>
      <c r="D7690">
        <v>5.6756729999999997</v>
      </c>
      <c r="E7690">
        <v>0.52219070000000001</v>
      </c>
      <c r="F7690" t="s">
        <v>42</v>
      </c>
      <c r="G7690">
        <v>-149.5564</v>
      </c>
      <c r="H7690">
        <v>1.029785</v>
      </c>
      <c r="I7690">
        <v>138.72890000000001</v>
      </c>
      <c r="J7690">
        <v>-150.2123</v>
      </c>
      <c r="K7690">
        <v>1.1192169999999999</v>
      </c>
      <c r="L7690">
        <v>138.7741</v>
      </c>
      <c r="M7690">
        <v>0.99994119999999997</v>
      </c>
      <c r="N7690">
        <v>-8.0847009999999997E-3</v>
      </c>
      <c r="O7690">
        <v>7.2454729999999997E-3</v>
      </c>
      <c r="P7690">
        <v>0.99451820000000002</v>
      </c>
      <c r="Q7690">
        <v>-0.10440489999999999</v>
      </c>
      <c r="R7690">
        <v>5.7727419999999896E-3</v>
      </c>
      <c r="S7690">
        <v>2.9857330000000002</v>
      </c>
      <c r="T7690">
        <v>-0.30345939999999999</v>
      </c>
      <c r="U7690">
        <v>-0.15240479999999901</v>
      </c>
      <c r="V7690">
        <v>1.1855489999999999E-3</v>
      </c>
      <c r="W7690">
        <v>-9.6364340000000007E-2</v>
      </c>
      <c r="X7690">
        <v>0.99534540000000005</v>
      </c>
      <c r="Y7690">
        <v>5.7860229999999999E-2</v>
      </c>
      <c r="Z7690">
        <v>-3.8412699999999999E-3</v>
      </c>
      <c r="AA7690">
        <v>0.99831729999999996</v>
      </c>
      <c r="AB7690">
        <v>22</v>
      </c>
      <c r="AC7690">
        <v>0.65590000000000204</v>
      </c>
      <c r="AD7690">
        <v>-8.94319999999999E-2</v>
      </c>
      <c r="AE7690">
        <v>-4.5199999999994099E-2</v>
      </c>
      <c r="AF7690">
        <v>4.9043793828697599E-2</v>
      </c>
      <c r="AG7690">
        <v>-8.94319999999999E-2</v>
      </c>
      <c r="AH7690">
        <v>0.64364560288230599</v>
      </c>
      <c r="AI7690">
        <v>97.887798588086099</v>
      </c>
      <c r="AJ7690">
        <v>85.642659575562405</v>
      </c>
      <c r="AK7690">
        <v>0.65167709676406405</v>
      </c>
      <c r="AL7690">
        <v>95.529851168540404</v>
      </c>
      <c r="AM7690">
        <v>89.931755426826399</v>
      </c>
      <c r="AN7690">
        <v>0.99999997842561295</v>
      </c>
    </row>
    <row r="7691" spans="1:40" x14ac:dyDescent="0.25">
      <c r="A7691" t="str">
        <f>"20190303154715233"</f>
        <v>20190303154715233</v>
      </c>
      <c r="B7691" t="str">
        <f>"1551599235229848"</f>
        <v>1551599235229848</v>
      </c>
      <c r="C7691" t="s">
        <v>40</v>
      </c>
      <c r="D7691">
        <v>5.6786729999999999</v>
      </c>
      <c r="E7691">
        <v>0.52254650000000002</v>
      </c>
      <c r="F7691" t="s">
        <v>42</v>
      </c>
      <c r="G7691">
        <v>-149.35679999999999</v>
      </c>
      <c r="H7691">
        <v>1.032303</v>
      </c>
      <c r="I7691">
        <v>138.72829999999999</v>
      </c>
      <c r="J7691">
        <v>-149.96440000000001</v>
      </c>
      <c r="K7691">
        <v>1.1191679999999999</v>
      </c>
      <c r="L7691">
        <v>138.77369999999999</v>
      </c>
      <c r="M7691">
        <v>0.99995319999999999</v>
      </c>
      <c r="N7691">
        <v>-8.0666929999999998E-3</v>
      </c>
      <c r="O7691">
        <v>5.3519869999999999E-3</v>
      </c>
      <c r="P7691">
        <v>0.99446909999999999</v>
      </c>
      <c r="Q7691">
        <v>-0.104972</v>
      </c>
      <c r="R7691">
        <v>3.5240240000000002E-3</v>
      </c>
      <c r="S7691">
        <v>2.9856259999999999</v>
      </c>
      <c r="T7691">
        <v>-0.30332779999999998</v>
      </c>
      <c r="U7691">
        <v>-0.15946959999999999</v>
      </c>
      <c r="V7691">
        <v>1.541019E-3</v>
      </c>
      <c r="W7691">
        <v>-9.6950839999999996E-2</v>
      </c>
      <c r="X7691">
        <v>0.99528799999999995</v>
      </c>
      <c r="Y7691">
        <v>5.8333530000000001E-2</v>
      </c>
      <c r="Z7691">
        <v>-3.6885720000000002E-3</v>
      </c>
      <c r="AA7691">
        <v>0.99829040000000002</v>
      </c>
      <c r="AB7691">
        <v>22</v>
      </c>
      <c r="AC7691">
        <v>0.60760000000001901</v>
      </c>
      <c r="AD7691">
        <v>-8.6864999999999901E-2</v>
      </c>
      <c r="AE7691">
        <v>-4.5400000000000697E-2</v>
      </c>
      <c r="AF7691">
        <v>4.7682170068957197E-2</v>
      </c>
      <c r="AG7691">
        <v>-8.6864999999999901E-2</v>
      </c>
      <c r="AH7691">
        <v>0.59524970326302695</v>
      </c>
      <c r="AI7691">
        <v>98.276445621057604</v>
      </c>
      <c r="AJ7691">
        <v>85.420130392266998</v>
      </c>
      <c r="AK7691">
        <v>0.60344123724038401</v>
      </c>
      <c r="AL7691">
        <v>95.563612988209101</v>
      </c>
      <c r="AM7691">
        <v>89.911288175588794</v>
      </c>
      <c r="AN7691">
        <v>1.0000000215301299</v>
      </c>
    </row>
    <row r="7692" spans="1:40" x14ac:dyDescent="0.25">
      <c r="A7692" t="str">
        <f>"20190303154715260"</f>
        <v>20190303154715260</v>
      </c>
      <c r="B7692" t="str">
        <f>"1551599235249368"</f>
        <v>1551599235249368</v>
      </c>
      <c r="C7692" t="s">
        <v>40</v>
      </c>
      <c r="D7692">
        <v>5.6969789999999998</v>
      </c>
      <c r="E7692">
        <v>0.52278990000000003</v>
      </c>
      <c r="F7692" t="s">
        <v>42</v>
      </c>
      <c r="G7692">
        <v>-149.1559</v>
      </c>
      <c r="H7692">
        <v>1.0365249999999999</v>
      </c>
      <c r="I7692">
        <v>138.7278</v>
      </c>
      <c r="J7692">
        <v>-149.7003</v>
      </c>
      <c r="K7692">
        <v>1.11913</v>
      </c>
      <c r="L7692">
        <v>138.77279999999999</v>
      </c>
      <c r="M7692">
        <v>0.99996220000000002</v>
      </c>
      <c r="N7692">
        <v>-8.0511160000000005E-3</v>
      </c>
      <c r="O7692">
        <v>3.273233E-3</v>
      </c>
      <c r="P7692">
        <v>0.99436729999999995</v>
      </c>
      <c r="Q7692">
        <v>-0.10598639999999999</v>
      </c>
      <c r="R7692">
        <v>7.4709859999999996E-4</v>
      </c>
      <c r="S7692">
        <v>2.9850460000000001</v>
      </c>
      <c r="T7692">
        <v>-0.30511359999999998</v>
      </c>
      <c r="U7692">
        <v>-0.16911319999999999</v>
      </c>
      <c r="V7692">
        <v>2.2414499999999999E-3</v>
      </c>
      <c r="W7692">
        <v>-9.7983619999999993E-2</v>
      </c>
      <c r="X7692">
        <v>0.99518549999999995</v>
      </c>
      <c r="Y7692">
        <v>5.9482640000000003E-2</v>
      </c>
      <c r="Z7692">
        <v>-3.5771599999999998E-3</v>
      </c>
      <c r="AA7692">
        <v>0.99822290000000002</v>
      </c>
      <c r="AB7692">
        <v>22</v>
      </c>
      <c r="AC7692">
        <v>0.544399999999996</v>
      </c>
      <c r="AD7692">
        <v>-8.2604999999999998E-2</v>
      </c>
      <c r="AE7692">
        <v>-4.4999999999987397E-2</v>
      </c>
      <c r="AF7692">
        <v>4.5735898014884299E-2</v>
      </c>
      <c r="AG7692">
        <v>-8.2604999999999998E-2</v>
      </c>
      <c r="AH7692">
        <v>0.53208237647899803</v>
      </c>
      <c r="AI7692">
        <v>98.792724025370305</v>
      </c>
      <c r="AJ7692">
        <v>85.087135549185803</v>
      </c>
      <c r="AK7692">
        <v>0.54039523846141202</v>
      </c>
      <c r="AL7692">
        <v>95.623070155862905</v>
      </c>
      <c r="AM7692">
        <v>89.870953296817504</v>
      </c>
      <c r="AN7692">
        <v>0.99999999664832795</v>
      </c>
    </row>
    <row r="7693" spans="1:40" x14ac:dyDescent="0.25">
      <c r="A7693" t="str">
        <f>"20190303154715288"</f>
        <v>20190303154715288</v>
      </c>
      <c r="B7693" t="str">
        <f>"1551599235279625"</f>
        <v>1551599235279625</v>
      </c>
      <c r="C7693" t="s">
        <v>40</v>
      </c>
      <c r="D7693">
        <v>5.684196</v>
      </c>
      <c r="E7693">
        <v>0.52282229999999996</v>
      </c>
      <c r="F7693" t="s">
        <v>42</v>
      </c>
      <c r="G7693">
        <v>-148.9537</v>
      </c>
      <c r="H7693">
        <v>1.041941</v>
      </c>
      <c r="I7693">
        <v>138.7278</v>
      </c>
      <c r="J7693">
        <v>-149.41669999999999</v>
      </c>
      <c r="K7693">
        <v>1.1190979999999999</v>
      </c>
      <c r="L7693">
        <v>138.77099999999999</v>
      </c>
      <c r="M7693">
        <v>0.99996739999999995</v>
      </c>
      <c r="N7693">
        <v>-8.0314369999999902E-3</v>
      </c>
      <c r="O7693">
        <v>9.7926440000000001E-4</v>
      </c>
      <c r="P7693">
        <v>0.99437569999999997</v>
      </c>
      <c r="Q7693">
        <v>-0.1059093</v>
      </c>
      <c r="R7693">
        <v>7.082252E-4</v>
      </c>
      <c r="S7693">
        <v>2.9842379999999999</v>
      </c>
      <c r="T7693">
        <v>-0.30854860000000001</v>
      </c>
      <c r="U7693">
        <v>-0.17930599999999999</v>
      </c>
      <c r="V7693" s="1">
        <v>-5.82262899999999E-6</v>
      </c>
      <c r="W7693">
        <v>-9.7919980000000004E-2</v>
      </c>
      <c r="X7693">
        <v>0.99519429999999998</v>
      </c>
      <c r="Y7693">
        <v>6.0602169999999997E-2</v>
      </c>
      <c r="Z7693">
        <v>-3.4591230000000001E-3</v>
      </c>
      <c r="AA7693">
        <v>0.99815600000000004</v>
      </c>
      <c r="AB7693">
        <v>22</v>
      </c>
      <c r="AC7693">
        <v>0.46299999999999297</v>
      </c>
      <c r="AD7693">
        <v>-7.7156999999999906E-2</v>
      </c>
      <c r="AE7693">
        <v>-4.3200000000012999E-2</v>
      </c>
      <c r="AF7693">
        <v>4.24837667396347E-2</v>
      </c>
      <c r="AG7693">
        <v>-7.7156999999999906E-2</v>
      </c>
      <c r="AH7693">
        <v>0.45055322843051099</v>
      </c>
      <c r="AI7693">
        <v>99.675508218912</v>
      </c>
      <c r="AJ7693">
        <v>84.613367331676102</v>
      </c>
      <c r="AK7693">
        <v>0.45908200218974399</v>
      </c>
      <c r="AL7693">
        <v>95.619406165650204</v>
      </c>
      <c r="AM7693">
        <v>90.000335223048694</v>
      </c>
      <c r="AN7693">
        <v>1.00000000863479</v>
      </c>
    </row>
    <row r="7694" spans="1:40" x14ac:dyDescent="0.25">
      <c r="A7694" t="str">
        <f>"20190303154715319"</f>
        <v>20190303154715319</v>
      </c>
      <c r="B7694" t="str">
        <f>"1551599235309880"</f>
        <v>1551599235309880</v>
      </c>
      <c r="C7694" t="s">
        <v>40</v>
      </c>
      <c r="D7694">
        <v>5.6992659999999997</v>
      </c>
      <c r="E7694">
        <v>0.52319099999999996</v>
      </c>
      <c r="F7694" t="s">
        <v>42</v>
      </c>
      <c r="G7694">
        <v>-148.55850000000001</v>
      </c>
      <c r="H7694">
        <v>1.030238</v>
      </c>
      <c r="I7694">
        <v>138.7193</v>
      </c>
      <c r="J7694">
        <v>-149.10249999999999</v>
      </c>
      <c r="K7694">
        <v>1.11907</v>
      </c>
      <c r="L7694">
        <v>138.76830000000001</v>
      </c>
      <c r="M7694">
        <v>0.99996660000000004</v>
      </c>
      <c r="N7694">
        <v>-8.0065780000000003E-3</v>
      </c>
      <c r="O7694">
        <v>-1.596755E-3</v>
      </c>
      <c r="P7694">
        <v>0.99442459999999999</v>
      </c>
      <c r="Q7694">
        <v>-0.1054495</v>
      </c>
      <c r="R7694">
        <v>-1.6324690000000001E-4</v>
      </c>
      <c r="S7694">
        <v>2.9841769999999999</v>
      </c>
      <c r="T7694">
        <v>-0.3090272</v>
      </c>
      <c r="U7694">
        <v>-0.17973329999999901</v>
      </c>
      <c r="V7694">
        <v>-1.699721E-3</v>
      </c>
      <c r="W7694">
        <v>-9.7479830000000003E-2</v>
      </c>
      <c r="X7694">
        <v>0.99523600000000001</v>
      </c>
      <c r="Y7694">
        <v>5.8198800000000002E-2</v>
      </c>
      <c r="Z7694">
        <v>-3.0845109999999999E-3</v>
      </c>
      <c r="AA7694">
        <v>0.99830030000000003</v>
      </c>
      <c r="AB7694">
        <v>22</v>
      </c>
      <c r="AC7694">
        <v>0.54399999999998205</v>
      </c>
      <c r="AD7694">
        <v>-8.8831999999999994E-2</v>
      </c>
      <c r="AE7694">
        <v>-4.9000000000006497E-2</v>
      </c>
      <c r="AF7694">
        <v>4.6890990817642302E-2</v>
      </c>
      <c r="AG7694">
        <v>-8.8831999999999994E-2</v>
      </c>
      <c r="AH7694">
        <v>0.53005733694537904</v>
      </c>
      <c r="AI7694">
        <v>99.477418288524802</v>
      </c>
      <c r="AJ7694">
        <v>84.944546695528999</v>
      </c>
      <c r="AK7694">
        <v>0.53949112105157704</v>
      </c>
      <c r="AL7694">
        <v>95.594066523326305</v>
      </c>
      <c r="AM7694">
        <v>90.097852916257693</v>
      </c>
      <c r="AN7694">
        <v>0.999999951002152</v>
      </c>
    </row>
    <row r="7695" spans="1:40" x14ac:dyDescent="0.25">
      <c r="A7695" t="str">
        <f>"20190303154715342"</f>
        <v>20190303154715342</v>
      </c>
      <c r="B7695" t="str">
        <f>"1551599235340136"</f>
        <v>1551599235340136</v>
      </c>
      <c r="C7695" t="s">
        <v>40</v>
      </c>
      <c r="D7695">
        <v>5.6657760000000001</v>
      </c>
      <c r="E7695">
        <v>0.52369560000000004</v>
      </c>
      <c r="F7695" t="s">
        <v>42</v>
      </c>
      <c r="G7695">
        <v>-148.35169999999999</v>
      </c>
      <c r="H7695">
        <v>1.0415239999999999</v>
      </c>
      <c r="I7695">
        <v>138.7216</v>
      </c>
      <c r="J7695">
        <v>-148.87119999999999</v>
      </c>
      <c r="K7695">
        <v>1.1190560000000001</v>
      </c>
      <c r="L7695">
        <v>138.76580000000001</v>
      </c>
      <c r="M7695">
        <v>0.99996209999999996</v>
      </c>
      <c r="N7695">
        <v>-7.9860450000000006E-3</v>
      </c>
      <c r="O7695">
        <v>-3.5027779999999998E-3</v>
      </c>
      <c r="P7695">
        <v>0.99444270000000001</v>
      </c>
      <c r="Q7695">
        <v>-0.105278</v>
      </c>
      <c r="R7695">
        <v>-4.2036409999999998E-4</v>
      </c>
      <c r="S7695">
        <v>2.9841310000000001</v>
      </c>
      <c r="T7695">
        <v>-0.30819299999999999</v>
      </c>
      <c r="U7695">
        <v>-0.18533330000000001</v>
      </c>
      <c r="V7695">
        <v>-3.3398690000000001E-3</v>
      </c>
      <c r="W7695">
        <v>-9.7323900000000005E-2</v>
      </c>
      <c r="X7695">
        <v>0.9952472</v>
      </c>
      <c r="Y7695">
        <v>5.8173849999999999E-2</v>
      </c>
      <c r="Z7695">
        <v>-2.8938060000000001E-3</v>
      </c>
      <c r="AA7695">
        <v>0.99830229999999998</v>
      </c>
      <c r="AB7695">
        <v>22</v>
      </c>
      <c r="AC7695">
        <v>0.51949999999999297</v>
      </c>
      <c r="AD7695">
        <v>-7.7532000000000101E-2</v>
      </c>
      <c r="AE7695">
        <v>-4.4200000000017697E-2</v>
      </c>
      <c r="AF7695">
        <v>4.1463082109556702E-2</v>
      </c>
      <c r="AG7695">
        <v>-7.7532000000000101E-2</v>
      </c>
      <c r="AH7695">
        <v>0.50840891691866796</v>
      </c>
      <c r="AI7695">
        <v>98.642503539984602</v>
      </c>
      <c r="AJ7695">
        <v>85.337584582672605</v>
      </c>
      <c r="AK7695">
        <v>0.51595544866241805</v>
      </c>
      <c r="AL7695">
        <v>95.585089194811204</v>
      </c>
      <c r="AM7695">
        <v>90.192273517067093</v>
      </c>
      <c r="AN7695">
        <v>1.0000000426719899</v>
      </c>
    </row>
    <row r="7696" spans="1:40" x14ac:dyDescent="0.25">
      <c r="A7696" t="str">
        <f>"20190303154715377"</f>
        <v>20190303154715377</v>
      </c>
      <c r="B7696" t="str">
        <f>"1551599235369416"</f>
        <v>1551599235369416</v>
      </c>
      <c r="C7696" t="s">
        <v>40</v>
      </c>
      <c r="D7696">
        <v>5.5791849999999998</v>
      </c>
      <c r="E7696">
        <v>0.50436819999999905</v>
      </c>
      <c r="F7696" t="s">
        <v>42</v>
      </c>
      <c r="G7696">
        <v>-147.9556</v>
      </c>
      <c r="H7696">
        <v>1.0243279999999999</v>
      </c>
      <c r="I7696">
        <v>138.70740000000001</v>
      </c>
      <c r="J7696">
        <v>-148.51400000000001</v>
      </c>
      <c r="K7696">
        <v>1.1190560000000001</v>
      </c>
      <c r="L7696">
        <v>138.7611</v>
      </c>
      <c r="M7696">
        <v>0.99994780000000005</v>
      </c>
      <c r="N7696">
        <v>-7.9286949999999995E-3</v>
      </c>
      <c r="O7696">
        <v>-6.4479209999999997E-3</v>
      </c>
      <c r="P7696">
        <v>0.9946796</v>
      </c>
      <c r="Q7696">
        <v>-0.10300520000000001</v>
      </c>
      <c r="R7696">
        <v>-1.620577E-3</v>
      </c>
      <c r="S7696">
        <v>2.983994</v>
      </c>
      <c r="T7696">
        <v>-0.30875229999999998</v>
      </c>
      <c r="U7696">
        <v>-0.1901398</v>
      </c>
      <c r="V7696">
        <v>-5.0645959999999898E-3</v>
      </c>
      <c r="W7696">
        <v>-9.510151E-2</v>
      </c>
      <c r="X7696">
        <v>0.99545470000000003</v>
      </c>
      <c r="Y7696">
        <v>5.6858110000000003E-2</v>
      </c>
      <c r="Z7696">
        <v>-2.5433109999999999E-3</v>
      </c>
      <c r="AA7696">
        <v>0.99837909999999996</v>
      </c>
      <c r="AB7696">
        <v>23</v>
      </c>
      <c r="AC7696">
        <v>0.558400000000006</v>
      </c>
      <c r="AD7696">
        <v>-9.4727999999999896E-2</v>
      </c>
      <c r="AE7696">
        <v>-5.3699999999991997E-2</v>
      </c>
      <c r="AF7696">
        <v>4.8709322514279098E-2</v>
      </c>
      <c r="AG7696">
        <v>-9.4727999999999896E-2</v>
      </c>
      <c r="AH7696">
        <v>0.54324424024138496</v>
      </c>
      <c r="AI7696">
        <v>99.852726641611298</v>
      </c>
      <c r="AJ7696">
        <v>84.8763462144708</v>
      </c>
      <c r="AK7696">
        <v>0.55358856259792699</v>
      </c>
      <c r="AL7696">
        <v>95.457162340152607</v>
      </c>
      <c r="AM7696">
        <v>90.291502438048795</v>
      </c>
      <c r="AN7696">
        <v>1.0000000035445</v>
      </c>
    </row>
    <row r="7697" spans="1:40" x14ac:dyDescent="0.25">
      <c r="A7697" t="str">
        <f>"20190303154715407"</f>
        <v>20190303154715407</v>
      </c>
      <c r="B7697" t="str">
        <f>"1551599235399672"</f>
        <v>1551599235399672</v>
      </c>
      <c r="C7697" t="s">
        <v>40</v>
      </c>
      <c r="D7697">
        <v>5.6067530000000003</v>
      </c>
      <c r="E7697">
        <v>0.50391859999999999</v>
      </c>
      <c r="F7697" t="s">
        <v>41</v>
      </c>
      <c r="G7697">
        <v>-131.06</v>
      </c>
      <c r="H7697" s="1">
        <v>-4.0074960000000001E-6</v>
      </c>
      <c r="I7697">
        <v>138.5453</v>
      </c>
      <c r="J7697">
        <v>-148.20849999999999</v>
      </c>
      <c r="K7697">
        <v>1.1190450000000001</v>
      </c>
      <c r="L7697">
        <v>138.7561</v>
      </c>
      <c r="M7697">
        <v>0.99992910000000002</v>
      </c>
      <c r="N7697">
        <v>-7.8552999999999904E-3</v>
      </c>
      <c r="O7697">
        <v>-8.9563390000000007E-3</v>
      </c>
      <c r="P7697">
        <v>0.99477099999999996</v>
      </c>
      <c r="Q7697">
        <v>-0.10207629999999999</v>
      </c>
      <c r="R7697">
        <v>-3.3085250000000001E-3</v>
      </c>
      <c r="S7697">
        <v>2.9960939999999998</v>
      </c>
      <c r="T7697">
        <v>-0.1920943</v>
      </c>
      <c r="U7697">
        <v>-3.7033080000000003E-2</v>
      </c>
      <c r="V7697">
        <v>-5.8701159999999999E-3</v>
      </c>
      <c r="W7697">
        <v>-9.4242720000000002E-2</v>
      </c>
      <c r="X7697">
        <v>0.99553190000000003</v>
      </c>
      <c r="Y7697">
        <v>3.409381E-3</v>
      </c>
      <c r="Z7697">
        <v>3.8073220000000001E-4</v>
      </c>
      <c r="AA7697">
        <v>0.9999941</v>
      </c>
      <c r="AB7697">
        <v>23</v>
      </c>
      <c r="AC7697">
        <v>17.148499999999899</v>
      </c>
      <c r="AD7697">
        <v>-1.119049007496</v>
      </c>
      <c r="AE7697">
        <v>-0.21080000000000601</v>
      </c>
      <c r="AF7697">
        <v>5.6956529342765801E-2</v>
      </c>
      <c r="AG7697">
        <v>-1.119049007496</v>
      </c>
      <c r="AH7697">
        <v>17.076990622696901</v>
      </c>
      <c r="AI7697">
        <v>93.749190469866704</v>
      </c>
      <c r="AJ7697">
        <v>89.808903294580901</v>
      </c>
      <c r="AK7697">
        <v>17.113711562811002</v>
      </c>
      <c r="AL7697">
        <v>95.407735551771694</v>
      </c>
      <c r="AM7697">
        <v>90.337838470299303</v>
      </c>
      <c r="AN7697">
        <v>0.99999995622622995</v>
      </c>
    </row>
    <row r="7698" spans="1:40" x14ac:dyDescent="0.25">
      <c r="A7698" t="str">
        <f>"20190303154715432"</f>
        <v>20190303154715432</v>
      </c>
      <c r="B7698" t="str">
        <f>"1551599235420168"</f>
        <v>1551599235420168</v>
      </c>
      <c r="C7698" t="s">
        <v>40</v>
      </c>
      <c r="D7698">
        <v>5.5670400000000004</v>
      </c>
      <c r="E7698">
        <v>0.50425180000000003</v>
      </c>
      <c r="F7698" t="s">
        <v>41</v>
      </c>
      <c r="G7698">
        <v>-134.6217</v>
      </c>
      <c r="H7698" s="1">
        <v>-2.4743909999999999E-6</v>
      </c>
      <c r="I7698">
        <v>138.5745</v>
      </c>
      <c r="J7698">
        <v>-147.95349999999999</v>
      </c>
      <c r="K7698">
        <v>1.1190279999999999</v>
      </c>
      <c r="L7698">
        <v>138.75149999999999</v>
      </c>
      <c r="M7698">
        <v>0.99990919999999905</v>
      </c>
      <c r="N7698">
        <v>-7.7568069999999897E-3</v>
      </c>
      <c r="O7698">
        <v>-1.102742E-2</v>
      </c>
      <c r="P7698">
        <v>0.99477420000000005</v>
      </c>
      <c r="Q7698">
        <v>-0.1019943</v>
      </c>
      <c r="R7698">
        <v>-4.6797669999999996E-3</v>
      </c>
      <c r="S7698">
        <v>2.9903409999999999</v>
      </c>
      <c r="T7698">
        <v>-0.24629119999999999</v>
      </c>
      <c r="U7698">
        <v>-3.9978029999999998E-2</v>
      </c>
      <c r="V7698">
        <v>-6.5570059999999998E-3</v>
      </c>
      <c r="W7698">
        <v>-9.4256859999999998E-2</v>
      </c>
      <c r="X7698">
        <v>0.99552629999999998</v>
      </c>
      <c r="Y7698">
        <v>2.3621559999999998E-3</v>
      </c>
      <c r="Z7698">
        <v>7.1494369999999905E-4</v>
      </c>
      <c r="AA7698">
        <v>0.99999700000000002</v>
      </c>
      <c r="AB7698">
        <v>23</v>
      </c>
      <c r="AC7698">
        <v>13.3317999999999</v>
      </c>
      <c r="AD7698">
        <v>-1.119030474391</v>
      </c>
      <c r="AE7698">
        <v>-0.176999999999992</v>
      </c>
      <c r="AF7698">
        <v>2.9759836074208301E-2</v>
      </c>
      <c r="AG7698">
        <v>-1.119030474391</v>
      </c>
      <c r="AH7698">
        <v>13.2396787178391</v>
      </c>
      <c r="AI7698">
        <v>94.831200095682505</v>
      </c>
      <c r="AJ7698">
        <v>89.871212121479104</v>
      </c>
      <c r="AK7698">
        <v>13.286918657162801</v>
      </c>
      <c r="AL7698">
        <v>95.408549196876805</v>
      </c>
      <c r="AM7698">
        <v>90.377371584780704</v>
      </c>
      <c r="AN7698">
        <v>0.99999998198821605</v>
      </c>
    </row>
    <row r="7699" spans="1:40" x14ac:dyDescent="0.25">
      <c r="A7699" t="str">
        <f>"20190303154715467"</f>
        <v>20190303154715467</v>
      </c>
      <c r="B7699" t="str">
        <f>"1551599235460184"</f>
        <v>1551599235460184</v>
      </c>
      <c r="C7699" t="s">
        <v>40</v>
      </c>
      <c r="D7699">
        <v>5.5936459999999997</v>
      </c>
      <c r="E7699">
        <v>0.50410829999999995</v>
      </c>
      <c r="F7699" t="s">
        <v>41</v>
      </c>
      <c r="G7699">
        <v>-134.27809999999999</v>
      </c>
      <c r="H7699" s="1">
        <v>-2.6282780000000001E-6</v>
      </c>
      <c r="I7699">
        <v>138.53790000000001</v>
      </c>
      <c r="J7699">
        <v>-147.6001</v>
      </c>
      <c r="K7699">
        <v>1.119014</v>
      </c>
      <c r="L7699">
        <v>138.74430000000001</v>
      </c>
      <c r="M7699">
        <v>0.99987539999999997</v>
      </c>
      <c r="N7699">
        <v>-7.5741030000000004E-3</v>
      </c>
      <c r="O7699">
        <v>-1.384812E-2</v>
      </c>
      <c r="P7699">
        <v>0.99477789999999999</v>
      </c>
      <c r="Q7699">
        <v>-0.1018019</v>
      </c>
      <c r="R7699">
        <v>-7.3219769999999899E-3</v>
      </c>
      <c r="S7699">
        <v>2.9904480000000002</v>
      </c>
      <c r="T7699">
        <v>-0.24470069999999999</v>
      </c>
      <c r="U7699">
        <v>-4.6707150000000003E-2</v>
      </c>
      <c r="V7699">
        <v>-6.7174629999999999E-3</v>
      </c>
      <c r="W7699">
        <v>-9.4246070000000001E-2</v>
      </c>
      <c r="X7699">
        <v>0.99552629999999998</v>
      </c>
      <c r="Y7699">
        <v>1.800074E-3</v>
      </c>
      <c r="Z7699">
        <v>9.4606020000000005E-4</v>
      </c>
      <c r="AA7699">
        <v>0.9999979</v>
      </c>
      <c r="AB7699">
        <v>23</v>
      </c>
      <c r="AC7699">
        <v>13.321999999999999</v>
      </c>
      <c r="AD7699">
        <v>-1.1190166282780001</v>
      </c>
      <c r="AE7699">
        <v>-0.206400000000002</v>
      </c>
      <c r="AF7699">
        <v>2.1736925987953098E-2</v>
      </c>
      <c r="AG7699">
        <v>-1.1190166282780001</v>
      </c>
      <c r="AH7699">
        <v>13.2302557675771</v>
      </c>
      <c r="AI7699">
        <v>94.8345708291981</v>
      </c>
      <c r="AJ7699">
        <v>89.905864782967399</v>
      </c>
      <c r="AK7699">
        <v>13.277512507387099</v>
      </c>
      <c r="AL7699">
        <v>95.407927950589297</v>
      </c>
      <c r="AM7699">
        <v>90.386605997013504</v>
      </c>
      <c r="AN7699">
        <v>1.00000003000564</v>
      </c>
    </row>
    <row r="7700" spans="1:40" x14ac:dyDescent="0.25">
      <c r="A7700" t="str">
        <f>"20190303154715498"</f>
        <v>20190303154715498</v>
      </c>
      <c r="B7700" t="str">
        <f>"1551599235489464"</f>
        <v>1551599235489464</v>
      </c>
      <c r="C7700" t="s">
        <v>40</v>
      </c>
      <c r="D7700">
        <v>5.6090960000000001</v>
      </c>
      <c r="E7700">
        <v>0.50414529999999902</v>
      </c>
      <c r="F7700" t="s">
        <v>42</v>
      </c>
      <c r="G7700">
        <v>-146.6987</v>
      </c>
      <c r="H7700">
        <v>1.045398</v>
      </c>
      <c r="I7700">
        <v>138.72799999999901</v>
      </c>
      <c r="J7700">
        <v>-147.2636</v>
      </c>
      <c r="K7700">
        <v>1.118984</v>
      </c>
      <c r="L7700">
        <v>138.73660000000001</v>
      </c>
      <c r="M7700">
        <v>0.99983750000000005</v>
      </c>
      <c r="N7700">
        <v>-7.3483189999999999E-3</v>
      </c>
      <c r="O7700">
        <v>-1.64639E-2</v>
      </c>
      <c r="P7700">
        <v>0.99478319999999998</v>
      </c>
      <c r="Q7700">
        <v>-0.1014767</v>
      </c>
      <c r="R7700">
        <v>-1.0447659999999999E-2</v>
      </c>
      <c r="S7700">
        <v>2.9903719999999998</v>
      </c>
      <c r="T7700">
        <v>-0.24424960000000001</v>
      </c>
      <c r="U7700">
        <v>-5.3451539999999999E-2</v>
      </c>
      <c r="V7700">
        <v>-6.1887000000000001E-3</v>
      </c>
      <c r="W7700">
        <v>-9.4147149999999999E-2</v>
      </c>
      <c r="X7700">
        <v>0.99553910000000001</v>
      </c>
      <c r="Y7700">
        <v>1.4476879999999999E-3</v>
      </c>
      <c r="Z7700">
        <v>1.157164E-3</v>
      </c>
      <c r="AA7700">
        <v>0.99999830000000001</v>
      </c>
      <c r="AB7700">
        <v>23</v>
      </c>
      <c r="AC7700">
        <v>0.56489999999999396</v>
      </c>
      <c r="AD7700">
        <v>-7.3585999999999901E-2</v>
      </c>
      <c r="AE7700">
        <v>-8.6000000000296898E-3</v>
      </c>
      <c r="AF7700">
        <v>-6.9016507584362496E-4</v>
      </c>
      <c r="AG7700">
        <v>-7.3585999999999901E-2</v>
      </c>
      <c r="AH7700">
        <v>0.55554043728568403</v>
      </c>
      <c r="AI7700">
        <v>97.545377882161603</v>
      </c>
      <c r="AJ7700">
        <v>90.071180283225999</v>
      </c>
      <c r="AK7700">
        <v>0.56039321300619005</v>
      </c>
      <c r="AL7700">
        <v>95.402234869897995</v>
      </c>
      <c r="AM7700">
        <v>90.356170664950696</v>
      </c>
      <c r="AN7700">
        <v>1.0000000427448099</v>
      </c>
    </row>
    <row r="7701" spans="1:40" x14ac:dyDescent="0.25">
      <c r="A7701" t="str">
        <f>"20190303154715520"</f>
        <v>20190303154715520</v>
      </c>
      <c r="B7701" t="str">
        <f>"1551599235509961"</f>
        <v>1551599235509961</v>
      </c>
      <c r="C7701" t="s">
        <v>40</v>
      </c>
      <c r="D7701">
        <v>5.641184</v>
      </c>
      <c r="E7701">
        <v>0.50406819999999997</v>
      </c>
      <c r="F7701" t="s">
        <v>41</v>
      </c>
      <c r="G7701">
        <v>-133.4297</v>
      </c>
      <c r="H7701" s="1">
        <v>-3.008703E-6</v>
      </c>
      <c r="I7701">
        <v>138.44499999999999</v>
      </c>
      <c r="J7701">
        <v>-147.03450000000001</v>
      </c>
      <c r="K7701">
        <v>1.1189639999999901</v>
      </c>
      <c r="L7701">
        <v>138.73089999999999</v>
      </c>
      <c r="M7701">
        <v>0.99980869999999999</v>
      </c>
      <c r="N7701">
        <v>-7.1807169999999997E-3</v>
      </c>
      <c r="O7701">
        <v>-1.820451E-2</v>
      </c>
      <c r="P7701">
        <v>0.99471319999999996</v>
      </c>
      <c r="Q7701">
        <v>-0.10197249999999999</v>
      </c>
      <c r="R7701">
        <v>-1.2146840000000001E-2</v>
      </c>
      <c r="S7701">
        <v>2.990402</v>
      </c>
      <c r="T7701">
        <v>-0.24188470000000001</v>
      </c>
      <c r="U7701">
        <v>-6.30188E-2</v>
      </c>
      <c r="V7701">
        <v>-6.2186890000000003E-3</v>
      </c>
      <c r="W7701">
        <v>-9.4810309999999995E-2</v>
      </c>
      <c r="X7701">
        <v>0.99547589999999997</v>
      </c>
      <c r="Y7701">
        <v>2.903596E-3</v>
      </c>
      <c r="Z7701">
        <v>1.211616E-3</v>
      </c>
      <c r="AA7701">
        <v>0.99999510000000003</v>
      </c>
      <c r="AB7701">
        <v>23</v>
      </c>
      <c r="AC7701">
        <v>13.604799999999999</v>
      </c>
      <c r="AD7701">
        <v>-1.1189670087029999</v>
      </c>
      <c r="AE7701">
        <v>-0.28589999999999799</v>
      </c>
      <c r="AF7701">
        <v>3.7921153268298903E-2</v>
      </c>
      <c r="AG7701">
        <v>-1.1189670087029999</v>
      </c>
      <c r="AH7701">
        <v>13.5163560659136</v>
      </c>
      <c r="AI7701">
        <v>94.732486360123303</v>
      </c>
      <c r="AJ7701">
        <v>89.839252804136507</v>
      </c>
      <c r="AK7701">
        <v>13.562647473151801</v>
      </c>
      <c r="AL7701">
        <v>95.440402275731898</v>
      </c>
      <c r="AM7701">
        <v>90.357919261586702</v>
      </c>
      <c r="AN7701">
        <v>0.999999967227991</v>
      </c>
    </row>
    <row r="7702" spans="1:40" x14ac:dyDescent="0.25">
      <c r="A7702" t="str">
        <f>"20190303154715545"</f>
        <v>20190303154715545</v>
      </c>
      <c r="B7702" t="str">
        <f>"1551599235540217"</f>
        <v>1551599235540217</v>
      </c>
      <c r="C7702" t="s">
        <v>40</v>
      </c>
      <c r="D7702">
        <v>5.6117839999999903</v>
      </c>
      <c r="E7702">
        <v>0.50391989999999998</v>
      </c>
      <c r="F7702" t="s">
        <v>41</v>
      </c>
      <c r="G7702">
        <v>-133.29599999999999</v>
      </c>
      <c r="H7702" s="1">
        <v>-3.0704459999999999E-6</v>
      </c>
      <c r="I7702">
        <v>138.4204</v>
      </c>
      <c r="J7702">
        <v>-146.77709999999999</v>
      </c>
      <c r="K7702">
        <v>1.118943</v>
      </c>
      <c r="L7702">
        <v>138.72399999999999</v>
      </c>
      <c r="M7702">
        <v>0.99977340000000003</v>
      </c>
      <c r="N7702">
        <v>-6.9764040000000003E-3</v>
      </c>
      <c r="O7702">
        <v>-2.0111830000000001E-2</v>
      </c>
      <c r="P7702">
        <v>0.99463889999999999</v>
      </c>
      <c r="Q7702">
        <v>-0.10246810000000001</v>
      </c>
      <c r="R7702">
        <v>-1.393191E-2</v>
      </c>
      <c r="S7702">
        <v>2.9901580000000001</v>
      </c>
      <c r="T7702">
        <v>-0.24353900000000001</v>
      </c>
      <c r="U7702">
        <v>-6.7565920000000002E-2</v>
      </c>
      <c r="V7702">
        <v>-6.3279149999999999E-3</v>
      </c>
      <c r="W7702">
        <v>-9.5509689999999994E-2</v>
      </c>
      <c r="X7702">
        <v>0.99540839999999997</v>
      </c>
      <c r="Y7702">
        <v>2.5251380000000001E-3</v>
      </c>
      <c r="Z7702">
        <v>1.383385E-3</v>
      </c>
      <c r="AA7702">
        <v>0.99999579999999999</v>
      </c>
      <c r="AB7702">
        <v>23</v>
      </c>
      <c r="AC7702">
        <v>13.4810999999999</v>
      </c>
      <c r="AD7702">
        <v>-1.1189460704459999</v>
      </c>
      <c r="AE7702">
        <v>-0.30359999999998799</v>
      </c>
      <c r="AF7702">
        <v>3.2180814135344002E-2</v>
      </c>
      <c r="AG7702">
        <v>-1.1189460704459999</v>
      </c>
      <c r="AH7702">
        <v>13.3922642599215</v>
      </c>
      <c r="AI7702">
        <v>94.776051348712897</v>
      </c>
      <c r="AJ7702">
        <v>89.862321916096207</v>
      </c>
      <c r="AK7702">
        <v>13.4389664007667</v>
      </c>
      <c r="AL7702">
        <v>95.480656221986294</v>
      </c>
      <c r="AM7702">
        <v>90.364230338702498</v>
      </c>
      <c r="AN7702">
        <v>1.00000001309135</v>
      </c>
    </row>
    <row r="7703" spans="1:40" x14ac:dyDescent="0.25">
      <c r="A7703" t="str">
        <f>"20190303154715569"</f>
        <v>20190303154715569</v>
      </c>
      <c r="B7703" t="str">
        <f>"1551599235560712"</f>
        <v>1551599235560712</v>
      </c>
      <c r="C7703" t="s">
        <v>40</v>
      </c>
      <c r="D7703">
        <v>5.8316379999999999</v>
      </c>
      <c r="E7703">
        <v>0.50379180000000001</v>
      </c>
      <c r="F7703" t="s">
        <v>42</v>
      </c>
      <c r="G7703">
        <v>-145.87209999999999</v>
      </c>
      <c r="H7703">
        <v>1.044049</v>
      </c>
      <c r="I7703">
        <v>138.7021</v>
      </c>
      <c r="J7703">
        <v>-146.5154</v>
      </c>
      <c r="K7703">
        <v>1.118924</v>
      </c>
      <c r="L7703">
        <v>138.7166</v>
      </c>
      <c r="M7703">
        <v>0.99973509999999999</v>
      </c>
      <c r="N7703">
        <v>-6.7673660000000004E-3</v>
      </c>
      <c r="O7703">
        <v>-2.200512E-2</v>
      </c>
      <c r="P7703">
        <v>0.99460110000000002</v>
      </c>
      <c r="Q7703">
        <v>-0.102609199999999</v>
      </c>
      <c r="R7703">
        <v>-1.550414E-2</v>
      </c>
      <c r="S7703">
        <v>2.989655</v>
      </c>
      <c r="T7703">
        <v>-0.247418</v>
      </c>
      <c r="U7703">
        <v>-7.1762080000000006E-2</v>
      </c>
      <c r="V7703">
        <v>-6.6362119999999998E-3</v>
      </c>
      <c r="W7703">
        <v>-9.5858330000000005E-2</v>
      </c>
      <c r="X7703">
        <v>0.9953729</v>
      </c>
      <c r="Y7703">
        <v>2.0472699999999999E-3</v>
      </c>
      <c r="Z7703">
        <v>1.5773219999999999E-3</v>
      </c>
      <c r="AA7703">
        <v>0.99999669999999896</v>
      </c>
      <c r="AB7703">
        <v>23</v>
      </c>
      <c r="AC7703">
        <v>0.64330000000000997</v>
      </c>
      <c r="AD7703">
        <v>-7.4874999999999997E-2</v>
      </c>
      <c r="AE7703">
        <v>-1.4499999999998099E-2</v>
      </c>
      <c r="AF7703">
        <v>3.3572717356811303E-4</v>
      </c>
      <c r="AG7703">
        <v>-7.4874999999999997E-2</v>
      </c>
      <c r="AH7703">
        <v>0.63486705970192003</v>
      </c>
      <c r="AI7703">
        <v>96.726281785084694</v>
      </c>
      <c r="AJ7703">
        <v>89.969701139748395</v>
      </c>
      <c r="AK7703">
        <v>0.63926720691139505</v>
      </c>
      <c r="AL7703">
        <v>95.500723780167306</v>
      </c>
      <c r="AM7703">
        <v>90.381988806452199</v>
      </c>
      <c r="AN7703">
        <v>1.0000000343972499</v>
      </c>
    </row>
    <row r="7704" spans="1:40" x14ac:dyDescent="0.25">
      <c r="A7704" t="str">
        <f>"20190303154715600"</f>
        <v>20190303154715600</v>
      </c>
      <c r="B7704" t="str">
        <f>"1551599235589993"</f>
        <v>1551599235589993</v>
      </c>
      <c r="C7704" t="s">
        <v>40</v>
      </c>
      <c r="D7704">
        <v>5.6495360000000003</v>
      </c>
      <c r="E7704">
        <v>0.50379229999999997</v>
      </c>
      <c r="F7704" t="s">
        <v>41</v>
      </c>
      <c r="G7704">
        <v>-133.06209999999999</v>
      </c>
      <c r="H7704" s="1">
        <v>-3.1784770000000001E-6</v>
      </c>
      <c r="I7704">
        <v>138.37690000000001</v>
      </c>
      <c r="J7704">
        <v>-146.19040000000001</v>
      </c>
      <c r="K7704">
        <v>1.1188899999999999</v>
      </c>
      <c r="L7704">
        <v>138.70689999999999</v>
      </c>
      <c r="M7704">
        <v>0.99968330000000005</v>
      </c>
      <c r="N7704">
        <v>-6.5294259999999996E-3</v>
      </c>
      <c r="O7704">
        <v>-2.4308070000000001E-2</v>
      </c>
      <c r="P7704">
        <v>0.99438820000000006</v>
      </c>
      <c r="Q7704">
        <v>-0.1044684</v>
      </c>
      <c r="R7704">
        <v>-1.668876E-2</v>
      </c>
      <c r="S7704">
        <v>2.9894560000000001</v>
      </c>
      <c r="T7704">
        <v>-0.24863740000000001</v>
      </c>
      <c r="U7704">
        <v>-7.548523E-2</v>
      </c>
      <c r="V7704">
        <v>-7.740037E-3</v>
      </c>
      <c r="W7704">
        <v>-9.7953100000000001E-2</v>
      </c>
      <c r="X7704">
        <v>0.99516090000000001</v>
      </c>
      <c r="Y7704">
        <v>1.0016129999999999E-3</v>
      </c>
      <c r="Z7704">
        <v>1.814312E-3</v>
      </c>
      <c r="AA7704">
        <v>0.9999979</v>
      </c>
      <c r="AB7704">
        <v>24</v>
      </c>
      <c r="AC7704">
        <v>13.128299999999999</v>
      </c>
      <c r="AD7704">
        <v>-1.118893178477</v>
      </c>
      <c r="AE7704">
        <v>-0.32999999999998397</v>
      </c>
      <c r="AF7704">
        <v>1.0694449439250501E-2</v>
      </c>
      <c r="AG7704">
        <v>-1.118893178477</v>
      </c>
      <c r="AH7704">
        <v>13.0377990780595</v>
      </c>
      <c r="AI7704">
        <v>94.905056718415494</v>
      </c>
      <c r="AJ7704">
        <v>89.953002291568495</v>
      </c>
      <c r="AK7704">
        <v>13.085726617805401</v>
      </c>
      <c r="AL7704">
        <v>95.621313200865202</v>
      </c>
      <c r="AM7704">
        <v>90.445618905957701</v>
      </c>
      <c r="AN7704">
        <v>0.99999996743059005</v>
      </c>
    </row>
    <row r="7705" spans="1:40" x14ac:dyDescent="0.25">
      <c r="A7705" t="str">
        <f>"20190303154715646"</f>
        <v>20190303154715646</v>
      </c>
      <c r="B7705" t="str">
        <f>"1551599235639769"</f>
        <v>1551599235639769</v>
      </c>
      <c r="C7705" t="s">
        <v>40</v>
      </c>
      <c r="D7705">
        <v>5.7082940000000004</v>
      </c>
      <c r="E7705">
        <v>0.50363080000000005</v>
      </c>
      <c r="F7705" t="s">
        <v>41</v>
      </c>
      <c r="G7705">
        <v>-132.97200000000001</v>
      </c>
      <c r="H7705" s="1">
        <v>-3.2206109999999998E-6</v>
      </c>
      <c r="I7705">
        <v>138.35730000000001</v>
      </c>
      <c r="J7705">
        <v>-145.70580000000001</v>
      </c>
      <c r="K7705">
        <v>1.1188689999999999</v>
      </c>
      <c r="L7705">
        <v>138.691</v>
      </c>
      <c r="M7705">
        <v>0.99959810000000004</v>
      </c>
      <c r="N7705">
        <v>-6.2369679999999999E-3</v>
      </c>
      <c r="O7705">
        <v>-2.7656380000000001E-2</v>
      </c>
      <c r="P7705">
        <v>0.99415030000000004</v>
      </c>
      <c r="Q7705">
        <v>-0.1065016</v>
      </c>
      <c r="R7705">
        <v>-1.7972889999999998E-2</v>
      </c>
      <c r="S7705">
        <v>2.9890140000000001</v>
      </c>
      <c r="T7705">
        <v>-0.25300990000000001</v>
      </c>
      <c r="U7705">
        <v>-7.9040529999999998E-2</v>
      </c>
      <c r="V7705">
        <v>-9.7862910000000008E-3</v>
      </c>
      <c r="W7705">
        <v>-0.1002735</v>
      </c>
      <c r="X7705">
        <v>0.99491180000000001</v>
      </c>
      <c r="Y7705">
        <v>-1.133797E-3</v>
      </c>
      <c r="Z7705">
        <v>2.2152209999999999E-3</v>
      </c>
      <c r="AA7705">
        <v>0.99999689999999997</v>
      </c>
      <c r="AB7705">
        <v>24</v>
      </c>
      <c r="AC7705">
        <v>12.7338</v>
      </c>
      <c r="AD7705">
        <v>-1.118872220611</v>
      </c>
      <c r="AE7705">
        <v>-0.333699999999993</v>
      </c>
      <c r="AF7705">
        <v>-1.8462841891335999E-2</v>
      </c>
      <c r="AG7705">
        <v>-1.118872220611</v>
      </c>
      <c r="AH7705">
        <v>12.6406331848642</v>
      </c>
      <c r="AI7705">
        <v>95.058287091268994</v>
      </c>
      <c r="AJ7705">
        <v>90.083685852637004</v>
      </c>
      <c r="AK7705">
        <v>12.690067897252399</v>
      </c>
      <c r="AL7705">
        <v>95.754919931125002</v>
      </c>
      <c r="AM7705">
        <v>90.563562608027993</v>
      </c>
      <c r="AN7705">
        <v>1.0000000180365101</v>
      </c>
    </row>
    <row r="7706" spans="1:40" x14ac:dyDescent="0.25">
      <c r="A7706" t="str">
        <f>"20190303154715679"</f>
        <v>20190303154715679</v>
      </c>
      <c r="B7706" t="str">
        <f>"1551599235670024"</f>
        <v>1551599235670024</v>
      </c>
      <c r="C7706" t="s">
        <v>40</v>
      </c>
      <c r="D7706">
        <v>5.6930639999999997</v>
      </c>
      <c r="E7706">
        <v>0.50342180000000003</v>
      </c>
      <c r="F7706" t="s">
        <v>42</v>
      </c>
      <c r="G7706">
        <v>-144.804</v>
      </c>
      <c r="H7706">
        <v>1.0412729999999999</v>
      </c>
      <c r="I7706">
        <v>138.66630000000001</v>
      </c>
      <c r="J7706">
        <v>-145.33160000000001</v>
      </c>
      <c r="K7706">
        <v>1.118846</v>
      </c>
      <c r="L7706">
        <v>138.67769999999999</v>
      </c>
      <c r="M7706">
        <v>0.99952549999999996</v>
      </c>
      <c r="N7706">
        <v>-6.0541459999999998E-3</v>
      </c>
      <c r="O7706">
        <v>-3.020196E-2</v>
      </c>
      <c r="P7706">
        <v>0.99415710000000002</v>
      </c>
      <c r="Q7706">
        <v>-0.1060089</v>
      </c>
      <c r="R7706">
        <v>-2.0343960000000001E-2</v>
      </c>
      <c r="S7706">
        <v>2.9886170000000001</v>
      </c>
      <c r="T7706">
        <v>-0.257212</v>
      </c>
      <c r="U7706">
        <v>-8.1573489999999999E-2</v>
      </c>
      <c r="V7706">
        <v>-9.9493270000000009E-3</v>
      </c>
      <c r="W7706">
        <v>-9.9961939999999999E-2</v>
      </c>
      <c r="X7706">
        <v>0.99494150000000003</v>
      </c>
      <c r="Y7706">
        <v>-2.8116579999999999E-3</v>
      </c>
      <c r="Z7706">
        <v>2.5401930000000001E-3</v>
      </c>
      <c r="AA7706">
        <v>0.99999280000000002</v>
      </c>
      <c r="AB7706">
        <v>24</v>
      </c>
      <c r="AC7706">
        <v>0.52760000000000595</v>
      </c>
      <c r="AD7706">
        <v>-7.75730000000001E-2</v>
      </c>
      <c r="AE7706">
        <v>-1.13999999999805E-2</v>
      </c>
      <c r="AF7706">
        <v>-4.44402136020747E-3</v>
      </c>
      <c r="AG7706">
        <v>-7.75730000000001E-2</v>
      </c>
      <c r="AH7706">
        <v>0.51654231723814403</v>
      </c>
      <c r="AI7706">
        <v>98.5403964836147</v>
      </c>
      <c r="AJ7706">
        <v>90.492926479588903</v>
      </c>
      <c r="AK7706">
        <v>0.52235360164605105</v>
      </c>
      <c r="AL7706">
        <v>95.736978913300504</v>
      </c>
      <c r="AM7706">
        <v>90.572933630526805</v>
      </c>
      <c r="AN7706">
        <v>0.99999998348928298</v>
      </c>
    </row>
    <row r="7707" spans="1:40" x14ac:dyDescent="0.25">
      <c r="A7707" t="str">
        <f>"20190303154715702"</f>
        <v>20190303154715702</v>
      </c>
      <c r="B7707" t="str">
        <f>"1551599235690520"</f>
        <v>1551599235690520</v>
      </c>
      <c r="C7707" t="s">
        <v>40</v>
      </c>
      <c r="D7707">
        <v>5.7842719999999996</v>
      </c>
      <c r="E7707">
        <v>0.50328720000000005</v>
      </c>
      <c r="F7707" t="s">
        <v>41</v>
      </c>
      <c r="G7707">
        <v>-132.3895</v>
      </c>
      <c r="H7707" s="1">
        <v>-3.4805680000000001E-6</v>
      </c>
      <c r="I7707">
        <v>138.3005</v>
      </c>
      <c r="J7707">
        <v>-145.09010000000001</v>
      </c>
      <c r="K7707">
        <v>1.118838</v>
      </c>
      <c r="L7707">
        <v>138.6686</v>
      </c>
      <c r="M7707">
        <v>0.99947540000000001</v>
      </c>
      <c r="N7707">
        <v>-5.9593500000000004E-3</v>
      </c>
      <c r="O7707">
        <v>-3.1830839999999999E-2</v>
      </c>
      <c r="P7707">
        <v>0.99412780000000001</v>
      </c>
      <c r="Q7707">
        <v>-0.1058795</v>
      </c>
      <c r="R7707">
        <v>-2.2346660000000001E-2</v>
      </c>
      <c r="S7707">
        <v>2.9882810000000002</v>
      </c>
      <c r="T7707">
        <v>-0.25833859999999997</v>
      </c>
      <c r="U7707">
        <v>-8.7081909999999998E-2</v>
      </c>
      <c r="V7707">
        <v>-9.5683950000000004E-3</v>
      </c>
      <c r="W7707">
        <v>-9.9927539999999995E-2</v>
      </c>
      <c r="X7707">
        <v>0.99494870000000002</v>
      </c>
      <c r="Y7707">
        <v>-2.590794E-3</v>
      </c>
      <c r="Z7707">
        <v>2.6755469999999999E-3</v>
      </c>
      <c r="AA7707">
        <v>0.99999309999999997</v>
      </c>
      <c r="AB7707">
        <v>24</v>
      </c>
      <c r="AC7707">
        <v>12.7006</v>
      </c>
      <c r="AD7707">
        <v>-1.118841480568</v>
      </c>
      <c r="AE7707">
        <v>-0.36809999999999798</v>
      </c>
      <c r="AF7707">
        <v>-3.60847215210328E-2</v>
      </c>
      <c r="AG7707">
        <v>-1.118841480568</v>
      </c>
      <c r="AH7707">
        <v>12.608118201296</v>
      </c>
      <c r="AI7707">
        <v>95.071110053174706</v>
      </c>
      <c r="AJ7707">
        <v>90.163981378504602</v>
      </c>
      <c r="AK7707">
        <v>12.657715154940799</v>
      </c>
      <c r="AL7707">
        <v>95.734997973816505</v>
      </c>
      <c r="AM7707">
        <v>90.550994990959595</v>
      </c>
      <c r="AN7707">
        <v>0.99999999153250796</v>
      </c>
    </row>
    <row r="7708" spans="1:40" x14ac:dyDescent="0.25">
      <c r="A7708" t="str">
        <f>"20190303154715724"</f>
        <v>20190303154715724</v>
      </c>
      <c r="B7708" t="str">
        <f>"1551599235719801"</f>
        <v>1551599235719801</v>
      </c>
      <c r="C7708" t="s">
        <v>40</v>
      </c>
      <c r="D7708">
        <v>5.7866390000000001</v>
      </c>
      <c r="E7708">
        <v>0.50271129999999997</v>
      </c>
      <c r="F7708" t="s">
        <v>42</v>
      </c>
      <c r="G7708">
        <v>-144.15299999999999</v>
      </c>
      <c r="H7708">
        <v>1.0378149999999999</v>
      </c>
      <c r="I7708">
        <v>138.6397</v>
      </c>
      <c r="J7708">
        <v>-144.84719999999999</v>
      </c>
      <c r="K7708">
        <v>1.118838</v>
      </c>
      <c r="L7708">
        <v>138.6591</v>
      </c>
      <c r="M7708">
        <v>0.99942299999999995</v>
      </c>
      <c r="N7708">
        <v>-5.8875500000000001E-3</v>
      </c>
      <c r="O7708">
        <v>-3.3452019999999999E-2</v>
      </c>
      <c r="P7708">
        <v>0.99416329999999997</v>
      </c>
      <c r="Q7708">
        <v>-0.1053433</v>
      </c>
      <c r="R7708">
        <v>-2.329088E-2</v>
      </c>
      <c r="S7708">
        <v>2.9881289999999998</v>
      </c>
      <c r="T7708">
        <v>-0.25839440000000002</v>
      </c>
      <c r="U7708">
        <v>-9.196472E-2</v>
      </c>
      <c r="V7708">
        <v>-1.023782E-2</v>
      </c>
      <c r="W7708">
        <v>-9.9460759999999995E-2</v>
      </c>
      <c r="X7708">
        <v>0.99498880000000001</v>
      </c>
      <c r="Y7708">
        <v>-2.5733610000000001E-3</v>
      </c>
      <c r="Z7708">
        <v>2.8078809999999999E-3</v>
      </c>
      <c r="AA7708">
        <v>0.99999269999999996</v>
      </c>
      <c r="AB7708">
        <v>24</v>
      </c>
      <c r="AC7708">
        <v>0.69419999999999404</v>
      </c>
      <c r="AD7708">
        <v>-8.1022999999999998E-2</v>
      </c>
      <c r="AE7708">
        <v>-1.93999999999903E-2</v>
      </c>
      <c r="AF7708">
        <v>-3.7821711566459002E-3</v>
      </c>
      <c r="AG7708">
        <v>-8.1022999999999998E-2</v>
      </c>
      <c r="AH7708">
        <v>0.68513467818746498</v>
      </c>
      <c r="AI7708">
        <v>96.744287323501496</v>
      </c>
      <c r="AJ7708">
        <v>90.316288534711106</v>
      </c>
      <c r="AK7708">
        <v>0.68991924063813403</v>
      </c>
      <c r="AL7708">
        <v>95.708119588028595</v>
      </c>
      <c r="AM7708">
        <v>90.589517367344897</v>
      </c>
      <c r="AN7708">
        <v>0.99999998393178402</v>
      </c>
    </row>
    <row r="7709" spans="1:40" x14ac:dyDescent="0.25">
      <c r="A7709" t="str">
        <f>"20190303154715745"</f>
        <v>20190303154715745</v>
      </c>
      <c r="B7709" t="str">
        <f>"1551599235739321"</f>
        <v>1551599235739321</v>
      </c>
      <c r="C7709" t="s">
        <v>40</v>
      </c>
      <c r="D7709">
        <v>5.7911000000000001</v>
      </c>
      <c r="E7709">
        <v>0.50258859999999905</v>
      </c>
      <c r="F7709" t="s">
        <v>42</v>
      </c>
      <c r="G7709">
        <v>-143.93219999999999</v>
      </c>
      <c r="H7709">
        <v>1.0385949999999999</v>
      </c>
      <c r="I7709">
        <v>138.63130000000001</v>
      </c>
      <c r="J7709">
        <v>-144.61359999999999</v>
      </c>
      <c r="K7709">
        <v>1.1188419999999999</v>
      </c>
      <c r="L7709">
        <v>138.64959999999999</v>
      </c>
      <c r="M7709">
        <v>0.9993706</v>
      </c>
      <c r="N7709">
        <v>-5.8349179999999997E-3</v>
      </c>
      <c r="O7709">
        <v>-3.4995070000000003E-2</v>
      </c>
      <c r="P7709">
        <v>0.9941373</v>
      </c>
      <c r="Q7709">
        <v>-0.10536180000000001</v>
      </c>
      <c r="R7709">
        <v>-2.429187E-2</v>
      </c>
      <c r="S7709">
        <v>2.9877319999999998</v>
      </c>
      <c r="T7709">
        <v>-0.2620381</v>
      </c>
      <c r="U7709">
        <v>-9.0225219999999995E-2</v>
      </c>
      <c r="V7709">
        <v>-1.07715E-2</v>
      </c>
      <c r="W7709">
        <v>-9.9530350000000004E-2</v>
      </c>
      <c r="X7709">
        <v>0.99497619999999998</v>
      </c>
      <c r="Y7709">
        <v>-4.6773930000000002E-3</v>
      </c>
      <c r="Z7709">
        <v>3.0762950000000002E-3</v>
      </c>
      <c r="AA7709">
        <v>0.99998430000000005</v>
      </c>
      <c r="AB7709">
        <v>24</v>
      </c>
      <c r="AC7709">
        <v>0.68139999999999601</v>
      </c>
      <c r="AD7709">
        <v>-8.0246999999999902E-2</v>
      </c>
      <c r="AE7709">
        <v>-1.8299999999982199E-2</v>
      </c>
      <c r="AF7709">
        <v>-5.4812858966928396E-3</v>
      </c>
      <c r="AG7709">
        <v>-8.0246999999999902E-2</v>
      </c>
      <c r="AH7709">
        <v>0.67230537983204297</v>
      </c>
      <c r="AI7709">
        <v>96.806450758897995</v>
      </c>
      <c r="AJ7709">
        <v>90.467120447618697</v>
      </c>
      <c r="AK7709">
        <v>0.677099807454698</v>
      </c>
      <c r="AL7709">
        <v>95.712126723301694</v>
      </c>
      <c r="AM7709">
        <v>90.620253409391097</v>
      </c>
      <c r="AN7709">
        <v>0.99999997717490596</v>
      </c>
    </row>
    <row r="7710" spans="1:40" x14ac:dyDescent="0.25">
      <c r="A7710" t="str">
        <f>"20190303154715767"</f>
        <v>20190303154715767</v>
      </c>
      <c r="B7710" t="str">
        <f>"1551599235759816"</f>
        <v>1551599235759816</v>
      </c>
      <c r="C7710" t="s">
        <v>40</v>
      </c>
      <c r="D7710">
        <v>5.8355290000000002</v>
      </c>
      <c r="E7710">
        <v>0.4922262</v>
      </c>
      <c r="F7710" t="s">
        <v>42</v>
      </c>
      <c r="G7710">
        <v>-143.71109999999999</v>
      </c>
      <c r="H7710">
        <v>1.0388770000000001</v>
      </c>
      <c r="I7710">
        <v>138.6215</v>
      </c>
      <c r="J7710">
        <v>-144.36770000000001</v>
      </c>
      <c r="K7710">
        <v>1.118849</v>
      </c>
      <c r="L7710">
        <v>138.63919999999999</v>
      </c>
      <c r="M7710">
        <v>0.99931329999999996</v>
      </c>
      <c r="N7710">
        <v>-5.7949319999999896E-3</v>
      </c>
      <c r="O7710">
        <v>-3.6599409999999999E-2</v>
      </c>
      <c r="P7710">
        <v>0.9941255</v>
      </c>
      <c r="Q7710">
        <v>-0.1054361</v>
      </c>
      <c r="R7710">
        <v>-2.444458E-2</v>
      </c>
      <c r="S7710">
        <v>2.9873810000000001</v>
      </c>
      <c r="T7710">
        <v>-0.26471209999999901</v>
      </c>
      <c r="U7710">
        <v>-9.2422489999999996E-2</v>
      </c>
      <c r="V7710">
        <v>-1.221413E-2</v>
      </c>
      <c r="W7710">
        <v>-9.9640880000000001E-2</v>
      </c>
      <c r="X7710">
        <v>0.99494850000000001</v>
      </c>
      <c r="Y7710">
        <v>-5.5322779999999998E-3</v>
      </c>
      <c r="Z7710">
        <v>3.283883E-3</v>
      </c>
      <c r="AA7710">
        <v>0.99997930000000002</v>
      </c>
      <c r="AB7710">
        <v>25</v>
      </c>
      <c r="AC7710">
        <v>0.65660000000002505</v>
      </c>
      <c r="AD7710">
        <v>-7.9971999999999904E-2</v>
      </c>
      <c r="AE7710">
        <v>-1.7699999999990699E-2</v>
      </c>
      <c r="AF7710">
        <v>-6.2507731435424204E-3</v>
      </c>
      <c r="AG7710">
        <v>-7.9971999999999904E-2</v>
      </c>
      <c r="AH7710">
        <v>0.64721374698877998</v>
      </c>
      <c r="AI7710">
        <v>97.043638090926294</v>
      </c>
      <c r="AJ7710">
        <v>90.553343909449893</v>
      </c>
      <c r="AK7710">
        <v>0.65216579735535696</v>
      </c>
      <c r="AL7710">
        <v>95.718491111373396</v>
      </c>
      <c r="AM7710">
        <v>90.703335848586093</v>
      </c>
      <c r="AN7710">
        <v>1.0000000037955401</v>
      </c>
    </row>
    <row r="7711" spans="1:40" x14ac:dyDescent="0.25">
      <c r="A7711" t="str">
        <f>"20190303154715791"</f>
        <v>20190303154715791</v>
      </c>
      <c r="B7711" t="str">
        <f>"1551599235779337"</f>
        <v>1551599235779337</v>
      </c>
      <c r="C7711" t="s">
        <v>40</v>
      </c>
      <c r="D7711">
        <v>5.7969049999999998</v>
      </c>
      <c r="E7711">
        <v>0.4937183</v>
      </c>
      <c r="F7711" t="s">
        <v>42</v>
      </c>
      <c r="G7711">
        <v>-143.49879999999999</v>
      </c>
      <c r="H7711">
        <v>1.0200499999999999</v>
      </c>
      <c r="I7711">
        <v>138.63570000000001</v>
      </c>
      <c r="J7711">
        <v>-144.11619999999999</v>
      </c>
      <c r="K7711">
        <v>1.118849</v>
      </c>
      <c r="L7711">
        <v>138.62819999999999</v>
      </c>
      <c r="M7711">
        <v>0.9992529</v>
      </c>
      <c r="N7711">
        <v>-5.767632E-3</v>
      </c>
      <c r="O7711">
        <v>-3.8213419999999998E-2</v>
      </c>
      <c r="P7711">
        <v>0.99421720000000002</v>
      </c>
      <c r="Q7711">
        <v>-0.1049562</v>
      </c>
      <c r="R7711">
        <v>-2.27307E-2</v>
      </c>
      <c r="S7711">
        <v>2.9814759999999998</v>
      </c>
      <c r="T7711">
        <v>-0.33901039999999999</v>
      </c>
      <c r="U7711">
        <v>-1.1932369999999999E-2</v>
      </c>
      <c r="V7711">
        <v>-1.5533399999999999E-2</v>
      </c>
      <c r="W7711">
        <v>-9.9179820000000002E-2</v>
      </c>
      <c r="X7711">
        <v>0.99494830000000001</v>
      </c>
      <c r="Y7711">
        <v>-3.376411E-2</v>
      </c>
      <c r="Z7711">
        <v>6.1215669999999996E-3</v>
      </c>
      <c r="AA7711">
        <v>0.9994111</v>
      </c>
      <c r="AB7711">
        <v>25</v>
      </c>
      <c r="AC7711">
        <v>0.61740000000000295</v>
      </c>
      <c r="AD7711">
        <v>-9.8798999999999998E-2</v>
      </c>
      <c r="AE7711">
        <v>7.5000000000215996E-3</v>
      </c>
      <c r="AF7711">
        <v>-3.03117783852281E-2</v>
      </c>
      <c r="AG7711">
        <v>-9.8798999999999998E-2</v>
      </c>
      <c r="AH7711">
        <v>0.60126757772362405</v>
      </c>
      <c r="AI7711">
        <v>99.319705514217503</v>
      </c>
      <c r="AJ7711">
        <v>92.886016107952003</v>
      </c>
      <c r="AK7711">
        <v>0.61008421249161104</v>
      </c>
      <c r="AL7711">
        <v>95.691942711960493</v>
      </c>
      <c r="AM7711">
        <v>90.894444426711502</v>
      </c>
      <c r="AN7711">
        <v>1.0000000214418401</v>
      </c>
    </row>
    <row r="7712" spans="1:40" x14ac:dyDescent="0.25">
      <c r="A7712" t="str">
        <f>"20190303154715814"</f>
        <v>20190303154715814</v>
      </c>
      <c r="B7712" t="str">
        <f>"1551599235799833"</f>
        <v>1551599235799833</v>
      </c>
      <c r="C7712" t="s">
        <v>40</v>
      </c>
      <c r="D7712">
        <v>5.7631730000000001</v>
      </c>
      <c r="E7712">
        <v>0.49522480000000002</v>
      </c>
      <c r="F7712" t="s">
        <v>42</v>
      </c>
      <c r="G7712">
        <v>-143.27109999999999</v>
      </c>
      <c r="H7712">
        <v>1.026939</v>
      </c>
      <c r="I7712">
        <v>138.62299999999999</v>
      </c>
      <c r="J7712">
        <v>-143.85149999999999</v>
      </c>
      <c r="K7712">
        <v>1.118852</v>
      </c>
      <c r="L7712">
        <v>138.6163</v>
      </c>
      <c r="M7712">
        <v>0.99918819999999997</v>
      </c>
      <c r="N7712">
        <v>-5.7577059999999996E-3</v>
      </c>
      <c r="O7712">
        <v>-3.9871440000000001E-2</v>
      </c>
      <c r="P7712">
        <v>0.99425770000000002</v>
      </c>
      <c r="Q7712">
        <v>-0.104918899999999</v>
      </c>
      <c r="R7712">
        <v>-2.106241E-2</v>
      </c>
      <c r="S7712">
        <v>2.9827880000000002</v>
      </c>
      <c r="T7712">
        <v>-0.32439079999999998</v>
      </c>
      <c r="U7712">
        <v>-1.8325810000000001E-2</v>
      </c>
      <c r="V7712">
        <v>-1.884868E-2</v>
      </c>
      <c r="W7712">
        <v>-9.9144860000000001E-2</v>
      </c>
      <c r="X7712">
        <v>0.99489450000000001</v>
      </c>
      <c r="Y7712">
        <v>-3.3314879999999998E-2</v>
      </c>
      <c r="Z7712">
        <v>5.9958569999999899E-3</v>
      </c>
      <c r="AA7712">
        <v>0.99942690000000001</v>
      </c>
      <c r="AB7712">
        <v>25</v>
      </c>
      <c r="AC7712">
        <v>0.58039999999999703</v>
      </c>
      <c r="AD7712">
        <v>-9.1912999999999898E-2</v>
      </c>
      <c r="AE7712">
        <v>6.6999999999950398E-3</v>
      </c>
      <c r="AF7712">
        <v>-2.91065919069066E-2</v>
      </c>
      <c r="AG7712">
        <v>-9.1912999999999898E-2</v>
      </c>
      <c r="AH7712">
        <v>0.56549160725791703</v>
      </c>
      <c r="AI7712">
        <v>99.219926038377693</v>
      </c>
      <c r="AJ7712">
        <v>92.946488431535997</v>
      </c>
      <c r="AK7712">
        <v>0.57365141954027898</v>
      </c>
      <c r="AL7712">
        <v>95.689929732250206</v>
      </c>
      <c r="AM7712">
        <v>91.085361948419603</v>
      </c>
      <c r="AN7712">
        <v>1.0000000210661999</v>
      </c>
    </row>
    <row r="7713" spans="1:40" x14ac:dyDescent="0.25">
      <c r="A7713" t="str">
        <f>"20190303154715847"</f>
        <v>20190303154715847</v>
      </c>
      <c r="B7713" t="str">
        <f>"1551599235839848"</f>
        <v>1551599235839848</v>
      </c>
      <c r="C7713" t="s">
        <v>40</v>
      </c>
      <c r="D7713">
        <v>5.4260929999999998</v>
      </c>
      <c r="E7713">
        <v>0.50899640000000002</v>
      </c>
      <c r="F7713" t="s">
        <v>42</v>
      </c>
      <c r="G7713">
        <v>-143.04089999999999</v>
      </c>
      <c r="H7713">
        <v>1.03289599999999</v>
      </c>
      <c r="I7713">
        <v>138.60939999999999</v>
      </c>
      <c r="J7713">
        <v>-143.48570000000001</v>
      </c>
      <c r="K7713">
        <v>1.118876</v>
      </c>
      <c r="L7713">
        <v>138.5992</v>
      </c>
      <c r="M7713">
        <v>0.99909749999999997</v>
      </c>
      <c r="N7713">
        <v>-5.7818549999999998E-3</v>
      </c>
      <c r="O7713">
        <v>-4.2079699999999998E-2</v>
      </c>
      <c r="P7713">
        <v>0.99401150000000005</v>
      </c>
      <c r="Q7713">
        <v>-0.10736850000000001</v>
      </c>
      <c r="R7713">
        <v>-2.0327020000000001E-2</v>
      </c>
      <c r="S7713">
        <v>2.9834139999999998</v>
      </c>
      <c r="T7713">
        <v>-0.31635639999999998</v>
      </c>
      <c r="U7713">
        <v>-2.5115970000000001E-2</v>
      </c>
      <c r="V7713">
        <v>-2.1769839999999999E-2</v>
      </c>
      <c r="W7713">
        <v>-0.1015663</v>
      </c>
      <c r="X7713">
        <v>0.99459050000000004</v>
      </c>
      <c r="Y7713">
        <v>-3.3260739999999997E-2</v>
      </c>
      <c r="Z7713">
        <v>6.0605490000000001E-3</v>
      </c>
      <c r="AA7713">
        <v>0.99942830000000005</v>
      </c>
      <c r="AB7713">
        <v>25</v>
      </c>
      <c r="AC7713">
        <v>0.44480000000001402</v>
      </c>
      <c r="AD7713">
        <v>-8.5980000000000098E-2</v>
      </c>
      <c r="AE7713">
        <v>1.0199999999997499E-2</v>
      </c>
      <c r="AF7713">
        <v>-2.78676025502319E-2</v>
      </c>
      <c r="AG7713">
        <v>-8.5980000000000098E-2</v>
      </c>
      <c r="AH7713">
        <v>0.42799321449303701</v>
      </c>
      <c r="AI7713">
        <v>101.335632575521</v>
      </c>
      <c r="AJ7713">
        <v>93.725398501901097</v>
      </c>
      <c r="AK7713">
        <v>0.43743268662044499</v>
      </c>
      <c r="AL7713">
        <v>95.8293724224351</v>
      </c>
      <c r="AM7713">
        <v>91.253903807542699</v>
      </c>
      <c r="AN7713">
        <v>0.999999950959781</v>
      </c>
    </row>
    <row r="7714" spans="1:40" x14ac:dyDescent="0.25">
      <c r="A7714" t="str">
        <f>"20190303154716012"</f>
        <v>20190303154716012</v>
      </c>
      <c r="B7714" t="str">
        <f>"1551599236009673"</f>
        <v>1551599236009673</v>
      </c>
      <c r="C7714" t="s">
        <v>40</v>
      </c>
      <c r="D7714">
        <v>6.1751779999999998</v>
      </c>
      <c r="E7714">
        <v>0.52082289999999998</v>
      </c>
      <c r="F7714" t="s">
        <v>42</v>
      </c>
      <c r="G7714">
        <v>-141.4579</v>
      </c>
      <c r="H7714">
        <v>1.039453</v>
      </c>
      <c r="I7714">
        <v>138.4967</v>
      </c>
      <c r="J7714">
        <v>-141.5977</v>
      </c>
      <c r="K7714">
        <v>1.119232</v>
      </c>
      <c r="L7714">
        <v>138.50040000000001</v>
      </c>
      <c r="M7714">
        <v>0.99862930000000005</v>
      </c>
      <c r="N7714">
        <v>-6.7741040000000004E-3</v>
      </c>
      <c r="O7714">
        <v>-5.1900639999999998E-2</v>
      </c>
      <c r="P7714">
        <v>0.99347039999999998</v>
      </c>
      <c r="Q7714">
        <v>-0.1097993</v>
      </c>
      <c r="R7714">
        <v>-3.100197E-2</v>
      </c>
      <c r="S7714">
        <v>2.9874269999999998</v>
      </c>
      <c r="T7714">
        <v>-0.25230669999999999</v>
      </c>
      <c r="U7714">
        <v>-0.15092469999999999</v>
      </c>
      <c r="V7714">
        <v>-2.0812489999999999E-2</v>
      </c>
      <c r="W7714">
        <v>-0.103023</v>
      </c>
      <c r="X7714">
        <v>0.99446120000000005</v>
      </c>
      <c r="Y7714">
        <v>-1.287502E-3</v>
      </c>
      <c r="Z7714">
        <v>4.0774519999999996E-3</v>
      </c>
      <c r="AA7714">
        <v>0.99999090000000002</v>
      </c>
      <c r="AB7714">
        <v>26</v>
      </c>
      <c r="AC7714">
        <v>0.139800000000008</v>
      </c>
      <c r="AD7714">
        <v>-7.9779000000000003E-2</v>
      </c>
      <c r="AE7714">
        <v>-3.70000000000914E-3</v>
      </c>
      <c r="AF7714">
        <v>-2.6865699306061301E-3</v>
      </c>
      <c r="AG7714">
        <v>-7.9779000000000003E-2</v>
      </c>
      <c r="AH7714">
        <v>0.105477862088502</v>
      </c>
      <c r="AI7714">
        <v>127.09338344894201</v>
      </c>
      <c r="AJ7714">
        <v>91.459034544372699</v>
      </c>
      <c r="AK7714">
        <v>0.13227806276837101</v>
      </c>
      <c r="AL7714">
        <v>95.913275117488197</v>
      </c>
      <c r="AM7714">
        <v>91.198934442368696</v>
      </c>
      <c r="AN7714">
        <v>0.99999998828722003</v>
      </c>
    </row>
    <row r="7715" spans="1:40" x14ac:dyDescent="0.25">
      <c r="A7715" t="str">
        <f>"20190303154716037"</f>
        <v>20190303154716037</v>
      </c>
      <c r="B7715" t="str">
        <f>"1551599236030169"</f>
        <v>1551599236030169</v>
      </c>
      <c r="C7715" t="s">
        <v>40</v>
      </c>
      <c r="D7715">
        <v>5.9421569999999999</v>
      </c>
      <c r="E7715">
        <v>0.52202219999999999</v>
      </c>
      <c r="F7715" t="s">
        <v>42</v>
      </c>
      <c r="G7715">
        <v>-140.75319999999999</v>
      </c>
      <c r="H7715">
        <v>1.053072</v>
      </c>
      <c r="I7715">
        <v>138.42779999999999</v>
      </c>
      <c r="J7715">
        <v>-141.30959999999999</v>
      </c>
      <c r="K7715">
        <v>1.119327</v>
      </c>
      <c r="L7715">
        <v>138.48390000000001</v>
      </c>
      <c r="M7715">
        <v>0.99856009999999995</v>
      </c>
      <c r="N7715">
        <v>-7.1452540000000002E-3</v>
      </c>
      <c r="O7715">
        <v>-5.3168710000000001E-2</v>
      </c>
      <c r="P7715">
        <v>0.9933959</v>
      </c>
      <c r="Q7715">
        <v>-0.11069619999999999</v>
      </c>
      <c r="R7715">
        <v>-3.0190100000000001E-2</v>
      </c>
      <c r="S7715">
        <v>2.98584</v>
      </c>
      <c r="T7715">
        <v>-0.23393800000000001</v>
      </c>
      <c r="U7715">
        <v>-0.25665280000000001</v>
      </c>
      <c r="V7715">
        <v>-2.2874410000000001E-2</v>
      </c>
      <c r="W7715">
        <v>-0.1035493</v>
      </c>
      <c r="X7715">
        <v>0.9943613</v>
      </c>
      <c r="Y7715">
        <v>3.2570219999999997E-2</v>
      </c>
      <c r="Z7715">
        <v>2.380451E-3</v>
      </c>
      <c r="AA7715">
        <v>0.99946659999999998</v>
      </c>
      <c r="AB7715">
        <v>26</v>
      </c>
      <c r="AC7715">
        <v>0.55639999999999601</v>
      </c>
      <c r="AD7715">
        <v>-6.6254999999999897E-2</v>
      </c>
      <c r="AE7715">
        <v>-5.6100000000014902E-2</v>
      </c>
      <c r="AF7715">
        <v>2.6070869630089599E-2</v>
      </c>
      <c r="AG7715">
        <v>-6.6254999999999897E-2</v>
      </c>
      <c r="AH7715">
        <v>0.55086339842328602</v>
      </c>
      <c r="AI7715">
        <v>96.850700751375101</v>
      </c>
      <c r="AJ7715">
        <v>87.290368122917897</v>
      </c>
      <c r="AK7715">
        <v>0.555445676003262</v>
      </c>
      <c r="AL7715">
        <v>95.943591689845505</v>
      </c>
      <c r="AM7715">
        <v>91.317806755583803</v>
      </c>
      <c r="AN7715">
        <v>1.00000004555051</v>
      </c>
    </row>
    <row r="7716" spans="1:40" x14ac:dyDescent="0.25">
      <c r="A7716" t="str">
        <f>"20190303154716063"</f>
        <v>20190303154716063</v>
      </c>
      <c r="B7716" t="str">
        <f>"1551599236059451"</f>
        <v>1551599236059451</v>
      </c>
      <c r="C7716" t="s">
        <v>40</v>
      </c>
      <c r="D7716">
        <v>5.9577710000000002</v>
      </c>
      <c r="E7716">
        <v>0.51867029999999903</v>
      </c>
      <c r="F7716" t="s">
        <v>41</v>
      </c>
      <c r="G7716">
        <v>-116.89709999999999</v>
      </c>
      <c r="H7716" s="1">
        <v>-1.9094089999999999E-6</v>
      </c>
      <c r="I7716">
        <v>136.3562</v>
      </c>
      <c r="J7716">
        <v>-141.02209999999999</v>
      </c>
      <c r="K7716">
        <v>1.119424</v>
      </c>
      <c r="L7716">
        <v>138.46729999999999</v>
      </c>
      <c r="M7716">
        <v>0.99849270000000001</v>
      </c>
      <c r="N7716">
        <v>-7.5713050000000004E-3</v>
      </c>
      <c r="O7716">
        <v>-5.4360459999999999E-2</v>
      </c>
      <c r="P7716">
        <v>0.99336270000000004</v>
      </c>
      <c r="Q7716">
        <v>-0.1113263</v>
      </c>
      <c r="R7716">
        <v>-2.893654E-2</v>
      </c>
      <c r="S7716">
        <v>2.9967039999999998</v>
      </c>
      <c r="T7716">
        <v>-0.1374011</v>
      </c>
      <c r="U7716">
        <v>-0.26118469999999999</v>
      </c>
      <c r="V7716">
        <v>-2.530191E-2</v>
      </c>
      <c r="W7716">
        <v>-0.1037542</v>
      </c>
      <c r="X7716">
        <v>0.99428110000000003</v>
      </c>
      <c r="Y7716">
        <v>3.2542920000000003E-2</v>
      </c>
      <c r="Z7716">
        <v>1.2052779999999999E-3</v>
      </c>
      <c r="AA7716">
        <v>0.99946959999999996</v>
      </c>
      <c r="AB7716">
        <v>26</v>
      </c>
      <c r="AC7716">
        <v>24.125</v>
      </c>
      <c r="AD7716">
        <v>-1.119425909409</v>
      </c>
      <c r="AE7716">
        <v>-2.1110999999999902</v>
      </c>
      <c r="AF7716">
        <v>0.79479640885918501</v>
      </c>
      <c r="AG7716">
        <v>-1.119425909409</v>
      </c>
      <c r="AH7716">
        <v>24.1524832657622</v>
      </c>
      <c r="AI7716">
        <v>92.652227795250596</v>
      </c>
      <c r="AJ7716">
        <v>88.1152226831896</v>
      </c>
      <c r="AK7716">
        <v>24.191470885440499</v>
      </c>
      <c r="AL7716">
        <v>95.955395365328698</v>
      </c>
      <c r="AM7716">
        <v>91.457716385463499</v>
      </c>
      <c r="AN7716">
        <v>1.00000001324224</v>
      </c>
    </row>
    <row r="7717" spans="1:40" x14ac:dyDescent="0.25">
      <c r="A7717" t="str">
        <f>"20190303154716092"</f>
        <v>20190303154716092</v>
      </c>
      <c r="B7717" t="str">
        <f>"1551599236079944"</f>
        <v>1551599236079944</v>
      </c>
      <c r="C7717" t="s">
        <v>40</v>
      </c>
      <c r="D7717">
        <v>5.986186</v>
      </c>
      <c r="E7717">
        <v>0.51631700000000003</v>
      </c>
      <c r="F7717" t="s">
        <v>41</v>
      </c>
      <c r="G7717">
        <v>-118.3772</v>
      </c>
      <c r="H7717" s="1">
        <v>-1.308453E-6</v>
      </c>
      <c r="I7717">
        <v>136.7218</v>
      </c>
      <c r="J7717">
        <v>-140.68389999999999</v>
      </c>
      <c r="K7717">
        <v>1.119529</v>
      </c>
      <c r="L7717">
        <v>138.44730000000001</v>
      </c>
      <c r="M7717">
        <v>0.99841769999999996</v>
      </c>
      <c r="N7717">
        <v>-8.1033839999999999E-3</v>
      </c>
      <c r="O7717">
        <v>-5.5649240000000003E-2</v>
      </c>
      <c r="P7717">
        <v>0.99309550000000002</v>
      </c>
      <c r="Q7717">
        <v>-0.1145</v>
      </c>
      <c r="R7717">
        <v>-2.5530529999999999E-2</v>
      </c>
      <c r="S7717">
        <v>2.9967190000000001</v>
      </c>
      <c r="T7717">
        <v>-0.14813959999999901</v>
      </c>
      <c r="U7717">
        <v>-0.23098750000000001</v>
      </c>
      <c r="V7717">
        <v>-2.9960810000000001E-2</v>
      </c>
      <c r="W7717">
        <v>-0.1063979</v>
      </c>
      <c r="X7717">
        <v>0.99387219999999998</v>
      </c>
      <c r="Y7717">
        <v>2.1263669999999998E-2</v>
      </c>
      <c r="Z7717">
        <v>1.681391E-3</v>
      </c>
      <c r="AA7717">
        <v>0.99977249999999995</v>
      </c>
      <c r="AB7717">
        <v>26</v>
      </c>
      <c r="AC7717">
        <v>22.3066999999999</v>
      </c>
      <c r="AD7717">
        <v>-1.1195303084529999</v>
      </c>
      <c r="AE7717">
        <v>-1.72550000000001</v>
      </c>
      <c r="AF7717">
        <v>0.48023211417214601</v>
      </c>
      <c r="AG7717">
        <v>-1.1195303084529999</v>
      </c>
      <c r="AH7717">
        <v>22.3122898719175</v>
      </c>
      <c r="AI7717">
        <v>92.871771510823095</v>
      </c>
      <c r="AJ7717">
        <v>88.767001241768895</v>
      </c>
      <c r="AK7717">
        <v>22.3455196924014</v>
      </c>
      <c r="AL7717">
        <v>96.1077111889375</v>
      </c>
      <c r="AM7717">
        <v>91.726689055205497</v>
      </c>
      <c r="AN7717">
        <v>1.0000000565965499</v>
      </c>
    </row>
    <row r="7718" spans="1:40" x14ac:dyDescent="0.25">
      <c r="A7718" t="str">
        <f>"20190303154716123"</f>
        <v>20190303154716123</v>
      </c>
      <c r="B7718" t="str">
        <f>"1551599236119961"</f>
        <v>1551599236119961</v>
      </c>
      <c r="C7718" t="s">
        <v>40</v>
      </c>
      <c r="D7718">
        <v>5.9848720000000002</v>
      </c>
      <c r="E7718">
        <v>0.5141734</v>
      </c>
      <c r="F7718" t="s">
        <v>41</v>
      </c>
      <c r="G7718">
        <v>-123.4774</v>
      </c>
      <c r="H7718" s="1">
        <v>-3.1946720000000002E-6</v>
      </c>
      <c r="I7718">
        <v>137.28129999999999</v>
      </c>
      <c r="J7718">
        <v>-140.32579999999999</v>
      </c>
      <c r="K7718">
        <v>1.11965</v>
      </c>
      <c r="L7718">
        <v>138.42570000000001</v>
      </c>
      <c r="M7718">
        <v>0.99834250000000002</v>
      </c>
      <c r="N7718">
        <v>-8.643085E-3</v>
      </c>
      <c r="O7718">
        <v>-5.6903559999999999E-2</v>
      </c>
      <c r="P7718">
        <v>0.99296580000000001</v>
      </c>
      <c r="Q7718">
        <v>-0.1157654</v>
      </c>
      <c r="R7718">
        <v>-2.485062E-2</v>
      </c>
      <c r="S7718">
        <v>2.993179</v>
      </c>
      <c r="T7718">
        <v>-0.1947497</v>
      </c>
      <c r="U7718">
        <v>-0.20281979999999999</v>
      </c>
      <c r="V7718">
        <v>-3.1864799999999999E-2</v>
      </c>
      <c r="W7718">
        <v>-0.10713010000000001</v>
      </c>
      <c r="X7718">
        <v>0.99373420000000001</v>
      </c>
      <c r="Y7718">
        <v>1.0784749999999999E-2</v>
      </c>
      <c r="Z7718">
        <v>2.8029399999999999E-3</v>
      </c>
      <c r="AA7718">
        <v>0.99993790000000005</v>
      </c>
      <c r="AB7718">
        <v>26</v>
      </c>
      <c r="AC7718">
        <v>16.848399999999899</v>
      </c>
      <c r="AD7718">
        <v>-1.1196531946719901</v>
      </c>
      <c r="AE7718">
        <v>-1.1444000000000101</v>
      </c>
      <c r="AF7718">
        <v>0.18297170772324001</v>
      </c>
      <c r="AG7718">
        <v>-1.1196531946719901</v>
      </c>
      <c r="AH7718">
        <v>16.812315273839602</v>
      </c>
      <c r="AI7718">
        <v>93.809887566673098</v>
      </c>
      <c r="AJ7718">
        <v>89.376463468659196</v>
      </c>
      <c r="AK7718">
        <v>16.8505503408389</v>
      </c>
      <c r="AL7718">
        <v>96.149905024045097</v>
      </c>
      <c r="AM7718">
        <v>91.836600974333805</v>
      </c>
      <c r="AN7718">
        <v>0.99999994202734299</v>
      </c>
    </row>
    <row r="7719" spans="1:40" x14ac:dyDescent="0.25">
      <c r="A7719" t="str">
        <f>"20190303154716158"</f>
        <v>20190303154716158</v>
      </c>
      <c r="B7719" t="str">
        <f>"1551599236149241"</f>
        <v>1551599236149241</v>
      </c>
      <c r="C7719" t="s">
        <v>40</v>
      </c>
      <c r="D7719">
        <v>5.9707629999999998</v>
      </c>
      <c r="E7719">
        <v>0.51301129999999995</v>
      </c>
      <c r="F7719" t="s">
        <v>42</v>
      </c>
      <c r="G7719">
        <v>-139.38630000000001</v>
      </c>
      <c r="H7719">
        <v>1.043874</v>
      </c>
      <c r="I7719">
        <v>138.36760000000001</v>
      </c>
      <c r="J7719">
        <v>-139.92099999999999</v>
      </c>
      <c r="K7719">
        <v>1.119802</v>
      </c>
      <c r="L7719">
        <v>138.40110000000001</v>
      </c>
      <c r="M7719">
        <v>0.99826749999999997</v>
      </c>
      <c r="N7719">
        <v>-9.2303439999999997E-3</v>
      </c>
      <c r="O7719">
        <v>-5.8111929999999999E-2</v>
      </c>
      <c r="P7719">
        <v>0.9928572</v>
      </c>
      <c r="Q7719">
        <v>-0.1170944</v>
      </c>
      <c r="R7719">
        <v>-2.2884930000000001E-2</v>
      </c>
      <c r="S7719">
        <v>2.9885250000000001</v>
      </c>
      <c r="T7719">
        <v>-0.2410417</v>
      </c>
      <c r="U7719">
        <v>-0.18475340000000001</v>
      </c>
      <c r="V7719">
        <v>-3.4998179999999997E-2</v>
      </c>
      <c r="W7719">
        <v>-0.1078813</v>
      </c>
      <c r="X7719">
        <v>0.99354759999999998</v>
      </c>
      <c r="Y7719">
        <v>3.7288410000000001E-3</v>
      </c>
      <c r="Z7719">
        <v>3.9681079999999997E-3</v>
      </c>
      <c r="AA7719">
        <v>0.99998520000000002</v>
      </c>
      <c r="AB7719">
        <v>26</v>
      </c>
      <c r="AC7719">
        <v>0.53469999999998596</v>
      </c>
      <c r="AD7719">
        <v>-7.5927999999999995E-2</v>
      </c>
      <c r="AE7719">
        <v>-3.3500000000003603E-2</v>
      </c>
      <c r="AF7719">
        <v>2.32295532447655E-3</v>
      </c>
      <c r="AG7719">
        <v>-7.5927999999999995E-2</v>
      </c>
      <c r="AH7719">
        <v>0.52519437210921804</v>
      </c>
      <c r="AI7719">
        <v>98.226245956703295</v>
      </c>
      <c r="AJ7719">
        <v>89.746580170618799</v>
      </c>
      <c r="AK7719">
        <v>0.53065957618857296</v>
      </c>
      <c r="AL7719">
        <v>96.193195902292501</v>
      </c>
      <c r="AM7719">
        <v>92.017436536011601</v>
      </c>
      <c r="AN7719">
        <v>1.0000000404793801</v>
      </c>
    </row>
    <row r="7720" spans="1:40" x14ac:dyDescent="0.25">
      <c r="A7720" t="str">
        <f>"20190303154716189"</f>
        <v>20190303154716189</v>
      </c>
      <c r="B7720" t="str">
        <f>"1551599236179497"</f>
        <v>1551599236179497</v>
      </c>
      <c r="C7720" t="s">
        <v>40</v>
      </c>
      <c r="D7720">
        <v>5.9747339999999998</v>
      </c>
      <c r="E7720">
        <v>0.51239449999999997</v>
      </c>
      <c r="F7720" t="s">
        <v>41</v>
      </c>
      <c r="G7720">
        <v>-127.4259</v>
      </c>
      <c r="H7720" s="1">
        <v>-1.4285650000000001E-6</v>
      </c>
      <c r="I7720">
        <v>137.6885</v>
      </c>
      <c r="J7720">
        <v>-139.5761</v>
      </c>
      <c r="K7720">
        <v>1.119955</v>
      </c>
      <c r="L7720">
        <v>138.37989999999999</v>
      </c>
      <c r="M7720">
        <v>0.99821409999999999</v>
      </c>
      <c r="N7720">
        <v>-9.730219E-3</v>
      </c>
      <c r="O7720">
        <v>-5.8941460000000001E-2</v>
      </c>
      <c r="P7720">
        <v>0.99270590000000003</v>
      </c>
      <c r="Q7720">
        <v>-0.1184216</v>
      </c>
      <c r="R7720">
        <v>-2.261546E-2</v>
      </c>
      <c r="S7720">
        <v>2.986084</v>
      </c>
      <c r="T7720">
        <v>-0.26760879999999998</v>
      </c>
      <c r="U7720">
        <v>-0.1702881</v>
      </c>
      <c r="V7720">
        <v>-3.6056060000000001E-2</v>
      </c>
      <c r="W7720">
        <v>-0.1087214</v>
      </c>
      <c r="X7720">
        <v>0.99341820000000003</v>
      </c>
      <c r="Y7720">
        <v>-1.818154E-3</v>
      </c>
      <c r="Z7720">
        <v>4.7805159999999899E-3</v>
      </c>
      <c r="AA7720">
        <v>0.99998690000000001</v>
      </c>
      <c r="AB7720">
        <v>26</v>
      </c>
      <c r="AC7720">
        <v>12.1501999999999</v>
      </c>
      <c r="AD7720">
        <v>-1.1199564285650001</v>
      </c>
      <c r="AE7720">
        <v>-0.69139999999998702</v>
      </c>
      <c r="AF7720">
        <v>-2.5768295323597399E-2</v>
      </c>
      <c r="AG7720">
        <v>-1.1199564285650001</v>
      </c>
      <c r="AH7720">
        <v>12.0676276506686</v>
      </c>
      <c r="AI7720">
        <v>95.302230844747996</v>
      </c>
      <c r="AJ7720">
        <v>90.122344868939905</v>
      </c>
      <c r="AK7720">
        <v>12.119513336851</v>
      </c>
      <c r="AL7720">
        <v>96.241614814166098</v>
      </c>
      <c r="AM7720">
        <v>92.078634803672799</v>
      </c>
      <c r="AN7720">
        <v>1.0000000511859599</v>
      </c>
    </row>
    <row r="7721" spans="1:40" x14ac:dyDescent="0.25">
      <c r="A7721" t="str">
        <f>"20190303154716216"</f>
        <v>20190303154716216</v>
      </c>
      <c r="B7721" t="str">
        <f>"1551599236209753"</f>
        <v>1551599236209753</v>
      </c>
      <c r="C7721" t="s">
        <v>40</v>
      </c>
      <c r="D7721">
        <v>5.948976</v>
      </c>
      <c r="E7721">
        <v>0.51197979999999998</v>
      </c>
      <c r="F7721" t="s">
        <v>42</v>
      </c>
      <c r="G7721">
        <v>-138.7021</v>
      </c>
      <c r="H7721">
        <v>1.0358860000000001</v>
      </c>
      <c r="I7721">
        <v>138.33150000000001</v>
      </c>
      <c r="J7721">
        <v>-139.2525</v>
      </c>
      <c r="K7721">
        <v>1.1201399999999999</v>
      </c>
      <c r="L7721">
        <v>138.35990000000001</v>
      </c>
      <c r="M7721">
        <v>0.99817529999999999</v>
      </c>
      <c r="N7721">
        <v>-1.025908E-2</v>
      </c>
      <c r="O7721">
        <v>-5.9506730000000001E-2</v>
      </c>
      <c r="P7721">
        <v>0.99272510000000003</v>
      </c>
      <c r="Q7721">
        <v>-0.1184646</v>
      </c>
      <c r="R7721">
        <v>-2.151776E-2</v>
      </c>
      <c r="S7721">
        <v>2.9840390000000001</v>
      </c>
      <c r="T7721">
        <v>-0.2870702</v>
      </c>
      <c r="U7721">
        <v>-0.1650085</v>
      </c>
      <c r="V7721">
        <v>-3.7682279999999999E-2</v>
      </c>
      <c r="W7721">
        <v>-0.1082494</v>
      </c>
      <c r="X7721">
        <v>0.99340930000000005</v>
      </c>
      <c r="Y7721">
        <v>-4.0654200000000001E-3</v>
      </c>
      <c r="Z7721">
        <v>5.3088429999999997E-3</v>
      </c>
      <c r="AA7721">
        <v>0.99997760000000002</v>
      </c>
      <c r="AB7721">
        <v>26</v>
      </c>
      <c r="AC7721">
        <v>0.550399999999996</v>
      </c>
      <c r="AD7721">
        <v>-8.4253999999999801E-2</v>
      </c>
      <c r="AE7721">
        <v>-2.84000000000048E-2</v>
      </c>
      <c r="AF7721">
        <v>-4.3039706764943604E-3</v>
      </c>
      <c r="AG7721">
        <v>-8.4253999999999801E-2</v>
      </c>
      <c r="AH7721">
        <v>0.53852888443427305</v>
      </c>
      <c r="AI7721">
        <v>98.891685493714405</v>
      </c>
      <c r="AJ7721">
        <v>90.457903209750398</v>
      </c>
      <c r="AK7721">
        <v>0.54509689051544497</v>
      </c>
      <c r="AL7721">
        <v>96.214411205493604</v>
      </c>
      <c r="AM7721">
        <v>92.172318081128196</v>
      </c>
      <c r="AN7721">
        <v>0.99999996207642305</v>
      </c>
    </row>
    <row r="7722" spans="1:40" x14ac:dyDescent="0.25">
      <c r="A7722" t="str">
        <f>"20190303154716239"</f>
        <v>20190303154716239</v>
      </c>
      <c r="B7722" t="str">
        <f>"1551599236229273"</f>
        <v>1551599236229273</v>
      </c>
      <c r="C7722" t="s">
        <v>40</v>
      </c>
      <c r="D7722">
        <v>5.9861659999999999</v>
      </c>
      <c r="E7722">
        <v>0.51184379999999996</v>
      </c>
      <c r="F7722" t="s">
        <v>42</v>
      </c>
      <c r="G7722">
        <v>-138.46549999999999</v>
      </c>
      <c r="H7722">
        <v>1.04125</v>
      </c>
      <c r="I7722">
        <v>138.31799999999899</v>
      </c>
      <c r="J7722">
        <v>-139.01009999999999</v>
      </c>
      <c r="K7722">
        <v>1.1202840000000001</v>
      </c>
      <c r="L7722">
        <v>138.3451</v>
      </c>
      <c r="M7722">
        <v>0.99815449999999994</v>
      </c>
      <c r="N7722">
        <v>-1.065397E-2</v>
      </c>
      <c r="O7722">
        <v>-5.9782990000000001E-2</v>
      </c>
      <c r="P7722">
        <v>0.99283109999999997</v>
      </c>
      <c r="Q7722">
        <v>-0.1178719</v>
      </c>
      <c r="R7722">
        <v>-1.9812980000000001E-2</v>
      </c>
      <c r="S7722">
        <v>2.9828489999999999</v>
      </c>
      <c r="T7722">
        <v>-0.29903770000000002</v>
      </c>
      <c r="U7722">
        <v>-0.1588135</v>
      </c>
      <c r="V7722">
        <v>-3.9637110000000003E-2</v>
      </c>
      <c r="W7722">
        <v>-0.10727299999999999</v>
      </c>
      <c r="X7722">
        <v>0.99343919999999997</v>
      </c>
      <c r="Y7722">
        <v>-6.3566990000000004E-3</v>
      </c>
      <c r="Z7722">
        <v>5.6851410000000003E-3</v>
      </c>
      <c r="AA7722">
        <v>0.99996359999999995</v>
      </c>
      <c r="AB7722">
        <v>26</v>
      </c>
      <c r="AC7722">
        <v>0.54460000000000197</v>
      </c>
      <c r="AD7722">
        <v>-7.9033999999999993E-2</v>
      </c>
      <c r="AE7722">
        <v>-2.7100000000018502E-2</v>
      </c>
      <c r="AF7722">
        <v>-5.3948045669965699E-3</v>
      </c>
      <c r="AG7722">
        <v>-7.9033999999999993E-2</v>
      </c>
      <c r="AH7722">
        <v>0.534026833164991</v>
      </c>
      <c r="AI7722">
        <v>98.418032533139197</v>
      </c>
      <c r="AJ7722">
        <v>90.5787893034625</v>
      </c>
      <c r="AK7722">
        <v>0.53987048040483299</v>
      </c>
      <c r="AL7722">
        <v>96.158139561845104</v>
      </c>
      <c r="AM7722">
        <v>92.284825443031096</v>
      </c>
      <c r="AN7722">
        <v>1.00000002055739</v>
      </c>
    </row>
    <row r="7723" spans="1:40" x14ac:dyDescent="0.25">
      <c r="A7723" t="str">
        <f>"20190303154716271"</f>
        <v>20190303154716271</v>
      </c>
      <c r="B7723" t="str">
        <f>"1551599236259529"</f>
        <v>1551599236259529</v>
      </c>
      <c r="C7723" t="s">
        <v>40</v>
      </c>
      <c r="D7723">
        <v>6.0220479999999998</v>
      </c>
      <c r="E7723">
        <v>0.5116733</v>
      </c>
      <c r="F7723" t="s">
        <v>42</v>
      </c>
      <c r="G7723">
        <v>-138.2294</v>
      </c>
      <c r="H7723">
        <v>1.040926</v>
      </c>
      <c r="I7723">
        <v>138.30500000000001</v>
      </c>
      <c r="J7723">
        <v>-138.6371</v>
      </c>
      <c r="K7723">
        <v>1.1205160000000001</v>
      </c>
      <c r="L7723">
        <v>138.32239999999999</v>
      </c>
      <c r="M7723">
        <v>0.99814270000000005</v>
      </c>
      <c r="N7723">
        <v>-1.119758E-2</v>
      </c>
      <c r="O7723">
        <v>-5.9883140000000001E-2</v>
      </c>
      <c r="P7723">
        <v>0.99276819999999999</v>
      </c>
      <c r="Q7723">
        <v>-0.118770899999999</v>
      </c>
      <c r="R7723">
        <v>-1.745532E-2</v>
      </c>
      <c r="S7723">
        <v>2.982605</v>
      </c>
      <c r="T7723">
        <v>-0.30327809999999999</v>
      </c>
      <c r="U7723">
        <v>-0.15267939999999999</v>
      </c>
      <c r="V7723">
        <v>-4.203838E-2</v>
      </c>
      <c r="W7723">
        <v>-0.1076516</v>
      </c>
      <c r="X7723">
        <v>0.9932995</v>
      </c>
      <c r="Y7723">
        <v>-8.4855E-3</v>
      </c>
      <c r="Z7723">
        <v>5.8729489999999997E-3</v>
      </c>
      <c r="AA7723">
        <v>0.99994680000000002</v>
      </c>
      <c r="AB7723">
        <v>26</v>
      </c>
      <c r="AC7723">
        <v>0.407700000000005</v>
      </c>
      <c r="AD7723">
        <v>-7.9589999999999994E-2</v>
      </c>
      <c r="AE7723">
        <v>-1.7399999999980698E-2</v>
      </c>
      <c r="AF7723">
        <v>-6.7888630439713197E-3</v>
      </c>
      <c r="AG7723">
        <v>-7.9589999999999994E-2</v>
      </c>
      <c r="AH7723">
        <v>0.39305818261943598</v>
      </c>
      <c r="AI7723">
        <v>101.445334677836</v>
      </c>
      <c r="AJ7723">
        <v>90.989508792619901</v>
      </c>
      <c r="AK7723">
        <v>0.40109274698693298</v>
      </c>
      <c r="AL7723">
        <v>96.179958252689204</v>
      </c>
      <c r="AM7723">
        <v>92.423423377272002</v>
      </c>
      <c r="AN7723">
        <v>0.99999999453791699</v>
      </c>
    </row>
    <row r="7724" spans="1:40" x14ac:dyDescent="0.25">
      <c r="A7724" t="str">
        <f>"20190303154716316"</f>
        <v>20190303154716316</v>
      </c>
      <c r="B7724" t="str">
        <f>"1551599236309305"</f>
        <v>1551599236309305</v>
      </c>
      <c r="C7724" t="s">
        <v>40</v>
      </c>
      <c r="D7724">
        <v>6.0029349999999999</v>
      </c>
      <c r="E7724">
        <v>0.51151179999999996</v>
      </c>
      <c r="F7724" t="s">
        <v>42</v>
      </c>
      <c r="G7724">
        <v>-137.7903</v>
      </c>
      <c r="H7724">
        <v>1.0312520000000001</v>
      </c>
      <c r="I7724">
        <v>138.28129999999999</v>
      </c>
      <c r="J7724">
        <v>-138.1266</v>
      </c>
      <c r="K7724">
        <v>1.120865</v>
      </c>
      <c r="L7724">
        <v>138.2921</v>
      </c>
      <c r="M7724">
        <v>0.99816740000000004</v>
      </c>
      <c r="N7724">
        <v>-1.1828299999999899E-2</v>
      </c>
      <c r="O7724">
        <v>-5.9348850000000002E-2</v>
      </c>
      <c r="P7724">
        <v>0.99224140000000005</v>
      </c>
      <c r="Q7724">
        <v>-0.1227019</v>
      </c>
      <c r="R7724">
        <v>-2.003535E-2</v>
      </c>
      <c r="S7724">
        <v>2.9817200000000001</v>
      </c>
      <c r="T7724">
        <v>-0.3143919</v>
      </c>
      <c r="U7724">
        <v>-0.1444397</v>
      </c>
      <c r="V7724">
        <v>-3.8828649999999999E-2</v>
      </c>
      <c r="W7724">
        <v>-0.11098570000000001</v>
      </c>
      <c r="X7724">
        <v>0.99306320000000003</v>
      </c>
      <c r="Y7724">
        <v>-1.0660029999999999E-2</v>
      </c>
      <c r="Z7724">
        <v>6.1547569999999899E-3</v>
      </c>
      <c r="AA7724">
        <v>0.99992420000000004</v>
      </c>
      <c r="AB7724">
        <v>26</v>
      </c>
      <c r="AC7724">
        <v>0.33629999999999399</v>
      </c>
      <c r="AD7724">
        <v>-8.9612999999999901E-2</v>
      </c>
      <c r="AE7724">
        <v>-1.08000000000174E-2</v>
      </c>
      <c r="AF7724">
        <v>-8.5714621295055402E-3</v>
      </c>
      <c r="AG7724">
        <v>-8.9612999999999901E-2</v>
      </c>
      <c r="AH7724">
        <v>0.31407056221894403</v>
      </c>
      <c r="AI7724">
        <v>105.919283588135</v>
      </c>
      <c r="AJ7724">
        <v>91.563300695767893</v>
      </c>
      <c r="AK7724">
        <v>0.32671742803921799</v>
      </c>
      <c r="AL7724">
        <v>96.372139933639204</v>
      </c>
      <c r="AM7724">
        <v>92.239117401061804</v>
      </c>
      <c r="AN7724">
        <v>1.0000000044297701</v>
      </c>
    </row>
    <row r="7725" spans="1:40" x14ac:dyDescent="0.25">
      <c r="A7725" t="str">
        <f>"20190303154716347"</f>
        <v>20190303154716347</v>
      </c>
      <c r="B7725" t="str">
        <f>"1551599236339564"</f>
        <v>1551599236339564</v>
      </c>
      <c r="C7725" t="s">
        <v>40</v>
      </c>
      <c r="D7725">
        <v>6.0069629999999998</v>
      </c>
      <c r="E7725">
        <v>0.51143139999999998</v>
      </c>
      <c r="F7725" t="s">
        <v>42</v>
      </c>
      <c r="G7725">
        <v>-137.33600000000001</v>
      </c>
      <c r="H7725">
        <v>1.0312589999999999</v>
      </c>
      <c r="I7725">
        <v>138.2518</v>
      </c>
      <c r="J7725">
        <v>-137.7732</v>
      </c>
      <c r="K7725">
        <v>1.121116</v>
      </c>
      <c r="L7725">
        <v>138.27189999999999</v>
      </c>
      <c r="M7725">
        <v>0.99821360000000003</v>
      </c>
      <c r="N7725">
        <v>-1.219285E-2</v>
      </c>
      <c r="O7725">
        <v>-5.8489050000000001E-2</v>
      </c>
      <c r="P7725">
        <v>0.99237580000000003</v>
      </c>
      <c r="Q7725">
        <v>-0.12129379999999999</v>
      </c>
      <c r="R7725">
        <v>-2.187505E-2</v>
      </c>
      <c r="S7725">
        <v>2.9786679999999999</v>
      </c>
      <c r="T7725">
        <v>-0.33762419999999999</v>
      </c>
      <c r="U7725">
        <v>-0.15148929999999999</v>
      </c>
      <c r="V7725">
        <v>-3.6093840000000002E-2</v>
      </c>
      <c r="W7725">
        <v>-0.1092286</v>
      </c>
      <c r="X7725">
        <v>0.9933611</v>
      </c>
      <c r="Y7725">
        <v>-7.3634529999999998E-3</v>
      </c>
      <c r="Z7725">
        <v>6.3484500000000003E-3</v>
      </c>
      <c r="AA7725">
        <v>0.99995270000000003</v>
      </c>
      <c r="AB7725">
        <v>25</v>
      </c>
      <c r="AC7725">
        <v>0.43719999999998999</v>
      </c>
      <c r="AD7725">
        <v>-8.9857000000000006E-2</v>
      </c>
      <c r="AE7725">
        <v>-2.0099999999985099E-2</v>
      </c>
      <c r="AF7725">
        <v>-5.2849530196991002E-3</v>
      </c>
      <c r="AG7725">
        <v>-8.9857000000000006E-2</v>
      </c>
      <c r="AH7725">
        <v>0.41992607661269199</v>
      </c>
      <c r="AI7725">
        <v>102.077239463268</v>
      </c>
      <c r="AJ7725">
        <v>90.721054332871205</v>
      </c>
      <c r="AK7725">
        <v>0.42946492405870401</v>
      </c>
      <c r="AL7725">
        <v>96.270849889852002</v>
      </c>
      <c r="AM7725">
        <v>92.080930413387804</v>
      </c>
      <c r="AN7725">
        <v>0.99999996366855703</v>
      </c>
    </row>
    <row r="7726" spans="1:40" x14ac:dyDescent="0.25">
      <c r="A7726" t="str">
        <f>"20190303154716383"</f>
        <v>20190303154716383</v>
      </c>
      <c r="B7726" t="str">
        <f>"1551599236379577"</f>
        <v>1551599236379577</v>
      </c>
      <c r="C7726" t="s">
        <v>40</v>
      </c>
      <c r="D7726">
        <v>6.0474439999999996</v>
      </c>
      <c r="E7726">
        <v>0.51129970000000002</v>
      </c>
      <c r="F7726" t="s">
        <v>42</v>
      </c>
      <c r="G7726">
        <v>-136.8886</v>
      </c>
      <c r="H7726">
        <v>1.0204029999999999</v>
      </c>
      <c r="I7726">
        <v>138.2253</v>
      </c>
      <c r="J7726">
        <v>-137.363</v>
      </c>
      <c r="K7726">
        <v>1.121456</v>
      </c>
      <c r="L7726">
        <v>138.24950000000001</v>
      </c>
      <c r="M7726">
        <v>0.99830140000000001</v>
      </c>
      <c r="N7726">
        <v>-1.254591E-2</v>
      </c>
      <c r="O7726">
        <v>-5.6894239999999999E-2</v>
      </c>
      <c r="P7726">
        <v>0.99221519999999996</v>
      </c>
      <c r="Q7726">
        <v>-0.1214364</v>
      </c>
      <c r="R7726">
        <v>-2.761274E-2</v>
      </c>
      <c r="S7726">
        <v>2.9781490000000002</v>
      </c>
      <c r="T7726">
        <v>-0.33915129999999999</v>
      </c>
      <c r="U7726">
        <v>-0.15652469999999999</v>
      </c>
      <c r="V7726">
        <v>-2.8693360000000001E-2</v>
      </c>
      <c r="W7726">
        <v>-0.1090305</v>
      </c>
      <c r="X7726">
        <v>0.99362419999999996</v>
      </c>
      <c r="Y7726">
        <v>-4.1009330000000002E-3</v>
      </c>
      <c r="Z7726">
        <v>5.9953929999999999E-3</v>
      </c>
      <c r="AA7726">
        <v>0.99997360000000002</v>
      </c>
      <c r="AB7726">
        <v>25</v>
      </c>
      <c r="AC7726">
        <v>0.47440000000000199</v>
      </c>
      <c r="AD7726">
        <v>-0.101052999999999</v>
      </c>
      <c r="AE7726">
        <v>-2.42000000000075E-2</v>
      </c>
      <c r="AF7726">
        <v>-2.7093412581275901E-3</v>
      </c>
      <c r="AG7726">
        <v>-0.101052999999999</v>
      </c>
      <c r="AH7726">
        <v>0.45444197318881002</v>
      </c>
      <c r="AI7726">
        <v>102.536508730368</v>
      </c>
      <c r="AJ7726">
        <v>90.341588121962005</v>
      </c>
      <c r="AK7726">
        <v>0.46554973561886198</v>
      </c>
      <c r="AL7726">
        <v>96.259431140272397</v>
      </c>
      <c r="AM7726">
        <v>91.6540978694606</v>
      </c>
      <c r="AN7726">
        <v>1.0000000048319799</v>
      </c>
    </row>
    <row r="7727" spans="1:40" x14ac:dyDescent="0.25">
      <c r="A7727" t="str">
        <f>"20190303154716414"</f>
        <v>20190303154716414</v>
      </c>
      <c r="B7727" t="str">
        <f>"1551599236409833"</f>
        <v>1551599236409833</v>
      </c>
      <c r="C7727" t="s">
        <v>40</v>
      </c>
      <c r="D7727">
        <v>6.0732379999999999</v>
      </c>
      <c r="E7727">
        <v>0.51094659999999903</v>
      </c>
      <c r="F7727" t="s">
        <v>42</v>
      </c>
      <c r="G7727">
        <v>-136.44</v>
      </c>
      <c r="H7727">
        <v>1.014545</v>
      </c>
      <c r="I7727">
        <v>138.19579999999999</v>
      </c>
      <c r="J7727">
        <v>-137.01150000000001</v>
      </c>
      <c r="K7727">
        <v>1.121737</v>
      </c>
      <c r="L7727">
        <v>138.23159999999999</v>
      </c>
      <c r="M7727">
        <v>0.9984073</v>
      </c>
      <c r="N7727">
        <v>-1.279423E-2</v>
      </c>
      <c r="O7727">
        <v>-5.4947059999999999E-2</v>
      </c>
      <c r="P7727">
        <v>0.99166379999999998</v>
      </c>
      <c r="Q7727">
        <v>-0.1255338</v>
      </c>
      <c r="R7727">
        <v>-2.9057079999999999E-2</v>
      </c>
      <c r="S7727">
        <v>2.9765320000000002</v>
      </c>
      <c r="T7727">
        <v>-0.34482109999999999</v>
      </c>
      <c r="U7727">
        <v>-0.17277529999999999</v>
      </c>
      <c r="V7727">
        <v>-2.5204089999999998E-2</v>
      </c>
      <c r="W7727">
        <v>-0.11289680000000001</v>
      </c>
      <c r="X7727">
        <v>0.99328700000000003</v>
      </c>
      <c r="Y7727">
        <v>3.266564E-3</v>
      </c>
      <c r="Z7727">
        <v>5.4236900000000001E-3</v>
      </c>
      <c r="AA7727">
        <v>0.99997999999999998</v>
      </c>
      <c r="AB7727">
        <v>25</v>
      </c>
      <c r="AC7727">
        <v>0.571500000000014</v>
      </c>
      <c r="AD7727">
        <v>-0.107191999999999</v>
      </c>
      <c r="AE7727">
        <v>-3.5799999999994697E-2</v>
      </c>
      <c r="AF7727">
        <v>4.1941206142156098E-3</v>
      </c>
      <c r="AG7727">
        <v>-0.107191999999999</v>
      </c>
      <c r="AH7727">
        <v>0.55321777115761595</v>
      </c>
      <c r="AI7727">
        <v>100.965493798712</v>
      </c>
      <c r="AJ7727">
        <v>89.565630717798996</v>
      </c>
      <c r="AK7727">
        <v>0.56352250872199094</v>
      </c>
      <c r="AL7727">
        <v>96.482330517036502</v>
      </c>
      <c r="AM7727">
        <v>91.453535757741506</v>
      </c>
      <c r="AN7727">
        <v>0.99999999898598402</v>
      </c>
    </row>
    <row r="7728" spans="1:40" x14ac:dyDescent="0.25">
      <c r="A7728" t="str">
        <f>"20190303154716449"</f>
        <v>20190303154716449</v>
      </c>
      <c r="B7728" t="str">
        <f>"1551599236440089"</f>
        <v>1551599236440089</v>
      </c>
      <c r="C7728" t="s">
        <v>40</v>
      </c>
      <c r="D7728">
        <v>5.9896120000000002</v>
      </c>
      <c r="E7728">
        <v>0.51049880000000003</v>
      </c>
      <c r="F7728" t="s">
        <v>42</v>
      </c>
      <c r="G7728">
        <v>-136.20939999999999</v>
      </c>
      <c r="H7728">
        <v>1.025061</v>
      </c>
      <c r="I7728">
        <v>138.18459999999999</v>
      </c>
      <c r="J7728">
        <v>-136.61410000000001</v>
      </c>
      <c r="K7728">
        <v>1.12202</v>
      </c>
      <c r="L7728">
        <v>138.21299999999999</v>
      </c>
      <c r="M7728">
        <v>0.998556</v>
      </c>
      <c r="N7728">
        <v>-1.3026899999999999E-2</v>
      </c>
      <c r="O7728">
        <v>-5.2119100000000002E-2</v>
      </c>
      <c r="P7728">
        <v>0.99062410000000001</v>
      </c>
      <c r="Q7728">
        <v>-0.13242190000000001</v>
      </c>
      <c r="R7728">
        <v>-3.35914E-2</v>
      </c>
      <c r="S7728">
        <v>2.9747469999999998</v>
      </c>
      <c r="T7728">
        <v>-0.35855100000000001</v>
      </c>
      <c r="U7728">
        <v>-0.17431640000000001</v>
      </c>
      <c r="V7728">
        <v>-1.771083E-2</v>
      </c>
      <c r="W7728">
        <v>-0.11955730000000001</v>
      </c>
      <c r="X7728">
        <v>0.99266929999999998</v>
      </c>
      <c r="Y7728">
        <v>6.6301140000000003E-3</v>
      </c>
      <c r="Z7728">
        <v>5.1316349999999998E-3</v>
      </c>
      <c r="AA7728">
        <v>0.99996479999999999</v>
      </c>
      <c r="AB7728">
        <v>25</v>
      </c>
      <c r="AC7728">
        <v>0.40470000000001899</v>
      </c>
      <c r="AD7728">
        <v>-9.6959000000000004E-2</v>
      </c>
      <c r="AE7728">
        <v>-2.84000000000048E-2</v>
      </c>
      <c r="AF7728">
        <v>6.8743541692649398E-3</v>
      </c>
      <c r="AG7728">
        <v>-9.6959000000000004E-2</v>
      </c>
      <c r="AH7728">
        <v>0.38371308270731203</v>
      </c>
      <c r="AI7728">
        <v>104.178822618776</v>
      </c>
      <c r="AJ7728">
        <v>88.973635855349301</v>
      </c>
      <c r="AK7728">
        <v>0.39583334153023703</v>
      </c>
      <c r="AL7728">
        <v>96.8665539379992</v>
      </c>
      <c r="AM7728">
        <v>91.022141167966893</v>
      </c>
      <c r="AN7728">
        <v>0.99999998032253401</v>
      </c>
    </row>
    <row r="7729" spans="1:40" x14ac:dyDescent="0.25">
      <c r="A7729" t="str">
        <f>"20190303154716494"</f>
        <v>20190303154716494</v>
      </c>
      <c r="B7729" t="str">
        <f>"1551599236489867"</f>
        <v>1551599236489867</v>
      </c>
      <c r="C7729" t="s">
        <v>40</v>
      </c>
      <c r="D7729">
        <v>5.9667570000000003</v>
      </c>
      <c r="E7729">
        <v>0.50976440000000001</v>
      </c>
      <c r="F7729" t="s">
        <v>42</v>
      </c>
      <c r="G7729">
        <v>-135.76570000000001</v>
      </c>
      <c r="H7729">
        <v>1.013137</v>
      </c>
      <c r="I7729">
        <v>138.1602</v>
      </c>
      <c r="J7729">
        <v>-136.11490000000001</v>
      </c>
      <c r="K7729">
        <v>1.1223590000000001</v>
      </c>
      <c r="L7729">
        <v>138.19229999999999</v>
      </c>
      <c r="M7729">
        <v>0.9987798</v>
      </c>
      <c r="N7729">
        <v>-1.325966E-2</v>
      </c>
      <c r="O7729">
        <v>-4.7572999999999997E-2</v>
      </c>
      <c r="P7729">
        <v>0.99008510000000005</v>
      </c>
      <c r="Q7729">
        <v>-0.13682</v>
      </c>
      <c r="R7729">
        <v>-3.1811079999999999E-2</v>
      </c>
      <c r="S7729">
        <v>2.9711460000000001</v>
      </c>
      <c r="T7729">
        <v>-0.38140679999999999</v>
      </c>
      <c r="U7729">
        <v>-0.18441769999999999</v>
      </c>
      <c r="V7729">
        <v>-1.483277E-2</v>
      </c>
      <c r="W7729">
        <v>-0.1237352</v>
      </c>
      <c r="X7729">
        <v>0.99220439999999999</v>
      </c>
      <c r="Y7729">
        <v>1.4575070000000001E-2</v>
      </c>
      <c r="Z7729">
        <v>4.4159830000000001E-3</v>
      </c>
      <c r="AA7729">
        <v>0.999884</v>
      </c>
      <c r="AB7729">
        <v>25</v>
      </c>
      <c r="AC7729">
        <v>0.34919999999999601</v>
      </c>
      <c r="AD7729">
        <v>-0.109221999999999</v>
      </c>
      <c r="AE7729">
        <v>-3.2099999999985501E-2</v>
      </c>
      <c r="AF7729">
        <v>1.4083458436219399E-2</v>
      </c>
      <c r="AG7729">
        <v>-0.109221999999999</v>
      </c>
      <c r="AH7729">
        <v>0.31935143662377502</v>
      </c>
      <c r="AI7729">
        <v>108.864263104434</v>
      </c>
      <c r="AJ7729">
        <v>87.474881468597999</v>
      </c>
      <c r="AK7729">
        <v>0.33780634860699998</v>
      </c>
      <c r="AL7729">
        <v>97.107721111907495</v>
      </c>
      <c r="AM7729">
        <v>90.856468504791494</v>
      </c>
      <c r="AN7729">
        <v>0.999999991082136</v>
      </c>
    </row>
    <row r="7730" spans="1:40" x14ac:dyDescent="0.25">
      <c r="A7730" t="str">
        <f>"20190303154716528"</f>
        <v>20190303154716528</v>
      </c>
      <c r="B7730" t="str">
        <f>"1551599236520121"</f>
        <v>1551599236520121</v>
      </c>
      <c r="C7730" t="s">
        <v>40</v>
      </c>
      <c r="D7730">
        <v>5.9020089999999996</v>
      </c>
      <c r="E7730">
        <v>0.50915969999999999</v>
      </c>
      <c r="F7730" t="s">
        <v>42</v>
      </c>
      <c r="G7730">
        <v>-135.31649999999999</v>
      </c>
      <c r="H7730">
        <v>1.0143390000000001</v>
      </c>
      <c r="I7730">
        <v>138.1456</v>
      </c>
      <c r="J7730">
        <v>-135.72999999999999</v>
      </c>
      <c r="K7730">
        <v>1.1226339999999999</v>
      </c>
      <c r="L7730">
        <v>138.17869999999999</v>
      </c>
      <c r="M7730">
        <v>0.99895670000000003</v>
      </c>
      <c r="N7730">
        <v>-1.3716539999999999E-2</v>
      </c>
      <c r="O7730">
        <v>-4.3560750000000002E-2</v>
      </c>
      <c r="P7730">
        <v>0.98986039999999997</v>
      </c>
      <c r="Q7730">
        <v>-0.13922889999999999</v>
      </c>
      <c r="R7730">
        <v>-2.8144300000000001E-2</v>
      </c>
      <c r="S7730">
        <v>2.9689640000000002</v>
      </c>
      <c r="T7730">
        <v>-0.4018292</v>
      </c>
      <c r="U7730">
        <v>-0.17326349999999999</v>
      </c>
      <c r="V7730">
        <v>-1.4443579999999999E-2</v>
      </c>
      <c r="W7730">
        <v>-0.12570029999999999</v>
      </c>
      <c r="X7730">
        <v>0.99196309999999999</v>
      </c>
      <c r="Y7730">
        <v>1.4883159999999999E-2</v>
      </c>
      <c r="Z7730">
        <v>4.1613730000000003E-3</v>
      </c>
      <c r="AA7730">
        <v>0.99988060000000001</v>
      </c>
      <c r="AB7730">
        <v>25</v>
      </c>
      <c r="AC7730">
        <v>0.41349999999999898</v>
      </c>
      <c r="AD7730">
        <v>-0.108295</v>
      </c>
      <c r="AE7730">
        <v>-3.3099999999990297E-2</v>
      </c>
      <c r="AF7730">
        <v>1.40939514348522E-2</v>
      </c>
      <c r="AG7730">
        <v>-0.108295</v>
      </c>
      <c r="AH7730">
        <v>0.388098899366495</v>
      </c>
      <c r="AI7730">
        <v>105.581440968902</v>
      </c>
      <c r="AJ7730">
        <v>87.920197076434306</v>
      </c>
      <c r="AK7730">
        <v>0.40317143026451202</v>
      </c>
      <c r="AL7730">
        <v>97.221199103801197</v>
      </c>
      <c r="AM7730">
        <v>90.834202097628705</v>
      </c>
      <c r="AN7730">
        <v>0.99999998709245796</v>
      </c>
    </row>
    <row r="7731" spans="1:40" x14ac:dyDescent="0.25">
      <c r="A7731" t="str">
        <f>"20190303154716553"</f>
        <v>20190303154716553</v>
      </c>
      <c r="B7731" t="str">
        <f>"1551599236549401"</f>
        <v>1551599236549401</v>
      </c>
      <c r="C7731" t="s">
        <v>40</v>
      </c>
      <c r="D7731">
        <v>5.925897</v>
      </c>
      <c r="E7731">
        <v>0.50882740000000004</v>
      </c>
      <c r="F7731" t="s">
        <v>42</v>
      </c>
      <c r="G7731">
        <v>-134.8766</v>
      </c>
      <c r="H7731">
        <v>1.003701</v>
      </c>
      <c r="I7731">
        <v>138.13329999999999</v>
      </c>
      <c r="J7731">
        <v>-135.45609999999999</v>
      </c>
      <c r="K7731">
        <v>1.122843</v>
      </c>
      <c r="L7731">
        <v>138.17019999999999</v>
      </c>
      <c r="M7731">
        <v>0.99907480000000004</v>
      </c>
      <c r="N7731">
        <v>-1.439877E-2</v>
      </c>
      <c r="O7731">
        <v>-4.0521950000000001E-2</v>
      </c>
      <c r="P7731">
        <v>0.98977550000000003</v>
      </c>
      <c r="Q7731">
        <v>-0.1404453</v>
      </c>
      <c r="R7731">
        <v>-2.4885250000000001E-2</v>
      </c>
      <c r="S7731">
        <v>2.9680629999999999</v>
      </c>
      <c r="T7731">
        <v>-0.41376499999999999</v>
      </c>
      <c r="U7731">
        <v>-0.15739439999999999</v>
      </c>
      <c r="V7731">
        <v>-1.466345E-2</v>
      </c>
      <c r="W7731">
        <v>-0.12624549999999901</v>
      </c>
      <c r="X7731">
        <v>0.99189070000000001</v>
      </c>
      <c r="Y7731">
        <v>1.262158E-2</v>
      </c>
      <c r="Z7731">
        <v>4.0680689999999997E-3</v>
      </c>
      <c r="AA7731">
        <v>0.99991209999999997</v>
      </c>
      <c r="AB7731">
        <v>25</v>
      </c>
      <c r="AC7731">
        <v>0.57949999999999502</v>
      </c>
      <c r="AD7731">
        <v>-0.119142</v>
      </c>
      <c r="AE7731">
        <v>-3.6900000000002799E-2</v>
      </c>
      <c r="AF7731">
        <v>1.28440644059087E-2</v>
      </c>
      <c r="AG7731">
        <v>-0.119142</v>
      </c>
      <c r="AH7731">
        <v>0.55706768589016298</v>
      </c>
      <c r="AI7731">
        <v>102.069058900567</v>
      </c>
      <c r="AJ7731">
        <v>88.679190450495199</v>
      </c>
      <c r="AK7731">
        <v>0.56981066400821601</v>
      </c>
      <c r="AL7731">
        <v>97.252687138547799</v>
      </c>
      <c r="AM7731">
        <v>90.846960861498204</v>
      </c>
      <c r="AN7731">
        <v>1.0000000518913199</v>
      </c>
    </row>
    <row r="7732" spans="1:40" x14ac:dyDescent="0.25">
      <c r="A7732" t="str">
        <f>"20190303154716584"</f>
        <v>20190303154716584</v>
      </c>
      <c r="B7732" t="str">
        <f>"1551599236579658"</f>
        <v>1551599236579658</v>
      </c>
      <c r="C7732" t="s">
        <v>40</v>
      </c>
      <c r="D7732">
        <v>5.9440289999999996</v>
      </c>
      <c r="E7732">
        <v>0.50849200000000006</v>
      </c>
      <c r="F7732" t="s">
        <v>42</v>
      </c>
      <c r="G7732">
        <v>-134.65389999999999</v>
      </c>
      <c r="H7732">
        <v>1.008799</v>
      </c>
      <c r="I7732">
        <v>138.1309</v>
      </c>
      <c r="J7732">
        <v>-135.12350000000001</v>
      </c>
      <c r="K7732">
        <v>1.1231390000000001</v>
      </c>
      <c r="L7732">
        <v>138.1611</v>
      </c>
      <c r="M7732">
        <v>0.99920339999999996</v>
      </c>
      <c r="N7732">
        <v>-1.5636750000000001E-2</v>
      </c>
      <c r="O7732">
        <v>-3.671862E-2</v>
      </c>
      <c r="P7732">
        <v>0.99029990000000001</v>
      </c>
      <c r="Q7732">
        <v>-0.1379379</v>
      </c>
      <c r="R7732">
        <v>-1.6714980000000001E-2</v>
      </c>
      <c r="S7732">
        <v>2.9674680000000002</v>
      </c>
      <c r="T7732">
        <v>-0.42201230000000001</v>
      </c>
      <c r="U7732">
        <v>-0.1450043</v>
      </c>
      <c r="V7732">
        <v>-1.9090269999999999E-2</v>
      </c>
      <c r="W7732">
        <v>-0.12252739999999999</v>
      </c>
      <c r="X7732">
        <v>0.99228150000000004</v>
      </c>
      <c r="Y7732">
        <v>1.224923E-2</v>
      </c>
      <c r="Z7732">
        <v>3.6566139999999999E-3</v>
      </c>
      <c r="AA7732">
        <v>0.99991830000000004</v>
      </c>
      <c r="AB7732">
        <v>25</v>
      </c>
      <c r="AC7732">
        <v>0.46960000000001401</v>
      </c>
      <c r="AD7732">
        <v>-0.114339999999999</v>
      </c>
      <c r="AE7732">
        <v>-3.02000000000077E-2</v>
      </c>
      <c r="AF7732">
        <v>1.2213378613540399E-2</v>
      </c>
      <c r="AG7732">
        <v>-0.114339999999999</v>
      </c>
      <c r="AH7732">
        <v>0.44416849024483301</v>
      </c>
      <c r="AI7732">
        <v>104.430699599376</v>
      </c>
      <c r="AJ7732">
        <v>88.424924824477401</v>
      </c>
      <c r="AK7732">
        <v>0.45881199847381099</v>
      </c>
      <c r="AL7732">
        <v>97.037988644035494</v>
      </c>
      <c r="AM7732">
        <v>91.102164035414603</v>
      </c>
      <c r="AN7732">
        <v>0.99999998870084095</v>
      </c>
    </row>
    <row r="7733" spans="1:40" x14ac:dyDescent="0.25">
      <c r="A7733" t="str">
        <f>"20190303154716627"</f>
        <v>20190303154716627</v>
      </c>
      <c r="B7733" t="str">
        <f>"1551599236619673"</f>
        <v>1551599236619673</v>
      </c>
      <c r="C7733" t="s">
        <v>40</v>
      </c>
      <c r="D7733">
        <v>6.0055529999999999</v>
      </c>
      <c r="E7733">
        <v>0.50796960000000002</v>
      </c>
      <c r="F7733" t="s">
        <v>42</v>
      </c>
      <c r="G7733">
        <v>-134.22569999999999</v>
      </c>
      <c r="H7733">
        <v>0.99706439999999996</v>
      </c>
      <c r="I7733">
        <v>138.12540000000001</v>
      </c>
      <c r="J7733">
        <v>-134.65479999999999</v>
      </c>
      <c r="K7733">
        <v>1.1236139999999999</v>
      </c>
      <c r="L7733">
        <v>138.15090000000001</v>
      </c>
      <c r="M7733">
        <v>0.99933959999999999</v>
      </c>
      <c r="N7733">
        <v>-1.8208579999999999E-2</v>
      </c>
      <c r="O7733">
        <v>-3.1444369999999999E-2</v>
      </c>
      <c r="P7733">
        <v>0.99031309999999995</v>
      </c>
      <c r="Q7733">
        <v>-0.1387254</v>
      </c>
      <c r="R7733">
        <v>-5.979959E-3</v>
      </c>
      <c r="S7733">
        <v>2.9692989999999999</v>
      </c>
      <c r="T7733">
        <v>-0.41713250000000002</v>
      </c>
      <c r="U7733">
        <v>-0.11796570000000001</v>
      </c>
      <c r="V7733">
        <v>-2.4613179999999998E-2</v>
      </c>
      <c r="W7733">
        <v>-0.12078999999999999</v>
      </c>
      <c r="X7733">
        <v>0.9923729</v>
      </c>
      <c r="Y7733">
        <v>8.3930180000000004E-3</v>
      </c>
      <c r="Z7733">
        <v>3.1594399999999999E-3</v>
      </c>
      <c r="AA7733">
        <v>0.99995979999999995</v>
      </c>
      <c r="AB7733">
        <v>24</v>
      </c>
      <c r="AC7733">
        <v>0.42910000000000498</v>
      </c>
      <c r="AD7733">
        <v>-0.12654959999999901</v>
      </c>
      <c r="AE7733">
        <v>-2.5499999999993798E-2</v>
      </c>
      <c r="AF7733">
        <v>1.1035879213443201E-2</v>
      </c>
      <c r="AG7733">
        <v>-0.12654959999999901</v>
      </c>
      <c r="AH7733">
        <v>0.39541841990416998</v>
      </c>
      <c r="AI7733">
        <v>107.740261396398</v>
      </c>
      <c r="AJ7733">
        <v>88.401325857642107</v>
      </c>
      <c r="AK7733">
        <v>0.41532194583200599</v>
      </c>
      <c r="AL7733">
        <v>96.937697884977894</v>
      </c>
      <c r="AM7733">
        <v>91.420778691214394</v>
      </c>
      <c r="AN7733">
        <v>1.0000000026920599</v>
      </c>
    </row>
    <row r="7734" spans="1:40" x14ac:dyDescent="0.25">
      <c r="A7734" t="str">
        <f>"20190303154716662"</f>
        <v>20190303154716662</v>
      </c>
      <c r="B7734" t="str">
        <f>"1551599236649929"</f>
        <v>1551599236649929</v>
      </c>
      <c r="C7734" t="s">
        <v>40</v>
      </c>
      <c r="D7734">
        <v>5.9354139999999997</v>
      </c>
      <c r="E7734">
        <v>0.50742129999999996</v>
      </c>
      <c r="F7734" t="s">
        <v>42</v>
      </c>
      <c r="G7734">
        <v>-133.80070000000001</v>
      </c>
      <c r="H7734">
        <v>1.001598</v>
      </c>
      <c r="I7734">
        <v>138.12719999999999</v>
      </c>
      <c r="J7734">
        <v>-134.2902</v>
      </c>
      <c r="K7734">
        <v>1.123942</v>
      </c>
      <c r="L7734">
        <v>138.1448</v>
      </c>
      <c r="M7734">
        <v>0.99940879999999999</v>
      </c>
      <c r="N7734">
        <v>-2.0633220000000001E-2</v>
      </c>
      <c r="O7734">
        <v>-2.7506780000000002E-2</v>
      </c>
      <c r="P7734">
        <v>0.98986200000000002</v>
      </c>
      <c r="Q7734">
        <v>-0.1420273</v>
      </c>
      <c r="R7734">
        <v>-1.36475299999999E-3</v>
      </c>
      <c r="S7734">
        <v>2.969376</v>
      </c>
      <c r="T7734">
        <v>-0.42446410000000001</v>
      </c>
      <c r="U7734">
        <v>-8.1588750000000002E-2</v>
      </c>
      <c r="V7734">
        <v>-2.533152E-2</v>
      </c>
      <c r="W7734">
        <v>-0.1216933</v>
      </c>
      <c r="X7734">
        <v>0.99224440000000003</v>
      </c>
      <c r="Y7734">
        <v>1.5632919999999999E-4</v>
      </c>
      <c r="Z7734">
        <v>3.3327700000000001E-3</v>
      </c>
      <c r="AA7734">
        <v>0.99999450000000001</v>
      </c>
      <c r="AB7734">
        <v>24</v>
      </c>
      <c r="AC7734">
        <v>0.489499999999992</v>
      </c>
      <c r="AD7734">
        <v>-0.12234399999999999</v>
      </c>
      <c r="AE7734">
        <v>-1.7600000000015801E-2</v>
      </c>
      <c r="AF7734">
        <v>3.88361410141113E-3</v>
      </c>
      <c r="AG7734">
        <v>-0.12234399999999999</v>
      </c>
      <c r="AH7734">
        <v>0.46103595822288701</v>
      </c>
      <c r="AI7734">
        <v>104.86140057981601</v>
      </c>
      <c r="AJ7734">
        <v>89.517370759387404</v>
      </c>
      <c r="AK7734">
        <v>0.47700869129292001</v>
      </c>
      <c r="AL7734">
        <v>96.989838188836103</v>
      </c>
      <c r="AM7734">
        <v>91.462415903368495</v>
      </c>
      <c r="AN7734">
        <v>0.99999994725087804</v>
      </c>
    </row>
    <row r="7735" spans="1:40" x14ac:dyDescent="0.25">
      <c r="A7735" t="str">
        <f>"20190303154716689"</f>
        <v>20190303154716689</v>
      </c>
      <c r="B7735" t="str">
        <f>"1551599236679210"</f>
        <v>1551599236679210</v>
      </c>
      <c r="C7735" t="s">
        <v>40</v>
      </c>
      <c r="D7735">
        <v>5.939775</v>
      </c>
      <c r="E7735">
        <v>0.50714859999999995</v>
      </c>
      <c r="F7735" t="s">
        <v>42</v>
      </c>
      <c r="G7735">
        <v>-133.3964</v>
      </c>
      <c r="H7735">
        <v>0.99164660000000004</v>
      </c>
      <c r="I7735">
        <v>138.12559999999999</v>
      </c>
      <c r="J7735">
        <v>-134.02379999999999</v>
      </c>
      <c r="K7735">
        <v>1.1240760000000001</v>
      </c>
      <c r="L7735">
        <v>138.1414</v>
      </c>
      <c r="M7735">
        <v>0.99944429999999995</v>
      </c>
      <c r="N7735">
        <v>-2.249864E-2</v>
      </c>
      <c r="O7735">
        <v>-2.4601209999999998E-2</v>
      </c>
      <c r="P7735">
        <v>0.9894773</v>
      </c>
      <c r="Q7735">
        <v>-0.14467959999999999</v>
      </c>
      <c r="R7735">
        <v>1.6666719999999999E-3</v>
      </c>
      <c r="S7735">
        <v>2.967606</v>
      </c>
      <c r="T7735">
        <v>-0.43939450000000002</v>
      </c>
      <c r="U7735">
        <v>-6.3339229999999996E-2</v>
      </c>
      <c r="V7735">
        <v>-2.550972E-2</v>
      </c>
      <c r="W7735">
        <v>-0.12249500000000001</v>
      </c>
      <c r="X7735">
        <v>0.99214119999999995</v>
      </c>
      <c r="Y7735">
        <v>-3.0387220000000002E-3</v>
      </c>
      <c r="Z7735">
        <v>3.328967E-3</v>
      </c>
      <c r="AA7735">
        <v>0.99998989999999999</v>
      </c>
      <c r="AB7735">
        <v>23</v>
      </c>
      <c r="AC7735">
        <v>0.62739999999999396</v>
      </c>
      <c r="AD7735">
        <v>-0.1324294</v>
      </c>
      <c r="AE7735">
        <v>-1.5800000000012901E-2</v>
      </c>
      <c r="AF7735">
        <v>3.41313949853672E-4</v>
      </c>
      <c r="AG7735">
        <v>-0.1324294</v>
      </c>
      <c r="AH7735">
        <v>0.60084610990343801</v>
      </c>
      <c r="AI7735">
        <v>102.42954033175801</v>
      </c>
      <c r="AJ7735">
        <v>89.967452819632499</v>
      </c>
      <c r="AK7735">
        <v>0.61526718607907804</v>
      </c>
      <c r="AL7735">
        <v>97.0361183327568</v>
      </c>
      <c r="AM7735">
        <v>91.472852185281795</v>
      </c>
      <c r="AN7735">
        <v>0.99999996578845796</v>
      </c>
    </row>
    <row r="7736" spans="1:40" x14ac:dyDescent="0.25">
      <c r="A7736" t="str">
        <f>"20190303154716716"</f>
        <v>20190303154716716</v>
      </c>
      <c r="B7736" t="str">
        <f>"1551599236709465"</f>
        <v>1551599236709465</v>
      </c>
      <c r="C7736" t="s">
        <v>40</v>
      </c>
      <c r="D7736">
        <v>5.969303</v>
      </c>
      <c r="E7736">
        <v>0.5069186</v>
      </c>
      <c r="F7736" t="s">
        <v>42</v>
      </c>
      <c r="G7736">
        <v>-133.19390000000001</v>
      </c>
      <c r="H7736">
        <v>0.99836130000000001</v>
      </c>
      <c r="I7736">
        <v>138.1267</v>
      </c>
      <c r="J7736">
        <v>-133.7518</v>
      </c>
      <c r="K7736">
        <v>1.1241950000000001</v>
      </c>
      <c r="L7736">
        <v>138.1386</v>
      </c>
      <c r="M7736">
        <v>0.99946550000000001</v>
      </c>
      <c r="N7736">
        <v>-2.4540059999999999E-2</v>
      </c>
      <c r="O7736">
        <v>-2.1604680000000001E-2</v>
      </c>
      <c r="P7736">
        <v>0.98954500000000001</v>
      </c>
      <c r="Q7736">
        <v>-0.14415999999999901</v>
      </c>
      <c r="R7736">
        <v>4.3516889999999997E-3</v>
      </c>
      <c r="S7736">
        <v>2.966278</v>
      </c>
      <c r="T7736">
        <v>-0.44952940000000002</v>
      </c>
      <c r="U7736">
        <v>-5.2017210000000001E-2</v>
      </c>
      <c r="V7736">
        <v>-2.5288229999999998E-2</v>
      </c>
      <c r="W7736">
        <v>-0.1199363</v>
      </c>
      <c r="X7736">
        <v>0.99245950000000005</v>
      </c>
      <c r="Y7736">
        <v>-3.8541560000000001E-3</v>
      </c>
      <c r="Z7736">
        <v>3.0651620000000002E-3</v>
      </c>
      <c r="AA7736">
        <v>0.99998790000000004</v>
      </c>
      <c r="AB7736">
        <v>23</v>
      </c>
      <c r="AC7736">
        <v>0.55789999999998896</v>
      </c>
      <c r="AD7736">
        <v>-0.12583369999999899</v>
      </c>
      <c r="AE7736">
        <v>-1.18999999999971E-2</v>
      </c>
      <c r="AF7736">
        <v>-1.5193387511601E-4</v>
      </c>
      <c r="AG7736">
        <v>-0.12583369999999899</v>
      </c>
      <c r="AH7736">
        <v>0.53102472239605103</v>
      </c>
      <c r="AI7736">
        <v>103.331139329373</v>
      </c>
      <c r="AJ7736">
        <v>90.016393153095393</v>
      </c>
      <c r="AK7736">
        <v>0.54573015212227005</v>
      </c>
      <c r="AL7736">
        <v>96.8884260455728</v>
      </c>
      <c r="AM7736">
        <v>91.459601530255</v>
      </c>
      <c r="AN7736">
        <v>1.00000003488723</v>
      </c>
    </row>
    <row r="7737" spans="1:40" x14ac:dyDescent="0.25">
      <c r="A7737" t="str">
        <f>"20190303154716748"</f>
        <v>20190303154716748</v>
      </c>
      <c r="B7737" t="str">
        <f>"1551599236739722"</f>
        <v>1551599236739722</v>
      </c>
      <c r="C7737" t="s">
        <v>40</v>
      </c>
      <c r="D7737">
        <v>8.2952449999999995</v>
      </c>
      <c r="E7737">
        <v>0.50672229999999996</v>
      </c>
      <c r="F7737" t="s">
        <v>42</v>
      </c>
      <c r="G7737">
        <v>-132.99350000000001</v>
      </c>
      <c r="H7737">
        <v>1.0092270000000001</v>
      </c>
      <c r="I7737">
        <v>138.1277</v>
      </c>
      <c r="J7737">
        <v>-133.4512</v>
      </c>
      <c r="K7737">
        <v>1.124328</v>
      </c>
      <c r="L7737">
        <v>138.13630000000001</v>
      </c>
      <c r="M7737">
        <v>0.99946869999999999</v>
      </c>
      <c r="N7737">
        <v>-2.6950849999999998E-2</v>
      </c>
      <c r="O7737">
        <v>-1.8331279999999998E-2</v>
      </c>
      <c r="P7737">
        <v>0.98962019999999995</v>
      </c>
      <c r="Q7737">
        <v>-0.14356910000000001</v>
      </c>
      <c r="R7737">
        <v>6.3214219999999897E-3</v>
      </c>
      <c r="S7737">
        <v>2.9663539999999999</v>
      </c>
      <c r="T7737">
        <v>-0.44984600000000002</v>
      </c>
      <c r="U7737">
        <v>-4.2221069999999999E-2</v>
      </c>
      <c r="V7737">
        <v>-2.4078769999999999E-2</v>
      </c>
      <c r="W7737">
        <v>-0.1169343</v>
      </c>
      <c r="X7737">
        <v>0.9928477</v>
      </c>
      <c r="Y7737">
        <v>-3.9122239999999997E-3</v>
      </c>
      <c r="Z7737">
        <v>2.6199740000000002E-3</v>
      </c>
      <c r="AA7737">
        <v>0.99998889999999996</v>
      </c>
      <c r="AB7737">
        <v>22</v>
      </c>
      <c r="AC7737">
        <v>0.45769999999998801</v>
      </c>
      <c r="AD7737">
        <v>-0.115100999999999</v>
      </c>
      <c r="AE7737">
        <v>-8.6000000000012698E-3</v>
      </c>
      <c r="AF7737">
        <v>1.93072782323628E-4</v>
      </c>
      <c r="AG7737">
        <v>-0.115100999999999</v>
      </c>
      <c r="AH7737">
        <v>0.430561368359549</v>
      </c>
      <c r="AI7737">
        <v>104.96677229901201</v>
      </c>
      <c r="AJ7737">
        <v>89.974307367921398</v>
      </c>
      <c r="AK7737">
        <v>0.44568079317124099</v>
      </c>
      <c r="AL7737">
        <v>96.715205209309801</v>
      </c>
      <c r="AM7737">
        <v>91.389278043232693</v>
      </c>
      <c r="AN7737">
        <v>0.99999998653824596</v>
      </c>
    </row>
    <row r="7738" spans="1:40" x14ac:dyDescent="0.25">
      <c r="A7738" t="str">
        <f>"20190303154716773"</f>
        <v>20190303154716773</v>
      </c>
      <c r="B7738" t="str">
        <f>"1551599236769978"</f>
        <v>1551599236769978</v>
      </c>
      <c r="C7738" t="s">
        <v>40</v>
      </c>
      <c r="D7738">
        <v>5.94198</v>
      </c>
      <c r="E7738">
        <v>0.50660689999999997</v>
      </c>
      <c r="F7738" t="s">
        <v>42</v>
      </c>
      <c r="G7738">
        <v>-132.62200000000001</v>
      </c>
      <c r="H7738">
        <v>0.9987743</v>
      </c>
      <c r="I7738">
        <v>138.12649999999999</v>
      </c>
      <c r="J7738">
        <v>-133.22219999999999</v>
      </c>
      <c r="K7738">
        <v>1.12442</v>
      </c>
      <c r="L7738">
        <v>138.13509999999999</v>
      </c>
      <c r="M7738">
        <v>0.99945899999999999</v>
      </c>
      <c r="N7738">
        <v>-2.88011E-2</v>
      </c>
      <c r="O7738">
        <v>-1.5888610000000001E-2</v>
      </c>
      <c r="P7738">
        <v>0.98968389999999995</v>
      </c>
      <c r="Q7738">
        <v>-0.1431694</v>
      </c>
      <c r="R7738">
        <v>5.3439919999999997E-3</v>
      </c>
      <c r="S7738">
        <v>2.9665219999999999</v>
      </c>
      <c r="T7738">
        <v>-0.44929000000000002</v>
      </c>
      <c r="U7738">
        <v>-3.4683230000000002E-2</v>
      </c>
      <c r="V7738">
        <v>-2.0722319999999999E-2</v>
      </c>
      <c r="W7738">
        <v>-0.11467629999999999</v>
      </c>
      <c r="X7738">
        <v>0.99318680000000004</v>
      </c>
      <c r="Y7738">
        <v>-4.0312760000000003E-3</v>
      </c>
      <c r="Z7738">
        <v>2.2989099999999999E-3</v>
      </c>
      <c r="AA7738">
        <v>0.99998920000000002</v>
      </c>
      <c r="AB7738">
        <v>21</v>
      </c>
      <c r="AC7738">
        <v>0.60019999999997198</v>
      </c>
      <c r="AD7738">
        <v>-0.125645699999999</v>
      </c>
      <c r="AE7738">
        <v>-8.6000000000012698E-3</v>
      </c>
      <c r="AF7738">
        <v>-9.0187199911164005E-4</v>
      </c>
      <c r="AG7738">
        <v>-0.125645699999999</v>
      </c>
      <c r="AH7738">
        <v>0.57506490686314504</v>
      </c>
      <c r="AI7738">
        <v>102.324833183675</v>
      </c>
      <c r="AJ7738">
        <v>90.089856668749803</v>
      </c>
      <c r="AK7738">
        <v>0.58863172052405599</v>
      </c>
      <c r="AL7738">
        <v>96.584954595957498</v>
      </c>
      <c r="AM7738">
        <v>91.195272867969805</v>
      </c>
      <c r="AN7738">
        <v>1.0000000440110499</v>
      </c>
    </row>
    <row r="7739" spans="1:40" x14ac:dyDescent="0.25">
      <c r="A7739" t="str">
        <f>"20190303154716807"</f>
        <v>20190303154716807</v>
      </c>
      <c r="B7739" t="str">
        <f>"1551599236800011"</f>
        <v>1551599236800011</v>
      </c>
      <c r="C7739" t="s">
        <v>40</v>
      </c>
      <c r="D7739">
        <v>5.9195979999999997</v>
      </c>
      <c r="E7739">
        <v>0.50641990000000003</v>
      </c>
      <c r="F7739" t="s">
        <v>42</v>
      </c>
      <c r="G7739">
        <v>-132.43690000000001</v>
      </c>
      <c r="H7739">
        <v>1.0057969999999901</v>
      </c>
      <c r="I7739">
        <v>138.12540000000001</v>
      </c>
      <c r="J7739">
        <v>-132.92439999999999</v>
      </c>
      <c r="K7739">
        <v>1.124503</v>
      </c>
      <c r="L7739">
        <v>138.1344</v>
      </c>
      <c r="M7739">
        <v>0.99943669999999996</v>
      </c>
      <c r="N7739">
        <v>-3.1037889999999999E-2</v>
      </c>
      <c r="O7739">
        <v>-1.2762010000000001E-2</v>
      </c>
      <c r="P7739">
        <v>0.98945890000000003</v>
      </c>
      <c r="Q7739">
        <v>-0.14474670000000001</v>
      </c>
      <c r="R7739">
        <v>4.4112830000000002E-3</v>
      </c>
      <c r="S7739">
        <v>2.9666290000000002</v>
      </c>
      <c r="T7739">
        <v>-0.44822099999999998</v>
      </c>
      <c r="U7739">
        <v>-3.6712649999999999E-2</v>
      </c>
      <c r="V7739">
        <v>-1.6724929999999999E-2</v>
      </c>
      <c r="W7739">
        <v>-0.11401790000000001</v>
      </c>
      <c r="X7739">
        <v>0.9933379</v>
      </c>
      <c r="Y7739">
        <v>-2.984649E-4</v>
      </c>
      <c r="Z7739">
        <v>1.54981E-3</v>
      </c>
      <c r="AA7739">
        <v>0.99999870000000002</v>
      </c>
      <c r="AB7739">
        <v>21</v>
      </c>
      <c r="AC7739">
        <v>0.487499999999983</v>
      </c>
      <c r="AD7739">
        <v>-0.11870600000000001</v>
      </c>
      <c r="AE7739">
        <v>-8.9999999999861302E-3</v>
      </c>
      <c r="AF7739">
        <v>2.6195235109470099E-3</v>
      </c>
      <c r="AG7739">
        <v>-0.11870600000000001</v>
      </c>
      <c r="AH7739">
        <v>0.46029279249985</v>
      </c>
      <c r="AI7739">
        <v>104.460822065261</v>
      </c>
      <c r="AJ7739">
        <v>89.673933583856098</v>
      </c>
      <c r="AK7739">
        <v>0.47536031719815902</v>
      </c>
      <c r="AL7739">
        <v>96.5469823156118</v>
      </c>
      <c r="AM7739">
        <v>90.964603650563205</v>
      </c>
      <c r="AN7739">
        <v>0.99999999419016194</v>
      </c>
    </row>
    <row r="7740" spans="1:40" x14ac:dyDescent="0.25">
      <c r="A7740" t="str">
        <f>"20190303154716841"</f>
        <v>20190303154716841</v>
      </c>
      <c r="B7740" t="str">
        <f>"1551599236829291"</f>
        <v>1551599236829291</v>
      </c>
      <c r="C7740" t="s">
        <v>40</v>
      </c>
      <c r="D7740">
        <v>5.9820859999999998</v>
      </c>
      <c r="E7740">
        <v>0.50613459999999999</v>
      </c>
      <c r="F7740" t="s">
        <v>42</v>
      </c>
      <c r="G7740">
        <v>-132.09119999999999</v>
      </c>
      <c r="H7740">
        <v>0.99755190000000005</v>
      </c>
      <c r="I7740">
        <v>138.12360000000001</v>
      </c>
      <c r="J7740">
        <v>-132.63509999999999</v>
      </c>
      <c r="K7740">
        <v>1.1245270000000001</v>
      </c>
      <c r="L7740">
        <v>138.13460000000001</v>
      </c>
      <c r="M7740">
        <v>0.99940960000000001</v>
      </c>
      <c r="N7740">
        <v>-3.2946570000000001E-2</v>
      </c>
      <c r="O7740">
        <v>-9.7563900000000002E-3</v>
      </c>
      <c r="P7740">
        <v>0.98948170000000002</v>
      </c>
      <c r="Q7740">
        <v>-0.1446086</v>
      </c>
      <c r="R7740">
        <v>3.8148549999999998E-3</v>
      </c>
      <c r="S7740">
        <v>2.9660190000000002</v>
      </c>
      <c r="T7740">
        <v>-0.45196190000000003</v>
      </c>
      <c r="U7740">
        <v>-3.8131709999999999E-2</v>
      </c>
      <c r="V7740">
        <v>-1.3184950000000001E-2</v>
      </c>
      <c r="W7740">
        <v>-0.1119672</v>
      </c>
      <c r="X7740">
        <v>0.99362439999999996</v>
      </c>
      <c r="Y7740">
        <v>3.1188850000000001E-3</v>
      </c>
      <c r="Z7740">
        <v>8.6996090000000001E-4</v>
      </c>
      <c r="AA7740">
        <v>0.99999479999999996</v>
      </c>
      <c r="AB7740">
        <v>20</v>
      </c>
      <c r="AC7740">
        <v>0.54390000000000704</v>
      </c>
      <c r="AD7740">
        <v>-0.12697510000000001</v>
      </c>
      <c r="AE7740">
        <v>-1.09999999999956E-2</v>
      </c>
      <c r="AF7740">
        <v>5.3961233641415104E-3</v>
      </c>
      <c r="AG7740">
        <v>-0.12697510000000001</v>
      </c>
      <c r="AH7740">
        <v>0.51587747420032104</v>
      </c>
      <c r="AI7740">
        <v>103.82686337053801</v>
      </c>
      <c r="AJ7740">
        <v>89.400703006565493</v>
      </c>
      <c r="AK7740">
        <v>0.53130157401862999</v>
      </c>
      <c r="AL7740">
        <v>96.428728661260195</v>
      </c>
      <c r="AM7740">
        <v>90.760244669028197</v>
      </c>
      <c r="AN7740">
        <v>0.99999997252884998</v>
      </c>
    </row>
    <row r="7741" spans="1:40" x14ac:dyDescent="0.25">
      <c r="A7741" t="str">
        <f>"20190303154716882"</f>
        <v>20190303154716882</v>
      </c>
      <c r="B7741" t="str">
        <f>"1551599236870283"</f>
        <v>1551599236870283</v>
      </c>
      <c r="C7741" t="s">
        <v>40</v>
      </c>
      <c r="D7741">
        <v>5.8887999999999998</v>
      </c>
      <c r="E7741">
        <v>0.505969</v>
      </c>
      <c r="F7741" t="s">
        <v>42</v>
      </c>
      <c r="G7741">
        <v>-131.91390000000001</v>
      </c>
      <c r="H7741">
        <v>1.014894</v>
      </c>
      <c r="I7741">
        <v>138.12540000000001</v>
      </c>
      <c r="J7741">
        <v>-132.30500000000001</v>
      </c>
      <c r="K7741">
        <v>1.1244889999999901</v>
      </c>
      <c r="L7741">
        <v>138.13589999999999</v>
      </c>
      <c r="M7741">
        <v>0.99937359999999997</v>
      </c>
      <c r="N7741">
        <v>-3.4816930000000003E-2</v>
      </c>
      <c r="O7741">
        <v>-6.3514899999999996E-3</v>
      </c>
      <c r="P7741">
        <v>0.98928510000000003</v>
      </c>
      <c r="Q7741">
        <v>-0.14595520000000001</v>
      </c>
      <c r="R7741">
        <v>3.5102369999999998E-3</v>
      </c>
      <c r="S7741">
        <v>2.9661409999999999</v>
      </c>
      <c r="T7741">
        <v>-0.45094859999999998</v>
      </c>
      <c r="U7741">
        <v>-3.7612920000000001E-2</v>
      </c>
      <c r="V7741">
        <v>-9.5419330000000007E-3</v>
      </c>
      <c r="W7741">
        <v>-0.1114465</v>
      </c>
      <c r="X7741">
        <v>0.99372459999999996</v>
      </c>
      <c r="Y7741">
        <v>6.2791169999999999E-3</v>
      </c>
      <c r="Z7741">
        <v>1.5514930000000001E-4</v>
      </c>
      <c r="AA7741">
        <v>0.99998030000000004</v>
      </c>
      <c r="AB7741">
        <v>19</v>
      </c>
      <c r="AC7741">
        <v>0.39109999999999401</v>
      </c>
      <c r="AD7741">
        <v>-0.109594999999999</v>
      </c>
      <c r="AE7741">
        <v>-1.0499999999979E-2</v>
      </c>
      <c r="AF7741">
        <v>7.4311087063227803E-3</v>
      </c>
      <c r="AG7741">
        <v>-0.109594999999999</v>
      </c>
      <c r="AH7741">
        <v>0.36269857783738901</v>
      </c>
      <c r="AI7741">
        <v>106.809677338349</v>
      </c>
      <c r="AJ7741">
        <v>88.826266130881194</v>
      </c>
      <c r="AK7741">
        <v>0.37896773446676102</v>
      </c>
      <c r="AL7741">
        <v>96.398706826587002</v>
      </c>
      <c r="AM7741">
        <v>90.550148086857007</v>
      </c>
      <c r="AN7741">
        <v>0.99999997574639199</v>
      </c>
    </row>
    <row r="7742" spans="1:40" x14ac:dyDescent="0.25">
      <c r="A7742" t="str">
        <f>"20190303154716913"</f>
        <v>20190303154716913</v>
      </c>
      <c r="B7742" t="str">
        <f>"1551599236909831"</f>
        <v>1551599236909831</v>
      </c>
      <c r="C7742" t="s">
        <v>40</v>
      </c>
      <c r="D7742">
        <v>5.8670470000000003</v>
      </c>
      <c r="E7742">
        <v>0.50582240000000001</v>
      </c>
      <c r="F7742" t="s">
        <v>42</v>
      </c>
      <c r="G7742">
        <v>-131.44739999999999</v>
      </c>
      <c r="H7742">
        <v>0.99173880000000003</v>
      </c>
      <c r="I7742">
        <v>138.1251</v>
      </c>
      <c r="J7742">
        <v>-132.06450000000001</v>
      </c>
      <c r="K7742">
        <v>1.1244609999999999</v>
      </c>
      <c r="L7742">
        <v>138.13749999999999</v>
      </c>
      <c r="M7742">
        <v>0.99934480000000003</v>
      </c>
      <c r="N7742">
        <v>-3.5981550000000001E-2</v>
      </c>
      <c r="O7742">
        <v>-3.9064779999999997E-3</v>
      </c>
      <c r="P7742">
        <v>0.98948789999999998</v>
      </c>
      <c r="Q7742">
        <v>-0.1446067</v>
      </c>
      <c r="R7742">
        <v>1.711824E-3</v>
      </c>
      <c r="S7742">
        <v>2.9649049999999999</v>
      </c>
      <c r="T7742">
        <v>-0.45901550000000002</v>
      </c>
      <c r="U7742">
        <v>-3.7216190000000003E-2</v>
      </c>
      <c r="V7742">
        <v>-5.3560029999999998E-3</v>
      </c>
      <c r="W7742">
        <v>-0.1089215</v>
      </c>
      <c r="X7742">
        <v>0.99403589999999997</v>
      </c>
      <c r="Y7742">
        <v>8.544098E-3</v>
      </c>
      <c r="Z7742">
        <v>-3.5112300000000001E-4</v>
      </c>
      <c r="AA7742">
        <v>0.99996350000000001</v>
      </c>
      <c r="AB7742">
        <v>18</v>
      </c>
      <c r="AC7742">
        <v>0.61710000000002196</v>
      </c>
      <c r="AD7742">
        <v>-0.13272220000000001</v>
      </c>
      <c r="AE7742">
        <v>-1.23999999999853E-2</v>
      </c>
      <c r="AF7742">
        <v>9.5462541799391093E-3</v>
      </c>
      <c r="AG7742">
        <v>-0.13272220000000001</v>
      </c>
      <c r="AH7742">
        <v>0.58986927517535703</v>
      </c>
      <c r="AI7742">
        <v>102.678926039342</v>
      </c>
      <c r="AJ7742">
        <v>89.072824516393197</v>
      </c>
      <c r="AK7742">
        <v>0.60469171909131403</v>
      </c>
      <c r="AL7742">
        <v>96.253148669193294</v>
      </c>
      <c r="AM7742">
        <v>90.308714602020501</v>
      </c>
      <c r="AN7742">
        <v>0.99999997520959705</v>
      </c>
    </row>
    <row r="7743" spans="1:40" x14ac:dyDescent="0.25">
      <c r="A7743" t="str">
        <f>"20190303154716940"</f>
        <v>20190303154716940</v>
      </c>
      <c r="B7743" t="str">
        <f>"1551599236929351"</f>
        <v>1551599236929351</v>
      </c>
      <c r="C7743" t="s">
        <v>40</v>
      </c>
      <c r="D7743">
        <v>5.8647349999999996</v>
      </c>
      <c r="E7743">
        <v>0.5057178</v>
      </c>
      <c r="F7743" t="s">
        <v>42</v>
      </c>
      <c r="G7743">
        <v>-131.2902</v>
      </c>
      <c r="H7743">
        <v>1.004589</v>
      </c>
      <c r="I7743">
        <v>138.1266</v>
      </c>
      <c r="J7743">
        <v>-131.86590000000001</v>
      </c>
      <c r="K7743">
        <v>1.1244190000000001</v>
      </c>
      <c r="L7743">
        <v>138.13929999999999</v>
      </c>
      <c r="M7743">
        <v>0.99932069999999995</v>
      </c>
      <c r="N7743">
        <v>-3.6804450000000002E-2</v>
      </c>
      <c r="O7743">
        <v>-1.9192580000000001E-3</v>
      </c>
      <c r="P7743">
        <v>0.98975519999999995</v>
      </c>
      <c r="Q7743">
        <v>-0.14277309999999999</v>
      </c>
      <c r="R7743">
        <v>-9.4467309999999997E-4</v>
      </c>
      <c r="S7743">
        <v>2.9648439999999998</v>
      </c>
      <c r="T7743">
        <v>-0.45912530000000001</v>
      </c>
      <c r="U7743">
        <v>-4.1427609999999997E-2</v>
      </c>
      <c r="V7743">
        <v>-7.5892099999999997E-4</v>
      </c>
      <c r="W7743">
        <v>-0.1062506</v>
      </c>
      <c r="X7743">
        <v>0.99433910000000003</v>
      </c>
      <c r="Y7743">
        <v>1.1888660000000001E-2</v>
      </c>
      <c r="Z7743">
        <v>-9.1039720000000003E-4</v>
      </c>
      <c r="AA7743">
        <v>0.99992890000000001</v>
      </c>
      <c r="AB7743">
        <v>17</v>
      </c>
      <c r="AC7743">
        <v>0.57570000000001098</v>
      </c>
      <c r="AD7743">
        <v>-0.11983000000000001</v>
      </c>
      <c r="AE7743">
        <v>-1.26999999999952E-2</v>
      </c>
      <c r="AF7743">
        <v>1.1113071001336799E-2</v>
      </c>
      <c r="AG7743">
        <v>-0.11983000000000001</v>
      </c>
      <c r="AH7743">
        <v>0.55182704676627603</v>
      </c>
      <c r="AI7743">
        <v>102.249237613049</v>
      </c>
      <c r="AJ7743">
        <v>88.846294302925898</v>
      </c>
      <c r="AK7743">
        <v>0.56479714835493899</v>
      </c>
      <c r="AL7743">
        <v>96.099223718734194</v>
      </c>
      <c r="AM7743">
        <v>90.0437305159179</v>
      </c>
      <c r="AN7743">
        <v>1.0000000058751199</v>
      </c>
    </row>
    <row r="7744" spans="1:40" x14ac:dyDescent="0.25">
      <c r="A7744" t="str">
        <f>"20190303154716974"</f>
        <v>20190303154716974</v>
      </c>
      <c r="B7744" t="str">
        <f>"1551599236969366"</f>
        <v>1551599236969366</v>
      </c>
      <c r="C7744" t="s">
        <v>40</v>
      </c>
      <c r="D7744">
        <v>5.8593699999999904</v>
      </c>
      <c r="E7744">
        <v>0.50020489999999995</v>
      </c>
      <c r="F7744" t="s">
        <v>42</v>
      </c>
      <c r="G7744">
        <v>-131.1397</v>
      </c>
      <c r="H7744">
        <v>1.0128219999999999</v>
      </c>
      <c r="I7744">
        <v>138.12729999999999</v>
      </c>
      <c r="J7744">
        <v>-131.63040000000001</v>
      </c>
      <c r="K7744">
        <v>1.124344</v>
      </c>
      <c r="L7744">
        <v>138.14179999999999</v>
      </c>
      <c r="M7744">
        <v>0.99929299999999999</v>
      </c>
      <c r="N7744">
        <v>-3.7596570000000003E-2</v>
      </c>
      <c r="O7744">
        <v>3.6350690000000002E-4</v>
      </c>
      <c r="P7744">
        <v>0.99010529999999997</v>
      </c>
      <c r="Q7744">
        <v>-0.14029510000000001</v>
      </c>
      <c r="R7744">
        <v>-2.9802650000000002E-3</v>
      </c>
      <c r="S7744">
        <v>2.965271</v>
      </c>
      <c r="T7744">
        <v>-0.455704</v>
      </c>
      <c r="U7744">
        <v>-4.8599240000000002E-2</v>
      </c>
      <c r="V7744">
        <v>3.5040879999999998E-3</v>
      </c>
      <c r="W7744">
        <v>-0.1029659</v>
      </c>
      <c r="X7744">
        <v>0.99467870000000003</v>
      </c>
      <c r="Y7744">
        <v>1.650677E-2</v>
      </c>
      <c r="Z7744">
        <v>-1.6155119999999999E-3</v>
      </c>
      <c r="AA7744">
        <v>0.99986240000000004</v>
      </c>
      <c r="AB7744">
        <v>17</v>
      </c>
      <c r="AC7744">
        <v>0.49070000000000302</v>
      </c>
      <c r="AD7744">
        <v>-0.111522</v>
      </c>
      <c r="AE7744">
        <v>-1.4499999999998099E-2</v>
      </c>
      <c r="AF7744">
        <v>1.39581572570717E-2</v>
      </c>
      <c r="AG7744">
        <v>-0.111522</v>
      </c>
      <c r="AH7744">
        <v>0.46661406772404901</v>
      </c>
      <c r="AI7744">
        <v>103.43589747930601</v>
      </c>
      <c r="AJ7744">
        <v>88.2865816976189</v>
      </c>
      <c r="AK7744">
        <v>0.47995903453940397</v>
      </c>
      <c r="AL7744">
        <v>95.909986052138507</v>
      </c>
      <c r="AM7744">
        <v>89.798157311593897</v>
      </c>
      <c r="AN7744">
        <v>0.99999998571460502</v>
      </c>
    </row>
    <row r="7745" spans="1:40" x14ac:dyDescent="0.25">
      <c r="A7745" t="str">
        <f>"20190303154717007"</f>
        <v>20190303154717007</v>
      </c>
      <c r="B7745" t="str">
        <f>"1551599237000129"</f>
        <v>1551599237000129</v>
      </c>
      <c r="C7745" t="s">
        <v>40</v>
      </c>
      <c r="D7745">
        <v>5.8450790000000001</v>
      </c>
      <c r="E7745">
        <v>0.49929560000000001</v>
      </c>
      <c r="F7745" t="s">
        <v>42</v>
      </c>
      <c r="G7745">
        <v>-130.87440000000001</v>
      </c>
      <c r="H7745">
        <v>0.98517699999999997</v>
      </c>
      <c r="I7745">
        <v>138.13910000000001</v>
      </c>
      <c r="J7745">
        <v>-131.40690000000001</v>
      </c>
      <c r="K7745">
        <v>1.1242449999999999</v>
      </c>
      <c r="L7745">
        <v>138.1447</v>
      </c>
      <c r="M7745">
        <v>0.9992666</v>
      </c>
      <c r="N7745">
        <v>-3.8214730000000002E-2</v>
      </c>
      <c r="O7745">
        <v>2.4387549999999999E-3</v>
      </c>
      <c r="P7745">
        <v>0.99013079999999998</v>
      </c>
      <c r="Q7745">
        <v>-0.1400402</v>
      </c>
      <c r="R7745">
        <v>-5.4952289999999999E-3</v>
      </c>
      <c r="S7745">
        <v>2.9529269999999999</v>
      </c>
      <c r="T7745">
        <v>-0.54374250000000002</v>
      </c>
      <c r="U7745">
        <v>-1.029968E-2</v>
      </c>
      <c r="V7745">
        <v>8.0449149999999997E-3</v>
      </c>
      <c r="W7745">
        <v>-0.1020905</v>
      </c>
      <c r="X7745">
        <v>0.99474260000000003</v>
      </c>
      <c r="Y7745">
        <v>5.7848989999999996E-3</v>
      </c>
      <c r="Z7745">
        <v>-9.925623000000001E-4</v>
      </c>
      <c r="AA7745">
        <v>0.99998279999999995</v>
      </c>
      <c r="AB7745">
        <v>16</v>
      </c>
      <c r="AC7745">
        <v>0.53249999999999797</v>
      </c>
      <c r="AD7745">
        <v>-0.139068</v>
      </c>
      <c r="AE7745">
        <v>-5.5999999999869496E-3</v>
      </c>
      <c r="AF7745">
        <v>6.4590779483099598E-3</v>
      </c>
      <c r="AG7745">
        <v>-0.139068</v>
      </c>
      <c r="AH7745">
        <v>0.49848913525407701</v>
      </c>
      <c r="AI7745">
        <v>105.586741165158</v>
      </c>
      <c r="AJ7745">
        <v>89.257642402059204</v>
      </c>
      <c r="AK7745">
        <v>0.51756453344322195</v>
      </c>
      <c r="AL7745">
        <v>95.859563427560104</v>
      </c>
      <c r="AM7745">
        <v>89.5366342740937</v>
      </c>
      <c r="AN7745">
        <v>1.0000000155511799</v>
      </c>
    </row>
    <row r="7746" spans="1:40" x14ac:dyDescent="0.25">
      <c r="A7746" t="str">
        <f>"20190303154717041"</f>
        <v>20190303154717041</v>
      </c>
      <c r="B7746" t="str">
        <f>"1551599237029409"</f>
        <v>1551599237029409</v>
      </c>
      <c r="C7746" t="s">
        <v>40</v>
      </c>
      <c r="D7746">
        <v>5.8301679999999996</v>
      </c>
      <c r="E7746">
        <v>0.49844719999999998</v>
      </c>
      <c r="F7746" t="s">
        <v>42</v>
      </c>
      <c r="G7746">
        <v>-130.6164</v>
      </c>
      <c r="H7746">
        <v>0.97731020000000002</v>
      </c>
      <c r="I7746">
        <v>138.14189999999999</v>
      </c>
      <c r="J7746">
        <v>-131.19479999999999</v>
      </c>
      <c r="K7746">
        <v>1.124233</v>
      </c>
      <c r="L7746">
        <v>138.14760000000001</v>
      </c>
      <c r="M7746">
        <v>0.99922489999999997</v>
      </c>
      <c r="N7746">
        <v>-3.9134339999999997E-2</v>
      </c>
      <c r="O7746">
        <v>4.2755609999999998E-3</v>
      </c>
      <c r="P7746">
        <v>0.98976810000000004</v>
      </c>
      <c r="Q7746">
        <v>-0.14249629999999999</v>
      </c>
      <c r="R7746">
        <v>-7.3651979999999999E-3</v>
      </c>
      <c r="S7746">
        <v>2.9522550000000001</v>
      </c>
      <c r="T7746">
        <v>-0.54876420000000004</v>
      </c>
      <c r="U7746">
        <v>-1.004028E-2</v>
      </c>
      <c r="V7746">
        <v>1.170386E-2</v>
      </c>
      <c r="W7746">
        <v>-0.1036432</v>
      </c>
      <c r="X7746">
        <v>0.99454569999999998</v>
      </c>
      <c r="Y7746">
        <v>7.4784559999999996E-3</v>
      </c>
      <c r="Z7746">
        <v>-1.458766E-3</v>
      </c>
      <c r="AA7746">
        <v>0.99997100000000005</v>
      </c>
      <c r="AB7746">
        <v>15</v>
      </c>
      <c r="AC7746">
        <v>0.57839999999998704</v>
      </c>
      <c r="AD7746">
        <v>-0.14692279999999999</v>
      </c>
      <c r="AE7746">
        <v>-5.7000000000186901E-3</v>
      </c>
      <c r="AF7746">
        <v>7.6793716659178703E-3</v>
      </c>
      <c r="AG7746">
        <v>-0.14692279999999999</v>
      </c>
      <c r="AH7746">
        <v>0.54331670901963103</v>
      </c>
      <c r="AI7746">
        <v>105.130471027147</v>
      </c>
      <c r="AJ7746">
        <v>89.190221317216299</v>
      </c>
      <c r="AK7746">
        <v>0.56288393848905105</v>
      </c>
      <c r="AL7746">
        <v>95.949001012425498</v>
      </c>
      <c r="AM7746">
        <v>89.325771727751999</v>
      </c>
      <c r="AN7746">
        <v>1.0000000213168101</v>
      </c>
    </row>
    <row r="7747" spans="1:40" x14ac:dyDescent="0.25">
      <c r="A7747" t="str">
        <f>"20190303154717079"</f>
        <v>20190303154717079</v>
      </c>
      <c r="B7747" t="str">
        <f>"1551599237069425"</f>
        <v>1551599237069425</v>
      </c>
      <c r="C7747" t="s">
        <v>40</v>
      </c>
      <c r="D7747">
        <v>5.916747</v>
      </c>
      <c r="E7747">
        <v>0.49706479999999997</v>
      </c>
      <c r="F7747" t="s">
        <v>42</v>
      </c>
      <c r="G7747">
        <v>-130.48689999999999</v>
      </c>
      <c r="H7747">
        <v>0.98965159999999996</v>
      </c>
      <c r="I7747">
        <v>138.14529999999999</v>
      </c>
      <c r="J7747">
        <v>-130.983</v>
      </c>
      <c r="K7747">
        <v>1.124414</v>
      </c>
      <c r="L7747">
        <v>138.1508</v>
      </c>
      <c r="M7747">
        <v>0.99914619999999998</v>
      </c>
      <c r="N7747">
        <v>-4.0890070000000001E-2</v>
      </c>
      <c r="O7747">
        <v>5.923139E-3</v>
      </c>
      <c r="P7747">
        <v>0.98937649999999999</v>
      </c>
      <c r="Q7747">
        <v>-0.1450622</v>
      </c>
      <c r="R7747">
        <v>-9.5734459999999993E-3</v>
      </c>
      <c r="S7747">
        <v>2.95018</v>
      </c>
      <c r="T7747">
        <v>-0.56106</v>
      </c>
      <c r="U7747">
        <v>-8.8500980000000007E-3</v>
      </c>
      <c r="V7747">
        <v>1.550646E-2</v>
      </c>
      <c r="W7747">
        <v>-0.1044781</v>
      </c>
      <c r="X7747">
        <v>0.99440629999999997</v>
      </c>
      <c r="Y7747">
        <v>8.6729459999999904E-3</v>
      </c>
      <c r="Z7747">
        <v>-1.8725219999999999E-3</v>
      </c>
      <c r="AA7747">
        <v>0.99996070000000004</v>
      </c>
      <c r="AB7747">
        <v>14</v>
      </c>
      <c r="AC7747">
        <v>0.49610000000001198</v>
      </c>
      <c r="AD7747">
        <v>-0.1347624</v>
      </c>
      <c r="AE7747">
        <v>-5.5000000000120499E-3</v>
      </c>
      <c r="AF7747">
        <v>7.8608491583175202E-3</v>
      </c>
      <c r="AG7747">
        <v>-0.1347624</v>
      </c>
      <c r="AH7747">
        <v>0.461973709256849</v>
      </c>
      <c r="AI7747">
        <v>106.260269059819</v>
      </c>
      <c r="AJ7747">
        <v>89.025160934210206</v>
      </c>
      <c r="AK7747">
        <v>0.48129243236080699</v>
      </c>
      <c r="AL7747">
        <v>95.9970984707263</v>
      </c>
      <c r="AM7747">
        <v>89.106619989663898</v>
      </c>
      <c r="AN7747">
        <v>1.0000000065805099</v>
      </c>
    </row>
    <row r="7748" spans="1:40" x14ac:dyDescent="0.25">
      <c r="A7748" t="str">
        <f>"20190303154717110"</f>
        <v>20190303154717110</v>
      </c>
      <c r="B7748" t="str">
        <f>"1551599237100115"</f>
        <v>1551599237100115</v>
      </c>
      <c r="C7748" t="s">
        <v>40</v>
      </c>
      <c r="D7748">
        <v>5.8131930000000001</v>
      </c>
      <c r="E7748">
        <v>0.4961699</v>
      </c>
      <c r="F7748" t="s">
        <v>42</v>
      </c>
      <c r="G7748">
        <v>-130.26230000000001</v>
      </c>
      <c r="H7748">
        <v>0.98232189999999997</v>
      </c>
      <c r="I7748">
        <v>138.1497</v>
      </c>
      <c r="J7748">
        <v>-130.8159</v>
      </c>
      <c r="K7748">
        <v>1.1244339999999999</v>
      </c>
      <c r="L7748">
        <v>138.1534</v>
      </c>
      <c r="M7748">
        <v>0.9990966</v>
      </c>
      <c r="N7748">
        <v>-4.188948E-2</v>
      </c>
      <c r="O7748">
        <v>7.183694E-3</v>
      </c>
      <c r="P7748">
        <v>0.98919789999999996</v>
      </c>
      <c r="Q7748">
        <v>-0.1461037</v>
      </c>
      <c r="R7748">
        <v>-1.191336E-2</v>
      </c>
      <c r="S7748">
        <v>2.9469910000000001</v>
      </c>
      <c r="T7748">
        <v>-0.58111569999999901</v>
      </c>
      <c r="U7748">
        <v>-3.90625E-3</v>
      </c>
      <c r="V7748">
        <v>1.9073570000000001E-2</v>
      </c>
      <c r="W7748">
        <v>-0.1045343</v>
      </c>
      <c r="X7748">
        <v>0.99433830000000001</v>
      </c>
      <c r="Y7748">
        <v>8.2367080000000006E-3</v>
      </c>
      <c r="Z7748">
        <v>-2.0831830000000002E-3</v>
      </c>
      <c r="AA7748">
        <v>0.99996390000000002</v>
      </c>
      <c r="AB7748">
        <v>13</v>
      </c>
      <c r="AC7748">
        <v>0.55359999999998799</v>
      </c>
      <c r="AD7748">
        <v>-0.14211209999999899</v>
      </c>
      <c r="AE7748">
        <v>-3.70000000000914E-3</v>
      </c>
      <c r="AF7748">
        <v>7.2054869684393197E-3</v>
      </c>
      <c r="AG7748">
        <v>-0.14211209999999899</v>
      </c>
      <c r="AH7748">
        <v>0.51933749368929805</v>
      </c>
      <c r="AI7748">
        <v>105.302439035687</v>
      </c>
      <c r="AJ7748">
        <v>89.205107449222993</v>
      </c>
      <c r="AK7748">
        <v>0.53847859786656704</v>
      </c>
      <c r="AL7748">
        <v>96.000336636314302</v>
      </c>
      <c r="AM7748">
        <v>88.901077176145293</v>
      </c>
      <c r="AN7748">
        <v>0.99999993789796005</v>
      </c>
    </row>
    <row r="7749" spans="1:40" x14ac:dyDescent="0.25">
      <c r="A7749" t="str">
        <f>"20190303154717142"</f>
        <v>20190303154717142</v>
      </c>
      <c r="B7749" t="str">
        <f>"1551599237129395"</f>
        <v>1551599237129395</v>
      </c>
      <c r="C7749" t="s">
        <v>40</v>
      </c>
      <c r="D7749">
        <v>5.8216199999999896</v>
      </c>
      <c r="E7749">
        <v>0.49521890000000002</v>
      </c>
      <c r="F7749" t="s">
        <v>42</v>
      </c>
      <c r="G7749">
        <v>-130.05860000000001</v>
      </c>
      <c r="H7749">
        <v>0.97307849999999996</v>
      </c>
      <c r="I7749">
        <v>138.1525</v>
      </c>
      <c r="J7749">
        <v>-130.65700000000001</v>
      </c>
      <c r="K7749">
        <v>1.1241939999999999</v>
      </c>
      <c r="L7749">
        <v>138.15610000000001</v>
      </c>
      <c r="M7749">
        <v>0.99910149999999998</v>
      </c>
      <c r="N7749">
        <v>-4.1542700000000002E-2</v>
      </c>
      <c r="O7749">
        <v>8.3920890000000001E-3</v>
      </c>
      <c r="P7749">
        <v>0.98934549999999999</v>
      </c>
      <c r="Q7749">
        <v>-0.14492829999999901</v>
      </c>
      <c r="R7749">
        <v>-1.382954E-2</v>
      </c>
      <c r="S7749">
        <v>2.9457550000000001</v>
      </c>
      <c r="T7749">
        <v>-0.58881209999999995</v>
      </c>
      <c r="U7749">
        <v>-3.5705569999999998E-3</v>
      </c>
      <c r="V7749">
        <v>2.2183919999999999E-2</v>
      </c>
      <c r="W7749">
        <v>-0.10369979999999999</v>
      </c>
      <c r="X7749">
        <v>0.99436119999999995</v>
      </c>
      <c r="Y7749">
        <v>9.2846290000000008E-3</v>
      </c>
      <c r="Z7749">
        <v>-2.4290010000000001E-3</v>
      </c>
      <c r="AA7749">
        <v>0.99995389999999995</v>
      </c>
      <c r="AB7749">
        <v>12</v>
      </c>
      <c r="AC7749">
        <v>0.59839999999999705</v>
      </c>
      <c r="AD7749">
        <v>-0.15111550000000001</v>
      </c>
      <c r="AE7749">
        <v>-3.6000000000058199E-3</v>
      </c>
      <c r="AF7749">
        <v>8.1089283325915303E-3</v>
      </c>
      <c r="AG7749">
        <v>-0.15111550000000001</v>
      </c>
      <c r="AH7749">
        <v>0.562479134687626</v>
      </c>
      <c r="AI7749">
        <v>105.036485975115</v>
      </c>
      <c r="AJ7749">
        <v>89.174057919110197</v>
      </c>
      <c r="AK7749">
        <v>0.58248126666691502</v>
      </c>
      <c r="AL7749">
        <v>95.952261736716594</v>
      </c>
      <c r="AM7749">
        <v>88.721959207939605</v>
      </c>
      <c r="AN7749">
        <v>0.99999998544602298</v>
      </c>
    </row>
    <row r="7750" spans="1:40" x14ac:dyDescent="0.25">
      <c r="A7750" t="str">
        <f>"20190303154717175"</f>
        <v>20190303154717175</v>
      </c>
      <c r="B7750" t="str">
        <f>"1551599237169411"</f>
        <v>1551599237169411</v>
      </c>
      <c r="C7750" t="s">
        <v>40</v>
      </c>
      <c r="D7750">
        <v>6.0031829999999999</v>
      </c>
      <c r="E7750">
        <v>0.49417489999999997</v>
      </c>
      <c r="F7750" t="s">
        <v>42</v>
      </c>
      <c r="G7750">
        <v>-129.8656</v>
      </c>
      <c r="H7750">
        <v>0.96745320000000001</v>
      </c>
      <c r="I7750">
        <v>138.15559999999999</v>
      </c>
      <c r="J7750">
        <v>-130.4965</v>
      </c>
      <c r="K7750">
        <v>1.123958</v>
      </c>
      <c r="L7750">
        <v>138.15899999999999</v>
      </c>
      <c r="M7750">
        <v>0.99912120000000004</v>
      </c>
      <c r="N7750">
        <v>-4.0805080000000001E-2</v>
      </c>
      <c r="O7750">
        <v>9.5789470000000008E-3</v>
      </c>
      <c r="P7750">
        <v>0.98972789999999999</v>
      </c>
      <c r="Q7750">
        <v>-0.14208660000000001</v>
      </c>
      <c r="R7750">
        <v>-1.5808199999999901E-2</v>
      </c>
      <c r="S7750">
        <v>2.9468079999999999</v>
      </c>
      <c r="T7750">
        <v>-0.58369399999999905</v>
      </c>
      <c r="U7750">
        <v>-1.34277299999999E-3</v>
      </c>
      <c r="V7750">
        <v>2.5336729999999998E-2</v>
      </c>
      <c r="W7750">
        <v>-0.1015803</v>
      </c>
      <c r="X7750">
        <v>0.99450459999999996</v>
      </c>
      <c r="Y7750">
        <v>9.6972940000000004E-3</v>
      </c>
      <c r="Z7750">
        <v>-2.6424410000000001E-3</v>
      </c>
      <c r="AA7750">
        <v>0.99994950000000005</v>
      </c>
      <c r="AB7750">
        <v>11</v>
      </c>
      <c r="AC7750">
        <v>0.63089999999999602</v>
      </c>
      <c r="AD7750">
        <v>-0.1565048</v>
      </c>
      <c r="AE7750">
        <v>-3.3999999999991802E-3</v>
      </c>
      <c r="AF7750">
        <v>8.9005446907011506E-3</v>
      </c>
      <c r="AG7750">
        <v>-0.1565048</v>
      </c>
      <c r="AH7750">
        <v>0.59427004969590602</v>
      </c>
      <c r="AI7750">
        <v>104.75261494288</v>
      </c>
      <c r="AJ7750">
        <v>89.1419296327051</v>
      </c>
      <c r="AK7750">
        <v>0.61459731864400902</v>
      </c>
      <c r="AL7750">
        <v>95.830178719726703</v>
      </c>
      <c r="AM7750">
        <v>88.540606309408801</v>
      </c>
      <c r="AN7750">
        <v>0.99999995332817004</v>
      </c>
    </row>
    <row r="7751" spans="1:40" x14ac:dyDescent="0.25">
      <c r="A7751" t="str">
        <f>"20190303154717211"</f>
        <v>20190303154717211</v>
      </c>
      <c r="B7751" t="str">
        <f>"1551599237199667"</f>
        <v>1551599237199667</v>
      </c>
      <c r="C7751" t="s">
        <v>40</v>
      </c>
      <c r="D7751">
        <v>5.9548009999999998</v>
      </c>
      <c r="E7751">
        <v>0.48334050000000001</v>
      </c>
      <c r="F7751" t="s">
        <v>42</v>
      </c>
      <c r="G7751">
        <v>-129.76650000000001</v>
      </c>
      <c r="H7751">
        <v>0.98145660000000001</v>
      </c>
      <c r="I7751">
        <v>138.1592</v>
      </c>
      <c r="J7751">
        <v>-130.3451</v>
      </c>
      <c r="K7751">
        <v>1.123907</v>
      </c>
      <c r="L7751">
        <v>138.16200000000001</v>
      </c>
      <c r="M7751">
        <v>0.99911689999999997</v>
      </c>
      <c r="N7751">
        <v>-4.0626250000000003E-2</v>
      </c>
      <c r="O7751">
        <v>1.07236E-2</v>
      </c>
      <c r="P7751">
        <v>0.98987650000000005</v>
      </c>
      <c r="Q7751">
        <v>-0.14094779999999901</v>
      </c>
      <c r="R7751">
        <v>-1.6676469999999999E-2</v>
      </c>
      <c r="S7751">
        <v>2.948502</v>
      </c>
      <c r="T7751">
        <v>-0.57573430000000003</v>
      </c>
      <c r="U7751">
        <v>1.2817379999999999E-3</v>
      </c>
      <c r="V7751">
        <v>2.7326400000000001E-2</v>
      </c>
      <c r="W7751">
        <v>-0.10061870000000001</v>
      </c>
      <c r="X7751">
        <v>0.99454969999999998</v>
      </c>
      <c r="Y7751">
        <v>9.943192E-3</v>
      </c>
      <c r="Z7751">
        <v>-2.8077290000000001E-3</v>
      </c>
      <c r="AA7751">
        <v>0.99994660000000002</v>
      </c>
      <c r="AB7751">
        <v>11</v>
      </c>
      <c r="AC7751">
        <v>0.57859999999999401</v>
      </c>
      <c r="AD7751">
        <v>-0.1424504</v>
      </c>
      <c r="AE7751">
        <v>-2.80000000000768E-3</v>
      </c>
      <c r="AF7751">
        <v>8.4947541583196597E-3</v>
      </c>
      <c r="AG7751">
        <v>-0.1424504</v>
      </c>
      <c r="AH7751">
        <v>0.54547421235524396</v>
      </c>
      <c r="AI7751">
        <v>104.63419989232401</v>
      </c>
      <c r="AJ7751">
        <v>89.1077960982566</v>
      </c>
      <c r="AK7751">
        <v>0.56383188421101604</v>
      </c>
      <c r="AL7751">
        <v>95.774799190559506</v>
      </c>
      <c r="AM7751">
        <v>88.426128359228898</v>
      </c>
      <c r="AN7751">
        <v>0.99999998034836901</v>
      </c>
    </row>
    <row r="7752" spans="1:40" x14ac:dyDescent="0.25">
      <c r="A7752" t="str">
        <f>"20190303154717242"</f>
        <v>20190303154717242</v>
      </c>
      <c r="B7752" t="str">
        <f>"1551599237239684"</f>
        <v>1551599237239684</v>
      </c>
      <c r="C7752" t="s">
        <v>40</v>
      </c>
      <c r="D7752">
        <v>5.9175760000000004</v>
      </c>
      <c r="E7752">
        <v>0.48345149999999998</v>
      </c>
      <c r="F7752" t="s">
        <v>42</v>
      </c>
      <c r="G7752">
        <v>-129.60230000000001</v>
      </c>
      <c r="H7752">
        <v>0.96985399999999999</v>
      </c>
      <c r="I7752">
        <v>138.18360000000001</v>
      </c>
      <c r="J7752">
        <v>-130.2183</v>
      </c>
      <c r="K7752">
        <v>1.1238950000000001</v>
      </c>
      <c r="L7752">
        <v>138.1645</v>
      </c>
      <c r="M7752">
        <v>0.99911430000000001</v>
      </c>
      <c r="N7752">
        <v>-4.041981E-2</v>
      </c>
      <c r="O7752">
        <v>1.1708130000000001E-2</v>
      </c>
      <c r="P7752">
        <v>0.99036959999999996</v>
      </c>
      <c r="Q7752">
        <v>-0.13713520000000001</v>
      </c>
      <c r="R7752">
        <v>-1.9026009999999999E-2</v>
      </c>
      <c r="S7752">
        <v>2.94516</v>
      </c>
      <c r="T7752">
        <v>-0.61090159999999905</v>
      </c>
      <c r="U7752">
        <v>8.5983279999999995E-2</v>
      </c>
      <c r="V7752">
        <v>3.0646179999999999E-2</v>
      </c>
      <c r="W7752">
        <v>-9.6999150000000006E-2</v>
      </c>
      <c r="X7752">
        <v>0.99481249999999999</v>
      </c>
      <c r="Y7752">
        <v>-1.7190319999999999E-2</v>
      </c>
      <c r="Z7752">
        <v>1.8273540000000001E-4</v>
      </c>
      <c r="AA7752">
        <v>0.99985219999999997</v>
      </c>
      <c r="AB7752">
        <v>10</v>
      </c>
      <c r="AC7752">
        <v>0.615999999999985</v>
      </c>
      <c r="AD7752">
        <v>-0.15404099999999901</v>
      </c>
      <c r="AE7752">
        <v>1.91000000000087E-2</v>
      </c>
      <c r="AF7752">
        <v>-1.11820067068571E-2</v>
      </c>
      <c r="AG7752">
        <v>-0.15404099999999901</v>
      </c>
      <c r="AH7752">
        <v>0.57995016183540504</v>
      </c>
      <c r="AI7752">
        <v>104.872277937044</v>
      </c>
      <c r="AJ7752">
        <v>91.104581838556001</v>
      </c>
      <c r="AK7752">
        <v>0.60016319211353197</v>
      </c>
      <c r="AL7752">
        <v>95.5663943605268</v>
      </c>
      <c r="AM7752">
        <v>88.235505047990003</v>
      </c>
      <c r="AN7752">
        <v>0.99999996680278203</v>
      </c>
    </row>
    <row r="7753" spans="1:40" x14ac:dyDescent="0.25">
      <c r="A7753" t="str">
        <f>"20190303154717276"</f>
        <v>20190303154717276</v>
      </c>
      <c r="B7753" t="str">
        <f>"1551599237269939"</f>
        <v>1551599237269939</v>
      </c>
      <c r="C7753" t="s">
        <v>40</v>
      </c>
      <c r="D7753">
        <v>5.8777939999999997</v>
      </c>
      <c r="E7753">
        <v>0.48304350000000001</v>
      </c>
      <c r="F7753" t="s">
        <v>42</v>
      </c>
      <c r="G7753">
        <v>-129.4502</v>
      </c>
      <c r="H7753">
        <v>0.96542349999999999</v>
      </c>
      <c r="I7753">
        <v>138.185</v>
      </c>
      <c r="J7753">
        <v>-130.09180000000001</v>
      </c>
      <c r="K7753">
        <v>1.123785</v>
      </c>
      <c r="L7753">
        <v>138.1671</v>
      </c>
      <c r="M7753">
        <v>0.99913229999999997</v>
      </c>
      <c r="N7753">
        <v>-3.9686569999999997E-2</v>
      </c>
      <c r="O7753">
        <v>1.264029E-2</v>
      </c>
      <c r="P7753">
        <v>0.99047490000000005</v>
      </c>
      <c r="Q7753">
        <v>-0.1360364</v>
      </c>
      <c r="R7753">
        <v>-2.1299370000000001E-2</v>
      </c>
      <c r="S7753">
        <v>2.9465180000000002</v>
      </c>
      <c r="T7753">
        <v>-0.60795759999999999</v>
      </c>
      <c r="U7753">
        <v>7.8689579999999995E-2</v>
      </c>
      <c r="V7753">
        <v>3.3842469999999999E-2</v>
      </c>
      <c r="W7753">
        <v>-9.6629279999999998E-2</v>
      </c>
      <c r="X7753">
        <v>0.99474499999999999</v>
      </c>
      <c r="Y7753">
        <v>-1.387245E-2</v>
      </c>
      <c r="Z7753">
        <v>-3.8786240000000002E-4</v>
      </c>
      <c r="AA7753">
        <v>0.99990369999999995</v>
      </c>
      <c r="AB7753">
        <v>9</v>
      </c>
      <c r="AC7753">
        <v>0.64160000000001005</v>
      </c>
      <c r="AD7753">
        <v>-0.15836149999999899</v>
      </c>
      <c r="AE7753">
        <v>1.78999999999973E-2</v>
      </c>
      <c r="AF7753">
        <v>-9.2208527861427601E-3</v>
      </c>
      <c r="AG7753">
        <v>-0.15836149999999899</v>
      </c>
      <c r="AH7753">
        <v>0.604949349147483</v>
      </c>
      <c r="AI7753">
        <v>104.66788341405</v>
      </c>
      <c r="AJ7753">
        <v>90.873254992610399</v>
      </c>
      <c r="AK7753">
        <v>0.62540155407731202</v>
      </c>
      <c r="AL7753">
        <v>95.545101760394999</v>
      </c>
      <c r="AM7753">
        <v>88.051477402841599</v>
      </c>
      <c r="AN7753">
        <v>1.000000072777</v>
      </c>
    </row>
    <row r="7754" spans="1:40" x14ac:dyDescent="0.25">
      <c r="A7754" t="str">
        <f>"20190303154717314"</f>
        <v>20190303154717314</v>
      </c>
      <c r="B7754" t="str">
        <f>"1551599237309487"</f>
        <v>1551599237309487</v>
      </c>
      <c r="C7754" t="s">
        <v>40</v>
      </c>
      <c r="D7754">
        <v>5.7626609999999996</v>
      </c>
      <c r="E7754">
        <v>0.48321160000000002</v>
      </c>
      <c r="F7754" t="s">
        <v>42</v>
      </c>
      <c r="G7754">
        <v>-129.3733</v>
      </c>
      <c r="H7754">
        <v>0.97469280000000003</v>
      </c>
      <c r="I7754">
        <v>138.18559999999999</v>
      </c>
      <c r="J7754">
        <v>-129.96600000000001</v>
      </c>
      <c r="K7754">
        <v>1.123678</v>
      </c>
      <c r="L7754">
        <v>138.16990000000001</v>
      </c>
      <c r="M7754">
        <v>0.99914970000000003</v>
      </c>
      <c r="N7754">
        <v>-3.8951670000000001E-2</v>
      </c>
      <c r="O7754">
        <v>1.3523530000000001E-2</v>
      </c>
      <c r="P7754">
        <v>0.98991719999999905</v>
      </c>
      <c r="Q7754">
        <v>-0.13992289999999999</v>
      </c>
      <c r="R7754">
        <v>-2.204016E-2</v>
      </c>
      <c r="S7754">
        <v>2.9465180000000002</v>
      </c>
      <c r="T7754">
        <v>-0.61145269999999996</v>
      </c>
      <c r="U7754">
        <v>7.6019290000000003E-2</v>
      </c>
      <c r="V7754">
        <v>3.5444589999999998E-2</v>
      </c>
      <c r="W7754">
        <v>-0.10126979999999999</v>
      </c>
      <c r="X7754">
        <v>0.99422739999999998</v>
      </c>
      <c r="Y7754">
        <v>-1.21411E-2</v>
      </c>
      <c r="Z7754">
        <v>-7.6792410000000005E-4</v>
      </c>
      <c r="AA7754">
        <v>0.99992599999999998</v>
      </c>
      <c r="AB7754">
        <v>9</v>
      </c>
      <c r="AC7754">
        <v>0.592700000000007</v>
      </c>
      <c r="AD7754">
        <v>-0.14898519999999901</v>
      </c>
      <c r="AE7754">
        <v>1.5699999999981101E-2</v>
      </c>
      <c r="AF7754">
        <v>-7.2211296142684197E-3</v>
      </c>
      <c r="AG7754">
        <v>-0.14898519999999901</v>
      </c>
      <c r="AH7754">
        <v>0.55764773563251502</v>
      </c>
      <c r="AI7754">
        <v>104.95699208389399</v>
      </c>
      <c r="AJ7754">
        <v>90.741896900672998</v>
      </c>
      <c r="AK7754">
        <v>0.57725187880856399</v>
      </c>
      <c r="AL7754">
        <v>95.812295848403807</v>
      </c>
      <c r="AM7754">
        <v>87.958248072938204</v>
      </c>
      <c r="AN7754">
        <v>1.00000000713153</v>
      </c>
    </row>
    <row r="7755" spans="1:40" x14ac:dyDescent="0.25">
      <c r="A7755" t="str">
        <f>"20190303154717343"</f>
        <v>20190303154717343</v>
      </c>
      <c r="B7755" t="str">
        <f>"1551599237339743"</f>
        <v>1551599237339743</v>
      </c>
      <c r="C7755" t="s">
        <v>40</v>
      </c>
      <c r="D7755">
        <v>5.7505519999999999</v>
      </c>
      <c r="E7755">
        <v>0.48356670000000002</v>
      </c>
      <c r="F7755" t="s">
        <v>42</v>
      </c>
      <c r="G7755">
        <v>-129.2423</v>
      </c>
      <c r="H7755">
        <v>0.97026000000000001</v>
      </c>
      <c r="I7755">
        <v>138.1875</v>
      </c>
      <c r="J7755">
        <v>-129.87280000000001</v>
      </c>
      <c r="K7755">
        <v>1.123583</v>
      </c>
      <c r="L7755">
        <v>138.172</v>
      </c>
      <c r="M7755">
        <v>0.99916119999999997</v>
      </c>
      <c r="N7755">
        <v>-3.8417390000000003E-2</v>
      </c>
      <c r="O7755">
        <v>1.417674E-2</v>
      </c>
      <c r="P7755">
        <v>0.98953049999999998</v>
      </c>
      <c r="Q7755">
        <v>-0.14282129999999901</v>
      </c>
      <c r="R7755">
        <v>-2.078209E-2</v>
      </c>
      <c r="S7755">
        <v>2.9439389999999999</v>
      </c>
      <c r="T7755">
        <v>-0.62417029999999996</v>
      </c>
      <c r="U7755">
        <v>7.1884160000000002E-2</v>
      </c>
      <c r="V7755">
        <v>3.4818479999999999E-2</v>
      </c>
      <c r="W7755">
        <v>-0.1047159</v>
      </c>
      <c r="X7755">
        <v>0.99389249999999996</v>
      </c>
      <c r="Y7755">
        <v>-1.0168089999999999E-2</v>
      </c>
      <c r="Z7755">
        <v>-1.168299E-3</v>
      </c>
      <c r="AA7755">
        <v>0.99994760000000005</v>
      </c>
      <c r="AB7755">
        <v>8</v>
      </c>
      <c r="AC7755">
        <v>0.63050000000001205</v>
      </c>
      <c r="AD7755">
        <v>-0.15332299999999999</v>
      </c>
      <c r="AE7755">
        <v>1.55000000000029E-2</v>
      </c>
      <c r="AF7755">
        <v>-6.1877127084786704E-3</v>
      </c>
      <c r="AG7755">
        <v>-0.15332299999999999</v>
      </c>
      <c r="AH7755">
        <v>0.59546491028569304</v>
      </c>
      <c r="AI7755">
        <v>104.438386709555</v>
      </c>
      <c r="AJ7755">
        <v>90.595361803680902</v>
      </c>
      <c r="AK7755">
        <v>0.61491844133926499</v>
      </c>
      <c r="AL7755">
        <v>96.010798451717207</v>
      </c>
      <c r="AM7755">
        <v>87.9936095328855</v>
      </c>
      <c r="AN7755">
        <v>1.0000000239092799</v>
      </c>
    </row>
    <row r="7756" spans="1:40" x14ac:dyDescent="0.25">
      <c r="A7756" t="str">
        <f>"20190303154717376"</f>
        <v>20190303154717376</v>
      </c>
      <c r="B7756" t="str">
        <f>"1551599237369998"</f>
        <v>1551599237369998</v>
      </c>
      <c r="C7756" t="s">
        <v>40</v>
      </c>
      <c r="D7756">
        <v>5.7616110000000003</v>
      </c>
      <c r="E7756">
        <v>0.50003429999999904</v>
      </c>
      <c r="F7756" t="s">
        <v>42</v>
      </c>
      <c r="G7756">
        <v>-129.12299999999999</v>
      </c>
      <c r="H7756">
        <v>0.96373209999999998</v>
      </c>
      <c r="I7756">
        <v>138.19040000000001</v>
      </c>
      <c r="J7756">
        <v>-129.76859999999999</v>
      </c>
      <c r="K7756">
        <v>1.122989</v>
      </c>
      <c r="L7756">
        <v>138.17429999999999</v>
      </c>
      <c r="M7756">
        <v>0.99925889999999995</v>
      </c>
      <c r="N7756">
        <v>-3.5485740000000002E-2</v>
      </c>
      <c r="O7756">
        <v>1.4916759999999999E-2</v>
      </c>
      <c r="P7756">
        <v>0.98984190000000005</v>
      </c>
      <c r="Q7756">
        <v>-0.140614299999999</v>
      </c>
      <c r="R7756">
        <v>-2.0992830000000001E-2</v>
      </c>
      <c r="S7756">
        <v>2.942688</v>
      </c>
      <c r="T7756">
        <v>-0.62747249999999999</v>
      </c>
      <c r="U7756">
        <v>7.2906490000000004E-2</v>
      </c>
      <c r="V7756">
        <v>3.576849E-2</v>
      </c>
      <c r="W7756">
        <v>-0.1054143</v>
      </c>
      <c r="X7756">
        <v>0.99378489999999997</v>
      </c>
      <c r="Y7756">
        <v>-9.8180339999999998E-3</v>
      </c>
      <c r="Z7756">
        <v>-1.4085930000000001E-3</v>
      </c>
      <c r="AA7756">
        <v>0.99995080000000003</v>
      </c>
      <c r="AB7756">
        <v>7</v>
      </c>
      <c r="AC7756">
        <v>0.64560000000000095</v>
      </c>
      <c r="AD7756">
        <v>-0.15925690000000001</v>
      </c>
      <c r="AE7756">
        <v>1.6100000000022801E-2</v>
      </c>
      <c r="AF7756">
        <v>-6.0914364098820896E-3</v>
      </c>
      <c r="AG7756">
        <v>-0.15925690000000001</v>
      </c>
      <c r="AH7756">
        <v>0.60874831998521295</v>
      </c>
      <c r="AI7756">
        <v>104.66008354269999</v>
      </c>
      <c r="AJ7756">
        <v>90.573310739100407</v>
      </c>
      <c r="AK7756">
        <v>0.62926495443490604</v>
      </c>
      <c r="AL7756">
        <v>96.051036712560204</v>
      </c>
      <c r="AM7756">
        <v>87.938689494660196</v>
      </c>
      <c r="AN7756">
        <v>0.99999999349468904</v>
      </c>
    </row>
    <row r="7757" spans="1:40" x14ac:dyDescent="0.25">
      <c r="A7757" t="str">
        <f>"20190303154717410"</f>
        <v>20190303154717410</v>
      </c>
      <c r="B7757" t="str">
        <f>"1551599237400254"</f>
        <v>1551599237400254</v>
      </c>
      <c r="C7757" t="s">
        <v>40</v>
      </c>
      <c r="D7757">
        <v>5.7561410000000004</v>
      </c>
      <c r="E7757">
        <v>0.50783820000000002</v>
      </c>
      <c r="F7757" t="s">
        <v>42</v>
      </c>
      <c r="G7757">
        <v>-129.06280000000001</v>
      </c>
      <c r="H7757">
        <v>0.96126400000000001</v>
      </c>
      <c r="I7757">
        <v>138.16040000000001</v>
      </c>
      <c r="J7757">
        <v>-129.67189999999999</v>
      </c>
      <c r="K7757">
        <v>1.122722</v>
      </c>
      <c r="L7757">
        <v>138.1765</v>
      </c>
      <c r="M7757">
        <v>0.9993242</v>
      </c>
      <c r="N7757">
        <v>-3.331195E-2</v>
      </c>
      <c r="O7757">
        <v>1.554825E-2</v>
      </c>
      <c r="P7757">
        <v>0.99049189999999998</v>
      </c>
      <c r="Q7757">
        <v>-0.1359436</v>
      </c>
      <c r="R7757">
        <v>-2.1107379999999999E-2</v>
      </c>
      <c r="S7757">
        <v>2.9340670000000002</v>
      </c>
      <c r="T7757">
        <v>-0.67232069999999999</v>
      </c>
      <c r="U7757">
        <v>-5.7739260000000001E-2</v>
      </c>
      <c r="V7757">
        <v>3.6515430000000001E-2</v>
      </c>
      <c r="W7757">
        <v>-0.1028873</v>
      </c>
      <c r="X7757">
        <v>0.99402250000000003</v>
      </c>
      <c r="Y7757">
        <v>3.3922229999999998E-2</v>
      </c>
      <c r="Z7757">
        <v>-7.4144880000000003E-3</v>
      </c>
      <c r="AA7757">
        <v>0.99939699999999998</v>
      </c>
      <c r="AB7757">
        <v>7</v>
      </c>
      <c r="AC7757">
        <v>0.60909999999998299</v>
      </c>
      <c r="AD7757">
        <v>-0.16145799999999999</v>
      </c>
      <c r="AE7757">
        <v>-1.60999999999944E-2</v>
      </c>
      <c r="AF7757">
        <v>2.3895866404759099E-2</v>
      </c>
      <c r="AG7757">
        <v>-0.16145799999999999</v>
      </c>
      <c r="AH7757">
        <v>0.56883432042146498</v>
      </c>
      <c r="AI7757">
        <v>105.83280610692999</v>
      </c>
      <c r="AJ7757">
        <v>87.594505604942498</v>
      </c>
      <c r="AK7757">
        <v>0.59178727790024699</v>
      </c>
      <c r="AL7757">
        <v>95.905458758960805</v>
      </c>
      <c r="AM7757">
        <v>87.896184762324197</v>
      </c>
      <c r="AN7757">
        <v>0.99999995181781098</v>
      </c>
    </row>
    <row r="7758" spans="1:40" x14ac:dyDescent="0.25">
      <c r="A7758" t="str">
        <f>"20190303154717444"</f>
        <v>20190303154717444</v>
      </c>
      <c r="B7758" t="str">
        <f>"1551599237440271"</f>
        <v>1551599237440271</v>
      </c>
      <c r="C7758" t="s">
        <v>40</v>
      </c>
      <c r="D7758">
        <v>5.7590089999999998</v>
      </c>
      <c r="E7758">
        <v>0.51269379999999998</v>
      </c>
      <c r="F7758" t="s">
        <v>42</v>
      </c>
      <c r="G7758">
        <v>-128.9564</v>
      </c>
      <c r="H7758">
        <v>0.94517370000000001</v>
      </c>
      <c r="I7758">
        <v>138.1474</v>
      </c>
      <c r="J7758">
        <v>-129.5856</v>
      </c>
      <c r="K7758">
        <v>1.123129</v>
      </c>
      <c r="L7758">
        <v>138.17850000000001</v>
      </c>
      <c r="M7758">
        <v>0.99930070000000004</v>
      </c>
      <c r="N7758">
        <v>-3.3755019999999997E-2</v>
      </c>
      <c r="O7758">
        <v>1.6084399999999999E-2</v>
      </c>
      <c r="P7758">
        <v>0.99059129999999995</v>
      </c>
      <c r="Q7758">
        <v>-0.13542889999999999</v>
      </c>
      <c r="R7758">
        <v>-1.9699890000000001E-2</v>
      </c>
      <c r="S7758">
        <v>2.9266049999999999</v>
      </c>
      <c r="T7758">
        <v>-0.72620309999999999</v>
      </c>
      <c r="U7758">
        <v>-0.1186371</v>
      </c>
      <c r="V7758">
        <v>3.5630340000000003E-2</v>
      </c>
      <c r="W7758">
        <v>-0.1019325</v>
      </c>
      <c r="X7758">
        <v>0.99415299999999995</v>
      </c>
      <c r="Y7758">
        <v>5.4338989999999997E-2</v>
      </c>
      <c r="Z7758">
        <v>-1.0966180000000001E-2</v>
      </c>
      <c r="AA7758">
        <v>0.99846230000000002</v>
      </c>
      <c r="AB7758">
        <v>7</v>
      </c>
      <c r="AC7758">
        <v>0.62919999999999698</v>
      </c>
      <c r="AD7758">
        <v>-0.17795530000000001</v>
      </c>
      <c r="AE7758">
        <v>-3.11000000000092E-2</v>
      </c>
      <c r="AF7758">
        <v>3.8175750026929002E-2</v>
      </c>
      <c r="AG7758">
        <v>-0.17795530000000001</v>
      </c>
      <c r="AH7758">
        <v>0.58216331659133502</v>
      </c>
      <c r="AI7758">
        <v>106.962975399442</v>
      </c>
      <c r="AJ7758">
        <v>86.248162513439894</v>
      </c>
      <c r="AK7758">
        <v>0.60995049296875803</v>
      </c>
      <c r="AL7758">
        <v>95.850463479092397</v>
      </c>
      <c r="AM7758">
        <v>87.947403779567296</v>
      </c>
      <c r="AN7758">
        <v>0.99999997154688203</v>
      </c>
    </row>
    <row r="7759" spans="1:40" x14ac:dyDescent="0.25">
      <c r="A7759" t="str">
        <f>"20190303154717477"</f>
        <v>20190303154717477</v>
      </c>
      <c r="B7759" t="str">
        <f>"1551599237469550"</f>
        <v>1551599237469550</v>
      </c>
      <c r="C7759" t="s">
        <v>40</v>
      </c>
      <c r="D7759">
        <v>5.5567339999999996</v>
      </c>
      <c r="E7759">
        <v>0.51281880000000002</v>
      </c>
      <c r="F7759" t="s">
        <v>42</v>
      </c>
      <c r="G7759">
        <v>-128.8656</v>
      </c>
      <c r="H7759">
        <v>0.9405597</v>
      </c>
      <c r="I7759">
        <v>138.14089999999999</v>
      </c>
      <c r="J7759">
        <v>-129.5153</v>
      </c>
      <c r="K7759">
        <v>1.123621</v>
      </c>
      <c r="L7759">
        <v>138.18020000000001</v>
      </c>
      <c r="M7759">
        <v>0.99924599999999997</v>
      </c>
      <c r="N7759">
        <v>-3.5149489999999999E-2</v>
      </c>
      <c r="O7759">
        <v>1.649138E-2</v>
      </c>
      <c r="P7759">
        <v>0.99046860000000003</v>
      </c>
      <c r="Q7759">
        <v>-0.13662839999999901</v>
      </c>
      <c r="R7759">
        <v>-1.7466700000000002E-2</v>
      </c>
      <c r="S7759">
        <v>2.9240879999999998</v>
      </c>
      <c r="T7759">
        <v>-0.74146780000000001</v>
      </c>
      <c r="U7759">
        <v>-0.152832</v>
      </c>
      <c r="V7759">
        <v>3.379099E-2</v>
      </c>
      <c r="W7759">
        <v>-0.1017501</v>
      </c>
      <c r="X7759">
        <v>0.99423589999999995</v>
      </c>
      <c r="Y7759">
        <v>6.5901849999999998E-2</v>
      </c>
      <c r="Z7759">
        <v>-1.2942459999999999E-2</v>
      </c>
      <c r="AA7759">
        <v>0.99774220000000002</v>
      </c>
      <c r="AB7759">
        <v>5</v>
      </c>
      <c r="AC7759">
        <v>0.64969999999999495</v>
      </c>
      <c r="AD7759">
        <v>-0.18306130000000001</v>
      </c>
      <c r="AE7759">
        <v>-3.9300000000025599E-2</v>
      </c>
      <c r="AF7759">
        <v>4.6349442738875098E-2</v>
      </c>
      <c r="AG7759">
        <v>-0.18306130000000001</v>
      </c>
      <c r="AH7759">
        <v>0.60139237367065002</v>
      </c>
      <c r="AI7759">
        <v>106.882821297779</v>
      </c>
      <c r="AJ7759">
        <v>85.592913635944697</v>
      </c>
      <c r="AK7759">
        <v>0.63034315853280498</v>
      </c>
      <c r="AL7759">
        <v>95.839958120439306</v>
      </c>
      <c r="AM7759">
        <v>88.053443687505506</v>
      </c>
      <c r="AN7759">
        <v>0.99999996935199897</v>
      </c>
    </row>
    <row r="7760" spans="1:40" x14ac:dyDescent="0.25">
      <c r="A7760" t="str">
        <f>"20190303154717513"</f>
        <v>20190303154717513</v>
      </c>
      <c r="B7760" t="str">
        <f>"1551599237499806"</f>
        <v>1551599237499806</v>
      </c>
      <c r="C7760" t="s">
        <v>40</v>
      </c>
      <c r="D7760">
        <v>5.5305150000000003</v>
      </c>
      <c r="E7760">
        <v>0.51312269999999904</v>
      </c>
      <c r="F7760" t="s">
        <v>42</v>
      </c>
      <c r="G7760">
        <v>-128.82299999999901</v>
      </c>
      <c r="H7760">
        <v>0.94708870000000001</v>
      </c>
      <c r="I7760">
        <v>138.14529999999999</v>
      </c>
      <c r="J7760">
        <v>-129.45490000000001</v>
      </c>
      <c r="K7760">
        <v>1.1239459999999999</v>
      </c>
      <c r="L7760">
        <v>138.1816</v>
      </c>
      <c r="M7760">
        <v>0.99919420000000003</v>
      </c>
      <c r="N7760">
        <v>-3.645992E-2</v>
      </c>
      <c r="O7760">
        <v>1.6790030000000001E-2</v>
      </c>
      <c r="P7760">
        <v>0.990869</v>
      </c>
      <c r="Q7760">
        <v>-0.13404720000000001</v>
      </c>
      <c r="R7760">
        <v>-1.4501429999999999E-2</v>
      </c>
      <c r="S7760">
        <v>2.9234469999999999</v>
      </c>
      <c r="T7760">
        <v>-0.74549690000000002</v>
      </c>
      <c r="U7760">
        <v>-0.14689639999999901</v>
      </c>
      <c r="V7760">
        <v>3.1124849999999999E-2</v>
      </c>
      <c r="W7760">
        <v>-9.7852110000000006E-2</v>
      </c>
      <c r="X7760">
        <v>0.99471410000000005</v>
      </c>
      <c r="Y7760">
        <v>6.4209799999999997E-2</v>
      </c>
      <c r="Z7760">
        <v>-1.285414E-2</v>
      </c>
      <c r="AA7760">
        <v>0.99785360000000001</v>
      </c>
      <c r="AB7760">
        <v>5</v>
      </c>
      <c r="AC7760">
        <v>0.63190000000002999</v>
      </c>
      <c r="AD7760">
        <v>-0.1768573</v>
      </c>
      <c r="AE7760">
        <v>-3.6300000000011302E-2</v>
      </c>
      <c r="AF7760">
        <v>4.3514136835550901E-2</v>
      </c>
      <c r="AG7760">
        <v>-0.1768573</v>
      </c>
      <c r="AH7760">
        <v>0.58548824909275998</v>
      </c>
      <c r="AI7760">
        <v>106.764257786271</v>
      </c>
      <c r="AJ7760">
        <v>85.749528554463794</v>
      </c>
      <c r="AK7760">
        <v>0.61316268191528001</v>
      </c>
      <c r="AL7760">
        <v>95.615498975100493</v>
      </c>
      <c r="AM7760">
        <v>88.207785654440798</v>
      </c>
      <c r="AN7760">
        <v>0.99999996622889098</v>
      </c>
    </row>
    <row r="7761" spans="1:40" x14ac:dyDescent="0.25">
      <c r="A7761" t="str">
        <f>"20190303154717555"</f>
        <v>20190303154717555</v>
      </c>
      <c r="B7761" t="str">
        <f>"1551599237549582"</f>
        <v>1551599237549582</v>
      </c>
      <c r="C7761" t="s">
        <v>40</v>
      </c>
      <c r="D7761">
        <v>5.4726019999999904</v>
      </c>
      <c r="E7761">
        <v>0.51323640000000004</v>
      </c>
      <c r="F7761" t="s">
        <v>42</v>
      </c>
      <c r="G7761">
        <v>-128.7569</v>
      </c>
      <c r="H7761">
        <v>0.94876179999999999</v>
      </c>
      <c r="I7761">
        <v>138.14779999999999</v>
      </c>
      <c r="J7761">
        <v>-129.40180000000001</v>
      </c>
      <c r="K7761">
        <v>1.1241219999999901</v>
      </c>
      <c r="L7761">
        <v>138.18270000000001</v>
      </c>
      <c r="M7761">
        <v>0.99913850000000004</v>
      </c>
      <c r="N7761">
        <v>-3.7853539999999998E-2</v>
      </c>
      <c r="O7761">
        <v>1.7012739999999998E-2</v>
      </c>
      <c r="P7761">
        <v>0.99054109999999995</v>
      </c>
      <c r="Q7761">
        <v>-0.13662629999999901</v>
      </c>
      <c r="R7761">
        <v>-1.2732759999999999E-2</v>
      </c>
      <c r="S7761">
        <v>2.9262079999999999</v>
      </c>
      <c r="T7761">
        <v>-0.73452039999999996</v>
      </c>
      <c r="U7761">
        <v>-0.141037</v>
      </c>
      <c r="V7761">
        <v>2.9564670000000001E-2</v>
      </c>
      <c r="W7761">
        <v>-9.9055480000000001E-2</v>
      </c>
      <c r="X7761">
        <v>0.99464260000000004</v>
      </c>
      <c r="Y7761">
        <v>6.2522820000000007E-2</v>
      </c>
      <c r="Z7761">
        <v>-1.2495920000000001E-2</v>
      </c>
      <c r="AA7761">
        <v>0.99796530000000006</v>
      </c>
      <c r="AB7761">
        <v>4</v>
      </c>
      <c r="AC7761">
        <v>0.64490000000000602</v>
      </c>
      <c r="AD7761">
        <v>-0.17536019999999899</v>
      </c>
      <c r="AE7761">
        <v>-3.4900000000021601E-2</v>
      </c>
      <c r="AF7761">
        <v>4.2724515881495603E-2</v>
      </c>
      <c r="AG7761">
        <v>-0.17536019999999899</v>
      </c>
      <c r="AH7761">
        <v>0.59997962739927602</v>
      </c>
      <c r="AI7761">
        <v>106.25344647407999</v>
      </c>
      <c r="AJ7761">
        <v>85.926846236213606</v>
      </c>
      <c r="AK7761">
        <v>0.62653981301711503</v>
      </c>
      <c r="AL7761">
        <v>95.684783537550999</v>
      </c>
      <c r="AM7761">
        <v>88.297446530895002</v>
      </c>
      <c r="AN7761">
        <v>0.99999997978249899</v>
      </c>
    </row>
    <row r="7762" spans="1:40" x14ac:dyDescent="0.25">
      <c r="A7762" t="str">
        <f>"20190303154717592"</f>
        <v>20190303154717592</v>
      </c>
      <c r="B7762" t="str">
        <f>"1551599237579838"</f>
        <v>1551599237579838</v>
      </c>
      <c r="C7762" t="s">
        <v>40</v>
      </c>
      <c r="D7762">
        <v>5.4657030000000004</v>
      </c>
      <c r="E7762">
        <v>0.51351179999999996</v>
      </c>
      <c r="F7762" t="s">
        <v>42</v>
      </c>
      <c r="G7762">
        <v>-128.7107</v>
      </c>
      <c r="H7762">
        <v>0.9479244</v>
      </c>
      <c r="I7762">
        <v>138.15039999999999</v>
      </c>
      <c r="J7762">
        <v>-129.3725</v>
      </c>
      <c r="K7762">
        <v>1.124163</v>
      </c>
      <c r="L7762">
        <v>138.1833</v>
      </c>
      <c r="M7762">
        <v>0.9991004</v>
      </c>
      <c r="N7762">
        <v>-3.8824699999999997E-2</v>
      </c>
      <c r="O7762">
        <v>1.7059990000000001E-2</v>
      </c>
      <c r="P7762">
        <v>0.99040620000000001</v>
      </c>
      <c r="Q7762">
        <v>-0.13760129999999901</v>
      </c>
      <c r="R7762">
        <v>-1.271223E-2</v>
      </c>
      <c r="S7762">
        <v>2.9240719999999998</v>
      </c>
      <c r="T7762">
        <v>-0.7454925</v>
      </c>
      <c r="U7762">
        <v>-0.1361542</v>
      </c>
      <c r="V7762">
        <v>2.9585449999999999E-2</v>
      </c>
      <c r="W7762">
        <v>-9.9069480000000001E-2</v>
      </c>
      <c r="X7762">
        <v>0.99464059999999999</v>
      </c>
      <c r="Y7762">
        <v>6.0917480000000003E-2</v>
      </c>
      <c r="Z7762">
        <v>-1.247006E-2</v>
      </c>
      <c r="AA7762">
        <v>0.99806490000000003</v>
      </c>
      <c r="AB7762">
        <v>3</v>
      </c>
      <c r="AC7762">
        <v>0.66179999999999894</v>
      </c>
      <c r="AD7762">
        <v>-0.176238599999999</v>
      </c>
      <c r="AE7762">
        <v>-3.29000000000121E-2</v>
      </c>
      <c r="AF7762">
        <v>4.1274209996282799E-2</v>
      </c>
      <c r="AG7762">
        <v>-0.176238599999999</v>
      </c>
      <c r="AH7762">
        <v>0.61746146290278803</v>
      </c>
      <c r="AI7762">
        <v>105.896365171461</v>
      </c>
      <c r="AJ7762">
        <v>86.1757528879251</v>
      </c>
      <c r="AK7762">
        <v>0.64344561752398899</v>
      </c>
      <c r="AL7762">
        <v>95.685589574170507</v>
      </c>
      <c r="AM7762">
        <v>88.296247145234005</v>
      </c>
      <c r="AN7762">
        <v>0.99999999194376599</v>
      </c>
    </row>
    <row r="7763" spans="1:40" x14ac:dyDescent="0.25">
      <c r="A7763" t="str">
        <f>"20190303154717615"</f>
        <v>20190303154717615</v>
      </c>
      <c r="B7763" t="str">
        <f>"1551599237610094"</f>
        <v>1551599237610094</v>
      </c>
      <c r="C7763" t="s">
        <v>40</v>
      </c>
      <c r="D7763">
        <v>5.5456909999999997</v>
      </c>
      <c r="E7763">
        <v>0.52430120000000002</v>
      </c>
      <c r="F7763" t="s">
        <v>42</v>
      </c>
      <c r="G7763">
        <v>-128.6823</v>
      </c>
      <c r="H7763">
        <v>0.94735040000000004</v>
      </c>
      <c r="I7763">
        <v>138.1507</v>
      </c>
      <c r="J7763">
        <v>-129.35759999999999</v>
      </c>
      <c r="K7763">
        <v>1.123883</v>
      </c>
      <c r="L7763">
        <v>138.18350000000001</v>
      </c>
      <c r="M7763">
        <v>0.99912599999999996</v>
      </c>
      <c r="N7763">
        <v>-3.8180749999999999E-2</v>
      </c>
      <c r="O7763">
        <v>1.7017640000000001E-2</v>
      </c>
      <c r="P7763">
        <v>0.99038360000000003</v>
      </c>
      <c r="Q7763">
        <v>-0.1376455</v>
      </c>
      <c r="R7763">
        <v>-1.392764E-2</v>
      </c>
      <c r="S7763">
        <v>2.9232640000000001</v>
      </c>
      <c r="T7763">
        <v>-0.74895019999999901</v>
      </c>
      <c r="U7763">
        <v>-0.13772579999999901</v>
      </c>
      <c r="V7763">
        <v>3.0758799999999999E-2</v>
      </c>
      <c r="W7763">
        <v>-9.9756239999999996E-2</v>
      </c>
      <c r="X7763">
        <v>0.99453630000000004</v>
      </c>
      <c r="Y7763">
        <v>6.138453E-2</v>
      </c>
      <c r="Z7763">
        <v>-1.257667E-2</v>
      </c>
      <c r="AA7763">
        <v>0.99803500000000001</v>
      </c>
      <c r="AB7763">
        <v>2</v>
      </c>
      <c r="AC7763">
        <v>0.67529999999999202</v>
      </c>
      <c r="AD7763">
        <v>-0.17653259999999901</v>
      </c>
      <c r="AE7763">
        <v>-3.2800000000008801E-2</v>
      </c>
      <c r="AF7763">
        <v>4.1468475983802197E-2</v>
      </c>
      <c r="AG7763">
        <v>-0.17653259999999901</v>
      </c>
      <c r="AH7763">
        <v>0.63158443533293696</v>
      </c>
      <c r="AI7763">
        <v>105.584157994092</v>
      </c>
      <c r="AJ7763">
        <v>86.243474192671798</v>
      </c>
      <c r="AK7763">
        <v>0.65710143229033002</v>
      </c>
      <c r="AL7763">
        <v>95.725134263343804</v>
      </c>
      <c r="AM7763">
        <v>88.228533404750493</v>
      </c>
      <c r="AN7763">
        <v>0.99999993160703105</v>
      </c>
    </row>
    <row r="7764" spans="1:40" x14ac:dyDescent="0.25">
      <c r="A7764" t="str">
        <f>"20190303154717640"</f>
        <v>20190303154717640</v>
      </c>
      <c r="B7764" t="str">
        <f>"1551599237630591"</f>
        <v>1551599237630591</v>
      </c>
      <c r="C7764" t="s">
        <v>40</v>
      </c>
      <c r="D7764">
        <v>5.4860930000000003</v>
      </c>
      <c r="E7764">
        <v>0.52526269999999997</v>
      </c>
      <c r="F7764" t="s">
        <v>42</v>
      </c>
      <c r="G7764">
        <v>-128.6925</v>
      </c>
      <c r="H7764">
        <v>0.9033293</v>
      </c>
      <c r="I7764">
        <v>138.1326</v>
      </c>
      <c r="J7764">
        <v>-129.3409</v>
      </c>
      <c r="K7764">
        <v>1.1232569999999999</v>
      </c>
      <c r="L7764">
        <v>138.18369999999999</v>
      </c>
      <c r="M7764">
        <v>0.99920989999999998</v>
      </c>
      <c r="N7764">
        <v>-3.59277E-2</v>
      </c>
      <c r="O7764">
        <v>1.6996939999999999E-2</v>
      </c>
      <c r="P7764">
        <v>0.99083469999999996</v>
      </c>
      <c r="Q7764">
        <v>-0.1341087</v>
      </c>
      <c r="R7764">
        <v>-1.6180759999999999E-2</v>
      </c>
      <c r="S7764">
        <v>2.8927149999999999</v>
      </c>
      <c r="T7764">
        <v>-0.95920570000000005</v>
      </c>
      <c r="U7764">
        <v>-0.2214661</v>
      </c>
      <c r="V7764">
        <v>3.300119E-2</v>
      </c>
      <c r="W7764">
        <v>-9.8448560000000004E-2</v>
      </c>
      <c r="X7764">
        <v>0.9945948</v>
      </c>
      <c r="Y7764">
        <v>8.7376120000000002E-2</v>
      </c>
      <c r="Z7764">
        <v>-2.0594299999999999E-2</v>
      </c>
      <c r="AA7764">
        <v>0.99596249999999997</v>
      </c>
      <c r="AB7764">
        <v>1</v>
      </c>
      <c r="AC7764">
        <v>0.64840000000000897</v>
      </c>
      <c r="AD7764">
        <v>-0.219927699999999</v>
      </c>
      <c r="AE7764">
        <v>-5.1099999999991E-2</v>
      </c>
      <c r="AF7764">
        <v>5.5746665905377503E-2</v>
      </c>
      <c r="AG7764">
        <v>-0.219927699999999</v>
      </c>
      <c r="AH7764">
        <v>0.58100683016767996</v>
      </c>
      <c r="AI7764">
        <v>110.646316339934</v>
      </c>
      <c r="AJ7764">
        <v>84.519339995540506</v>
      </c>
      <c r="AK7764">
        <v>0.62373457551137201</v>
      </c>
      <c r="AL7764">
        <v>95.649838620935896</v>
      </c>
      <c r="AM7764">
        <v>88.0995924546922</v>
      </c>
      <c r="AN7764">
        <v>1.0000000068472601</v>
      </c>
    </row>
    <row r="7765" spans="1:40" x14ac:dyDescent="0.25">
      <c r="A7765" t="str">
        <f>"20190303154717667"</f>
        <v>20190303154717667</v>
      </c>
      <c r="B7765" t="str">
        <f>"1551599237659870"</f>
        <v>1551599237659870</v>
      </c>
      <c r="C7765" t="s">
        <v>40</v>
      </c>
      <c r="D7765">
        <v>5.5181190000000004</v>
      </c>
      <c r="E7765">
        <v>0.52522100000000005</v>
      </c>
      <c r="F7765" t="s">
        <v>42</v>
      </c>
      <c r="G7765">
        <v>-128.67529999999999</v>
      </c>
      <c r="H7765">
        <v>0.9089332</v>
      </c>
      <c r="I7765">
        <v>138.12960000000001</v>
      </c>
      <c r="J7765">
        <v>-129.3212</v>
      </c>
      <c r="K7765">
        <v>1.122614</v>
      </c>
      <c r="L7765">
        <v>138.184</v>
      </c>
      <c r="M7765">
        <v>0.99931409999999998</v>
      </c>
      <c r="N7765">
        <v>-3.2881220000000003E-2</v>
      </c>
      <c r="O7765">
        <v>1.7034759999999999E-2</v>
      </c>
      <c r="P7765">
        <v>0.99125379999999996</v>
      </c>
      <c r="Q7765">
        <v>-0.13028310000000001</v>
      </c>
      <c r="R7765">
        <v>-2.1035160000000001E-2</v>
      </c>
      <c r="S7765">
        <v>2.8976289999999998</v>
      </c>
      <c r="T7765">
        <v>-0.93304620000000005</v>
      </c>
      <c r="U7765">
        <v>-0.2350006</v>
      </c>
      <c r="V7765">
        <v>3.7904350000000003E-2</v>
      </c>
      <c r="W7765">
        <v>-9.7644339999999996E-2</v>
      </c>
      <c r="X7765">
        <v>0.99449929999999997</v>
      </c>
      <c r="Y7765">
        <v>9.1998670000000005E-2</v>
      </c>
      <c r="Z7765">
        <v>-2.0776780000000002E-2</v>
      </c>
      <c r="AA7765">
        <v>0.99554229999999999</v>
      </c>
      <c r="AB7765">
        <v>1</v>
      </c>
      <c r="AC7765">
        <v>0.64590000000001102</v>
      </c>
      <c r="AD7765">
        <v>-0.2136808</v>
      </c>
      <c r="AE7765">
        <v>-5.4399999999986903E-2</v>
      </c>
      <c r="AF7765">
        <v>5.89900449380589E-2</v>
      </c>
      <c r="AG7765">
        <v>-0.2136808</v>
      </c>
      <c r="AH7765">
        <v>0.58166626596775195</v>
      </c>
      <c r="AI7765">
        <v>110.07660353895</v>
      </c>
      <c r="AJ7765">
        <v>84.209112183396897</v>
      </c>
      <c r="AK7765">
        <v>0.62247486266941099</v>
      </c>
      <c r="AL7765">
        <v>95.603537117602599</v>
      </c>
      <c r="AM7765">
        <v>87.817284965358596</v>
      </c>
      <c r="AN7765">
        <v>1.0000000072917199</v>
      </c>
    </row>
    <row r="7766" spans="1:40" x14ac:dyDescent="0.25">
      <c r="A7766" t="str">
        <f>"20190303154717733"</f>
        <v>20190303154717733</v>
      </c>
      <c r="B7766" t="str">
        <f>"1551599237730143"</f>
        <v>1551599237730143</v>
      </c>
      <c r="C7766" t="s">
        <v>40</v>
      </c>
      <c r="D7766">
        <v>5.4978879999999997</v>
      </c>
      <c r="E7766">
        <v>0.52478959999999997</v>
      </c>
      <c r="F7766" t="s">
        <v>42</v>
      </c>
      <c r="G7766">
        <v>-128.6472</v>
      </c>
      <c r="H7766">
        <v>0.90866219999999998</v>
      </c>
      <c r="I7766">
        <v>138.12620000000001</v>
      </c>
      <c r="J7766">
        <v>-129.28540000000001</v>
      </c>
      <c r="K7766">
        <v>1.1222989999999999</v>
      </c>
      <c r="L7766">
        <v>138.18459999999999</v>
      </c>
      <c r="M7766">
        <v>0.99944100000000002</v>
      </c>
      <c r="N7766">
        <v>-2.871756E-2</v>
      </c>
      <c r="O7766">
        <v>1.7118580000000001E-2</v>
      </c>
      <c r="P7766">
        <v>0.99141500000000005</v>
      </c>
      <c r="Q7766">
        <v>-0.1287982</v>
      </c>
      <c r="R7766">
        <v>-2.25309E-2</v>
      </c>
      <c r="S7766">
        <v>2.9001920000000001</v>
      </c>
      <c r="T7766">
        <v>-0.9206898</v>
      </c>
      <c r="U7766">
        <v>-0.24827579999999999</v>
      </c>
      <c r="V7766">
        <v>3.9500739999999999E-2</v>
      </c>
      <c r="W7766">
        <v>-0.1002914</v>
      </c>
      <c r="X7766">
        <v>0.99417370000000005</v>
      </c>
      <c r="Y7766">
        <v>9.6489790000000006E-2</v>
      </c>
      <c r="Z7766">
        <v>-2.116291E-2</v>
      </c>
      <c r="AA7766">
        <v>0.99510900000000002</v>
      </c>
      <c r="AB7766">
        <v>1</v>
      </c>
      <c r="AC7766">
        <v>0.63820000000001098</v>
      </c>
      <c r="AD7766">
        <v>-0.21363679999999999</v>
      </c>
      <c r="AE7766">
        <v>-5.8399999999977498E-2</v>
      </c>
      <c r="AF7766">
        <v>6.2388062664730397E-2</v>
      </c>
      <c r="AG7766">
        <v>-0.21363679999999999</v>
      </c>
      <c r="AH7766">
        <v>0.57338777507948102</v>
      </c>
      <c r="AI7766">
        <v>110.324672717562</v>
      </c>
      <c r="AJ7766">
        <v>83.790300333141303</v>
      </c>
      <c r="AK7766">
        <v>0.61506625113713997</v>
      </c>
      <c r="AL7766">
        <v>95.7559507706452</v>
      </c>
      <c r="AM7766">
        <v>87.724707594700703</v>
      </c>
      <c r="AN7766">
        <v>1.0000000095730901</v>
      </c>
    </row>
    <row r="7767" spans="1:40" x14ac:dyDescent="0.25">
      <c r="A7767" t="str">
        <f>"20190303154717765"</f>
        <v>20190303154717765</v>
      </c>
      <c r="B7767" t="str">
        <f>"1551599237759422"</f>
        <v>1551599237759422</v>
      </c>
      <c r="C7767" t="s">
        <v>40</v>
      </c>
      <c r="D7767">
        <v>5.4737780000000003</v>
      </c>
      <c r="E7767">
        <v>0.52544000000000002</v>
      </c>
      <c r="F7767" t="s">
        <v>42</v>
      </c>
      <c r="G7767">
        <v>-128.61660000000001</v>
      </c>
      <c r="H7767">
        <v>0.91183919999999996</v>
      </c>
      <c r="I7767">
        <v>138.12629999999999</v>
      </c>
      <c r="J7767">
        <v>-129.27440000000001</v>
      </c>
      <c r="K7767">
        <v>1.1223000000000001</v>
      </c>
      <c r="L7767">
        <v>138.1848</v>
      </c>
      <c r="M7767">
        <v>0.99947710000000001</v>
      </c>
      <c r="N7767">
        <v>-2.743613E-2</v>
      </c>
      <c r="O7767">
        <v>1.712201E-2</v>
      </c>
      <c r="P7767">
        <v>0.99187840000000005</v>
      </c>
      <c r="Q7767">
        <v>-0.12509890000000001</v>
      </c>
      <c r="R7767">
        <v>-2.298031E-2</v>
      </c>
      <c r="S7767">
        <v>2.9015960000000001</v>
      </c>
      <c r="T7767">
        <v>-0.91309850000000004</v>
      </c>
      <c r="U7767">
        <v>-0.25311280000000003</v>
      </c>
      <c r="V7767">
        <v>3.996301E-2</v>
      </c>
      <c r="W7767">
        <v>-9.7854549999999998E-2</v>
      </c>
      <c r="X7767">
        <v>0.99439809999999995</v>
      </c>
      <c r="Y7767">
        <v>9.8124069999999994E-2</v>
      </c>
      <c r="Z7767">
        <v>-2.1225109999999998E-2</v>
      </c>
      <c r="AA7767">
        <v>0.99494780000000005</v>
      </c>
      <c r="AB7767">
        <v>1</v>
      </c>
      <c r="AC7767">
        <v>0.65780000000000804</v>
      </c>
      <c r="AD7767">
        <v>-0.2104608</v>
      </c>
      <c r="AE7767">
        <v>-5.8500000000009302E-2</v>
      </c>
      <c r="AF7767">
        <v>6.3326879568990704E-2</v>
      </c>
      <c r="AG7767">
        <v>-0.2104608</v>
      </c>
      <c r="AH7767">
        <v>0.59615454268962598</v>
      </c>
      <c r="AI7767">
        <v>109.343905836977</v>
      </c>
      <c r="AJ7767">
        <v>83.936459438778101</v>
      </c>
      <c r="AK7767">
        <v>0.63537727436701996</v>
      </c>
      <c r="AL7767">
        <v>95.615638876477504</v>
      </c>
      <c r="AM7767">
        <v>87.698627633614194</v>
      </c>
      <c r="AN7767">
        <v>1.00000006820378</v>
      </c>
    </row>
    <row r="7768" spans="1:40" x14ac:dyDescent="0.25">
      <c r="A7768" t="str">
        <f>"20190303154717790"</f>
        <v>20190303154717790</v>
      </c>
      <c r="B7768" t="str">
        <f>"1551599237779918"</f>
        <v>1551599237779918</v>
      </c>
      <c r="C7768" t="s">
        <v>40</v>
      </c>
      <c r="D7768">
        <v>5.4942140000000004</v>
      </c>
      <c r="E7768">
        <v>0.52492869999999903</v>
      </c>
      <c r="F7768" t="s">
        <v>42</v>
      </c>
      <c r="G7768">
        <v>-128.6018</v>
      </c>
      <c r="H7768">
        <v>0.91640010000000005</v>
      </c>
      <c r="I7768">
        <v>138.12440000000001</v>
      </c>
      <c r="J7768">
        <v>-129.26740000000001</v>
      </c>
      <c r="K7768">
        <v>1.122255</v>
      </c>
      <c r="L7768">
        <v>138.185</v>
      </c>
      <c r="M7768">
        <v>0.9995058</v>
      </c>
      <c r="N7768">
        <v>-2.6356210000000001E-2</v>
      </c>
      <c r="O7768">
        <v>1.713222E-2</v>
      </c>
      <c r="P7768">
        <v>0.99228170000000004</v>
      </c>
      <c r="Q7768">
        <v>-0.1217916</v>
      </c>
      <c r="R7768">
        <v>-2.3317830000000001E-2</v>
      </c>
      <c r="S7768">
        <v>2.9063110000000001</v>
      </c>
      <c r="T7768">
        <v>-0.88973459999999904</v>
      </c>
      <c r="U7768">
        <v>-0.26119999999999999</v>
      </c>
      <c r="V7768">
        <v>4.0315440000000001E-2</v>
      </c>
      <c r="W7768">
        <v>-9.5612929999999999E-2</v>
      </c>
      <c r="X7768">
        <v>0.99460179999999998</v>
      </c>
      <c r="Y7768">
        <v>0.10091360000000001</v>
      </c>
      <c r="Z7768">
        <v>-2.1114520000000001E-2</v>
      </c>
      <c r="AA7768">
        <v>0.99467110000000003</v>
      </c>
      <c r="AB7768">
        <v>1</v>
      </c>
      <c r="AC7768">
        <v>0.66560000000001196</v>
      </c>
      <c r="AD7768">
        <v>-0.20585489999999901</v>
      </c>
      <c r="AE7768">
        <v>-6.0599999999993701E-2</v>
      </c>
      <c r="AF7768">
        <v>6.5759889752468798E-2</v>
      </c>
      <c r="AG7768">
        <v>-0.20585489999999901</v>
      </c>
      <c r="AH7768">
        <v>0.60689040073678402</v>
      </c>
      <c r="AI7768">
        <v>108.635253547453</v>
      </c>
      <c r="AJ7768">
        <v>83.8158166654338</v>
      </c>
      <c r="AK7768">
        <v>0.64421779039446103</v>
      </c>
      <c r="AL7768">
        <v>95.486598959531307</v>
      </c>
      <c r="AM7768">
        <v>87.678829125934797</v>
      </c>
      <c r="AN7768">
        <v>0.99999995382440798</v>
      </c>
    </row>
    <row r="7769" spans="1:40" x14ac:dyDescent="0.25">
      <c r="A7769" t="str">
        <f>"20190303154717824"</f>
        <v>20190303154717824</v>
      </c>
      <c r="B7769" t="str">
        <f>"1551599237819935"</f>
        <v>1551599237819935</v>
      </c>
      <c r="C7769" t="s">
        <v>40</v>
      </c>
      <c r="D7769">
        <v>5.3442049999999997</v>
      </c>
      <c r="E7769">
        <v>0.52521969999999996</v>
      </c>
      <c r="F7769" t="s">
        <v>42</v>
      </c>
      <c r="G7769">
        <v>-128.596</v>
      </c>
      <c r="H7769">
        <v>0.91829669999999997</v>
      </c>
      <c r="I7769">
        <v>138.125</v>
      </c>
      <c r="J7769">
        <v>-129.26</v>
      </c>
      <c r="K7769">
        <v>1.1221730000000001</v>
      </c>
      <c r="L7769">
        <v>138.18520000000001</v>
      </c>
      <c r="M7769">
        <v>0.99954279999999995</v>
      </c>
      <c r="N7769">
        <v>-2.4903990000000001E-2</v>
      </c>
      <c r="O7769">
        <v>1.7148819999999999E-2</v>
      </c>
      <c r="P7769">
        <v>0.99293339999999997</v>
      </c>
      <c r="Q7769">
        <v>-0.1166402</v>
      </c>
      <c r="R7769">
        <v>-2.1877819999999999E-2</v>
      </c>
      <c r="S7769">
        <v>2.9087830000000001</v>
      </c>
      <c r="T7769">
        <v>-0.88369569999999997</v>
      </c>
      <c r="U7769">
        <v>-0.259552</v>
      </c>
      <c r="V7769">
        <v>3.8900360000000002E-2</v>
      </c>
      <c r="W7769">
        <v>-9.1892059999999998E-2</v>
      </c>
      <c r="X7769">
        <v>0.99500880000000003</v>
      </c>
      <c r="Y7769">
        <v>0.10041650000000001</v>
      </c>
      <c r="Z7769">
        <v>-2.0840480000000002E-2</v>
      </c>
      <c r="AA7769">
        <v>0.99472720000000003</v>
      </c>
      <c r="AB7769">
        <v>1</v>
      </c>
      <c r="AC7769">
        <v>0.66399999999998705</v>
      </c>
      <c r="AD7769">
        <v>-0.20387629999999901</v>
      </c>
      <c r="AE7769">
        <v>-6.0200000000008899E-2</v>
      </c>
      <c r="AF7769">
        <v>6.5460503293733402E-2</v>
      </c>
      <c r="AG7769">
        <v>-0.20387629999999901</v>
      </c>
      <c r="AH7769">
        <v>0.60618713593863804</v>
      </c>
      <c r="AI7769">
        <v>108.48899080841601</v>
      </c>
      <c r="AJ7769">
        <v>83.836667648219802</v>
      </c>
      <c r="AK7769">
        <v>0.64289460020336797</v>
      </c>
      <c r="AL7769">
        <v>95.272465550129297</v>
      </c>
      <c r="AM7769">
        <v>87.761133434987599</v>
      </c>
      <c r="AN7769">
        <v>0.99999995038830503</v>
      </c>
    </row>
    <row r="7770" spans="1:40" x14ac:dyDescent="0.25">
      <c r="A7770" t="str">
        <f>"20190303154717856"</f>
        <v>20190303154717856</v>
      </c>
      <c r="B7770" t="str">
        <f>"1551599237850190"</f>
        <v>1551599237850190</v>
      </c>
      <c r="C7770" t="s">
        <v>40</v>
      </c>
      <c r="D7770">
        <v>5.3316679999999996</v>
      </c>
      <c r="E7770">
        <v>0.49440499999999998</v>
      </c>
      <c r="F7770" t="s">
        <v>42</v>
      </c>
      <c r="G7770">
        <v>-128.5848</v>
      </c>
      <c r="H7770">
        <v>0.92559860000000005</v>
      </c>
      <c r="I7770">
        <v>138.12530000000001</v>
      </c>
      <c r="J7770">
        <v>-129.25479999999999</v>
      </c>
      <c r="K7770">
        <v>1.1220889999999999</v>
      </c>
      <c r="L7770">
        <v>138.18530000000001</v>
      </c>
      <c r="M7770">
        <v>0.99957569999999996</v>
      </c>
      <c r="N7770">
        <v>-2.3547510000000001E-2</v>
      </c>
      <c r="O7770">
        <v>1.715235E-2</v>
      </c>
      <c r="P7770">
        <v>0.9932841</v>
      </c>
      <c r="Q7770">
        <v>-0.11402859999999999</v>
      </c>
      <c r="R7770">
        <v>-1.9607659999999999E-2</v>
      </c>
      <c r="S7770">
        <v>2.9159389999999998</v>
      </c>
      <c r="T7770">
        <v>-0.84893200000000002</v>
      </c>
      <c r="U7770">
        <v>-0.25816349999999999</v>
      </c>
      <c r="V7770">
        <v>3.6639020000000001E-2</v>
      </c>
      <c r="W7770">
        <v>-9.0621989999999999E-2</v>
      </c>
      <c r="X7770">
        <v>0.99521110000000002</v>
      </c>
      <c r="Y7770">
        <v>0.1001905</v>
      </c>
      <c r="Z7770">
        <v>-1.995779E-2</v>
      </c>
      <c r="AA7770">
        <v>0.99476810000000004</v>
      </c>
      <c r="AB7770">
        <v>1</v>
      </c>
      <c r="AC7770">
        <v>0.66999999999998705</v>
      </c>
      <c r="AD7770">
        <v>-0.19649039999999901</v>
      </c>
      <c r="AE7770">
        <v>-6.0000000000002197E-2</v>
      </c>
      <c r="AF7770">
        <v>6.5866525420313599E-2</v>
      </c>
      <c r="AG7770">
        <v>-0.19649039999999901</v>
      </c>
      <c r="AH7770">
        <v>0.61628860641607996</v>
      </c>
      <c r="AI7770">
        <v>107.589817141399</v>
      </c>
      <c r="AJ7770">
        <v>83.899607207872407</v>
      </c>
      <c r="AK7770">
        <v>0.65019883332822004</v>
      </c>
      <c r="AL7770">
        <v>95.199390989113795</v>
      </c>
      <c r="AM7770">
        <v>87.891589474734801</v>
      </c>
      <c r="AN7770">
        <v>0.99999994821066396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2020-05-20T14:49:09Z</dcterms:created>
  <dcterms:modified xsi:type="dcterms:W3CDTF">2020-05-20T14:49:09Z</dcterms:modified>
</cp:coreProperties>
</file>